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운동동작DB_v0.1_230716" sheetId="1" r:id="rId4"/>
    <sheet state="visible" name="운동동작DB_v0.2_진행중" sheetId="2" r:id="rId5"/>
    <sheet state="visible" name="Sheet7" sheetId="3" r:id="rId6"/>
    <sheet state="visible" name="설계 반영 항목 체크" sheetId="4" r:id="rId7"/>
    <sheet state="visible" name="김병서" sheetId="5" r:id="rId8"/>
    <sheet state="visible" name="Copy of 설계 반영 항목 체크" sheetId="6" r:id="rId9"/>
    <sheet state="visible" name="(원본)최종 취합" sheetId="7" r:id="rId10"/>
    <sheet state="visible" name="new_1" sheetId="8" r:id="rId11"/>
    <sheet state="visible" name="new_2" sheetId="9" r:id="rId12"/>
    <sheet state="visible" name="new" sheetId="10" r:id="rId13"/>
    <sheet state="visible" name="(원본) ExerciseList_GymVisual_all" sheetId="11" r:id="rId14"/>
    <sheet state="visible" name="ExerciseList_GymVisual_all" sheetId="12" r:id="rId15"/>
  </sheets>
  <definedNames>
    <definedName hidden="1" localSheetId="3" name="_xlnm._FilterDatabase">'설계 반영 항목 체크'!$B$1:$AA$3941</definedName>
    <definedName hidden="1" localSheetId="5" name="_xlnm._FilterDatabase">'Copy of 설계 반영 항목 체크'!$B$1:$AA$3941</definedName>
    <definedName hidden="1" localSheetId="6" name="_xlnm._FilterDatabase">'(원본)최종 취합'!$A$1:$Z$3941</definedName>
    <definedName hidden="1" localSheetId="8" name="_xlnm._FilterDatabase">new_2!$A$1:$Z$1908</definedName>
    <definedName hidden="1" localSheetId="9" name="_xlnm._FilterDatabase">new!$A$1:$Z$101</definedName>
    <definedName hidden="1" localSheetId="10" name="_xlnm._FilterDatabase">'(원본) ExerciseList_GymVisual_all'!$A$1:$G$1</definedName>
    <definedName hidden="1" localSheetId="11" name="_xlnm._FilterDatabase">ExerciseList_GymVisual_all!$A$4:$H$4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2">
      <text>
        <t xml:space="preserve">1999번은 이름은 비슷한데 다른 동작이라고 봐야할 것 같습니다
@kbs@wespion.com
_Assigned to 김병서_
	-황성우</t>
      </text>
    </comment>
  </commentList>
</comments>
</file>

<file path=xl/sharedStrings.xml><?xml version="1.0" encoding="utf-8"?>
<sst xmlns="http://schemas.openxmlformats.org/spreadsheetml/2006/main" count="138171" uniqueCount="4926">
  <si>
    <t>코드 (Code)</t>
  </si>
  <si>
    <t>AllDB#</t>
  </si>
  <si>
    <t>동작명 - 한글 (Title_KOR)</t>
  </si>
  <si>
    <t>동작명 - 영문 (Title_ENG)</t>
  </si>
  <si>
    <t>영역 구분 (Body Region)</t>
  </si>
  <si>
    <t>영역 2 (Region 2)</t>
  </si>
  <si>
    <t>(타겟부위 - Gym Visual 기준)</t>
  </si>
  <si>
    <t>주 근육 (Main Muscle)</t>
  </si>
  <si>
    <t>보조 근육 (Sub Muscle)</t>
  </si>
  <si>
    <t>도구 (Grip)</t>
  </si>
  <si>
    <t>기구 (Add-On)</t>
  </si>
  <si>
    <t>시퀀스 (Sequence)</t>
  </si>
  <si>
    <t>바벨 컬</t>
  </si>
  <si>
    <t>Barbell Curl</t>
  </si>
  <si>
    <t>이두</t>
  </si>
  <si>
    <t>상완</t>
  </si>
  <si>
    <t>상완이두근</t>
  </si>
  <si>
    <t>상완근, 상완요근</t>
  </si>
  <si>
    <t>바벨봉</t>
  </si>
  <si>
    <t>양쪽 동시 (Dual)</t>
  </si>
  <si>
    <t>덤벨 컬</t>
  </si>
  <si>
    <t>Dumbbell Curl</t>
  </si>
  <si>
    <t>핸들</t>
  </si>
  <si>
    <t>양쪽 번갈아서 (Alternating)</t>
  </si>
  <si>
    <t>해머 컬</t>
  </si>
  <si>
    <t>Hammer Curl</t>
  </si>
  <si>
    <t>상완요근</t>
  </si>
  <si>
    <t>상완이두근, 상완근</t>
  </si>
  <si>
    <t>덤벨 트라이셉스 익스텐션(한팔, 양팔)</t>
  </si>
  <si>
    <t>Dumbbell Tricep Extension</t>
  </si>
  <si>
    <t>삼두</t>
  </si>
  <si>
    <t>상완삼두근</t>
  </si>
  <si>
    <t>한쪽만 (Single)</t>
  </si>
  <si>
    <t>클로즈그립 벤치프레스</t>
  </si>
  <si>
    <t>Close Grip Bench Press</t>
  </si>
  <si>
    <t>가슴</t>
  </si>
  <si>
    <t>상완, 가슴</t>
  </si>
  <si>
    <t>전면삼각근, 대흉근, 소흉근</t>
  </si>
  <si>
    <t>벤치</t>
  </si>
  <si>
    <t>스컬 크러셔</t>
  </si>
  <si>
    <t>Skull Crusher</t>
  </si>
  <si>
    <t>바벨 오버헤드 프레스</t>
  </si>
  <si>
    <t>barbell Overhead Press</t>
  </si>
  <si>
    <t>어깨</t>
  </si>
  <si>
    <t>전면삼각근</t>
  </si>
  <si>
    <t>삼각근, 대흉근, 전거근, 상완삼두근</t>
  </si>
  <si>
    <t>덤벨 오버헤드 프레스</t>
  </si>
  <si>
    <t>Dumbbell Overhead Press</t>
  </si>
  <si>
    <t>덤벨</t>
  </si>
  <si>
    <t>바벨 업라이트 로우</t>
  </si>
  <si>
    <t>Barbell Upright Row</t>
  </si>
  <si>
    <t>측면삼각근</t>
  </si>
  <si>
    <t>상완이두근, 상완근, 상완요근, 전면삼각근, 극하근, 전거근, 견갑근, 승모근</t>
  </si>
  <si>
    <t>케이블 레터럴 레이즈</t>
  </si>
  <si>
    <t>Cable Lateral Raise</t>
  </si>
  <si>
    <t>전면삼각극, 전거근</t>
  </si>
  <si>
    <t>케이블 프론트 레이즈</t>
  </si>
  <si>
    <t>Cable Front Raise</t>
  </si>
  <si>
    <t>측면삼각근, 대흉근, 전거근</t>
  </si>
  <si>
    <t>비하인드 넥 프레스</t>
  </si>
  <si>
    <t>Behind Neck Press</t>
  </si>
  <si>
    <t>전면삼각근, 전거근, 상완삼두근</t>
  </si>
  <si>
    <t>바벨 로우</t>
  </si>
  <si>
    <t>Barbell Row</t>
  </si>
  <si>
    <t>등</t>
  </si>
  <si>
    <t>극하근, 할배근, 
 견갑근, 승모근</t>
  </si>
  <si>
    <t>상완근, 상완요근, 후면삼각근</t>
  </si>
  <si>
    <t>덤벨 로우</t>
  </si>
  <si>
    <t>Dumbbell Row</t>
  </si>
  <si>
    <t>극하근, 할배근,
 견갑근, 승모근</t>
  </si>
  <si>
    <t>상완근, 상완요근, 후면삼각근, 대흉근</t>
  </si>
  <si>
    <t>케이블로우</t>
  </si>
  <si>
    <t>Cable Row</t>
  </si>
  <si>
    <t>Y로프</t>
  </si>
  <si>
    <t>(바벨) 스쿼트</t>
  </si>
  <si>
    <t>Squat</t>
  </si>
  <si>
    <t>하체</t>
  </si>
  <si>
    <t>코어</t>
  </si>
  <si>
    <t>엉덩이, 허벅지</t>
  </si>
  <si>
    <t>대둔근, 대퇴사두근</t>
  </si>
  <si>
    <t>대내전근, 비장근(장딴지)</t>
  </si>
  <si>
    <t>(바벨) 프론트 스쿼트</t>
  </si>
  <si>
    <t>Front Squat</t>
  </si>
  <si>
    <t>(바벨) 데드리프트</t>
  </si>
  <si>
    <t>Deadlift</t>
  </si>
  <si>
    <t>대둔근</t>
  </si>
  <si>
    <t>대내전근, 척추기립근, 햄스트링, 
 대퇴사두근, 비장근(장딴지)</t>
  </si>
  <si>
    <t>(바벨) 스모 데드리프트</t>
  </si>
  <si>
    <t>Sumo Deadlift</t>
  </si>
  <si>
    <t>대내전근, 비장근, 넙다리근막긴장근</t>
  </si>
  <si>
    <t>데피싯 데드리프트</t>
  </si>
  <si>
    <t>Deficit Deadlift</t>
  </si>
  <si>
    <t>대뇌전근</t>
  </si>
  <si>
    <t>a</t>
  </si>
  <si>
    <t>덤벨런지</t>
  </si>
  <si>
    <t>Dumbbell Lunge</t>
  </si>
  <si>
    <t>바벨 리어런지</t>
  </si>
  <si>
    <t>Barbell Rear Lunge</t>
  </si>
  <si>
    <t>케이블 리어런지</t>
  </si>
  <si>
    <t>Cable Rear Lunge</t>
  </si>
  <si>
    <t>벤치프레스</t>
  </si>
  <si>
    <t>Bench Press</t>
  </si>
  <si>
    <t>대흉근</t>
  </si>
  <si>
    <t>전면삼각근, 대흉근, 상완삼두근</t>
  </si>
  <si>
    <t>디클라인 벤치프레스</t>
  </si>
  <si>
    <t>Decline Bench Press</t>
  </si>
  <si>
    <t>인클라인 벤치프레스</t>
  </si>
  <si>
    <t>Incline Bench Press</t>
  </si>
  <si>
    <t>전면삼각근, 상완삼두근</t>
  </si>
  <si>
    <t>가슴, 상완</t>
  </si>
  <si>
    <t>와이드그립 벤치프레스</t>
  </si>
  <si>
    <t>Wide Grip Bench Press</t>
  </si>
  <si>
    <t>케이블 벤치프레스</t>
  </si>
  <si>
    <t>Cable Bench Press</t>
  </si>
  <si>
    <t>덤벨 벤치프레스</t>
  </si>
  <si>
    <t>Dumbbell Bench Press</t>
  </si>
  <si>
    <t>추감기</t>
  </si>
  <si>
    <t>Wrist Roller</t>
  </si>
  <si>
    <t>기타</t>
  </si>
  <si>
    <t>팔뚝</t>
  </si>
  <si>
    <t>수근신전근, 손목굽힌근</t>
  </si>
  <si>
    <t>바벨 리스트 컬</t>
  </si>
  <si>
    <t>Brabell Wrist Curl</t>
  </si>
  <si>
    <t>손목굽힌근</t>
  </si>
  <si>
    <t>바벨 리버스 리스트컬</t>
  </si>
  <si>
    <t>Barbell Reverse Wrist Curl</t>
  </si>
  <si>
    <t>수근신전근</t>
  </si>
  <si>
    <t>팔</t>
  </si>
  <si>
    <t>명칭</t>
  </si>
  <si>
    <t>타겟부위</t>
  </si>
  <si>
    <t>도구</t>
  </si>
  <si>
    <t>주근육</t>
  </si>
  <si>
    <t>스파이더 덤벨 컬</t>
  </si>
  <si>
    <t>상완(어깨에서 팔꿈치까지 부분)</t>
  </si>
  <si>
    <t>크로스바디 해머 컬(얇)</t>
  </si>
  <si>
    <t>전완근(팔뚝)</t>
  </si>
  <si>
    <t>크로스바디 해머 컬(깊)</t>
  </si>
  <si>
    <t>바벨</t>
  </si>
  <si>
    <t>케이블 해머 컬</t>
  </si>
  <si>
    <t>cable hammer curl</t>
  </si>
  <si>
    <t>덤베 센트레이션 컬</t>
  </si>
  <si>
    <t>Dumbbell Concentration Curl</t>
  </si>
  <si>
    <t>상완근</t>
  </si>
  <si>
    <t>상완이두근, 상완요근</t>
  </si>
  <si>
    <t>바벨 드래그 컬</t>
  </si>
  <si>
    <t>Barbell Drag Curl</t>
  </si>
  <si>
    <t>상완이두</t>
  </si>
  <si>
    <t>상완근, 상완요근, 전면삼각근,측면삼각근</t>
  </si>
  <si>
    <t>라잉 트라이셉스 익스텐션</t>
  </si>
  <si>
    <t>barbell lying back of the headtricep extension</t>
  </si>
  <si>
    <t>케이블 오버헤드 트라이셉스 익스텐션</t>
  </si>
  <si>
    <t>Cable overheaed triceps extxension</t>
  </si>
  <si>
    <t>상완 삼두박근</t>
  </si>
  <si>
    <t>덤벨 킥백</t>
  </si>
  <si>
    <t>Dumbbell kickback</t>
  </si>
  <si>
    <t>덤벨 아쳐</t>
  </si>
  <si>
    <t>Dumbbell Archer</t>
  </si>
  <si>
    <t>덤벨 아놀드 프레스</t>
  </si>
  <si>
    <t>Dumbbell Arnold Press</t>
  </si>
  <si>
    <t>전면삼각극</t>
  </si>
  <si>
    <t>측면삼각근, 전거근, 상완삼두근</t>
  </si>
  <si>
    <t>바벨 백 슈러그</t>
  </si>
  <si>
    <t>Barbell Back Shrug</t>
  </si>
  <si>
    <t>승모근</t>
  </si>
  <si>
    <t>견갑거근</t>
  </si>
  <si>
    <t>바벨 프론트 레이즈</t>
  </si>
  <si>
    <t>Barbell Front Raise</t>
  </si>
  <si>
    <t>케이블 힙 쓰루</t>
  </si>
  <si>
    <t>cable hip through</t>
  </si>
  <si>
    <t>엉덩이</t>
  </si>
  <si>
    <t>척추기립근, 햄스트링</t>
  </si>
  <si>
    <t>바벨 글루트 브릿지</t>
  </si>
  <si>
    <t>Barbell Glute Bridge</t>
  </si>
  <si>
    <t>햄스트링</t>
  </si>
  <si>
    <t>바벨 핵 스쿼트</t>
  </si>
  <si>
    <t>Barbell Hack Squat</t>
  </si>
  <si>
    <t>대내전근, 비장근</t>
  </si>
  <si>
    <t>덤벨 플라이</t>
  </si>
  <si>
    <t>Dumbbell Fly</t>
  </si>
  <si>
    <t>상완이두근, 전면삼각근</t>
  </si>
  <si>
    <t>바벨 플로어 체스트프레스</t>
  </si>
  <si>
    <t>Barbell Floor Chest Press</t>
  </si>
  <si>
    <t>바벨 비하인드 백 핑거 컬</t>
  </si>
  <si>
    <t>Barbell behind Back Finger Curl</t>
  </si>
  <si>
    <t>Strength</t>
  </si>
  <si>
    <t>Hips</t>
  </si>
  <si>
    <t>Barbell</t>
  </si>
  <si>
    <t>['Gluteus Maximus']</t>
  </si>
  <si>
    <t>['Hamstrings']</t>
  </si>
  <si>
    <t>['Gluteus Maximus', 'Quadriceps']</t>
  </si>
  <si>
    <t>['Adductor Magnus', 'Soleus']</t>
  </si>
  <si>
    <t>Barbell Incline Row</t>
  </si>
  <si>
    <t>Back</t>
  </si>
  <si>
    <t>['Infraspinatus', 'Latissimus Dorsi', 'Teres Minor', 'Tibialis Anterior', 'Trapezius Middle Fibers', 'Trapezius Upper Fibers']</t>
  </si>
  <si>
    <t>['Brachialis', 'Brachioradialis', 'Pectoralis Major Sternal Head']</t>
  </si>
  <si>
    <t>Brachioradialis</t>
  </si>
  <si>
    <t>Gluteus Maximus</t>
  </si>
  <si>
    <t>Biceps Brachii</t>
  </si>
  <si>
    <t>Quadriceps</t>
  </si>
  <si>
    <t>대퇴사두근</t>
  </si>
  <si>
    <t>Brachialis</t>
  </si>
  <si>
    <t>Soleus</t>
  </si>
  <si>
    <t>비장근</t>
  </si>
  <si>
    <t>Deltoid Anterior</t>
  </si>
  <si>
    <t>Deltoid Lateral</t>
  </si>
  <si>
    <t>Serratus Anterior</t>
  </si>
  <si>
    <t>전거근</t>
  </si>
  <si>
    <t>Triceps Brachii</t>
  </si>
  <si>
    <t>Pectoralis Major Clavicular Head', 'Pectoralis Major Sternal Head</t>
  </si>
  <si>
    <t>Trapezius Upper Fibers</t>
  </si>
  <si>
    <t>Levator Scapulae</t>
  </si>
  <si>
    <t>Adductor Magnus</t>
  </si>
  <si>
    <t>대퇴사둔근</t>
  </si>
  <si>
    <t>Cable Hammer Curl (with rope)</t>
  </si>
  <si>
    <t>Forearms</t>
  </si>
  <si>
    <t>Cable</t>
  </si>
  <si>
    <t>['Brachioradialis']</t>
  </si>
  <si>
    <t>['Biceps Brachii', 'Brachialis']</t>
  </si>
  <si>
    <t>Barbell Lying Back of the Head Tricep Extension</t>
  </si>
  <si>
    <t>Upper Arms</t>
  </si>
  <si>
    <t>None</t>
  </si>
  <si>
    <t>Dumbbell Kickback</t>
  </si>
  <si>
    <t>Dumbbell</t>
  </si>
  <si>
    <t>['Triceps Brachii']</t>
  </si>
  <si>
    <t>Cable Pallof Press with Glute Bridge</t>
  </si>
  <si>
    <t>Cable Overhead Triceps Extension (rope attachment)</t>
  </si>
  <si>
    <t>Cable pull through</t>
  </si>
  <si>
    <t>['Erector Spinae', 'Hamstrings']</t>
  </si>
  <si>
    <t>Shoulders</t>
  </si>
  <si>
    <t>['Deltoid Anterior']</t>
  </si>
  <si>
    <t>['Deltoid Lateral', 'Serratus Anterior', 'Triceps Brachii']</t>
  </si>
  <si>
    <t>Dumbbell Concentration Curl (female)</t>
  </si>
  <si>
    <t>['Brachialis']</t>
  </si>
  <si>
    <t>['Biceps Brachii', 'Brachioradialis']</t>
  </si>
  <si>
    <t>Chest</t>
  </si>
  <si>
    <t>['Pectoralis Major Clavicular Head', 'Pectoralis Major Sternal Head']</t>
  </si>
  <si>
    <t>['Biceps Brachii', 'Deltoid Anterior']</t>
  </si>
  <si>
    <t>Barbell Back Wide Shrug</t>
  </si>
  <si>
    <t>['Trapezius Upper Fibers']</t>
  </si>
  <si>
    <t>['Levator Scapulae']</t>
  </si>
  <si>
    <t>Barbell Behind Back Finger Curl</t>
  </si>
  <si>
    <t>['Biceps Brachii']</t>
  </si>
  <si>
    <t>['Brachialis', 'Brachioradialis', 'Deltoid Anterior', 'Deltoid Posterior']</t>
  </si>
  <si>
    <t>['Deltoid Anterior', 'Triceps Brachii']</t>
  </si>
  <si>
    <t>['Deltoid Lateral', 'Pectoralis Major Clavicular Head', 'Serratus Anterior']</t>
  </si>
  <si>
    <t>RoomFit List 포함여부</t>
  </si>
  <si>
    <t>#</t>
  </si>
  <si>
    <t>Title</t>
  </si>
  <si>
    <t>Exercise type</t>
  </si>
  <si>
    <t>Body region</t>
  </si>
  <si>
    <t>Equipment type</t>
  </si>
  <si>
    <t>Target muscle</t>
  </si>
  <si>
    <t>Synergist muscle</t>
  </si>
  <si>
    <t>3 4 Sit up (female)</t>
  </si>
  <si>
    <t>Waist</t>
  </si>
  <si>
    <t>Body weight</t>
  </si>
  <si>
    <t>['Rectus Abdominis']</t>
  </si>
  <si>
    <t>['Obliques']</t>
  </si>
  <si>
    <t>3 4 Sit-up</t>
  </si>
  <si>
    <t>45 degree Bycicle Twisting Crunch</t>
  </si>
  <si>
    <t>['Obliques', 'Rectus Abdominis']</t>
  </si>
  <si>
    <t>['Gluteus Maximus', 'Iliopsoas', 'Pectineous', 'Quadriceps', 'Sartorius', 'Tensor Fasciae Latae']</t>
  </si>
  <si>
    <t>45 degree Bycicle Twisting Crunch (male)</t>
  </si>
  <si>
    <t>['Iliopsoas', 'Obliques', 'Rectus Abdominis']</t>
  </si>
  <si>
    <t>['Gluteus Maximus', 'Quadriceps', 'Sartorius']</t>
  </si>
  <si>
    <t>45 Degree Hip Extension Glute Focused</t>
  </si>
  <si>
    <t>45 degree hyperextension (arms in front of chest)</t>
  </si>
  <si>
    <t>['Erector Spinae', 'Gluteus Maximus']</t>
  </si>
  <si>
    <t>45 degree hyperextension (arms in front of chest) (Side-POV)</t>
  </si>
  <si>
    <t>45 degree one leg hyperextension (arms in front of chest)</t>
  </si>
  <si>
    <t>45° Side Bend</t>
  </si>
  <si>
    <t>['Iliopsoas']</t>
  </si>
  <si>
    <t>45 degree twisting hyperextension</t>
  </si>
  <si>
    <t>['Erector Spinae', 'Hamstrings', 'Obliques']</t>
  </si>
  <si>
    <t>45 degrees Back Extension</t>
  </si>
  <si>
    <t>['Erector Spinae']</t>
  </si>
  <si>
    <t>45 degrees Side Bend (female)</t>
  </si>
  <si>
    <t>45 degrees Side Bend (male)</t>
  </si>
  <si>
    <t>90 Degree Heel Touch</t>
  </si>
  <si>
    <t>Ab Roller Crunch</t>
  </si>
  <si>
    <t>Abdominal 4 points</t>
  </si>
  <si>
    <t>Air bike</t>
  </si>
  <si>
    <t>['Gluteus Maximus', 'Quadriceps', 'Rectus Abdominis']</t>
  </si>
  <si>
    <t>Air Bike (VERSION 2) (female)</t>
  </si>
  <si>
    <t>Air Squat (female)</t>
  </si>
  <si>
    <t>Thighs</t>
  </si>
  <si>
    <t>Air Squat (VERSION 2)</t>
  </si>
  <si>
    <t>Air Twisting Crunch</t>
  </si>
  <si>
    <t>Air Twisting Crunch (male)</t>
  </si>
  <si>
    <t>['Quadriceps', 'Sartorius']</t>
  </si>
  <si>
    <t>Alternate Biceps Curl (with band)</t>
  </si>
  <si>
    <t>Band</t>
  </si>
  <si>
    <t>['Brachialis', 'Brachioradialis']</t>
  </si>
  <si>
    <t>Alternate Heel Touch Side Kick Squat</t>
  </si>
  <si>
    <t>Hips
Thighs</t>
  </si>
  <si>
    <t>['Gluteus Maximus', 'Gluteus Medius', 'Quadriceps']</t>
  </si>
  <si>
    <t>['Adductor Brevis', 'Adductor Longus', 'Adductor Magnus', 'Gracilis', 'Pectineous', 'Tensor Fasciae Latae']</t>
  </si>
  <si>
    <t>Alternate Heel Touchers</t>
  </si>
  <si>
    <t>Alternate Heel Touchers (female)</t>
  </si>
  <si>
    <t>Alternate Lateral Pulldown</t>
  </si>
  <si>
    <t>['Latissimus Dorsi']</t>
  </si>
  <si>
    <t>['Biceps Brachii', 'Brachialis', 'Brachioradialis', 'Deltoid Posterior', 'Teres Major', 'Trapezius Lower Fibers', 'Trapezius Middle Fibers']</t>
  </si>
  <si>
    <t>Alternate Leg Raise</t>
  </si>
  <si>
    <t>['Adductor Brevis', 'Adductor Longus', 'Adductor Magnus', 'Pectineous', 'Quadriceps', 'Sartorius', 'Tensor Fasciae Latae']</t>
  </si>
  <si>
    <t>Alternate Leg Raise (male)</t>
  </si>
  <si>
    <t>['Iliopsoas', 'Rectus Abdominis']</t>
  </si>
  <si>
    <t>Alternate Leg Raise with Head-up</t>
  </si>
  <si>
    <t>Alternate Lying Floor Leg Raise</t>
  </si>
  <si>
    <t>['Adductor Brevis', 'Adductor Longus', 'Iliopsoas', 'Obliques', 'Pectineous', 'Quadriceps', 'Sartorius', 'Tensor Fasciae Latae']</t>
  </si>
  <si>
    <t>Alternate Lying Floor Leg Raise (male)</t>
  </si>
  <si>
    <t>Hips
Waist</t>
  </si>
  <si>
    <t>['Adductor Brevis', 'Adductor Longus', 'Adductor Magnus', 'Obliques', 'Pectineous', 'Quadriceps', 'Sartorius', 'Tensor Fasciae Latae']</t>
  </si>
  <si>
    <t>Alternate Oblique Crunch</t>
  </si>
  <si>
    <t>Alternate Sprinter Lunge</t>
  </si>
  <si>
    <t>['Adductor Magnus', 'Gastrocnemius', 'Hamstrings', 'Soleus']</t>
  </si>
  <si>
    <t>Alternate Straight Leg Raise (on bosu ball)</t>
  </si>
  <si>
    <t>Bosu ball</t>
  </si>
  <si>
    <t>['Adductor Brevis', 'Adductor Longus', 'Obliques', 'Pectineous', 'Quadriceps', 'Sartorius', 'Tensor Fasciae Latae']</t>
  </si>
  <si>
    <t>Alternate Toe Tap Leg Lift</t>
  </si>
  <si>
    <t>['Obliques', 'Quadriceps', 'Sartorius']</t>
  </si>
  <si>
    <t>Alternating Hamstring Curl with Punche</t>
  </si>
  <si>
    <t>Plyometrics</t>
  </si>
  <si>
    <t>Alternating Step Out</t>
  </si>
  <si>
    <t>Alternating Superman</t>
  </si>
  <si>
    <t>Ankle Circles</t>
  </si>
  <si>
    <t>Calves</t>
  </si>
  <si>
    <t>['Gastrocnemius', 'Soleus', 'Tibialis Anterior']</t>
  </si>
  <si>
    <t>Ankle Circles (female)</t>
  </si>
  <si>
    <t>Archer Pull up</t>
  </si>
  <si>
    <t>['Infraspinatus', 'Latissimus Dorsi', 'Teres Major', 'Teres Minor', 'Trapezius Lower Fibers', 'Trapezius Middle Fibers']</t>
  </si>
  <si>
    <t>['Biceps Brachii', 'Brachialis', 'Brachioradialis', 'Deltoid Posterior', 'Pectoralis Major Sternal Head']</t>
  </si>
  <si>
    <t>Archer Push up</t>
  </si>
  <si>
    <t>Arm Circles</t>
  </si>
  <si>
    <t>['Deltoid Anterior', 'Deltoid Lateral', 'Deltoid Posterior']</t>
  </si>
  <si>
    <t>['Infraspinatus', 'Pectoralis Major Clavicular Head', 'Pectoralis Major Sternal Head', 'Serratus Anterior', 'Teres Minor', 'Trapezius Lower Fibers', 'Trapezius Middle Fibers']</t>
  </si>
  <si>
    <t>Arm Crossover (female)</t>
  </si>
  <si>
    <t>['Deltoid Anterior', 'Deltoid Lateral', 'Serratus Anterior']</t>
  </si>
  <si>
    <t>Arm Crossover (male)</t>
  </si>
  <si>
    <t>Arm slingers Hanging Bent Knee Legs</t>
  </si>
  <si>
    <t>['Adductor Brevis', 'Adductor Longus', 'Adductor Magnus', 'Iliopsoas', 'Obliques', 'Pectineous', 'Sartorius']</t>
  </si>
  <si>
    <t>Arm slingers Hanging Straight Legs</t>
  </si>
  <si>
    <t>['Obliques', 'Pectineous', 'Quadriceps', 'Sartorius']</t>
  </si>
  <si>
    <t>Around the World Superman</t>
  </si>
  <si>
    <t>Around the World Superman Hold</t>
  </si>
  <si>
    <t>Assisted Bulgarian Split Squat</t>
  </si>
  <si>
    <t>Assisted Chest Dip (kneeling)</t>
  </si>
  <si>
    <t>Leverage machine</t>
  </si>
  <si>
    <t>['Pectoralis Major Sternal Head']</t>
  </si>
  <si>
    <t>['Deltoid Anterior', 'Latissimus Dorsi', 'Levator Scapulae', 'Pectoralis Major Clavicular Head', 'Teres Major', 'Triceps Brachii']</t>
  </si>
  <si>
    <t>Assisted Chest Dip (kneeling) (female)</t>
  </si>
  <si>
    <t>Assisted Chin Tuck</t>
  </si>
  <si>
    <t>Neck</t>
  </si>
  <si>
    <t>Assisted</t>
  </si>
  <si>
    <t>Assisted Chin Tuck (female)</t>
  </si>
  <si>
    <t>Assisted Chin-up (low bar position)</t>
  </si>
  <si>
    <t>Assisted Chin-up (squat position)</t>
  </si>
  <si>
    <t>Assisted Close grip Underhand Chin up (female)</t>
  </si>
  <si>
    <t>['Biceps Brachii', 'Brachialis', 'Brachioradialis', 'Deltoid Posterior']</t>
  </si>
  <si>
    <t>Assisted Close-grip Underhand Chin-up</t>
  </si>
  <si>
    <t>['Brachialis', 'Brachioradialis', 'Deltoid Posterior', 'Teres Major', 'Trapezius Lower Fibers', 'Trapezius Middle Fibers', 'Triceps Brachii']</t>
  </si>
  <si>
    <t>Assisted Commando Pull-up</t>
  </si>
  <si>
    <t>Back
Waist</t>
  </si>
  <si>
    <t>['Infraspinatus', 'Latissimus Dorsi', 'Obliques', 'Teres Major', 'Teres Minor', 'Trapezius Lower Fibers', 'Trapezius Middle Fibers']</t>
  </si>
  <si>
    <t>Assisted Hanging Knee Raise</t>
  </si>
  <si>
    <t>['Adductor Brevis', 'Adductor Longus', 'Iliopsoas', 'Sartorius', 'Tensor Fasciae Latae']</t>
  </si>
  <si>
    <t>Assisted Hanging Knee Raise With Throw Down</t>
  </si>
  <si>
    <t>['Adductor Brevis', 'Adductor Longus', 'Sartorius', 'Tensor Fasciae Latae']</t>
  </si>
  <si>
    <t>Assisted Inverse Leg Curl</t>
  </si>
  <si>
    <t>['Gastrocnemius']</t>
  </si>
  <si>
    <t>Assisted Lying Leg Raise With Lateral Throw Down</t>
  </si>
  <si>
    <t>Assisted Lying Leg Raise With Throw Down</t>
  </si>
  <si>
    <t>['Adductor Brevis', 'Adductor Longus', 'Obliques', 'Pectineous', 'Sartorius', 'Tensor Fasciae Latae']</t>
  </si>
  <si>
    <t>Assisted Motion Russian Twist</t>
  </si>
  <si>
    <t>Medicine Ball</t>
  </si>
  <si>
    <t>Assisted Parallel Close Grip Pull-up</t>
  </si>
  <si>
    <t>['Brachialis', 'Brachioradialis', 'Deltoid Posterior', 'Levator Scapulae', 'Teres Major', 'Teres Minor', 'Trapezius Middle Fibers', 'Trapezius Upper Fibers']</t>
  </si>
  <si>
    <t>Assisted Pistol Squat with Bed Sheet</t>
  </si>
  <si>
    <t>Assisted Prone Hamstring</t>
  </si>
  <si>
    <t>Assisted Pull up (female)</t>
  </si>
  <si>
    <t>Assisted Pull-up</t>
  </si>
  <si>
    <t>['Brachialis', 'Brachioradialis', 'Deltoid Posterior', 'Infraspinatus', 'Teres Major', 'Teres Minor', 'Trapezius Middle Fibers', 'Trapezius Upper Fibers']</t>
  </si>
  <si>
    <t>Assisted Single Leg Press</t>
  </si>
  <si>
    <t>['Deltoid Anterior', 'Pectoralis Major Clavicular Head', 'Triceps Brachii']</t>
  </si>
  <si>
    <t>Assisted Sit-Up</t>
  </si>
  <si>
    <t>Assisted Standing Chin-Up</t>
  </si>
  <si>
    <t>['Brachialis', 'Brachioradialis', 'Deltoid Posterior', 'Infraspinatus', 'Trapezius Lower Fibers', 'Trapezius Middle Fibers']</t>
  </si>
  <si>
    <t>Assisted Standing Pull-up</t>
  </si>
  <si>
    <t>['Brachialis', 'Brachioradialis', 'Deltoid Posterior', 'Infraspinatus', 'Teres Major', 'Teres Minor', 'Trapezius Lower Fibers', 'Trapezius Middle Fibers']</t>
  </si>
  <si>
    <t>Assisted Standing Triceps Dip</t>
  </si>
  <si>
    <t>['Pectoralis Major Clavicular Head', 'Serratus Anterior']</t>
  </si>
  <si>
    <t>Assisted Standing Triceps Extension (with towel)</t>
  </si>
  <si>
    <t>Assisted Triceps Dip (kneeling)</t>
  </si>
  <si>
    <t>['Latissimus Dorsi', 'Pectoralis Major Sternal Head', 'Teres Major']</t>
  </si>
  <si>
    <t>Assisted Triceps Dip (kneeling) (female)</t>
  </si>
  <si>
    <t>['Deltoid Anterior', 'Latissimus Dorsi', 'Levator Scapulae', 'Pectoralis Major Clavicular Head', 'Pectoralis Major Sternal Head']</t>
  </si>
  <si>
    <t>Assisted Weighted Push-up</t>
  </si>
  <si>
    <t>Weighted</t>
  </si>
  <si>
    <t>Assisted Wide-Grip Chest Dip (kneeling)</t>
  </si>
  <si>
    <t>Back Extension on Exercise Ball</t>
  </si>
  <si>
    <t>Stability ball</t>
  </si>
  <si>
    <t>Back Forward Leg Swings (female)</t>
  </si>
  <si>
    <t>['Gluteus Maximus', 'Iliopsoas']</t>
  </si>
  <si>
    <t>Back Forward Leg Swings (male)</t>
  </si>
  <si>
    <t>Back lever</t>
  </si>
  <si>
    <t>['Erector Spinae', 'Infraspinatus', 'Latissimus Dorsi', 'Teres Major', 'Teres Minor', 'Trapezius Lower Fibers', 'Trapezius Middle Fibers']</t>
  </si>
  <si>
    <t>['Deltoid Anterior', 'Deltoid Lateral', 'Deltoid Posterior', 'Gluteus Maximus', 'Hamstrings', 'Pectoralis Major Clavicular Head', 'Pectoralis Major Sternal Head']</t>
  </si>
  <si>
    <t>Backhand Raise (female)</t>
  </si>
  <si>
    <t>['Infraspinatus', 'Teres Minor', 'Trapezius Middle Fibers']</t>
  </si>
  <si>
    <t>['Deltoid Posterior']</t>
  </si>
  <si>
    <t>Balance Board</t>
  </si>
  <si>
    <t>['Adductor Longus', 'Adductor Magnus', 'Gastrocnemius', 'Gluteus Maximus', 'Quadriceps', 'Soleus']</t>
  </si>
  <si>
    <t>Ball Sit-up (on stability ball)</t>
  </si>
  <si>
    <t>['Iliopsoas', 'Obliques', 'Quadriceps', 'Sartorius', 'Tensor Fasciae Latae']</t>
  </si>
  <si>
    <t>Band 45 degrees Biceps Curl (male)</t>
  </si>
  <si>
    <t>Band Alternate Incline Chest Press with Twist</t>
  </si>
  <si>
    <t>['Pectoralis Major Clavicular Head']</t>
  </si>
  <si>
    <t>['Deltoid Anterior', 'Obliques', 'Pectoralis Major Sternal Head', 'Triceps Brachii']</t>
  </si>
  <si>
    <t>Band Alternate Lat Pulldown with Twist</t>
  </si>
  <si>
    <t>['Biceps Brachii', 'Brachialis', 'Brachioradialis', 'Deltoid Posterior', 'Infraspinatus', 'Obliques', 'Teres Major', 'Teres Minor', 'Trapezius Lower Fibers', 'Trapezius Middle Fibers']</t>
  </si>
  <si>
    <t>Band Alternate Low Chest Fly (male)</t>
  </si>
  <si>
    <t>['Biceps Brachii', 'Deltoid Anterior', 'Pectoralis Major Clavicular Head']</t>
  </si>
  <si>
    <t>Band Alternate Low Row wtih Twist</t>
  </si>
  <si>
    <t>Band alternating biceps curl</t>
  </si>
  <si>
    <t>Band alternating v-up</t>
  </si>
  <si>
    <t>['Iliopsoas', 'Obliques']</t>
  </si>
  <si>
    <t>['Adductor Brevis', 'Adductor Longus', 'Pectineous', 'Quadriceps', 'Rectus Abdominis', 'Sartorius']</t>
  </si>
  <si>
    <t>Band Assisted Chin-Up (female)</t>
  </si>
  <si>
    <t>Band Assisted Chin-Up (From Knee)</t>
  </si>
  <si>
    <t>Band Assisted Dip</t>
  </si>
  <si>
    <t>Band Assisted Dip (VERSION 2)</t>
  </si>
  <si>
    <t>Band Assisted Floor Glute Ham Raise</t>
  </si>
  <si>
    <t>Band Assisted Muscle-up</t>
  </si>
  <si>
    <t>Band Assisted Pull Up (VERSION 3) (female)</t>
  </si>
  <si>
    <t>Band assisted pull-up</t>
  </si>
  <si>
    <t>['Brachialis', 'Brachioradialis', 'Deltoid Posterior', 'Infraspinatus', 'Levator Scapulae', 'Teres Major', 'Teres Minor', 'Trapezius Lower Fibers', 'Trapezius Middle Fibers']</t>
  </si>
  <si>
    <t>Band Assisted Pull-Up (VERSION 3)</t>
  </si>
  <si>
    <t>Band Assisted Wheel Rollout</t>
  </si>
  <si>
    <t>['Adductor Brevis', 'Adductor Longus', 'Deltoid Posterior', 'Latissimus Dorsi', 'Pectineous', 'Pectoralis Major Sternal Head', 'Sartorius', 'Tensor Fasciae Latae', 'Teres Major']</t>
  </si>
  <si>
    <t>Band Assisted Wheel Rollout (female)</t>
  </si>
  <si>
    <t>Roll</t>
  </si>
  <si>
    <t>Band back extension</t>
  </si>
  <si>
    <t>Band Behind Neck Shoulder Press</t>
  </si>
  <si>
    <t>['Deltoid Lateral', 'Pectoralis Major Clavicular Head', 'Serratus Anterior', 'Trapezius Lower Fibers', 'Trapezius Middle Fibers', 'Triceps Brachii']</t>
  </si>
  <si>
    <t>Band Bench Press</t>
  </si>
  <si>
    <t>Band Bent Over Lat Pulldown</t>
  </si>
  <si>
    <t>['Biceps Brachii', 'Brachialis', 'Brachioradialis', 'Infraspinatus', 'Teres Major', 'Teres Minor', 'Trapezius Lower Fibers', 'Trapezius Middle Fibers']</t>
  </si>
  <si>
    <t>Band Bent Over row (male)</t>
  </si>
  <si>
    <t>['Brachialis', 'Brachioradialis', 'Deltoid Posterior']</t>
  </si>
  <si>
    <t>Band Bent Over Wide Grip Row (male)</t>
  </si>
  <si>
    <t>Band bent-over hip extension</t>
  </si>
  <si>
    <t>Band Bent-over Hip Extension (male)</t>
  </si>
  <si>
    <t>Band bent-over rear lateral raise</t>
  </si>
  <si>
    <t>['Deltoid Lateral', 'Infraspinatus', 'Teres Minor', 'Trapezius Lower Fibers', 'Trapezius Middle Fibers']</t>
  </si>
  <si>
    <t>Band bent-over rear lateral raise (male)</t>
  </si>
  <si>
    <t>['Deltoid Anterior', 'Deltoid Lateral']</t>
  </si>
  <si>
    <t>['Pectoralis Major Clavicular Head', 'Serratus Anterior', 'Trapezius Lower Fibers', 'Trapezius Middle Fibers']</t>
  </si>
  <si>
    <t>Band bent-over row</t>
  </si>
  <si>
    <t>['Brachialis', 'Brachioradialis', 'Deltoid Posterior', 'Pectoralis Major Sternal Head']</t>
  </si>
  <si>
    <t>Band Biceps Curl</t>
  </si>
  <si>
    <t>Band Biceps Curl (VERSION 2)</t>
  </si>
  <si>
    <t>Band bicycle crunch</t>
  </si>
  <si>
    <t>['Adductor Brevis', 'Pectineous', 'Rectus Abdominis', 'Sartorius']</t>
  </si>
  <si>
    <t>Band calf raise</t>
  </si>
  <si>
    <t>['Soleus']</t>
  </si>
  <si>
    <t>Band calf raise (version 2)</t>
  </si>
  <si>
    <t>Band Calf Raise (Version 3)</t>
  </si>
  <si>
    <t>Band Chest Fly (male)</t>
  </si>
  <si>
    <t>Band Close Grip Biceps Curl</t>
  </si>
  <si>
    <t>Band Close Grip Row</t>
  </si>
  <si>
    <t>Band close-grip pulldown</t>
  </si>
  <si>
    <t>['Brachialis', 'Brachioradialis', 'Deltoid Posterior', 'Levator Scapulae', 'Pectoralis Major Clavicular Head', 'Pectoralis Major Sternal Head', 'Teres Major', 'Trapezius Lower Fibers', 'Trapezius Middle Fibers']</t>
  </si>
  <si>
    <t>Band close-grip push-up</t>
  </si>
  <si>
    <t>['Deltoid Anterior', 'Pectoralis Major Clavicular Head', 'Pectoralis Major Sternal Head']</t>
  </si>
  <si>
    <t>Band concentration curl</t>
  </si>
  <si>
    <t>Band Cross Abduction</t>
  </si>
  <si>
    <t>['Gluteus Medius']</t>
  </si>
  <si>
    <t>['Tensor Fasciae Latae']</t>
  </si>
  <si>
    <t>Band Cross Body One Arm Chest Press (male)</t>
  </si>
  <si>
    <t>Band Cross Chest Biceps Curl (male)</t>
  </si>
  <si>
    <t>Band deadlift</t>
  </si>
  <si>
    <t>['Adductor Magnus', 'Quadriceps', 'Soleus']</t>
  </si>
  <si>
    <t>Band Deadlift</t>
  </si>
  <si>
    <t>['Adductor Magnus', 'Erector Spinae', 'Hamstrings', 'Quadriceps', 'Soleus']</t>
  </si>
  <si>
    <t>Band Deadlift with Single Arm Row</t>
  </si>
  <si>
    <t>Back
Hips
Thighs</t>
  </si>
  <si>
    <t>Band Decline Sit up (female)</t>
  </si>
  <si>
    <t>Band Decline Sit-up</t>
  </si>
  <si>
    <t>['Quadriceps', 'Serratus Anterior', 'Tensor Fasciae Latae']</t>
  </si>
  <si>
    <t>Band EZ Barbell Close-grip Curl</t>
  </si>
  <si>
    <t>Band face pull</t>
  </si>
  <si>
    <t>['Brachialis', 'Brachioradialis', 'Deltoid Lateral', 'Infraspinatus', 'Teres Minor', 'Trapezius Lower Fibers', 'Trapezius Middle Fibers']</t>
  </si>
  <si>
    <t>Band Face Pull (male)</t>
  </si>
  <si>
    <t>Band Fixed Back Close Grip Pulldown</t>
  </si>
  <si>
    <t>['Biceps Brachii', 'Brachialis', 'Deltoid Posterior', 'Infraspinatus', 'Levator Scapulae', 'Pectoralis Major Sternal Head', 'Teres Major', 'Teres Minor', 'Trapezius Lower Fibers', 'Trapezius Middle Fibers']</t>
  </si>
  <si>
    <t>Band Fixed Back Underhand Pulldown</t>
  </si>
  <si>
    <t>Band front lateral raise</t>
  </si>
  <si>
    <t>['Deltoid Lateral', 'Pectoralis Major Clavicular Head', 'Serratus Anterior', 'Trapezius Lower Fibers', 'Trapezius Middle Fibers']</t>
  </si>
  <si>
    <t>Band front lateral raise (female)</t>
  </si>
  <si>
    <t>Band Front Plank with Single Arm Pulldown</t>
  </si>
  <si>
    <t>Band front raise</t>
  </si>
  <si>
    <t>Band Good Morning</t>
  </si>
  <si>
    <t>Band Half Kneeling Chop</t>
  </si>
  <si>
    <t>['Infraspinatus', 'Latissimus Dorsi', 'Rectus Abdominis', 'Teres Major', 'Teres Minor', 'Trapezius Lower Fibers', 'Trapezius Middle Fibers']</t>
  </si>
  <si>
    <t>Band hammer curl</t>
  </si>
  <si>
    <t>Band high fly</t>
  </si>
  <si>
    <t>['Deltoid Anterior', 'Latissimus Dorsi', 'Levator Scapulae', 'Pectoralis Major Clavicular Head']</t>
  </si>
  <si>
    <t>Band high fly (male)</t>
  </si>
  <si>
    <t>Band hip abduction</t>
  </si>
  <si>
    <t>['Gluteus Medius', 'Tensor Fasciae Latae']</t>
  </si>
  <si>
    <t>Band Hip Abduction (male)</t>
  </si>
  <si>
    <t>Band hip adduction</t>
  </si>
  <si>
    <t>['Adductor Longus', 'Adductor Magnus']</t>
  </si>
  <si>
    <t>['Gracilis', 'Pectineous']</t>
  </si>
  <si>
    <t>Band Hip Adduction (male)</t>
  </si>
  <si>
    <t>['Adductor Brevis', 'Adductor Longus', 'Adductor Magnus', 'Pectineous']</t>
  </si>
  <si>
    <t>['Gracilis']</t>
  </si>
  <si>
    <t>Band hip extension</t>
  </si>
  <si>
    <t>Band Hip Flexion</t>
  </si>
  <si>
    <t>Band Hip Lift</t>
  </si>
  <si>
    <t>Band Horizontal Biceps Curl (male)</t>
  </si>
  <si>
    <t>Band horizontal Pallof Press</t>
  </si>
  <si>
    <t>Band horizontal Pallof Press with Resistance Band Squat</t>
  </si>
  <si>
    <t>Hips
Thighs
Waist</t>
  </si>
  <si>
    <t>Resistance Band</t>
  </si>
  <si>
    <t>['Gluteus Maximus', 'Obliques', 'Quadriceps']</t>
  </si>
  <si>
    <t>Band hyperextension</t>
  </si>
  <si>
    <t>Band Incline Bench Press</t>
  </si>
  <si>
    <t>Band jack knife sit up (female)</t>
  </si>
  <si>
    <t>Band jack knife sit-up</t>
  </si>
  <si>
    <t>['Adductor Brevis', 'Obliques', 'Pectineous', 'Tensor Fasciae Latae']</t>
  </si>
  <si>
    <t>Band kickback</t>
  </si>
  <si>
    <t>Band kneeling crunch</t>
  </si>
  <si>
    <t>Band Kneeling Crunch (male)</t>
  </si>
  <si>
    <t>Band Kneeling Crunch (VERSION 2) (female)</t>
  </si>
  <si>
    <t>Band Knelling Lat Pulldown</t>
  </si>
  <si>
    <t>['Biceps Brachii', 'Brachialis', 'Brachioradialis', 'Deltoid Posterior', 'Infraspinatus', 'Teres Major', 'Teres Minor', 'Trapezius Lower Fibers', 'Trapezius Middle Fibers']</t>
  </si>
  <si>
    <t>Band kneeling one arm pulldown</t>
  </si>
  <si>
    <t>['Deltoid Posterior', 'Levator Scapulae', 'Obliques', 'Pectoralis Major Clavicular Head', 'Pectoralis Major Sternal Head', 'Teres Major', 'Trapezius Lower Fibers', 'Trapezius Middle Fibers']</t>
  </si>
  <si>
    <t>Band Kneeling One Arm Pulldown (female)</t>
  </si>
  <si>
    <t>Band Kneeling Preacher Curl (male)</t>
  </si>
  <si>
    <t>Band kneeling pulldown</t>
  </si>
  <si>
    <t>Band kneeling rear kick</t>
  </si>
  <si>
    <t>Band Kneeling Twisting Crunch</t>
  </si>
  <si>
    <t>Band lateral raise</t>
  </si>
  <si>
    <t>['Deltoid Lateral']</t>
  </si>
  <si>
    <t>['Deltoid Anterior', 'Serratus Anterior']</t>
  </si>
  <si>
    <t>Band Lateral Raise (Version 2)</t>
  </si>
  <si>
    <t>Band Low Alternate Chest Press (male)</t>
  </si>
  <si>
    <t>Band Low Chest Fly (male)</t>
  </si>
  <si>
    <t>Band Low Chest Press (male)</t>
  </si>
  <si>
    <t>Band low fly</t>
  </si>
  <si>
    <t>Band Lunges</t>
  </si>
  <si>
    <t>['Quadriceps']</t>
  </si>
  <si>
    <t>['Adductor Magnus', 'Gluteus Maximus', 'Soleus']</t>
  </si>
  <si>
    <t>Band Lying Hip External Rotation</t>
  </si>
  <si>
    <t>['Deep Hip External Rotators']</t>
  </si>
  <si>
    <t>Band Lying Hip External Rotation (female)</t>
  </si>
  <si>
    <t>Band Lying Hip Internal Rotation</t>
  </si>
  <si>
    <t>Band Lying Hip Internal Rotation (female)</t>
  </si>
  <si>
    <t>Band lying leg and hip raise</t>
  </si>
  <si>
    <t>Band lying leg curl</t>
  </si>
  <si>
    <t>['Gastrocnemius', 'Soleus']</t>
  </si>
  <si>
    <t>Band lying leg raise</t>
  </si>
  <si>
    <t>['Adductor Brevis', 'Adductor Longus', 'Pectineous', 'Sartorius', 'Tensor Fasciae Latae']</t>
  </si>
  <si>
    <t>Band Lying Reverse Grip Pressdown</t>
  </si>
  <si>
    <t>Band Lying Straight Leg Raise</t>
  </si>
  <si>
    <t>['Adductor Brevis', 'Adductor Longus', 'Pectineous', 'Quadriceps', 'Sartorius', 'Tensor Fasciae Latae']</t>
  </si>
  <si>
    <t>Band middle fly</t>
  </si>
  <si>
    <t>['Biceps Brachii', 'Deltoid Lateral', 'Pectoralis Major Clavicular Head']</t>
  </si>
  <si>
    <t>Band Narrow Grip High Row</t>
  </si>
  <si>
    <t>['Infraspinatus', 'Latissimus Dorsi', 'Teres Major', 'Teres Minor', 'Trapezius Middle Fibers', 'Trapezius Upper Fibers']</t>
  </si>
  <si>
    <t>Band Narrow Grip High Row (VERSION 2)</t>
  </si>
  <si>
    <t>Band one arm overhead biceps cur</t>
  </si>
  <si>
    <t>Band One Arm Single Leg Split Squat</t>
  </si>
  <si>
    <t>Band one arm Standing Low Row</t>
  </si>
  <si>
    <t>Band One Arm Standing Wide Grip Low Row</t>
  </si>
  <si>
    <t>Band one arm twisting chest press</t>
  </si>
  <si>
    <t>['Deltoid Anterior', 'Obliques', 'Pectoralis Major Clavicular Head', 'Serratus Anterior', 'Triceps Brachii']</t>
  </si>
  <si>
    <t>Band One Arm Twisting Seated Row</t>
  </si>
  <si>
    <t>['Brachialis', 'Brachioradialis', 'Deltoid Posterior', 'Obliques', 'Pectoralis Major Sternal Head']</t>
  </si>
  <si>
    <t>Band One Arm Twisting Seated Row (female)</t>
  </si>
  <si>
    <t>Band Overhead Side Bend (male)</t>
  </si>
  <si>
    <t>Band Overhead Single Arm Triceps Extension</t>
  </si>
  <si>
    <t>Band Overhead Single Arm Triceps Extension (VERSION 2)</t>
  </si>
  <si>
    <t>Band overhead triceps extension</t>
  </si>
  <si>
    <t>Band overhead triceps extension (male)</t>
  </si>
  <si>
    <t>Band Overhead Triceps Extension (VERSION 2)</t>
  </si>
  <si>
    <t>Band overhead triceps extension (VERSION 2) (male)</t>
  </si>
  <si>
    <t>Band Pull Apart</t>
  </si>
  <si>
    <t>Band pull through</t>
  </si>
  <si>
    <t>['Adductor Magnus', 'Erector Spinae', 'Hamstrings']</t>
  </si>
  <si>
    <t>Band pull through (female)</t>
  </si>
  <si>
    <t>Band push sit-up</t>
  </si>
  <si>
    <t>['Obliques', 'Pectineous', 'Quadriceps', 'Sartorius', 'Tensor Fasciae Latae']</t>
  </si>
  <si>
    <t>Band push-up</t>
  </si>
  <si>
    <t>Band pushdown</t>
  </si>
  <si>
    <t>Band Pushdown</t>
  </si>
  <si>
    <t>Band rear delt row</t>
  </si>
  <si>
    <t>Band Resisted Chin-Up</t>
  </si>
  <si>
    <t>Band Reverse Crunch (male)</t>
  </si>
  <si>
    <t>['Obliques', 'Quadriceps', 'Sartorius', 'Tensor Fasciae Latae']</t>
  </si>
  <si>
    <t>Band reverse curl</t>
  </si>
  <si>
    <t>Band reverse fly</t>
  </si>
  <si>
    <t>Band reverse wrist curl</t>
  </si>
  <si>
    <t>['Wrist Extensors']</t>
  </si>
  <si>
    <t>Band Seated Hip External Rotation</t>
  </si>
  <si>
    <t>Band Seated Hip Internal Rotation</t>
  </si>
  <si>
    <t>Band Seated Leg Extension (female)</t>
  </si>
  <si>
    <t>Band Seated Leg Extension (male)</t>
  </si>
  <si>
    <t>Band seated row</t>
  </si>
  <si>
    <t>Band seated row (male)</t>
  </si>
  <si>
    <t>Band Seated Straight Back Row</t>
  </si>
  <si>
    <t>Band seated twist</t>
  </si>
  <si>
    <t>Band seated twist (female)</t>
  </si>
  <si>
    <t>Band Seated Underhand Grip Row</t>
  </si>
  <si>
    <t>Band Seated Wide Grip Row (female)</t>
  </si>
  <si>
    <t>Band shoulder press</t>
  </si>
  <si>
    <t>Band shrug</t>
  </si>
  <si>
    <t>['Levator Scapulae', 'Trapezius Middle Fibers']</t>
  </si>
  <si>
    <t>Band side bend</t>
  </si>
  <si>
    <t>Band Side Bend (male)</t>
  </si>
  <si>
    <t>Band Side Crunch</t>
  </si>
  <si>
    <t>Band Side Plank Row with Partner</t>
  </si>
  <si>
    <t>Band Side Step with Horizontal Pallof Hold</t>
  </si>
  <si>
    <t>Band side triceps extension</t>
  </si>
  <si>
    <t>Band Single Arm Shoulder Press</t>
  </si>
  <si>
    <t>['Deltoid Lateral', 'Pectoralis Major Clavicular Head', 'Serratus Anterior', 'Triceps Brachii']</t>
  </si>
  <si>
    <t>Band Single Arm Shoulder Press (female)</t>
  </si>
  <si>
    <t>Band single leg calf raise</t>
  </si>
  <si>
    <t>Band single leg reverse calf raise</t>
  </si>
  <si>
    <t>['Tibialis Anterior']</t>
  </si>
  <si>
    <t>Band single leg split squat</t>
  </si>
  <si>
    <t>Band Single stiff leg deadlift</t>
  </si>
  <si>
    <t>Band Single Stiff Leg Deadlift with Single Arm Row</t>
  </si>
  <si>
    <t>Band Skier</t>
  </si>
  <si>
    <t>Band Skull Crusher</t>
  </si>
  <si>
    <t>Band Split Squat</t>
  </si>
  <si>
    <t>Band Split Squat with Horizontal Pallof Hold</t>
  </si>
  <si>
    <t>Band squat</t>
  </si>
  <si>
    <t>Band squat row</t>
  </si>
  <si>
    <t>['Gluteus Maximus', 'Infraspinatus', 'Latissimus Dorsi', 'Teres Major', 'Teres Minor', 'Trapezius Lower Fibers', 'Trapezius Middle Fibers']</t>
  </si>
  <si>
    <t>['Adductor Magnus', 'Deltoid Posterior', 'Pectoralis Major Sternal Head', 'Quadriceps', 'Soleus']</t>
  </si>
  <si>
    <t>Band Squat Twist</t>
  </si>
  <si>
    <t>Band Squat with Horizontal Pallof Hold</t>
  </si>
  <si>
    <t>Band Squat with Single Arm Row</t>
  </si>
  <si>
    <t>Back
Thighs</t>
  </si>
  <si>
    <t>Band Standard Biceps Curl (male)</t>
  </si>
  <si>
    <t>Band Standing Alternate Chest Press (male)</t>
  </si>
  <si>
    <t>Band standing chest press</t>
  </si>
  <si>
    <t>Band Standing Chest Press (male)</t>
  </si>
  <si>
    <t>Band Standing Chest Press (VERSION 2) (male)</t>
  </si>
  <si>
    <t>Band standing crunch</t>
  </si>
  <si>
    <t>Band Standing Crunch (female)</t>
  </si>
  <si>
    <t>Band standing external shoulder rotation</t>
  </si>
  <si>
    <t>['Deltoid Posterior', 'Teres Minor']</t>
  </si>
  <si>
    <t>Band Standing Hammer Curl</t>
  </si>
  <si>
    <t>Band standing hip extension</t>
  </si>
  <si>
    <t>Band Standing Hip Extension (male)</t>
  </si>
  <si>
    <t>Band standing incline chest press</t>
  </si>
  <si>
    <t>['Deltoid Anterior', 'Serratus Anterior', 'Triceps Brachii']</t>
  </si>
  <si>
    <t>Band standing internal shoulder rotation</t>
  </si>
  <si>
    <t>['Subscapularis']</t>
  </si>
  <si>
    <t>['Deltoid Anterior', 'Latissimus Dorsi', 'Pectoralis Major Clavicular Head', 'Pectoralis Major Sternal Head']</t>
  </si>
  <si>
    <t>Band standing leg curl</t>
  </si>
  <si>
    <t>Band Standing Leg Curl (male)</t>
  </si>
  <si>
    <t>['Gastrocnemius', 'Sartorius', 'Soleus']</t>
  </si>
  <si>
    <t>Band standing leg extension</t>
  </si>
  <si>
    <t>Band Standing Leg Raise</t>
  </si>
  <si>
    <t>['Pectineous', 'Tensor Fasciae Latae']</t>
  </si>
  <si>
    <t>Band standing rear delt row</t>
  </si>
  <si>
    <t>Band standing rear delt row (female)</t>
  </si>
  <si>
    <t>['Brachialis', 'Brachioradialis', 'Deltoid Lateral', 'Trapezius Lower Fibers', 'Trapezius Middle Fibers']</t>
  </si>
  <si>
    <t>Band Standing Single Arm Row</t>
  </si>
  <si>
    <t>Band Standing Single Arm Twist Row</t>
  </si>
  <si>
    <t>Band Standing Straight Arm Pulldown</t>
  </si>
  <si>
    <t>Band standing straight leg raise</t>
  </si>
  <si>
    <t>['Pectineous', 'Quadriceps', 'Tensor Fasciae Latae']</t>
  </si>
  <si>
    <t>Band standing twisting crunch</t>
  </si>
  <si>
    <t>Band step-up</t>
  </si>
  <si>
    <t>['Adductor Magnus', 'Gastrocnemius', 'Quadriceps', 'Soleus']</t>
  </si>
  <si>
    <t>Band stiff leg deadlift</t>
  </si>
  <si>
    <t>Band straight back seated row (male)</t>
  </si>
  <si>
    <t>Band straight back stiff leg deadlift</t>
  </si>
  <si>
    <t>['Adductor Magnus', 'Hamstrings']</t>
  </si>
  <si>
    <t>Band straight leg deadlift</t>
  </si>
  <si>
    <t>['Adductor Magnus', 'Gluteus Maximus', 'Hamstrings']</t>
  </si>
  <si>
    <t>Band straight-arm pulldown</t>
  </si>
  <si>
    <t>['Deltoid Posterior', 'Levator Scapulae', 'Pectoralis Major Sternal Head', 'Teres Major']</t>
  </si>
  <si>
    <t>Band straight-back seated row</t>
  </si>
  <si>
    <t>Band straight-back standing row</t>
  </si>
  <si>
    <t>Band Thruster</t>
  </si>
  <si>
    <t>Hips
Shoulders
Thighs</t>
  </si>
  <si>
    <t>Band Thruster (female)</t>
  </si>
  <si>
    <t>Band Triceps Kickback</t>
  </si>
  <si>
    <t>Band twist</t>
  </si>
  <si>
    <t>['Adductor Brevis', 'Adductor Longus', 'Adductor Magnus', 'Gluteus Medius', 'Iliopsoas', 'Tensor Fasciae Latae']</t>
  </si>
  <si>
    <t>Band twist (-up down) (male)</t>
  </si>
  <si>
    <t>['Adductor Brevis', 'Adductor Longus', 'Adductor Magnus', 'Gluteus Medius', 'Pectineous', 'Rectus Abdominis', 'Tensor Fasciae Latae']</t>
  </si>
  <si>
    <t>Band twist (down-up)</t>
  </si>
  <si>
    <t>Band twist (male)</t>
  </si>
  <si>
    <t>['Adductor Brevis', 'Adductor Longus', 'Iliopsoas', 'Pectineous', 'Tensor Fasciae Latae']</t>
  </si>
  <si>
    <t>Band twist (up-down)</t>
  </si>
  <si>
    <t>['Adductor Brevis', 'Adductor Longus', 'Adductor Magnus', 'Gluteus Medius', 'Iliopsoas']</t>
  </si>
  <si>
    <t>Band twisting overhead press</t>
  </si>
  <si>
    <t>['Adductor Magnus', 'Deltoid Lateral', 'Obliques', 'Quadriceps', 'Serratus Anterior', 'Soleus', 'Trapezius Lower Fibers', 'Trapezius Middle Fibers', 'Triceps Brachii']</t>
  </si>
  <si>
    <t>Band Two Legs Calf Raise - (Band under both legs) VERSION 2</t>
  </si>
  <si>
    <t>Band Two Legs Calf Raise - (Band under both legs) VERSION 2 (female)</t>
  </si>
  <si>
    <t>Band underhand pulldown</t>
  </si>
  <si>
    <t>['Brachialis', 'Brachioradialis', 'Deltoid Posterior', 'Levator Scapulae', 'Pectoralis Major Sternal Head', 'Teres Major', 'Trapezius Lower Fibers', 'Trapezius Middle Fibers']</t>
  </si>
  <si>
    <t>Band Upper Body Lying Air Bike</t>
  </si>
  <si>
    <t>Band Upper Body Resistance Dead Bug</t>
  </si>
  <si>
    <t>Band Upper Crunch (male)</t>
  </si>
  <si>
    <t>Band upright row</t>
  </si>
  <si>
    <t>['Biceps Brachii', 'Brachialis', 'Brachioradialis', 'Deltoid Anterior', 'Infraspinatus', 'Serratus Anterior', 'Teres Minor', 'Trapezius Lower Fibers', 'Trapezius Middle Fibers']</t>
  </si>
  <si>
    <t>Band Upright Row (Under two feet)</t>
  </si>
  <si>
    <t>['Biceps Brachii', 'Brachialis', 'Brachioradialis', 'Deltoid Anterior', 'Serratus Anterior', 'Trapezius Lower Fibers', 'Trapezius Middle Fibers']</t>
  </si>
  <si>
    <t>Band Upright Shoulder External Rotation</t>
  </si>
  <si>
    <t>Band v-up</t>
  </si>
  <si>
    <t>Band vertical Pallof Press</t>
  </si>
  <si>
    <t>Band wrist curl</t>
  </si>
  <si>
    <t>['Wrist Flexors']</t>
  </si>
  <si>
    <t>Band Y-raise</t>
  </si>
  <si>
    <t>['Deltoid Anterior', 'Deltoid Posterior', 'Serratus Anterior']</t>
  </si>
  <si>
    <t>Banded Glute Ham Raise (VERSION 2)</t>
  </si>
  <si>
    <t>Banded Glute Ham Raise (VERSION 3)</t>
  </si>
  <si>
    <t>Banded Lower Body Dead Bug</t>
  </si>
  <si>
    <t>Bar Band Air Bike</t>
  </si>
  <si>
    <t>Stick</t>
  </si>
  <si>
    <t>['Iliopsoas', 'Obliques', 'Quadriceps', 'Rectus Abdominis']</t>
  </si>
  <si>
    <t>['Sartorius', 'Tensor Fasciae Latae']</t>
  </si>
  <si>
    <t>Bar Band Bent Over Rear Delt Fly</t>
  </si>
  <si>
    <t>['Infraspinatus', 'Teres Minor', 'Trapezius Lower Fibers', 'Trapezius Middle Fibers']</t>
  </si>
  <si>
    <t>Bar Band Bent Over Row</t>
  </si>
  <si>
    <t>Bar Band Down to Up Twist</t>
  </si>
  <si>
    <t>['Adductor Brevis', 'Adductor Longus', 'Adductor Magnus', 'Gluteus Medius', 'Pectineous', 'Tensor Fasciae Latae']</t>
  </si>
  <si>
    <t>Bar Band Kneeling Incline Press</t>
  </si>
  <si>
    <t>Bar Band Kneeling Single Leg Kick</t>
  </si>
  <si>
    <t>Bar Band Lying Alternate Leg Press</t>
  </si>
  <si>
    <t>Bar Band Overhead Triceps Extension</t>
  </si>
  <si>
    <t>Bar Band Side Bend Press</t>
  </si>
  <si>
    <t>Shoulders
Waist</t>
  </si>
  <si>
    <t>['Deltoid Anterior', 'Obliques']</t>
  </si>
  <si>
    <t>Bar Band Single Leg Reverse Hyperextension</t>
  </si>
  <si>
    <t>Bar Band Skier</t>
  </si>
  <si>
    <t>Bar Band Split Squat</t>
  </si>
  <si>
    <t>Bar Band Squat</t>
  </si>
  <si>
    <t>Bar Band Standing Behind Head Military Press</t>
  </si>
  <si>
    <t>Bar Band Standing Side Bend</t>
  </si>
  <si>
    <t>Bar Band Standing Single Arm Upright Row</t>
  </si>
  <si>
    <t>Bar Band Standing Triceps Extension</t>
  </si>
  <si>
    <t>Bar Band Swing</t>
  </si>
  <si>
    <t>['Deltoid Anterior', 'Erector Spinae', 'Gluteus Maximus']</t>
  </si>
  <si>
    <t>['Deltoid Lateral', 'Hamstrings', 'Pectoralis Major Clavicular Head', 'Serratus Anterior']</t>
  </si>
  <si>
    <t>Bar Biceps Curl</t>
  </si>
  <si>
    <t>Bar Close Grip Biceps Curl</t>
  </si>
  <si>
    <t>Barbell Alternate Biceps Curl</t>
  </si>
  <si>
    <t>Barbell Anderson Squat</t>
  </si>
  <si>
    <t>Barbell Band Assisted Deadlift</t>
  </si>
  <si>
    <t>Barbell Banded Bench Squat</t>
  </si>
  <si>
    <t>Barbell Banded Romanian Deadlift</t>
  </si>
  <si>
    <t>Barbell Banded Squat</t>
  </si>
  <si>
    <t>Barbell Banded Sumo Deadlift</t>
  </si>
  <si>
    <t>Barbell Behind The Back Deadlift</t>
  </si>
  <si>
    <t>Barbell Behind the Back Push Press</t>
  </si>
  <si>
    <t>Weightlifting</t>
  </si>
  <si>
    <t>Barbell Behind The Back Shrug</t>
  </si>
  <si>
    <t>Barbell Bench Front Squat</t>
  </si>
  <si>
    <t>Barbell Bench Front Squat (female)</t>
  </si>
  <si>
    <t>Barbell Bench Press</t>
  </si>
  <si>
    <t>Barbell Bench Press (female)</t>
  </si>
  <si>
    <t>Barbell Bench Press (knees at 90 degrees)</t>
  </si>
  <si>
    <t>Barbell Bench Press (with hanging band technique)</t>
  </si>
  <si>
    <t>Barbell Bench Press against Chains</t>
  </si>
  <si>
    <t>Barbell Bench Press with 1 board</t>
  </si>
  <si>
    <t>Barbell Bench Press with 2 board</t>
  </si>
  <si>
    <t>Barbell Bench Press with 3 board</t>
  </si>
  <si>
    <t>Barbell Bench Press with Band Suspended Kettlebell</t>
  </si>
  <si>
    <t>Barbell Bench Squat</t>
  </si>
  <si>
    <t>Barbell Bench Squat (female)</t>
  </si>
  <si>
    <t>Barbell Bench Squat (With chains)</t>
  </si>
  <si>
    <t>Barbell Bent Arm Pullover</t>
  </si>
  <si>
    <t>['Levator Scapulae', 'Pectoralis Major Sternal Head', 'Teres Major', 'Triceps Brachii']</t>
  </si>
  <si>
    <t>Barbell Bent Over Row</t>
  </si>
  <si>
    <t>Barbell Bent Over Row (female)</t>
  </si>
  <si>
    <t>Barbell Bent Over Wide Alternate Row Plus</t>
  </si>
  <si>
    <t>Barbell Bent Over Wide Grip Row</t>
  </si>
  <si>
    <t>Barbell Bent Over Wide Row Plus</t>
  </si>
  <si>
    <t>Barbell Biceps Curl (with arm blaster)</t>
  </si>
  <si>
    <t>Barbell Box Squat</t>
  </si>
  <si>
    <t>Barbell Chest Press on Stability Ball</t>
  </si>
  <si>
    <t>Barbell
Stability ball</t>
  </si>
  <si>
    <t>Barbell Clean and Jerk</t>
  </si>
  <si>
    <t>Barbell Clean and Press</t>
  </si>
  <si>
    <t>['Deltoid Anterior', 'Gluteus Maximus', 'Quadriceps']</t>
  </si>
  <si>
    <t>Barbell Clean and Press (female)</t>
  </si>
  <si>
    <t>['Adductor Magnus', 'Biceps Brachii', 'Brachialis', 'Brachioradialis', 'Deltoid Anterior', 'Deltoid Lateral', 'Gastrocnemius', 'Gluteus Maximus', 'Hamstrings', 'Pectoralis Major Clavicular Head', 'Quadriceps', 'Soleus', 'Triceps Brachii']</t>
  </si>
  <si>
    <t>Barbell Clean Deadlift</t>
  </si>
  <si>
    <t>Barbell Clean From Blocks</t>
  </si>
  <si>
    <t>Barbell Clean High Pull</t>
  </si>
  <si>
    <t>['Deltoid Lateral', 'Gluteus Maximus', 'Quadriceps']</t>
  </si>
  <si>
    <t>['Adductor Magnus', 'Biceps Brachii', 'Brachialis', 'Brachioradialis', 'Deltoid Anterior', 'Gastrocnemius', 'Hamstrings', 'Infraspinatus', 'Serratus Anterior', 'Soleus', 'Teres Minor', 'Trapezius Lower Fibers', 'Trapezius Middle Fibers']</t>
  </si>
  <si>
    <t>Barbell Clean Pull</t>
  </si>
  <si>
    <t>Barbell Clean-grip Front Squat</t>
  </si>
  <si>
    <t>Barbell Close Grip Bench Press (female)</t>
  </si>
  <si>
    <t>['Deltoid Anterior', 'Pectoralis Major Clavicular Head', 'Pectoralis Major Sternal Head', 'Triceps Brachii']</t>
  </si>
  <si>
    <t>Barbell Close-Grip Bench Press</t>
  </si>
  <si>
    <t>Barbell Complex - Stiff Leg Deadlift - Clean - Step</t>
  </si>
  <si>
    <t>Barbell Curl (female)</t>
  </si>
  <si>
    <t>Barbell Curl Press Extension (male)</t>
  </si>
  <si>
    <t>Barbell Curtsey Lunge</t>
  </si>
  <si>
    <t>['Adductor Brevis', 'Adductor Longus', 'Adductor Magnus', 'Gastrocnemius', 'Gracilis', 'Hamstrings', 'Pectineous', 'Sartorius', 'Soleus']</t>
  </si>
  <si>
    <t>Barbell Deadlift</t>
  </si>
  <si>
    <t>Barbell Deadlift (female)</t>
  </si>
  <si>
    <t>Barbell Deadlift against Chains</t>
  </si>
  <si>
    <t>Barbell Deadlift from Deficit</t>
  </si>
  <si>
    <t>Barbell Deadstop Row with Rack (male)</t>
  </si>
  <si>
    <t>Barbell Decline Bench Lunge</t>
  </si>
  <si>
    <t>Barbell Decline Bench Press</t>
  </si>
  <si>
    <t>Barbell Decline Bench Press (female)</t>
  </si>
  <si>
    <t>Barbell Decline Bent Arm Pullover</t>
  </si>
  <si>
    <t>['Levator Scapulae', 'Pectoralis Major Sternal Head', 'Triceps Brachii']</t>
  </si>
  <si>
    <t>Barbell Decline Close Grip To Skull Press</t>
  </si>
  <si>
    <t>Barbell Decline Close Grip To Skull Press (female)</t>
  </si>
  <si>
    <t>Illustration</t>
  </si>
  <si>
    <t>['Deltoid Posterior', 'Latissimus Dorsi', 'Levator Scapulae', 'Pectoralis Major Clavicular Head', 'Teres Major']</t>
  </si>
  <si>
    <t>Barbell Decline Wide-grip Press</t>
  </si>
  <si>
    <t>Barbell Decline wide-grip pullover</t>
  </si>
  <si>
    <t>['Deltoid Posterior', 'Levator Scapulae', 'Pectoralis Major Sternal Head', 'Teres Major', 'Triceps Brachii']</t>
  </si>
  <si>
    <t>Barbell Drag Curl (female)</t>
  </si>
  <si>
    <t>Shoulders
Upper Arms</t>
  </si>
  <si>
    <t>Barbell Elevated Heel Squat</t>
  </si>
  <si>
    <t>Barbell Elevated Split Squat (female)</t>
  </si>
  <si>
    <t>Barbell Floor Calf Raise</t>
  </si>
  <si>
    <t>Barbell Front Bench Squat</t>
  </si>
  <si>
    <t>Barbell Front Chest Squat</t>
  </si>
  <si>
    <t>Barbell Front Chest Squat with Resistance Band</t>
  </si>
  <si>
    <t>Barbell Front Rack Lunge</t>
  </si>
  <si>
    <t>Barbell Front Rack Rear Lunge</t>
  </si>
  <si>
    <t>Barbell Front Rack Split Squat</t>
  </si>
  <si>
    <t>Barbell Front Raise (female)</t>
  </si>
  <si>
    <t>Barbell Front Raise and Pullover</t>
  </si>
  <si>
    <t>['Deltoid Anterior', 'Deltoid Lateral', 'Latissimus Dorsi', 'Serratus Anterior', 'Teres Major', 'Triceps Brachii']</t>
  </si>
  <si>
    <t>Barbell Front Squat</t>
  </si>
  <si>
    <t>Barbell Front Squat (female)</t>
  </si>
  <si>
    <t>Barbell Front Squat (from blocks)</t>
  </si>
  <si>
    <t>Barbell Front Step Up</t>
  </si>
  <si>
    <t>Barbell Full Clean</t>
  </si>
  <si>
    <t>Barbell Full Squat</t>
  </si>
  <si>
    <t>Barbell Full Squat (Back POV)</t>
  </si>
  <si>
    <t>Barbell Full Squat (Side POV)</t>
  </si>
  <si>
    <t>Barbell Full squat (with rack)</t>
  </si>
  <si>
    <t>Barbell full Zercher Squat</t>
  </si>
  <si>
    <t>Barbell Glute Bridge (hands on bar)</t>
  </si>
  <si>
    <t>Barbell Glute Bridge (hands on bar) (female)</t>
  </si>
  <si>
    <t>['Hamstrings', 'Quadriceps']</t>
  </si>
  <si>
    <t>Barbell Glute Bridge Two Legs on Bench (male)</t>
  </si>
  <si>
    <t>Barbell Good Morning</t>
  </si>
  <si>
    <t>['Adductor Magnus', 'Gluteus Maximus']</t>
  </si>
  <si>
    <t>Barbell Good Morning (female)</t>
  </si>
  <si>
    <t>Barbell Guillotine Bench Press</t>
  </si>
  <si>
    <t>Barbell Hack Squat (female)</t>
  </si>
  <si>
    <t>Barbell Hang Clean</t>
  </si>
  <si>
    <t>Barbell Hang Clean Below the Knees</t>
  </si>
  <si>
    <t>Barbell Hang Clean Below the Knees (VERSION 2)</t>
  </si>
  <si>
    <t>Barbell Hang Power Clean</t>
  </si>
  <si>
    <t>Barbell Hang Snatch</t>
  </si>
  <si>
    <t>['Adductor Magnus', 'Biceps Brachii', 'Brachialis', 'Brachioradialis', 'Deltoid Anterior', 'Deltoid Lateral', 'Gastrocnemius', 'Gluteus Maximus', 'Hamstrings', 'Pectoralis Major Clavicular Head', 'Quadriceps', 'Serratus Anterior', 'Soleus']</t>
  </si>
  <si>
    <t>Barbell Hang Snatch Below the Knees</t>
  </si>
  <si>
    <t>Barbell Heaving Snatch Balance</t>
  </si>
  <si>
    <t>Barbell High Bar Squat</t>
  </si>
  <si>
    <t>Barbell Hip Thrust</t>
  </si>
  <si>
    <t>Barbell Hip Thrust (female)</t>
  </si>
  <si>
    <t>Barbell Hip Thrust with Resistance Band</t>
  </si>
  <si>
    <t>Barbell Incline Bench Press</t>
  </si>
  <si>
    <t>Barbell Incline Bench Press (female)</t>
  </si>
  <si>
    <t>Barbell Incline Close Grip Bench Press</t>
  </si>
  <si>
    <t>Barbell Incline Close Grip Bench Press (female)</t>
  </si>
  <si>
    <t>Barbell Incline Lying Rear Delt Raise</t>
  </si>
  <si>
    <t>['Brachialis', 'Brachioradialis', 'Deltoid Lateral', 'Deltoid Posterior', 'Pectoralis Major Clavicular Head']</t>
  </si>
  <si>
    <t>Barbell Incline Rear Delt Row</t>
  </si>
  <si>
    <t>Barbell Incline Reverse grip Spider Curl with Chest Support</t>
  </si>
  <si>
    <t>Barbell Incline Reverse-grip Press</t>
  </si>
  <si>
    <t>['Deltoid Anterior', 'Pectoralis Major Clavicular Head']</t>
  </si>
  <si>
    <t>Barbell Incline Row (female)</t>
  </si>
  <si>
    <t>Barbell Incline Shoulder Raise</t>
  </si>
  <si>
    <t>['Serratus Anterior']</t>
  </si>
  <si>
    <t>Barbell Incline Triceps Extension Skull Crusher</t>
  </si>
  <si>
    <t>Barbell Incline Wide Reverse-grip Bench Press</t>
  </si>
  <si>
    <t>['Biceps Brachii', 'Brachialis', 'Brachioradialis', 'Deltoid Anterior', 'Pectoralis Major Sternal Head', 'Serratus Anterior', 'Triceps Brachii']</t>
  </si>
  <si>
    <t>Barbell Incline Wrist Curl with Chest Support</t>
  </si>
  <si>
    <t>Barbell Jefferson Deadlift</t>
  </si>
  <si>
    <t>['Adductor Brevis', 'Adductor Longus', 'Adductor Magnus', 'Erector Spinae', 'Gluteus Maximus', 'Gluteus Medius', 'Pectineous', 'Quadriceps']</t>
  </si>
  <si>
    <t>['Gastrocnemius', 'Hamstrings', 'Iliopsoas', 'Obliques', 'Soleus']</t>
  </si>
  <si>
    <t>Barbell Jefferson Squat</t>
  </si>
  <si>
    <t>Barbell Jerk Dip Squat</t>
  </si>
  <si>
    <t>Barbell JM Bench Press</t>
  </si>
  <si>
    <t>['Deltoid Anterior', 'Pectoralis Major Sternal Head']</t>
  </si>
  <si>
    <t>Barbell JM Bench Press (female)</t>
  </si>
  <si>
    <t>Barbell KAS Glute Bridge (female)</t>
  </si>
  <si>
    <t>Barbell Knee Raise Step-Up</t>
  </si>
  <si>
    <t>Barbell Lateral Lunge</t>
  </si>
  <si>
    <t>Barbell Lateral Lunge (female)</t>
  </si>
  <si>
    <t>['Adductor Magnus', 'Gluteus Medius', 'Soleus', 'Tensor Fasciae Latae']</t>
  </si>
  <si>
    <t>Barbell Leg Twist Press</t>
  </si>
  <si>
    <t>Barbell Low Bar Squat</t>
  </si>
  <si>
    <t>Barbell Low Bar Squat with Rack</t>
  </si>
  <si>
    <t>Barbell Lunge</t>
  </si>
  <si>
    <t>Barbell Lunge (female)</t>
  </si>
  <si>
    <t>Barbell Lying Close grip Triceps Extension (female)</t>
  </si>
  <si>
    <t>Barbell Lying Close-Grip Overhand Row on Rack</t>
  </si>
  <si>
    <t>Barbell Lying Close-grip Press</t>
  </si>
  <si>
    <t>Barbell Lying Close-grip Triceps Extension</t>
  </si>
  <si>
    <t>Barbell Lying Close-Grip Underhand Row on Rack</t>
  </si>
  <si>
    <t>Barbell Lying extension</t>
  </si>
  <si>
    <t>Barbell Lying Lifting (on hip)</t>
  </si>
  <si>
    <t>Barbell Lying Preacher Curl</t>
  </si>
  <si>
    <t>Barbell Lying Row on Rack</t>
  </si>
  <si>
    <t>Barbell Lying Triceps Extension</t>
  </si>
  <si>
    <t>Barbell Lying Triceps Extension (female)</t>
  </si>
  <si>
    <t>Barbell Lying Triceps Extension Skull Crusher</t>
  </si>
  <si>
    <t>Barbell Military Press (with hanging band technique)</t>
  </si>
  <si>
    <t>Barbell Muscle Snatch</t>
  </si>
  <si>
    <t>Barbell Narrow Row</t>
  </si>
  <si>
    <t>Barbell Narrow Stance Squat</t>
  </si>
  <si>
    <t>Barbell Narrow Stance Squat (female)</t>
  </si>
  <si>
    <t>Barbell Narrow Stance Squat (male)</t>
  </si>
  <si>
    <t>Barbell Olympic Squat</t>
  </si>
  <si>
    <t>Barbell One Arm Bent over Row</t>
  </si>
  <si>
    <t>Barbell One Arm Floor Press</t>
  </si>
  <si>
    <t>Barbell One Arm Side Deadlift</t>
  </si>
  <si>
    <t>Barbell One Arm Snatch</t>
  </si>
  <si>
    <t>Barbell one leg hip thrust</t>
  </si>
  <si>
    <t>Barbell One Leg Squat</t>
  </si>
  <si>
    <t>Barbell Overhead Carry</t>
  </si>
  <si>
    <t>Barbell Overhead Lunge</t>
  </si>
  <si>
    <t>Barbell Overhead Shrug</t>
  </si>
  <si>
    <t>Barbell Overhead Squat</t>
  </si>
  <si>
    <t>Barbell Palms Down Wrist Curl Over A Bench</t>
  </si>
  <si>
    <t>Barbell Palms Down Wrist Curl Over A Bench (female)</t>
  </si>
  <si>
    <t>Barbell Palms Up Wrist Curl Over A Bench</t>
  </si>
  <si>
    <t>Barbell Palms Up Wrist Curl Over A Bench (female)</t>
  </si>
  <si>
    <t>Barbell Pause Bench Press</t>
  </si>
  <si>
    <t>Barbell Pause Deadlift</t>
  </si>
  <si>
    <t>Barbell Pause Decline Bench Press</t>
  </si>
  <si>
    <t>Barbell Pause Incline Bench Press</t>
  </si>
  <si>
    <t>Barbell Paused Sumo Deadlift</t>
  </si>
  <si>
    <t>Barbell Pendlay Row</t>
  </si>
  <si>
    <t>Barbell Pin Chest Press</t>
  </si>
  <si>
    <t>Barbell Pin Close Grip Bench Press</t>
  </si>
  <si>
    <t>Barbell Pin Front Squat</t>
  </si>
  <si>
    <t>Barbell Pin Good Morning</t>
  </si>
  <si>
    <t>Barbell Pin Presses</t>
  </si>
  <si>
    <t>Barbell Pin Squat</t>
  </si>
  <si>
    <t>Barbell Power Clean from Blocks</t>
  </si>
  <si>
    <t>['Adductor Magnus', 'Biceps Brachii', 'Brachialis', 'Brachioradialis', 'Deltoid Anterior', 'Deltoid Lateral', 'Gastrocnemius', 'Hamstrings', 'Pectoralis Major Clavicular Head', 'Quadriceps', 'Serratus Anterior', 'Soleus']</t>
  </si>
  <si>
    <t>Barbell Power Jerk</t>
  </si>
  <si>
    <t>['Adductor Magnus', 'Deltoid Anterior', 'Deltoid Lateral', 'Gastrocnemius', 'Gluteus Maximus', 'Hamstrings', 'Pectoralis Major Clavicular Head', 'Quadriceps', 'Soleus', 'Triceps Brachii']</t>
  </si>
  <si>
    <t>Barbell Power Jerk (female)</t>
  </si>
  <si>
    <t>Barbell Power Shrug</t>
  </si>
  <si>
    <t>Barbell Power Snatch</t>
  </si>
  <si>
    <t>Barbell Power Snatch From Blocks</t>
  </si>
  <si>
    <t>['Adductor Magnus', 'Biceps Brachii', 'Brachialis', 'Brachioradialis', 'Deltoid Anterior', 'Deltoid Lateral', 'Gluteus Maximus', 'Hamstrings', 'Pectoralis Major Clavicular Head', 'Quadriceps', 'Serratus Anterior']</t>
  </si>
  <si>
    <t>Barbell Preacher Curl</t>
  </si>
  <si>
    <t>Barbell Preacher Curl (female)</t>
  </si>
  <si>
    <t>Barbell Press Sit-Up</t>
  </si>
  <si>
    <t>['Deltoid Anterior', 'Iliopsoas', 'Pectoralis Major Clavicular Head', 'Rectus Abdominis']</t>
  </si>
  <si>
    <t>['Deltoid Lateral', 'Obliques', 'Pectineous', 'Quadriceps', 'Sartorius', 'Tensor Fasciae Latae', 'Triceps Brachii']</t>
  </si>
  <si>
    <t>Barbell Prone Incline Curl</t>
  </si>
  <si>
    <t>Barbell Prone Incline Curl (female)</t>
  </si>
  <si>
    <t>Barbell Pullover</t>
  </si>
  <si>
    <t>['Pectoralis Major Clavicular Head', 'Pectoralis Major Sternal Head', 'Teres Major', 'Triceps Brachii']</t>
  </si>
  <si>
    <t>Barbell Pullover To Press</t>
  </si>
  <si>
    <t>['Brachialis', 'Brachioradialis', 'Deltoid Posterior', 'Pectoralis Major Sternal Head', 'Trapezius Middle Fibers', 'Trapezius Upper Fibers']</t>
  </si>
  <si>
    <t>Barbell Quarter Squat</t>
  </si>
  <si>
    <t>Barbell Rack Pull</t>
  </si>
  <si>
    <t>['Adductor Magnus', 'Hamstrings', 'Quadriceps', 'Soleus']</t>
  </si>
  <si>
    <t>Barbell Rear Delt Raise</t>
  </si>
  <si>
    <t>['Biceps Brachii', 'Brachialis', 'Brachioradialis', 'Deltoid Lateral', 'Levator Scapulae', 'Trapezius Upper Fibers', 'Wrist Flexors']</t>
  </si>
  <si>
    <t>Barbell Rear Delt Raise (female)_shoulder</t>
  </si>
  <si>
    <t>Barbell Rear Delt Row</t>
  </si>
  <si>
    <t>['Brachialis', 'Infraspinatus', 'Teres Major', 'Teres Minor', 'Trapezius Lower Fibers', 'Trapezius Middle Fibers']</t>
  </si>
  <si>
    <t>Barbell Rear Lunge (female)</t>
  </si>
  <si>
    <t>Barbell Rear Lunge (version 2)</t>
  </si>
  <si>
    <t>Barbell Reeves Deadlift (male)</t>
  </si>
  <si>
    <t>Barbell Resistance Band Hip Thrust</t>
  </si>
  <si>
    <t>Barbell Revers Wrist Curl (version 2)</t>
  </si>
  <si>
    <t>Barbell Revers Wrist Curl (VERSION 2) (female)</t>
  </si>
  <si>
    <t>Barbell Reverse Band Bench Press</t>
  </si>
  <si>
    <t>Barbell Reverse Close-grip Bench Press</t>
  </si>
  <si>
    <t>Barbell Reverse Curl</t>
  </si>
  <si>
    <t>Barbell Reverse Curl (female)</t>
  </si>
  <si>
    <t>Barbell Reverse Grip Bench Press</t>
  </si>
  <si>
    <t>Barbell Underhand Bent over Row</t>
  </si>
  <si>
    <t>Barbell Reverse Grip Bent Over Row (female)</t>
  </si>
  <si>
    <t>Barbell Reverse Grip Incline Bench Row</t>
  </si>
  <si>
    <t>Barbell Reverse Grip Incline Row (female)</t>
  </si>
  <si>
    <t>Barbell Reverse Grip Skullcrusher</t>
  </si>
  <si>
    <t>Barbell Reverse Preacher Curl</t>
  </si>
  <si>
    <t>Barbell Reverse Preacher Curl (female)_Forearm</t>
  </si>
  <si>
    <t>Barbell Reverse Wrist Curl (female)</t>
  </si>
  <si>
    <t>Barbell Reverse-Grip Floor Press</t>
  </si>
  <si>
    <t>Barbell Rollout</t>
  </si>
  <si>
    <t>['Adductor Brevis', 'Adductor Longus', 'Deltoid Posterior', 'Pectineous', 'Pectoralis Major Sternal Head', 'Sartorius', 'Tensor Fasciae Latae', 'Teres Major']</t>
  </si>
  <si>
    <t>Barbell Rollout (female)</t>
  </si>
  <si>
    <t>Barbell Rollout from Bench</t>
  </si>
  <si>
    <t>['Deltoid Posterior', 'Latissimus Dorsi', 'Pectoralis Major Sternal Head', 'Tensor Fasciae Latae', 'Teres Major']</t>
  </si>
  <si>
    <t>Barbell Romanian Deadlift</t>
  </si>
  <si>
    <t>Barbell Romanian Deadlift (female)</t>
  </si>
  <si>
    <t>Barbell Romanian Deadlift From Deficit</t>
  </si>
  <si>
    <t>Barbell Seated Behind Head Military Press</t>
  </si>
  <si>
    <t>Barbell Seated Behind Head Military Press (female)</t>
  </si>
  <si>
    <t>Barbell Seated Bradford Rocky Press</t>
  </si>
  <si>
    <t>Barbell Seated Calf Raise</t>
  </si>
  <si>
    <t>Barbell Seated Calf Raise (female)</t>
  </si>
  <si>
    <t>Barbell Seated Close grip Behind Neck Triceps Extension</t>
  </si>
  <si>
    <t>Barbell Seated Close-grip Concentration Curl</t>
  </si>
  <si>
    <t>Barbell Seated Front Raise</t>
  </si>
  <si>
    <t>Barbell Seated Good morning</t>
  </si>
  <si>
    <t>Barbell Seated Good morning (female)</t>
  </si>
  <si>
    <t>Barbell Seated High Front Raise</t>
  </si>
  <si>
    <t>Barbell Seated Military Press (inside squat cage)</t>
  </si>
  <si>
    <t>Barbell Seated Overhead Press</t>
  </si>
  <si>
    <t>Barbell Seated Overhead Press (female)</t>
  </si>
  <si>
    <t>Barbell Seated Overhead Triceps Extension</t>
  </si>
  <si>
    <t>Barbell Seated Overhead Triceps Extension (female)</t>
  </si>
  <si>
    <t>Barbell Seated Shrug</t>
  </si>
  <si>
    <t>Barbell Seated Twist</t>
  </si>
  <si>
    <t>Barbell Seated Twist (on stability ball)</t>
  </si>
  <si>
    <t>Barbell Shoulder Grip Upright Row (female)</t>
  </si>
  <si>
    <t>Barbell Shoulder Grip Upright Row (male)</t>
  </si>
  <si>
    <t>Barbell Shrug</t>
  </si>
  <si>
    <t>Barbell Shrug (female)</t>
  </si>
  <si>
    <t>Barbell Side Bent (version 2)</t>
  </si>
  <si>
    <t>Barbell Side Split Squat</t>
  </si>
  <si>
    <t>['Adductor Longus', 'Adductor Magnus', 'Soleus']</t>
  </si>
  <si>
    <t>Barbell Side Split Squat (version 2)</t>
  </si>
  <si>
    <t>Barbell Single Leg Deadlift</t>
  </si>
  <si>
    <t>Barbell Single Leg Deadlift (female)</t>
  </si>
  <si>
    <t>Barbell Single Leg Good Morning</t>
  </si>
  <si>
    <t>Barbell Single Leg Split Squat</t>
  </si>
  <si>
    <t>Barbell Single Leg Split Squat (female)</t>
  </si>
  <si>
    <t>Barbell Single Leg Squat</t>
  </si>
  <si>
    <t>Barbell Sitted Alternate Leg Raise</t>
  </si>
  <si>
    <t>Barbell Sitted Alternate Leg Raise (female)</t>
  </si>
  <si>
    <t>Barbell Sitting on Floor Oblique Twist</t>
  </si>
  <si>
    <t>Barbell Skier</t>
  </si>
  <si>
    <t>['Deltoid Lateral', 'Teres Major']</t>
  </si>
  <si>
    <t>Barbell Skier (female)</t>
  </si>
  <si>
    <t>Barbell Snatch</t>
  </si>
  <si>
    <t>['Adductor Magnus', 'Biceps Brachii', 'Brachialis', 'Brachioradialis', 'Deltoid Anterior', 'Deltoid Lateral', 'Gluteus Maximus', 'Hamstrings', 'Pectoralis Major Clavicular Head', 'Quadriceps', 'Soleus', 'Triceps Brachii']</t>
  </si>
  <si>
    <t>Barbell Snatch Balance</t>
  </si>
  <si>
    <t>['Adductor Magnus', 'Deltoid Anterior', 'Deltoid Lateral', 'Gluteus Maximus', 'Hamstrings', 'Quadriceps', 'Serratus Anterior', 'Triceps Brachii']</t>
  </si>
  <si>
    <t>Barbell Snatch Deadlift</t>
  </si>
  <si>
    <t>['Adductor Magnus', 'Gastrocnemius', 'Gluteus Maximus', 'Hamstrings', 'Quadriceps', 'Soleus']</t>
  </si>
  <si>
    <t>Barbell Snatch from Blocks</t>
  </si>
  <si>
    <t>['Adductor Magnus', 'Biceps Brachii', 'Brachialis', 'Brachioradialis', 'Deltoid Anterior', 'Deltoid Lateral', 'Gluteus Maximus', 'Hamstrings', 'Quadriceps', 'Serratus Anterior', 'Triceps Brachii']</t>
  </si>
  <si>
    <t>Barbell Speed Squat</t>
  </si>
  <si>
    <t>Barbell Spider Curl</t>
  </si>
  <si>
    <t>Barbell Split Clean</t>
  </si>
  <si>
    <t>['Biceps Brachii', 'Brachialis', 'Brachioradialis', 'Deltoid Anterior', 'Deltoid Lateral', 'Gastrocnemius', 'Gluteus Maximus', 'Hamstrings', 'Pectoralis Major Clavicular Head', 'Quadriceps', 'Serratus Anterior', 'Soleus']</t>
  </si>
  <si>
    <t>Barbell Split Jerk</t>
  </si>
  <si>
    <t>['Adductor Magnus', 'Deltoid Anterior', 'Deltoid Lateral', 'Gastrocnemius', 'Gluteus Maximus', 'Hamstrings', 'Pectoralis Major Clavicular Head', 'Quadriceps', 'Serratus Anterior', 'Soleus', 'Triceps Brachii']</t>
  </si>
  <si>
    <t>Barbell Split Squat</t>
  </si>
  <si>
    <t>Barbell Split Squat (female)</t>
  </si>
  <si>
    <t>Barbell Split Squat (VERSION 2)</t>
  </si>
  <si>
    <t>Barbell Split Squat (VERSION 2) (female)</t>
  </si>
  <si>
    <t>Barbell Squat (female)</t>
  </si>
  <si>
    <t>Barbell Squat (on knees)</t>
  </si>
  <si>
    <t>Barbell Squat (with hanging band technique)</t>
  </si>
  <si>
    <t>Barbell Squat - Hips (WRONG-RIGHT)</t>
  </si>
  <si>
    <t>Barbell Squat - Knees - End position (WRONG-RIGHT)</t>
  </si>
  <si>
    <t>Squat - Knees - Middle position (WRONG-RIGHT)</t>
  </si>
  <si>
    <t>Barbell Squat 2 sec Hold</t>
  </si>
  <si>
    <t>Barbell Squat to Shoulder Press</t>
  </si>
  <si>
    <t>Barbell Squat to Upright Row</t>
  </si>
  <si>
    <t>Barbell Squat with Chains</t>
  </si>
  <si>
    <t>Barbell Srtict Curl</t>
  </si>
  <si>
    <t>Barbell Staggered Stance Hip Thrust</t>
  </si>
  <si>
    <t>Barbell Standing AB rollout</t>
  </si>
  <si>
    <t>['Deltoid Posterior', 'Levator Scapulae', 'Teres Major']</t>
  </si>
  <si>
    <t>Barbell Standing ab rollout (female)</t>
  </si>
  <si>
    <t>Barbell Standing Back Wrist Curl</t>
  </si>
  <si>
    <t>Barbell Standing Back Wrist Curl (female)</t>
  </si>
  <si>
    <t>Barbell Standing Bradford Press</t>
  </si>
  <si>
    <t>Barbell Standing Calf Raise</t>
  </si>
  <si>
    <t>Barbell Standing Calf Raise (female)</t>
  </si>
  <si>
    <t>Barbell Standing Close Grip Curl</t>
  </si>
  <si>
    <t>Barbell Standing Close Grip Curl (female)</t>
  </si>
  <si>
    <t>Barbell Standing Close Grip Military Press</t>
  </si>
  <si>
    <t>Barbell Standing Close Grip Military Press (female)</t>
  </si>
  <si>
    <t>Barbell Standing Concentration Curl</t>
  </si>
  <si>
    <t>Barbell Standing Front Raise Over Head</t>
  </si>
  <si>
    <t>Barbell Standing Front Raise Over Head (female)</t>
  </si>
  <si>
    <t>Barbell Standing Leg Calf Raise</t>
  </si>
  <si>
    <t>Barbell Standing Military Press</t>
  </si>
  <si>
    <t>Barbell Standing Military Press (without rack)</t>
  </si>
  <si>
    <t>Barbell Standing Overhead Triceps Extension</t>
  </si>
  <si>
    <t>Barbell Standing Overhead Triceps Extension (female)</t>
  </si>
  <si>
    <t>Barbell Standing Reverse Grip Curl</t>
  </si>
  <si>
    <t>Barbell Standing Rocking Leg Calf Raise</t>
  </si>
  <si>
    <t>['Gastrocnemius', 'Tibialis Anterior']</t>
  </si>
  <si>
    <t>Barbell Standing Shoulder Pin Press</t>
  </si>
  <si>
    <t>Barbell Standing Shoulders Press</t>
  </si>
  <si>
    <t>Barbell Standing Snatch Grip Shrug</t>
  </si>
  <si>
    <t>Barbell Standing Twist</t>
  </si>
  <si>
    <t>Barbell Standing Twist (female)</t>
  </si>
  <si>
    <t>Barbell Standing Wide Grip Biceps Curl</t>
  </si>
  <si>
    <t>Barbell Standing Wide Military Press</t>
  </si>
  <si>
    <t>Barbell Standing Wide Military Press (female)</t>
  </si>
  <si>
    <t>Barbell Standing Wide-grip Curl</t>
  </si>
  <si>
    <t>Barbell Step up (female)</t>
  </si>
  <si>
    <t>Barbell Step-up</t>
  </si>
  <si>
    <t>Barbell Stiff Leg Deadlift on Bench</t>
  </si>
  <si>
    <t>Barbell Stiff Leg Good Morning</t>
  </si>
  <si>
    <t>['Erector Spinae', 'Gluteus Maximus', 'Hamstrings']</t>
  </si>
  <si>
    <t>['Adductor Magnus']</t>
  </si>
  <si>
    <t>Barbell Stiff Legged Deadlift</t>
  </si>
  <si>
    <t>Barbell Straight Leg Deadlift</t>
  </si>
  <si>
    <t>Barbell Straight Leg Deadlift (female)</t>
  </si>
  <si>
    <t>Barbell Suitcase Carry</t>
  </si>
  <si>
    <t>Barbell Sumo Deadlift</t>
  </si>
  <si>
    <t>['Adductor Magnus', 'Soleus', 'Tensor Fasciae Latae']</t>
  </si>
  <si>
    <t>Barbell Sumo Deadlift (female)</t>
  </si>
  <si>
    <t>Barbell Sumo Deadlift from Blocks (male)</t>
  </si>
  <si>
    <t>Barbell Sumo Deadlift from Deficit</t>
  </si>
  <si>
    <t>Barbell Sumo Romanian Deadlift</t>
  </si>
  <si>
    <t>Barbell sumo squat</t>
  </si>
  <si>
    <t>['Adductor Brevis', 'Adductor Longus', 'Adductor Magnus', 'Gastrocnemius', 'Gracilis', 'Soleus']</t>
  </si>
  <si>
    <t>Barbell Thruster</t>
  </si>
  <si>
    <t>Shoulders
Thighs</t>
  </si>
  <si>
    <t>['Adductor Magnus', 'Deltoid Lateral', 'Pectoralis Major Clavicular Head', 'Serratus Anterior', 'Soleus', 'Triceps Brachii']</t>
  </si>
  <si>
    <t>Barbell Upright Row (female)</t>
  </si>
  <si>
    <t>Barbell Upright Row (version 2)</t>
  </si>
  <si>
    <t>['Deltoid Anterior', 'Infraspinatus', 'Teres Minor', 'Trapezius Lower Fibers', 'Trapezius Middle Fibers']</t>
  </si>
  <si>
    <t>Barbell Upright Row (version 3)</t>
  </si>
  <si>
    <t>Barbell Weighted Bench Press</t>
  </si>
  <si>
    <t>Barbell Weighted Chains Sumo Deadlift</t>
  </si>
  <si>
    <t>Barbell Weighted Deadlift</t>
  </si>
  <si>
    <t>Barbell Weighted Front Chest Squat</t>
  </si>
  <si>
    <t>Barbell Weightlifting Complex</t>
  </si>
  <si>
    <t>['Adductor Magnus', 'Deltoid Lateral', 'Gastrocnemius', 'Hamstrings', 'Pectoralis Major Clavicular Head', 'Serratus Anterior', 'Soleus', 'Triceps Brachii']</t>
  </si>
  <si>
    <t>Barbell Wide Bench Press</t>
  </si>
  <si>
    <t>Barbell Wide Grip Upright Row (female)</t>
  </si>
  <si>
    <t>['Brachialis', 'Brachioradialis', 'Deltoid Anterior', 'Serratus Anterior', 'Trapezius Lower Fibers', 'Trapezius Middle Fibers']</t>
  </si>
  <si>
    <t>Barbell Wide Pullover</t>
  </si>
  <si>
    <t>Barbell Wide Shrug</t>
  </si>
  <si>
    <t>Barbell Wide Squat</t>
  </si>
  <si>
    <t>Barbell Wide Squat (female)</t>
  </si>
  <si>
    <t>Barbell Wide Stance Stiff Leg Deadlift</t>
  </si>
  <si>
    <t>Barbell Wide-grip Drag Curl</t>
  </si>
  <si>
    <t>Barbell Wide-grip Upright Row</t>
  </si>
  <si>
    <t>['Brachialis', 'Brachioradialis', 'Deltoid Anterior', 'Infraspinatus', 'Serratus Anterior', 'Teres Minor', 'Trapezius Lower Fibers', 'Trapezius Middle Fibers']</t>
  </si>
  <si>
    <t>Barbell Wrist Curl</t>
  </si>
  <si>
    <t>Barbell Wrist Curl (female)</t>
  </si>
  <si>
    <t>Barbell Wrist Curl (version 2)</t>
  </si>
  <si>
    <t>Barbell Z Press</t>
  </si>
  <si>
    <t>Barbell Zercher Carry</t>
  </si>
  <si>
    <t>Barbell Zercher Deadlift</t>
  </si>
  <si>
    <t>Barbell Zercher Squat</t>
  </si>
  <si>
    <t>Battling Ropes</t>
  </si>
  <si>
    <t>Rope</t>
  </si>
  <si>
    <t>Battling Ropes (female)</t>
  </si>
  <si>
    <t>Cardio</t>
  </si>
  <si>
    <t>Battling Rope</t>
  </si>
  <si>
    <t>Battling Ropes Alternate Arms Side Lunge</t>
  </si>
  <si>
    <t>Back
Chest
Hips
Thighs</t>
  </si>
  <si>
    <t>Battling Ropes Alternate Arms Squat</t>
  </si>
  <si>
    <t>Battling Ropes Fly</t>
  </si>
  <si>
    <t>Chest
Shoulders</t>
  </si>
  <si>
    <t>Battling Ropes High Waves</t>
  </si>
  <si>
    <t>Back
Chest
Shoulders</t>
  </si>
  <si>
    <t>Battling Ropes Inside Circle</t>
  </si>
  <si>
    <t>Back
Chest
Shoulders
Thighs</t>
  </si>
  <si>
    <t>Battling Ropes Low Waves</t>
  </si>
  <si>
    <t>Chest
Shoulders
Upper Arms</t>
  </si>
  <si>
    <t>Battling Ropes Outside Circle</t>
  </si>
  <si>
    <t>Battling Ropes Power Slam</t>
  </si>
  <si>
    <t>Back
Chest
Waist</t>
  </si>
  <si>
    <t>Battling Ropes Russian Twist</t>
  </si>
  <si>
    <t>Battling Ropes Side to Side Arms</t>
  </si>
  <si>
    <t>Bench Dip (knees bent)</t>
  </si>
  <si>
    <t>['Deltoid Anterior', 'Latissimus Dorsi', 'Levator Scapulae', 'Pectoralis Major Sternal Head']</t>
  </si>
  <si>
    <t>Bench Dip (knees bent) (female)</t>
  </si>
  <si>
    <t>['Latissimus Dorsi', 'Levator Scapulae', 'Pectoralis Major Clavicular Head', 'Pectoralis Major Sternal Head']</t>
  </si>
  <si>
    <t>Bench Dip - Back Arms (WRONG-RIGHT)</t>
  </si>
  <si>
    <t>Bench dip on floor</t>
  </si>
  <si>
    <t>Bench dip on floor (female)</t>
  </si>
  <si>
    <t>Bench Dip on floor (VERSION 2)</t>
  </si>
  <si>
    <t>['Deltoid Anterior', 'Latissimus Dorsi', 'Levator Scapulae', 'Pectoralis Major Clavicular Head', 'Pectoralis Major Sternal Head', 'Teres Major']</t>
  </si>
  <si>
    <t>Bench Dip on Stability Ball</t>
  </si>
  <si>
    <t>['Deltoid Anterior', 'Latissimus Dorsi', 'Pectoralis Major Clavicular Head', 'Pectoralis Major Sternal Head', 'Teres Major']</t>
  </si>
  <si>
    <t>Bench Dip with legs on bench</t>
  </si>
  <si>
    <t>Bench Full Squat (female)</t>
  </si>
  <si>
    <t>Bench Hip Extension</t>
  </si>
  <si>
    <t>Bench Pull-ups</t>
  </si>
  <si>
    <t>Bench Pull-ups (female)</t>
  </si>
  <si>
    <t>Bench Reverse Crunch Circle</t>
  </si>
  <si>
    <t>['Adductor Brevis', 'Adductor Longus', 'Gluteus Medius', 'Iliopsoas', 'Pectineous', 'Rectus Abdominis']</t>
  </si>
  <si>
    <t>['Adductor Magnus', 'Obliques', 'Quadriceps', 'Sartorius']</t>
  </si>
  <si>
    <t>Bent Arms Chin-up</t>
  </si>
  <si>
    <t>Bent Knee Back to Side Kick (female)</t>
  </si>
  <si>
    <t>['Erector Spinae', 'Gluteus Maximus', 'Gluteus Medius']</t>
  </si>
  <si>
    <t>['Hamstrings', 'Quadriceps', 'Sartorius', 'Tensor Fasciae Latae']</t>
  </si>
  <si>
    <t>Bent Knee Back to Side Kick (male)</t>
  </si>
  <si>
    <t>['Hamstrings', 'Quadriceps', 'Sartorius']</t>
  </si>
  <si>
    <t>Bent knee Lying Twist (male)</t>
  </si>
  <si>
    <t>['Obliques', 'Tensor Fasciae Latae']</t>
  </si>
  <si>
    <t>Bent Leg Circle Kick (kneeling) (female)</t>
  </si>
  <si>
    <t>Bent Leg Kickback (kneeling)</t>
  </si>
  <si>
    <t>Bent Leg Kickback (kneeling) (male)</t>
  </si>
  <si>
    <t>Bent Leg Side Kick (kneeling)</t>
  </si>
  <si>
    <t>Bent Leg Side Kick (kneeling) (male)</t>
  </si>
  <si>
    <t>Bent Side Knee Push-up</t>
  </si>
  <si>
    <t>['Gluteus Medius', 'Pectoralis Major Sternal Head']</t>
  </si>
  <si>
    <t>['Deltoid Anterior', 'Pectoralis Major Clavicular Head', 'Quadriceps', 'Tensor Fasciae Latae', 'Triceps Brachii']</t>
  </si>
  <si>
    <t>Bent-knee Lying Twist</t>
  </si>
  <si>
    <t>Bent-knee Lying Twist (On Stability Ball)</t>
  </si>
  <si>
    <t>Bent-Knee Side Plank</t>
  </si>
  <si>
    <t>Bent-over Row - Back (WRONG-RIGHT)</t>
  </si>
  <si>
    <t>Bent-Over Row with Towel</t>
  </si>
  <si>
    <t>Biceps Curl - Arms Body (WRONG-RIGHT)</t>
  </si>
  <si>
    <t>Biceps Curl with Bed Sheet</t>
  </si>
  <si>
    <t>Biceps Leg Concentration Curl</t>
  </si>
  <si>
    <t>Bird Dog</t>
  </si>
  <si>
    <t>['Deltoid Anterior', 'Gluteus Maximus']</t>
  </si>
  <si>
    <t>Bird Dog (female)</t>
  </si>
  <si>
    <t>Bird Dog (male)</t>
  </si>
  <si>
    <t>['Deltoid Anterior', 'Hamstrings']</t>
  </si>
  <si>
    <t>Bird Dog Push-Up</t>
  </si>
  <si>
    <t>Body Saw Plank</t>
  </si>
  <si>
    <t>['Latissimus Dorsi', 'Rectus Abdominis']</t>
  </si>
  <si>
    <t>['Deltoid Anterior', 'Gluteus Maximus', 'Obliques', 'Pectoralis Major Clavicular Head', 'Pectoralis Major Sternal Head', 'Serratus Anterior', 'Tensor Fasciae Latae', 'Triceps Brachii']</t>
  </si>
  <si>
    <t>Body-Up</t>
  </si>
  <si>
    <t>Bodyweight B Stance Good Morning</t>
  </si>
  <si>
    <t>Bodyweight Bent Over Rear Delt Fly</t>
  </si>
  <si>
    <t>Bodyweight Elevanted Heel Squat</t>
  </si>
  <si>
    <t>Calves
Hips
Thighs</t>
  </si>
  <si>
    <t>Bodyweight Forward Lunge (Hinge at Hips)</t>
  </si>
  <si>
    <t>Bodyweight Forward Lunge (Smaller Stance Upright Torso)</t>
  </si>
  <si>
    <t>Bodyweight Frog Pump</t>
  </si>
  <si>
    <t>['Gluteus Maximus', 'Gluteus Medius']</t>
  </si>
  <si>
    <t>['Hamstrings', 'Tensor Fasciae Latae']</t>
  </si>
  <si>
    <t>Bodyweight Full Squat with Overhead Press</t>
  </si>
  <si>
    <t>Bodyweight Glute Dominant Step-Up</t>
  </si>
  <si>
    <t>Bodyweight Good Morning</t>
  </si>
  <si>
    <t>Bodyweight Incline Side Plank</t>
  </si>
  <si>
    <t>['Adductor Brevis', 'Adductor Longus', 'Adductor Magnus', 'Gluteus Medius', 'Gracilis', 'Tensor Fasciae Latae']</t>
  </si>
  <si>
    <t>Bodyweight Kneeling Hold to Stand</t>
  </si>
  <si>
    <t>Bodyweight Kneeling Push-up Row</t>
  </si>
  <si>
    <t>['Infraspinatus', 'Latissimus Dorsi', 'Pectoralis Major Clavicular Head', 'Pectoralis Major Sternal Head', 'Teres Major', 'Teres Minor', 'Trapezius Lower Fibers', 'Trapezius Middle Fibers']</t>
  </si>
  <si>
    <t>['Biceps Brachii', 'Brachialis', 'Brachioradialis', 'Deltoid Anterior', 'Deltoid Lateral', 'Deltoid Posterior', 'Obliques', 'Rectus Abdominis', 'Triceps Brachii']</t>
  </si>
  <si>
    <t>Bodyweight Kneeling Sissy Squat</t>
  </si>
  <si>
    <t>Bodyweight Kneeling Triceps Extension</t>
  </si>
  <si>
    <t>Bodyweight Kneeling Triceps Extension (female)</t>
  </si>
  <si>
    <t>Bodyweight Lying Prone Ys</t>
  </si>
  <si>
    <t>Bodyweight Narrow Stance Squat (male)</t>
  </si>
  <si>
    <t>Bodyweight Overhead Squat</t>
  </si>
  <si>
    <t>Bodyweight Overhead Triceps Extension (female)</t>
  </si>
  <si>
    <t>Bodyweight Pulse Squat</t>
  </si>
  <si>
    <t>Bodyweight Pulse Squat (female)</t>
  </si>
  <si>
    <t>Bodyweight Rear Lunge</t>
  </si>
  <si>
    <t>Bodyweight Row in Doorway</t>
  </si>
  <si>
    <t>Bodyweight Shrug</t>
  </si>
  <si>
    <t>Bodyweight Side Lying Biceps Curl</t>
  </si>
  <si>
    <t>Bodyweight Single Leg Deadlift</t>
  </si>
  <si>
    <t>Bodyweight Single Leg Kas Glute Bridge</t>
  </si>
  <si>
    <t>Bodyweight Single Leg RDL</t>
  </si>
  <si>
    <t>Bodyweight Single Leg Wall Squat</t>
  </si>
  <si>
    <t>Bodyweight Squatting Row</t>
  </si>
  <si>
    <t>Bodyweight Squatting Row (female)</t>
  </si>
  <si>
    <t>Bodyweight Squatting Row (with towel)</t>
  </si>
  <si>
    <t>Bodyweight Squatting Row (with towel) (female)</t>
  </si>
  <si>
    <t>Bodyweight Standing Around World Wall Supported</t>
  </si>
  <si>
    <t>['Latissimus Dorsi', 'Pectoralis Major Clavicular Head', 'Serratus Anterior', 'Teres Major']</t>
  </si>
  <si>
    <t>Bodyweight Standing Biceps Curl</t>
  </si>
  <si>
    <t>Bodyweight Standing Biceps Curl (VERSION 2)</t>
  </si>
  <si>
    <t>Bodyweight Standing Calf Raise</t>
  </si>
  <si>
    <t>Bodyweight Standing Close-grip One Arm Row</t>
  </si>
  <si>
    <t>Bodyweight Standing Close-grip One Arm Row (female)</t>
  </si>
  <si>
    <t>Cable Kneeling Crunch</t>
  </si>
  <si>
    <t>Bodyweight Standing Close-grip Row (female)</t>
  </si>
  <si>
    <t>Bodyweight Standing Fly (male)</t>
  </si>
  <si>
    <t>Bodyweight Standing Military Press</t>
  </si>
  <si>
    <t>Bodyweight Standing Military Press Wall Supported</t>
  </si>
  <si>
    <t>Bodyweight Standing Oblique Twist</t>
  </si>
  <si>
    <t>Bodyweight Standing One Arm Row</t>
  </si>
  <si>
    <t>Bodyweight Standing One Arm Row (female)</t>
  </si>
  <si>
    <t>Bodyweight Standing One Arm Row (with towel)</t>
  </si>
  <si>
    <t>Bodyweight Standing One Arm Row (with towel) (female)</t>
  </si>
  <si>
    <t>Bodyweight Standing Pulse Calf Raise</t>
  </si>
  <si>
    <t>Bodyweight Standing Row</t>
  </si>
  <si>
    <t>Bodyweight Standing Row (female)</t>
  </si>
  <si>
    <t>Bodyweight Standing Row (with towel)</t>
  </si>
  <si>
    <t>Bodyweight Standing Row (with towel) (female)</t>
  </si>
  <si>
    <t>Bodyweight Standing Sissy Squat</t>
  </si>
  <si>
    <t>Bodyweight Step-up on Stepbox</t>
  </si>
  <si>
    <t>Bodyweight Svend Press</t>
  </si>
  <si>
    <t>Bodyweight Swing</t>
  </si>
  <si>
    <t>Bodyweight Walking Calf Raise</t>
  </si>
  <si>
    <t>Bodyweight Wall Squat</t>
  </si>
  <si>
    <t>Bodyweight Windmill</t>
  </si>
  <si>
    <t>Bodyweight Windmill (female)</t>
  </si>
  <si>
    <t>['Rectus Abdominis', 'Tensor Fasciae Latae']</t>
  </si>
  <si>
    <t>Bodyweight Wood Chop Squat</t>
  </si>
  <si>
    <t>Bottle Hammer Curl</t>
  </si>
  <si>
    <t>Bottoms Up (female)</t>
  </si>
  <si>
    <t>['Quadriceps', 'Sartorius', 'Tensor Fasciae Latae']</t>
  </si>
  <si>
    <t>Bottoms-Up</t>
  </si>
  <si>
    <t>['Adductor Brevis', 'Adductor Longus', 'Iliopsoas', 'Obliques', 'Pectineous', 'Sartorius', 'Tensor Fasciae Latae']</t>
  </si>
  <si>
    <t>Brachialis Narrow Pull ups (female)</t>
  </si>
  <si>
    <t>Brachialis Narrow Pull-ups</t>
  </si>
  <si>
    <t>Brachialis Pull-up</t>
  </si>
  <si>
    <t>['Biceps Brachii', 'Levator Scapulae', 'Teres Major', 'Trapezius Lower Fibers', 'Trapezius Middle Fibers']</t>
  </si>
  <si>
    <t>Bridge (on knees)</t>
  </si>
  <si>
    <t>['Obliques', 'Quadriceps', 'Serratus Anterior', 'Tensor Fasciae Latae']</t>
  </si>
  <si>
    <t>Bridge (straight arm)</t>
  </si>
  <si>
    <t>['Deltoid Anterior', 'Obliques', 'Quadriceps', 'Serratus Anterior', 'Tensor Fasciae Latae']</t>
  </si>
  <si>
    <t>Bridge - Mountain Climber (Cross Body)</t>
  </si>
  <si>
    <t>Bridge (cross knee)</t>
  </si>
  <si>
    <t>['Adductor Brevis', 'Adductor Longus', 'Deltoid Anterior', 'Iliopsoas', 'Pectineous', 'Quadriceps', 'Rectus Abdominis', 'Tensor Fasciae Latae']</t>
  </si>
  <si>
    <t>Bridge Hip Abduction</t>
  </si>
  <si>
    <t>Bridge Hip Abduction (male)</t>
  </si>
  <si>
    <t>['Adductor Brevis', 'Adductor Longus', 'Adductor Magnus', 'Gluteus Maximus', 'Gluteus Medius', 'Pectineous']</t>
  </si>
  <si>
    <t>['Gracilis', 'Hamstrings', 'Tensor Fasciae Latae']</t>
  </si>
  <si>
    <t>Bulgarian Split Squat</t>
  </si>
  <si>
    <t>Bulgarian Split Squat with Chair</t>
  </si>
  <si>
    <t>Butt Bridge</t>
  </si>
  <si>
    <t>['Iliopsoas', 'Pectineous', 'Rectus Abdominis']</t>
  </si>
  <si>
    <t>['Obliques', 'Quadriceps']</t>
  </si>
  <si>
    <t>Butt-ups</t>
  </si>
  <si>
    <t>['Gluteus Maximus', 'Hamstrings', 'Obliques']</t>
  </si>
  <si>
    <t>Bycicle Twisting Crunch</t>
  </si>
  <si>
    <t>['Gluteus Maximus', 'Iliopsoas', 'Quadriceps']</t>
  </si>
  <si>
    <t>Cable Alternate Shoulder Press</t>
  </si>
  <si>
    <t>['Deltoid Lateral', 'Triceps Brachii']</t>
  </si>
  <si>
    <t>Cable Alternate Shoulder Press (female)</t>
  </si>
  <si>
    <t>Cable Alternate Triceps Extension</t>
  </si>
  <si>
    <t>Cable Alternate Triceps Extension (female)</t>
  </si>
  <si>
    <t>Cable Assisted Inverse Leg Curl</t>
  </si>
  <si>
    <t>['Gastrocnemius', 'Gracilis', 'Popliteus', 'Sartorius']</t>
  </si>
  <si>
    <t>Cable Bar High Pulley Overhead Tricep Extension (female)</t>
  </si>
  <si>
    <t>Cable Bar Lateral Pulldown</t>
  </si>
  <si>
    <t>Cable Bar Lateral Pulldown (female)</t>
  </si>
  <si>
    <t>Cable Bench Press (female)</t>
  </si>
  <si>
    <t>Cable Bent Over Row</t>
  </si>
  <si>
    <t>Cable Bent Over Row with Bar</t>
  </si>
  <si>
    <t>Cable Bent-Over Neutral Grip Kickback with Rope Attachment</t>
  </si>
  <si>
    <t>Cable Bent-Over One Arm Lateral Raise</t>
  </si>
  <si>
    <t>['Deltoid Lateral', 'Infraspinatus', 'Teres Major', 'Teres Minor', 'Trapezius Lower Fibers', 'Trapezius Middle Fibers']</t>
  </si>
  <si>
    <t>Cable Bent-Over Reverse Grip Row</t>
  </si>
  <si>
    <t>Cable Bent-Over Row with Rope Attachment</t>
  </si>
  <si>
    <t>Cable Bent-Over Single Arm Kickback</t>
  </si>
  <si>
    <t>Cable Bent-Over Single Arm Neutral Grip Kickback with Rope Attachment</t>
  </si>
  <si>
    <t>Cable Biceps Curl (SZ-bar)</t>
  </si>
  <si>
    <t>Cable Close Grip Curl</t>
  </si>
  <si>
    <t>Cable Close Grip Curl (female)</t>
  </si>
  <si>
    <t>Cable Close-Grip Front Lat Pulldown</t>
  </si>
  <si>
    <t>['Brachialis', 'Brachioradialis', 'Deltoid Posterior', 'Pectoralis Major Sternal Head', 'Teres Major', 'Trapezius Lower Fibers', 'Trapezius Middle Fibers']</t>
  </si>
  <si>
    <t>Cable Close-Grip Front Lat Pulldown (female)</t>
  </si>
  <si>
    <t>Cable Concentration Curl</t>
  </si>
  <si>
    <t>Cable Concentration Curl (female)</t>
  </si>
  <si>
    <t>Cable Concentration Extension (on knee)</t>
  </si>
  <si>
    <t>Cable Concentration Extension (on knee) (female)</t>
  </si>
  <si>
    <t>Cable Cross over Lateral Pulldown (female)</t>
  </si>
  <si>
    <t>Cable Cross over Revers Fly (female)</t>
  </si>
  <si>
    <t>Cable Cross-over Lateral Pulldown</t>
  </si>
  <si>
    <t>Cable Cross-over Revers Fly</t>
  </si>
  <si>
    <t>Cable Cross-over Variation</t>
  </si>
  <si>
    <t>Cable Curl</t>
  </si>
  <si>
    <t>Cable Curl with Multipurpose V bar</t>
  </si>
  <si>
    <t>Cable Deadlift</t>
  </si>
  <si>
    <t>Cable Deadlift (female)</t>
  </si>
  <si>
    <t>Cable Decline Fly</t>
  </si>
  <si>
    <t>Cable Decline Fly (female)</t>
  </si>
  <si>
    <t>Cable Decline Press (female)</t>
  </si>
  <si>
    <t>Cable Decline Seated Wide-grip Row</t>
  </si>
  <si>
    <t>Cable Donkey Kickback (female)</t>
  </si>
  <si>
    <t>Cable Drag Curl</t>
  </si>
  <si>
    <t>Cable Elevated Row</t>
  </si>
  <si>
    <t>['Brachialis', 'Brachioradialis', 'Deltoid Posterior', 'Infraspinatus', 'Pectoralis Major Sternal Head', 'Teres Major', 'Teres Minor', 'Trapezius Lower Fibers', 'Trapezius Middle Fibers']</t>
  </si>
  <si>
    <t>Cable Floor Seated Wide-grip Row</t>
  </si>
  <si>
    <t>Cable Fly with Chest Supported</t>
  </si>
  <si>
    <t>Cable Forward Lunge</t>
  </si>
  <si>
    <t>Cable Forward Raise</t>
  </si>
  <si>
    <t>Cable Front Raise (female)</t>
  </si>
  <si>
    <t>Cable Front Seated Row</t>
  </si>
  <si>
    <t>Cable Front Shoulder Raise</t>
  </si>
  <si>
    <t>Cable Front Squat</t>
  </si>
  <si>
    <t>Cable Front Squat (VERSION 2)</t>
  </si>
  <si>
    <t>Cable Glute Dominant Step-Up (female)</t>
  </si>
  <si>
    <t>Cable Half Kneeling Adductor Pallof Press</t>
  </si>
  <si>
    <t>Cable Half Kneeling External Rotation</t>
  </si>
  <si>
    <t>Cable Half Kneeling Pallof Press</t>
  </si>
  <si>
    <t>Cable Half Kneeling Push Pull</t>
  </si>
  <si>
    <t>Cable Hammer Curl</t>
  </si>
  <si>
    <t>Cable Hanging Leg Raise</t>
  </si>
  <si>
    <t>Cable Hanging Leg Raise (female)</t>
  </si>
  <si>
    <t>Cable High Pulley Overhead Tricep Extension</t>
  </si>
  <si>
    <t>Cable High Pulley Overhead Tricep Extension (female)</t>
  </si>
  <si>
    <t>Cable High Row (kneeling rope attachment) (female)</t>
  </si>
  <si>
    <t>Cable High Row (kneeling)</t>
  </si>
  <si>
    <t>Cable High Triceps Extension</t>
  </si>
  <si>
    <t>Cable Hip Abduction (toe in) (female)</t>
  </si>
  <si>
    <t>Cable Hip Abduction (toe out) (female)</t>
  </si>
  <si>
    <t>Cable hip abduction (version 2)</t>
  </si>
  <si>
    <t>Cable hip abduction (version 2) (male)</t>
  </si>
  <si>
    <t>Cable Hip Adduction</t>
  </si>
  <si>
    <t>['Adductor Longus']</t>
  </si>
  <si>
    <t>['Adductor Brevis', 'Adductor Magnus', 'Gracilis']</t>
  </si>
  <si>
    <t>Cable Hip Adduction (female)</t>
  </si>
  <si>
    <t>['Adductor Brevis', 'Adductor Longus', 'Adductor Magnus']</t>
  </si>
  <si>
    <t>Cable horizontal Pallof Press</t>
  </si>
  <si>
    <t>Cable horizontal Pallof Press (VERSION 2)</t>
  </si>
  <si>
    <t>Cable Incline Bench Press</t>
  </si>
  <si>
    <t>Cable Incline Bench Press (female)</t>
  </si>
  <si>
    <t>Cable Incline Bench Row</t>
  </si>
  <si>
    <t>Cable Incline Biceps Curl</t>
  </si>
  <si>
    <t>Cable Incline Close grip Curl</t>
  </si>
  <si>
    <t>Cable Incline Cross Rear Fly</t>
  </si>
  <si>
    <t>Cable Incline Fly</t>
  </si>
  <si>
    <t>Cable Incline Fly (female)</t>
  </si>
  <si>
    <t>Cable Incline Fly (on stability ball)</t>
  </si>
  <si>
    <t>Cable Incline Pushdown</t>
  </si>
  <si>
    <t>['Deltoid Posterior', 'Pectoralis Major Sternal Head', 'Teres Major']</t>
  </si>
  <si>
    <t>Cable Incline Pushdown (female)</t>
  </si>
  <si>
    <t>Cable Incline Skull Crusher</t>
  </si>
  <si>
    <t>Cable Incline Triceps Extension</t>
  </si>
  <si>
    <t>Cable Incline Triceps Extension (female)</t>
  </si>
  <si>
    <t>Cable Judo Flip</t>
  </si>
  <si>
    <t>Cable Judo Flip (female)</t>
  </si>
  <si>
    <t>Cable kickback</t>
  </si>
  <si>
    <t>Cable kickback (female)</t>
  </si>
  <si>
    <t>Cable Kickback (male)</t>
  </si>
  <si>
    <t>Cable kickback (version 2)</t>
  </si>
  <si>
    <t>Cable Kneeling Crunch (female)</t>
  </si>
  <si>
    <t>Cable Kneeling Crunch (VERSION 2)</t>
  </si>
  <si>
    <t>Cable Kneeling Leaning Forward One Arm Row</t>
  </si>
  <si>
    <t>Cable Kneeling One Arm Lat Pulldown</t>
  </si>
  <si>
    <t>Cable Kneeling One Arm Row</t>
  </si>
  <si>
    <t>Cable Kneeling Preacher Curl (male)</t>
  </si>
  <si>
    <t>Cable Kneeling Pull Through</t>
  </si>
  <si>
    <t>Cable Kneeling Rear Delt Row (with rope) (male)</t>
  </si>
  <si>
    <t>Cable Kneeling Shoulder 90 degrees External Rotation Press</t>
  </si>
  <si>
    <t>Cable Kneeling Shoulder Press</t>
  </si>
  <si>
    <t>['Deltoid Lateral', 'Pectoralis Major Clavicular Head']</t>
  </si>
  <si>
    <t>Cable Kneeling Single Lat Pulldown</t>
  </si>
  <si>
    <t>Cable Kneeling Triceps Extension</t>
  </si>
  <si>
    <t>Cable Kneeling Triceps Extension (VERSION 2)</t>
  </si>
  <si>
    <t>Cable Lat Pulldown Full Range Of Motion</t>
  </si>
  <si>
    <t>['Biceps Brachii', 'Brachialis', 'Deltoid Posterior', 'Infraspinatus', 'Teres Major', 'Teres Minor', 'Trapezius Lower Fibers', 'Trapezius Middle Fibers']</t>
  </si>
  <si>
    <t>Cable Lateral Lunge</t>
  </si>
  <si>
    <t>Cable Lateral Lunge (VERSION 2)</t>
  </si>
  <si>
    <t>Cable Lateral Pulldown (with rope attachment)</t>
  </si>
  <si>
    <t>Cable Lateral Pulldown with V-bar</t>
  </si>
  <si>
    <t>Cable Lateral Raise (female)</t>
  </si>
  <si>
    <t>Cable Leaning Lateral Raise</t>
  </si>
  <si>
    <t>Cable Low Chest Press (male)</t>
  </si>
  <si>
    <t>Cable Low Fly</t>
  </si>
  <si>
    <t>Cable Low Fly (female)</t>
  </si>
  <si>
    <t>Cable Low Row with Rope Attachment</t>
  </si>
  <si>
    <t>Cable Low Seated Row</t>
  </si>
  <si>
    <t>Cable Low Seated Row (female)</t>
  </si>
  <si>
    <t>Cable Lunge</t>
  </si>
  <si>
    <t>Cable Lying Bicep Curl</t>
  </si>
  <si>
    <t>Cable Lying Bicep Curl (female)</t>
  </si>
  <si>
    <t>Cable Lying Biceps Curl (VERSION 2)</t>
  </si>
  <si>
    <t>Cable Lying Close-Press</t>
  </si>
  <si>
    <t>Cable Lying Close-grip Curl</t>
  </si>
  <si>
    <t>Cable Lying Cross Lateral Raise</t>
  </si>
  <si>
    <t>Cable Lying Curl</t>
  </si>
  <si>
    <t>Cable Lying Extension Pullover (with rope attachment)</t>
  </si>
  <si>
    <t>Cable Lying Extension Pullover (with rope attachment) (female)</t>
  </si>
  <si>
    <t>Cable Lying Fly</t>
  </si>
  <si>
    <t>Cable Lying Fly (female)</t>
  </si>
  <si>
    <t>Cable Lying Front Raise</t>
  </si>
  <si>
    <t>Cable Lying Pallof Press</t>
  </si>
  <si>
    <t>Cable Lying Regular grip Curl (female)</t>
  </si>
  <si>
    <t>Cable Lying Shrug</t>
  </si>
  <si>
    <t>Cable Lying Triceps Extension</t>
  </si>
  <si>
    <t>Cable Lying Triceps Extension (Low)</t>
  </si>
  <si>
    <t>Cable Lying Triceps Extension (Low) (female)</t>
  </si>
  <si>
    <t>Cable Lying Triceps Extension (version 2)</t>
  </si>
  <si>
    <t>Cable Lying Triceps Extension (with Rope)</t>
  </si>
  <si>
    <t>Cable Lying Upright Row</t>
  </si>
  <si>
    <t>Cable Medius Kickback</t>
  </si>
  <si>
    <t>Cable Middle Fly</t>
  </si>
  <si>
    <t>Cable Middle Fly (female)</t>
  </si>
  <si>
    <t>Cable Narrow Chair Stand Up</t>
  </si>
  <si>
    <t>Cable Neutral Grip Kickback</t>
  </si>
  <si>
    <t>Cable One Arm Bent over Row</t>
  </si>
  <si>
    <t>Cable One Arm Biceps Curl (VERSION 2)</t>
  </si>
  <si>
    <t>Cable One Arm Biceps Curl (VERSION 2) (female)</t>
  </si>
  <si>
    <t>Cable One Arm Curl</t>
  </si>
  <si>
    <t>Cable One Arm Curl (female)</t>
  </si>
  <si>
    <t>Cable One Arm Front Raise (female)</t>
  </si>
  <si>
    <t>Cable One Arm High Pulley Overhead Tricep Extension</t>
  </si>
  <si>
    <t>Cable one arm inner biceps curl</t>
  </si>
  <si>
    <t>Cable one arm lat pulldown</t>
  </si>
  <si>
    <t>['Brachialis', 'Brachioradialis', 'Deltoid Posterior', 'Obliques', 'Pectoralis Major Sternal Head', 'Teres Major', 'Trapezius Lower Fibers', 'Trapezius Middle Fibers']</t>
  </si>
  <si>
    <t>Cable One Arm Lat Pulldown (female)</t>
  </si>
  <si>
    <t>['Brachialis', 'Brachioradialis', 'Deltoid Posterior', 'Obliques', 'Teres Major']</t>
  </si>
  <si>
    <t>Cable One Arm Lateral Bent over (female)</t>
  </si>
  <si>
    <t>Cable One Arm Lateral Bent-over</t>
  </si>
  <si>
    <t>Cable One Arm Lateral Raise</t>
  </si>
  <si>
    <t>Cable One Arm Lateral Raise (female)</t>
  </si>
  <si>
    <t>Cable One Arm Preacher Curl</t>
  </si>
  <si>
    <t>Cable One Arm Pulldown</t>
  </si>
  <si>
    <t>['Deltoid Posterior', 'Teres Major', 'Triceps Brachii']</t>
  </si>
  <si>
    <t>Cable One Arm Reverse Fly (male)</t>
  </si>
  <si>
    <t>Cable One Arm Reverse Preacher Curl</t>
  </si>
  <si>
    <t>Cable One Arm Side Triceps Pushdown</t>
  </si>
  <si>
    <t>Cable One Arm Straight Back High Row (kneeling)</t>
  </si>
  <si>
    <t>Cable One Arm Tricep Pushdown</t>
  </si>
  <si>
    <t>Cable one arm twisting seated row</t>
  </si>
  <si>
    <t>['Brachialis', 'Brachioradialis', 'Deltoid Posterior', 'Obliques', 'Pectoralis Major Sternal Head', 'Triceps Brachii']</t>
  </si>
  <si>
    <t>Cable One Arm Twisting Seated Row (female)</t>
  </si>
  <si>
    <t>['Biceps Brachii', 'Brachialis', 'Brachioradialis', 'Deltoid Posterior', 'Infraspinatus', 'Obliques', 'Trapezius Lower Fibers', 'Trapezius Middle Fibers']</t>
  </si>
  <si>
    <t>Cable One Arm Wrist Curl</t>
  </si>
  <si>
    <t>Cable Overhead Curl</t>
  </si>
  <si>
    <t>Cable Overhead Curl on Exercise Ball</t>
  </si>
  <si>
    <t>Cable Overhead Single Arm Triceps Extension (rope attachment)</t>
  </si>
  <si>
    <t>Cable Overhead Tricep Extension StraighT-bar (male)</t>
  </si>
  <si>
    <t>Cable Overhead Triceps Extension (rope attachment) (female)</t>
  </si>
  <si>
    <t>Cable Palm Rotational Row</t>
  </si>
  <si>
    <t>Cable Parallel Grip Lat Pulldown on Floor</t>
  </si>
  <si>
    <t>Cable Preacher Curl</t>
  </si>
  <si>
    <t>Cable Pull Through (with rope)</t>
  </si>
  <si>
    <t>Cable Pulldown</t>
  </si>
  <si>
    <t>Cable Pulldown (female)</t>
  </si>
  <si>
    <t>Cable Pulldown Bicep Curl</t>
  </si>
  <si>
    <t>Cable Pulldown Bicep Curl (female)</t>
  </si>
  <si>
    <t>Cable Pushdown</t>
  </si>
  <si>
    <t>Cable Pushdown (straight arm) (version 2)</t>
  </si>
  <si>
    <t>['Deltoid Posterior', 'Pectoralis Major Sternal Head', 'Teres Major', 'Triceps Brachii']</t>
  </si>
  <si>
    <t>Cable Pushdown (with rope attachment)</t>
  </si>
  <si>
    <t>Cable Pushdown (with rope attachment) (female)</t>
  </si>
  <si>
    <t>Cable Rear Delt Row</t>
  </si>
  <si>
    <t>Cable Rear Delt Row (stirrups)</t>
  </si>
  <si>
    <t>Cable Rear Delt Row (stirrups) (female)</t>
  </si>
  <si>
    <t>Cable Rear Delt Row (with rope)</t>
  </si>
  <si>
    <t>Cable Rear Drive</t>
  </si>
  <si>
    <t>['Deltoid Posterior', 'Teres Major']</t>
  </si>
  <si>
    <t>Cable Rear Drive (female)</t>
  </si>
  <si>
    <t>Cable Rear Lunge from Stepbox</t>
  </si>
  <si>
    <t>Cable Rear Pulldown</t>
  </si>
  <si>
    <t>['Brachialis', 'Brachioradialis', 'Pectoralis Major Sternal Head', 'Teres Major', 'Trapezius Lower Fibers']</t>
  </si>
  <si>
    <t>Cable Reverse Crunch</t>
  </si>
  <si>
    <t>Cable Reverse Crunch (female)</t>
  </si>
  <si>
    <t>Cable Reverse Curl</t>
  </si>
  <si>
    <t>Cable Reverse Grip Biceps Curl (SZ-bar)</t>
  </si>
  <si>
    <t>Cable Reverse Grip Pulldown</t>
  </si>
  <si>
    <t>Cable Reverse Grip Pulldown (female)</t>
  </si>
  <si>
    <t>Cable Reverse grip Pushdown (female)</t>
  </si>
  <si>
    <t>Cable Reverse Grip Triceps Pushdown (SZ-bar)</t>
  </si>
  <si>
    <t>Cable Reverse Grip Triceps Pushdown (SZ-bar) (with arm blaster)</t>
  </si>
  <si>
    <t>Cable Reverse One Arm Curl</t>
  </si>
  <si>
    <t>Cable Reverse One Arm Curl (female)</t>
  </si>
  <si>
    <t>Cable Reverse Preacher Curl</t>
  </si>
  <si>
    <t>Cable Reverse Wrist Curl</t>
  </si>
  <si>
    <t>Cable Reverse-grip Pushdown</t>
  </si>
  <si>
    <t>Cable Reverse-grip Straight Back Seated High Row</t>
  </si>
  <si>
    <t>Cable Rope Crossover Seated Row</t>
  </si>
  <si>
    <t>Cable Rope Elevated Seated Row</t>
  </si>
  <si>
    <t>Cable Rope Extension Incline Bench Row</t>
  </si>
  <si>
    <t>Cable Rope Hammer Preacher Curl</t>
  </si>
  <si>
    <t>Cable Rope High Pulley Overhead Tricep Extension</t>
  </si>
  <si>
    <t>Cable Rope Incline Tricep Extension</t>
  </si>
  <si>
    <t>Cable Rope Lying on Floor Tricep Extension</t>
  </si>
  <si>
    <t>Cable Rope One Arm Hammer Preacher Curl</t>
  </si>
  <si>
    <t>Cable Rope Seated Row</t>
  </si>
  <si>
    <t>Cable Russian Twists (on stability ball)</t>
  </si>
  <si>
    <t>Cable Russian Twists (on stability ball) (female)</t>
  </si>
  <si>
    <t>Cable
Stability ball</t>
  </si>
  <si>
    <t>Cable Seated Chest Fly</t>
  </si>
  <si>
    <t>Cable Seated Chest Press</t>
  </si>
  <si>
    <t>Cable Seated Chest Press (female)</t>
  </si>
  <si>
    <t>Cable Seated Cross Arm Twist</t>
  </si>
  <si>
    <t>Cable Seated Crunch</t>
  </si>
  <si>
    <t>Cable Seated Crunch (female)</t>
  </si>
  <si>
    <t>Cable Seated Curl</t>
  </si>
  <si>
    <t>Cable Seated Curl (female)</t>
  </si>
  <si>
    <t>Cable Seated Face Pull (with rope) (male)</t>
  </si>
  <si>
    <t>Cable Seated Floor One Arm Concentration Curl</t>
  </si>
  <si>
    <t>Cable Seated High Pulley Overhead Triceps Extension</t>
  </si>
  <si>
    <t>Cable Seated High Row (V bar) (female)</t>
  </si>
  <si>
    <t>Cable Seated High Row (V-bar)</t>
  </si>
  <si>
    <t>Cable Seated Horizontal Shrug (male)</t>
  </si>
  <si>
    <t>Cable Seated Lats Focused Row</t>
  </si>
  <si>
    <t>Cable Seated Leg Extension</t>
  </si>
  <si>
    <t>Cable Seated Neck Extension (with head harness)</t>
  </si>
  <si>
    <t>['Splenius', 'Trapezius Upper Fibers']</t>
  </si>
  <si>
    <t>Cable Seated Neck Flexion (with head harness)</t>
  </si>
  <si>
    <t>Cable Seated on Floor Row with Rope</t>
  </si>
  <si>
    <t>Cable Seated One Arm Alternate Row</t>
  </si>
  <si>
    <t>Cable Seated One Arm Concentration Curl</t>
  </si>
  <si>
    <t>Cable Seated One Arm Concentration Curl (female)</t>
  </si>
  <si>
    <t>Cable Seated Overhead Curl</t>
  </si>
  <si>
    <t>Cable Seated Overhead Curl (female)</t>
  </si>
  <si>
    <t>Cable Seated Pullover</t>
  </si>
  <si>
    <t>Cable Seated Rear Delt Fly with Chest Support</t>
  </si>
  <si>
    <t>Cable Seated Rear Lateral Raise</t>
  </si>
  <si>
    <t>['Deltoid Lateral', 'Trapezius Lower Fibers', 'Trapezius Middle Fibers']</t>
  </si>
  <si>
    <t>Cable seated row</t>
  </si>
  <si>
    <t>Cable Seated Row (Bent bar)</t>
  </si>
  <si>
    <t>Cable Seated Row (female)</t>
  </si>
  <si>
    <t>Cable Seated Row with V bar</t>
  </si>
  <si>
    <t>Cable Seated Shoulder Internal Rotation</t>
  </si>
  <si>
    <t>['Teres Major', 'Teres Minor']</t>
  </si>
  <si>
    <t>Cable Seated Supine-grip Row</t>
  </si>
  <si>
    <t>Cable Seated Supine-grip Row (male)</t>
  </si>
  <si>
    <t>Cable Seated Twist</t>
  </si>
  <si>
    <t>Cable Seated Twist on Floor (female)</t>
  </si>
  <si>
    <t>Cable Seated Wide grip Row (female)</t>
  </si>
  <si>
    <t>Cable Seated Wide-grip Row</t>
  </si>
  <si>
    <t>Cable Seating Close Press</t>
  </si>
  <si>
    <t>Cable Shoulder 90 degrees External Rotation</t>
  </si>
  <si>
    <t>Cable Shoulder 90 degrees Internal Rotation</t>
  </si>
  <si>
    <t>Cable Shoulder Internal Rotation</t>
  </si>
  <si>
    <t>Cable Shoulder Press</t>
  </si>
  <si>
    <t>Cable Shoulder Press (female)</t>
  </si>
  <si>
    <t>Cable Shrug</t>
  </si>
  <si>
    <t>['Trapezius Middle Fibers']</t>
  </si>
  <si>
    <t>Cable Shrug (female)</t>
  </si>
  <si>
    <t>Cable Side Bend</t>
  </si>
  <si>
    <t>Cable Side Bend (female)</t>
  </si>
  <si>
    <t>Cable Side Bend (VERSION 2)</t>
  </si>
  <si>
    <t>Cable Side Bend Crunch (bosu ball)</t>
  </si>
  <si>
    <t>Cable Side Crunch</t>
  </si>
  <si>
    <t>Cable Side Crunch (female)</t>
  </si>
  <si>
    <t>Cable Side Lying Lateral Raise</t>
  </si>
  <si>
    <t>Cable Single Arm Neutral Grip Front Raise</t>
  </si>
  <si>
    <t>Cable Single Arm Triceps Pushdown (Rope Attachment)</t>
  </si>
  <si>
    <t>Cable Split Stance Horizontal Pallof Press (male)</t>
  </si>
  <si>
    <t>Cable Squat Row (with rope attachment)</t>
  </si>
  <si>
    <t>['Gluteus Maximus', 'Infraspinatus', 'Latissimus Dorsi', 'Quadriceps', 'Teres Major', 'Teres Minor', 'Trapezius Lower Fibers', 'Trapezius Middle Fibers']</t>
  </si>
  <si>
    <t>['Adductor Magnus', 'Brachialis', 'Brachioradialis', 'Deltoid Posterior', 'Soleus']</t>
  </si>
  <si>
    <t>Cable Squat Row (with rope attachment) (female)</t>
  </si>
  <si>
    <t>Cable Squatting Curl</t>
  </si>
  <si>
    <t>Cable Squatting Curl (female)</t>
  </si>
  <si>
    <t>Cable Stand-up (female)</t>
  </si>
  <si>
    <t>Cable Standing Alternate Low Fly</t>
  </si>
  <si>
    <t>Cable Standing Back Wrist Curl</t>
  </si>
  <si>
    <t>Cable Standing Biceps Curl (with rope) (female)</t>
  </si>
  <si>
    <t>Cable Standing Calf Raise</t>
  </si>
  <si>
    <t>Cable Standing Chest Press</t>
  </si>
  <si>
    <t>Cable Standing Close Grip Row</t>
  </si>
  <si>
    <t>Cable Standing Close Press</t>
  </si>
  <si>
    <t>Cable Standing Cross-over High Reverse Fly</t>
  </si>
  <si>
    <t>Cable Standing Crossover Overhead Tricep Extension</t>
  </si>
  <si>
    <t>Cable Standing Crunch</t>
  </si>
  <si>
    <t>Cable Standing Crunch (female)</t>
  </si>
  <si>
    <t>Cable Standing Crunch (with rope attachment)</t>
  </si>
  <si>
    <t>Cable Standing Crunch (with rope attachment) (female)</t>
  </si>
  <si>
    <t>Cable Standing Face Pull</t>
  </si>
  <si>
    <t>Cable Standing Face Pull (with rope)</t>
  </si>
  <si>
    <t>Cable Standing Fly</t>
  </si>
  <si>
    <t>Cable Standing Front Raise Variation</t>
  </si>
  <si>
    <t>['Deltoid Lateral', 'Levator Scapulae', 'Pectoralis Major Clavicular Head', 'Serratus Anterior', 'Trapezius Upper Fibers']</t>
  </si>
  <si>
    <t>Cable Standing High Cross Triceps Extension</t>
  </si>
  <si>
    <t>Cable Standing Hip Extension</t>
  </si>
  <si>
    <t>Cable standing hip extension (version 2)</t>
  </si>
  <si>
    <t>Cable Standing Hip Thrust (female)</t>
  </si>
  <si>
    <t>Cable Standing Inner Curl</t>
  </si>
  <si>
    <t>Cable Standing Inner Curl (female)</t>
  </si>
  <si>
    <t>Cable Standing Lat Pushdown (rope equipment)</t>
  </si>
  <si>
    <t>Cable Standing Leg Curl</t>
  </si>
  <si>
    <t>Cable Standing Lift</t>
  </si>
  <si>
    <t>['Deltoid Posterior', 'Latissimus Dorsi', 'Serratus Anterior', 'Teres Major']</t>
  </si>
  <si>
    <t>Cable Standing One Arm Hammer Curl with Rope Attachment</t>
  </si>
  <si>
    <t>Cable Standing One Arm Tricep Pushdown (Overhand Grip)</t>
  </si>
  <si>
    <t>Cable Standing One Arm Triceps Extension</t>
  </si>
  <si>
    <t>Cable Standing One Arm Triceps Extension (female)</t>
  </si>
  <si>
    <t>Cable Standing One Leg Calf Raise</t>
  </si>
  <si>
    <t>Cable Standing Pulldown (with rope)</t>
  </si>
  <si>
    <t>Cable Standing Rear Delt Horizontal Row (with rope)</t>
  </si>
  <si>
    <t>Cable Standing Rear Delt Row (with rope)</t>
  </si>
  <si>
    <t>Cable Standing Rear Delt Row (with rope) (female)</t>
  </si>
  <si>
    <t>Cable Standing Reverse Grip Curl (Straight bar)</t>
  </si>
  <si>
    <t>Cable Standing Reverse Grip Curl (Straight bar) (female)</t>
  </si>
  <si>
    <t>Cable Standing Reverse Grip One Arm Overhead Tricep Extension</t>
  </si>
  <si>
    <t>Cable Standing Row</t>
  </si>
  <si>
    <t>Cable Standing Row (V-bar)</t>
  </si>
  <si>
    <t>Cable Standing Shoulder External Rotation</t>
  </si>
  <si>
    <t>Cable Standing Shoulder External Rotation (female)</t>
  </si>
  <si>
    <t>Cable Standing Twist Row (V-bar)</t>
  </si>
  <si>
    <t>Cable Standing Up Straight Crossovers</t>
  </si>
  <si>
    <t>Cable Standing Up Straight Crossovers (female)</t>
  </si>
  <si>
    <t>Cable Stiff Leg Deadlift from Stepbox</t>
  </si>
  <si>
    <t>Cable Straight Arm Pulldown</t>
  </si>
  <si>
    <t>Cable straight arm pulldown (version 2)</t>
  </si>
  <si>
    <t>Cable Straight Arm Pulldown (with rope)</t>
  </si>
  <si>
    <t>Cable Straight Back Seated Row</t>
  </si>
  <si>
    <t>Cable Straight Back Seated Row (female)</t>
  </si>
  <si>
    <t>Cable Straight Legs Pull Through (with rope) (female)</t>
  </si>
  <si>
    <t>Cable Supine Reverse Fly</t>
  </si>
  <si>
    <t>['Deltoid Lateral', 'Teres Major', 'Trapezius Lower Fibers', 'Trapezius Middle Fibers']</t>
  </si>
  <si>
    <t>Cable Thibaudeau Kayak Row</t>
  </si>
  <si>
    <t>['Latissimus Dorsi', 'Obliques']</t>
  </si>
  <si>
    <t>['Deltoid Posterior', 'Pectoralis Major Sternal Head', 'Rectus Abdominis', 'Teres Major', 'Triceps Brachii']</t>
  </si>
  <si>
    <t>Cable Triceps Pushdown (SZ-bar)</t>
  </si>
  <si>
    <t>Cable Triceps Pushdown (V bar) (female)</t>
  </si>
  <si>
    <t>Cable Triceps Pushdown (V-bar)</t>
  </si>
  <si>
    <t>Cable Triceps Pushdown (V-bar) (VERSION 2)</t>
  </si>
  <si>
    <t>Cable Triceps Pushdown (V-bar) (with arm blaster)</t>
  </si>
  <si>
    <t>Cable Triceps Pushdown on Floor</t>
  </si>
  <si>
    <t>Cable Tuck Reverse Crunch</t>
  </si>
  <si>
    <t>Cable Twist</t>
  </si>
  <si>
    <t>['Iliopsoas', 'Tensor Fasciae Latae']</t>
  </si>
  <si>
    <t>Cable twist (down up)</t>
  </si>
  <si>
    <t>['Adductor Longus', 'Adductor Magnus', 'Gluteus Medius', 'Iliopsoas', 'Pectineous', 'Tensor Fasciae Latae']</t>
  </si>
  <si>
    <t>Cable Twist (female)</t>
  </si>
  <si>
    <t>Cable twist (up down) version 2</t>
  </si>
  <si>
    <t>Cable twist (up-down)</t>
  </si>
  <si>
    <t>['Adductor Longus', 'Gluteus Medius', 'Iliopsoas', 'Tensor Fasciae Latae']</t>
  </si>
  <si>
    <t>Cable twist (version 2)</t>
  </si>
  <si>
    <t>['Adductor Brevis', 'Adductor Longus', 'Iliopsoas', 'Tensor Fasciae Latae']</t>
  </si>
  <si>
    <t>Cable Twist (VERSION 2) (male)</t>
  </si>
  <si>
    <t>Cable twisting overhead press</t>
  </si>
  <si>
    <t>['Adductor Magnus', 'Deltoid Lateral', 'Gastrocnemius', 'Gluteus Maximus', 'Obliques', 'Pectoralis Major Clavicular Head', 'Quadriceps', 'Serratus Anterior', 'Soleus', 'Trapezius Lower Fibers', 'Trapezius Middle Fibers']</t>
  </si>
  <si>
    <t>Cable twisting overhead press (female)</t>
  </si>
  <si>
    <t>Shoulders
Thighs
Waist</t>
  </si>
  <si>
    <t>Cable Twisting Pull</t>
  </si>
  <si>
    <t>['Brachialis', 'Brachioradialis', 'Deltoid Posterior', 'Infraspinatus', 'Obliques', 'Pectoralis Major Sternal Head', 'Teres Major', 'Teres Minor']</t>
  </si>
  <si>
    <t>Cable Twisting Standing high Row</t>
  </si>
  <si>
    <t>['Biceps Brachii', 'Brachialis', 'Brachioradialis', 'Deltoid Posterior', 'Obliques', 'Pectoralis Major Sternal Head']</t>
  </si>
  <si>
    <t>Cable twisting standing one arm chest press</t>
  </si>
  <si>
    <t>['Deltoid Anterior', 'Obliques', 'Pectoralis Major Clavicular Head', 'Tensor Fasciae Latae']</t>
  </si>
  <si>
    <t>Cable Twisting Standing Row</t>
  </si>
  <si>
    <t>['Deltoid Posterior', 'Pectoralis Major Sternal Head', 'Tensor Fasciae Latae', 'Triceps Brachii']</t>
  </si>
  <si>
    <t>Cable Two Arm Curl on Incline Bench</t>
  </si>
  <si>
    <t>Cable Two Arm Tricep Kickback</t>
  </si>
  <si>
    <t>Cable Two Arm Tricep Kickback (female)</t>
  </si>
  <si>
    <t>Cable Underhand Pulldown</t>
  </si>
  <si>
    <t>['Brachialis', 'Brachioradialis', 'Deltoid Posterior', 'Teres Major', 'Trapezius Lower Fibers', 'Trapezius Middle Fibers']</t>
  </si>
  <si>
    <t>Cable Unilateral Bicep Curl</t>
  </si>
  <si>
    <t>Cable Upper Chest Crossovers</t>
  </si>
  <si>
    <t>Cable Upper Chest Crossovers (female)</t>
  </si>
  <si>
    <t>Cable Upper Row</t>
  </si>
  <si>
    <t>Cable Upright Row</t>
  </si>
  <si>
    <t>Cable Upright Row (female)</t>
  </si>
  <si>
    <t>Cable vertical Pallof Press</t>
  </si>
  <si>
    <t>Cable Wide Grip Behind Neck Pulldown</t>
  </si>
  <si>
    <t>['Teres Major', 'Trapezius Lower Fibers']</t>
  </si>
  <si>
    <t>Cable Wide Grip Rear Pulldown Behind Neck (female)</t>
  </si>
  <si>
    <t>Cable Wide Neutral Grip PullDown</t>
  </si>
  <si>
    <t>Cable Wide Pulldown</t>
  </si>
  <si>
    <t>Cable Wide-Grip Lat Pulldown (female)</t>
  </si>
  <si>
    <t>['Biceps Brachii', 'Brachialis', 'Brachioradialis', 'Deltoid Posterior', 'Infraspinatus', 'Levator Scapulae', 'Teres Major', 'Teres Minor']</t>
  </si>
  <si>
    <t>Cable Wrist Curl</t>
  </si>
  <si>
    <t>Cable Y-raise</t>
  </si>
  <si>
    <t>Calf Raise from Deficit with Chair Supported</t>
  </si>
  <si>
    <t>Cambered Bar Lying Row</t>
  </si>
  <si>
    <t>Cambered Bar Lying Row (female)</t>
  </si>
  <si>
    <t>Captains Chair Leg Raise</t>
  </si>
  <si>
    <t>Captains Chair Straight Leg Raise</t>
  </si>
  <si>
    <t>Captains Chair Straight Leg Raise (female)</t>
  </si>
  <si>
    <t>Cheat Curl</t>
  </si>
  <si>
    <t>Chest Bench Press - Arms (WRONG-RIGHT)</t>
  </si>
  <si>
    <t>Chest Bench Press - Butt (WRONG-RIGHT)</t>
  </si>
  <si>
    <t>Chest Bench Press - Elbows (WRONG-RIGHT)</t>
  </si>
  <si>
    <t>Chest Bench Press - Forearms (WRONG-RIGHT)</t>
  </si>
  <si>
    <t>Chest Bench Press - Grip Width (WRONG-RIGHT)</t>
  </si>
  <si>
    <t>Chest Bench Press - Shoulders (WRONG-RIGHT)</t>
  </si>
  <si>
    <t>Chest Dip</t>
  </si>
  <si>
    <t>['Deltoid Anterior', 'Latissimus Dorsi', 'Levator Scapulae', 'Pectoralis Major Clavicular Head', 'Triceps Brachii']</t>
  </si>
  <si>
    <t>Chest Dip (female)</t>
  </si>
  <si>
    <t>Chest Dip (on dip-pull-up cage)</t>
  </si>
  <si>
    <t>Chest Dip on Straight Bar</t>
  </si>
  <si>
    <t>Chest Fly - Arms (WRONG-RIGHT)</t>
  </si>
  <si>
    <t>Chest Out Hands Behind (Hold) (female)</t>
  </si>
  <si>
    <t>Chest Tap Push-up (male)</t>
  </si>
  <si>
    <t>['Brachialis', 'Brachioradialis', 'Deltoid Anterior', 'Triceps Brachii']</t>
  </si>
  <si>
    <t>Chin Tuck</t>
  </si>
  <si>
    <t>Chin Tuck (female)</t>
  </si>
  <si>
    <t>Chin ups (narrow parallel grip) (female)</t>
  </si>
  <si>
    <t>Chin-Up</t>
  </si>
  <si>
    <t>Chin-Up (female)</t>
  </si>
  <si>
    <t>['Brachialis', 'Brachioradialis', 'Deltoid Posterior', 'Levator Scapulae', 'Teres Major', 'Trapezius Lower Fibers', 'Trapezius Middle Fibers']</t>
  </si>
  <si>
    <t>Chin-up (in squatting position)</t>
  </si>
  <si>
    <t>Chin-up (izometric and negative)</t>
  </si>
  <si>
    <t>Chin-Up Around the Bar</t>
  </si>
  <si>
    <t>Chin-ups (narrow parallel grip)</t>
  </si>
  <si>
    <t>Circles Arm</t>
  </si>
  <si>
    <t>Circles Arm (male)</t>
  </si>
  <si>
    <t>Circles Ball (wall)</t>
  </si>
  <si>
    <t>['Deltoid Posterior', 'Teres Major', 'Teres Minor']</t>
  </si>
  <si>
    <t>Circles Elbow Arm</t>
  </si>
  <si>
    <t>Clock Push-Up</t>
  </si>
  <si>
    <t>Close Grip Chin-Up</t>
  </si>
  <si>
    <t>['Biceps Brachii', 'Brachialis', 'Brachioradialis', 'Deltoid Posterior', 'Levator Scapulae', 'Pectoralis Major Sternal Head', 'Teres Major', 'Trapezius Lower Fibers', 'Trapezius Middle Fibers']</t>
  </si>
  <si>
    <t>Close Grip Pull-Up</t>
  </si>
  <si>
    <t>Close-Grip Chin-Up (female)</t>
  </si>
  <si>
    <t>['Brachialis', 'Brachioradialis', 'Deltoid Posterior', 'Teres Major']</t>
  </si>
  <si>
    <t>Close-grip Push-up</t>
  </si>
  <si>
    <t>Close-Grip Push-up (female)</t>
  </si>
  <si>
    <t>Close-grip Push-up (on knees)</t>
  </si>
  <si>
    <t>Close-grip Push-up (on knees) (female)</t>
  </si>
  <si>
    <t>Cobra Push-up</t>
  </si>
  <si>
    <t>Chest
Hips</t>
  </si>
  <si>
    <t>['Erector Spinae', 'Gluteus Maximus', 'Pectoralis Major Sternal Head']</t>
  </si>
  <si>
    <t>['Deltoid Anterior', 'Hamstrings', 'Pectoralis Major Clavicular Head', 'Triceps Brachii']</t>
  </si>
  <si>
    <t>Cocoons</t>
  </si>
  <si>
    <t>Cocoons (female)</t>
  </si>
  <si>
    <t>Commando Pull-up</t>
  </si>
  <si>
    <t>Commando Pull-up (female)</t>
  </si>
  <si>
    <t>Concentration Curl - Arms (WRONG-RIGHT)</t>
  </si>
  <si>
    <t>Corkscrew Push-up</t>
  </si>
  <si>
    <t>['Obliques', 'Pectoralis Major Sternal Head']</t>
  </si>
  <si>
    <t>Cossack Squats (female)</t>
  </si>
  <si>
    <t>Counterbalanced Skater Squat (male)</t>
  </si>
  <si>
    <t>Crab Twist Toe Touch</t>
  </si>
  <si>
    <t>['Gluteus Maximus', 'Hamstrings', 'Obliques', 'Rectus Abdominis']</t>
  </si>
  <si>
    <t>['Adductor Brevis', 'Adductor Longus', 'Adductor Magnus', 'Deltoid Posterior', 'Iliopsoas', 'Pectineous', 'Quadriceps', 'Sartorius', 'Tensor Fasciae Latae', 'Triceps Brachii']</t>
  </si>
  <si>
    <t>Criss Cross Leg Raises</t>
  </si>
  <si>
    <t>['Adductor Brevis', 'Adductor Longus', 'Adductor Magnus', 'Gluteus Medius', 'Iliopsoas', 'Pectineous', 'Rectus Abdominis']</t>
  </si>
  <si>
    <t>['Gracilis', 'Obliques', 'Quadriceps', 'Tensor Fasciae Latae']</t>
  </si>
  <si>
    <t>Cross Arms Push-up</t>
  </si>
  <si>
    <t>['Biceps Brachii', 'Brachialis', 'Brachioradialis', 'Deltoid Anterior', 'Pectoralis Major Clavicular Head', 'Pectoralis Major Sternal Head']</t>
  </si>
  <si>
    <t>Cross Body Crunch</t>
  </si>
  <si>
    <t>Cross Body Punch in Squat Position</t>
  </si>
  <si>
    <t>Cross Body Twisting Crunch</t>
  </si>
  <si>
    <t>Cross Twisting Sit-Up (female)</t>
  </si>
  <si>
    <t>Cross Twisting Sit-up (VERSION 2) (female)</t>
  </si>
  <si>
    <t>Crunch (arms on chest) (female)</t>
  </si>
  <si>
    <t>Crunch (arms straight)</t>
  </si>
  <si>
    <t>Crunch (arms straight) (male)</t>
  </si>
  <si>
    <t>Crunch (hands overhead)</t>
  </si>
  <si>
    <t>Crunch (leg raise)</t>
  </si>
  <si>
    <t>Crunch (legs on stability ball)</t>
  </si>
  <si>
    <t>Crunch (on bench)</t>
  </si>
  <si>
    <t>Crunch (on bench) (male)</t>
  </si>
  <si>
    <t>Crunch (on bosu ball)</t>
  </si>
  <si>
    <t>Crunch (on stability ball)</t>
  </si>
  <si>
    <t>Crunch (on stability ball) (female)</t>
  </si>
  <si>
    <t>Crunch (on stability ball, arms straight)</t>
  </si>
  <si>
    <t>Crunch (straight leg-up)</t>
  </si>
  <si>
    <t>Crunch - Back (WRONG-RIGHT)</t>
  </si>
  <si>
    <t>Crunch Floor</t>
  </si>
  <si>
    <t>Crunch Hold</t>
  </si>
  <si>
    <t>Crunch Single Leg Lift</t>
  </si>
  <si>
    <t>['Obliques', 'Sartorius', 'Tensor Fasciae Latae']</t>
  </si>
  <si>
    <t>Crunch with Leg Lift (male)</t>
  </si>
  <si>
    <t>Crunch with Medicine Ball</t>
  </si>
  <si>
    <t>Crunch with Medicine Ball (female)</t>
  </si>
  <si>
    <t>Crunchy Frog on Floor</t>
  </si>
  <si>
    <t>Chest
Hips
Thighs
Waist</t>
  </si>
  <si>
    <t>['Iliopsoas', 'Pectoralis Major Clavicular Head', 'Pectoralis Major Sternal Head', 'Quadriceps', 'Rectus Abdominis']</t>
  </si>
  <si>
    <t>['Biceps Brachii', 'Deltoid Anterior', 'Obliques', 'Tensor Fasciae Latae']</t>
  </si>
  <si>
    <t>Curl-up</t>
  </si>
  <si>
    <t>Curl-up (female)</t>
  </si>
  <si>
    <t>Curtsey Squat</t>
  </si>
  <si>
    <t>['Gluteus Medius', 'Gluteus Minimus', 'Quadriceps']</t>
  </si>
  <si>
    <t>['Adductor Brevis', 'Adductor Longus', 'Adductor Magnus', 'Gracilis', 'Iliopsoas', 'Pectineous', 'Sartorius']</t>
  </si>
  <si>
    <t>Dead Bug</t>
  </si>
  <si>
    <t>Dead Bug (female)</t>
  </si>
  <si>
    <t>Dead Bug (version 2)</t>
  </si>
  <si>
    <t>Dead Bug (version 2) (female)</t>
  </si>
  <si>
    <t>Dead Bug with Medicine Ball (male)</t>
  </si>
  <si>
    <t>Dead Bug with Stability Ball</t>
  </si>
  <si>
    <t>Deadlift - Back (WRONG-RIGHT)</t>
  </si>
  <si>
    <t>Deadlift - Hips (WRONG-RIGHT)</t>
  </si>
  <si>
    <t>Decline Bent Leg Reverse Crunch</t>
  </si>
  <si>
    <t>Decline Bent Leg Reverse Crunch (female)</t>
  </si>
  <si>
    <t>Decline Crunch</t>
  </si>
  <si>
    <t>Decline Crunch (female)</t>
  </si>
  <si>
    <t>Decline Diamond Push-up</t>
  </si>
  <si>
    <t>Decline Kneeling Push-up on Box</t>
  </si>
  <si>
    <t>Decline Leg Hip Raise</t>
  </si>
  <si>
    <t>Decline Pike Press (between benches)</t>
  </si>
  <si>
    <t>Decline Push-Up</t>
  </si>
  <si>
    <t>Decline Push-up (Kneeling) (female)</t>
  </si>
  <si>
    <t>Decline Push-up (on stability ball)</t>
  </si>
  <si>
    <t>Decline Push-up against Wall</t>
  </si>
  <si>
    <t>Decline Shoulder Tap</t>
  </si>
  <si>
    <t>['Obliques', 'Pectoralis Major Clavicular Head', 'Pectoralis Major Sternal Head']</t>
  </si>
  <si>
    <t>['Biceps Brachii', 'Brachialis', 'Brachioradialis', 'Deltoid Anterior', 'Rectus Abdominis', 'Triceps Brachii']</t>
  </si>
  <si>
    <t>Decline Sit up (female)</t>
  </si>
  <si>
    <t>Decline Sit-up</t>
  </si>
  <si>
    <t>['Quadriceps', 'Tensor Fasciae Latae']</t>
  </si>
  <si>
    <t>Decline Sit-up (arms straight)</t>
  </si>
  <si>
    <t>Decline Sit-Up (VERSION 3)</t>
  </si>
  <si>
    <t>Decline Sit-up and Russian Twist</t>
  </si>
  <si>
    <t>Decline Twisting Sit up (female)</t>
  </si>
  <si>
    <t>Deep Push Up</t>
  </si>
  <si>
    <t>['Biceps Brachii', 'Deltoid Anterior', 'Pectoralis Major Clavicular Head', 'Triceps Brachii']</t>
  </si>
  <si>
    <t>Deep Push-Up (female)</t>
  </si>
  <si>
    <t>Diagonal Lunge</t>
  </si>
  <si>
    <t>Diamond Press</t>
  </si>
  <si>
    <t>Back
Chest</t>
  </si>
  <si>
    <t>['Erector Spinae', 'Pectoralis Major Clavicular Head', 'Pectoralis Major Sternal Head']</t>
  </si>
  <si>
    <t>Diamond Push up (female)</t>
  </si>
  <si>
    <t>Diamond Push-up</t>
  </si>
  <si>
    <t>Diamond Push-up (on knees)</t>
  </si>
  <si>
    <t>Dip on Floor with Chair</t>
  </si>
  <si>
    <t>Chest
Upper Arms</t>
  </si>
  <si>
    <t>['Pectoralis Major Sternal Head', 'Triceps Brachii']</t>
  </si>
  <si>
    <t>['Deltoid Anterior', 'Latissimus Dorsi', 'Levator Scapulae']</t>
  </si>
  <si>
    <t>Dip on Floor with Chair (female)</t>
  </si>
  <si>
    <t>Dips between Chairs</t>
  </si>
  <si>
    <t>Donkey Calf Raise</t>
  </si>
  <si>
    <t>Donkey Calf Raise (female)</t>
  </si>
  <si>
    <t>Drop Push Up</t>
  </si>
  <si>
    <t>['Biceps Brachii', 'Brachialis', 'Deltoid Anterior', 'Pectoralis Major Clavicular Head', 'Triceps Brachii']</t>
  </si>
  <si>
    <t>Dumbbell 4 Ways Lateral Raise</t>
  </si>
  <si>
    <t>Dumbbell 6 Ways Raise</t>
  </si>
  <si>
    <t>Dumbbell Alternate Arnold Press</t>
  </si>
  <si>
    <t>Dumbbell Alternate Bench Press (high start)</t>
  </si>
  <si>
    <t>['Deltoid Posterior', 'Triceps Brachii']</t>
  </si>
  <si>
    <t>Dumbbell Alternate Biceps Curl</t>
  </si>
  <si>
    <t>Dumbbell Alternate Biceps Curl (female)</t>
  </si>
  <si>
    <t>Dumbbell Alternate Biceps Curl (with arm blaster)</t>
  </si>
  <si>
    <t>Dumbbell Alternate Chest Press on Stability Ball</t>
  </si>
  <si>
    <t>Dumbbell Alternate Front Raise (female)</t>
  </si>
  <si>
    <t>Dumbbell Alternate Hammer Preacher Curl</t>
  </si>
  <si>
    <t>Dumbbell Alternate Hammer Preacher Curl (female)</t>
  </si>
  <si>
    <t>Dumbbell Alternate Lateral Raise</t>
  </si>
  <si>
    <t>Dumbbell Alternate Preacher Curl</t>
  </si>
  <si>
    <t>Dumbbell Alternate Preacher Curl (female)</t>
  </si>
  <si>
    <t>Dumbbell Alternate Seated Hammer Curl</t>
  </si>
  <si>
    <t>Dumbbell Alternate Seated Hammer Curl (female)</t>
  </si>
  <si>
    <t>Dumbbell Alternate Shoulder Press (female)</t>
  </si>
  <si>
    <t>Dumbbell Alternate Shoulder Press (male)</t>
  </si>
  <si>
    <t>Dumbbell Alternate Side Press</t>
  </si>
  <si>
    <t>Dumbbell Alternate Side Press (female)</t>
  </si>
  <si>
    <t>Dumbbell Alternating Bicep Curl with Leg Raised on Exercise Ball</t>
  </si>
  <si>
    <t>Dumbbell Alternating Floor Press</t>
  </si>
  <si>
    <t>Dumbbell Alternating Floor Press (female)</t>
  </si>
  <si>
    <t>Dumbbell Alternating Seated Bicep Curl on Exercise Ball</t>
  </si>
  <si>
    <t>Dumbbell Alternating Seated Bicep Curl on Exercise Ball (female)</t>
  </si>
  <si>
    <t>Dumbbell
Stability ball</t>
  </si>
  <si>
    <t>Dumbbell Arnold Press (female)</t>
  </si>
  <si>
    <t>['Deltoid Lateral', 'Serratus Anterior']</t>
  </si>
  <si>
    <t>Dumbbell Arnold Press (version 2)</t>
  </si>
  <si>
    <t>Dumbbell Around Pullover</t>
  </si>
  <si>
    <t>['Latissimus Dorsi', 'Teres Major']</t>
  </si>
  <si>
    <t>Dumbbell Assisted Bulgarian Split Squat</t>
  </si>
  <si>
    <t>Dumbbell Banded Bench Press</t>
  </si>
  <si>
    <t>Dumbbell Bar Grip Sumo Squat (female)</t>
  </si>
  <si>
    <t>Dumbbell Bar Grip Sumo Squat (male)</t>
  </si>
  <si>
    <t>['Adductor Magnus', 'Tensor Fasciae Latae']</t>
  </si>
  <si>
    <t>Dumbbell Behind Back Finger Curl</t>
  </si>
  <si>
    <t>Dumbbell Behind Back Finger Curl (female)</t>
  </si>
  <si>
    <t>Dumbbell Bench Dip</t>
  </si>
  <si>
    <t>Dumbbell Bench Dip with Legs Elevated</t>
  </si>
  <si>
    <t>Dumbbell Bench One Leg Squat</t>
  </si>
  <si>
    <t>Dumbbell Bench Press (female)</t>
  </si>
  <si>
    <t>Dumbbell Bench Seated Press</t>
  </si>
  <si>
    <t>Dumbbell Bench Squat</t>
  </si>
  <si>
    <t>Dumbbell Bench Squat (female)</t>
  </si>
  <si>
    <t>Dumbbell Bench Supported External Rotation</t>
  </si>
  <si>
    <t>Dumbbell Bent Arm Iso Hold</t>
  </si>
  <si>
    <t>Dumbbell Bent Arm Lateral Raise (female)</t>
  </si>
  <si>
    <t>Dumbbell Bent Arm Lateral Raise (male)</t>
  </si>
  <si>
    <t>Dumbbell Bent Arm Pullover (female)</t>
  </si>
  <si>
    <t>Dumbbell Bent Arm Pullover with Knees Bent (female)</t>
  </si>
  <si>
    <t>Dumbbell Bent Over Alternate Rear Delt Fly</t>
  </si>
  <si>
    <t>Dumbbell Bent Over Face Pull</t>
  </si>
  <si>
    <t>Dumbbell Bent Over Reverse Row</t>
  </si>
  <si>
    <t>Dumbbell Bent Over Row</t>
  </si>
  <si>
    <t>Dumbbell Bent Over Row (female)</t>
  </si>
  <si>
    <t>Dumbbell Bent Over Row with Chest Support</t>
  </si>
  <si>
    <t>Dumbbell Bent over Single Arm Row (VERSION 2)</t>
  </si>
  <si>
    <t>Dumbbell Bicep Curl Lunge with Bowling Motion</t>
  </si>
  <si>
    <t>Dumbbell Bicep Curl on Exercise Ball with Leg Raised</t>
  </si>
  <si>
    <t>Dumbbell Bicep Curl With Stork Stance</t>
  </si>
  <si>
    <t>Dumbbell Biceps Curl</t>
  </si>
  <si>
    <t>Dumbbell Biceps Curl (female)</t>
  </si>
  <si>
    <t>Dumbbell Biceps Curl (with arm blaster)</t>
  </si>
  <si>
    <t>Dumbbell Biceps Curl (with arm blaster) (female)</t>
  </si>
  <si>
    <t>Dumbbell Biceps Curl Reverse</t>
  </si>
  <si>
    <t>Dumbbell Biceps Curl Reverse (female)</t>
  </si>
  <si>
    <t>Dumbbell Biceps Curl Squat</t>
  </si>
  <si>
    <t>Dumbbell Biceps Curl V Sit on Bosu Ball</t>
  </si>
  <si>
    <t>Dumbbell Biceps Curl with Overhead Extension on Stability Ball</t>
  </si>
  <si>
    <t>['Biceps Brachii', 'Triceps Brachii']</t>
  </si>
  <si>
    <t>Dumbbell Bridge Bench Press</t>
  </si>
  <si>
    <t>Dumbbell Bulgarian Split Squat (female)</t>
  </si>
  <si>
    <t>Dumbbell Chest Supported Lateral Raises</t>
  </si>
  <si>
    <t>['Deltoid Lateral', 'Serratus Anterior', 'Trapezius Middle Fibers']</t>
  </si>
  <si>
    <t>Dumbbell Clean</t>
  </si>
  <si>
    <t>Dumbbell Clean and Press</t>
  </si>
  <si>
    <t>['Adductor Magnus', 'Biceps Brachii', 'Brachialis', 'Brachioradialis', 'Deltoid Anterior', 'Deltoid Lateral', 'Erector Spinae', 'Gastrocnemius', 'Gluteus Maximus', 'Hamstrings', 'Pectoralis Major Clavicular Head', 'Quadriceps', 'Serratus Anterior', 'Soleus', 'Trapezius Lower Fibers', 'Trapezius Middle Fibers']</t>
  </si>
  <si>
    <t>Dumbbell Close Grip Curl</t>
  </si>
  <si>
    <t>Dumbbell Close Grip Press</t>
  </si>
  <si>
    <t>Dumbbell Close Grip Press (female)</t>
  </si>
  <si>
    <t>Dumbbell Close grip Press (female)</t>
  </si>
  <si>
    <t>Dumbbell Close Grip Shoulder Press Sit-up</t>
  </si>
  <si>
    <t>Dumbbell Close-grip Press</t>
  </si>
  <si>
    <t>Dumbbell Complex Push-Up Row Clean and Press</t>
  </si>
  <si>
    <t>Dumbbell Contralateral Forward Lunge</t>
  </si>
  <si>
    <t>Dumbbell Cossack Squats (male)</t>
  </si>
  <si>
    <t>Dumbbell Cossack Squats (VERSION 2) (male)</t>
  </si>
  <si>
    <t>Dumbbell Cross Body Hammer Curl</t>
  </si>
  <si>
    <t>Dumbbell Cross Body Hammer Curl (Version 2)</t>
  </si>
  <si>
    <t>Dumbbell Cross Body Hammer Curl (Version 2) (female)</t>
  </si>
  <si>
    <t>Dumbbell Crunch Up</t>
  </si>
  <si>
    <t>Dumbbell Cuban Press</t>
  </si>
  <si>
    <t>['Deltoid Lateral', 'Deltoid Posterior']</t>
  </si>
  <si>
    <t>['Pectoralis Major Clavicular Head', 'Serratus Anterior', 'Teres Major']</t>
  </si>
  <si>
    <t>Dumbbell Cuban Press (version 2)</t>
  </si>
  <si>
    <t>['Biceps Brachii', 'Brachialis', 'Brachioradialis', 'Pectoralis Major Clavicular Head', 'Serratus Anterior', 'Triceps Brachii']</t>
  </si>
  <si>
    <t>Dumbbell Curl Press Extension (male)</t>
  </si>
  <si>
    <t>Dumbbell Curl to Press (female)</t>
  </si>
  <si>
    <t>['Biceps Brachii', 'Brachialis', 'Deltoid Anterior']</t>
  </si>
  <si>
    <t>['Brachioradialis', 'Deltoid Lateral', 'Pectoralis Major Clavicular Head', 'Serratus Anterior', 'Triceps Brachii']</t>
  </si>
  <si>
    <t>Dumbbell Curtsey lunge</t>
  </si>
  <si>
    <t>['Adductor Brevis', 'Adductor Longus', 'Adductor Magnus', 'Gastrocnemius', 'Soleus', 'Tensor Fasciae Latae']</t>
  </si>
  <si>
    <t>Dumbbell Deadlift</t>
  </si>
  <si>
    <t>Dumbbell Deadlift (female)</t>
  </si>
  <si>
    <t>Dumbbell Deadlift (neutral grip)</t>
  </si>
  <si>
    <t>['Erector Spinae', 'Gluteus Maximus', 'Quadriceps']</t>
  </si>
  <si>
    <t>Dumbbell Deadlift (VERSION 2) (male)</t>
  </si>
  <si>
    <t>Dumbbell Deadlift Bent over Row</t>
  </si>
  <si>
    <t>Dumbbell Decline Bench Lunge</t>
  </si>
  <si>
    <t>Dumbbell Decline Bench Press</t>
  </si>
  <si>
    <t>Dumbbell Decline Bench Press (female)</t>
  </si>
  <si>
    <t>Dumbbell Decline Fly</t>
  </si>
  <si>
    <t>Dumbbell Decline Hammer Press</t>
  </si>
  <si>
    <t>Dumbbell Decline Lying Leg Curl</t>
  </si>
  <si>
    <t>Dumbbell Decline One Arm Fly</t>
  </si>
  <si>
    <t>Dumbbell Decline One Arm Hammer Press</t>
  </si>
  <si>
    <t>Dumbbell Decline Overhead Sit-up</t>
  </si>
  <si>
    <t>Dumbbell Decline Shrug</t>
  </si>
  <si>
    <t>Dumbbell Decline Shrug (version 2)</t>
  </si>
  <si>
    <t>Dumbbell Decline Sit-up</t>
  </si>
  <si>
    <t>Dumbbell Decline Triceps Extension</t>
  </si>
  <si>
    <t>Dumbbell Decline Triceps Extension (female)</t>
  </si>
  <si>
    <t>Dumbbell Decline Twist Fly</t>
  </si>
  <si>
    <t>Dumbbell Decline Twist Fly (female)</t>
  </si>
  <si>
    <t>Dumbbell Deep Push-up and Renegade Row</t>
  </si>
  <si>
    <t>Dumbbell Drag Bicep Curl</t>
  </si>
  <si>
    <t>Dumbbell Empty Can Exercise (male)</t>
  </si>
  <si>
    <t>Dumbbell External Rotation</t>
  </si>
  <si>
    <t>Dumbbell Face Down Lying Shoulder Press (male)</t>
  </si>
  <si>
    <t>Dumbbell Farmers Carry</t>
  </si>
  <si>
    <t>Dumbbell finger curls</t>
  </si>
  <si>
    <t>Dumbbell finger curls (female)</t>
  </si>
  <si>
    <t>Dumbbell Flat Around the World</t>
  </si>
  <si>
    <t>['Deltoid Lateral', 'Deltoid Posterior', 'Latissimus Dorsi', 'Serratus Anterior']</t>
  </si>
  <si>
    <t>Dumbbell Floor Fly</t>
  </si>
  <si>
    <t>Dumbbell Floor Wiper</t>
  </si>
  <si>
    <t>Dumbbell Fly (female)</t>
  </si>
  <si>
    <t>Dumbbell Fly (knees at 90 degrees)</t>
  </si>
  <si>
    <t>Dumbbell Fly on Exercise Ball</t>
  </si>
  <si>
    <t>Dumbbell Fly on Exercise Ball (female)</t>
  </si>
  <si>
    <t>Dumbbell forward leaning lunge</t>
  </si>
  <si>
    <t>['Adductor Magnus', 'Gastrocnemius', 'Soleus']</t>
  </si>
  <si>
    <t>Dumbbell Forward Lunge Triceps Extension</t>
  </si>
  <si>
    <t>Dumbbell Front Plank Arm Leg Raise</t>
  </si>
  <si>
    <t>Dumbbell Front Plank Arm Raise</t>
  </si>
  <si>
    <t>Dumbbell Front Rack Lunge</t>
  </si>
  <si>
    <t>Dumbbell Front Raise</t>
  </si>
  <si>
    <t>Dumbbell Front Raise (female)</t>
  </si>
  <si>
    <t>Dumbbell Front Raise (version 2)</t>
  </si>
  <si>
    <t>Dumbbell Front Raise (VERSION 2) (female)</t>
  </si>
  <si>
    <t>Dumbbell Front Squat</t>
  </si>
  <si>
    <t>Dumbbell Front Squat (female)</t>
  </si>
  <si>
    <t>Dumbbell Full Can Lateral Raise</t>
  </si>
  <si>
    <t>Dumbbell Full Can Lateral Raise (female)</t>
  </si>
  <si>
    <t>Dumbbell Full Swing</t>
  </si>
  <si>
    <t>['Deltoid Anterior', 'Gluteus Maximus', 'Hamstrings']</t>
  </si>
  <si>
    <t>['Adductor Magnus', 'Deltoid Lateral', 'Pectoralis Major Clavicular Head', 'Quadriceps', 'Serratus Anterior', 'Soleus']</t>
  </si>
  <si>
    <t>Dumbbell Glute Bridge</t>
  </si>
  <si>
    <t>Dumbbell Glute Bridge (female)</t>
  </si>
  <si>
    <t>Dumbbell Glute Dominant Step-Up</t>
  </si>
  <si>
    <t>Dumbbell Gobelt Curtsey Lunge</t>
  </si>
  <si>
    <t>['Adductor Brevis', 'Adductor Longus', 'Adductor Magnus', 'Gluteus Medius', 'Gracilis', 'Pectineous', 'Tensor Fasciae Latae']</t>
  </si>
  <si>
    <t>Dumbbell Goblet 2 sec Hold Squat</t>
  </si>
  <si>
    <t>Dumbbell Goblet Box Squat</t>
  </si>
  <si>
    <t>Dumbbell Goblet Split Squat</t>
  </si>
  <si>
    <t>Dumbbell Goblet Split Squat Front Foot Elevanted</t>
  </si>
  <si>
    <t>Dumbbell Goblet Split Squat Front Foot Elevanted (female)</t>
  </si>
  <si>
    <t>Dumbbell Goblet Squat</t>
  </si>
  <si>
    <t>Dumbbell Goblet Squat (female)</t>
  </si>
  <si>
    <t>Dumbbell Goblet Squat and Biceps Curl</t>
  </si>
  <si>
    <t>Dumbbell Good Morning Squat</t>
  </si>
  <si>
    <t>['Adductor Magnus', 'Hamstrings', 'Soleus']</t>
  </si>
  <si>
    <t>Dumbbell Half Kneeling Lift and Chop</t>
  </si>
  <si>
    <t>Dumbbell Half Kneeling Military Press</t>
  </si>
  <si>
    <t>Dumbbell Hammer Curl</t>
  </si>
  <si>
    <t>Dumbbell Hammer Curl (female)</t>
  </si>
  <si>
    <t>Dumbbell Hammer Curl (version 2)</t>
  </si>
  <si>
    <t>Dumbbell Hammer Curl on Exercise Ball</t>
  </si>
  <si>
    <t>Dumbbell Hammer Curl on Exercise Ball (female)</t>
  </si>
  <si>
    <t>Dumbbell Hammer Curls (with arm blaster)</t>
  </si>
  <si>
    <t>Dumbbell Hammer Curls (with arm blaster) (female)</t>
  </si>
  <si>
    <t>Dumbbell Hammer Grip Incline Bench Two Arm Row</t>
  </si>
  <si>
    <t>Dumbbell Hammer Grip Incline Bench Two Arm Row (female)</t>
  </si>
  <si>
    <t>Dumbbell Hammer Preacher Curl (female)</t>
  </si>
  <si>
    <t>Dumbbell Hang Clean</t>
  </si>
  <si>
    <t>Dumbbell Hang Clean and Jerk</t>
  </si>
  <si>
    <t>Dumbbell Hang Power Clean</t>
  </si>
  <si>
    <t>Dumbbell Hang Power Clean and Jerk</t>
  </si>
  <si>
    <t>Dumbbell Head Supported Row</t>
  </si>
  <si>
    <t>Dumbbell High Curl</t>
  </si>
  <si>
    <t>Dumbbell High Low Carry</t>
  </si>
  <si>
    <t>Dumbbell High Pull</t>
  </si>
  <si>
    <t>Dumbbell Hip Thrust</t>
  </si>
  <si>
    <t>Dumbbell Incline Alternate Bicep Curl</t>
  </si>
  <si>
    <t>Dumbbell Incline Alternate Hammer Curl</t>
  </si>
  <si>
    <t>Dumbbell Incline Alternate Press</t>
  </si>
  <si>
    <t>Dumbbell Incline Alternate Reverse Fly</t>
  </si>
  <si>
    <t>Dumbbell Incline Around the World</t>
  </si>
  <si>
    <t>['Deltoid Lateral', 'Deltoid Posterior', 'Latissimus Dorsi', 'Pectoralis Major Sternal Head', 'Serratus Anterior']</t>
  </si>
  <si>
    <t>Dumbbell Incline Bench Press</t>
  </si>
  <si>
    <t>Dumbbell Incline Bench Press (female)</t>
  </si>
  <si>
    <t>Dumbbell Incline Biceps Curl</t>
  </si>
  <si>
    <t>Dumbbell Incline Biceps Curl (70 degrees) (female)</t>
  </si>
  <si>
    <t>Dumbbell Incline Biceps Curl (female)</t>
  </si>
  <si>
    <t>Dumbbell Incline Biceps Curl (VERSION 2) (female)</t>
  </si>
  <si>
    <t>Dumbbell Incline Breeding</t>
  </si>
  <si>
    <t>Dumbbell Incline Close-grip Press Variation</t>
  </si>
  <si>
    <t>['Pectoralis Major Clavicular Head', 'Triceps Brachii']</t>
  </si>
  <si>
    <t>Dumbbell Incline Curl</t>
  </si>
  <si>
    <t>Dumbbell Incline Curl (version 2)</t>
  </si>
  <si>
    <t>Dumbbell Incline Fly</t>
  </si>
  <si>
    <t>Dumbbell Incline Fly (female)</t>
  </si>
  <si>
    <t>Dumbbell Incline Fly on Exercise Ball</t>
  </si>
  <si>
    <t>Dumbbell Incline Fly on Exercise Ball (female)</t>
  </si>
  <si>
    <t>Dumbbell Incline Front Raise</t>
  </si>
  <si>
    <t>Dumbbell Incline Front Raise with Chest Support</t>
  </si>
  <si>
    <t>Dumbbell Incline Hammer Curl</t>
  </si>
  <si>
    <t>Dumbbell Incline Hammer Curl (female)</t>
  </si>
  <si>
    <t>Dumbbell Incline Hammer Press</t>
  </si>
  <si>
    <t>Dumbbell Incline Hammer Press (female)</t>
  </si>
  <si>
    <t>Dumbbell Incline Hammer Press on Exercise Ball</t>
  </si>
  <si>
    <t>Dumbbell Incline Head Supported Row</t>
  </si>
  <si>
    <t>Dumbbell Incline Inner Biceps Curl</t>
  </si>
  <si>
    <t>Dumbbell Incline Inner Biceps Curl (female)</t>
  </si>
  <si>
    <t>Dumbbell Incline One Arm Fly</t>
  </si>
  <si>
    <t>Dumbbell Incline One Arm Fly on Exercise Ball</t>
  </si>
  <si>
    <t>Dumbbell Incline One Arm Front Raise with Chest Support</t>
  </si>
  <si>
    <t>Dumbbell Incline One Arm Hammer Press</t>
  </si>
  <si>
    <t>Dumbbell Incline One Arm Hammer Press on Exercise Ball</t>
  </si>
  <si>
    <t>Dumbbell Incline One Arm Lateral Raise</t>
  </si>
  <si>
    <t>['Deltoid Anterior', 'Serratus Anterior', 'Trapezius Upper Fibers']</t>
  </si>
  <si>
    <t>Dumbbell Incline One Arm Lateral Raise (female)</t>
  </si>
  <si>
    <t>Dumbbell Incline One Arm Press</t>
  </si>
  <si>
    <t>Dumbbell Incline One Arm Press on Exercise Ball</t>
  </si>
  <si>
    <t>Dumbbell Incline Palm in Press (female)</t>
  </si>
  <si>
    <t>Dumbbell Incline Palm-in Press</t>
  </si>
  <si>
    <t>Dumbbell Incline Press on Exercise Ball</t>
  </si>
  <si>
    <t>Dumbbell Incline Press on Exercise Ball (female)</t>
  </si>
  <si>
    <t>Dumbbell Incline Raise</t>
  </si>
  <si>
    <t>Dumbbell Incline Raise (female)</t>
  </si>
  <si>
    <t>Dumbbell Incline Rear Fly (female)</t>
  </si>
  <si>
    <t>Dumbbell Incline Rear Lateral Raise</t>
  </si>
  <si>
    <t>['Deltoid Anterior', 'Trapezius Lower Fibers', 'Trapezius Middle Fibers']</t>
  </si>
  <si>
    <t>Dumbbell Incline reverse-grip 30 degrees bench press</t>
  </si>
  <si>
    <t>['Biceps Brachii', 'Deltoid Anterior', 'Pectoralis Major Sternal Head', 'Triceps Brachii']</t>
  </si>
  <si>
    <t>Dumbbell Incline Row</t>
  </si>
  <si>
    <t>Dumbbell Incline Row (female)</t>
  </si>
  <si>
    <t>Dumbbell Incline Shoulder Raise</t>
  </si>
  <si>
    <t>Dumbbell Incline Shoulders Press</t>
  </si>
  <si>
    <t>Dumbbell Incline Shrug</t>
  </si>
  <si>
    <t>Dumbbell Incline Shrug (female)</t>
  </si>
  <si>
    <t>Dumbbell Incline Squeeze Press</t>
  </si>
  <si>
    <t>Dumbbell Incline T-Raise</t>
  </si>
  <si>
    <t>Dumbbell Incline Triceps Extension</t>
  </si>
  <si>
    <t>Dumbbell Incline Triceps Extension (female)</t>
  </si>
  <si>
    <t>Dumbbell Incline Twisted Flyes</t>
  </si>
  <si>
    <t>Dumbbell Incline Two Arm Extension</t>
  </si>
  <si>
    <t>Dumbbell Incline Two Arm Extension (female)</t>
  </si>
  <si>
    <t>Dumbbell Incline Two Front Raise with Chest Support</t>
  </si>
  <si>
    <t>Dumbbell Incline Y-Raise</t>
  </si>
  <si>
    <t>['Infraspinatus', 'Serratus Anterior', 'Teres Minor', 'Trapezius Lower Fibers', 'Trapezius Middle Fibers']</t>
  </si>
  <si>
    <t>Dumbbell Ipsilateral Split Squat</t>
  </si>
  <si>
    <t>Dumbbell Iron Cross</t>
  </si>
  <si>
    <t>['Deltoid Lateral', 'Deltoid Posterior', 'Gluteus Maximus', 'Quadriceps']</t>
  </si>
  <si>
    <t>['Adductor Magnus', 'Deltoid Anterior', 'Pectoralis Major Clavicular Head', 'Pectoralis Major Sternal Head', 'Soleus']</t>
  </si>
  <si>
    <t>Dumbbell Iron Cross (female)</t>
  </si>
  <si>
    <t>Dumbbell KAS Glute Bridge (female)</t>
  </si>
  <si>
    <t>Dumbbell Kickback (female)</t>
  </si>
  <si>
    <t>Dumbbell Kickbacks on Exercise Ball</t>
  </si>
  <si>
    <t>Dumbbell Kneeling Arnold Press</t>
  </si>
  <si>
    <t>Dumbbell Kneeling Bicep Curl Exercise Ball</t>
  </si>
  <si>
    <t>Dumbbell Kneeling Hold to Stand</t>
  </si>
  <si>
    <t>['Adductor Magnus', 'Deltoid Lateral', 'Serratus Anterior', 'Soleus', 'Triceps Brachii']</t>
  </si>
  <si>
    <t>Dumbbell Kneeling Hold to Stand Clean grip</t>
  </si>
  <si>
    <t>Dumbbell Lateral Lunge</t>
  </si>
  <si>
    <t>Dumbbell Lateral Lunge with Bicep Curl</t>
  </si>
  <si>
    <t>Dumbbell Lateral Raise</t>
  </si>
  <si>
    <t>Dumbbell Lateral Step-Up (female)</t>
  </si>
  <si>
    <t>Dumbbell Lateral to Front Raise</t>
  </si>
  <si>
    <t>Dumbbell Low Fly</t>
  </si>
  <si>
    <t>Dumbbell Low Windmill</t>
  </si>
  <si>
    <t>Dumbbell Lunge (female)</t>
  </si>
  <si>
    <t>Dumbbell Lunge (VERSION 2)</t>
  </si>
  <si>
    <t>Dumbbell Lunge with Bicep Curl</t>
  </si>
  <si>
    <t>Dumbbell Lunge with Bicep Curl (female)</t>
  </si>
  <si>
    <t>Dumbbell Lying  Extension (across face)</t>
  </si>
  <si>
    <t>Dumbbell Lying Alternate Extension</t>
  </si>
  <si>
    <t>Dumbbell Lying Alternate Extension (female)</t>
  </si>
  <si>
    <t>Dumbbell Lying Close-Grip Parallel Row on Rack</t>
  </si>
  <si>
    <t>Dumbbell Lying Elbow Press</t>
  </si>
  <si>
    <t>Dumbbell Lying Extension (across face) (female)</t>
  </si>
  <si>
    <t>Dumbbell lying external shoulder rotation</t>
  </si>
  <si>
    <t>['Teres Minor']</t>
  </si>
  <si>
    <t>Dumbbell lying external shoulder rotation (female)</t>
  </si>
  <si>
    <t>Dumbbell Lying Femoral</t>
  </si>
  <si>
    <t>Dumbbell Lying Femoral (female)</t>
  </si>
  <si>
    <t>Dumbbell Lying Floor Skull Crusher</t>
  </si>
  <si>
    <t>Dumbbell Lying Hammer Press</t>
  </si>
  <si>
    <t>Dumbbell Lying Hammer Press (female)</t>
  </si>
  <si>
    <t>Dumbbell Lying Hammer Press (version 2)</t>
  </si>
  <si>
    <t>Dumbbell Lying Hamstring Curl</t>
  </si>
  <si>
    <t>Dumbbell Lying on Floor Chest Press</t>
  </si>
  <si>
    <t>Dumbbell Lying on Floor Hammer Press</t>
  </si>
  <si>
    <t>Dumbbell Lying on Floor Hammer Press (female)</t>
  </si>
  <si>
    <t>Dumbbell Lying on Floor Rear Delt Raise</t>
  </si>
  <si>
    <t>Dumbbell Lying One Arm Deltoid Rear</t>
  </si>
  <si>
    <t>Dumbbell Lying One Arm Press</t>
  </si>
  <si>
    <t>Dumbbell Lying One Arm Press (female)</t>
  </si>
  <si>
    <t>Dumbbell Lying One Arm Press (version 2)</t>
  </si>
  <si>
    <t>Dumbbell Lying One Arm Pronated Triceps Extension</t>
  </si>
  <si>
    <t>Dumbbell Lying One Arm Pronated Triceps Extension (female)</t>
  </si>
  <si>
    <t>Dumbbell Lying One Arm Rear Lateral Raise</t>
  </si>
  <si>
    <t>Dumbbell Lying One Arm Supinated Triceps Extension</t>
  </si>
  <si>
    <t>Dumbbell Lying One Arm Supinated Triceps Extension (female)</t>
  </si>
  <si>
    <t>Dumbbell Lying Pronation</t>
  </si>
  <si>
    <t>Dumbbell Lying Pronation on Floor</t>
  </si>
  <si>
    <t>Dumbbell Lying Pullover on Exercise Ball</t>
  </si>
  <si>
    <t>['Deltoid Posterior', 'Latissimus Dorsi', 'Levator Scapulae', 'Teres Major', 'Triceps Brachii']</t>
  </si>
  <si>
    <t>Dumbbell Lying Rear Delt Row</t>
  </si>
  <si>
    <t>Dumbbell Lying Rear Delt Row (female)</t>
  </si>
  <si>
    <t>Dumbbell Lying Rear Lateral Raise</t>
  </si>
  <si>
    <t>Dumbbell Lying Row on Rack</t>
  </si>
  <si>
    <t>Dumbbell Lying Single Extension</t>
  </si>
  <si>
    <t>Dumbbell Lying Single Extension (female)</t>
  </si>
  <si>
    <t>Dumbbell Lying Supination</t>
  </si>
  <si>
    <t>Dumbbell Lying Supination on Floor</t>
  </si>
  <si>
    <t>Dumbbell Lying Supine Biceps Curl</t>
  </si>
  <si>
    <t>Dumbbell Lying Supine Curl</t>
  </si>
  <si>
    <t>Dumbbell Lying Supine Curl (female)</t>
  </si>
  <si>
    <t>Dumbbell Lying Triceps Extension</t>
  </si>
  <si>
    <t>Dumbbell Lying Triceps Extension (female)</t>
  </si>
  <si>
    <t>Dumbbell Lying Triceps Extension on Floor (female)</t>
  </si>
  <si>
    <t>Dumbbell Lying Wide Curl</t>
  </si>
  <si>
    <t>Dumbbell Lying Wide-Grip Row on Rack</t>
  </si>
  <si>
    <t>Dumbbell Lying Woodchop</t>
  </si>
  <si>
    <t>Dumbbell Narrow Stance Squat (male)</t>
  </si>
  <si>
    <t>Dumbbell Neutral Grip Bench Press</t>
  </si>
  <si>
    <t>Dumbbell One Arm Bench Fly</t>
  </si>
  <si>
    <t>Dumbbell One Arm Bent over Row (female)</t>
  </si>
  <si>
    <t>['Brachialis', 'Brachioradialis', 'Infraspinatus', 'Latissimus Dorsi', 'Pectoralis Major Sternal Head', 'Teres Minor', 'Trapezius Lower Fibers', 'Trapezius Middle Fibers']</t>
  </si>
  <si>
    <t>Dumbbell One Arm Bent-over Row</t>
  </si>
  <si>
    <t>Dumbbell One Arm Chest Fly on Exercise Ball</t>
  </si>
  <si>
    <t>Dumbbell One Arm Concetration Curl (on stability ball)</t>
  </si>
  <si>
    <t>Dumbbell One Arm Concetration Curl (on stability ball) (female)</t>
  </si>
  <si>
    <t>Dumbbell One Arm Decline Chest Press</t>
  </si>
  <si>
    <t>Dumbbell One Arm Floor Fly</t>
  </si>
  <si>
    <t>Dumbbell One Arm Fly on Exercise Ball</t>
  </si>
  <si>
    <t>Dumbbell One Arm French Press on Exercise Ball</t>
  </si>
  <si>
    <t>Dumbbell One Arm French Press on Exercise Ball (female)</t>
  </si>
  <si>
    <t>Dumbbell One Arm Front Raise</t>
  </si>
  <si>
    <t>Dumbbell One Arm Hammer Preacher Curl</t>
  </si>
  <si>
    <t>Dumbbell One Arm Hammer Press on Exercise Ball</t>
  </si>
  <si>
    <t>Dumbbell One Arm Incline Chest Press</t>
  </si>
  <si>
    <t>Dumbbell One Arm Kickback</t>
  </si>
  <si>
    <t>Dumbbell One Arm Kickback (female)</t>
  </si>
  <si>
    <t>Dumbbell One Arm Lateral Raise</t>
  </si>
  <si>
    <t>Dumbbell One Arm Lateral Raise (female)_shoulder</t>
  </si>
  <si>
    <t>Dumbbell One Arm Lateral Raise (female)</t>
  </si>
  <si>
    <t>Dumbbell One Arm Low Fly</t>
  </si>
  <si>
    <t>Dumbbell One Arm Lunge</t>
  </si>
  <si>
    <t>Dumbbell One Arm Press (on stability ball)</t>
  </si>
  <si>
    <t>['Deltoid Anterior', 'Hamstrings', 'Triceps Brachii']</t>
  </si>
  <si>
    <t>Dumbbell One Arm Press on Exercise Ball</t>
  </si>
  <si>
    <t>Dumbbell One Arm Prone Curl</t>
  </si>
  <si>
    <t>Dumbbell One Arm Prone Hammer Curl</t>
  </si>
  <si>
    <t>Dumbbell One Arm Pullover on Exercise Ball</t>
  </si>
  <si>
    <t>Dumbbell One arm Revers Wrist Curl</t>
  </si>
  <si>
    <t>Dumbbell One arm Revers Wrist Curl (female)</t>
  </si>
  <si>
    <t>Dumbbell One Arm Reverse Fly (with support)</t>
  </si>
  <si>
    <t>Dumbbell One Arm Reverse Fly (with support) (female)</t>
  </si>
  <si>
    <t>Dumbbell One Arm Reverse Fly (with support) (VERSION 2)</t>
  </si>
  <si>
    <t>Dumbbell One Arm Reverse Grip Press</t>
  </si>
  <si>
    <t>Dumbbell One Arm Reverse Preacher Curl</t>
  </si>
  <si>
    <t>Dumbbell One Arm Reverse Spider Curl</t>
  </si>
  <si>
    <t>Dumbbell One Arm Row (rack support)</t>
  </si>
  <si>
    <t>Dumbbell One Arm Seated Bicep Curl on Exercise Ball</t>
  </si>
  <si>
    <t>Dumbbell One Arm Seated Hammer Curl</t>
  </si>
  <si>
    <t>Dumbbell One Arm Seated Neutral Wrist Curl</t>
  </si>
  <si>
    <t>Dumbbell One Arm Seated Neutral Wrist Curl (female)</t>
  </si>
  <si>
    <t>Dumbbell One Arm Shoulder Press</t>
  </si>
  <si>
    <t>Dumbbell One Arm Shoulder Press (version 2)</t>
  </si>
  <si>
    <t>Dumbbell One Arm Shoulder Press (version 2) (female)</t>
  </si>
  <si>
    <t>Dumbbell One Arm Snatch</t>
  </si>
  <si>
    <t>['Deltoid Anterior', 'Erector Spinae', 'Gluteus Maximus', 'Quadriceps']</t>
  </si>
  <si>
    <t>['Adductor Magnus', 'Deltoid Lateral', 'Gastrocnemius', 'Serratus Anterior', 'Soleus', 'Triceps Brachii']</t>
  </si>
  <si>
    <t>Dumbbell One Arm Standing Curl</t>
  </si>
  <si>
    <t>Dumbbell One Arm Standing Hammer Curl</t>
  </si>
  <si>
    <t>Dumbbell One Arm Thruster</t>
  </si>
  <si>
    <t>Dumbbell One Arm Triceps Extension (female)</t>
  </si>
  <si>
    <t>Dumbbell One Arm Triceps Extension (on bench)</t>
  </si>
  <si>
    <t>Dumbbell One Arm Triceps Extension (on bench) (female)</t>
  </si>
  <si>
    <t>Dumbbell One Arm Triceps Extension on Stability Ball</t>
  </si>
  <si>
    <t>Dumbbell One Arm Upright Row</t>
  </si>
  <si>
    <t>['Biceps Brachii', 'Brachialis', 'Brachioradialis', 'Deltoid Anterior', 'Infraspinatus', 'Pectoralis Major Clavicular Head', 'Serratus Anterior', 'Teres Minor', 'Trapezius Lower Fibers', 'Trapezius Middle Fibers']</t>
  </si>
  <si>
    <t>Dumbbell One Arm Upright Row (female)</t>
  </si>
  <si>
    <t>Dumbbell One Arm Wide-Grip Bench Press</t>
  </si>
  <si>
    <t>Dumbbell One arm Wrist Curl</t>
  </si>
  <si>
    <t>Dumbbell One arm Wrist Curl (female)_Forearm</t>
  </si>
  <si>
    <t>Dumbbell One Arm Y Elevation</t>
  </si>
  <si>
    <t>Dumbbell One Arm Zottman Preacher Curl</t>
  </si>
  <si>
    <t>['Brachialis', 'Brachioradialis', 'Wrist Flexors']</t>
  </si>
  <si>
    <t>Dumbbell One Arm Zottman Preacher Curl (female)</t>
  </si>
  <si>
    <t>Dumbbell One Leg Fly on Exercise Ball</t>
  </si>
  <si>
    <t>Dumbbell one leg squat</t>
  </si>
  <si>
    <t>Dumbbell Over Bench Neutral Wrist Curl</t>
  </si>
  <si>
    <t>Dumbbell Over Bench Neutral Wrist Curl (female)</t>
  </si>
  <si>
    <t>Dumbbell Over Bench One Arm  Neutral Wrist Curl</t>
  </si>
  <si>
    <t>Dumbbell Over Bench One Arm  Neutral Wrist Curl (female)</t>
  </si>
  <si>
    <t>Dumbbell Over Bench One Arm Reverse Wrist Curl</t>
  </si>
  <si>
    <t>Dumbbell Over Bench One Arm Wrist Curl</t>
  </si>
  <si>
    <t>Dumbbell Over Bench One Arm Wrist Curl (female)</t>
  </si>
  <si>
    <t>Dumbbell Over Bench Revers Wrist Curl</t>
  </si>
  <si>
    <t>Dumbbell Over Bench Revers Wrist Curl (female)</t>
  </si>
  <si>
    <t>Dumbbell Over Bench Revers Wrist Curl with Mat (female)</t>
  </si>
  <si>
    <t>Dumbbell Over Bench Wrist Curl</t>
  </si>
  <si>
    <t>Dumbbell Over Bench Wrist Curl (female)</t>
  </si>
  <si>
    <t>Dumbbell Overhead Carry</t>
  </si>
  <si>
    <t>Dumbbell Overhead Lunge</t>
  </si>
  <si>
    <t>Dumbbell Overhead Side Lunge</t>
  </si>
  <si>
    <t>Dumbbell Overhead Sit-up</t>
  </si>
  <si>
    <t>Dumbbell Overhead Squat</t>
  </si>
  <si>
    <t>Dumbbell Palm Rotational Bent Over Row</t>
  </si>
  <si>
    <t>Dumbbell Palm Rotational Bent Over Row (female)</t>
  </si>
  <si>
    <t>Dumbbell Palms In Incline Bench Press</t>
  </si>
  <si>
    <t>['Deltoid Anterior', 'Pectoralis Major Sternal Head', 'Triceps Brachii']</t>
  </si>
  <si>
    <t>Dumbbell Partials Lateral Raise</t>
  </si>
  <si>
    <t>Dumbbell Peacher Hammer Curl</t>
  </si>
  <si>
    <t>Dumbbell Plank Pass Through</t>
  </si>
  <si>
    <t>['Obliques', 'Pectoralis Major Clavicular Head', 'Pectoralis Major Sternal Head', 'Rectus Abdominis', 'Trapezius Middle Fibers']</t>
  </si>
  <si>
    <t>['Deltoid Anterior', 'Deltoid Lateral', 'Deltoid Posterior', 'Gluteus Maximus', 'Gluteus Medius', 'Infraspinatus', 'Serratus Anterior', 'Tensor Fasciae Latae', 'Teres Major', 'Teres Minor', 'Trapezius Middle Fibers', 'Triceps Brachii']</t>
  </si>
  <si>
    <t>Dumbbell Plyo Squat</t>
  </si>
  <si>
    <t>Dumbbell Poliquin Lateral Raise</t>
  </si>
  <si>
    <t>Dumbbell Power Clean</t>
  </si>
  <si>
    <t>Dumbbell Power Clean and Jerk</t>
  </si>
  <si>
    <t>Dumbbell Preacher Curl</t>
  </si>
  <si>
    <t>Dumbbell Preacher Curl (female)</t>
  </si>
  <si>
    <t>Dumbbell Preacher Curl (Turned Torso)</t>
  </si>
  <si>
    <t>Dumbbell Preacher Curl over Exercise Ball</t>
  </si>
  <si>
    <t>Dumbbell Preacher Curl over Exercise Ball (female)</t>
  </si>
  <si>
    <t>Dumbbell Press on Exercise Ball</t>
  </si>
  <si>
    <t>Dumbbell Press on Exercise Ball (female)</t>
  </si>
  <si>
    <t>Dumbbell Press Squat</t>
  </si>
  <si>
    <t>Chest
Hips
Thighs</t>
  </si>
  <si>
    <t>['Gluteus Maximus', 'Pectoralis Major Clavicular Head', 'Pectoralis Major Sternal Head', 'Quadriceps']</t>
  </si>
  <si>
    <t>['Adductor Magnus', 'Deltoid Anterior', 'Deltoid Lateral', 'Soleus', 'Triceps Brachii']</t>
  </si>
  <si>
    <t>Dumbbell Pronate-grip Triceps Extension</t>
  </si>
  <si>
    <t>Dumbbell Pronate-grip Triceps Extension (female)</t>
  </si>
  <si>
    <t>Dumbbell Pronated Grip Row (female)</t>
  </si>
  <si>
    <t>Dumbbell Pronated to Neutral Grip Row (female)</t>
  </si>
  <si>
    <t>Dumbbell Prone Full Can Exercise (male)</t>
  </si>
  <si>
    <t>Dumbbell Prone Incline Curl</t>
  </si>
  <si>
    <t>Dumbbell Prone Incline Curl (female)</t>
  </si>
  <si>
    <t>Dumbbell Prone Incline Hammer Curl</t>
  </si>
  <si>
    <t>Dumbbell Prone Incline Hammer Curl (female)</t>
  </si>
  <si>
    <t>Dumbbell Prone Rear Delt Swing</t>
  </si>
  <si>
    <t>Dumbbell Prone Triceps Kickback</t>
  </si>
  <si>
    <t>Dumbbell Pullover</t>
  </si>
  <si>
    <t>['Deltoid Posterior', 'Latissimus Dorsi', 'Teres Major', 'Triceps Brachii']</t>
  </si>
  <si>
    <t>Dumbbell Pullover Hip Extension on Exercise Ball</t>
  </si>
  <si>
    <t>['Gluteus Maximus', 'Pectoralis Major Sternal Head']</t>
  </si>
  <si>
    <t>['Deltoid Posterior', 'Hamstrings', 'Latissimus Dorsi', 'Levator Scapulae', 'Teres Major', 'Triceps Brachii']</t>
  </si>
  <si>
    <t>Dumbbell Pullover on Exercise Ball</t>
  </si>
  <si>
    <t>Dumbbell Pullover on Exercise Ball (female)</t>
  </si>
  <si>
    <t>Dumbbell Pullover on floor</t>
  </si>
  <si>
    <t>Dumbbell Push Jerk</t>
  </si>
  <si>
    <t>Dumbbell Push Press</t>
  </si>
  <si>
    <t>['Adductor Magnus', 'Deltoid Anterior', 'Deltoid Lateral', 'Hamstrings', 'Pectoralis Major Clavicular Head', 'Quadriceps', 'Serratus Anterior', 'Soleus', 'Triceps Brachii']</t>
  </si>
  <si>
    <t>Dumbbell Push-up Front Raise</t>
  </si>
  <si>
    <t>Dumbbell Raise</t>
  </si>
  <si>
    <t>['Biceps Brachii', 'Brachialis', 'Brachioradialis', 'Deltoid Posterior', 'Serratus Anterior', 'Trapezius Upper Fibers']</t>
  </si>
  <si>
    <t>Dumbbell RDL and Bent over Row</t>
  </si>
  <si>
    <t>Dumbbell RDL Death March</t>
  </si>
  <si>
    <t>Dumbbell Rear Delt Fly (45 degrees)</t>
  </si>
  <si>
    <t>Dumbbell Rear Delt Fly (female)</t>
  </si>
  <si>
    <t>Dumbbell Rear Delt Raise</t>
  </si>
  <si>
    <t>['Brachialis', 'Brachioradialis', 'Deltoid Lateral', 'Levator Scapulae', 'Trapezius Upper Fibers', 'Wrist Flexors']</t>
  </si>
  <si>
    <t>Dumbbell Rear Delt Raise (female)</t>
  </si>
  <si>
    <t>Dumbbell Rear Delt Row (female)</t>
  </si>
  <si>
    <t>Dumbbell Rear Delt Row_shoulder</t>
  </si>
  <si>
    <t>Dumbbell Rear Fly</t>
  </si>
  <si>
    <t>Dumbbell Rear Fly (female)</t>
  </si>
  <si>
    <t>Dumbbell Rear Lateral Raise</t>
  </si>
  <si>
    <t>Dumbbell Rear Lateral Raise (support head)</t>
  </si>
  <si>
    <t>Dumbbell Rear Lunge</t>
  </si>
  <si>
    <t>Dumbbell Rear Lunge (female)</t>
  </si>
  <si>
    <t>Dumbbell Rear Lunge from Step (female)</t>
  </si>
  <si>
    <t>Dumbbell Rear Lunge Front Raise</t>
  </si>
  <si>
    <t>['Adductor Magnus', 'Deltoid Lateral', 'Pectoralis Major Clavicular Head', 'Serratus Anterior', 'Soleus']</t>
  </si>
  <si>
    <t>Dumbbell Renegade Row</t>
  </si>
  <si>
    <t>Dumbbell Renegade Row (female)</t>
  </si>
  <si>
    <t>Dumbbell Renegade Row to Squat</t>
  </si>
  <si>
    <t>Back
Hips
Thighs
Waist</t>
  </si>
  <si>
    <t>Dumbbell Revers grip Biceps Curl</t>
  </si>
  <si>
    <t>Dumbbell Reverse Bench Press</t>
  </si>
  <si>
    <t>Dumbbell Reverse Bench Press (female)</t>
  </si>
  <si>
    <t>['Pectoralis Major Clavicular Head', 'Pectoralis Major Sternal Head', 'Triceps Brachii']</t>
  </si>
  <si>
    <t>Dumbbell Reverse Fly</t>
  </si>
  <si>
    <t>Dumbbell Reverse Grip Incline Bench One Arm Row</t>
  </si>
  <si>
    <t>Dumbbell Reverse Grip Incline Bench One Arm Row (female)</t>
  </si>
  <si>
    <t>Dumbbell Reverse Grip Incline Bench Two Arm Row</t>
  </si>
  <si>
    <t>Dumbbell Reverse Grip Incline Row (female)</t>
  </si>
  <si>
    <t>Dumbbell Reverse Grip Row (female)</t>
  </si>
  <si>
    <t>Dumbbell Reverse Grip Squeeze Bench Press</t>
  </si>
  <si>
    <t>Dumbbell Reverse Preacher Curl</t>
  </si>
  <si>
    <t>Dumbbell Reverse Spider Curl</t>
  </si>
  <si>
    <t>Dumbbell Reverse Wrist Curl</t>
  </si>
  <si>
    <t>Dumbbell Romanian Deadlift</t>
  </si>
  <si>
    <t>['Gluteus Maximus', 'Hamstrings']</t>
  </si>
  <si>
    <t>['Quadriceps', 'Soleus']</t>
  </si>
  <si>
    <t>Dumbbell Romanian Deadlift (female)</t>
  </si>
  <si>
    <t>['Hamstrings', 'Quadriceps', 'Soleus']</t>
  </si>
  <si>
    <t>Dumbbell Rotation Reverse Fly</t>
  </si>
  <si>
    <t>['Deltoid Anterior', 'Deltoid Lateral', 'Infraspinatus', 'Teres Minor', 'Trapezius Lower Fibers', 'Trapezius Middle Fibers']</t>
  </si>
  <si>
    <t>Dumbbell Rotational Grip Bench Press</t>
  </si>
  <si>
    <t>Dumbbell Russian Twist</t>
  </si>
  <si>
    <t>Dumbbell Russian Twist (female)</t>
  </si>
  <si>
    <t>Dumbbell Russian Twist (on stability ball)</t>
  </si>
  <si>
    <t>Dumbbell Russian Twist Close Grip Shoulder Press Sit-up</t>
  </si>
  <si>
    <t>Dumbbell Russian Twist with Legs Floor Off</t>
  </si>
  <si>
    <t>Dumbbell Scott Press</t>
  </si>
  <si>
    <t>['Deltoid Anterior', 'Serratus Anterior', 'Subscapularis', 'Trapezius Lower Fibers', 'Trapezius Middle Fibers']</t>
  </si>
  <si>
    <t>Dumbbell Scott Press (female)</t>
  </si>
  <si>
    <t>Dumbbell Seated Alternate Biceps Curl (female)</t>
  </si>
  <si>
    <t>Dumbbell Seated Alternate Front Raise</t>
  </si>
  <si>
    <t>Dumbbell Seated Alternate Front Raise (female)</t>
  </si>
  <si>
    <t>Dumbbell Seated Alternate Hammer Curl on Exercise Ball</t>
  </si>
  <si>
    <t>Dumbbell Seated Alternate Press</t>
  </si>
  <si>
    <t>Dumbbell Seated Alternate Press (female)</t>
  </si>
  <si>
    <t>Dumbbell Seated Alternate Shoulder</t>
  </si>
  <si>
    <t>Dumbbell Seated Bench Extension</t>
  </si>
  <si>
    <t>Dumbbell Seated Bent Arm Lateral raise</t>
  </si>
  <si>
    <t>['Deltoid Anterior', 'Serratus Anterior', 'Trapezius Lower Fibers', 'Trapezius Middle Fibers']</t>
  </si>
  <si>
    <t>Dumbbell Seated Bent Over Alternate Kickback</t>
  </si>
  <si>
    <t>Dumbbell Seated Bent Over Alternate Rear Delt Fly</t>
  </si>
  <si>
    <t>Dumbbell Seated Bent Over Rear Delt Row</t>
  </si>
  <si>
    <t>Dumbbell Seated Bent Over Triceps Extension</t>
  </si>
  <si>
    <t>Dumbbell Seated Bicep Curl</t>
  </si>
  <si>
    <t>Dumbbell Seated Biceps Curl (on stability ball)</t>
  </si>
  <si>
    <t>Dumbbell Seated Biceps Curl to Shoulder Press</t>
  </si>
  <si>
    <t>Dumbbell Seated Calf Raise</t>
  </si>
  <si>
    <t>Dumbbell Seated Calf Raise (female)</t>
  </si>
  <si>
    <t>Dumbbell Seated Close Grip Press</t>
  </si>
  <si>
    <t>Dumbbell Seated Cuban Press</t>
  </si>
  <si>
    <t>Dumbbell Seated Curl</t>
  </si>
  <si>
    <t>Dumbbell Seated Curl (female)</t>
  </si>
  <si>
    <t>Dumbbell Seated External Shoulder Rotation</t>
  </si>
  <si>
    <t>['Infraspinatus', 'Teres Minor']</t>
  </si>
  <si>
    <t>Dumbbell Seated Front and Back Tate Press</t>
  </si>
  <si>
    <t>['Deltoid Anterior', 'Deltoid Lateral', 'Deltoid Posterior', 'Pectoralis Major Clavicular Head', 'Serratus Anterior']</t>
  </si>
  <si>
    <t>Dumbbell Seated Front Raise</t>
  </si>
  <si>
    <t>Dumbbell Seated Front Raise (female)</t>
  </si>
  <si>
    <t>Dumbbell Seated Gittleson Shrug</t>
  </si>
  <si>
    <t>Dumbbell Seated Hammer Curl</t>
  </si>
  <si>
    <t>Dumbbell Seated Inner Biceps Curl</t>
  </si>
  <si>
    <t>Dumbbell Seated Kickback</t>
  </si>
  <si>
    <t>Dumbbell Seated Kickback (female)</t>
  </si>
  <si>
    <t>Dumbbell Seated Lateral Raise</t>
  </si>
  <si>
    <t>Dumbbell Seated Lateral Raise (female)</t>
  </si>
  <si>
    <t>Dumbbell Seated Lateral Raise (version 2)</t>
  </si>
  <si>
    <t>Dumbbell Seated Lateral Raise on Stability Ball</t>
  </si>
  <si>
    <t>Dumbbell Seated Lateral to Front Raise</t>
  </si>
  <si>
    <t>['Biceps Brachii', 'Pectoralis Major Clavicular Head', 'Serratus Anterior']</t>
  </si>
  <si>
    <t>Dumbbell Seated Neutral Wrist Curl</t>
  </si>
  <si>
    <t>Dumbbell Seated Neutral Wrist Curl (female)</t>
  </si>
  <si>
    <t>Dumbbell Seated on Exercise Ball Shoulder Press</t>
  </si>
  <si>
    <t>Dumbbell Seated One Arm Arnold Press (male)</t>
  </si>
  <si>
    <t>Dumbbell Seated One Arm Bicep Curl on Exercise Ball with Leg Raised</t>
  </si>
  <si>
    <t>Dumbbell Seated One Arm Front Raise</t>
  </si>
  <si>
    <t>Dumbbell Seated One Arm Kickback</t>
  </si>
  <si>
    <t>Dumbbell Seated One Arm Rotate</t>
  </si>
  <si>
    <t>Dumbbell Seated One Arm Shoulder Press</t>
  </si>
  <si>
    <t>['Biceps Brachii', 'Brachialis', 'Deltoid Lateral', 'Pectoralis Major Clavicular Head', 'Serratus Anterior', 'Triceps Brachii']</t>
  </si>
  <si>
    <t>Dumbbell Seated One Leg Calf Raise</t>
  </si>
  <si>
    <t>Dumbbell Seated One Leg Calf Raise - Hammer Grip</t>
  </si>
  <si>
    <t>Dumbbell Seated One Leg Calf Raise - Palm up</t>
  </si>
  <si>
    <t>Dumbbell Seated Palms Up Wrist Curl</t>
  </si>
  <si>
    <t>Dumbbell Seated Palms Up Wrist Curl (female)</t>
  </si>
  <si>
    <t>['Obliques', 'Quadriceps', 'Tensor Fasciae Latae']</t>
  </si>
  <si>
    <t>Dumbbell Seated Preacher Curl</t>
  </si>
  <si>
    <t>Dumbbell Seated Revers grip Concentration Curl</t>
  </si>
  <si>
    <t>Dumbbell Seated Reverse Grip Biceps Curl</t>
  </si>
  <si>
    <t>Dumbbell Seated Reverse Grip One Arm Overhead Tricep Extension</t>
  </si>
  <si>
    <t>Dumbbell Seated Shoulder Press</t>
  </si>
  <si>
    <t>Dumbbell Seated Shoulder Press (female)</t>
  </si>
  <si>
    <t>Dumbbell Seated Shoulder Press (parallel grip)</t>
  </si>
  <si>
    <t>Dumbbell Seated Shoulder Press (parallel grip) (female)</t>
  </si>
  <si>
    <t>Dumbbell Seated Triceps Extension</t>
  </si>
  <si>
    <t>Dumbbell Seated Triceps Extension (female)</t>
  </si>
  <si>
    <t>Dumbbell Seated Tuck Crunch on Floor</t>
  </si>
  <si>
    <t>Dumbbell Seated Tuck Twisting Crunch on Floor</t>
  </si>
  <si>
    <t>Dumbbell Seated Upright Alternate Squeeze Press</t>
  </si>
  <si>
    <t>Dumbbell Seated Zottman Curl (male)</t>
  </si>
  <si>
    <t>Dumbbell Shoulder Internal Rotation at 90 Abduction</t>
  </si>
  <si>
    <t>Dumbbell Shrug</t>
  </si>
  <si>
    <t>Dumbbell Shrug (female)</t>
  </si>
  <si>
    <t>Dumbbell Side Bench Squat</t>
  </si>
  <si>
    <t>Dumbbell Side Bend</t>
  </si>
  <si>
    <t>Dumbbell Side Bend (female)</t>
  </si>
  <si>
    <t>Dumbbell Side Bend (VERSION 2)</t>
  </si>
  <si>
    <t>Dumbbell Side Bridge</t>
  </si>
  <si>
    <t>['Gluteus Medius', 'Obliques', 'Tensor Fasciae Latae']</t>
  </si>
  <si>
    <t>Dumbbell Side Bridge (female)</t>
  </si>
  <si>
    <t>['Adductor Brevis', 'Adductor Longus', 'Gracilis', 'Iliopsoas', 'Popliteus']</t>
  </si>
  <si>
    <t>Dumbbell Side Bridge with Bent Leg (male)</t>
  </si>
  <si>
    <t>Dumbbell side lunge</t>
  </si>
  <si>
    <t>['Adductor Brevis', 'Adductor Longus', 'Adductor Magnus', 'Gastrocnemius', 'Quadriceps', 'Soleus']</t>
  </si>
  <si>
    <t>Dumbbell Side Lunge (VERSION 3)</t>
  </si>
  <si>
    <t>['Adductor Brevis', 'Adductor Longus', 'Adductor Magnus', 'Gracilis', 'Pectineous', 'Soleus']</t>
  </si>
  <si>
    <t>Dumbbell Side Lunge (VERSION 3) (female)</t>
  </si>
  <si>
    <t>Dumbbell Side Lunge with Shoulder Press</t>
  </si>
  <si>
    <t>Dumbbell Side Lying External Rotation (on a bench) (male)</t>
  </si>
  <si>
    <t>Dumbbell Side Lying One Hand Raise</t>
  </si>
  <si>
    <t>['Deltoid Posterior', 'Infraspinatus', 'Teres Minor', 'Trapezius Lower Fibers', 'Trapezius Middle Fibers']</t>
  </si>
  <si>
    <t>Dumbbell Side Plank with Rear Fly</t>
  </si>
  <si>
    <t>['Infraspinatus', 'Obliques', 'Pectoralis Major Clavicular Head', 'Pectoralis Major Sternal Head', 'Teres Minor', 'Trapezius Lower Fibers', 'Trapezius Middle Fibers']</t>
  </si>
  <si>
    <t>['Deltoid Anterior', 'Deltoid Lateral', 'Deltoid Posterior', 'Gluteus Maximus', 'Gluteus Medius', 'Rectus Abdominis', 'Tensor Fasciae Latae', 'Triceps Brachii']</t>
  </si>
  <si>
    <t>Dumbbell Side Squat</t>
  </si>
  <si>
    <t>['Adductor Brevis', 'Adductor Longus', 'Adductor Magnus', 'Gastrocnemius', 'Gracilis', 'Pectineous', 'Soleus']</t>
  </si>
  <si>
    <t>Dumbbell Single Arm Alternate Decline Bench Press</t>
  </si>
  <si>
    <t>Dumbbell Single Arm Alternate Fly</t>
  </si>
  <si>
    <t>Dumbbell Single Arm Bent Over Row</t>
  </si>
  <si>
    <t>Dumbbell Single Arm Floor Press</t>
  </si>
  <si>
    <t>Dumbbell Single Arm Neutral Grip Front Raise</t>
  </si>
  <si>
    <t>Dumbbell Single Arm Overhead Carry</t>
  </si>
  <si>
    <t>Dumbbell Single Arm Overhead Lunge</t>
  </si>
  <si>
    <t>Dumbbell Single Arm Preacher Curl (female)</t>
  </si>
  <si>
    <t>Dumbbell Single Arm Underhand Front Raise</t>
  </si>
  <si>
    <t>Dumbbell Single Leg Calf Raise</t>
  </si>
  <si>
    <t>Dumbbell Single Leg Calf Raise (female)</t>
  </si>
  <si>
    <t>Dumbbell Single Leg Calf Raise (female) (VERSION 2)</t>
  </si>
  <si>
    <t>Dumbbell Single Leg Deadlift</t>
  </si>
  <si>
    <t>Dumbbell Single Leg Deadlift (female)</t>
  </si>
  <si>
    <t>Dumbbell Single Leg Deadlift with Stepbox Support</t>
  </si>
  <si>
    <t>Dumbbell Single Leg Deadlift with Stepbox Support (female)</t>
  </si>
  <si>
    <t>Dumbbell Single Leg Deadlift with Wall Support (female)</t>
  </si>
  <si>
    <t>Dumbbell Single Leg Glute Bridge</t>
  </si>
  <si>
    <t>Dumbbell Single Leg Hip Thrust</t>
  </si>
  <si>
    <t>Dumbbell Single Leg Split Squat</t>
  </si>
  <si>
    <t>Dumbbell Single Leg Squat</t>
  </si>
  <si>
    <t>Dumbbell Single Leg Squat (female)</t>
  </si>
  <si>
    <t>Dumbbell Single Leg Squat (VERSION 2) (female)</t>
  </si>
  <si>
    <t>Dumbbell Single Leg Squat (VERSION 2) (male)</t>
  </si>
  <si>
    <t>Dumbbell Single Leg Step Up</t>
  </si>
  <si>
    <t>Dumbbell Single Leg Step-up on Bench</t>
  </si>
  <si>
    <t>Dumbbell Single Power Clean</t>
  </si>
  <si>
    <t>Dumbbell Single Spider Curl with Chest Support</t>
  </si>
  <si>
    <t>Dumbbell Single Stiff Leg Deadlift</t>
  </si>
  <si>
    <t>Dumbbell Single-arm Leaning Lateral Raise</t>
  </si>
  <si>
    <t>Dumbbell Sit-up</t>
  </si>
  <si>
    <t>Dumbbell Split Squat</t>
  </si>
  <si>
    <t>Dumbbell Split Squat (female)</t>
  </si>
  <si>
    <t>Dumbbell Split Squat Front Foot Elevanted</t>
  </si>
  <si>
    <t>Dumbbell Split Squat Front Foot Elevanted (female)</t>
  </si>
  <si>
    <t>Dumbbell Split Squat Front Foot Elevanted with Bosu Ball (female)</t>
  </si>
  <si>
    <t>Dumbbell Sprinter Thrust Chest Press</t>
  </si>
  <si>
    <t>['Gluteus Maximus', 'Iliopsoas', 'Pectoralis Major Clavicular Head', 'Pectoralis Major Sternal Head']</t>
  </si>
  <si>
    <t>['Adductor Magnus', 'Deltoid Anterior', 'Hamstrings', 'Quadriceps']</t>
  </si>
  <si>
    <t>Dumbbell Squat</t>
  </si>
  <si>
    <t>Dumbbell Squat (back on stability ball wall)</t>
  </si>
  <si>
    <t>Dumbbell Squat (female)</t>
  </si>
  <si>
    <t>Dumbbell Squat Hold Calf Raise</t>
  </si>
  <si>
    <t>Dumbbell Squat to Overhead Press</t>
  </si>
  <si>
    <t>Dumbbell Squeeze Bench Press</t>
  </si>
  <si>
    <t>Dumbbell Staggered Stance Romanian Deadlift</t>
  </si>
  <si>
    <t>Dumbbell Standing Alternate Arnold Press</t>
  </si>
  <si>
    <t>Dumbbell Standing Alternate Hammer Curl and Press</t>
  </si>
  <si>
    <t>Dumbbell Standing Alternate Overhead Press</t>
  </si>
  <si>
    <t>Dumbbell Standing Alternate Raise</t>
  </si>
  <si>
    <t>Dumbbell Standing Alternate Vertical Front Raises</t>
  </si>
  <si>
    <t>Dumbbell Standing Alternating Tricep Kickback</t>
  </si>
  <si>
    <t>Dumbbell Standing Arnold Press (male)</t>
  </si>
  <si>
    <t>Dumbbell Standing Around World</t>
  </si>
  <si>
    <t>['Deltoid Anterior', 'Latissimus Dorsi', 'Pectoralis Major Clavicular Head', 'Serratus Anterior', 'Teres Major']</t>
  </si>
  <si>
    <t>Dumbbell Standing Bent Arm Lateral raise (female)</t>
  </si>
  <si>
    <t>Dumbbell Standing Bent Arm Lateral Raise (male)</t>
  </si>
  <si>
    <t>Dumbbell Standing Bent Over One Arm Triceps Extension</t>
  </si>
  <si>
    <t>Dumbbell Standing Bent Over Two Arm Triceps Extension</t>
  </si>
  <si>
    <t>Dumbbell Standing Biceps Curl</t>
  </si>
  <si>
    <t>Dumbbell Standing Biceps Curl to Shoulder Press (male)</t>
  </si>
  <si>
    <t>Dumbbell Standing Calf Raise</t>
  </si>
  <si>
    <t>Dumbbell Standing Calf Raise (female)</t>
  </si>
  <si>
    <t>Dumbbell Standing Concentration Curl</t>
  </si>
  <si>
    <t>Dumbbell Standing Drag Curl (VERSION 2)</t>
  </si>
  <si>
    <t>Dumbbell Standing Front Raise Above Head</t>
  </si>
  <si>
    <t>Dumbbell Standing High Windmill</t>
  </si>
  <si>
    <t>Dumbbell Standing Inner Biceps Curl</t>
  </si>
  <si>
    <t>Dumbbell Standing Inner Biceps Curl (version 2)</t>
  </si>
  <si>
    <t>Dumbbell Standing Kickback</t>
  </si>
  <si>
    <t>Dumbbell Standing Kickback (female)</t>
  </si>
  <si>
    <t>Dumbbell Standing Lateral Raise (female)</t>
  </si>
  <si>
    <t>Dumbbell Standing One Arm Concentration Curl</t>
  </si>
  <si>
    <t>Dumbbell Standing One Arm Curl (over incline bench)</t>
  </si>
  <si>
    <t>Dumbbell Standing One Arm Curl (over incline bench) (female)</t>
  </si>
  <si>
    <t>Dumbbell Standing One Arm Curl Over Incline Bench</t>
  </si>
  <si>
    <t>Dumbbell Standing One Arm Extension</t>
  </si>
  <si>
    <t>Dumbbell Standing One Arm Palm In Press</t>
  </si>
  <si>
    <t>Dumbbell Standing One Arm Reverse Curl</t>
  </si>
  <si>
    <t>Dumbbell Standing Overhead Press</t>
  </si>
  <si>
    <t>Dumbbell Standing Overhead Press (female)</t>
  </si>
  <si>
    <t>['Deltoid Lateral', 'Levator Scapulae', 'Pectoralis Major Clavicular Head', 'Serratus Anterior', 'Triceps Brachii']</t>
  </si>
  <si>
    <t>Dumbbell Standing Palms In Press</t>
  </si>
  <si>
    <t>Dumbbell Standing Palms In Press (female)</t>
  </si>
  <si>
    <t>Dumbbell Standing Preacher Curl</t>
  </si>
  <si>
    <t>Dumbbell Standing Reverse Curl</t>
  </si>
  <si>
    <t>Dumbbell Standing Single Arm Arnold Press</t>
  </si>
  <si>
    <t>Dumbbell Standing Single Leg Calf Raise</t>
  </si>
  <si>
    <t>Dumbbell Standing Single Spider Curl</t>
  </si>
  <si>
    <t>Dumbbell Standing Triceps Extension</t>
  </si>
  <si>
    <t>Dumbbell Standing Triceps Extension (female)</t>
  </si>
  <si>
    <t>Dumbbell Standing Windmill</t>
  </si>
  <si>
    <t>Dumbbell Standing Zottman Preacher Curl</t>
  </si>
  <si>
    <t>Dumbbell Static Lunge</t>
  </si>
  <si>
    <t>Dumbbell Step Back Lunge and Row</t>
  </si>
  <si>
    <t>Dumbbell Step Up (female)</t>
  </si>
  <si>
    <t>Dumbbell Step Up Single Leg Balance with Bicep Curl</t>
  </si>
  <si>
    <t>Dumbbell Step-up</t>
  </si>
  <si>
    <t>Dumbbell Step-up (VERSION 2)</t>
  </si>
  <si>
    <t>Dumbbell Step-up Lunge</t>
  </si>
  <si>
    <t>Dumbbell Step-up Lunge (female)</t>
  </si>
  <si>
    <t>Dumbbell Step-up Split Squat</t>
  </si>
  <si>
    <t>Dumbbell Step-up Split Squat (female)</t>
  </si>
  <si>
    <t>Dumbbell Step-up with Knee Raise</t>
  </si>
  <si>
    <t>Dumbbell Stiff Leg Deadlift</t>
  </si>
  <si>
    <t>Dumbbell Stiff Leg Deadlift (female)</t>
  </si>
  <si>
    <t>Dumbbell Stiff Leg Deadlift on Bench</t>
  </si>
  <si>
    <t>Dumbbell Straight Arm Crunch</t>
  </si>
  <si>
    <t>Dumbbell Straight Arm Pullover</t>
  </si>
  <si>
    <t>Dumbbell Straight Arm Pullover (female)</t>
  </si>
  <si>
    <t>Dumbbell Straight Arm Pullover (knees at 90 degrees)</t>
  </si>
  <si>
    <t>['Deltoid Posterior', 'Latissimus Dorsi', 'Levator Scapulae', 'Teres Major']</t>
  </si>
  <si>
    <t>Dumbbell Straight Arm Pullover (with hanging band technique)</t>
  </si>
  <si>
    <t>['Deltoid Posterior', 'Latissimus Dorsi', 'Teres Major']</t>
  </si>
  <si>
    <t>Dumbbell Straight Arm Twisting Sit-up</t>
  </si>
  <si>
    <t>Dumbbell Straight Leg Deadlift</t>
  </si>
  <si>
    <t>Dumbbell Straight Leg Russian Twist</t>
  </si>
  <si>
    <t>['Iliopsoas', 'Quadriceps', 'Rectus Abdominis']</t>
  </si>
  <si>
    <t>Dumbbell Straight Legs Deadlift</t>
  </si>
  <si>
    <t>Dumbbell Suitcase Carry</t>
  </si>
  <si>
    <t>Dumbbell Sumo Deadlift (female)</t>
  </si>
  <si>
    <t>Dumbbell Sumo Pull Through</t>
  </si>
  <si>
    <t>Dumbbell Sumo Pull Through (female)</t>
  </si>
  <si>
    <t>['Adductor Magnus', 'Hamstrings', 'Quadriceps']</t>
  </si>
  <si>
    <t>Dumbbell Sumo Squat (back on stability ball wall)</t>
  </si>
  <si>
    <t>Dumbbell Sumo Squat (female)</t>
  </si>
  <si>
    <t>Dumbbell Sumo Squat (male)</t>
  </si>
  <si>
    <t>Dumbbell Sumo Squat off Benches (female)</t>
  </si>
  <si>
    <t>Dumbbell Superman</t>
  </si>
  <si>
    <t>Dumbbell Superman (female)</t>
  </si>
  <si>
    <t>Dumbbell Supported Squat</t>
  </si>
  <si>
    <t>Dumbbell Supported Squat (female)</t>
  </si>
  <si>
    <t>Dumbbell Svend Press</t>
  </si>
  <si>
    <t>Dumbbell Svend Press (female)</t>
  </si>
  <si>
    <t>Dumbbell Swing</t>
  </si>
  <si>
    <t>Dumbbell Swing (female)</t>
  </si>
  <si>
    <t>['Adductor Magnus', 'Pectoralis Major Clavicular Head', 'Quadriceps', 'Serratus Anterior', 'Soleus']</t>
  </si>
  <si>
    <t>Dumbbell Tate Press</t>
  </si>
  <si>
    <t>Dumbbell Thruster</t>
  </si>
  <si>
    <t>['Adductor Magnus', 'Deltoid Lateral', 'Pectoralis Major Clavicular Head', 'Soleus', 'Triceps Brachii']</t>
  </si>
  <si>
    <t>Dumbbell Thruster (female)</t>
  </si>
  <si>
    <t>Dumbbell Tricep Kickback With Stork Stance</t>
  </si>
  <si>
    <t>Dumbbell Twisted Fly</t>
  </si>
  <si>
    <t>Dumbbell Twisting Bench Press</t>
  </si>
  <si>
    <t>Dumbbell Two Arm Seated Hammer Curl on Exercise Ball</t>
  </si>
  <si>
    <t>Dumbbell Upright Row</t>
  </si>
  <si>
    <t>Dumbbell Upright Row (back POV)</t>
  </si>
  <si>
    <t>Dumbbell Upright Row (female)</t>
  </si>
  <si>
    <t>Dumbbell Upright Shoulder External Rotation</t>
  </si>
  <si>
    <t>Dumbbell V-up</t>
  </si>
  <si>
    <t>Dumbbell V-up (female)</t>
  </si>
  <si>
    <t>Dumbbell V-up (VERSION 2)</t>
  </si>
  <si>
    <t>Dumbbell W press (female)</t>
  </si>
  <si>
    <t>Dumbbell W-press</t>
  </si>
  <si>
    <t>Dumbbell Waiter Biceps Curl</t>
  </si>
  <si>
    <t>Dumbbell Walking Calf Raise</t>
  </si>
  <si>
    <t>Dumbbell Walking Lunge (female)</t>
  </si>
  <si>
    <t>Dumbbell Wall Squat</t>
  </si>
  <si>
    <t>Dumbbell Wood Chop Squat</t>
  </si>
  <si>
    <t>['Deltoid Anterior', 'Erector Spinae', 'Gluteus Maximus', 'Obliques', 'Quadriceps']</t>
  </si>
  <si>
    <t>['Adductor Magnus', 'Deltoid Lateral', 'Pectoralis Major Clavicular Head', 'Rectus Abdominis', 'Serratus Anterior', 'Soleus']</t>
  </si>
  <si>
    <t>Dumbbell Z Press</t>
  </si>
  <si>
    <t>Dumbbell Zottman Curl</t>
  </si>
  <si>
    <t>Dumbbell Zottman Preacher Curl</t>
  </si>
  <si>
    <t>Dumbbells Glute Bridge (female)</t>
  </si>
  <si>
    <t>Dumbbells Glute Bridge (VERSION 2) (female)</t>
  </si>
  <si>
    <t>Dumbbells Seated Triceps Extension</t>
  </si>
  <si>
    <t>Dumbbells Straight Arm Pullover (VERSION 2) (female)</t>
  </si>
  <si>
    <t>Dumbbells Sumo Squat (female)</t>
  </si>
  <si>
    <t>Dumbell One Arm Side Lying Bench Press (male)</t>
  </si>
  <si>
    <t>Elbow dips</t>
  </si>
  <si>
    <t>Elbow Lift - Reverse Push-Up</t>
  </si>
  <si>
    <t>Elbow to Knee Side Plank Crunch (female)</t>
  </si>
  <si>
    <t>['Gluteus Medius', 'Obliques', 'Quadriceps', 'Rectus Abdominis']</t>
  </si>
  <si>
    <t>Elbow to Knee Side Plank Crunch (male)</t>
  </si>
  <si>
    <t>['Gluteus Maximus', 'Gluteus Medius', 'Obliques', 'Quadriceps', 'Rectus Abdominis']</t>
  </si>
  <si>
    <t>Elbow to Knee Sit-up</t>
  </si>
  <si>
    <t>Elbow Up and Down Dynamic Plank</t>
  </si>
  <si>
    <t>['Rectus Abdominis', 'Triceps Brachii']</t>
  </si>
  <si>
    <t>['Deltoid Anterior', 'Iliopsoas', 'Obliques', 'Pectoralis Major Clavicular Head', 'Pectoralis Major Sternal Head', 'Tensor Fasciae Latae']</t>
  </si>
  <si>
    <t>Elbow Up and Down Dynamic Plank (female)</t>
  </si>
  <si>
    <t>Elbow-To-Knee</t>
  </si>
  <si>
    <t>Elevanted Inverted Row between 3 Chairs</t>
  </si>
  <si>
    <t>Elevanted Inverted Underhand Grip Row between 3 Chairs</t>
  </si>
  <si>
    <t>Elevanted Push-Up</t>
  </si>
  <si>
    <t>Elevated Seated Calf Raise</t>
  </si>
  <si>
    <t>Elevated Side Lunge</t>
  </si>
  <si>
    <t>Elevated Single Leg Hip Thrust (female)</t>
  </si>
  <si>
    <t>Elevated Single Leg Squat</t>
  </si>
  <si>
    <t>Elevated Standing Calf Raise</t>
  </si>
  <si>
    <t>Elevated Standing Single Leg Calf Raise</t>
  </si>
  <si>
    <t>Elevator</t>
  </si>
  <si>
    <t>Exercise Ball Alternating Arm Ups</t>
  </si>
  <si>
    <t>['Deltoid Posterior', 'Obliques']</t>
  </si>
  <si>
    <t>Exercise Ball Back Extension With Arms Extended</t>
  </si>
  <si>
    <t>Exercise Ball Back Extension With Hands Behind Head</t>
  </si>
  <si>
    <t>Exercise Ball Back Extension With Hands Behind Head (female)</t>
  </si>
  <si>
    <t>Exercise Ball Back Extension With Knees Off Ground</t>
  </si>
  <si>
    <t>Exercise Ball Back Extension With Rotation</t>
  </si>
  <si>
    <t>['Gluteus Maximus', 'Obliques', 'Rectus Abdominis']</t>
  </si>
  <si>
    <t>Exercise Ball Body Saw</t>
  </si>
  <si>
    <t>Exercise Ball Dip</t>
  </si>
  <si>
    <t>Exercise Ball Frog Crunch (female)</t>
  </si>
  <si>
    <t>Exercise Ball Leg Curl</t>
  </si>
  <si>
    <t>Exercise Ball on the Wall Calf Raise</t>
  </si>
  <si>
    <t>Exercise Ball on the Wall Calf Raise (tennis ball between ankles)</t>
  </si>
  <si>
    <t>Exercise Ball on the Wall Calf Raise (tennis ball between knees)</t>
  </si>
  <si>
    <t>Exercise Ball One Leg Prone Lower Body Rotation</t>
  </si>
  <si>
    <t>['Quadriceps', 'Tensor Fasciae Latae', 'Triceps Brachii']</t>
  </si>
  <si>
    <t>Exercise Ball One Legged Diagonal Kick Hamstring Curl</t>
  </si>
  <si>
    <t>['Gastrocnemius', 'Sartorius']</t>
  </si>
  <si>
    <t>Exercise Ball One Legged Diagonal Kick Hamstring Curl (female)</t>
  </si>
  <si>
    <t>Exercise Ball Pike Push up</t>
  </si>
  <si>
    <t>['Iliopsoas', 'Pectoralis Major Sternal Head', 'Rectus Abdominis']</t>
  </si>
  <si>
    <t>Exercise Ball Prone Leg Raise</t>
  </si>
  <si>
    <t>['Erector Spinae', 'Pectoralis Major Sternal Head']</t>
  </si>
  <si>
    <t>['Deltoid Anterior', 'Gluteus Maximus', 'Pectoralis Major Clavicular Head']</t>
  </si>
  <si>
    <t>Exercise Ball Serratus Wall Slide</t>
  </si>
  <si>
    <t>Exercise Ball Supine Triceps Extension</t>
  </si>
  <si>
    <t>Exercise Ball Wall Squat</t>
  </si>
  <si>
    <t>Extra Decline Sit-up</t>
  </si>
  <si>
    <t>EZ bar Biceps Curl (with arm blaster) (female)</t>
  </si>
  <si>
    <t>EZ Barbell</t>
  </si>
  <si>
    <t>EZ Bar California Skullcrusher (male)</t>
  </si>
  <si>
    <t>EZ Bar French Press on Exercise Ball</t>
  </si>
  <si>
    <t>EZ Bar Lying Bent Arms Pullover</t>
  </si>
  <si>
    <t>EZ Bar Lying Close Grip Triceps Extension Behind Head</t>
  </si>
  <si>
    <t>EZ Bar Reverse Grip Bent Over Row</t>
  </si>
  <si>
    <t>EZ Bar Seated Close Grip Concentration Curl</t>
  </si>
  <si>
    <t>EZ Bar Standing French Press</t>
  </si>
  <si>
    <t>EZ Barbell Anti Gravity Press</t>
  </si>
  <si>
    <t>['Deltoid Anterior', 'Deltoid Posterior']</t>
  </si>
  <si>
    <t>['Brachialis', 'Brachioradialis', 'Deltoid Lateral', 'Pectoralis Major Clavicular Head']</t>
  </si>
  <si>
    <t>EZ Barbell Anti Gravity Press (female)</t>
  </si>
  <si>
    <t>EZ Barbell Close grip Curl (female)</t>
  </si>
  <si>
    <t>EZ Barbell Close Grip Preacher Curl</t>
  </si>
  <si>
    <t>EZ Barbell Close-grip Curl</t>
  </si>
  <si>
    <t>EZ Barbell Curl</t>
  </si>
  <si>
    <t>EZ Barbell Curl (female)</t>
  </si>
  <si>
    <t>EZ Barbell Decline Close grip Face Press</t>
  </si>
  <si>
    <t>EZ Barbell Decline Close-grip Face Press (female)</t>
  </si>
  <si>
    <t>EZ Barbell Decline Triceps Extension</t>
  </si>
  <si>
    <t>EZ Barbell Incline Triceps Extension</t>
  </si>
  <si>
    <t>EZ Barbell JM Bench Press</t>
  </si>
  <si>
    <t>EZ Barbell Reverse Grip Curl</t>
  </si>
  <si>
    <t>EZ Barbell Reverse Grip Curl (female)</t>
  </si>
  <si>
    <t>EZ Barbell Reverse grip Preacher Curl</t>
  </si>
  <si>
    <t>EZ Barbell Seated Curls</t>
  </si>
  <si>
    <t>EZ Barbell Seated Triceps Extension</t>
  </si>
  <si>
    <t>EZ Barbell Spider Curl</t>
  </si>
  <si>
    <t>EZ-bar 21s</t>
  </si>
  <si>
    <t>EZ-bar Biceps Curl (with arm blaster)</t>
  </si>
  <si>
    <t>EZ-bar Close-Grip Bench Press</t>
  </si>
  <si>
    <t>EZ-bar Close-Grip Bench Press (female)</t>
  </si>
  <si>
    <t>EZ-bar Deadlift with Biceps Curl</t>
  </si>
  <si>
    <t>Hips
Thighs
Upper Arms</t>
  </si>
  <si>
    <t>['Biceps Brachii', 'Gluteus Maximus', 'Quadriceps']</t>
  </si>
  <si>
    <t>['Adductor Magnus', 'Brachialis', 'Brachioradialis', 'Gastrocnemius', 'Hamstrings', 'Soleus']</t>
  </si>
  <si>
    <t>EZ-bar Drag Bicep Curl</t>
  </si>
  <si>
    <t>EZ-bar Front Twist Raise</t>
  </si>
  <si>
    <t>['Levator Scapulae', 'Serratus Anterior', 'Trapezius Upper Fibers']</t>
  </si>
  <si>
    <t>EZ-bar Incline Front Raise</t>
  </si>
  <si>
    <t>EZ-Bar Knelling Rollout</t>
  </si>
  <si>
    <t>EZ-Bar Legs Side Pull-In Sit-up</t>
  </si>
  <si>
    <t>EZ-Bar Reverse Crunch</t>
  </si>
  <si>
    <t>EZ-Bar Russian Twist Sit-up</t>
  </si>
  <si>
    <t>EZ-bar Seated Close grip Shoulder Press</t>
  </si>
  <si>
    <t>['Deltoid Lateral', 'Pectoralis Major Clavicular Head', 'Triceps Brachii']</t>
  </si>
  <si>
    <t>EZ-Bar Shoulder Press Sit-up</t>
  </si>
  <si>
    <t>['Deltoid Anterior', 'Rectus Abdominis']</t>
  </si>
  <si>
    <t>EZ-Bar Standing Overhead Press</t>
  </si>
  <si>
    <t>EZ-Bar Up-Down Twist</t>
  </si>
  <si>
    <t>EZ-Barbell Lying Triceps Extension (female)</t>
  </si>
  <si>
    <t>EZ-Barbell Standing Preacher Curl</t>
  </si>
  <si>
    <t>EZ-Barbell Standing Wide Grip Biceps Curl</t>
  </si>
  <si>
    <t>Finger Curls</t>
  </si>
  <si>
    <t>Finger Push-up</t>
  </si>
  <si>
    <t>['Deltoid Anterior', 'Triceps Brachii', 'Wrist Extensors', 'Wrist Flexors']</t>
  </si>
  <si>
    <t>Flexion Leg Sit up (bent knee)</t>
  </si>
  <si>
    <t>['Iliopsoas', 'Obliques', 'Quadriceps']</t>
  </si>
  <si>
    <t>Flexion Leg Sit up (straight arm)</t>
  </si>
  <si>
    <t>Flexion Leg Sit-up (straight arm) (female)</t>
  </si>
  <si>
    <t>Floor Crunch Feet on Bench (female)</t>
  </si>
  <si>
    <t>Floor Fly (with barbell)</t>
  </si>
  <si>
    <t>Floor Fly with Towels</t>
  </si>
  <si>
    <t>Floor Hyperextension (female)</t>
  </si>
  <si>
    <t>Floor Twisting Crunch Feet on Bench (female)</t>
  </si>
  <si>
    <t>Flutter Kicks</t>
  </si>
  <si>
    <t>Flutter Kicks (hands under - hips head up) (female)</t>
  </si>
  <si>
    <t>Flutter Kicks (version 2)</t>
  </si>
  <si>
    <t>Flutter Kicks (version 3)</t>
  </si>
  <si>
    <t>Flutter Kicks (Version 3) (female)</t>
  </si>
  <si>
    <t>Fly agains Chains</t>
  </si>
  <si>
    <t>Forearm Wall Slide</t>
  </si>
  <si>
    <t>Forward Hops</t>
  </si>
  <si>
    <t>Forward Lunge (male)</t>
  </si>
  <si>
    <t>Forward Pulse Lunge with Hands Overhead</t>
  </si>
  <si>
    <t>Forward Step Front Plank (female)</t>
  </si>
  <si>
    <t>Forward to Side to Rear Lunge (female)</t>
  </si>
  <si>
    <t>Frankenstein squat</t>
  </si>
  <si>
    <t>Frog Crunch</t>
  </si>
  <si>
    <t>['Adductor Brevis', 'Adductor Longus', 'Obliques', 'Quadriceps', 'Sartorius', 'Tensor Fasciae Latae']</t>
  </si>
  <si>
    <t>Frog Crunch (female)</t>
  </si>
  <si>
    <t>Frog Hip Thrust (female)</t>
  </si>
  <si>
    <t>Frog Reverse Hyperextension (on a bench) (female)</t>
  </si>
  <si>
    <t>Frog Reverse Hyperextension (on a bench) (male)</t>
  </si>
  <si>
    <t>Frog Sit-up</t>
  </si>
  <si>
    <t>['Adductor Brevis', 'Adductor Longus', 'Iliopsoas', 'Pectineous', 'Rectus Abdominis']</t>
  </si>
  <si>
    <t>['Adductor Magnus', 'Gracilis', 'Obliques']</t>
  </si>
  <si>
    <t>Frogger</t>
  </si>
  <si>
    <t>['Gluteus Maximus', 'Gluteus Medius', 'Iliopsoas', 'Quadriceps', 'Rectus Abdominis']</t>
  </si>
  <si>
    <t>['Gastrocnemius', 'Hamstrings', 'Soleus', 'Tensor Fasciae Latae']</t>
  </si>
  <si>
    <t>Front Back Leg Raises</t>
  </si>
  <si>
    <t>Front Lever</t>
  </si>
  <si>
    <t>['Biceps Brachii', 'Brachialis', 'Brachioradialis', 'Iliopsoas', 'Obliques', 'Pectoralis Major Clavicular Head', 'Pectoralis Major Sternal Head', 'Quadriceps', 'Tensor Fasciae Latae', 'Triceps Brachii']</t>
  </si>
  <si>
    <t>Front Lever Reps</t>
  </si>
  <si>
    <t>Front Plank</t>
  </si>
  <si>
    <t>['Deltoid Anterior', 'Gluteus Maximus', 'Gluteus Medius', 'Obliques', 'Sartorius', 'Tensor Fasciae Latae']</t>
  </si>
  <si>
    <t>Front Plank - Butt (WRONG-RIGHT)</t>
  </si>
  <si>
    <t>Front Plank to Push up (female)</t>
  </si>
  <si>
    <t>Front Plank to Toe Tap (male)</t>
  </si>
  <si>
    <t>Front Plank Toe Tap (male)</t>
  </si>
  <si>
    <t>['Gluteus Medius', 'Rectus Abdominis']</t>
  </si>
  <si>
    <t>['Deltoid Anterior', 'Gluteus Maximus', 'Obliques', 'Pectoralis Major Clavicular Head', 'Pectoralis Major Sternal Head', 'Quadriceps', 'Tensor Fasciae Latae']</t>
  </si>
  <si>
    <t>Front Plank with Arm and Leg Lift (female)</t>
  </si>
  <si>
    <t>['Gluteus Maximus', 'Rectus Abdominis']</t>
  </si>
  <si>
    <t>['Deltoid Anterior', 'Gastrocnemius', 'Hamstrings', 'Latissimus Dorsi', 'Obliques', 'Pectoralis Major Clavicular Head', 'Pectoralis Major Sternal Head', 'Serratus Anterior', 'Teres Major']</t>
  </si>
  <si>
    <t>Front Plank with Arm and Leg Lift (push-up position) (female)</t>
  </si>
  <si>
    <t>Front Plank with Arm Lift (female)</t>
  </si>
  <si>
    <t>Front Plank with Arm Lift (push-up position) (female)</t>
  </si>
  <si>
    <t>Front Plank with Leg Lift (female)</t>
  </si>
  <si>
    <t>['Deltoid Anterior', 'Gastrocnemius', 'Hamstrings', 'Obliques', 'Pectoralis Major Clavicular Head', 'Pectoralis Major Sternal Head', 'Serratus Anterior']</t>
  </si>
  <si>
    <t>Front Plank with Leg Lift (male)</t>
  </si>
  <si>
    <t>['Deltoid Anterior', 'Hamstrings', 'Iliopsoas', 'Obliques', 'Pectoralis Major Clavicular Head', 'Pectoralis Major Sternal Head', 'Serratus Anterior', 'Tensor Fasciae Latae']</t>
  </si>
  <si>
    <t>Front Plank with Twist</t>
  </si>
  <si>
    <t>['Deltoid Anterior', 'Gluteus Maximus', 'Gluteus Medius', 'Serratus Anterior', 'Tensor Fasciae Latae']</t>
  </si>
  <si>
    <t>Front to Side Plank (female)</t>
  </si>
  <si>
    <t>Full Planche Push-Up</t>
  </si>
  <si>
    <t>Chest
Upper Arms
Waist</t>
  </si>
  <si>
    <t>['Obliques', 'Pectoralis Major Clavicular Head', 'Pectoralis Major Sternal Head', 'Rectus Abdominis', 'Triceps Brachii']</t>
  </si>
  <si>
    <t>['Gluteus Maximus', 'Hamstrings', 'Latissimus Dorsi', 'Serratus Anterior', 'Tensor Fasciae Latae', 'Teres Major']</t>
  </si>
  <si>
    <t>Full Squat Mobility</t>
  </si>
  <si>
    <t>Gironda Sternum Chin</t>
  </si>
  <si>
    <t>Glute Bridge March</t>
  </si>
  <si>
    <t>Glute Bridge March (female)</t>
  </si>
  <si>
    <t>['Gluteus Maximus', 'Iliopsoas', 'Rectus Abdominis']</t>
  </si>
  <si>
    <t>Glute Bridge One Leg on Bench</t>
  </si>
  <si>
    <t>Glute Bridge One Leg on Floor (bent knee)</t>
  </si>
  <si>
    <t>Glute Bridge One Leg on Floor (straight leg)</t>
  </si>
  <si>
    <t>Glute Bridge Two Legs on Bench</t>
  </si>
  <si>
    <t>Glute Bridge Two Legs on Bench (male)</t>
  </si>
  <si>
    <t>Glute Bridge Two Legs on Floor (female)</t>
  </si>
  <si>
    <t>Glute Ham Developer Hip Extension</t>
  </si>
  <si>
    <t>Glute Ham Developer Sit-up and Russian Twist</t>
  </si>
  <si>
    <t>Glute Ham Hyperextension Twist</t>
  </si>
  <si>
    <t>Glute Ham Raise (VERSION 2)</t>
  </si>
  <si>
    <t>['Gastrocnemius', 'Gluteus Maximus']</t>
  </si>
  <si>
    <t>Glute Ham Raise with Extended Arms</t>
  </si>
  <si>
    <t>Glute Ham Single Leg Hyperextension</t>
  </si>
  <si>
    <t>Glute Ham Twist</t>
  </si>
  <si>
    <t>Glute March</t>
  </si>
  <si>
    <t>Glute-Ham Raise</t>
  </si>
  <si>
    <t>Good Morning Squat</t>
  </si>
  <si>
    <t>Gorilla Chin</t>
  </si>
  <si>
    <t>['Adductor Brevis', 'Adductor Longus', 'Biceps Brachii', 'Brachialis', 'Iliopsoas', 'Obliques', 'Pectineous', 'Sartorius', 'Tensor Fasciae Latae']</t>
  </si>
  <si>
    <t>Gorilla Chin (female)</t>
  </si>
  <si>
    <t>Grasshopper Push-up</t>
  </si>
  <si>
    <t>['Adductor Brevis', 'Adductor Longus', 'Deltoid Posterior', 'Gluteus Maximus', 'Gluteus Medius', 'Obliques', 'Sartorius', 'Tensor Fasciae Latae', 'Teres Major', 'Trapezius Lower Fibers', 'Trapezius Middle Fibers']</t>
  </si>
  <si>
    <t>Groin Crunch</t>
  </si>
  <si>
    <t>Groin Crunch (female)</t>
  </si>
  <si>
    <t>Sled machine</t>
  </si>
  <si>
    <t>Hack One Leg Calf Raise</t>
  </si>
  <si>
    <t>Half Sit-up (male)</t>
  </si>
  <si>
    <t>Half Wipers (bent leg)</t>
  </si>
  <si>
    <t>Hammer Grip Pull-up on Dip Cage</t>
  </si>
  <si>
    <t>Hammer Grip Pull-up on Dip Cage (female)</t>
  </si>
  <si>
    <t>['Brachialis', 'Brachioradialis', 'Teres Major', 'Trapezius Lower Fibers', 'Trapezius Middle Fibers']</t>
  </si>
  <si>
    <t>Hand Opposite Knee Crunch</t>
  </si>
  <si>
    <t>Hand Spring Wrist Curl</t>
  </si>
  <si>
    <t>Hands Release Push-Up (female)</t>
  </si>
  <si>
    <t>Handstand Push-Up</t>
  </si>
  <si>
    <t>['Deltoid Anterior', 'Deltoid Lateral', 'Pectoralis Major Clavicular Head', 'Pectoralis Major Sternal Head', 'Serratus Anterior', 'Teres Major']</t>
  </si>
  <si>
    <t>Handstand Push-Up (female)</t>
  </si>
  <si>
    <t>['Serratus Anterior', 'Teres Major']</t>
  </si>
  <si>
    <t>Handstand Shoulder Press with Wall (between benches)</t>
  </si>
  <si>
    <t>Hanging Deadbug</t>
  </si>
  <si>
    <t>Hanging Flutter Kick</t>
  </si>
  <si>
    <t>Hanging Half Windmill</t>
  </si>
  <si>
    <t>Hanging Knee Circle Raise</t>
  </si>
  <si>
    <t>Hanging Knees to Elbows</t>
  </si>
  <si>
    <t>Hanging Leg Hip Raise</t>
  </si>
  <si>
    <t>Hanging Leg Hip Raise (female)</t>
  </si>
  <si>
    <t>Hanging Leg Raise</t>
  </si>
  <si>
    <t>['Adductor Brevis', 'Adductor Longus', 'Pectineous', 'Serratus Anterior', 'Tensor Fasciae Latae']</t>
  </si>
  <si>
    <t>Hanging Oblique Knee Raise</t>
  </si>
  <si>
    <t>['Adductor Brevis', 'Adductor Longus', 'Adductor Magnus', 'Gluteus Medius', 'Gracilis', 'Quadriceps', 'Rectus Abdominis', 'Sartorius', 'Tensor Fasciae Latae']</t>
  </si>
  <si>
    <t>Hanging Oblique Knee Raise (female)</t>
  </si>
  <si>
    <t>['Adductor Brevis', 'Adductor Longus', 'Adductor Magnus', 'Pectineous', 'Quadriceps', 'Sartorius']</t>
  </si>
  <si>
    <t>Hanging Pike</t>
  </si>
  <si>
    <t>['Adductor Brevis', 'Adductor Longus', 'Iliopsoas', 'Obliques', 'Quadriceps', 'Sartorius', 'Tensor Fasciae Latae']</t>
  </si>
  <si>
    <t>Hanging Pike (female)</t>
  </si>
  <si>
    <t>Hanging Scapular Shrug</t>
  </si>
  <si>
    <t>Hanging Straight Leg Hip Raise</t>
  </si>
  <si>
    <t>['Adductor Brevis', 'Adductor Longus', 'Iliopsoas', 'Obliques', 'Quadriceps', 'Sartorius']</t>
  </si>
  <si>
    <t>Hanging Straight Leg Hip Raise (female)</t>
  </si>
  <si>
    <t>['Adductor Brevis', 'Adductor Longus', 'Adductor Magnus', 'Obliques', 'Quadriceps', 'Sartorius']</t>
  </si>
  <si>
    <t>Hanging Straight Leg Raise</t>
  </si>
  <si>
    <t>Hanging Straight Leg Raise (female)</t>
  </si>
  <si>
    <t>Hanging Straight Twisting Leg Hip Raise</t>
  </si>
  <si>
    <t>['Iliopsoas', 'Pectineous', 'Quadriceps']</t>
  </si>
  <si>
    <t>Hanging Straight Twisting Leg Hip Raise (female)</t>
  </si>
  <si>
    <t>Hanging Toes to Bar</t>
  </si>
  <si>
    <t>Hawaian Squat</t>
  </si>
  <si>
    <t>Heel Drops</t>
  </si>
  <si>
    <t>High Bar Inverted Row</t>
  </si>
  <si>
    <t>High Knee Run (female)</t>
  </si>
  <si>
    <t>High Knee Squat (VERSION 2) (male)</t>
  </si>
  <si>
    <t>Hip Clam Shell</t>
  </si>
  <si>
    <t>Hip Crunch (knees bent)</t>
  </si>
  <si>
    <t>Hip Lift - Low Back Off Floor</t>
  </si>
  <si>
    <t>Hip Raise (bent knee)</t>
  </si>
  <si>
    <t>Hip Raise (bent knee) (female)</t>
  </si>
  <si>
    <t>Hip Raise Bridge</t>
  </si>
  <si>
    <t>['Deltoid Anterior', 'Gluteus Maximus', 'Hamstrings', 'Obliques']</t>
  </si>
  <si>
    <t>Hip Raise Bridge (version 2)</t>
  </si>
  <si>
    <t>Hip Raise Crunch</t>
  </si>
  <si>
    <t>['Gluteus Maximus', 'Iliopsoas', 'Obliques', 'Quadriceps']</t>
  </si>
  <si>
    <t>Hip Roll Plank</t>
  </si>
  <si>
    <t>Hip Swirls</t>
  </si>
  <si>
    <t>['Adductor Brevis', 'Adductor Longus', 'Adductor Magnus', 'Gluteus Maximus', 'Gluteus Medius', 'Pectineous', 'Quadriceps']</t>
  </si>
  <si>
    <t>['Gracilis', 'Hamstrings', 'Sartorius', 'Soleus']</t>
  </si>
  <si>
    <t>Hip Thrusts</t>
  </si>
  <si>
    <t>Hip Thrusts (Female)</t>
  </si>
  <si>
    <t>Hollow Hold</t>
  </si>
  <si>
    <t>Hyght Dumbbell Fly</t>
  </si>
  <si>
    <t>Hyght Dumbbell Fly (female)</t>
  </si>
  <si>
    <t>Hyperextension</t>
  </si>
  <si>
    <t>Hyperextension (female)</t>
  </si>
  <si>
    <t>Hyperextension (on bench)</t>
  </si>
  <si>
    <t>Hyperextension (VERSION 2)</t>
  </si>
  <si>
    <t>Impossible dips</t>
  </si>
  <si>
    <t>Upper Arms
Waist</t>
  </si>
  <si>
    <t>Inchworm</t>
  </si>
  <si>
    <t>['Deltoid Anterior', 'Obliques', 'Rectus Abdominis', 'Triceps Brachii']</t>
  </si>
  <si>
    <t>['Adductor Magnus', 'Gluteus Maximus', 'Hamstrings', 'Pectoralis Major Clavicular Head', 'Pectoralis Major Sternal Head', 'Quadriceps', 'Serratus Anterior', 'Trapezius Lower Fibers', 'Trapezius Middle Fibers', 'Trapezius Upper Fibers', 'Wrist Extensors', 'Wrist Flexors']</t>
  </si>
  <si>
    <t>Inchworm (VERSION 2)</t>
  </si>
  <si>
    <t>['Iliopsoas', 'Obliques', 'Pectoralis Major Clavicular Head', 'Rectus Abdominis']</t>
  </si>
  <si>
    <t>['Adductor Magnus', 'Deltoid Anterior', 'Deltoid Lateral', 'Gluteus Maximus', 'Hamstrings', 'Quadriceps', 'Serratus Anterior', 'Trapezius Lower Fibers', 'Trapezius Middle Fibers', 'Trapezius Upper Fibers']</t>
  </si>
  <si>
    <t>Incline Alternate Flutter Kicks</t>
  </si>
  <si>
    <t>Incline Close Grip Push-up</t>
  </si>
  <si>
    <t>Incline Close-Grip Push-Up</t>
  </si>
  <si>
    <t>Incline Leg Hip Raise (leg straight)</t>
  </si>
  <si>
    <t>Incline Leg Hip Raise (leg straight) (female)</t>
  </si>
  <si>
    <t>Incline Push Press</t>
  </si>
  <si>
    <t>Incline Push-up</t>
  </si>
  <si>
    <t>Incline Push-Up (on bench) (male)</t>
  </si>
  <si>
    <t>Incline Push-Up (on box)</t>
  </si>
  <si>
    <t>Incline Reverse Grip Push-Up</t>
  </si>
  <si>
    <t>['Biceps Brachii', 'Brachialis', 'Brachioradialis', 'Deltoid Anterior', 'Pectoralis Major Clavicular Head']</t>
  </si>
  <si>
    <t>Incline Reverse Hyperextension</t>
  </si>
  <si>
    <t>Incline Scapula Push up</t>
  </si>
  <si>
    <t>Incline Shoulder Tap</t>
  </si>
  <si>
    <t>['Biceps Brachii', 'Brachialis', 'Brachioradialis', 'Deltoid Anterior']</t>
  </si>
  <si>
    <t>Incline Twisting Sit-up</t>
  </si>
  <si>
    <t>Incline Twisting Sit-up (version 2)</t>
  </si>
  <si>
    <t>['Pectineous', 'Quadriceps', 'Rectus Abdominis', 'Tensor Fasciae Latae']</t>
  </si>
  <si>
    <t>Inverse Leg Curl (bench support)</t>
  </si>
  <si>
    <t>Inverse Leg Curl (on pull-up cable machine)</t>
  </si>
  <si>
    <t>['Biceps Brachii', 'Deltoid Anterior', 'Gastrocnemius', 'Pectoralis Major Clavicular Head', 'Pectoralis Major Sternal Head', 'Popliteus', 'Sartorius', 'Triceps Brachii']</t>
  </si>
  <si>
    <t>Inverse Leg Curl with Bench Pads</t>
  </si>
  <si>
    <t>Inverted Chin Curl with Bent Knee between Chairs</t>
  </si>
  <si>
    <t>Inverted Row</t>
  </si>
  <si>
    <t>Inverted Row (female)</t>
  </si>
  <si>
    <t>Inverted Row (version 2)</t>
  </si>
  <si>
    <t>Inverted Row Bent Knee under Table (female)</t>
  </si>
  <si>
    <t>Inverted Row Bent Knees</t>
  </si>
  <si>
    <t>Inverted Row between Chairs</t>
  </si>
  <si>
    <t>Inverted Row between Chairs (female)</t>
  </si>
  <si>
    <t>Inverted Row on Bench</t>
  </si>
  <si>
    <t>Inverted Row Slide</t>
  </si>
  <si>
    <t>Inverted Row Slide on Floor</t>
  </si>
  <si>
    <t>Inverted Row under Table (female)</t>
  </si>
  <si>
    <t>Inverted Row with Bed Sheet</t>
  </si>
  <si>
    <t>Inverted Row with Bent Knee between Chairs</t>
  </si>
  <si>
    <t>Inverted Row with Straps</t>
  </si>
  <si>
    <t>Inverted Row with Straps (female)</t>
  </si>
  <si>
    <t>Suspension</t>
  </si>
  <si>
    <t>Inverted Shrug</t>
  </si>
  <si>
    <t>Inverted Shrug (on parallel bars)</t>
  </si>
  <si>
    <t>Inverted Underhand Grip Row between Chairs</t>
  </si>
  <si>
    <t>Inverted Wide Row</t>
  </si>
  <si>
    <t>['Latissimus Dorsi', 'Teres Major', 'Trapezius Lower Fibers', 'Trapezius Middle Fibers']</t>
  </si>
  <si>
    <t>Inverted Wide to Narrow Row</t>
  </si>
  <si>
    <t>Iron Cross Plank</t>
  </si>
  <si>
    <t>['Gluteus Maximus', 'Latissimus Dorsi', 'Obliques', 'Rectus Abdominis', 'Trapezius Lower Fibers', 'Trapezius Middle Fibers']</t>
  </si>
  <si>
    <t>Isometric Chest Squeeze</t>
  </si>
  <si>
    <t>Isometric Wipers</t>
  </si>
  <si>
    <t>['Biceps Brachii', 'Brachialis', 'Brachioradialis', 'Deltoid Anterior', 'Pectoralis Major Clavicular Head', 'Triceps Brachii']</t>
  </si>
  <si>
    <t>Jack knife Floor</t>
  </si>
  <si>
    <t>Jack knife on Ball</t>
  </si>
  <si>
    <t>Jack knife Sit-Up (female)</t>
  </si>
  <si>
    <t>Jack Plank</t>
  </si>
  <si>
    <t>['Deltoid Anterior', 'Gluteus Maximus', 'Obliques', 'Pectoralis Major Clavicular Head', 'Tensor Fasciae Latae', 'Triceps Brachii']</t>
  </si>
  <si>
    <t>Jack Plank on Medicine Ball (female)</t>
  </si>
  <si>
    <t>Jack Split Crunches</t>
  </si>
  <si>
    <t>['Adductor Brevis', 'Adductor Longus', 'Gluteus Maximus', 'Obliques', 'Pectineous', 'Quadriceps', 'Sartorius']</t>
  </si>
  <si>
    <t>Jack Step (male)</t>
  </si>
  <si>
    <t>Jackknife Sit-Up</t>
  </si>
  <si>
    <t>Janda Sit up (female)</t>
  </si>
  <si>
    <t>Janda Sit-up</t>
  </si>
  <si>
    <t>Kettlebell Advanced Windmill</t>
  </si>
  <si>
    <t>Kettlebell</t>
  </si>
  <si>
    <t>Kettlebell Alternating Hang Clean</t>
  </si>
  <si>
    <t>['Biceps Brachii', 'Brachialis', 'Brachioradialis']</t>
  </si>
  <si>
    <t>Kettlebell Alternating Press</t>
  </si>
  <si>
    <t>Kettlebell Alternating Press on Floor</t>
  </si>
  <si>
    <t>Kettlebell Alternating Press on Floor (female)</t>
  </si>
  <si>
    <t>Kettlebell Alternating Renegade Row</t>
  </si>
  <si>
    <t>['Infraspinatus', 'Latissimus Dorsi', 'Teres Major', 'Teres Minor', 'Trapezius Lower Fibers', 'Trapezius Middle Fibers', 'Trapezius Upper Fibers']</t>
  </si>
  <si>
    <t>Kettlebell Alternating Renegade Row (female)</t>
  </si>
  <si>
    <t>Kettlebell Alternating Row</t>
  </si>
  <si>
    <t>['Infraspinatus', 'Latissimus Dorsi', 'Teres Major', 'Teres Minor', 'Transverse Abdominus', 'Trapezius Lower Fibers', 'Trapezius Middle Fibers']</t>
  </si>
  <si>
    <t>Kettlebell Angled Press</t>
  </si>
  <si>
    <t>Kettlebell Arnold Press</t>
  </si>
  <si>
    <t>Kettlebell Around Head Rotation</t>
  </si>
  <si>
    <t>['Infraspinatus', 'Pectoralis Major Clavicular Head', 'Serratus Anterior', 'Teres Minor', 'Trapezius Lower Fibers', 'Trapezius Middle Fibers', 'Trapezius Upper Fibers']</t>
  </si>
  <si>
    <t>Kettlebell Assisted Bulgarian Split Squat</t>
  </si>
  <si>
    <t>Kettlebell Backward Lunge</t>
  </si>
  <si>
    <t>Kettlebell Banded Swing</t>
  </si>
  <si>
    <t>Kettlebell Bent Arm Pullover with Knees Bent (female)</t>
  </si>
  <si>
    <t>Kettlebell Bent over Alternate Twist Row</t>
  </si>
  <si>
    <t>Kettlebell Bent Press</t>
  </si>
  <si>
    <t>['Deltoid Lateral', 'Pectoralis Major Clavicular Head', 'Serratus Anterior', 'Tensor Fasciae Latae']</t>
  </si>
  <si>
    <t>Kettlebell Bent Press (female)</t>
  </si>
  <si>
    <t>['Deltoid Lateral', 'Iliopsoas', 'Pectoralis Major Clavicular Head', 'Tensor Fasciae Latae', 'Triceps Brachii']</t>
  </si>
  <si>
    <t>Kettlebell Bent-Over Row (female)</t>
  </si>
  <si>
    <t>Kettlebell Biceps Curl</t>
  </si>
  <si>
    <t>Kettlebell Bottom Up One Arm Bench Press</t>
  </si>
  <si>
    <t>Kettlebell Bottoms Up Clean From The Hang Position</t>
  </si>
  <si>
    <t>Kettlebell Bottoms Up to Knee Turkish Get-Up</t>
  </si>
  <si>
    <t>Kettlebell Box Squat</t>
  </si>
  <si>
    <t>Kettlebell Calf Raise and Front Squat (male)</t>
  </si>
  <si>
    <t>Kettlebell Clean and Jerk</t>
  </si>
  <si>
    <t>Kettlebell Clean and Press</t>
  </si>
  <si>
    <t>Kettlebell Concentration Curl</t>
  </si>
  <si>
    <t>Kettlebell Dead Bug</t>
  </si>
  <si>
    <t>Kettlebell Dead Clean</t>
  </si>
  <si>
    <t>Kettlebell deadlift</t>
  </si>
  <si>
    <t>Kettlebell Deadlift (female)</t>
  </si>
  <si>
    <t>Kettlebell Deck Squat</t>
  </si>
  <si>
    <t>Kettlebell Deep Push-Up</t>
  </si>
  <si>
    <t>Kettlebell Double Alternating Hang Clean</t>
  </si>
  <si>
    <t>Kettlebell Double Jerk</t>
  </si>
  <si>
    <t>Kettlebell Double Push Press</t>
  </si>
  <si>
    <t>Kettlebell Double Push Press (female)</t>
  </si>
  <si>
    <t>Kettlebell Double Snatch</t>
  </si>
  <si>
    <t>Kettlebell Double Windmill</t>
  </si>
  <si>
    <t>['Adductor Magnus', 'Iliopsoas', 'Pectineous', 'Tensor Fasciae Latae']</t>
  </si>
  <si>
    <t>Kettlebell Double Windmill (female)</t>
  </si>
  <si>
    <t>Kettlebell Dumbbell Sumo Squat off Stepbox (female)</t>
  </si>
  <si>
    <t>Kettlebell Elevanted Goblet Squat</t>
  </si>
  <si>
    <t>Kettlebell Extended Range One Arm Press on Floor</t>
  </si>
  <si>
    <t>Kettlebell Farmers Carry</t>
  </si>
  <si>
    <t>Kettlebell Figure 8</t>
  </si>
  <si>
    <t>Kettlebell Figure 8 (female)</t>
  </si>
  <si>
    <t>Kettlebell Floor Fly</t>
  </si>
  <si>
    <t>Kettlebell Forward Lunge</t>
  </si>
  <si>
    <t>Kettlebell Forward Lunge (female)</t>
  </si>
  <si>
    <t>Kettlebell Forward Lunge (VERSION 2) (female)</t>
  </si>
  <si>
    <t>Kettlebell Forward Lunge and Press (female)</t>
  </si>
  <si>
    <t>Kettlebell Front Raise</t>
  </si>
  <si>
    <t>Kettlebell Front Squat</t>
  </si>
  <si>
    <t>Kettlebell Front Squat (female)</t>
  </si>
  <si>
    <t>Kettlebell Full Squat from Deficit (female)</t>
  </si>
  <si>
    <t>Kettlebell Full Swing</t>
  </si>
  <si>
    <t>Hips
Shoulders</t>
  </si>
  <si>
    <t>['Adductor Magnus', 'Hamstrings', 'Pectoralis Major Clavicular Head', 'Serratus Anterior', 'Soleus']</t>
  </si>
  <si>
    <t>Kettlebell Gobelt Curtsey Lunge</t>
  </si>
  <si>
    <t>['Adductor Brevis', 'Adductor Longus', 'Adductor Magnus', 'Gastrocnemius', 'Gracilis', 'Hamstrings', 'Pectineous', 'Soleus']</t>
  </si>
  <si>
    <t>Kettlebell Goblet Carry</t>
  </si>
  <si>
    <t>Kettlebell Goblet Squat</t>
  </si>
  <si>
    <t>Kettlebell Goblet Squat (female)</t>
  </si>
  <si>
    <t>['Adductor Magnus', 'Gluteus Maximus', 'Soleus', 'Tensor Fasciae Latae']</t>
  </si>
  <si>
    <t>Kettlebell Goblet Squat Mobility</t>
  </si>
  <si>
    <t>Kettlebell Good Morning</t>
  </si>
  <si>
    <t>Kettlebell Half Kneeling One Arm Bottoms-Up Press</t>
  </si>
  <si>
    <t>Kettlebell Half Kneeling Shoulder Press</t>
  </si>
  <si>
    <t>Kettlebell Half Turkish Get Up</t>
  </si>
  <si>
    <t>Hips
Shoulders
Thighs
Waist</t>
  </si>
  <si>
    <t>Kettlebell Hang Clean</t>
  </si>
  <si>
    <t>Kettlebell Kickstand One Leg Deadlift</t>
  </si>
  <si>
    <t>Kettlebell Kneeling One Arm Bottoms Up Press</t>
  </si>
  <si>
    <t>Kettlebell Kneeling One Arm Shoulder Press</t>
  </si>
  <si>
    <t>Kettlebell Lateral Lunge</t>
  </si>
  <si>
    <t>Kettlebell Lateral Raise</t>
  </si>
  <si>
    <t>Kettlebell Lunge Clean and Press</t>
  </si>
  <si>
    <t>Kettlebell Lunge Pass Through</t>
  </si>
  <si>
    <t>['Adductor Magnus', 'Obliques', 'Soleus']</t>
  </si>
  <si>
    <t>Kettlebell Lunge Pass Through (female)</t>
  </si>
  <si>
    <t>Kettlebell Lunge with Twist</t>
  </si>
  <si>
    <t>Kettlebell Lying on Floor Chest Press</t>
  </si>
  <si>
    <t>Kettlebell Lying on Floor Single Arm Bottoms-up Chest Press</t>
  </si>
  <si>
    <t>Kettlebell Lying Triceps Extension Skull Crusher</t>
  </si>
  <si>
    <t>Kettlebell One Arm Bench Press</t>
  </si>
  <si>
    <t>Kettlebell One Arm Clean</t>
  </si>
  <si>
    <t>Kettlebell One Arm Clean and Jerk</t>
  </si>
  <si>
    <t>['Adductor Magnus', 'Biceps Brachii', 'Brachialis', 'Brachioradialis', 'Deltoid Anterior', 'Deltoid Lateral', 'Gastrocnemius', 'Gluteus Maximus', 'Hamstrings', 'Quadriceps', 'Serratus Anterior', 'Soleus', 'Triceps Brachii']</t>
  </si>
  <si>
    <t>Kettlebell One Arm Floor Press</t>
  </si>
  <si>
    <t>Kettlebell One Arm Jerk</t>
  </si>
  <si>
    <t>['Adductor Magnus', 'Deltoid Anterior', 'Deltoid Lateral', 'Gluteus Maximus', 'Hamstrings', 'Pectoralis Major Clavicular Head', 'Quadriceps', 'Triceps Brachii']</t>
  </si>
  <si>
    <t>Kettlebell One Arm Military Press To The Side</t>
  </si>
  <si>
    <t>['Deltoid Lateral', 'Serratus Anterior', 'Teres Major', 'Triceps Brachii']</t>
  </si>
  <si>
    <t>Kettlebell One Arm Overhead Squat</t>
  </si>
  <si>
    <t>Kettlebell One Arm Push Press</t>
  </si>
  <si>
    <t>['Biceps Brachii', 'Brachialis', 'Deltoid Lateral', 'Pectoralis Major Clavicular Head', 'Serratus Anterior']</t>
  </si>
  <si>
    <t>Kettlebell One Arm Row</t>
  </si>
  <si>
    <t>['Infraspinatus', 'Latissimus Dorsi', 'Teres Major', 'Teres Minor', 'Transverse Abdominus', 'Trapezius Lower Fibers', 'Trapezius Middle Fibers', 'Trapezius Upper Fibers']</t>
  </si>
  <si>
    <t>Kettlebell One Arm Snatch</t>
  </si>
  <si>
    <t>['Deltoid Anterior', 'Deltoid Lateral', 'Gastrocnemius', 'Gluteus Maximus', 'Hamstrings', 'Pectoralis Major Clavicular Head', 'Quadriceps', 'Serratus Anterior', 'Soleus', 'Triceps Brachii']</t>
  </si>
  <si>
    <t>Kettlebell One Arm Swing</t>
  </si>
  <si>
    <t>Kettlebell One Arm Thruster</t>
  </si>
  <si>
    <t>Kettlebell One Legged Deadlift</t>
  </si>
  <si>
    <t>Kettlebell Open Palm Clean</t>
  </si>
  <si>
    <t>Kettlebell Overhand Grip Swing (female)</t>
  </si>
  <si>
    <t>['Biceps Brachii', 'Deltoid Lateral', 'Gastrocnemius', 'Pectoralis Major Clavicular Head', 'Quadriceps', 'Serratus Anterior', 'Soleus']</t>
  </si>
  <si>
    <t>Kettlebell Overhead Carry</t>
  </si>
  <si>
    <t>Kettlebell Overhead Triceps Extension</t>
  </si>
  <si>
    <t>Kettlebell Pirate Ships</t>
  </si>
  <si>
    <t>['Latissimus Dorsi', 'Obliques', 'Serratus Anterior', 'Teres Major']</t>
  </si>
  <si>
    <t>Kettlebell Pistol Squat</t>
  </si>
  <si>
    <t>Kettlebell Plyo Push-up</t>
  </si>
  <si>
    <t>Kettlebell Press-Up (female)</t>
  </si>
  <si>
    <t>Kettlebell Pullover 3 Month Position</t>
  </si>
  <si>
    <t>['Deltoid Posterior', 'Pectoralis Major Sternal Head', 'Serratus Anterior', 'Triceps Brachii']</t>
  </si>
  <si>
    <t>Kettlebell Rear Delt Row (female)</t>
  </si>
  <si>
    <t>Kettlebell Rear Lunge</t>
  </si>
  <si>
    <t>Kettlebell Resistance Band Full Squat from Deficit (female)</t>
  </si>
  <si>
    <t>Kettlebell
Resistance Band</t>
  </si>
  <si>
    <t>Kettlebell Romanian Deadlift</t>
  </si>
  <si>
    <t>Kettlebell Rotational Deadlift (male)</t>
  </si>
  <si>
    <t>Kettlebell Russian Twist</t>
  </si>
  <si>
    <t>Kettlebell Seated One Arm Military Press</t>
  </si>
  <si>
    <t>Kettlebell Seated Press</t>
  </si>
  <si>
    <t>Kettlebell Seated Two Arm Military Press</t>
  </si>
  <si>
    <t>Kettlebell Seesaw Press</t>
  </si>
  <si>
    <t>['Deltoid Lateral', 'Obliques', 'Pectoralis Major Clavicular Head', 'Serratus Anterior', 'Triceps Brachii']</t>
  </si>
  <si>
    <t>Kettlebell Side Bend (VERSION 2)</t>
  </si>
  <si>
    <t>Kettlebell Side Lunge (female)</t>
  </si>
  <si>
    <t>Kettlebell Side Lunge (male)</t>
  </si>
  <si>
    <t>Kettlebell Side Plank (male)</t>
  </si>
  <si>
    <t>Kettlebell Side Squat Step (female)</t>
  </si>
  <si>
    <t>Kettlebell Single Arm Clean (female)</t>
  </si>
  <si>
    <t>Kettlebell Single Arm Clean and Press (female)</t>
  </si>
  <si>
    <t>Kettlebell Single Arm Overhead Lunge</t>
  </si>
  <si>
    <t>Kettlebell Single Arm Sit-Up (female)</t>
  </si>
  <si>
    <t>Kettlebell Single Arm Swing (female)</t>
  </si>
  <si>
    <t>Kettlebell Single Arm Thruster (female)</t>
  </si>
  <si>
    <t>Kettlebell Single Front Squat (male)</t>
  </si>
  <si>
    <t>Kettlebell Single Leg Deadlift (female)</t>
  </si>
  <si>
    <t>Kettlebell Single Leg Glute Bridge Pullover</t>
  </si>
  <si>
    <t>Back
Hips</t>
  </si>
  <si>
    <t>['Gluteus Maximus', 'Latissimus Dorsi']</t>
  </si>
  <si>
    <t>Kettlebell Single Leg Step Up (male)</t>
  </si>
  <si>
    <t>Kettlebell Sit-up</t>
  </si>
  <si>
    <t>Kettlebell Sit-Up (female)</t>
  </si>
  <si>
    <t>Kettlebell Sit-up Press</t>
  </si>
  <si>
    <t>Kettlebell Slingshot</t>
  </si>
  <si>
    <t>Kettlebell Snatch (female)</t>
  </si>
  <si>
    <t>Kettlebell Sots Press</t>
  </si>
  <si>
    <t>Kettlebell Split Snatch</t>
  </si>
  <si>
    <t>Kettlebell Split Squat</t>
  </si>
  <si>
    <t>Kettlebell Standing Bottoms Up One Arm Shoulder Press</t>
  </si>
  <si>
    <t>Kettlebell Standing Calf Raise</t>
  </si>
  <si>
    <t>Kettlebell Standing One Arm Extension</t>
  </si>
  <si>
    <t>Kettlebell Standing Slingshots (female)</t>
  </si>
  <si>
    <t>Kettlebell Step-Up</t>
  </si>
  <si>
    <t>Kettlebell Step-Up (VERSION 2)</t>
  </si>
  <si>
    <t>Kettlebell Straight leg Deadlift</t>
  </si>
  <si>
    <t>['Hamstrings', 'Soleus']</t>
  </si>
  <si>
    <t>Kettlebell Strict Press</t>
  </si>
  <si>
    <t>Kettlebell Suitcase Deadlift (male)</t>
  </si>
  <si>
    <t>Kettlebell Sumo Deadlift</t>
  </si>
  <si>
    <t>Kettlebell Sumo Deadlift with High Pull (male)</t>
  </si>
  <si>
    <t>Kettlebell Sumo High Pull</t>
  </si>
  <si>
    <t>['Adductor Magnus', 'Biceps Brachii', 'Brachialis', 'Brachioradialis', 'Deltoid Anterior', 'Deltoid Lateral', 'Gastrocnemius', 'Gluteus Maximus', 'Gluteus Medius', 'Hamstrings', 'Pectoralis Major Clavicular Head', 'Quadriceps', 'Serratus Anterior', 'Soleus']</t>
  </si>
  <si>
    <t>Kettlebell Sumo Squat (male)</t>
  </si>
  <si>
    <t>Kettlebell Sumo Squat (VERSION 2)</t>
  </si>
  <si>
    <t>Kettlebell Swing</t>
  </si>
  <si>
    <t>Kettlebell Swing (female)</t>
  </si>
  <si>
    <t>Kettlebell Swing Clean grip Front Squat Overhead Press</t>
  </si>
  <si>
    <t>Kettlebell Thruster</t>
  </si>
  <si>
    <t>['Adductor Magnus', 'Deltoid Anterior', 'Deltoid Lateral', 'Gastrocnemius', 'Hamstrings', 'Pectoralis Major Clavicular Head', 'Quadriceps', 'Serratus Anterior', 'Soleus', 'Triceps Brachii']</t>
  </si>
  <si>
    <t>Kettlebell Thruster (female)</t>
  </si>
  <si>
    <t>Kettlebell Turkish Get Up (Squat style)</t>
  </si>
  <si>
    <t>['Gluteus Maximus', 'Gluteus Medius', 'Obliques']</t>
  </si>
  <si>
    <t>Kettlebell Turkish Get-Up to Hand</t>
  </si>
  <si>
    <t>Kettlebell Two Arm Clean</t>
  </si>
  <si>
    <t>Kettlebell Two Arm Military Press</t>
  </si>
  <si>
    <t>Kettlebell Two Arm Row</t>
  </si>
  <si>
    <t>Kettlebell Upright Row</t>
  </si>
  <si>
    <t>Kettlebell Windmill</t>
  </si>
  <si>
    <t>Kettlebell Windmill (female)</t>
  </si>
  <si>
    <t>Kettlebell Wrist Curl</t>
  </si>
  <si>
    <t>Kettlebells Sumo Deadlift</t>
  </si>
  <si>
    <t>Kick out Sit</t>
  </si>
  <si>
    <t>Kicks Leg Bent</t>
  </si>
  <si>
    <t>['Hamstrings', 'Rectus Abdominis']</t>
  </si>
  <si>
    <t>Kicks Leg Bent (version 2)</t>
  </si>
  <si>
    <t>Kipping Handstand Push-up</t>
  </si>
  <si>
    <t>Kipping Muscle Up</t>
  </si>
  <si>
    <t>['Biceps Brachii', 'Brachialis', 'Brachioradialis', 'Deltoid Anterior', 'Deltoid Lateral', 'Obliques', 'Teres Major', 'Triceps Brachii']</t>
  </si>
  <si>
    <t>Knee Raise (male)</t>
  </si>
  <si>
    <t>Knee Touch Crunch</t>
  </si>
  <si>
    <t>Knee Touch Crunch (female)</t>
  </si>
  <si>
    <t>Knee Tuck Oblique Crunch</t>
  </si>
  <si>
    <t>Kneeling Abdominal Draw In</t>
  </si>
  <si>
    <t>Kneeling Assisted Sliding Chin-up</t>
  </si>
  <si>
    <t>['Biceps Brachii', 'Brachialis', 'Brachioradialis', 'Deltoid Anterior', 'Deltoid Lateral', 'Pectoralis Major Clavicular Head', 'Pectoralis Major Sternal Head', 'Triceps Brachii']</t>
  </si>
  <si>
    <t>Kneeling Battling Ropes</t>
  </si>
  <si>
    <t>Kneeling Cobra Push-up</t>
  </si>
  <si>
    <t>Kneeling Forward Hip Circles</t>
  </si>
  <si>
    <t>Kneeling Half Triceps Extension</t>
  </si>
  <si>
    <t>Kneeling Hip Flexor</t>
  </si>
  <si>
    <t>Kneeling Hip Thrust (female)</t>
  </si>
  <si>
    <t>Kneeling Leg Half Circle (female)</t>
  </si>
  <si>
    <t>['Adductor Brevis', 'Adductor Longus', 'Adductor Magnus', 'Erector Spinae', 'Gluteus Maximus', 'Gluteus Medius', 'Pectineous']</t>
  </si>
  <si>
    <t>Kneeling Leg Half Circle (male)</t>
  </si>
  <si>
    <t>Kneeling Modified Hindu Push-up (male)</t>
  </si>
  <si>
    <t>Kneeling Plank (female)</t>
  </si>
  <si>
    <t>['Deltoid Anterior', 'Gluteus Maximus', 'Obliques', 'Pectoralis Major Clavicular Head', 'Pectoralis Major Sternal Head']</t>
  </si>
  <si>
    <t>Kneeling plank (male)</t>
  </si>
  <si>
    <t>['Deltoid Anterior', 'Gluteus Maximus', 'Iliopsoas', 'Obliques', 'Pectoralis Major Clavicular Head', 'Pectoralis Major Sternal Head', 'Serratus Anterior', 'Tensor Fasciae Latae']</t>
  </si>
  <si>
    <t>Kneeling Plank Tap Shoulder (male)</t>
  </si>
  <si>
    <t>Kneeling Pulse</t>
  </si>
  <si>
    <t>Kneeling Pulse (male)</t>
  </si>
  <si>
    <t>Kneeling Push-up (male)</t>
  </si>
  <si>
    <t>Kneeling Rotational Push-up</t>
  </si>
  <si>
    <t>Chest
Waist</t>
  </si>
  <si>
    <t>['Deltoid Anterior', 'Rectus Abdominis', 'Triceps Brachii']</t>
  </si>
  <si>
    <t>Kneeling Scapular Push-Up (male)</t>
  </si>
  <si>
    <t>Kneeling Shoulder Tap</t>
  </si>
  <si>
    <t>Kneeling Shoulder Tap (female)</t>
  </si>
  <si>
    <t>['Biceps Brachii', 'Brachialis', 'Brachioradialis', 'Deltoid Anterior', 'Obliques', 'Rectus Abdominis']</t>
  </si>
  <si>
    <t>Kneeling Shoulder Tap Push-up (female)</t>
  </si>
  <si>
    <t>['Biceps Brachii', 'Brachialis', 'Brachioradialis', 'Deltoid Anterior', 'Triceps Brachii']</t>
  </si>
  <si>
    <t>Kneeling Side Leg to Kick (female)</t>
  </si>
  <si>
    <t>['Gluteus Medius', 'Quadriceps']</t>
  </si>
  <si>
    <t>['Gluteus Maximus', 'Tensor Fasciae Latae']</t>
  </si>
  <si>
    <t>Kneeling Side Leg to Kick (male)</t>
  </si>
  <si>
    <t>Kneeling Staggered Push-up (female)</t>
  </si>
  <si>
    <t>Kneeling Straight Leg Kickback (VERSION 2) (female)</t>
  </si>
  <si>
    <t>Kneeling Straight Leg Side Kick )female)</t>
  </si>
  <si>
    <t>Kneeling Wide Hand Push-Up</t>
  </si>
  <si>
    <t>Knuckle Push-Up</t>
  </si>
  <si>
    <t>Korean dips</t>
  </si>
  <si>
    <t>['Deltoid Anterior', 'Latissimus Dorsi', 'Levator Scapulae', 'Triceps Brachii']</t>
  </si>
  <si>
    <t>L-Pull-up</t>
  </si>
  <si>
    <t>L-sit</t>
  </si>
  <si>
    <t>['Iliopsoas', 'Quadriceps', 'Rectus Abdominis', 'Tensor Fasciae Latae', 'Triceps Brachii']</t>
  </si>
  <si>
    <t>Landmine 180</t>
  </si>
  <si>
    <t>Landmine 180 (female)</t>
  </si>
  <si>
    <t>Landmine Floor One Arm Chest Fly</t>
  </si>
  <si>
    <t>Landmine Front Squat</t>
  </si>
  <si>
    <t>Landmine Hack Squat</t>
  </si>
  <si>
    <t>Landmine Kneeling One Arm Shoulder Press</t>
  </si>
  <si>
    <t>Landmine Kneeling One Arm Shoulder Press (VERSION 2)</t>
  </si>
  <si>
    <t>Landmine Kneeling Squeeze Press</t>
  </si>
  <si>
    <t>Landmine Kneeling Thruster Press</t>
  </si>
  <si>
    <t>['Adductor Magnus', 'Deltoid Lateral', 'Pectoralis Major Clavicular Head', 'Serratus Anterior']</t>
  </si>
  <si>
    <t>Landmine Lateral Raise</t>
  </si>
  <si>
    <t>['Deltoid Anterior', 'Deltoid Posterior', 'Infraspinatus', 'Serratus Anterior', 'Teres Minor', 'Trapezius Lower Fibers', 'Trapezius Middle Fibers']</t>
  </si>
  <si>
    <t>Landmine One Arm Bent Over Row (Version 2)</t>
  </si>
  <si>
    <t>Landmine One Arm Bent-Over Bench Row</t>
  </si>
  <si>
    <t>Landmine One Arm Bent-Over Row</t>
  </si>
  <si>
    <t>Landmine One Leg Stiff Leg Deadlift</t>
  </si>
  <si>
    <t>Landmine Press</t>
  </si>
  <si>
    <t>Landmine Rear Lunge</t>
  </si>
  <si>
    <t>Landmine Rear Lunge (VERSION 2)</t>
  </si>
  <si>
    <t>Landmine Resistance Band One Arm Shoulder Press</t>
  </si>
  <si>
    <t>Landmine Romanian Deadlift (male)</t>
  </si>
  <si>
    <t>Landmine Romanian Deadlift (VERSION 2)</t>
  </si>
  <si>
    <t>Landmine Single Arm Press</t>
  </si>
  <si>
    <t>Landmine Single Leg Landmine RDL</t>
  </si>
  <si>
    <t>Landmine Squat and Press</t>
  </si>
  <si>
    <t>Landmine Squat and Press (female)</t>
  </si>
  <si>
    <t>Landmine Sumo Squat (male)</t>
  </si>
  <si>
    <t>Lateral Raise - Arms (WRONG-RIGHT)</t>
  </si>
  <si>
    <t>Lateral Raise with Towel</t>
  </si>
  <si>
    <t>Lateral Side Plank</t>
  </si>
  <si>
    <t>Lateral Side Plank (bent leg)</t>
  </si>
  <si>
    <t>Lateral Step-up</t>
  </si>
  <si>
    <t>Lateral Step-up with Knee Drive</t>
  </si>
  <si>
    <t>['Gracilis', 'Soleus', 'Tensor Fasciae Latae']</t>
  </si>
  <si>
    <t>Leg Assisted Ring Pull-up</t>
  </si>
  <si>
    <t>Leg Bench Side Bridge</t>
  </si>
  <si>
    <t>['Adductor Brevis', 'Adductor Longus', 'Gracilis', 'Iliopsoas', 'Pectineous', 'Serratus Anterior', 'Tensor Fasciae Latae']</t>
  </si>
  <si>
    <t>Leg Curl (on stability ball)</t>
  </si>
  <si>
    <t>Leg Extension Crunch (with Stability Ball) (male)</t>
  </si>
  <si>
    <t>Thighs
Waist</t>
  </si>
  <si>
    <t>['Quadriceps', 'Rectus Abdominis']</t>
  </si>
  <si>
    <t>['Iliopsoas', 'Obliques', 'Sartorius']</t>
  </si>
  <si>
    <t>Leg Extension Plank</t>
  </si>
  <si>
    <t>Leg Over Knee Glute Bridge (female)</t>
  </si>
  <si>
    <t>Leg Over Knee Glute Bridge (male)</t>
  </si>
  <si>
    <t>Leg Pull In Flat Bench</t>
  </si>
  <si>
    <t>Leg Raise Dragon Flag</t>
  </si>
  <si>
    <t>Leg Raise Hip Lift</t>
  </si>
  <si>
    <t>Leg Raise Hip Lift with Head up</t>
  </si>
  <si>
    <t>Leg Raise Oblique Crunch</t>
  </si>
  <si>
    <t>['Gluteus Medius', 'Iliopsoas', 'Obliques']</t>
  </si>
  <si>
    <t>['Quadriceps', 'Rectus Abdominis', 'Tensor Fasciae Latae']</t>
  </si>
  <si>
    <t>Leg Raise Slightly Bent Knee</t>
  </si>
  <si>
    <t>Lever Ab Coaster Crunch (female)</t>
  </si>
  <si>
    <t>Lever Abduction Squat (female)</t>
  </si>
  <si>
    <t>Lever Adduction Thrust (female)</t>
  </si>
  <si>
    <t>Lever Alternate Biceps Curl</t>
  </si>
  <si>
    <t>Lever Alternate Leg Extension (plate loaded)</t>
  </si>
  <si>
    <t>Lever Alternate Leg Press (plate loaded)</t>
  </si>
  <si>
    <t>Lever Alternating Narrow Grip Seated Row (plate loaded) (female)</t>
  </si>
  <si>
    <t>Lever Assisted Chin-Up</t>
  </si>
  <si>
    <t>['Brachialis', 'Brachioradialis', 'Infraspinatus', 'Teres Minor', 'Trapezius Lower Fibers', 'Trapezius Middle Fibers']</t>
  </si>
  <si>
    <t>Lever Assisted Leg Press (female)</t>
  </si>
  <si>
    <t>Lever Back Extension</t>
  </si>
  <si>
    <t>Lever Back Extension (female)</t>
  </si>
  <si>
    <t>Lever Back Extension (version 2)</t>
  </si>
  <si>
    <t>Lever Banded Chest Press</t>
  </si>
  <si>
    <t>Lever Belt Squat</t>
  </si>
  <si>
    <t>Lever Bent over Row (plate loaded)</t>
  </si>
  <si>
    <t>Lever Bent over Row (plate loaded) (female)</t>
  </si>
  <si>
    <t>Lever Bent over Wide Row (plate loaded)</t>
  </si>
  <si>
    <t>Lever Bent-over Row with V-bar (plate loaded)</t>
  </si>
  <si>
    <t>Lever Bicep Curl</t>
  </si>
  <si>
    <t>Lever Bicep Curl (female)</t>
  </si>
  <si>
    <t>Lever Biceps Curl</t>
  </si>
  <si>
    <t>Lever Cable Rear Pulldown</t>
  </si>
  <si>
    <t>Lever Cable Shoulder Press</t>
  </si>
  <si>
    <t>Lever Calf Press (plate loaded)</t>
  </si>
  <si>
    <t>Lever Calf Raise (bench press machine)</t>
  </si>
  <si>
    <t>Lever Chair Squat</t>
  </si>
  <si>
    <t>Lever Chest Press</t>
  </si>
  <si>
    <t>Lever Chest Press (female)</t>
  </si>
  <si>
    <t>Lever Chest Press (plate loaded)</t>
  </si>
  <si>
    <t>Lever Chest Press (plate loaded) (female)</t>
  </si>
  <si>
    <t>Lever Chest Press (VERSION 2)</t>
  </si>
  <si>
    <t>Lever Chest Press (VERSION 4)</t>
  </si>
  <si>
    <t>Lever Crossovers</t>
  </si>
  <si>
    <t>Lever Deadlift (plate loaded)</t>
  </si>
  <si>
    <t>Lever Deadlift (plate loaded) (female)</t>
  </si>
  <si>
    <t>Lever Decline Chest Press</t>
  </si>
  <si>
    <t>Lever Decline Chest Press (female)</t>
  </si>
  <si>
    <t>Lever Decline Chest Press (VERSION 2)</t>
  </si>
  <si>
    <t>Lever Decline Sit-up</t>
  </si>
  <si>
    <t>Lever Donkey Calf Raise</t>
  </si>
  <si>
    <t>Lever Front Pulldown</t>
  </si>
  <si>
    <t>Lever Full Squat</t>
  </si>
  <si>
    <t>Lever Gripless Shrug</t>
  </si>
  <si>
    <t>Lever Gripless Shrug (VERSION 2)</t>
  </si>
  <si>
    <t>Lever Gripper Hands (plate loaded)</t>
  </si>
  <si>
    <t>Lever Hammer Grip Preacher Curl</t>
  </si>
  <si>
    <t>Lever High Row (plate loaded)</t>
  </si>
  <si>
    <t>Lever High Row (plate loaded) (female)</t>
  </si>
  <si>
    <t>Lever High Row (plate loaded) (VERSION 3)</t>
  </si>
  <si>
    <t>Lever Hip Extension (VERSION 2)</t>
  </si>
  <si>
    <t>Lever Hip Thrust</t>
  </si>
  <si>
    <t>Lever Hip Thrust (plate loaded) (female)</t>
  </si>
  <si>
    <t>Lever Hip Thrust (VERSION 2) (female)</t>
  </si>
  <si>
    <t>Lever Hip Thrust (with stepbox) (VERSION 2) (female)</t>
  </si>
  <si>
    <t>Lever Hip Thrust With Resistance Band</t>
  </si>
  <si>
    <t>Leverage machine
Resistance Band</t>
  </si>
  <si>
    <t>Lever Horizontal Leg Press</t>
  </si>
  <si>
    <t>Lever Horizontal Leg Press (female)</t>
  </si>
  <si>
    <t>Lever Horizontal One leg Press</t>
  </si>
  <si>
    <t>Lever Incline Chest Press</t>
  </si>
  <si>
    <t>Lever Incline Chest Press (female)</t>
  </si>
  <si>
    <t>Lever Incline Chest Press (plate loaded)</t>
  </si>
  <si>
    <t>Lever Incline Chest Press (versions 2)</t>
  </si>
  <si>
    <t>Lever Incline Fly (male)</t>
  </si>
  <si>
    <t>Lever Incline Hammer Chest Press</t>
  </si>
  <si>
    <t>Lever Incline Hammer Chest Press (female)</t>
  </si>
  <si>
    <t>Lever Incline One Arm Chest Press (plate loaded)</t>
  </si>
  <si>
    <t>Lever Kneeling Leg Curl (plate loaded)</t>
  </si>
  <si>
    <t>Lever Kneeling Leg Curl (plate loaded) (female)</t>
  </si>
  <si>
    <t>Lever Kneeling Reverse Hyperextension (female)</t>
  </si>
  <si>
    <t>Lever Kneeling Twist</t>
  </si>
  <si>
    <t>Lever Lateral Pulldown (plate loaded)</t>
  </si>
  <si>
    <t>Lever Lateral Raise</t>
  </si>
  <si>
    <t>Lever Lateral Raise (female)</t>
  </si>
  <si>
    <t>Lever Lateral Raise (plate loaded)</t>
  </si>
  <si>
    <t>Lever Lateral Raise (VERSION 2)</t>
  </si>
  <si>
    <t>Lever Lateral Wide Pulldown</t>
  </si>
  <si>
    <t>['Biceps Brachii', 'Brachialis', 'Brachioradialis', 'Teres Major', 'Trapezius Lower Fibers', 'Trapezius Middle Fibers']</t>
  </si>
  <si>
    <t>Lever Leg Extension</t>
  </si>
  <si>
    <t>Lever Leg Extension (female)</t>
  </si>
  <si>
    <t>Lever Leg Extension (plate loaded)</t>
  </si>
  <si>
    <t>Lever Low Row (plate loaded)</t>
  </si>
  <si>
    <t>Lever Lying Banded T-bar Row</t>
  </si>
  <si>
    <t>Lever Lying Chest Press (plate loaded)</t>
  </si>
  <si>
    <t>Lever Lying Chest Press (plate loaded) (female)</t>
  </si>
  <si>
    <t>Lever Lying Crunch</t>
  </si>
  <si>
    <t>Lever Lying Crunch (VERSION 2) (female)</t>
  </si>
  <si>
    <t>Lever Lying Leg Curl</t>
  </si>
  <si>
    <t>Lever Lying Leg Curl (female)</t>
  </si>
  <si>
    <t>Lever Lying Leg Raise Bent Knee</t>
  </si>
  <si>
    <t>Lever Lying Single Leg Curl</t>
  </si>
  <si>
    <t>Lever Lying Single Leg Curl (female)</t>
  </si>
  <si>
    <t>Lever Lying T-bar Row</t>
  </si>
  <si>
    <t>['Biceps Brachii', 'Brachialis', 'Brachioradialis', 'Deltoid Posterior', 'Pectoralis Major Sternal Head', 'Triceps Brachii']</t>
  </si>
  <si>
    <t>Lever Lying Two-One Leg Curl</t>
  </si>
  <si>
    <t>Lever Military Press (plate loaded)</t>
  </si>
  <si>
    <t>Lever Military Press (plate loaded) (female)</t>
  </si>
  <si>
    <t>Lever Narrow Grip Seated Row (plate loaded) (female)</t>
  </si>
  <si>
    <t>Lever Neck Extension (plate loaded)</t>
  </si>
  <si>
    <t>Lever Neck Left Side Flexion (plate loaded)</t>
  </si>
  <si>
    <t>Lever Neck Right Side Flexion (plate loaded)</t>
  </si>
  <si>
    <t>Lever Neutral Grip Seated Row (plate loaded)</t>
  </si>
  <si>
    <t>Lever One Arm Bent over Row (plate loaded)</t>
  </si>
  <si>
    <t>Lever One Arm Chest Press (plate loaded)</t>
  </si>
  <si>
    <t>Lever One Arm Chest Press (plate loaded) (female)</t>
  </si>
  <si>
    <t>Lever One Arm Incline Chest Press (plate loaded)</t>
  </si>
  <si>
    <t>Lever One Arm Lateral High Row</t>
  </si>
  <si>
    <t>Lever One Arm Lateral Wide Pulldown (plate loaded)</t>
  </si>
  <si>
    <t>['Brachialis', 'Brachioradialis', 'Infraspinatus', 'Levator Scapulae', 'Teres Major', 'Teres Minor', 'Trapezius Lower Fibers', 'Trapezius Middle Fibers']</t>
  </si>
  <si>
    <t>Lever One Arm Low Row (plate loaded)</t>
  </si>
  <si>
    <t>Lever One Arm Seated Row (Seated row machine)</t>
  </si>
  <si>
    <t>Lever One Arm Shoulder Press (plate loaded)</t>
  </si>
  <si>
    <t>['Pectoralis Major Clavicular Head', 'Serratus Anterior', 'Triceps Brachii']</t>
  </si>
  <si>
    <t>Lever One Arm Side Chest Press (male)</t>
  </si>
  <si>
    <t>Lever One Leg Extension</t>
  </si>
  <si>
    <t>Lever Overhand Triceps Dip</t>
  </si>
  <si>
    <t>Lever Parallel Chest Press</t>
  </si>
  <si>
    <t>Lever Pec Deck Fly</t>
  </si>
  <si>
    <t>Lever Pec Deck Fly (female)</t>
  </si>
  <si>
    <t>Lever Pendulum Squat (plate loaded)</t>
  </si>
  <si>
    <t>Lever Pistol Squat</t>
  </si>
  <si>
    <t>['Splenius']</t>
  </si>
  <si>
    <t>['Levator Scapulae', 'Sternocleidomastoid']</t>
  </si>
  <si>
    <t>Lever Preacher Curl</t>
  </si>
  <si>
    <t>Lever Preacher Curl (plate loaded)</t>
  </si>
  <si>
    <t>Lever Preacher Curl (plate loaded) (female)</t>
  </si>
  <si>
    <t>Lever Preacher Curl (Turned Torso)</t>
  </si>
  <si>
    <t>Lever Preacher Curl (version 2)</t>
  </si>
  <si>
    <t>Lever Preacher Curl (VERSION 2) (female)</t>
  </si>
  <si>
    <t>Lever Pronated Grip Seated Row (plate loaded)</t>
  </si>
  <si>
    <t>Lever Pronated Grip Seated Scapular Retraction Shrug (plate loaded)</t>
  </si>
  <si>
    <t>['Rhomboids', 'Trapezius Middle Fibers']</t>
  </si>
  <si>
    <t>['Infraspinatus', 'Trapezius Lower Fibers']</t>
  </si>
  <si>
    <t>Lever Pullover (plate loaded)</t>
  </si>
  <si>
    <t>Lever Reverse Grip High Row (plate loaded)</t>
  </si>
  <si>
    <t>Lever Reverse grip Lateral Pulldown (plate loaded)</t>
  </si>
  <si>
    <t>Lever Reverse Grip Preacher Curl</t>
  </si>
  <si>
    <t>Lever Reverse Grip Vertical Row</t>
  </si>
  <si>
    <t>Lever Reverse Grip Vertical Row (female)</t>
  </si>
  <si>
    <t>Lever Reverse Hyperextension (plate loaded)</t>
  </si>
  <si>
    <t>Lever Reverse Hyperextension (plate loaded) (female)</t>
  </si>
  <si>
    <t>Lever Reverse Shoulder Press (plate loaded)</t>
  </si>
  <si>
    <t>Lever Reverse T-Bar Row</t>
  </si>
  <si>
    <t>Lever Reverse T-Bar Row (female)</t>
  </si>
  <si>
    <t>Lever Hack Squat</t>
  </si>
  <si>
    <t>Lever Rotary Calf</t>
  </si>
  <si>
    <t>Lever Rotary Calf (female)</t>
  </si>
  <si>
    <t>Lever Row (plate loaded)</t>
  </si>
  <si>
    <t>Lever Seated Calf Press</t>
  </si>
  <si>
    <t>Lever Seated Calf Press (female)</t>
  </si>
  <si>
    <t>Lever Seated Calf Raise (plate loaded)</t>
  </si>
  <si>
    <t>Lever Seated Calf Raise (plate loaded) (female)</t>
  </si>
  <si>
    <t>Lever Seated Calf Raise (plate loaded) (VERSION 2)</t>
  </si>
  <si>
    <t>Lever Seated Crunch</t>
  </si>
  <si>
    <t>Lever Seated Crunch (chest pad)</t>
  </si>
  <si>
    <t>Lever Seated Crunch (chest pad) (female)</t>
  </si>
  <si>
    <t>Lever Seated Crunch (female)</t>
  </si>
  <si>
    <t>Lever Seated Crunch (hands pad)</t>
  </si>
  <si>
    <t>Lever Seated Crunch (VERSION 2)</t>
  </si>
  <si>
    <t>Lever Seated Dip</t>
  </si>
  <si>
    <t>Lever Seated Dip (female)</t>
  </si>
  <si>
    <t>Lever Seated Fly</t>
  </si>
  <si>
    <t>Lever Seated Fly (female)</t>
  </si>
  <si>
    <t>Lever Seated Full Crunch</t>
  </si>
  <si>
    <t>Lever Seated Good Morning</t>
  </si>
  <si>
    <t>Lever Seated Hammer grip Shoulder Press</t>
  </si>
  <si>
    <t>['Deltoid Lateral', 'Pectoralis Major Sternal Head', 'Serratus Anterior', 'Triceps Brachii']</t>
  </si>
  <si>
    <t>Lever Seated Hip Abduction</t>
  </si>
  <si>
    <t>Lever Seated Hip Abduction (female)</t>
  </si>
  <si>
    <t>Lever Seated Hip Abduction (VERSION 2)</t>
  </si>
  <si>
    <t>Lever Seated Hip Abduction (VERSION 2) (female)</t>
  </si>
  <si>
    <t>Lever Seated Hip Adduction</t>
  </si>
  <si>
    <t>['Adductor Brevis', 'Gracilis']</t>
  </si>
  <si>
    <t>Lever Seated Hip Adduction (female)</t>
  </si>
  <si>
    <t>Lever Seated Hip Adduction (VERSION 2)</t>
  </si>
  <si>
    <t>Lever Seated Hip Adduction (VERSION 2) (female)</t>
  </si>
  <si>
    <t>Lever Seated Horizontal Leg Press</t>
  </si>
  <si>
    <t>Lever Seated Left Side Crunch</t>
  </si>
  <si>
    <t>Lever Seated Leg Curl</t>
  </si>
  <si>
    <t>Lever Seated Leg Curl (female)</t>
  </si>
  <si>
    <t>Lever Seated Leg Extension (VERSION 2)</t>
  </si>
  <si>
    <t>Lever Seated Leg Press</t>
  </si>
  <si>
    <t>Lever Seated Leg Press (female)</t>
  </si>
  <si>
    <t>Lever Seated Leg Press (VERSION 2)</t>
  </si>
  <si>
    <t>Lever Seated Leg Raise Crunch (plate loaded)</t>
  </si>
  <si>
    <t>Lever Seated Leg Raise Crunch (plate loaded) (female)</t>
  </si>
  <si>
    <t>Lever seated one leg calf raise</t>
  </si>
  <si>
    <t>Lever Seated One Leg Curl</t>
  </si>
  <si>
    <t>Lever Seated One Leg Squat</t>
  </si>
  <si>
    <t>Lever Seated One Leg Wide Squat</t>
  </si>
  <si>
    <t>Lever Seated Reverse Fly</t>
  </si>
  <si>
    <t>Lever Seated Reverse Fly (female)</t>
  </si>
  <si>
    <t>Lever Seated Reverse Fly (parallel grip)</t>
  </si>
  <si>
    <t>Lever Seated Right Side Crunch</t>
  </si>
  <si>
    <t>Lever Seated Row</t>
  </si>
  <si>
    <t>Lever Seated Row (female)</t>
  </si>
  <si>
    <t>Lever Seated Row (plate loaded)</t>
  </si>
  <si>
    <t>Lever Seated Row (version 2)</t>
  </si>
  <si>
    <t>Lever Seated Shoulder Press</t>
  </si>
  <si>
    <t>Lever Seated Shoulder Press (female)</t>
  </si>
  <si>
    <t>Lever Seated Squat</t>
  </si>
  <si>
    <t>Lever Seated Squat Calf Raise on Leg Press (female)</t>
  </si>
  <si>
    <t>Lever Seated Squat Calf Raise on Leg Press Machine</t>
  </si>
  <si>
    <t>['Gastrocnemius', 'Quadriceps']</t>
  </si>
  <si>
    <t>['Gluteus Maximus', 'Hamstrings', 'Soleus']</t>
  </si>
  <si>
    <t>Lever Seated Twist</t>
  </si>
  <si>
    <t>Lever Seated Twist (female)</t>
  </si>
  <si>
    <t>Lever Seated Wide Squat</t>
  </si>
  <si>
    <t>Lever Shoulder Press (plate loaded)</t>
  </si>
  <si>
    <t>['Adductor Magnus', 'Pectoralis Major Clavicular Head', 'Quadriceps', 'Serratus Anterior', 'Soleus', 'Triceps Brachii']</t>
  </si>
  <si>
    <t>Lever Shoulder Press (plate loaded) (version 3)</t>
  </si>
  <si>
    <t>Lever Shoulder Press (plate loaded) version 2</t>
  </si>
  <si>
    <t>Lever Shrug (bench press machine)</t>
  </si>
  <si>
    <t>Lever Shrug (plate loaded)</t>
  </si>
  <si>
    <t>Lever Shrug (plate loaded) (female)</t>
  </si>
  <si>
    <t>Lever Side Hip Abduction</t>
  </si>
  <si>
    <t>['Adductor Brevis', 'Adductor Longus', 'Pectineous', 'Sartorius']</t>
  </si>
  <si>
    <t>Lever Side Hip Abduction (female)</t>
  </si>
  <si>
    <t>Lever Side Hip Adduction</t>
  </si>
  <si>
    <t>Lever Alternating Narrow Grip Seated Row (plate loaded)</t>
  </si>
  <si>
    <t>Lever Single Leg Extension (plate loaded)</t>
  </si>
  <si>
    <t>Lever Single Leg Hip Thrust</t>
  </si>
  <si>
    <t>Lever Squat (plate loaded)</t>
  </si>
  <si>
    <t>Lever Standing Calf Raise</t>
  </si>
  <si>
    <t>Lever Standing Calf Raise (female)</t>
  </si>
  <si>
    <t>Lever Standing Chest Press</t>
  </si>
  <si>
    <t>Lever Standing Hip Extension</t>
  </si>
  <si>
    <t>Lever Standing Hip Extension (female)</t>
  </si>
  <si>
    <t>Lever Standing Leg Curl</t>
  </si>
  <si>
    <t>Lever Standing Leg Raise</t>
  </si>
  <si>
    <t>Lever Standing Rear Kick</t>
  </si>
  <si>
    <t>Lever Standing Rear Kick (female)</t>
  </si>
  <si>
    <t>Lever T bar Row (plate loaded)</t>
  </si>
  <si>
    <t>Lever T-Bar Reverse Grip Row</t>
  </si>
  <si>
    <t>Lever T-bar Romanian Deadlift</t>
  </si>
  <si>
    <t>Lever T-bar Row (plate loaded) (female)</t>
  </si>
  <si>
    <t>Lever Total Abdominal Crunch</t>
  </si>
  <si>
    <t>Lever Triceps Dip (plate loaded)</t>
  </si>
  <si>
    <t>Lever Triceps Extension</t>
  </si>
  <si>
    <t>['Adductor Brevis', 'Gracilis', 'Pectineous']</t>
  </si>
  <si>
    <t>Lever Triceps Extension (female)</t>
  </si>
  <si>
    <t>Lever Triceps Extension (VERSION 2) (female)</t>
  </si>
  <si>
    <t>Lever Trunk Rotation</t>
  </si>
  <si>
    <t>Lever Twist</t>
  </si>
  <si>
    <t>Lever Unilateral Row</t>
  </si>
  <si>
    <t>Lever Multy Mode Rope Lat Pulldown</t>
  </si>
  <si>
    <t>['Biceps Brachii', 'Brachialis', 'Brachioradialis', 'Deltoid Posterior', 'Pectoralis Major Sternal Head', 'Teres Major']</t>
  </si>
  <si>
    <t>London Bridge</t>
  </si>
  <si>
    <t>Long Arm Crunch</t>
  </si>
  <si>
    <t>Long Arm Crunch (female)</t>
  </si>
  <si>
    <t>Long Lever Decline Sit-up (female)</t>
  </si>
  <si>
    <t>Long Lever Lying Back Extension</t>
  </si>
  <si>
    <t>Low Glute Bridge on floor</t>
  </si>
  <si>
    <t>Low Glute Bridge on floor (female)</t>
  </si>
  <si>
    <t>Lower Back Curl</t>
  </si>
  <si>
    <t>Lunge</t>
  </si>
  <si>
    <t>Lunge - Thighs (WRONG-RIGHT)</t>
  </si>
  <si>
    <t>Lunge Push-up</t>
  </si>
  <si>
    <t>['Gluteus Maximus', 'Pectoralis Major Sternal Head', 'Quadriceps']</t>
  </si>
  <si>
    <t>['Adductor Magnus', 'Deltoid Anterior', 'Pectoralis Major Clavicular Head', 'Triceps Brachii']</t>
  </si>
  <si>
    <t>Lunge with Leg Lift</t>
  </si>
  <si>
    <t>Lunge with Twist</t>
  </si>
  <si>
    <t>Lying Ab Press (female)</t>
  </si>
  <si>
    <t>Lying Ab Press (male)</t>
  </si>
  <si>
    <t>Lying Air Cycles</t>
  </si>
  <si>
    <t>Lying Air Cycles (female)</t>
  </si>
  <si>
    <t>Lying Alternate Hip Extension</t>
  </si>
  <si>
    <t>Lying Alternate Toe Touch Floor</t>
  </si>
  <si>
    <t>Lying Around the World</t>
  </si>
  <si>
    <t>['Infraspinatus', 'Latissimus Dorsi', 'Serratus Anterior', 'Teres Minor', 'Tibialis Anterior', 'Trapezius Lower Fibers', 'Trapezius Middle Fibers']</t>
  </si>
  <si>
    <t>Lying Around the World (female)</t>
  </si>
  <si>
    <t>['Deltoid Lateral', 'Infraspinatus', 'Latissimus Dorsi', 'Teres Major', 'Teres Minor', 'Trapezius Lower Fibers', 'Trapezius Middle Fibers', 'Trapezius Upper Fibers']</t>
  </si>
  <si>
    <t>Lying Bent Knee Figure 8</t>
  </si>
  <si>
    <t>['Adductor Brevis', 'Adductor Longus', 'Adductor Magnus', 'Gluteus Maximus', 'Gluteus Medius', 'Iliopsoas', 'Pectineous']</t>
  </si>
  <si>
    <t>['Gracilis', 'Hamstrings', 'Quadriceps', 'Tensor Fasciae Latae']</t>
  </si>
  <si>
    <t>Lying Bent Legs Raise</t>
  </si>
  <si>
    <t>Lying Biceps Curl with Towel</t>
  </si>
  <si>
    <t>Lying Bicycle Crunch</t>
  </si>
  <si>
    <t>Lying Chin Tucks</t>
  </si>
  <si>
    <t>Lying Criss-Cross Legs</t>
  </si>
  <si>
    <t>['Adductor Brevis', 'Adductor Longus', 'Adductor Magnus', 'Gluteus Medius', 'Pectineous']</t>
  </si>
  <si>
    <t>['Gracilis', 'Tensor Fasciae Latae']</t>
  </si>
  <si>
    <t>Lying Double Legs Biceps Curl with Towel</t>
  </si>
  <si>
    <t>Lying Double Legs Hammer Curl with Towel</t>
  </si>
  <si>
    <t>Lying Elbow to Knee</t>
  </si>
  <si>
    <t>Lying Flat Hip Raise (female)</t>
  </si>
  <si>
    <t>Lying Floor Fly</t>
  </si>
  <si>
    <t>Lying Floor Hyperextension</t>
  </si>
  <si>
    <t>Lying Floor Hyperextension with Towel</t>
  </si>
  <si>
    <t>Lying Floor Row with Bent Knee</t>
  </si>
  <si>
    <t>['Infraspinatus', 'Teres Major', 'Teres Minor', 'Trapezius Lower Fibers', 'Trapezius Middle Fibers']</t>
  </si>
  <si>
    <t>Lying Hip Leg Raise (on floor)</t>
  </si>
  <si>
    <t>Lying Hip Lift (on stability ball)</t>
  </si>
  <si>
    <t>Lying Hip Lift (on stability ball) II</t>
  </si>
  <si>
    <t>Lying Hip Straight Leg Raise</t>
  </si>
  <si>
    <t>Lying Incline Hip Raise (female)</t>
  </si>
  <si>
    <t>Lying Lat Pulldown</t>
  </si>
  <si>
    <t>Lying Leg Cross</t>
  </si>
  <si>
    <t>['Adductor Brevis', 'Adductor Longus', 'Adductor Magnus', 'Gluteus Medius', 'Obliques', 'Pectineous']</t>
  </si>
  <si>
    <t>['Quadriceps', 'Rectus Abdominis', 'Sartorius', 'Tensor Fasciae Latae']</t>
  </si>
  <si>
    <t>Lying Leg Figure Eight</t>
  </si>
  <si>
    <t>Lying leg hip raise (female)</t>
  </si>
  <si>
    <t>Lying Leg Hip Raise on Floor</t>
  </si>
  <si>
    <t>Lying Leg Hip Raise on Floor (VERSION 2)</t>
  </si>
  <si>
    <t>Lying Leg Hip Side Raise on Floor</t>
  </si>
  <si>
    <t>['Adductor Brevis', 'Adductor Longus', 'Adductor Magnus', 'Gracilis', 'Pectineous', 'Quadriceps', 'Sartorius', 'Tensor Fasciae Latae']</t>
  </si>
  <si>
    <t>Lying Leg Raise</t>
  </si>
  <si>
    <t>['Gluteus Maximus', 'Iliopsoas', 'Quadriceps', 'Sartorius', 'Tensor Fasciae Latae']</t>
  </si>
  <si>
    <t>Lying Leg Raise (female)</t>
  </si>
  <si>
    <t>Lying Leg Raise (Modified)</t>
  </si>
  <si>
    <t>Lying Leg Raise and Hold</t>
  </si>
  <si>
    <t>Lying Leg Raise Flat Bench</t>
  </si>
  <si>
    <t>['Adductor Brevis', 'Adductor Longus', 'Gluteus Maximus', 'Pectineous', 'Quadriceps', 'Sartorius']</t>
  </si>
  <si>
    <t>Lying leg-hip raise</t>
  </si>
  <si>
    <t>Lying Prone A</t>
  </si>
  <si>
    <t>Lying Prone T</t>
  </si>
  <si>
    <t>Lying Prone W</t>
  </si>
  <si>
    <t>Lying Prone W to T</t>
  </si>
  <si>
    <t>Lying Prone W to Y</t>
  </si>
  <si>
    <t>Lying Rear Lateral Raise</t>
  </si>
  <si>
    <t>Lying Scissor Crunch</t>
  </si>
  <si>
    <t>Lying Scissor Kick</t>
  </si>
  <si>
    <t>Lying Side to Side Knee</t>
  </si>
  <si>
    <t>['Rectus Abdominis', 'Sartorius', 'Tensor Fasciae Latae']</t>
  </si>
  <si>
    <t>Lying Simultaneous Alternating Leg Raise</t>
  </si>
  <si>
    <t>Lying Simultaneous Alternating Straight Leg Raise</t>
  </si>
  <si>
    <t>Lying Single Legs Reverse Biceps Curl with Towel</t>
  </si>
  <si>
    <t>Lying Single Straight Leg Hip Extension</t>
  </si>
  <si>
    <t>Lying Straight Leg Marches</t>
  </si>
  <si>
    <t>Lying Straight Leg Raise (version 2)</t>
  </si>
  <si>
    <t>Machine Inner Chest Press</t>
  </si>
  <si>
    <t>March Sit (wall)</t>
  </si>
  <si>
    <t>Marching On Spot</t>
  </si>
  <si>
    <t>Medicine Ball Around Head Rotation</t>
  </si>
  <si>
    <t>Medicine Ball Backward Throw</t>
  </si>
  <si>
    <t>Medicine Ball Catch and Overhead Throw</t>
  </si>
  <si>
    <t>['Latissimus Dorsi', 'Teres Major', 'Teres Minor']</t>
  </si>
  <si>
    <t>['Deltoid Anterior', 'Pectoralis Major Clavicular Head', 'Rectus Abdominis', 'Triceps Brachii']</t>
  </si>
  <si>
    <t>Medicine Ball Chest Pass</t>
  </si>
  <si>
    <t>Medicine Ball Chest Pass against Wall</t>
  </si>
  <si>
    <t>Medicine Ball Chest Push from 3 Point Stance</t>
  </si>
  <si>
    <t>['Adductor Magnus', 'Deltoid Anterior', 'Gluteus Maximus', 'Pectoralis Major Clavicular Head', 'Quadriceps', 'Rectus Abdominis', 'Triceps Brachii']</t>
  </si>
  <si>
    <t>Medicine Ball Chest Push Multiple Response</t>
  </si>
  <si>
    <t>['Deltoid Anterior', 'Iliopsoas', 'Pectoralis Major Clavicular Head', 'Sartorius', 'Triceps Brachii']</t>
  </si>
  <si>
    <t>['Biceps Brachii', 'Brachialis', 'Deltoid Anterior', 'Hamstrings', 'Iliopsoas', 'Pectoralis Major Clavicular Head', 'Sartorius', 'Triceps Brachii']</t>
  </si>
  <si>
    <t>Medicine Ball Chest Push with Run Release</t>
  </si>
  <si>
    <t>Medicine Ball Close Grip Push Up</t>
  </si>
  <si>
    <t>Medicine Ball Crunch</t>
  </si>
  <si>
    <t>Medicine Ball Half Kneeling Chest Push (male)</t>
  </si>
  <si>
    <t>Medicine Ball Lunge with Biceps Curl</t>
  </si>
  <si>
    <t>Thighs
Upper Arms</t>
  </si>
  <si>
    <t>['Adductor Magnus', 'Brachialis', 'Brachioradialis', 'Hamstrings', 'Soleus']</t>
  </si>
  <si>
    <t>Medicine Ball Lying Leg Raise</t>
  </si>
  <si>
    <t>Medicine Ball Overhead Slam</t>
  </si>
  <si>
    <t>['Deltoid Anterior', 'Pectoralis Major Clavicular Head', 'Rectus Abdominis']</t>
  </si>
  <si>
    <t>Medicine Ball Overhead Slam (female)</t>
  </si>
  <si>
    <t>['Deltoid Anterior', 'Deltoid Lateral', 'Iliopsoas', 'Infraspinatus', 'Obliques', 'Pectoralis Major Clavicular Head', 'Serratus Anterior', 'Teres Major', 'Teres Minor', 'Trapezius Lower Fibers', 'Trapezius Middle Fibers']</t>
  </si>
  <si>
    <t>Medicine Ball Reverse Wood Chop Squat</t>
  </si>
  <si>
    <t>Medicine Ball Rotational Throw</t>
  </si>
  <si>
    <t>Medicine Ball Single Leg Deadlift</t>
  </si>
  <si>
    <t>Medicine Ball Sit up (wall)</t>
  </si>
  <si>
    <t>['Adductor Brevis', 'Adductor Longus', 'Deltoid Posterior', 'Obliques', 'Pectineous', 'Quadriceps', 'Sartorius', 'Teres Major']</t>
  </si>
  <si>
    <t>Medicine Ball Standing Overhead Throw</t>
  </si>
  <si>
    <t>Medicine Ball Supine Chest Throw</t>
  </si>
  <si>
    <t>Medicine Ball Throw Squat with Wall</t>
  </si>
  <si>
    <t>Mid Air Lateral Raises With Switching Palms</t>
  </si>
  <si>
    <t>Mixed Grip Chin-up</t>
  </si>
  <si>
    <t>['Brachialis', 'Brachioradialis', 'Infraspinatus', 'Teres Major', 'Teres Minor', 'Trapezius Lower Fibers', 'Trapezius Middle Fibers']</t>
  </si>
  <si>
    <t>Modified Push Up to Forearms</t>
  </si>
  <si>
    <t>['Wrist Extensors', 'Wrist Flexors']</t>
  </si>
  <si>
    <t>Muscle Up</t>
  </si>
  <si>
    <t>['Biceps Brachii', 'Brachialis', 'Brachioradialis', 'Deltoid Anterior', 'Infraspinatus', 'Obliques', 'Rectus Abdominis', 'Teres Major', 'Teres Minor', 'Trapezius Lower Fibers', 'Trapezius Middle Fibers']</t>
  </si>
  <si>
    <t>Muscle-up (on vertical bar)</t>
  </si>
  <si>
    <t>['Biceps Brachii', 'Brachialis', 'Brachioradialis', 'Deltoid Posterior', 'Infraspinatus', 'Latissimus Dorsi', 'Pectoralis Major Sternal Head', 'Teres Major', 'Trapezius Lower Fibers', 'Trapezius Middle Fibers', 'Triceps Brachii']</t>
  </si>
  <si>
    <t>Myotatic Crunch on Bosu Ball</t>
  </si>
  <si>
    <t>Narrow Leg Bench Bridge</t>
  </si>
  <si>
    <t>Narrow Push-Up on Exercise Ball</t>
  </si>
  <si>
    <t>Narrow Seated Chin-up</t>
  </si>
  <si>
    <t>Narrow Squat from Deficit</t>
  </si>
  <si>
    <t>Narrow Top Half Pull-up (female)</t>
  </si>
  <si>
    <t>Neck Bridge Prone</t>
  </si>
  <si>
    <t>['Sternocleidomastoid']</t>
  </si>
  <si>
    <t>Negative Crunch</t>
  </si>
  <si>
    <t>Negative Dragon Flag</t>
  </si>
  <si>
    <t>Negative Dragon Flag (female)</t>
  </si>
  <si>
    <t>['Iliopsoas', 'Latissimus Dorsi', 'Rectus Abdominis']</t>
  </si>
  <si>
    <t>['Obliques', 'Quadriceps', 'Tensor Fasciae Latae', 'Teres Major']</t>
  </si>
  <si>
    <t>Negative Push-up</t>
  </si>
  <si>
    <t>Oblique Crunch (Version 2)</t>
  </si>
  <si>
    <t>Oblique Crunch (Version 2) (female)</t>
  </si>
  <si>
    <t>Oblique Crunches Floor</t>
  </si>
  <si>
    <t>Oblique Crunches with Bent Knee Leg Lift</t>
  </si>
  <si>
    <t>['Adductor Brevis', 'Adductor Longus', 'Gluteus Medius', 'Obliques', 'Pectineous']</t>
  </si>
  <si>
    <t>['Gracilis', 'Rectus Abdominis', 'Tensor Fasciae Latae']</t>
  </si>
  <si>
    <t>Oblique Crunches with Straight Leg Lift</t>
  </si>
  <si>
    <t>['Adductor Brevis', 'Adductor Longus', 'Gluteus Medius', 'Gracilis', 'Obliques']</t>
  </si>
  <si>
    <t>Oblique V-up on Floor</t>
  </si>
  <si>
    <t>['Gluteus Medius', 'Iliopsoas', 'Obliques', 'Rectus Abdominis']</t>
  </si>
  <si>
    <t>['Adductor Brevis', 'Adductor Longus', 'Adductor Magnus', 'Gracilis', 'Pectineous', 'Sartorius', 'Tensor Fasciae Latae']</t>
  </si>
  <si>
    <t>Old School Reverse Extensions</t>
  </si>
  <si>
    <t>Back
Upper Arms</t>
  </si>
  <si>
    <t>['Latissimus Dorsi', 'Triceps Brachii']</t>
  </si>
  <si>
    <t>['Deltoid Posterior', 'Levator Scapulae', 'Pectoralis Major Sternal Head', 'Serratus Anterior', 'Teres Major']</t>
  </si>
  <si>
    <t>Old School Reverse Extensions (female)</t>
  </si>
  <si>
    <t>['Deltoid Posterior', 'Pectoralis Major Sternal Head', 'Serratus Anterior', 'Teres Major']</t>
  </si>
  <si>
    <t>Olympic Barbell Hammer Curl</t>
  </si>
  <si>
    <t>Olympic barbell</t>
  </si>
  <si>
    <t>Olympic Barbell Triceps Extension</t>
  </si>
  <si>
    <t>One Arm Against Wall</t>
  </si>
  <si>
    <t>One Arm Chin-Up</t>
  </si>
  <si>
    <t>One Arm Dip</t>
  </si>
  <si>
    <t>['Deltoid Anterior', 'Latissimus Dorsi', 'Levator Scapulae', 'Pectoralis Major Clavicular Head', 'Pectoralis Major Sternal Head', 'Quadriceps']</t>
  </si>
  <si>
    <t>One Arm Front Plank</t>
  </si>
  <si>
    <t>['Deltoid Anterior', 'Pectoralis Major Clavicular Head', 'Pectoralis Major Sternal Head', 'Tensor Fasciae Latae']</t>
  </si>
  <si>
    <t>One Arm Slam (with medicine ball)</t>
  </si>
  <si>
    <t>One Arm Towel Row</t>
  </si>
  <si>
    <t>One Arm Twisted Clean and Press</t>
  </si>
  <si>
    <t>One Handed Hang</t>
  </si>
  <si>
    <t>One Leg Donkey Calf Raise</t>
  </si>
  <si>
    <t>One Leg Floor Calf Raise</t>
  </si>
  <si>
    <t>One Leg Floor Calf Raise (female)</t>
  </si>
  <si>
    <t>One leg kickback (with bench support)</t>
  </si>
  <si>
    <t>One Leg Quarter Squat</t>
  </si>
  <si>
    <t>One Leg Squat</t>
  </si>
  <si>
    <t>One Side Archer Push-up</t>
  </si>
  <si>
    <t>Opposite Crunch</t>
  </si>
  <si>
    <t>Otis Up</t>
  </si>
  <si>
    <t>['Obliques', 'Pectineous', 'Sartorius']</t>
  </si>
  <si>
    <t>Otis-Up (female)</t>
  </si>
  <si>
    <t>Hips
Shoulders
Waist</t>
  </si>
  <si>
    <t>['Deltoid Anterior', 'Iliopsoas', 'Rectus Abdominis']</t>
  </si>
  <si>
    <t>['Deltoid Lateral', 'Obliques', 'Pectoralis Major Clavicular Head', 'Quadriceps', 'Sartorius', 'Serratus Anterior', 'Triceps Brachii']</t>
  </si>
  <si>
    <t>Outside Leg Kick Push-Up</t>
  </si>
  <si>
    <t>['Deltoid Anterior', 'Obliques', 'Pectoralis Major Clavicular Head', 'Triceps Brachii']</t>
  </si>
  <si>
    <t>Overhead Clap (female)</t>
  </si>
  <si>
    <t>Overhead Triceps Extension with Bed Sheet</t>
  </si>
  <si>
    <t>Palm-up   Palm down Rotation (female)</t>
  </si>
  <si>
    <t>['Deltoid Anterior', 'Deltoid Lateral', 'Deltoid Posterior', 'Iliopsoas', 'Pectoralis Major Clavicular Head', 'Pectoralis Major Sternal Head', 'Serratus Anterior', 'Teres Minor', 'Trapezius Lower Fibers', 'Trapezius Middle Fibers']</t>
  </si>
  <si>
    <t>Palm-up   Palm down Rotation (male)</t>
  </si>
  <si>
    <t>Pelvic Tilt</t>
  </si>
  <si>
    <t>['Hamstrings', 'Iliopsoas']</t>
  </si>
  <si>
    <t>Pelvic Tilt (female)</t>
  </si>
  <si>
    <t>Pike Press (between benches)</t>
  </si>
  <si>
    <t>['Biceps Brachii', 'Deltoid Lateral', 'Pectoralis Major Clavicular Head', 'Serratus Anterior', 'Trapezius Lower Fibers', 'Trapezius Middle Fibers']</t>
  </si>
  <si>
    <t>Pike Push up</t>
  </si>
  <si>
    <t>['Pectoralis Major Clavicular Head', 'Pectoralis Major Sternal Head', 'Serratus Anterior', 'Triceps Brachii']</t>
  </si>
  <si>
    <t>Pike Push up (on Bench) (VERSION 2)</t>
  </si>
  <si>
    <t>['Deltoid Anterior', 'Deltoid Lateral', 'Serratus Anterior', 'Triceps Brachii']</t>
  </si>
  <si>
    <t>Pike Push-up (between Benches)</t>
  </si>
  <si>
    <t>['Deltoid Lateral', 'Pectoralis Major Clavicular Head', 'Pectoralis Major Sternal Head', 'Serratus Anterior', 'Trapezius Lower Fibers', 'Trapezius Middle Fibers', 'Triceps Brachii']</t>
  </si>
  <si>
    <t>Pike Push-up (between Chairs)</t>
  </si>
  <si>
    <t>['Deltoid Lateral', 'Pectoralis Major Clavicular Head', 'Pectoralis Major Sternal Head', 'Serratus Anterior', 'Triceps Brachii']</t>
  </si>
  <si>
    <t>Pike Push-up (female)</t>
  </si>
  <si>
    <t>['Serratus Anterior', 'Triceps Brachii']</t>
  </si>
  <si>
    <t>Pike Push-up (on Bench)</t>
  </si>
  <si>
    <t>Pike Push-up (on Bench) (female)</t>
  </si>
  <si>
    <t>Pistol Squat to Box</t>
  </si>
  <si>
    <t>Pistol Squat to Box (female)</t>
  </si>
  <si>
    <t>Plank - Butt (WRONG-RIGHT)</t>
  </si>
  <si>
    <t>Plank arm lifts</t>
  </si>
  <si>
    <t>Plank Jack (female)</t>
  </si>
  <si>
    <t>Plank Jack (male)</t>
  </si>
  <si>
    <t>['Gluteus Maximus', 'Gluteus Medius', 'Rectus Abdominis']</t>
  </si>
  <si>
    <t>['Adductor Brevis', 'Adductor Longus', 'Adductor Magnus', 'Obliques', 'Pectineous', 'Tensor Fasciae Latae']</t>
  </si>
  <si>
    <t>Plank Jack Slide with Towel</t>
  </si>
  <si>
    <t>['Deltoid Anterior', 'Gluteus Maximus', 'Obliques', 'Pectoralis Major Clavicular Head', 'Pectoralis Major Sternal Head', 'Serratus Anterior', 'Tensor Fasciae Latae']</t>
  </si>
  <si>
    <t>Plank Lateral Raise</t>
  </si>
  <si>
    <t>Plank on Hands</t>
  </si>
  <si>
    <t>Plate Hyperextension</t>
  </si>
  <si>
    <t>Plate Pinch</t>
  </si>
  <si>
    <t>['Adductor Magnus', 'Gluteus Maximus', 'Quadriceps', 'Soleus']</t>
  </si>
  <si>
    <t>Plyo Push Up</t>
  </si>
  <si>
    <t>['Biceps Brachii', 'Brachialis', 'Deltoid Anterior', 'Pectoralis Major Clavicular Head', 'Triceps Brachii', 'Wrist Flexors']</t>
  </si>
  <si>
    <t>Plyo Sit Squat (wall)</t>
  </si>
  <si>
    <t>['Gastrocnemius', 'Quadriceps', 'Soleus']</t>
  </si>
  <si>
    <t>Posterior Neck Isometric</t>
  </si>
  <si>
    <t>Potty Squat</t>
  </si>
  <si>
    <t>Potty Squat (female)</t>
  </si>
  <si>
    <t>Potty Squat with Support</t>
  </si>
  <si>
    <t>Potty Squat with Support (female)</t>
  </si>
  <si>
    <t>Power Clean</t>
  </si>
  <si>
    <t>Power Point Plank</t>
  </si>
  <si>
    <t>['Iliopsoas', 'Quadriceps']</t>
  </si>
  <si>
    <t>Power Push Aways</t>
  </si>
  <si>
    <t>['Latissimus Dorsi', 'Pectoralis Major Clavicular Head', 'Pectoralis Major Sternal Head']</t>
  </si>
  <si>
    <t>['Biceps Brachii', 'Brachialis', 'Brachioradialis', 'Deltoid Posterior', 'Infraspinatus', 'Serratus Anterior', 'Teres Major', 'Teres Minor', 'Trapezius Lower Fibers', 'Trapezius Middle Fibers']</t>
  </si>
  <si>
    <t>Power Sled Backward Push</t>
  </si>
  <si>
    <t>Power Sled</t>
  </si>
  <si>
    <t>Power Sled Biceps Curl</t>
  </si>
  <si>
    <t>Power Sled Drag</t>
  </si>
  <si>
    <t>Power Sled High Pull</t>
  </si>
  <si>
    <t>Power Sled Pull Row (female)</t>
  </si>
  <si>
    <t>Power Sled Push (female)</t>
  </si>
  <si>
    <t>['Adductor Magnus', 'Gastrocnemius', 'Hamstrings', 'Quadriceps', 'Soleus']</t>
  </si>
  <si>
    <t>Power Sled Rear Batwing</t>
  </si>
  <si>
    <t>Power Sled Rear Drag</t>
  </si>
  <si>
    <t>Power Sled Rear Fly</t>
  </si>
  <si>
    <t>Power Sled Rear Lunge</t>
  </si>
  <si>
    <t>Power Sled Rear Lunge (female)</t>
  </si>
  <si>
    <t>Power Sled Rear Lunge Row</t>
  </si>
  <si>
    <t>Power Sled Triceps Extension (male)</t>
  </si>
  <si>
    <t>Prayer Push (female)</t>
  </si>
  <si>
    <t>Preacher Curl - Wrists (WRONG-RIGHT)</t>
  </si>
  <si>
    <t>Press Under</t>
  </si>
  <si>
    <t>Prisoner Get-Up</t>
  </si>
  <si>
    <t>Prisoner Half Sit-up (male)</t>
  </si>
  <si>
    <t>['Deltoid Anterior', 'Obliques', 'Pectoralis Major Clavicular Head', 'Pectoralis Major Sternal Head']</t>
  </si>
  <si>
    <t>Prisoner Squat</t>
  </si>
  <si>
    <t>Prone Cervical Extension</t>
  </si>
  <si>
    <t>Prone Cervical Extension Isometric Hold</t>
  </si>
  <si>
    <t>Prone Single Arm Trap Raise</t>
  </si>
  <si>
    <t>Prone Twist On Stability Ball</t>
  </si>
  <si>
    <t>Prone Y Raise (male)</t>
  </si>
  <si>
    <t>Pseudo Planche Push-up</t>
  </si>
  <si>
    <t>['Pectoralis Major Clavicular Head', 'Pectoralis Major Sternal Head', 'Rectus Abdominis']</t>
  </si>
  <si>
    <t>['Deltoid Anterior', 'Latissimus Dorsi', 'Obliques', 'Serratus Anterior', 'Teres Major', 'Triceps Brachii']</t>
  </si>
  <si>
    <t>Pull up (neutral grip)</t>
  </si>
  <si>
    <t>['Brachialis', 'Brachioradialis', 'Teres Major', 'Trapezius Lower Fibers']</t>
  </si>
  <si>
    <t>Pull-In (on stability ball)</t>
  </si>
  <si>
    <t>['Obliques', 'Pectineous', 'Sartorius', 'Tensor Fasciae Latae']</t>
  </si>
  <si>
    <t>Pull-up</t>
  </si>
  <si>
    <t>Pull-up (negative) (female)</t>
  </si>
  <si>
    <t>Pull-up with Bent Knee between Chairs</t>
  </si>
  <si>
    <t>Pulse Row (female)</t>
  </si>
  <si>
    <t>Pulse Row (male)</t>
  </si>
  <si>
    <t>Pulse-up</t>
  </si>
  <si>
    <t>['Iliopsoas', 'Obliques', 'Quadriceps', 'Tensor Fasciae Latae']</t>
  </si>
  <si>
    <t>Push Press</t>
  </si>
  <si>
    <t>['Deltoid Anterior', 'Deltoid Lateral', 'Gastrocnemius', 'Gluteus Maximus', 'Pectoralis Major Clavicular Head', 'Quadriceps', 'Serratus Anterior', 'Soleus', 'Triceps Brachii']</t>
  </si>
  <si>
    <t>Push Up (on stability ball) (female)</t>
  </si>
  <si>
    <t>Push Up on Bosu Ball</t>
  </si>
  <si>
    <t>Push with Chair</t>
  </si>
  <si>
    <t>Push-up</t>
  </si>
  <si>
    <t>Push-up (bosu ball)</t>
  </si>
  <si>
    <t>Push-up (on knees)</t>
  </si>
  <si>
    <t>Push-up (on stability ball)</t>
  </si>
  <si>
    <t>Push-Up (on stability ball)</t>
  </si>
  <si>
    <t>Push-up (one arm on stability ball)</t>
  </si>
  <si>
    <t>Push-up (wall)</t>
  </si>
  <si>
    <t>Push-up (wall) (female)</t>
  </si>
  <si>
    <t>Push-up (wall) (version 2)</t>
  </si>
  <si>
    <t>Push-up (With push-up handles)</t>
  </si>
  <si>
    <t>Push-up - End position (WRONG-RIGHT)</t>
  </si>
  <si>
    <t>Push-up - Start position (WRONG-RIGHT)</t>
  </si>
  <si>
    <t>Push-up and Triceps Dip on Parallel Bars</t>
  </si>
  <si>
    <t>Push-Up Close-grip off Dumbbell</t>
  </si>
  <si>
    <t>Push-up Hand by Hand</t>
  </si>
  <si>
    <t>Push-up in Child Pose</t>
  </si>
  <si>
    <t>Push-Up Inside Leg Kick</t>
  </si>
  <si>
    <t>['Gluteus Medius', 'Pectoralis Major Sternal Head', 'Tensor Fasciae Latae']</t>
  </si>
  <si>
    <t>Push-up Jack</t>
  </si>
  <si>
    <t>Push-Up Medicine Ball</t>
  </si>
  <si>
    <t>Push-up on Forearms</t>
  </si>
  <si>
    <t>Push-Up Plus</t>
  </si>
  <si>
    <t>['Pectoralis Major Clavicular Head', 'Pectoralis Major Sternal Head', 'Serratus Anterior']</t>
  </si>
  <si>
    <t>['Deltoid Anterior', 'Trapezius Middle Fibers', 'Triceps Brachii']</t>
  </si>
  <si>
    <t>Push-Up Plus (female)</t>
  </si>
  <si>
    <t>Push-Up to Side Plank</t>
  </si>
  <si>
    <t>['Deltoid Anterior', 'Gluteus Maximus', 'Gluteus Medius', 'Iliopsoas', 'Pectineous', 'Rectus Abdominis', 'Tensor Fasciae Latae']</t>
  </si>
  <si>
    <t>Push-up to Side Plank (VERSION 2)</t>
  </si>
  <si>
    <t>Push-up with Knee Drive</t>
  </si>
  <si>
    <t>PVC External Rotation</t>
  </si>
  <si>
    <t>['Infraspinatus', 'Subscapularis', 'Teres Minor']</t>
  </si>
  <si>
    <t>PVC Good Morning</t>
  </si>
  <si>
    <t>PVC Hip Hinge</t>
  </si>
  <si>
    <t>PVC Overhead Squat</t>
  </si>
  <si>
    <t>PVC Pass Through</t>
  </si>
  <si>
    <t>['Infraspinatus', 'Latissimus Dorsi', 'Pectoralis Major Clavicular Head', 'Pectoralis Major Sternal Head', 'Serratus Anterior', 'Teres Major', 'Teres Minor', 'Trapezius Lower Fibers', 'Trapezius Middle Fibers']</t>
  </si>
  <si>
    <t>Quadruped Leg Curl</t>
  </si>
  <si>
    <t>Quarter Sit-up</t>
  </si>
  <si>
    <t>Raise Single Arm Push-up</t>
  </si>
  <si>
    <t>['Deltoid Anterior', 'Latissimus Dorsi', 'Pectoralis Major Clavicular Head', 'Triceps Brachii']</t>
  </si>
  <si>
    <t>Raise Single Leg Push-up</t>
  </si>
  <si>
    <t>['Deltoid Anterior', 'Gluteus Maximus', 'Hamstrings', 'Pectoralis Major Clavicular Head', 'Triceps Brachii']</t>
  </si>
  <si>
    <t>Rear Decline Bridge</t>
  </si>
  <si>
    <t>Rear Delt Fly with Bed Sheet</t>
  </si>
  <si>
    <t>Rear Delt Row with Bed Sheet</t>
  </si>
  <si>
    <t>Rear Lunge from Deficit</t>
  </si>
  <si>
    <t>Rear Lunge with Battling Ropes</t>
  </si>
  <si>
    <t>Rear Pull-up</t>
  </si>
  <si>
    <t>['Brachialis', 'Brachioradialis', 'Pectoralis Major Sternal Head', 'Teres Major', 'Trapezius Lower Fibers', 'Trapezius Middle Fibers']</t>
  </si>
  <si>
    <t>Rear Shift Lunge from Deficit</t>
  </si>
  <si>
    <t>Resistance Band 45 degrees Hyperextension</t>
  </si>
  <si>
    <t>Resistance Band Adduction Split Squat (male)</t>
  </si>
  <si>
    <t>Resistance Band Air Bike</t>
  </si>
  <si>
    <t>['Gluteus Maximus', 'Rectus Abdominis', 'Sartorius', 'Tensor Fasciae Latae']</t>
  </si>
  <si>
    <t>Resistance Band Anti Rotation Dead Bug</t>
  </si>
  <si>
    <t>Resistance Band Assisted Nordic Hamstring Curl</t>
  </si>
  <si>
    <t>Resistance Band Bent Leg Kickback (Kneeling)</t>
  </si>
  <si>
    <t>Resistance Band Bent Leg Side Kick (kneeling)</t>
  </si>
  <si>
    <t>Resistance Band Bent Over Neutral Grip Row</t>
  </si>
  <si>
    <t>Resistance Band Bent Over Rear Delt Fly (male)</t>
  </si>
  <si>
    <t>Resistance Band Bent Over Row</t>
  </si>
  <si>
    <t>Resistance Band Bird Dog</t>
  </si>
  <si>
    <t>Resistance Band Cable Squat</t>
  </si>
  <si>
    <t>Resistance Band Calf Raise</t>
  </si>
  <si>
    <t>Resistance Band Clam</t>
  </si>
  <si>
    <t>Resistance Band Deadlift with Single Arm Row</t>
  </si>
  <si>
    <t>Resistance Band Elevated Glute Bridge</t>
  </si>
  <si>
    <t>Resistance Band External Rotation</t>
  </si>
  <si>
    <t>Resistance Band Floor Hyperextension</t>
  </si>
  <si>
    <t>Resistance Band Foot Eversion</t>
  </si>
  <si>
    <t>Resistance Band Foot External Rotation</t>
  </si>
  <si>
    <t>Resistance Band Foot Inversion</t>
  </si>
  <si>
    <t>Resistance Band Foot Plantar Flexion</t>
  </si>
  <si>
    <t>Resistance Band Front Plank With Kicked Leg</t>
  </si>
  <si>
    <t>['Gluteus Maximus', 'Serratus Anterior']</t>
  </si>
  <si>
    <t>['Deltoid Anterior', 'Hamstrings', 'Obliques', 'Quadriceps', 'Serratus Anterior', 'Tensor Fasciae Latae']</t>
  </si>
  <si>
    <t>Resistance Band Front Plank with Single Arm Pulldown</t>
  </si>
  <si>
    <t>Resistance Band Full Squat</t>
  </si>
  <si>
    <t>Barbell
Resistance Band</t>
  </si>
  <si>
    <t>Resistance Band Glute Bridge</t>
  </si>
  <si>
    <t>Resistance Band Glute Bridge (female)</t>
  </si>
  <si>
    <t>Resistance Band Half Kneeling Face Pull</t>
  </si>
  <si>
    <t>['Brachialis', 'Brachioradialis', 'Infraspinatus', 'Teres Minor', 'Trapezius Middle Fibers']</t>
  </si>
  <si>
    <t>Resistance Band Hammer Curl</t>
  </si>
  <si>
    <t>Resistance Band Hip Thrust</t>
  </si>
  <si>
    <t>Resistance Band Hip Thrusts</t>
  </si>
  <si>
    <t>Resistance Band Hip Thrusts on Knees (female)</t>
  </si>
  <si>
    <t>Resistance Band Horizontal Pallof Press</t>
  </si>
  <si>
    <t>Resistance Band Inverted Row</t>
  </si>
  <si>
    <t>Resistance Band Kneeling Ab Crunch</t>
  </si>
  <si>
    <t>Resistance Band Kneeling Ab Crunch (VERSION 2)</t>
  </si>
  <si>
    <t>Resistance Band Kneeling Side Plank</t>
  </si>
  <si>
    <t>Resistance Band Kneeling Woodchop</t>
  </si>
  <si>
    <t>['Deltoid Posterior', 'Iliopsoas', 'Rectus Abdominis', 'Teres Major', 'Trapezius Lower Fibers', 'Trapezius Middle Fibers']</t>
  </si>
  <si>
    <t>Resistance Band Leg Curl</t>
  </si>
  <si>
    <t>Resistance Band Leg Curl (male)</t>
  </si>
  <si>
    <t>Resistance Band Leg Extension</t>
  </si>
  <si>
    <t>['Sartorius']</t>
  </si>
  <si>
    <t>Resistance Band Leg Extension (female)</t>
  </si>
  <si>
    <t>Resistance Band Leg Kickback</t>
  </si>
  <si>
    <t>Resistance Band Leg Lift</t>
  </si>
  <si>
    <t>Resistance Band Lunge</t>
  </si>
  <si>
    <t>Resistance Band Lying Abduction</t>
  </si>
  <si>
    <t>Resistance Band Lying Leg Raise</t>
  </si>
  <si>
    <t>Resistance Band One Arm Bent Over Row</t>
  </si>
  <si>
    <t>Resistance Band One Leg Glute Bridge</t>
  </si>
  <si>
    <t>Resistance Band One Leg Glute Bridge (female)</t>
  </si>
  <si>
    <t>Resistance Band One Leg Glute Bridge With Straight Leg</t>
  </si>
  <si>
    <t>Resistance Band One Leg Kickback</t>
  </si>
  <si>
    <t>Resistance Band One Leg Kickback (Bent Position)</t>
  </si>
  <si>
    <t>Resistance Band One Leg Kickback (Bent Position) (male)</t>
  </si>
  <si>
    <t>Resistance Band Overhead Shoulder Press</t>
  </si>
  <si>
    <t>Resistance Band Overhead Squat</t>
  </si>
  <si>
    <t>Resistance Band Plank March</t>
  </si>
  <si>
    <t>Resistance Band Plank March (female)</t>
  </si>
  <si>
    <t>Resistance Band Pull Apart</t>
  </si>
  <si>
    <t>Resistance Band Pull Apart (45 degrees)</t>
  </si>
  <si>
    <t>Resistance Band Pull Through (female)</t>
  </si>
  <si>
    <t>Resistance Band Pullapart (Pronated at 90 Degrees)</t>
  </si>
  <si>
    <t>Resistance Band Pullapart (Supination at 90 Degrees)</t>
  </si>
  <si>
    <t>Resistance Band Punch</t>
  </si>
  <si>
    <t>Resistance Band Push-Up</t>
  </si>
  <si>
    <t>Resistance Band Rear Delt Row (male)</t>
  </si>
  <si>
    <t>Resistance Band Rear Fly</t>
  </si>
  <si>
    <t>['Teres Major', 'Teres Minor', 'Trapezius Lower Fibers', 'Trapezius Middle Fibers']</t>
  </si>
  <si>
    <t>Resistance Band Reverse Hyperextension</t>
  </si>
  <si>
    <t>Resistance Band Seated Biceps Curl</t>
  </si>
  <si>
    <t>Resistance Band Seated Biceps Curl (female)</t>
  </si>
  <si>
    <t>Resistance Band Seated Chest Press</t>
  </si>
  <si>
    <t>Resistance Band Seated Chest Press (female)</t>
  </si>
  <si>
    <t>Resistance Band Seated Face Pull</t>
  </si>
  <si>
    <t>Resistance Band Seated Hip Abduction</t>
  </si>
  <si>
    <t>Resistance Band Seated Hip Abduction (female)</t>
  </si>
  <si>
    <t>Resistance Band Seated Leg Curl</t>
  </si>
  <si>
    <t>Resistance Band Seated Shoulder Press</t>
  </si>
  <si>
    <t>Resistance Band Seated Shoulder Press (female)</t>
  </si>
  <si>
    <t>Resistance Band Seated Single Leg Curl</t>
  </si>
  <si>
    <t>Resistance Band Seated Straight Back Row</t>
  </si>
  <si>
    <t>Resistance Band Seated Straight Back Row (female)</t>
  </si>
  <si>
    <t>Resistance Band Serratus Wall Slide</t>
  </si>
  <si>
    <t>['Serratus Anterior', 'Trapezius Upper Fibers']</t>
  </si>
  <si>
    <t>Resistance Band Shuttle</t>
  </si>
  <si>
    <t>Resistance Band Side Plank</t>
  </si>
  <si>
    <t>['Gluteus Medius', 'Obliques']</t>
  </si>
  <si>
    <t>Resistance Band Side Step with Horizontal Pallof Hold</t>
  </si>
  <si>
    <t>Resistance Band Single Arm Overhead Shoulder Press</t>
  </si>
  <si>
    <t>Resistance Band Single Stiff Leg Deadlift with Single Arm Row</t>
  </si>
  <si>
    <t>Resistance Band Skier</t>
  </si>
  <si>
    <t>Resistance Band Smith Squat</t>
  </si>
  <si>
    <t>Smith machine</t>
  </si>
  <si>
    <t>Resistance Band Spider Crawls</t>
  </si>
  <si>
    <t>Resistance Band Split Squat</t>
  </si>
  <si>
    <t>Resistance Band Split Squat with Horizontal Pallof Hold</t>
  </si>
  <si>
    <t>Resistance Band Squat</t>
  </si>
  <si>
    <t>Resistance Band Squat with Horizontal Pallof Hold</t>
  </si>
  <si>
    <t>Resistance Band Squat with Single Arm Row</t>
  </si>
  <si>
    <t>Resistance Band Standing Ab Crunch</t>
  </si>
  <si>
    <t>Resistance Band Standing Hip Abduction</t>
  </si>
  <si>
    <t>Resistance Band Supine Hip Bridge March</t>
  </si>
  <si>
    <t>Resistance Band Toe Touch</t>
  </si>
  <si>
    <t>Resistance Band Triceps Pushdown</t>
  </si>
  <si>
    <t>Resistance Band Triceps Pushdown (female)</t>
  </si>
  <si>
    <t>Resistance Band Upper Body Dead Bug</t>
  </si>
  <si>
    <t>['Deltoid Posterior', 'Latissimus Dorsi', 'Quadriceps', 'Teres Major', 'Teres Minor']</t>
  </si>
  <si>
    <t>Resistance Band Upper Body Lying Air Bike</t>
  </si>
  <si>
    <t>Reverse Back Extension on Floor</t>
  </si>
  <si>
    <t>Reverse Crunch</t>
  </si>
  <si>
    <t>Reverse Crunch (VERSION 2)</t>
  </si>
  <si>
    <t>Reverse Crunch (VERSION 3)</t>
  </si>
  <si>
    <t>Reverse Crunch Kick</t>
  </si>
  <si>
    <t>Reverse Crunch to Dead Bug (male)</t>
  </si>
  <si>
    <t>Reverse Dip</t>
  </si>
  <si>
    <t>Reverse Dip (female)</t>
  </si>
  <si>
    <t>Reverse Flutter Kick on Floor (hand under head)</t>
  </si>
  <si>
    <t>Reverse grip machine lat pulldown</t>
  </si>
  <si>
    <t>Reverse Grip Machine Lat Pulldown (female)</t>
  </si>
  <si>
    <t>Reverse grip Pull-up</t>
  </si>
  <si>
    <t>['Brachialis', 'Brachioradialis', 'Deltoid Posterior', 'Levator Scapulae', 'Pectoralis Major Sternal Head', 'Teres Major']</t>
  </si>
  <si>
    <t>Reverse grip Pull-up (female)</t>
  </si>
  <si>
    <t>Reverse Hyper extension (on stability ball)</t>
  </si>
  <si>
    <t>Reverse Hyper on Flat Bench</t>
  </si>
  <si>
    <t>Reverse Leg Extension (female)</t>
  </si>
  <si>
    <t>Reverse Lunge (leg kick)</t>
  </si>
  <si>
    <t>Reverse plank</t>
  </si>
  <si>
    <t>['Deltoid Posterior', 'Hamstrings', 'Latissimus Dorsi', 'Obliques', 'Teres Major', 'Triceps Brachii']</t>
  </si>
  <si>
    <t>Reverse Plank (VERSION 2)</t>
  </si>
  <si>
    <t>Reverse Plank on Elbows</t>
  </si>
  <si>
    <t>Reverse Push-up</t>
  </si>
  <si>
    <t>Reverse Sliding Leg Curl on Floor with Towel</t>
  </si>
  <si>
    <t>Ring Alternate Superman (female)</t>
  </si>
  <si>
    <t>Ring Chest Fly</t>
  </si>
  <si>
    <t>Ring Dips</t>
  </si>
  <si>
    <t>Ring Elevated Row</t>
  </si>
  <si>
    <t>Ring High Row</t>
  </si>
  <si>
    <t>Ring High Row (female)</t>
  </si>
  <si>
    <t>Ring Kneeling Ab RollOut</t>
  </si>
  <si>
    <t>Ring Leg Curl</t>
  </si>
  <si>
    <t>Ring Leg Curl (VERSION 2)</t>
  </si>
  <si>
    <t>Ring Reverse Ab Rollout</t>
  </si>
  <si>
    <t>Ring Reverse Fly</t>
  </si>
  <si>
    <t>Ring Rollout (female)</t>
  </si>
  <si>
    <t>Rocky Pull Up Pulldown (female)</t>
  </si>
  <si>
    <t>Rocky Pull-Up Pulldown</t>
  </si>
  <si>
    <t>Rolling Bridge</t>
  </si>
  <si>
    <t>['Adductor Brevis', 'Adductor Longus', 'Deltoid Anterior', 'Gluteus Maximus', 'Iliopsoas', 'Pectineous', 'Pectoralis Major Clavicular Head', 'Pectoralis Major Sternal Head', 'Quadriceps', 'Sartorius']</t>
  </si>
  <si>
    <t>Roman Chair Sit-Up</t>
  </si>
  <si>
    <t>Romanian Chair Sit-Up (VERSION 2)</t>
  </si>
  <si>
    <t>Rope Climb</t>
  </si>
  <si>
    <t>Rotate Push-up</t>
  </si>
  <si>
    <t>['Deltoid Anterior', 'Gluteus Maximus', 'Gluteus Medius', 'Iliopsoas', 'Triceps Brachii']</t>
  </si>
  <si>
    <t>Rotate Push-up (on knees)</t>
  </si>
  <si>
    <t>['Iliopsoas', 'Obliques', 'Pectoralis Major Sternal Head']</t>
  </si>
  <si>
    <t>['Adductor Brevis', 'Adductor Longus', 'Deltoid Anterior', 'Gluteus Maximus', 'Gluteus Medius', 'Pectineous', 'Pectoralis Major Clavicular Head', 'Rectus Abdominis', 'Triceps Brachii']</t>
  </si>
  <si>
    <t>Rotational Push-Up</t>
  </si>
  <si>
    <t>Rounded Back Extension</t>
  </si>
  <si>
    <t>Russian Twist</t>
  </si>
  <si>
    <t>Russian Twist (female)</t>
  </si>
  <si>
    <t>Russian Twist (on stability ball arms straight)</t>
  </si>
  <si>
    <t>Russian Twist (with medicine ball)</t>
  </si>
  <si>
    <t>Russian Twist With Hands on Chest (female)</t>
  </si>
  <si>
    <t>Safety Bar Elevated Heel Squat</t>
  </si>
  <si>
    <t>Safety Bar Front Squat</t>
  </si>
  <si>
    <t>Safety Bar Good Morning (male)</t>
  </si>
  <si>
    <t>Sagittal Plane Lunge With Overhead Medicine Ball Press</t>
  </si>
  <si>
    <t>Scapula Dips</t>
  </si>
  <si>
    <t>Scapula Dips (female)</t>
  </si>
  <si>
    <t>Scapula Push-up</t>
  </si>
  <si>
    <t>Scapular Pull-Up</t>
  </si>
  <si>
    <t>['Trapezius Lower Fibers', 'Trapezius Middle Fibers']</t>
  </si>
  <si>
    <t>Scapular Slide Back to Wall</t>
  </si>
  <si>
    <t>Scissors (advanced) (female)</t>
  </si>
  <si>
    <t>Scissors (advanced) (male)</t>
  </si>
  <si>
    <t>['Adductor Brevis', 'Adductor Longus', 'Adductor Magnus', 'Obliques', 'Pectineous', 'Sartorius', 'Tensor Fasciae Latae']</t>
  </si>
  <si>
    <t>Scissors (beginner) (female)</t>
  </si>
  <si>
    <t>Seated 8 Leg Crunch</t>
  </si>
  <si>
    <t>['Adductor Brevis', 'Adductor Longus', 'Adductor Magnus', 'Gluteus Medius', 'Iliopsoas', 'Obliques', 'Pectineous', 'Rectus Abdominis']</t>
  </si>
  <si>
    <t>['Gracilis', 'Quadriceps', 'Tensor Fasciae Latae']</t>
  </si>
  <si>
    <t>Seated Alternate Crunch</t>
  </si>
  <si>
    <t>Seated Back Squeeze (female)</t>
  </si>
  <si>
    <t>Seated Back Twist (female)</t>
  </si>
  <si>
    <t>Seated Ballerina (female)</t>
  </si>
  <si>
    <t>Seated Behind Back Raise (female)</t>
  </si>
  <si>
    <t>Seated Chest Clam</t>
  </si>
  <si>
    <t>Seated Chin Tuck</t>
  </si>
  <si>
    <t>Seated Chin-up</t>
  </si>
  <si>
    <t>Seated Chin-up (low bar position)</t>
  </si>
  <si>
    <t>Seated Commando Pull-up</t>
  </si>
  <si>
    <t>Seated Flexion And Extension Neck (male)</t>
  </si>
  <si>
    <t>['Sternocleidomastoid', 'Trapezius Upper Fibers']</t>
  </si>
  <si>
    <t>Seated Flutter Kick</t>
  </si>
  <si>
    <t>Seated Foot Slide</t>
  </si>
  <si>
    <t>Seated In Out Leg Raise on Floor</t>
  </si>
  <si>
    <t>Seated In Out Leg Raise on Floor (female)</t>
  </si>
  <si>
    <t>Seated Leg Raise</t>
  </si>
  <si>
    <t>Seated Leg Raise (female)</t>
  </si>
  <si>
    <t>Seated Neck Tap (female)</t>
  </si>
  <si>
    <t>Seated Pull-up</t>
  </si>
  <si>
    <t>Seated Pull-up (legs elevated)</t>
  </si>
  <si>
    <t>Seated Pull-up (low bar position)</t>
  </si>
  <si>
    <t>Seated Pull-up between Chairs</t>
  </si>
  <si>
    <t>Seated Pulse Back Squeeze (female)</t>
  </si>
  <si>
    <t>Seated Row with Towel</t>
  </si>
  <si>
    <t>Seated Side Crunch (Wall)</t>
  </si>
  <si>
    <t>Seated Side-to-Side Leg Raise Crunch on Floor</t>
  </si>
  <si>
    <t>['Gluteus Medius', 'Quadriceps', 'Sartorius', 'Tensor Fasciae Latae']</t>
  </si>
  <si>
    <t>Seated Sky Look</t>
  </si>
  <si>
    <t>Seated Twist (on stability ball)</t>
  </si>
  <si>
    <t>Seated Twist (straight arm)</t>
  </si>
  <si>
    <t>Seated Twist (Straight Arm) (male)</t>
  </si>
  <si>
    <t>Seated Upper Body Rotation (female)</t>
  </si>
  <si>
    <t>Self assisted Inverse Leg Curl</t>
  </si>
  <si>
    <t>['Deltoid Anterior', 'Gastrocnemius', 'Pectoralis Major Clavicular Head', 'Pectoralis Major Sternal Head', 'Sartorius', 'Soleus', 'Triceps Brachii']</t>
  </si>
  <si>
    <t>Self assisted Inverse Leg Curl (on floor)</t>
  </si>
  <si>
    <t>['Brachialis', 'Brachioradialis', 'Deltoid Anterior', 'Gastrocnemius', 'Pectoralis Major Clavicular Head', 'Pectoralis Major Sternal Head', 'Sartorius', 'Soleus', 'Wrist Flexors']</t>
  </si>
  <si>
    <t>Self Assisted Inverted Pullover</t>
  </si>
  <si>
    <t>Self-Assisted Inverse Leg Curl (VERSION 2)</t>
  </si>
  <si>
    <t>Serratus Wall Slide</t>
  </si>
  <si>
    <t>Shoulder Flexion Back to Wall</t>
  </si>
  <si>
    <t>Shoulder Grip Pull-up</t>
  </si>
  <si>
    <t>Shoulder Grip Pull-up (female)</t>
  </si>
  <si>
    <t>Shoulder Press (with band)</t>
  </si>
  <si>
    <t>Shoulder Tap</t>
  </si>
  <si>
    <t>['Obliques', 'Pectoralis Major Clavicular Head', 'Pectoralis Major Sternal Head', 'Rectus Abdominis']</t>
  </si>
  <si>
    <t>Shoulder Tap (female)</t>
  </si>
  <si>
    <t>Shoulder Tap Push-up (female)</t>
  </si>
  <si>
    <t>Shoulder Width Neutral Grip Pull-up</t>
  </si>
  <si>
    <t>Shrimp Squat</t>
  </si>
  <si>
    <t>Shrug (on parallel bars)</t>
  </si>
  <si>
    <t>Side Bench Squat</t>
  </si>
  <si>
    <t>Side Bend (on stability ball)</t>
  </si>
  <si>
    <t>Side Bridge</t>
  </si>
  <si>
    <t>['Adductor Brevis', 'Adductor Longus', 'Gluteus Medius', 'Gracilis', 'Iliopsoas', 'Levator Scapulae', 'Pectineous', 'Serratus Anterior', 'Tensor Fasciae Latae']</t>
  </si>
  <si>
    <t>Side Bridge (bent knee)</t>
  </si>
  <si>
    <t>['Adductor Brevis', 'Adductor Longus', 'Gluteus Maximus', 'Gluteus Medius', 'Iliopsoas', 'Sartorius']</t>
  </si>
  <si>
    <t>Side Bridge (knee tuck)</t>
  </si>
  <si>
    <t>['Adductor Brevis', 'Adductor Longus', 'Gluteus Medius', 'Gracilis', 'Iliopsoas', 'Pectineous', 'Tensor Fasciae Latae']</t>
  </si>
  <si>
    <t>Side Bridge (version 2)</t>
  </si>
  <si>
    <t>['Adductor Brevis', 'Adductor Longus', 'Deltoid Lateral', 'Gluteus Medius', 'Gracilis', 'Iliopsoas', 'Pectineous', 'Serratus Anterior', 'Tensor Fasciae Latae']</t>
  </si>
  <si>
    <t>Side Bridge Hip Abduction</t>
  </si>
  <si>
    <t>Side Bridge Hip Abduction (star)</t>
  </si>
  <si>
    <t>Side Bridge with Arm Leg Swing</t>
  </si>
  <si>
    <t>['Deltoid Anterior', 'Gluteus Maximus', 'Obliques', 'Quadriceps']</t>
  </si>
  <si>
    <t>['Adductor Brevis', 'Adductor Longus', 'Adductor Magnus', 'Biceps Brachii', 'Brachialis', 'Brachioradialis', 'Gluteus Medius', 'Gracilis', 'Pectoralis Major Clavicular Head', 'Tensor Fasciae Latae']</t>
  </si>
  <si>
    <t>Side Bridge with Bent Leg (female)</t>
  </si>
  <si>
    <t>Side Bridge with Bent Leg (male)</t>
  </si>
  <si>
    <t>Side Bridge with Straight Legs (female)</t>
  </si>
  <si>
    <t>Side Crunch</t>
  </si>
  <si>
    <t>Side Crunch (version 2)</t>
  </si>
  <si>
    <t>Side Crunch (Version 2) (female)</t>
  </si>
  <si>
    <t>Side Crunch with Hands on Chest (female)</t>
  </si>
  <si>
    <t>Side Hip (on parallel bars)</t>
  </si>
  <si>
    <t>Side Hip Abduction</t>
  </si>
  <si>
    <t>Side Lunge</t>
  </si>
  <si>
    <t>Side Lunge (female)</t>
  </si>
  <si>
    <t>Side Lying Clam</t>
  </si>
  <si>
    <t>Side Lying Feet Raise</t>
  </si>
  <si>
    <t>['Adductor Brevis', 'Adductor Longus', 'Adductor Magnus', 'Gracilis']</t>
  </si>
  <si>
    <t>['Pectineous']</t>
  </si>
  <si>
    <t>Side Lying Hip Adduction (female)</t>
  </si>
  <si>
    <t>['Adductor Brevis', 'Adductor Longus', 'Adductor Magnus', 'Gracilis', 'Pectineous']</t>
  </si>
  <si>
    <t>Side Lying Hip Adduction (male)</t>
  </si>
  <si>
    <t>Side Lying Leg Circle</t>
  </si>
  <si>
    <t>Side Lying Leg Raise</t>
  </si>
  <si>
    <t>Side Lying Outward Knee Kick</t>
  </si>
  <si>
    <t>Side Lying Scissors</t>
  </si>
  <si>
    <t>Side Lying Scissors (male)</t>
  </si>
  <si>
    <t>Side Plank</t>
  </si>
  <si>
    <t>Side Plank (beginner) (female)</t>
  </si>
  <si>
    <t>Side Plank (version 2)</t>
  </si>
  <si>
    <t>Side Plank (VERSION 2) (female)</t>
  </si>
  <si>
    <t>['Adductor Brevis', 'Adductor Longus', 'Adductor Magnus', 'Pectineous', 'Tensor Fasciae Latae']</t>
  </si>
  <si>
    <t>Side Plank - Butt (WRONG-RIGHT)</t>
  </si>
  <si>
    <t>Side Plank Hip Adduction</t>
  </si>
  <si>
    <t>Side Plank Hip Adduction (bent knee)</t>
  </si>
  <si>
    <t>['Adductor Brevis', 'Adductor Longus', 'Adductor Magnus', 'Gluteus Medius', 'Gracilis']</t>
  </si>
  <si>
    <t>['Iliopsoas', 'Obliques', 'Tensor Fasciae Latae']</t>
  </si>
  <si>
    <t>Side Plank Leg Lift</t>
  </si>
  <si>
    <t>Side Plank Oblique Crunch</t>
  </si>
  <si>
    <t>['Adductor Magnus', 'Gracilis']</t>
  </si>
  <si>
    <t>Side Plank with Raised Leg (VERSION 2) (female)</t>
  </si>
  <si>
    <t>Side Push-up</t>
  </si>
  <si>
    <t>Side Push-up with Towel</t>
  </si>
  <si>
    <t>['Biceps Brachii', 'Deltoid Anterior', 'Triceps Brachii']</t>
  </si>
  <si>
    <t>Side Sit-up</t>
  </si>
  <si>
    <t>Side Split Squat</t>
  </si>
  <si>
    <t>Side Squat</t>
  </si>
  <si>
    <t>Side Step Front Plank (female)</t>
  </si>
  <si>
    <t>Side to Side Leg Swings (female)</t>
  </si>
  <si>
    <t>Side to Side Leg Swings (male)</t>
  </si>
  <si>
    <t>Side to Wide Squat</t>
  </si>
  <si>
    <t>Side-To-Side Chin</t>
  </si>
  <si>
    <t>Sideway Leg Bridge</t>
  </si>
  <si>
    <t>['Gluteus Medius', 'Rectus Abdominis', 'Tensor Fasciae Latae']</t>
  </si>
  <si>
    <t>['Deltoid Anterior', 'Obliques', 'Quadriceps', 'Serratus Anterior']</t>
  </si>
  <si>
    <t>Sideways Lifts Vertical (straight legs)</t>
  </si>
  <si>
    <t>Sideways Lifts Vertical Turn (straight legs)</t>
  </si>
  <si>
    <t>Single Arm Overhead Dumbbell Squat</t>
  </si>
  <si>
    <t>Single Arm Push-up</t>
  </si>
  <si>
    <t>Single Arm Push-up (on knees)</t>
  </si>
  <si>
    <t>Single Arm Push-Up on Medicine Ball (male)</t>
  </si>
  <si>
    <t>Single Arm Push-up Supported Wall</t>
  </si>
  <si>
    <t>Single Arm Scapula Push up</t>
  </si>
  <si>
    <t>Single Arm Side Straight Arm Lat Pulldown (male)</t>
  </si>
  <si>
    <t>['Teres Major']</t>
  </si>
  <si>
    <t>Single Dumbbell Decline Overhead Sit-up</t>
  </si>
  <si>
    <t>Single Leg Bench Squat</t>
  </si>
  <si>
    <t>Single Leg Bodyweight Deadlift with Arm and Leg Extended (female)</t>
  </si>
  <si>
    <t>['Adductor Magnus', 'Deltoid Anterior', 'Hamstrings', 'Pectoralis Major Clavicular Head', 'Pectoralis Major Sternal Head', 'Serratus Anterior', 'Soleus']</t>
  </si>
  <si>
    <t>Single Leg Bridge</t>
  </si>
  <si>
    <t>['Deltoid Anterior', 'Hamstrings', 'Obliques', 'Serratus Anterior', 'Tensor Fasciae Latae']</t>
  </si>
  <si>
    <t>Single Leg Bridge with Hip Flexion</t>
  </si>
  <si>
    <t>Single Leg Calf Raise (on a dumbbell)</t>
  </si>
  <si>
    <t>Single Leg Calf Raise Off Step</t>
  </si>
  <si>
    <t>Single Leg Deadlift with Knee Lift</t>
  </si>
  <si>
    <t>['Biceps Brachii', 'Brachialis', 'Brachioradialis', 'Hamstrings', 'Pectoralis Major Clavicular Head']</t>
  </si>
  <si>
    <t>Single Leg Dip on floor</t>
  </si>
  <si>
    <t>Single Leg Extension (on stability ball)</t>
  </si>
  <si>
    <t>Single Leg Foot Touch</t>
  </si>
  <si>
    <t>Single Leg Glute Bridge (arms on chest) (female)</t>
  </si>
  <si>
    <t>Single Leg Glute Bridge with External Rotation</t>
  </si>
  <si>
    <t>Single Leg Glute Bridge with Knee to Chest</t>
  </si>
  <si>
    <t>Single Leg Heel Touch Squat</t>
  </si>
  <si>
    <t>Single Leg Hip Bridge (straight leg)</t>
  </si>
  <si>
    <t>Single Leg Hip Bridge (straight leg) (male)</t>
  </si>
  <si>
    <t>Single Leg Hip Thrust (VERSION 2) (female)</t>
  </si>
  <si>
    <t>Single Leg Hip Thrusts</t>
  </si>
  <si>
    <t>Single Leg Low Box Squat</t>
  </si>
  <si>
    <t>Single Leg Platform Slide</t>
  </si>
  <si>
    <t>Single Leg Push Off</t>
  </si>
  <si>
    <t>Single Leg Sit (wall)</t>
  </si>
  <si>
    <t>['Gluteus Maximus', 'Soleus']</t>
  </si>
  <si>
    <t>Single Leg Sliding Floor Bridge Curl on Towel</t>
  </si>
  <si>
    <t>['Gluteus Maximus', 'Hamstrings', 'Rectus Abdominis']</t>
  </si>
  <si>
    <t>Single Leg Squat (pistol)</t>
  </si>
  <si>
    <t>Single Leg Squat (pistol) male</t>
  </si>
  <si>
    <t>Single Leg Squat with Support (female)</t>
  </si>
  <si>
    <t>Single Leg Squat with Support (pistol)</t>
  </si>
  <si>
    <t>Single Leg Step Up (female)</t>
  </si>
  <si>
    <t>Single Leg Step-up</t>
  </si>
  <si>
    <t>Single Leg Step-up on Bench (female)</t>
  </si>
  <si>
    <t>Single Straight Leg Glute Bridge Hold (female)</t>
  </si>
  <si>
    <t>Sissy Squat</t>
  </si>
  <si>
    <t>Sit (wall)</t>
  </si>
  <si>
    <t>Sit Squat</t>
  </si>
  <si>
    <t>Sit up with Chair Assisted</t>
  </si>
  <si>
    <t>Sit-Up</t>
  </si>
  <si>
    <t>Sit-Up (version 2)</t>
  </si>
  <si>
    <t>Sit-up with Arms on Chest</t>
  </si>
  <si>
    <t>Skater Squat</t>
  </si>
  <si>
    <t>Sled 45 degrees Leg Press (female)</t>
  </si>
  <si>
    <t>Sled 45 degrees Narrow Stance Leg Press (female)</t>
  </si>
  <si>
    <t>Sled 45 degrees One Leg Press</t>
  </si>
  <si>
    <t>Sled 45 degrees One Leg Press (female)</t>
  </si>
  <si>
    <t>Sled 45 degrees Wide Stance Leg Press (female)</t>
  </si>
  <si>
    <t>Sled 45° Calf Press</t>
  </si>
  <si>
    <t>Sled 45° Leg Press</t>
  </si>
  <si>
    <t>Sled 45° Leg Press (Back POV)</t>
  </si>
  <si>
    <t>Sled 45° Leg Press (Side POV)</t>
  </si>
  <si>
    <t>Sled 45° Leg Wide Press</t>
  </si>
  <si>
    <t>Sled 45ø Narrow Stance Leg Press</t>
  </si>
  <si>
    <t>Sled Calf Press On Leg Press</t>
  </si>
  <si>
    <t>Sled Calf Press On Leg Press (female)</t>
  </si>
  <si>
    <t>Sled Closer Hack Squat</t>
  </si>
  <si>
    <t>Sled Forward Angled Calf Raise</t>
  </si>
  <si>
    <t>Sled Full Hack Squat</t>
  </si>
  <si>
    <t>Sled Full Hack Squat (female)</t>
  </si>
  <si>
    <t>Sled Hack Squat</t>
  </si>
  <si>
    <t>Sled Hack Squat (female)</t>
  </si>
  <si>
    <t>Sled Hack Squat - Legs (WRONG-RIGHT)</t>
  </si>
  <si>
    <t>Sled Lying Calf Press</t>
  </si>
  <si>
    <t>Sled Lying Squat</t>
  </si>
  <si>
    <t>Sled One Leg Calf Press on Leg Press</t>
  </si>
  <si>
    <t>Sled One Leg Hack Squat</t>
  </si>
  <si>
    <t>Sled Reverse Hack Squat</t>
  </si>
  <si>
    <t>Sled Vertical Leg Press</t>
  </si>
  <si>
    <t>Sled Wide Hack Squat (male)</t>
  </si>
  <si>
    <t>Sledge Hammer</t>
  </si>
  <si>
    <t>Hammer</t>
  </si>
  <si>
    <t>['Adductor Brevis', 'Adductor Longus', 'Adductor Magnus', 'Deltoid Anterior', 'Deltoid Lateral', 'Iliopsoas', 'Latissimus Dorsi', 'Pectoralis Major Clavicular Head', 'Teres Major']</t>
  </si>
  <si>
    <t>Sliding Floor Bridge Curl on Towel</t>
  </si>
  <si>
    <t>Sliding Floor Pulldown on Towel</t>
  </si>
  <si>
    <t>['Deltoid Posterior', 'Infraspinatus', 'Teres Major', 'Teres Minor', 'Trapezius Lower Fibers', 'Trapezius Middle Fibers', 'Triceps Brachii']</t>
  </si>
  <si>
    <t>Sliding Floor Pulldown on Towel (VERSION 2)</t>
  </si>
  <si>
    <t>['Brachialis', 'Brachioradialis', 'Deltoid Posterior', 'Infraspinatus', 'Teres Minor']</t>
  </si>
  <si>
    <t>Sliding Leg Bird Dog</t>
  </si>
  <si>
    <t>Sliding Leg Curl on Floor with Towel</t>
  </si>
  <si>
    <t>Smith Back Shrug</t>
  </si>
  <si>
    <t>Smith Back Wide Shrug</t>
  </si>
  <si>
    <t>Smith Banded Full Squat</t>
  </si>
  <si>
    <t>Smith Behind Neck Press</t>
  </si>
  <si>
    <t>Smith Bench Press</t>
  </si>
  <si>
    <t>Smith Bent Knee Good morning</t>
  </si>
  <si>
    <t>Smith Bent Over Narrow Pronated Grip Row</t>
  </si>
  <si>
    <t>Smith Narrow Row</t>
  </si>
  <si>
    <t>Smith Bent Over Row</t>
  </si>
  <si>
    <t>Smith Bent Over Row (VERSION 2)</t>
  </si>
  <si>
    <t>Smith Calf Raise (version 2)</t>
  </si>
  <si>
    <t>Smith Calf Raise (with block)</t>
  </si>
  <si>
    <t>Smith Chair Squat</t>
  </si>
  <si>
    <t>Smith Chair Squat (female)</t>
  </si>
  <si>
    <t>Smith Close-Grip Bench Press</t>
  </si>
  <si>
    <t>Smith Deadlift</t>
  </si>
  <si>
    <t>Smith Deadlift (female)</t>
  </si>
  <si>
    <t>Smith Decline Bench Press</t>
  </si>
  <si>
    <t>Smith Decline Reverse-grip Press</t>
  </si>
  <si>
    <t>Smith Drag Curl</t>
  </si>
  <si>
    <t>Smith Frankenstein Squat</t>
  </si>
  <si>
    <t>Smith Front Squat</t>
  </si>
  <si>
    <t>Smith Front Squat (Clean Grip)</t>
  </si>
  <si>
    <t>Smith Front Squat (Clean Grip) (female)</t>
  </si>
  <si>
    <t>Smith Full Squat</t>
  </si>
  <si>
    <t>Smith Good Morning Off Pins</t>
  </si>
  <si>
    <t>Smith Hack Squat</t>
  </si>
  <si>
    <t>Smith Hang Clean</t>
  </si>
  <si>
    <t>Smith Hex Press</t>
  </si>
  <si>
    <t>Smith Hip Raise</t>
  </si>
  <si>
    <t>Smith Hip Thrust</t>
  </si>
  <si>
    <t>Smith Incline Bench Press</t>
  </si>
  <si>
    <t>Smith Incline Reverse-grip Press</t>
  </si>
  <si>
    <t>Smith Incline Shoulder Raises</t>
  </si>
  <si>
    <t>Smith Kneeling Hip Thrust</t>
  </si>
  <si>
    <t>Smith kneeling rear kick</t>
  </si>
  <si>
    <t>Smith kneeling rear kick (with Partner)</t>
  </si>
  <si>
    <t>Smith Lateral Step-Up</t>
  </si>
  <si>
    <t>Smith Leg Press</t>
  </si>
  <si>
    <t>Smith Leg Press (female)</t>
  </si>
  <si>
    <t>Smith Low Bar Squat</t>
  </si>
  <si>
    <t>Smith lying lift (on hip)</t>
  </si>
  <si>
    <t>Smith Machine Bicep Curl</t>
  </si>
  <si>
    <t>Smith Machine Decline Close Grip Bench Press</t>
  </si>
  <si>
    <t>Smith Machine Incline Tricep Extension</t>
  </si>
  <si>
    <t>Smith Machine Reverse Decline Close Grip Bench Press</t>
  </si>
  <si>
    <t>Smith Narrow Row (female)</t>
  </si>
  <si>
    <t>Smith One Arm Row</t>
  </si>
  <si>
    <t>Smith One Leg Deadlift</t>
  </si>
  <si>
    <t>Smith One Leg Floor Calf Raise</t>
  </si>
  <si>
    <t>Smith One Leg Floor Calf Raise (female)</t>
  </si>
  <si>
    <t>Smith Rack Pull</t>
  </si>
  <si>
    <t>Smith rear lunge (version 2)</t>
  </si>
  <si>
    <t>Smith Reverse Calf Raises</t>
  </si>
  <si>
    <t>Smith Reverse Calf Raises (female)</t>
  </si>
  <si>
    <t>Smith Reverse Grip Bent Over Row</t>
  </si>
  <si>
    <t>['Biceps Brachii', 'Brachialis', 'Deltoid Posterior', 'Pectoralis Major Sternal Head']</t>
  </si>
  <si>
    <t>Smith Reverse Hyperextension (female)</t>
  </si>
  <si>
    <t>Smith Reverse-grip Press</t>
  </si>
  <si>
    <t>Smith Seated Calf Raise</t>
  </si>
  <si>
    <t>Smith Seated One Leg Calf Raise</t>
  </si>
  <si>
    <t>Smith Seated Shoulder Press</t>
  </si>
  <si>
    <t>Smith Seated Shoulder Press (female)</t>
  </si>
  <si>
    <t>Smith Seated Wrist Curl</t>
  </si>
  <si>
    <t>Smith Shoulder Press</t>
  </si>
  <si>
    <t>Smith Shrug</t>
  </si>
  <si>
    <t>Smith Single Arm Bent-Over Row</t>
  </si>
  <si>
    <t>Smith Single Leg Split Squat</t>
  </si>
  <si>
    <t>Smith Single Leg Split Squat (female)</t>
  </si>
  <si>
    <t>Smith Split Squat (female)</t>
  </si>
  <si>
    <t>Smith Sprint Lunge</t>
  </si>
  <si>
    <t>Smith Squat</t>
  </si>
  <si>
    <t>Smith Squat to Bench</t>
  </si>
  <si>
    <t>Smith Standing Back Wrist Curl</t>
  </si>
  <si>
    <t>Smith Standing Behind Head Military Press</t>
  </si>
  <si>
    <t>Smith Standing Leg Calf Raise</t>
  </si>
  <si>
    <t>Smith Standing Leg Calf Raise (female)</t>
  </si>
  <si>
    <t>Smith Standing Military Press</t>
  </si>
  <si>
    <t>Smith Standing Shoulder Press</t>
  </si>
  <si>
    <t>Smith Stiff Legged Deadlift</t>
  </si>
  <si>
    <t>Smith Sumo Squat</t>
  </si>
  <si>
    <t>Smith Sumo Squat (female)</t>
  </si>
  <si>
    <t>Smith Toe Raise</t>
  </si>
  <si>
    <t>Smith Toe Raise (female)</t>
  </si>
  <si>
    <t>Smith Upright Row</t>
  </si>
  <si>
    <t>Smith Wide Grip Bench Press</t>
  </si>
  <si>
    <t>Smith Wide Grip Decline Bench Press</t>
  </si>
  <si>
    <t>Smith Wide Shrug</t>
  </si>
  <si>
    <t>Smith Zercher Squat</t>
  </si>
  <si>
    <t>Snatch Pull</t>
  </si>
  <si>
    <t>['Adductor Magnus', 'Biceps Brachii', 'Brachialis', 'Brachioradialis', 'Deltoid Anterior', 'Deltoid Lateral', 'Gastrocnemius', 'Gluteus Maximus', 'Hamstrings', 'Pectoralis Major Clavicular Head', 'Quadriceps', 'Soleus']</t>
  </si>
  <si>
    <t>Spell Caster</t>
  </si>
  <si>
    <t>Spell Caster (female)</t>
  </si>
  <si>
    <t>['Deltoid Anterior', 'Latissimus Dorsi', 'Pectoralis Major Clavicular Head', 'Teres Major']</t>
  </si>
  <si>
    <t>Spider Crawl Push up</t>
  </si>
  <si>
    <t>['Deltoid Anterior', 'Gluteus Maximus', 'Pectoralis Major Clavicular Head', 'Pectoralis Major Sternal Head', 'Quadriceps', 'Tensor Fasciae Latae', 'Triceps Brachii']</t>
  </si>
  <si>
    <t>Spider Crawl Push-up (female)</t>
  </si>
  <si>
    <t>['Gluteus Medius', 'Pectoralis Major Clavicular Head', 'Pectoralis Major Sternal Head', 'Rectus Abdominis']</t>
  </si>
  <si>
    <t>Spider Plank (female)</t>
  </si>
  <si>
    <t>Spine Twist</t>
  </si>
  <si>
    <t>Split Lateral Squat with Roll</t>
  </si>
  <si>
    <t>['Adductor Brevis', 'Adductor Longus', 'Adductor Magnus', 'Gluteus Medius', 'Gluteus Minimus', 'Gracilis', 'Pectineous', 'Quadriceps']</t>
  </si>
  <si>
    <t>['Hamstrings', 'Iliopsoas', 'Quadriceps', 'Sartorius', 'Soleus']</t>
  </si>
  <si>
    <t>Split Sprinter High Lunge</t>
  </si>
  <si>
    <t>Split Sprinter Low Lunge</t>
  </si>
  <si>
    <t>Split Squat</t>
  </si>
  <si>
    <t>Split Squat (female)</t>
  </si>
  <si>
    <t>Split Squat with Roll</t>
  </si>
  <si>
    <t>Split Squats</t>
  </si>
  <si>
    <t>Sprinter Crunch</t>
  </si>
  <si>
    <t>Squat (arms overhead)</t>
  </si>
  <si>
    <t>Squat (male)</t>
  </si>
  <si>
    <t>Squat (with band)</t>
  </si>
  <si>
    <t>Squat - Back (WRONG-RIGHT)</t>
  </si>
  <si>
    <t>Squat Hold Calf Raise</t>
  </si>
  <si>
    <t>['Gluteus Maximus', 'Quadriceps', 'Soleus']</t>
  </si>
  <si>
    <t>Squat Jerk</t>
  </si>
  <si>
    <t>Squat mobility (female)</t>
  </si>
  <si>
    <t>Squat On Bosu Ball</t>
  </si>
  <si>
    <t>Squat Thrust</t>
  </si>
  <si>
    <t>Squat Tip Toe</t>
  </si>
  <si>
    <t>Squats - Knee Position</t>
  </si>
  <si>
    <t>Stability Ball Crunch (Full range hands behind head)</t>
  </si>
  <si>
    <t>Stability Ball Front Plank</t>
  </si>
  <si>
    <t>Stability Ball Reverse Hyperextension (off a bench) (female)</t>
  </si>
  <si>
    <t>Stability Ball Rollout (female)</t>
  </si>
  <si>
    <t>['Adductor Brevis', 'Adductor Longus', 'Latissimus Dorsi', 'Pectineous', 'Pectoralis Major Sternal Head', 'Sartorius', 'Tensor Fasciae Latae', 'Teres Major']</t>
  </si>
  <si>
    <t>Stability Ball Rollout on Knees (female)</t>
  </si>
  <si>
    <t>['Adductor Brevis', 'Adductor Longus', 'Latissimus Dorsi', 'Pectineous', 'Pectoralis Major Sternal Head', 'Sartorius', 'Teres Major']</t>
  </si>
  <si>
    <t>Stability Ball Rounded Rollout (female)</t>
  </si>
  <si>
    <t>Stability Ball Single Leg Squat</t>
  </si>
  <si>
    <t>Staggered Leg Side Bridge</t>
  </si>
  <si>
    <t>Stair Up (female)</t>
  </si>
  <si>
    <t>Standing Ab Twist (female)</t>
  </si>
  <si>
    <t>Standing Ab Twist (male)</t>
  </si>
  <si>
    <t>Standing Back Extension And Flexion</t>
  </si>
  <si>
    <t>Standing Behind Neck Press</t>
  </si>
  <si>
    <t>Standing Bent Knee Figure 8</t>
  </si>
  <si>
    <t>Standing Calf Raise (female)</t>
  </si>
  <si>
    <t>Standing Calf Raise (On a staircase)</t>
  </si>
  <si>
    <t>Standing Calf Raise (On a staircase) (female)</t>
  </si>
  <si>
    <t>Standing Calf Raise Circle</t>
  </si>
  <si>
    <t>Standing Calf Raise with Support (female)</t>
  </si>
  <si>
    <t>Standing Gastrocnemius</t>
  </si>
  <si>
    <t>Standing Hands Position (Pronation-Supination-Neutral)</t>
  </si>
  <si>
    <t>Standing Hip Abduction</t>
  </si>
  <si>
    <t>Standing Hip Abduction (bent knee)</t>
  </si>
  <si>
    <t>Standing Hip Adduction (VERSION 2)</t>
  </si>
  <si>
    <t>Standing Hip Extension (bent knee)</t>
  </si>
  <si>
    <t>Standing Hip Extension (straight leg) (female)</t>
  </si>
  <si>
    <t>Standing Lateral Raise (with band)</t>
  </si>
  <si>
    <t>Standing Leg Circle</t>
  </si>
  <si>
    <t>Standing Leg Slide with Towel</t>
  </si>
  <si>
    <t>Standing Plate Presses</t>
  </si>
  <si>
    <t>Standing Side Bend (bent arm) (male)</t>
  </si>
  <si>
    <t>Standing Side Bend (VERSION 2) (female)</t>
  </si>
  <si>
    <t>Standing Side Leg Raise</t>
  </si>
  <si>
    <t>Standing Single Leg Calf Raise (On a staircase)</t>
  </si>
  <si>
    <t>Standing Single Leg Calf Raise Balance</t>
  </si>
  <si>
    <t>Standing Single Leg Calf Raise with Support (female)</t>
  </si>
  <si>
    <t>Standing Single Leg Curl</t>
  </si>
  <si>
    <t>Standing Single Leg High Knee to Butt Kick With Support</t>
  </si>
  <si>
    <t>['Gluteus Maximus', 'Hamstrings', 'Quadriceps']</t>
  </si>
  <si>
    <t>Standing Wheel Rollout</t>
  </si>
  <si>
    <t>Wheel roller</t>
  </si>
  <si>
    <t>Standing Wheel Rollout (female)</t>
  </si>
  <si>
    <t>Starfish Crunch (advanced) (female)</t>
  </si>
  <si>
    <t>Starfish Crunch (beginner) (female)</t>
  </si>
  <si>
    <t>['Deltoid Anterior', 'Pectoralis Major Clavicular Head', 'Pectoralis Major Sternal Head', 'Quadriceps', 'Sartorius']</t>
  </si>
  <si>
    <t>Starfish Crunch (beginner) (male)</t>
  </si>
  <si>
    <t>['Deltoid Anterior', 'Gastrocnemius', 'Latissimus Dorsi', 'Pectoralis Major Clavicular Head', 'Pectoralis Major Sternal Head', 'Quadriceps', 'Sartorius', 'Soleus', 'Teres Major']</t>
  </si>
  <si>
    <t>Static Lunge</t>
  </si>
  <si>
    <t>['Adductor Brevis', 'Adductor Longus', 'Adductor Magnus', 'Gracilis', 'Pectineous', 'Soleus', 'Tensor Fasciae Latae']</t>
  </si>
  <si>
    <t>Stationary Arms Throw</t>
  </si>
  <si>
    <t>Step-up</t>
  </si>
  <si>
    <t>Step-up on Chair</t>
  </si>
  <si>
    <t>Stepdown Squat</t>
  </si>
  <si>
    <t>Straight Leg Dead Bug</t>
  </si>
  <si>
    <t>Straight Leg Hip Bridge</t>
  </si>
  <si>
    <t>Straight Leg Kickback (kneeling)</t>
  </si>
  <si>
    <t>Straight Leg Kickback (kneeling) (male)</t>
  </si>
  <si>
    <t>Straight Leg Outer Hip Abductor</t>
  </si>
  <si>
    <t>Straight Leg Sit-up</t>
  </si>
  <si>
    <t>Straight Leg Sit-up (female)</t>
  </si>
  <si>
    <t>StrongMan Apollons Axle</t>
  </si>
  <si>
    <t>StrongMan Arm over Arm</t>
  </si>
  <si>
    <t>StrongMan Atlas Stones</t>
  </si>
  <si>
    <t>StrongMan Barbell Farmers Walk</t>
  </si>
  <si>
    <t>StrongMan Car Flip</t>
  </si>
  <si>
    <t>Back
Chest
Hips
Thighs
Upper Arms
Waist</t>
  </si>
  <si>
    <t>StrongMan Circle of Conan</t>
  </si>
  <si>
    <t>StrongMan Crucifix Hold</t>
  </si>
  <si>
    <t>StrongMan Deadlift</t>
  </si>
  <si>
    <t>StrongMan Duck Walk</t>
  </si>
  <si>
    <t>StrongMan Dumbbell One Arm Clean and Jerk</t>
  </si>
  <si>
    <t>StrongMan Fingals Fingers</t>
  </si>
  <si>
    <t>StrongMan Front Chest Squat</t>
  </si>
  <si>
    <t>StrongMan Front Hold</t>
  </si>
  <si>
    <t>StrongMan Hercules Hold</t>
  </si>
  <si>
    <t>Chest
Forearms
Shoulders
Upper Arms</t>
  </si>
  <si>
    <t>StrongMan Hood Stones</t>
  </si>
  <si>
    <t>Back
Thighs
Waist</t>
  </si>
  <si>
    <t>StrongMan Iceland Cross</t>
  </si>
  <si>
    <t>StrongMan Iron Block Press</t>
  </si>
  <si>
    <t>StrongMan Keg Toss</t>
  </si>
  <si>
    <t>Back
Hips
Shoulders</t>
  </si>
  <si>
    <t>StrongMan Loading</t>
  </si>
  <si>
    <t>StrongMan Log Lift</t>
  </si>
  <si>
    <t>StrongMan MAS Wrestling</t>
  </si>
  <si>
    <t>StrongMan Power Stairs</t>
  </si>
  <si>
    <t>StrongMan Sandbag Walk</t>
  </si>
  <si>
    <t>StrongMan Shield Carry</t>
  </si>
  <si>
    <t>StrongMan Squats with Platform</t>
  </si>
  <si>
    <t>StrongMan Timber Carry</t>
  </si>
  <si>
    <t>StrongMan Tire Flip</t>
  </si>
  <si>
    <t>StrongMan Truck Pull</t>
  </si>
  <si>
    <t>StrongMan Viking Press</t>
  </si>
  <si>
    <t>StrongMan Weight for Height</t>
  </si>
  <si>
    <t>StrongMan Wheelbarrow</t>
  </si>
  <si>
    <t>StrongMan Yoke Walk</t>
  </si>
  <si>
    <t>Sumo Air Squat</t>
  </si>
  <si>
    <t>Sumo Deadlift High Pull</t>
  </si>
  <si>
    <t>['Adductor Magnus', 'Biceps Brachii', 'Brachialis', 'Brachioradialis', 'Deltoid Anterior', 'Gastrocnemius', 'Infraspinatus', 'Soleus', 'Teres Minor', 'Trapezius Lower Fibers', 'Trapezius Middle Fibers']</t>
  </si>
  <si>
    <t>Sumo Squat</t>
  </si>
  <si>
    <t>Sumo Squat Floor Touch</t>
  </si>
  <si>
    <t>Superman</t>
  </si>
  <si>
    <t>Superman (male)</t>
  </si>
  <si>
    <t>Superman Push-up</t>
  </si>
  <si>
    <t>['Pectoralis Major Sternal Head', 'Rectus Abdominis']</t>
  </si>
  <si>
    <t>['Latissimus Dorsi', 'Pectoralis Major Clavicular Head', 'Quadriceps', 'Tensor Fasciae Latae']</t>
  </si>
  <si>
    <t>Superman Row (female)</t>
  </si>
  <si>
    <t>['Erector Spinae', 'Gluteus Maximus', 'Infraspinatus', 'Latissimus Dorsi', 'Teres Major', 'Teres Minor', 'Trapezius Lower Fibers', 'Trapezius Middle Fibers']</t>
  </si>
  <si>
    <t>['Brachialis', 'Brachioradialis', 'Deltoid Posterior', 'Hamstrings']</t>
  </si>
  <si>
    <t>Superman Row with Towel</t>
  </si>
  <si>
    <t>['Erector Spinae', 'Gluteus Maximus', 'Latissimus Dorsi']</t>
  </si>
  <si>
    <t>['Biceps Brachii', 'Brachialis', 'Brachioradialis', 'Deltoid Posterior', 'Hamstrings', 'Infraspinatus', 'Teres Major', 'Teres Minor']</t>
  </si>
  <si>
    <t>Superman W</t>
  </si>
  <si>
    <t>Superman W to Y</t>
  </si>
  <si>
    <t>Supinated Grip Inverted Row (female)</t>
  </si>
  <si>
    <t>Supinated Narrow Grip Pull-up</t>
  </si>
  <si>
    <t>Supported Squat (female)</t>
  </si>
  <si>
    <t>Suspended Abdominal Fallout</t>
  </si>
  <si>
    <t>['Deltoid Anterior', 'Latissimus Dorsi', 'Obliques', 'Pectoralis Major Clavicular Head', 'Serratus Anterior']</t>
  </si>
  <si>
    <t>Suspended Push-Up</t>
  </si>
  <si>
    <t>Suspended Reverse Crunch</t>
  </si>
  <si>
    <t>Suspended Row</t>
  </si>
  <si>
    <t>Suspended Split Squat</t>
  </si>
  <si>
    <t>Suspender Alternate Superman (female)</t>
  </si>
  <si>
    <t>Suspender Forward Lunge with Rear Fly (male)</t>
  </si>
  <si>
    <t>Suspender Rollout (VERSION 2) (female)</t>
  </si>
  <si>
    <t>Suspender Weighted Inverted Row</t>
  </si>
  <si>
    <t>Suspender Weighted Inverted Row (female)</t>
  </si>
  <si>
    <t>Suspender Wide Grip Inverted Row</t>
  </si>
  <si>
    <t>Suspender Wide Grip Inverted Row on floor (female)</t>
  </si>
  <si>
    <t>Suspension Abduction Lunge</t>
  </si>
  <si>
    <t>['Adductor Brevis', 'Adductor Longus', 'Pectineous', 'Quadriceps']</t>
  </si>
  <si>
    <t>Suspender Arm Curl</t>
  </si>
  <si>
    <t>Suspension Arm Curl-to-Ears</t>
  </si>
  <si>
    <t>Suspension Bent knee Inverted Row</t>
  </si>
  <si>
    <t>Suspension Biceps Clutch</t>
  </si>
  <si>
    <t>['Brachialis', 'Deltoid Posterior']</t>
  </si>
  <si>
    <t>Suspension Body Saw</t>
  </si>
  <si>
    <t>['Latissimus Dorsi', 'Pectoralis Major Clavicular Head', 'Serratus Anterior']</t>
  </si>
  <si>
    <t>Suspension Calf Raise</t>
  </si>
  <si>
    <t>Suspension Chest Dip</t>
  </si>
  <si>
    <t>Suspension Chest Press</t>
  </si>
  <si>
    <t>Suspension Chin up (female)</t>
  </si>
  <si>
    <t>Suspension Close-grip Chest Press</t>
  </si>
  <si>
    <t>Suspension Crunch</t>
  </si>
  <si>
    <t>Suspension Face Pul</t>
  </si>
  <si>
    <t>['Brachialis', 'Brachioradialis', 'Deltoid Lateral', 'Infraspinatus', 'Pectoralis Major Sternal Head', 'Teres Minor', 'Trapezius Lower Fibers', 'Trapezius Middle Fibers']</t>
  </si>
  <si>
    <t>Suspension Fly</t>
  </si>
  <si>
    <t>Suspension Front Plank</t>
  </si>
  <si>
    <t>Suspension Front Raise</t>
  </si>
  <si>
    <t>Suspension Hammer Curl (female)</t>
  </si>
  <si>
    <t>Suspension Hamstring Runner</t>
  </si>
  <si>
    <t>Suspension Handstand Push-up</t>
  </si>
  <si>
    <t>['Deltoid Lateral', 'Serratus Anterior', 'Teres Major']</t>
  </si>
  <si>
    <t>Suspension Hip Abduction</t>
  </si>
  <si>
    <t>Suspension Hip Bridge</t>
  </si>
  <si>
    <t>['Gastrocnemius', 'Hamstrings']</t>
  </si>
  <si>
    <t>Suspension Hip Hinge</t>
  </si>
  <si>
    <t>Suspension Hyperextension</t>
  </si>
  <si>
    <t>Suspension Incline Push-up</t>
  </si>
  <si>
    <t>Suspension Inverted Row</t>
  </si>
  <si>
    <t>Suspension Jack knife</t>
  </si>
  <si>
    <t>Suspension Jack knife Pike</t>
  </si>
  <si>
    <t>['Adductor Brevis', 'Adductor Longus', 'Obliques', 'Pectineous', 'Tensor Fasciae Latae']</t>
  </si>
  <si>
    <t>Suspension Leg Curl</t>
  </si>
  <si>
    <t>Suspension Lunge Back Crossover</t>
  </si>
  <si>
    <t>['Adductor Brevis', 'Adductor Longus', 'Adductor Magnus', 'Gastrocnemius', 'Pectineous', 'Soleus', 'Tensor Fasciae Latae']</t>
  </si>
  <si>
    <t>Suspension Middle Row</t>
  </si>
  <si>
    <t>Suspension Mountain Climber</t>
  </si>
  <si>
    <t>Suspension Mountain Climber Push-up</t>
  </si>
  <si>
    <t>['Iliopsoas', 'Pectoralis Major Sternal Head']</t>
  </si>
  <si>
    <t>['Adductor Brevis', 'Adductor Longus', 'Deltoid Anterior', 'Pectineous', 'Pectoralis Major Clavicular Head', 'Sartorius', 'Triceps Brachii']</t>
  </si>
  <si>
    <t>Suspension Oblique Rollout</t>
  </si>
  <si>
    <t>['Adductor Brevis', 'Adductor Longus', 'Iliopsoas', 'Latissimus Dorsi', 'Pectineous', 'Rectus Abdominis', 'Sartorius', 'Teres Major']</t>
  </si>
  <si>
    <t>Suspension One Arm Biceps Curl</t>
  </si>
  <si>
    <t>Suspension One Arm Chest Press</t>
  </si>
  <si>
    <t>Suspension One Arm Leg Push-up</t>
  </si>
  <si>
    <t>Suspension One Leg Chest Press</t>
  </si>
  <si>
    <t>Suspension Pendulum</t>
  </si>
  <si>
    <t>['Gluteus Medius', 'Iliopsoas', 'Quadriceps', 'Rectus Abdominis', 'Tensor Fasciae Latae']</t>
  </si>
  <si>
    <t>Suspension Pike</t>
  </si>
  <si>
    <t>Suspension Power Pull</t>
  </si>
  <si>
    <t>['Deltoid Posterior', 'Obliques', 'Pectoralis Major Sternal Head']</t>
  </si>
  <si>
    <t>Suspension Pull Through</t>
  </si>
  <si>
    <t>['Gluteus Maximus', 'Hamstrings', 'Iliopsoas']</t>
  </si>
  <si>
    <t>Suspension Pull-up</t>
  </si>
  <si>
    <t>['Biceps Brachii', 'Levator Scapulae', 'Pectoralis Major Sternal Head', 'Teres Major', 'Trapezius Lower Fibers', 'Trapezius Middle Fibers']</t>
  </si>
  <si>
    <t>Suspension Pull-up (version 2)</t>
  </si>
  <si>
    <t>['Biceps Brachii', 'Brachialis', 'Brachioradialis', 'Pectoralis Major Sternal Head', 'Rectus Abdominis']</t>
  </si>
  <si>
    <t>Suspension Push-up</t>
  </si>
  <si>
    <t>Suspension Rear Delt Row</t>
  </si>
  <si>
    <t>['Brachialis', 'Brachioradialis', 'Infraspinatus', 'Pectoralis Major Sternal Head', 'Teres Minor', 'Trapezius Lower Fibers', 'Trapezius Middle Fibers']</t>
  </si>
  <si>
    <t>Suspension Rear Lunge</t>
  </si>
  <si>
    <t>Suspension Reverse Fly</t>
  </si>
  <si>
    <t>Suspension Reverse Fly Wake-up</t>
  </si>
  <si>
    <t>['Deltoid Posterior', 'Gluteus Maximus']</t>
  </si>
  <si>
    <t>['Gastrocnemius', 'Infraspinatus', 'Sartorius', 'Teres Minor', 'Trapezius Lower Fibers', 'Trapezius Middle Fibers']</t>
  </si>
  <si>
    <t>Suspension Rollout</t>
  </si>
  <si>
    <t>['Deltoid Posterior', 'Latissimus Dorsi', 'Pectoralis Major Sternal Head', 'Teres Major']</t>
  </si>
  <si>
    <t>Suspension Row</t>
  </si>
  <si>
    <t>Suspension Self assisted Chest Dip</t>
  </si>
  <si>
    <t>Suspension Self assisted Pull-up</t>
  </si>
  <si>
    <t>Suspension Self assisted Triceps Dip</t>
  </si>
  <si>
    <t>Suspension Shoulder External Rotation</t>
  </si>
  <si>
    <t>['Deltoid Posterior', 'Teres Major', 'Trapezius Middle Fibers']</t>
  </si>
  <si>
    <t>Suspension Side Bend</t>
  </si>
  <si>
    <t>['Adductor Brevis', 'Adductor Longus', 'Gracilis', 'Iliopsoas', 'Tensor Fasciae Latae']</t>
  </si>
  <si>
    <t>Suspension Side Bridge</t>
  </si>
  <si>
    <t>['Adductor Brevis', 'Adductor Longus', 'Deltoid Lateral', 'Gracilis', 'Iliopsoas', 'Pectineous', 'Tensor Fasciae Latae']</t>
  </si>
  <si>
    <t>Suspension Side Cross Lunge</t>
  </si>
  <si>
    <t>['Adductor Brevis', 'Adductor Longus', 'Adductor Magnus', 'Gastrocnemius', 'Gluteus Maximus', 'Pectineous', 'Soleus', 'Tensor Fasciae Latae']</t>
  </si>
  <si>
    <t>Suspension Side Lunge</t>
  </si>
  <si>
    <t>['Adductor Brevis', 'Adductor Longus', 'Gracilis', 'Quadriceps']</t>
  </si>
  <si>
    <t>Suspension Single Arm Rear Delt Row</t>
  </si>
  <si>
    <t>Suspension Single Leg Deadlift</t>
  </si>
  <si>
    <t>Suspension Single Leg Plank</t>
  </si>
  <si>
    <t>Suspension Single Leg Plank (straight arm)</t>
  </si>
  <si>
    <t>Suspension Single Leg Split Squat</t>
  </si>
  <si>
    <t>Suspension Single Leg Split Squat (self assisted)</t>
  </si>
  <si>
    <t>Suspension Single Leg Squat</t>
  </si>
  <si>
    <t>Suspension Single Leg Squat (figure)</t>
  </si>
  <si>
    <t>Suspension Sit-up</t>
  </si>
  <si>
    <t>Suspension Spiderman Push-up</t>
  </si>
  <si>
    <t>['Deltoid Anterior', 'Gluteus Maximus', 'Pectoralis Major Clavicular Head', 'Quadriceps', 'Tensor Fasciae Latae', 'Triceps Brachii']</t>
  </si>
  <si>
    <t>Suspension Split Fly</t>
  </si>
  <si>
    <t>Suspension Sprinter</t>
  </si>
  <si>
    <t>Suspension Squat</t>
  </si>
  <si>
    <t>Suspension Squat (Arms Overhead)</t>
  </si>
  <si>
    <t>Suspension Squat Power Pull</t>
  </si>
  <si>
    <t>['Infraspinatus', 'Latissimus Dorsi', 'Quadriceps', 'Teres Major', 'Teres Minor', 'Trapezius Lower Fibers', 'Trapezius Middle Fibers']</t>
  </si>
  <si>
    <t>['Deltoid Posterior', 'Gluteus Maximus', 'Obliques', 'Soleus']</t>
  </si>
  <si>
    <t>Suspension Standing Ab Rollout</t>
  </si>
  <si>
    <t>['Deltoid Posterior', 'Latissimus Dorsi', 'Tensor Fasciae Latae', 'Teres Major']</t>
  </si>
  <si>
    <t>Suspension Star Plank</t>
  </si>
  <si>
    <t>Suspension Star Push-up</t>
  </si>
  <si>
    <t>['Adductor Brevis', 'Adductor Longus', 'Deltoid Anterior', 'Gluteus Maximus', 'Gluteus Medius', 'Iliopsoas', 'Pectineous', 'Pectoralis Major Clavicular Head', 'Rectus Abdominis', 'Tensor Fasciae Latae']</t>
  </si>
  <si>
    <t>Suspension Straight Hip Leg Curl</t>
  </si>
  <si>
    <t>Suspension Sumo Squat (female)</t>
  </si>
  <si>
    <t>Suspension Supine Crunch</t>
  </si>
  <si>
    <t>Suspension Supine Plank</t>
  </si>
  <si>
    <t>['Deltoid Anterior', 'Deltoid Lateral', 'Rectus Abdominis']</t>
  </si>
  <si>
    <t>Suspension Triceps Dip</t>
  </si>
  <si>
    <t>Suspension Triceps Extension</t>
  </si>
  <si>
    <t>Suspension Triceps Extension Push-up</t>
  </si>
  <si>
    <t>Suspension Triceps Kickback</t>
  </si>
  <si>
    <t>Suspension Twist</t>
  </si>
  <si>
    <t>Suspension Twist Side</t>
  </si>
  <si>
    <t>['Adductor Brevis', 'Adductor Longus', 'Iliopsoas', 'Pectineous', 'Rectus Abdominis', 'Tensor Fasciae Latae']</t>
  </si>
  <si>
    <t>Suspension Twist-Up</t>
  </si>
  <si>
    <t>Suspension Twisting Jack knife</t>
  </si>
  <si>
    <t>Suspension Underhand Grip Inverted Row (female)</t>
  </si>
  <si>
    <t>Suspension Y Lateral Raise</t>
  </si>
  <si>
    <t>['Deltoid Anterior', 'Pectoralis Major Clavicular Head', 'Serratus Anterior', 'Teres Major']</t>
  </si>
  <si>
    <t>Swimmer</t>
  </si>
  <si>
    <t>Swimmer Kicks (VERSION 2) (female)</t>
  </si>
  <si>
    <t>Swimmer Kicks (VERSION 2) (male)</t>
  </si>
  <si>
    <t>Table Top Bridge</t>
  </si>
  <si>
    <t>['Deltoid Posterior', 'Gluteus Maximus', 'Hamstrings', 'Infraspinatus', 'Quadriceps', 'Rectus Abdominis', 'Teres Major', 'Teres Minor', 'Trapezius Lower Fibers', 'Trapezius Middle Fibers']</t>
  </si>
  <si>
    <t>Table Top Bridge Rotation</t>
  </si>
  <si>
    <t>Three Bench Dip</t>
  </si>
  <si>
    <t>Tiger Tail Peroneal</t>
  </si>
  <si>
    <t>Tire Flip</t>
  </si>
  <si>
    <t>Toe Touch Sit (wall)</t>
  </si>
  <si>
    <t>Top Pull-up Hold (female)</t>
  </si>
  <si>
    <t>Transverse Plane Dumbbell Lunge</t>
  </si>
  <si>
    <t>Transverse Step Up</t>
  </si>
  <si>
    <t>Trap bar Banded Deadlift</t>
  </si>
  <si>
    <t>Trap bar</t>
  </si>
  <si>
    <t>Trap Bar Bent Over Row (male)</t>
  </si>
  <si>
    <t>Trap Bar Deadlift</t>
  </si>
  <si>
    <t>Trap Bar Deadlift from Deficit (male)</t>
  </si>
  <si>
    <t>Trap Bar Farmers Carry</t>
  </si>
  <si>
    <t>Trap Bar Split Stance RDL</t>
  </si>
  <si>
    <t>Trap Bar Standing Shrug (male)</t>
  </si>
  <si>
    <t>Triceps Dip</t>
  </si>
  <si>
    <t>Triceps Dip (bench leg)</t>
  </si>
  <si>
    <t>Triceps Dip (between benches)</t>
  </si>
  <si>
    <t>Triceps Dip (female)</t>
  </si>
  <si>
    <t>Triceps Dip Floor (female)</t>
  </si>
  <si>
    <t>Triceps Dips Floor</t>
  </si>
  <si>
    <t>Triceps Press</t>
  </si>
  <si>
    <t>Triceps Press (Head Below Bench)</t>
  </si>
  <si>
    <t>Triceps Press (high bar position)</t>
  </si>
  <si>
    <t>Triceps Press (low bar position)</t>
  </si>
  <si>
    <t>Tuck Crunch</t>
  </si>
  <si>
    <t>Tuck Up (female)</t>
  </si>
  <si>
    <t>Twin handle parallel grip lat pulldown</t>
  </si>
  <si>
    <t>Twist Crunch (leg-up)</t>
  </si>
  <si>
    <t>Twist Crunch (Legs Up) (male)</t>
  </si>
  <si>
    <t>Twist Hip Lift</t>
  </si>
  <si>
    <t>['Gluteus Maximus', 'Obliques']</t>
  </si>
  <si>
    <t>Twist Push-up</t>
  </si>
  <si>
    <t>['Deltoid Anterior', 'Obliques', 'Triceps Brachii']</t>
  </si>
  <si>
    <t>Twist Side Bridge</t>
  </si>
  <si>
    <t>['Adductor Brevis', 'Adductor Longus', 'Deltoid Anterior', 'Deltoid Posterior', 'Gluteus Medius', 'Iliopsoas', 'Pectineous', 'Rectus Abdominis', 'Sartorius', 'Tensor Fasciae Latae']</t>
  </si>
  <si>
    <t>Twist Sit-up</t>
  </si>
  <si>
    <t>Twist Squat</t>
  </si>
  <si>
    <t>Twist Superman (male)</t>
  </si>
  <si>
    <t>['Erector Spinae', 'Gluteus Maximus', 'Obliques']</t>
  </si>
  <si>
    <t>Twisted Leg Raise</t>
  </si>
  <si>
    <t>Twisted Leg Raise (female)</t>
  </si>
  <si>
    <t>Twisting Crunch</t>
  </si>
  <si>
    <t>Twisting Crunch (arms straight)</t>
  </si>
  <si>
    <t>Twisting Crunch (Straight Arms) (male)</t>
  </si>
  <si>
    <t>Two Legs Hammer Curl with Towel (VERSION 2)</t>
  </si>
  <si>
    <t>Two Legs Reverse Biceps Curl with Towel (VERSION 2)</t>
  </si>
  <si>
    <t>Underhand-Grip Inverted Back Row</t>
  </si>
  <si>
    <t>V Sit Cross Punch</t>
  </si>
  <si>
    <t>V Sit Toe Tap</t>
  </si>
  <si>
    <t>V-up</t>
  </si>
  <si>
    <t>V-up (male)</t>
  </si>
  <si>
    <t>['Adductor Brevis', 'Adductor Longus', 'Obliques', 'Pectineous', 'Quadriceps', 'Sartorius']</t>
  </si>
  <si>
    <t>V-up Double Crunch</t>
  </si>
  <si>
    <t>V-Up Down (with Stability ball)</t>
  </si>
  <si>
    <t>V-Up Down (with Stability ball) (female)</t>
  </si>
  <si>
    <t>V-up with Clap</t>
  </si>
  <si>
    <t>['Iliopsoas', 'Obliques', 'Quadriceps', 'Serratus Anterior', 'Tensor Fasciae Latae']</t>
  </si>
  <si>
    <t>V-up with Clap (female)</t>
  </si>
  <si>
    <t>Vertical Leg Raise (on parallel bars)</t>
  </si>
  <si>
    <t>Vertical Leg Raise (on parallel bars) (female)</t>
  </si>
  <si>
    <t>Vertical Leg Raise (on parallel bars) (female) (VERSION 2)</t>
  </si>
  <si>
    <t>Vertical Leg Raise (on parallel bars) (male)</t>
  </si>
  <si>
    <t>Vertical Sit-Up (male)</t>
  </si>
  <si>
    <t>Walking Lunge (female)</t>
  </si>
  <si>
    <t>Wall Press Heel Tap (male)</t>
  </si>
  <si>
    <t>Wall Pulse (male)</t>
  </si>
  <si>
    <t>Weighted Bench Dip</t>
  </si>
  <si>
    <t>Weighted Captains Chair Leg Raise</t>
  </si>
  <si>
    <t>Weighted Chain Sumo Deadlift</t>
  </si>
  <si>
    <t>Weighted Chin-Up (male)</t>
  </si>
  <si>
    <t>Weighted Close Grip Chin-up on Dip Cage</t>
  </si>
  <si>
    <t>Weighted Cossack Squats (male)</t>
  </si>
  <si>
    <t>['Adductor Brevis', 'Adductor Longus', 'Gluteus Maximus', 'Gluteus Medius', 'Hamstrings', 'Pectineous', 'Quadriceps', 'Tensor Fasciae Latae']</t>
  </si>
  <si>
    <t>['Adductor Magnus', 'Gracilis', 'Sartorius', 'Soleus']</t>
  </si>
  <si>
    <t>Weighted Counterbalanced Skater Squat (male)</t>
  </si>
  <si>
    <t>Weighted Counterbalanced Squat (male)</t>
  </si>
  <si>
    <t>Weighted Crunch</t>
  </si>
  <si>
    <t>Weighted Crunch (bent knee)</t>
  </si>
  <si>
    <t>Weighted Crunch (female)</t>
  </si>
  <si>
    <t>Weighted Crunch (VERSION 2)</t>
  </si>
  <si>
    <t>Weighted Dead Bug (male)</t>
  </si>
  <si>
    <t>Weighted Decline Sit-up</t>
  </si>
  <si>
    <t>['Deltoid Lateral', 'Obliques', 'Pectoralis Major Clavicular Head', 'Quadriceps', 'Serratus Anterior', 'Triceps Brachii']</t>
  </si>
  <si>
    <t>Weighted Donkey Calf Raise</t>
  </si>
  <si>
    <t>Weighted Drop Push Up</t>
  </si>
  <si>
    <t>Weighted Exercise Ball Wall Squat</t>
  </si>
  <si>
    <t>Weighted Floor Crunch Feet on Bench (female)</t>
  </si>
  <si>
    <t>Weighted Floor Twisting Crunch Feet on Bench (female)</t>
  </si>
  <si>
    <t>Weighted Frog Pump</t>
  </si>
  <si>
    <t>Weighted Front Raise</t>
  </si>
  <si>
    <t>Weighted Full Can Exercise (male)</t>
  </si>
  <si>
    <t>Weighted Full Squat with Overhead Press</t>
  </si>
  <si>
    <t>Weighted Hammer Grip Pull-up on Dip Cage</t>
  </si>
  <si>
    <t>Weighted Hang Chin-Up</t>
  </si>
  <si>
    <t>Weighted Hanging leg-hip raise</t>
  </si>
  <si>
    <t>Weighted Hip Thrusts (Female)</t>
  </si>
  <si>
    <t>Weighted Hyperextension</t>
  </si>
  <si>
    <t>Weighted Hyperextension (on stability ball)</t>
  </si>
  <si>
    <t>Weighted Incline Svend Press</t>
  </si>
  <si>
    <t>Weighted Inverted Row</t>
  </si>
  <si>
    <t>Weighted Kneeling Step with Swing</t>
  </si>
  <si>
    <t>['Deltoid Anterior', 'Gluteus Maximus', 'Hamstrings', 'Quadriceps']</t>
  </si>
  <si>
    <t>['Adductor Magnus', 'Deltoid Lateral', 'Pectoralis Major Clavicular Head', 'Soleus']</t>
  </si>
  <si>
    <t>Weighted Leg Extension Crunch</t>
  </si>
  <si>
    <t>Weighted Lunge with Swing</t>
  </si>
  <si>
    <t>Weighted Lying Hip Abduction</t>
  </si>
  <si>
    <t>Weighted Lying Neck Extension</t>
  </si>
  <si>
    <t>Weighted Lying Neck Extension (with head harness)</t>
  </si>
  <si>
    <t>Weighted Lying Neck Flexion</t>
  </si>
  <si>
    <t>['Levator Scapulae', 'Splenius']</t>
  </si>
  <si>
    <t>Weighted Lying Neck Flexion (with head harness)</t>
  </si>
  <si>
    <t>Weighted Lying Neck Head Twist</t>
  </si>
  <si>
    <t>Weighted Lying Neck Side to Side</t>
  </si>
  <si>
    <t>Weighted Lying Side Lifting Head with head harness</t>
  </si>
  <si>
    <t>['Levator Scapulae', 'Trapezius Upper Fibers']</t>
  </si>
  <si>
    <t>Weighted Lying Side Neck Raise</t>
  </si>
  <si>
    <t>Weighted Lying Twist</t>
  </si>
  <si>
    <t>Weighted Muscle up</t>
  </si>
  <si>
    <t>Weighted Muscle up (on bar)</t>
  </si>
  <si>
    <t>Weighted One Hand Pull up</t>
  </si>
  <si>
    <t>Weighted one leg hip thrust</t>
  </si>
  <si>
    <t>Weighted Overhead Crunch (on stability ball)</t>
  </si>
  <si>
    <t>Weighted Overhead Press Step Up</t>
  </si>
  <si>
    <t>Weighted Plate Bent Over Row</t>
  </si>
  <si>
    <t>Weighted Plate Overhead March</t>
  </si>
  <si>
    <t>Weighted Plate Standing High Front Raise</t>
  </si>
  <si>
    <t>Weighted Pull-Up</t>
  </si>
  <si>
    <t>['Biceps Brachii', 'Brachialis', 'Brachioradialis', 'Infraspinatus', 'Pectoralis Major Clavicular Head', 'Pectoralis Major Sternal Head', 'Teres Major', 'Teres Minor', 'Trapezius Lower Fibers', 'Trapezius Middle Fibers']</t>
  </si>
  <si>
    <t>Weighted Pullover (on stability ball)</t>
  </si>
  <si>
    <t>Weighted Push-up with Vest</t>
  </si>
  <si>
    <t>Weighted Reduction Triangle</t>
  </si>
  <si>
    <t>['Deltoid Anterior', 'Deltoid Lateral', 'Pectoralis Major Clavicular Head', 'Triceps Brachii']</t>
  </si>
  <si>
    <t>Weighted Round Arm</t>
  </si>
  <si>
    <t>Weighted Russian Twist</t>
  </si>
  <si>
    <t>Weighted Russian Twist (female)</t>
  </si>
  <si>
    <t>Weighted Russian Twist (legs up)</t>
  </si>
  <si>
    <t>Weighted Russian Twist (VERSION 2)</t>
  </si>
  <si>
    <t>Weighted Seated Bicep Curl  (on stability ball)</t>
  </si>
  <si>
    <t>Weighted Seated Calf Raise</t>
  </si>
  <si>
    <t>Weighted Seated Calf Raise (VERSION 2)</t>
  </si>
  <si>
    <t>Weighted Seated Leg Raise on Floor</t>
  </si>
  <si>
    <t>Weighted Seated Neck Extension with head harness</t>
  </si>
  <si>
    <t>['Levator Scapulae', 'Sternocleidomastoid', 'Trapezius Upper Fibers']</t>
  </si>
  <si>
    <t>Weighted Seated Neutral Wrist Curl</t>
  </si>
  <si>
    <t>Weighted Seated One Arm Reverse Wrist Curl</t>
  </si>
  <si>
    <t>Weighted Seated One Arm Wrist Curl</t>
  </si>
  <si>
    <t>Weighted Seated Reverse Wrist Curl</t>
  </si>
  <si>
    <t>Weighted Seated Single Calf Raise (VERSION 2)</t>
  </si>
  <si>
    <t>Weighted Seated Supination</t>
  </si>
  <si>
    <t>Weighted Seated Triceps Extension (male)</t>
  </si>
  <si>
    <t>Weighted Seated Tuck Crunch on Floor</t>
  </si>
  <si>
    <t>Weighted Seated Twist (on stability ball)</t>
  </si>
  <si>
    <t>Weighted Side Bend (on stability ball)</t>
  </si>
  <si>
    <t>Weighted Side Crunch</t>
  </si>
  <si>
    <t>Weighted Side Lying Side Neck Raise</t>
  </si>
  <si>
    <t>Weighted Single Leg Lift</t>
  </si>
  <si>
    <t>['Gluteus Maximus', 'Sartorius']</t>
  </si>
  <si>
    <t>Weighted Sissy Squat</t>
  </si>
  <si>
    <t>Weighted Sissy Squat (female)</t>
  </si>
  <si>
    <t>Weighted Squat</t>
  </si>
  <si>
    <t>Weighted Stability Ball Crunch (Full range)</t>
  </si>
  <si>
    <t>Weighted Standing Curl</t>
  </si>
  <si>
    <t>Weighted Standing Curl (female)</t>
  </si>
  <si>
    <t>Weighted Standing Hand Squeeze</t>
  </si>
  <si>
    <t>Weighted Standing Neck Extension (with head harness)</t>
  </si>
  <si>
    <t>Weighted Standing Shoulder Press</t>
  </si>
  <si>
    <t>Weighted Standing Twist</t>
  </si>
  <si>
    <t>Weighted Straight Bar Dip</t>
  </si>
  <si>
    <t>Weighted Straight Leg Toe Touch Crunch (male)</t>
  </si>
  <si>
    <t>Weighted Svend Bench Press</t>
  </si>
  <si>
    <t>Weighted Svend Press</t>
  </si>
  <si>
    <t>Weighted Svend Press (female)</t>
  </si>
  <si>
    <t>Weighted Three Bench Dips</t>
  </si>
  <si>
    <t>Weighted Tricep Dips</t>
  </si>
  <si>
    <t>Weighted Triceps Dip on High Parallel Bars</t>
  </si>
  <si>
    <t>Weighted Twisting Crunch (on bench)</t>
  </si>
  <si>
    <t>['Gluteus Maximus', 'Quadriceps', 'Tensor Fasciae Latae']</t>
  </si>
  <si>
    <t>Weighted V-Crunch (on bosu ball)</t>
  </si>
  <si>
    <t>Wheel Rollout</t>
  </si>
  <si>
    <t>['Adductor Brevis', 'Adductor Longus', 'Deltoid Posterior', 'Latissimus Dorsi', 'Pectineous', 'Pectoralis Major Sternal Head', 'Sartorius', 'Teres Major']</t>
  </si>
  <si>
    <t>Wheel Rollout (female)</t>
  </si>
  <si>
    <t>Wheel Rollout with Wall Support (male)</t>
  </si>
  <si>
    <t>Wide Air Squat</t>
  </si>
  <si>
    <t>Wide Chin-Up (female)</t>
  </si>
  <si>
    <t>['Latissimus Dorsi', 'Teres Major', 'Trapezius Lower Fibers']</t>
  </si>
  <si>
    <t>Wide Grip Pull Up (female)</t>
  </si>
  <si>
    <t>['Biceps Brachii', 'Brachialis', 'Brachioradialis', 'Deltoid Posterior', 'Teres Major']</t>
  </si>
  <si>
    <t>Wide Grip Pull-Up</t>
  </si>
  <si>
    <t>Wide Grip Pull-Up on Dip Cage</t>
  </si>
  <si>
    <t>Wide Grip Rear Pull Up (female)</t>
  </si>
  <si>
    <t>['Biceps Brachii', 'Brachialis', 'Brachioradialis', 'Teres Major', 'Trapezius Upper Fibers']</t>
  </si>
  <si>
    <t>Wide Grip Rear Pull-Up</t>
  </si>
  <si>
    <t>['Biceps Brachii', 'Brachialis', 'Pectoralis Major Sternal Head', 'Teres Major', 'Trapezius Lower Fibers']</t>
  </si>
  <si>
    <t>Wide Hand Push up</t>
  </si>
  <si>
    <t>Wide Hand Push-up (female)</t>
  </si>
  <si>
    <t>Wide Push-up (wall) (female)</t>
  </si>
  <si>
    <t>Wide Seated Pull-up</t>
  </si>
  <si>
    <t>Wide to Narrow Push-up</t>
  </si>
  <si>
    <t>Wide-Grip Chest Dip on High Parallel Bars</t>
  </si>
  <si>
    <t>Wind Sprints</t>
  </si>
  <si>
    <t>Wipers (straight leg)</t>
  </si>
  <si>
    <t>Wrist - Abduction - Articulations</t>
  </si>
  <si>
    <t>Wrist Circles</t>
  </si>
  <si>
    <t>Wrist Circles (female)</t>
  </si>
  <si>
    <t>동작명</t>
  </si>
  <si>
    <t>영역 구분</t>
  </si>
  <si>
    <t>영역 2</t>
  </si>
  <si>
    <t>타겟부위 (Gym Visual 기준)</t>
  </si>
  <si>
    <t>협력근육(보조근)</t>
  </si>
  <si>
    <t>도구1</t>
  </si>
  <si>
    <t>도구2</t>
  </si>
  <si>
    <t>시퀀스</t>
  </si>
  <si>
    <t>황성우 코멘트</t>
  </si>
  <si>
    <t>양쪽 동시</t>
  </si>
  <si>
    <t>덤벨 컬의 세분화된 종류이고, 인클라인 벤치를 이용해 자세를 잡는 것이 포인트인 동작이라고 예상됨.  특별히 엄청 유명한 동작이 아닌 걸로 알고 있는데, 잘못 알고 있는게 아니라면 아래의 '덤벨 컬'로 대체하는 편이 좋다고 생각함. (많이 넣어서 문제 될 건 없지만 이번에는 진짜 알짜베기만 추린다는 목적에 맞게)</t>
  </si>
  <si>
    <t>양쪽을 각각 번갈아서(얼터네이팅)</t>
  </si>
  <si>
    <t>답변</t>
  </si>
  <si>
    <t>크로스바디 해머 컬 두종류는 빼도 무방해 보입니다.</t>
  </si>
  <si>
    <t>케이블 해머컬</t>
  </si>
  <si>
    <t>한쪽만</t>
  </si>
  <si>
    <t>덤벨 컬 / 얼터네이팅 덤벨 컬 등으로 세분화될 예정 (자세추정을 통한 AI코칭 기능을 위해서 구분 필요)</t>
  </si>
  <si>
    <t>위와 마찬가지</t>
  </si>
  <si>
    <t>(참고) 우리제품 본체만 가지고는 수평방향 동작을 수행하기 난감한 면이 있음. 별도 부착구조물 활용해야 하는 동작</t>
  </si>
  <si>
    <t>(참고)</t>
  </si>
  <si>
    <t>다소 특수한 동작이 아닌지?</t>
  </si>
  <si>
    <t>데드리프트는 기본적으로 바벨 크기 때문에 정강이 부분에서 시작함.
좀 더 자극을 위해 더 아래까지 내려가는 데피싯 데드(박스나, 바벨등 높은 곳에 서서 시작) 같은 경우, 우리 제픔은 그런 제약은 없기 때문에 위 동작을 하는데 있어서 메리트가 느껴져서 추가해 봤습니다.</t>
  </si>
  <si>
    <t>Bodyweight Standing Close-grip Row</t>
  </si>
  <si>
    <t>Forearms
Hips
Thighs</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</si>
</sst>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b/>
      <sz val="11.0"/>
      <color rgb="FF000000"/>
      <name val="&quot;맑은 고딕&quot;"/>
    </font>
    <font>
      <strike/>
      <u/>
      <sz val="11.0"/>
      <color rgb="FF0563C1"/>
      <name val="&quot;맑은 고딕&quot;"/>
    </font>
    <font>
      <sz val="11.0"/>
      <color rgb="FF000000"/>
      <name val="&quot;맑은 고딕&quot;"/>
    </font>
    <font>
      <strike/>
      <sz val="11.0"/>
      <color rgb="FF000000"/>
      <name val="&quot;맑은 고딕&quot;"/>
    </font>
    <font>
      <b/>
      <color theme="1"/>
      <name val="Calibri"/>
      <scheme val="minor"/>
    </font>
    <font>
      <color theme="1"/>
      <name val="Calibri"/>
      <scheme val="minor"/>
    </font>
    <font>
      <strike/>
      <color theme="1"/>
      <name val="Calibri"/>
      <scheme val="minor"/>
    </font>
    <font>
      <sz val="11.0"/>
      <color rgb="FF000000"/>
      <name val="Arial"/>
    </font>
    <font>
      <sz val="11.0"/>
      <color theme="1"/>
      <name val="Arial"/>
    </font>
    <font>
      <sz val="11.0"/>
      <color rgb="FF000000"/>
      <name val="Calibri"/>
    </font>
    <font>
      <sz val="11.0"/>
      <color rgb="FF000000"/>
      <name val="돋움"/>
    </font>
    <font>
      <strike/>
      <sz val="11.0"/>
      <color theme="1"/>
      <name val="Arial"/>
    </font>
    <font>
      <b/>
      <i/>
      <color theme="1"/>
      <name val="Calibri"/>
      <scheme val="minor"/>
    </font>
    <font>
      <sz val="9.0"/>
      <color rgb="FF1F1F1F"/>
      <name val="&quot;Google Sans&quot;"/>
    </font>
    <font>
      <b/>
      <sz val="11.0"/>
      <color theme="1"/>
      <name val="Malgun Gothic"/>
    </font>
    <font>
      <sz val="11.0"/>
      <color theme="1"/>
      <name val="Malgun Gothic"/>
    </font>
  </fonts>
  <fills count="5">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FFFFF"/>
        <bgColor rgb="FFFFFFFF"/>
      </patternFill>
    </fill>
  </fills>
  <borders count="1">
    <border/>
  </borders>
  <cellStyleXfs count="1">
    <xf borderId="0" fillId="0" fontId="0" numFmtId="0" applyAlignment="1" applyFont="1"/>
  </cellStyleXfs>
  <cellXfs count="36">
    <xf borderId="0" fillId="0" fontId="0" numFmtId="0" xfId="0" applyAlignment="1" applyFont="1">
      <alignment readingOrder="0" shrinkToFit="0" vertical="center" wrapText="0"/>
    </xf>
    <xf borderId="0" fillId="0" fontId="1" numFmtId="0" xfId="0" applyAlignment="1" applyFont="1">
      <alignment readingOrder="0" shrinkToFit="0" vertical="center" wrapText="0"/>
    </xf>
    <xf borderId="0" fillId="0" fontId="2" numFmtId="0" xfId="0" applyAlignment="1" applyFont="1">
      <alignment readingOrder="0" shrinkToFit="0" vertical="center" wrapText="0"/>
    </xf>
    <xf borderId="0" fillId="2" fontId="3" numFmtId="0" xfId="0" applyAlignment="1" applyFill="1" applyFont="1">
      <alignment readingOrder="0" shrinkToFit="0" vertical="center" wrapText="0"/>
    </xf>
    <xf borderId="0" fillId="2" fontId="4" numFmtId="0" xfId="0" applyAlignment="1" applyFont="1">
      <alignment readingOrder="0" shrinkToFit="0" vertical="center" wrapText="0"/>
    </xf>
    <xf borderId="0" fillId="0" fontId="5" numFmtId="0" xfId="0" applyAlignment="1" applyFont="1">
      <alignment readingOrder="0" vertical="center"/>
    </xf>
    <xf borderId="0" fillId="0" fontId="6" numFmtId="0" xfId="0" applyAlignment="1" applyFont="1">
      <alignment readingOrder="0" vertical="center"/>
    </xf>
    <xf borderId="0" fillId="0" fontId="7" numFmtId="0" xfId="0" applyAlignment="1" applyFont="1">
      <alignment readingOrder="0" vertical="center"/>
    </xf>
    <xf borderId="0" fillId="0" fontId="3" numFmtId="0" xfId="0" applyAlignment="1" applyFont="1">
      <alignment readingOrder="0" shrinkToFit="0" vertical="center" wrapText="0"/>
    </xf>
    <xf borderId="0" fillId="0" fontId="8" numFmtId="0" xfId="0" applyAlignment="1" applyFont="1">
      <alignment readingOrder="0" shrinkToFit="0" vertical="center" wrapText="0"/>
    </xf>
    <xf borderId="0" fillId="0" fontId="4" numFmtId="0" xfId="0" applyAlignment="1" applyFont="1">
      <alignment readingOrder="0" shrinkToFit="0" vertical="center" wrapText="0"/>
    </xf>
    <xf borderId="0" fillId="0" fontId="9" numFmtId="0" xfId="0" applyAlignment="1" applyFont="1">
      <alignment readingOrder="0" vertical="center"/>
    </xf>
    <xf borderId="0" fillId="0" fontId="10" numFmtId="0" xfId="0" applyAlignment="1" applyFont="1">
      <alignment readingOrder="0" vertical="center"/>
    </xf>
    <xf borderId="0" fillId="0" fontId="8" numFmtId="0" xfId="0" applyAlignment="1" applyFont="1">
      <alignment readingOrder="0" vertical="center"/>
    </xf>
    <xf borderId="0" fillId="0" fontId="6" numFmtId="0" xfId="0" applyAlignment="1" applyFont="1">
      <alignment vertical="center"/>
    </xf>
    <xf borderId="0" fillId="0" fontId="3" numFmtId="0" xfId="0" applyAlignment="1" applyFont="1">
      <alignment readingOrder="0" vertical="center"/>
    </xf>
    <xf borderId="0" fillId="0" fontId="6" numFmtId="0" xfId="0" applyAlignment="1" applyFont="1">
      <alignment readingOrder="0" vertical="center"/>
    </xf>
    <xf borderId="0" fillId="0" fontId="11" numFmtId="0" xfId="0" applyAlignment="1" applyFont="1">
      <alignment readingOrder="0" vertical="center"/>
    </xf>
    <xf borderId="0" fillId="0" fontId="12" numFmtId="0" xfId="0" applyAlignment="1" applyFont="1">
      <alignment readingOrder="0" vertical="center"/>
    </xf>
    <xf borderId="0" fillId="0" fontId="7" numFmtId="0" xfId="0" applyAlignment="1" applyFont="1">
      <alignment vertical="center"/>
    </xf>
    <xf borderId="0" fillId="0" fontId="7" numFmtId="0" xfId="0" applyAlignment="1" applyFont="1">
      <alignment vertical="center"/>
    </xf>
    <xf borderId="0" fillId="0" fontId="13" numFmtId="0" xfId="0" applyAlignment="1" applyFont="1">
      <alignment readingOrder="0" vertical="center"/>
    </xf>
    <xf borderId="0" fillId="0" fontId="3" numFmtId="0" xfId="0" applyAlignment="1" applyFont="1">
      <alignment shrinkToFit="0" vertical="center" wrapText="0"/>
    </xf>
    <xf borderId="0" fillId="0" fontId="4" numFmtId="0" xfId="0" applyAlignment="1" applyFont="1">
      <alignment shrinkToFit="0" vertical="center" wrapText="0"/>
    </xf>
    <xf borderId="0" fillId="0" fontId="3" numFmtId="0" xfId="0" applyAlignment="1" applyFont="1">
      <alignment readingOrder="0" shrinkToFit="0" vertical="center" wrapText="0"/>
    </xf>
    <xf borderId="0" fillId="2" fontId="4" numFmtId="0" xfId="0" applyAlignment="1" applyFont="1">
      <alignment readingOrder="0" shrinkToFit="0" vertical="center" wrapText="0"/>
    </xf>
    <xf borderId="0" fillId="2" fontId="3" numFmtId="0" xfId="0" applyAlignment="1" applyFont="1">
      <alignment readingOrder="0" shrinkToFit="0" vertical="center" wrapText="0"/>
    </xf>
    <xf borderId="0" fillId="0" fontId="4" numFmtId="0" xfId="0" applyAlignment="1" applyFont="1">
      <alignment readingOrder="0" shrinkToFit="0" vertical="center" wrapText="0"/>
    </xf>
    <xf borderId="0" fillId="0" fontId="3" numFmtId="0" xfId="0" applyAlignment="1" applyFont="1">
      <alignment readingOrder="0" vertical="center"/>
    </xf>
    <xf borderId="0" fillId="3" fontId="9" numFmtId="0" xfId="0" applyAlignment="1" applyFill="1" applyFont="1">
      <alignment readingOrder="0" vertical="center"/>
    </xf>
    <xf borderId="0" fillId="0" fontId="6" numFmtId="0" xfId="0" applyAlignment="1" applyFont="1">
      <alignment readingOrder="0" vertical="center"/>
    </xf>
    <xf borderId="0" fillId="4" fontId="14" numFmtId="0" xfId="0" applyAlignment="1" applyFill="1" applyFont="1">
      <alignment readingOrder="0" vertical="center"/>
    </xf>
    <xf borderId="0" fillId="0" fontId="6" numFmtId="0" xfId="0" applyAlignment="1" applyFont="1">
      <alignment vertical="center"/>
    </xf>
    <xf borderId="0" fillId="0" fontId="6" numFmtId="0" xfId="0" applyAlignment="1" applyFont="1">
      <alignment horizontal="center" readingOrder="0" vertical="center"/>
    </xf>
    <xf borderId="0" fillId="0" fontId="15" numFmtId="0" xfId="0" applyAlignment="1" applyFont="1">
      <alignment vertical="center"/>
    </xf>
    <xf borderId="0" fillId="0" fontId="16" numFmtId="0" xfId="0" applyAlignment="1" applyFont="1">
      <alignment shrinkToFit="0" vertical="center" wrapText="1"/>
    </xf>
  </cellXfs>
  <cellStyles count="1">
    <cellStyle xfId="0" name="Normal" builtinId="0"/>
  </cellStyles>
  <dxfs count="4">
    <dxf>
      <font/>
      <fill>
        <patternFill patternType="none"/>
      </fill>
      <border/>
    </dxf>
    <dxf>
      <font/>
      <fill>
        <patternFill patternType="solid">
          <fgColor rgb="FFF7CB4D"/>
          <bgColor rgb="FFF7CB4D"/>
        </patternFill>
      </fill>
      <border/>
    </dxf>
    <dxf>
      <font/>
      <fill>
        <patternFill patternType="solid">
          <fgColor rgb="FFFFFFFF"/>
          <bgColor rgb="FFFFFFFF"/>
        </patternFill>
      </fill>
      <border/>
    </dxf>
    <dxf>
      <font/>
      <fill>
        <patternFill patternType="solid">
          <fgColor rgb="FFFEF8E3"/>
          <bgColor rgb="FFFEF8E3"/>
        </patternFill>
      </fill>
      <border/>
    </dxf>
  </dxfs>
  <tableStyles count="3">
    <tableStyle count="3" pivot="0" name="운동동작DB_v0.1_230716-style">
      <tableStyleElement dxfId="1" type="headerRow"/>
      <tableStyleElement dxfId="2" type="firstRowStripe"/>
      <tableStyleElement dxfId="3" type="secondRowStripe"/>
    </tableStyle>
    <tableStyle count="3" pivot="0" name="운동동작DB_v0.2_진행중-style">
      <tableStyleElement dxfId="1" type="headerRow"/>
      <tableStyleElement dxfId="2" type="firstRowStripe"/>
      <tableStyleElement dxfId="3" type="secondRowStripe"/>
    </tableStyle>
    <tableStyle count="3" pivot="0" name="김병서-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L40" displayName="Table_1" id="1">
  <tableColumns count="12">
    <tableColumn name="코드 (Code)" id="1"/>
    <tableColumn name="AllDB#" id="2"/>
    <tableColumn name="동작명 - 한글 (Title_KOR)" id="3"/>
    <tableColumn name="동작명 - 영문 (Title_ENG)" id="4"/>
    <tableColumn name="영역 구분 (Body Region)" id="5"/>
    <tableColumn name="영역 2 (Region 2)" id="6"/>
    <tableColumn name="(타겟부위 - Gym Visual 기준)" id="7"/>
    <tableColumn name="주 근육 (Main Muscle)" id="8"/>
    <tableColumn name="보조 근육 (Sub Muscle)" id="9"/>
    <tableColumn name="도구 (Grip)" id="10"/>
    <tableColumn name="기구 (Add-On)" id="11"/>
    <tableColumn name="시퀀스 (Sequence)" id="12"/>
  </tableColumns>
  <tableStyleInfo name="운동동작DB_v0.1_230716-style" showColumnStripes="0" showFirstColumn="1" showLastColumn="1" showRowStripes="1"/>
</table>
</file>

<file path=xl/tables/table2.xml><?xml version="1.0" encoding="utf-8"?>
<table xmlns="http://schemas.openxmlformats.org/spreadsheetml/2006/main" headerRowCount="0" ref="A1:L56" displayName="Table_2" id="2">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운동동작DB_v0.2_진행중-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1:K41" displayName="Table_3" id="3">
  <tableColumns count="11">
    <tableColumn name="#" id="1"/>
    <tableColumn name="AllDB#" id="2"/>
    <tableColumn name="동작명" id="3"/>
    <tableColumn name="영역 구분" id="4"/>
    <tableColumn name="영역 2" id="5"/>
    <tableColumn name="타겟부위 (Gym Visual 기준)" id="6"/>
    <tableColumn name="주근육" id="7"/>
    <tableColumn name="협력근육(보조근)" id="8"/>
    <tableColumn name="도구1" id="9"/>
    <tableColumn name="도구2" id="10"/>
    <tableColumn name="시퀀스" id="11"/>
  </tableColumns>
  <tableStyleInfo name="김병서-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 Id="rId5"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2.57"/>
    <col customWidth="1" min="2" max="2" width="6.0"/>
    <col customWidth="1" min="3" max="4" width="35.71"/>
    <col customWidth="1" min="5" max="5" width="24.0"/>
    <col customWidth="1" min="6" max="6" width="17.43"/>
    <col customWidth="1" min="7" max="7" width="28.29"/>
    <col customWidth="1" min="8" max="8" width="23.57"/>
    <col customWidth="1" min="9" max="9" width="24.86"/>
    <col customWidth="1" min="10" max="11" width="14.86"/>
    <col customWidth="1" min="12" max="12" width="23.86"/>
  </cols>
  <sheetData>
    <row r="1">
      <c r="A1" s="1" t="s">
        <v>0</v>
      </c>
      <c r="B1" s="2" t="s">
        <v>1</v>
      </c>
      <c r="C1" s="3" t="s">
        <v>2</v>
      </c>
      <c r="D1" s="3" t="s">
        <v>3</v>
      </c>
      <c r="E1" s="3" t="s">
        <v>4</v>
      </c>
      <c r="F1" s="3" t="s">
        <v>5</v>
      </c>
      <c r="G1" s="4" t="s">
        <v>6</v>
      </c>
      <c r="H1" s="3" t="s">
        <v>7</v>
      </c>
      <c r="I1" s="3" t="s">
        <v>8</v>
      </c>
      <c r="J1" s="3" t="s">
        <v>9</v>
      </c>
      <c r="K1" s="3" t="s">
        <v>10</v>
      </c>
      <c r="L1" s="3" t="s">
        <v>11</v>
      </c>
      <c r="M1" s="5"/>
    </row>
    <row r="2">
      <c r="A2" s="6">
        <v>1.0</v>
      </c>
      <c r="B2" s="7">
        <v>382.0</v>
      </c>
      <c r="C2" s="8" t="s">
        <v>12</v>
      </c>
      <c r="D2" s="9" t="s">
        <v>13</v>
      </c>
      <c r="E2" s="8" t="s">
        <v>14</v>
      </c>
      <c r="F2" s="8"/>
      <c r="G2" s="10" t="s">
        <v>15</v>
      </c>
      <c r="H2" s="8" t="s">
        <v>16</v>
      </c>
      <c r="I2" s="6" t="s">
        <v>17</v>
      </c>
      <c r="J2" s="8" t="s">
        <v>18</v>
      </c>
      <c r="K2" s="8"/>
      <c r="L2" s="8" t="s">
        <v>19</v>
      </c>
    </row>
    <row r="3">
      <c r="A3" s="6">
        <v>2.0</v>
      </c>
      <c r="B3" s="7">
        <v>1424.0</v>
      </c>
      <c r="C3" s="8" t="s">
        <v>20</v>
      </c>
      <c r="D3" s="9" t="s">
        <v>21</v>
      </c>
      <c r="E3" s="8" t="s">
        <v>14</v>
      </c>
      <c r="F3" s="8"/>
      <c r="G3" s="10" t="s">
        <v>15</v>
      </c>
      <c r="H3" s="8" t="s">
        <v>16</v>
      </c>
      <c r="I3" s="6" t="s">
        <v>17</v>
      </c>
      <c r="J3" s="8" t="s">
        <v>22</v>
      </c>
      <c r="K3" s="8"/>
      <c r="L3" s="8" t="s">
        <v>23</v>
      </c>
      <c r="M3" s="5"/>
    </row>
    <row r="4">
      <c r="A4" s="6">
        <v>3.0</v>
      </c>
      <c r="B4" s="7">
        <v>1512.0</v>
      </c>
      <c r="C4" s="6" t="s">
        <v>24</v>
      </c>
      <c r="D4" s="11" t="s">
        <v>25</v>
      </c>
      <c r="E4" s="8" t="s">
        <v>14</v>
      </c>
      <c r="F4" s="8"/>
      <c r="G4" s="10" t="s">
        <v>15</v>
      </c>
      <c r="H4" s="8" t="s">
        <v>26</v>
      </c>
      <c r="I4" s="6" t="s">
        <v>27</v>
      </c>
      <c r="J4" s="8" t="s">
        <v>22</v>
      </c>
      <c r="K4" s="8"/>
      <c r="L4" s="8" t="s">
        <v>23</v>
      </c>
    </row>
    <row r="5">
      <c r="A5" s="6">
        <v>4.0</v>
      </c>
      <c r="B5" s="7">
        <v>1884.0</v>
      </c>
      <c r="C5" s="12" t="s">
        <v>28</v>
      </c>
      <c r="D5" s="13" t="s">
        <v>29</v>
      </c>
      <c r="E5" s="12" t="s">
        <v>30</v>
      </c>
      <c r="F5" s="12"/>
      <c r="G5" s="7" t="s">
        <v>15</v>
      </c>
      <c r="H5" s="6" t="s">
        <v>31</v>
      </c>
      <c r="I5" s="14"/>
      <c r="J5" s="6" t="s">
        <v>22</v>
      </c>
      <c r="K5" s="6"/>
      <c r="L5" s="8" t="s">
        <v>32</v>
      </c>
    </row>
    <row r="6">
      <c r="A6" s="6">
        <v>5.0</v>
      </c>
      <c r="B6" s="7">
        <v>380.0</v>
      </c>
      <c r="C6" s="12" t="s">
        <v>33</v>
      </c>
      <c r="D6" s="13" t="s">
        <v>34</v>
      </c>
      <c r="E6" s="12" t="s">
        <v>30</v>
      </c>
      <c r="F6" s="12" t="s">
        <v>35</v>
      </c>
      <c r="G6" s="7" t="s">
        <v>36</v>
      </c>
      <c r="H6" s="6" t="s">
        <v>31</v>
      </c>
      <c r="I6" s="6" t="s">
        <v>37</v>
      </c>
      <c r="J6" s="6" t="s">
        <v>18</v>
      </c>
      <c r="K6" s="6" t="s">
        <v>38</v>
      </c>
      <c r="L6" s="8" t="s">
        <v>19</v>
      </c>
    </row>
    <row r="7">
      <c r="A7" s="6">
        <v>6.0</v>
      </c>
      <c r="B7" s="7">
        <v>486.0</v>
      </c>
      <c r="C7" s="6" t="s">
        <v>39</v>
      </c>
      <c r="D7" s="11" t="s">
        <v>40</v>
      </c>
      <c r="E7" s="12" t="s">
        <v>30</v>
      </c>
      <c r="F7" s="12"/>
      <c r="G7" s="7" t="s">
        <v>15</v>
      </c>
      <c r="H7" s="6" t="s">
        <v>31</v>
      </c>
      <c r="I7" s="6" t="s">
        <v>37</v>
      </c>
      <c r="J7" s="6" t="s">
        <v>18</v>
      </c>
      <c r="K7" s="6" t="s">
        <v>38</v>
      </c>
      <c r="L7" s="8" t="s">
        <v>19</v>
      </c>
    </row>
    <row r="8">
      <c r="A8" s="6">
        <v>7.0</v>
      </c>
      <c r="B8" s="7">
        <v>2157.0</v>
      </c>
      <c r="C8" s="8" t="s">
        <v>41</v>
      </c>
      <c r="D8" s="9" t="s">
        <v>42</v>
      </c>
      <c r="E8" s="8" t="s">
        <v>43</v>
      </c>
      <c r="F8" s="8"/>
      <c r="G8" s="10" t="s">
        <v>43</v>
      </c>
      <c r="H8" s="8" t="s">
        <v>44</v>
      </c>
      <c r="I8" s="8" t="s">
        <v>45</v>
      </c>
      <c r="J8" s="8" t="s">
        <v>18</v>
      </c>
      <c r="K8" s="8"/>
      <c r="L8" s="8" t="s">
        <v>19</v>
      </c>
    </row>
    <row r="9">
      <c r="A9" s="6">
        <v>8.0</v>
      </c>
      <c r="B9" s="7">
        <v>1990.0</v>
      </c>
      <c r="C9" s="6" t="s">
        <v>46</v>
      </c>
      <c r="D9" s="11" t="s">
        <v>47</v>
      </c>
      <c r="E9" s="8" t="s">
        <v>43</v>
      </c>
      <c r="F9" s="8"/>
      <c r="G9" s="7" t="s">
        <v>43</v>
      </c>
      <c r="H9" s="6" t="s">
        <v>44</v>
      </c>
      <c r="I9" s="8" t="s">
        <v>45</v>
      </c>
      <c r="J9" s="6" t="s">
        <v>48</v>
      </c>
      <c r="K9" s="6"/>
      <c r="L9" s="8" t="s">
        <v>19</v>
      </c>
    </row>
    <row r="10">
      <c r="A10" s="6">
        <v>9.0</v>
      </c>
      <c r="B10" s="7">
        <v>676.0</v>
      </c>
      <c r="C10" s="6" t="s">
        <v>49</v>
      </c>
      <c r="D10" s="11" t="s">
        <v>50</v>
      </c>
      <c r="E10" s="8" t="s">
        <v>43</v>
      </c>
      <c r="F10" s="8"/>
      <c r="G10" s="7" t="s">
        <v>43</v>
      </c>
      <c r="H10" s="6" t="s">
        <v>51</v>
      </c>
      <c r="I10" s="6" t="s">
        <v>52</v>
      </c>
      <c r="J10" s="6" t="s">
        <v>18</v>
      </c>
      <c r="K10" s="6"/>
      <c r="L10" s="8" t="s">
        <v>19</v>
      </c>
    </row>
    <row r="11">
      <c r="A11" s="6">
        <v>10.0</v>
      </c>
      <c r="B11" s="7">
        <v>949.0</v>
      </c>
      <c r="C11" s="6" t="s">
        <v>53</v>
      </c>
      <c r="D11" s="11" t="s">
        <v>54</v>
      </c>
      <c r="E11" s="8" t="s">
        <v>43</v>
      </c>
      <c r="F11" s="8"/>
      <c r="G11" s="7" t="s">
        <v>43</v>
      </c>
      <c r="H11" s="6" t="s">
        <v>51</v>
      </c>
      <c r="I11" s="6" t="s">
        <v>55</v>
      </c>
      <c r="J11" s="6" t="s">
        <v>22</v>
      </c>
      <c r="K11" s="6"/>
      <c r="L11" s="8" t="s">
        <v>19</v>
      </c>
    </row>
    <row r="12">
      <c r="A12" s="6">
        <v>11.0</v>
      </c>
      <c r="B12" s="7">
        <v>881.0</v>
      </c>
      <c r="C12" s="6" t="s">
        <v>56</v>
      </c>
      <c r="D12" s="11" t="s">
        <v>57</v>
      </c>
      <c r="E12" s="8" t="s">
        <v>43</v>
      </c>
      <c r="F12" s="8"/>
      <c r="G12" s="7" t="s">
        <v>43</v>
      </c>
      <c r="H12" s="6" t="s">
        <v>44</v>
      </c>
      <c r="I12" s="6" t="s">
        <v>58</v>
      </c>
      <c r="J12" s="6" t="s">
        <v>18</v>
      </c>
      <c r="K12" s="6"/>
      <c r="L12" s="8" t="s">
        <v>32</v>
      </c>
    </row>
    <row r="13">
      <c r="A13" s="6">
        <v>12.0</v>
      </c>
      <c r="B13" s="7">
        <v>3560.0</v>
      </c>
      <c r="C13" s="6" t="s">
        <v>59</v>
      </c>
      <c r="D13" s="11" t="s">
        <v>60</v>
      </c>
      <c r="E13" s="8" t="s">
        <v>43</v>
      </c>
      <c r="F13" s="8"/>
      <c r="G13" s="7" t="s">
        <v>43</v>
      </c>
      <c r="H13" s="6" t="s">
        <v>51</v>
      </c>
      <c r="I13" s="6" t="s">
        <v>61</v>
      </c>
      <c r="J13" s="6" t="s">
        <v>18</v>
      </c>
      <c r="K13" s="6"/>
      <c r="L13" s="8" t="s">
        <v>19</v>
      </c>
    </row>
    <row r="14">
      <c r="A14" s="6">
        <v>13.0</v>
      </c>
      <c r="B14" s="10">
        <v>363.0</v>
      </c>
      <c r="C14" s="8" t="s">
        <v>62</v>
      </c>
      <c r="D14" s="9" t="s">
        <v>63</v>
      </c>
      <c r="E14" s="8" t="s">
        <v>64</v>
      </c>
      <c r="F14" s="8"/>
      <c r="G14" s="10" t="s">
        <v>64</v>
      </c>
      <c r="H14" s="15" t="s">
        <v>65</v>
      </c>
      <c r="I14" s="8" t="s">
        <v>66</v>
      </c>
      <c r="J14" s="8" t="s">
        <v>18</v>
      </c>
      <c r="K14" s="8"/>
      <c r="L14" s="8" t="s">
        <v>19</v>
      </c>
    </row>
    <row r="15">
      <c r="A15" s="6">
        <v>14.0</v>
      </c>
      <c r="B15" s="10">
        <v>1403.0</v>
      </c>
      <c r="C15" s="8" t="s">
        <v>67</v>
      </c>
      <c r="D15" s="9" t="s">
        <v>68</v>
      </c>
      <c r="E15" s="8" t="s">
        <v>64</v>
      </c>
      <c r="F15" s="8"/>
      <c r="G15" s="10" t="s">
        <v>64</v>
      </c>
      <c r="H15" s="15" t="s">
        <v>69</v>
      </c>
      <c r="I15" s="8" t="s">
        <v>70</v>
      </c>
      <c r="J15" s="8" t="s">
        <v>22</v>
      </c>
      <c r="K15" s="8"/>
      <c r="L15" s="8" t="s">
        <v>19</v>
      </c>
    </row>
    <row r="16">
      <c r="A16" s="6">
        <v>15.0</v>
      </c>
      <c r="B16" s="7">
        <v>845.0</v>
      </c>
      <c r="C16" s="6" t="s">
        <v>71</v>
      </c>
      <c r="D16" s="11" t="s">
        <v>72</v>
      </c>
      <c r="E16" s="8" t="s">
        <v>64</v>
      </c>
      <c r="F16" s="8"/>
      <c r="G16" s="7" t="s">
        <v>64</v>
      </c>
      <c r="H16" s="15" t="s">
        <v>69</v>
      </c>
      <c r="I16" s="8" t="s">
        <v>66</v>
      </c>
      <c r="J16" s="6" t="s">
        <v>73</v>
      </c>
      <c r="K16" s="6"/>
      <c r="L16" s="8" t="s">
        <v>32</v>
      </c>
    </row>
    <row r="17">
      <c r="A17" s="6">
        <v>16.0</v>
      </c>
      <c r="B17" s="10">
        <v>619.0</v>
      </c>
      <c r="C17" s="8" t="s">
        <v>74</v>
      </c>
      <c r="D17" s="9" t="s">
        <v>75</v>
      </c>
      <c r="E17" s="8" t="s">
        <v>76</v>
      </c>
      <c r="F17" s="8" t="s">
        <v>77</v>
      </c>
      <c r="G17" s="10" t="s">
        <v>78</v>
      </c>
      <c r="H17" s="8" t="s">
        <v>79</v>
      </c>
      <c r="I17" s="8" t="s">
        <v>80</v>
      </c>
      <c r="J17" s="8" t="s">
        <v>18</v>
      </c>
      <c r="K17" s="8"/>
      <c r="L17" s="8" t="s">
        <v>19</v>
      </c>
    </row>
    <row r="18">
      <c r="A18" s="6">
        <v>17.0</v>
      </c>
      <c r="B18" s="10">
        <v>416.0</v>
      </c>
      <c r="C18" s="8" t="s">
        <v>81</v>
      </c>
      <c r="D18" s="9" t="s">
        <v>82</v>
      </c>
      <c r="E18" s="8" t="s">
        <v>76</v>
      </c>
      <c r="F18" s="8" t="s">
        <v>77</v>
      </c>
      <c r="G18" s="10" t="s">
        <v>78</v>
      </c>
      <c r="H18" s="8" t="s">
        <v>79</v>
      </c>
      <c r="I18" s="8" t="s">
        <v>80</v>
      </c>
      <c r="J18" s="8" t="s">
        <v>18</v>
      </c>
      <c r="K18" s="8"/>
      <c r="L18" s="8" t="s">
        <v>19</v>
      </c>
    </row>
    <row r="19">
      <c r="A19" s="6">
        <v>18.0</v>
      </c>
      <c r="B19" s="10">
        <v>386.0</v>
      </c>
      <c r="C19" s="8" t="s">
        <v>83</v>
      </c>
      <c r="D19" s="9" t="s">
        <v>84</v>
      </c>
      <c r="E19" s="8" t="s">
        <v>76</v>
      </c>
      <c r="F19" s="8" t="s">
        <v>77</v>
      </c>
      <c r="G19" s="10" t="s">
        <v>78</v>
      </c>
      <c r="H19" s="8" t="s">
        <v>85</v>
      </c>
      <c r="I19" s="15" t="s">
        <v>86</v>
      </c>
      <c r="J19" s="8" t="s">
        <v>18</v>
      </c>
      <c r="K19" s="8"/>
      <c r="L19" s="8" t="s">
        <v>19</v>
      </c>
    </row>
    <row r="20">
      <c r="A20" s="6">
        <v>19.0</v>
      </c>
      <c r="B20" s="10">
        <v>669.0</v>
      </c>
      <c r="C20" s="8" t="s">
        <v>87</v>
      </c>
      <c r="D20" s="9" t="s">
        <v>88</v>
      </c>
      <c r="E20" s="8" t="s">
        <v>76</v>
      </c>
      <c r="F20" s="8" t="s">
        <v>77</v>
      </c>
      <c r="G20" s="10" t="s">
        <v>78</v>
      </c>
      <c r="H20" s="8" t="s">
        <v>79</v>
      </c>
      <c r="I20" s="8" t="s">
        <v>89</v>
      </c>
      <c r="J20" s="8" t="s">
        <v>18</v>
      </c>
      <c r="K20" s="8"/>
      <c r="L20" s="8" t="s">
        <v>19</v>
      </c>
    </row>
    <row r="21">
      <c r="A21" s="6">
        <v>20.0</v>
      </c>
      <c r="B21" s="10">
        <v>389.0</v>
      </c>
      <c r="C21" s="8" t="s">
        <v>90</v>
      </c>
      <c r="D21" s="9" t="s">
        <v>91</v>
      </c>
      <c r="E21" s="8" t="s">
        <v>76</v>
      </c>
      <c r="F21" s="8" t="s">
        <v>77</v>
      </c>
      <c r="G21" s="10" t="s">
        <v>78</v>
      </c>
      <c r="H21" s="8" t="s">
        <v>79</v>
      </c>
      <c r="I21" s="8" t="s">
        <v>92</v>
      </c>
      <c r="J21" s="8" t="s">
        <v>18</v>
      </c>
      <c r="K21" s="8"/>
      <c r="L21" s="8" t="s">
        <v>19</v>
      </c>
      <c r="O21" s="16" t="s">
        <v>93</v>
      </c>
    </row>
    <row r="22">
      <c r="A22" s="6">
        <v>21.0</v>
      </c>
      <c r="B22" s="10">
        <v>1613.0</v>
      </c>
      <c r="C22" s="8" t="s">
        <v>94</v>
      </c>
      <c r="D22" s="9" t="s">
        <v>95</v>
      </c>
      <c r="E22" s="8" t="s">
        <v>76</v>
      </c>
      <c r="F22" s="8"/>
      <c r="G22" s="10" t="s">
        <v>78</v>
      </c>
      <c r="H22" s="8" t="s">
        <v>79</v>
      </c>
      <c r="I22" s="8" t="s">
        <v>80</v>
      </c>
      <c r="J22" s="8" t="s">
        <v>22</v>
      </c>
      <c r="K22" s="8"/>
      <c r="L22" s="8" t="s">
        <v>19</v>
      </c>
      <c r="M22" s="5"/>
    </row>
    <row r="23">
      <c r="A23" s="6">
        <v>22.0</v>
      </c>
      <c r="B23" s="7">
        <v>541.0</v>
      </c>
      <c r="C23" s="6" t="s">
        <v>96</v>
      </c>
      <c r="D23" s="11" t="s">
        <v>97</v>
      </c>
      <c r="E23" s="8" t="s">
        <v>76</v>
      </c>
      <c r="F23" s="8"/>
      <c r="G23" s="10" t="s">
        <v>78</v>
      </c>
      <c r="H23" s="8" t="s">
        <v>79</v>
      </c>
      <c r="I23" s="8" t="s">
        <v>80</v>
      </c>
      <c r="J23" s="6" t="s">
        <v>22</v>
      </c>
      <c r="K23" s="6"/>
      <c r="L23" s="8" t="s">
        <v>19</v>
      </c>
    </row>
    <row r="24">
      <c r="A24" s="6">
        <v>23.0</v>
      </c>
      <c r="B24" s="7">
        <v>1043.0</v>
      </c>
      <c r="C24" s="6" t="s">
        <v>98</v>
      </c>
      <c r="D24" s="11" t="s">
        <v>99</v>
      </c>
      <c r="E24" s="8" t="s">
        <v>76</v>
      </c>
      <c r="F24" s="8"/>
      <c r="G24" s="10" t="s">
        <v>78</v>
      </c>
      <c r="H24" s="8" t="s">
        <v>79</v>
      </c>
      <c r="I24" s="8" t="s">
        <v>80</v>
      </c>
      <c r="J24" s="6" t="s">
        <v>22</v>
      </c>
      <c r="K24" s="6"/>
      <c r="L24" s="8" t="s">
        <v>19</v>
      </c>
    </row>
    <row r="25">
      <c r="A25" s="6">
        <v>24.0</v>
      </c>
      <c r="B25" s="7">
        <v>350.0</v>
      </c>
      <c r="C25" s="17" t="s">
        <v>100</v>
      </c>
      <c r="D25" s="13" t="s">
        <v>101</v>
      </c>
      <c r="E25" s="17" t="s">
        <v>35</v>
      </c>
      <c r="F25" s="17"/>
      <c r="G25" s="10" t="s">
        <v>35</v>
      </c>
      <c r="H25" s="8" t="s">
        <v>102</v>
      </c>
      <c r="I25" s="8" t="s">
        <v>103</v>
      </c>
      <c r="J25" s="8" t="s">
        <v>18</v>
      </c>
      <c r="K25" s="8" t="s">
        <v>38</v>
      </c>
      <c r="L25" s="8" t="s">
        <v>19</v>
      </c>
    </row>
    <row r="26">
      <c r="A26" s="6">
        <v>25.0</v>
      </c>
      <c r="B26" s="7">
        <v>392.0</v>
      </c>
      <c r="C26" s="12" t="s">
        <v>104</v>
      </c>
      <c r="D26" s="13" t="s">
        <v>105</v>
      </c>
      <c r="E26" s="17" t="s">
        <v>35</v>
      </c>
      <c r="F26" s="17"/>
      <c r="G26" s="10" t="s">
        <v>35</v>
      </c>
      <c r="H26" s="8" t="s">
        <v>102</v>
      </c>
      <c r="I26" s="8" t="s">
        <v>103</v>
      </c>
      <c r="J26" s="6" t="s">
        <v>18</v>
      </c>
      <c r="K26" s="6" t="s">
        <v>38</v>
      </c>
      <c r="L26" s="8" t="s">
        <v>19</v>
      </c>
    </row>
    <row r="27">
      <c r="A27" s="6">
        <v>26.0</v>
      </c>
      <c r="B27" s="7">
        <v>446.0</v>
      </c>
      <c r="C27" s="12" t="s">
        <v>106</v>
      </c>
      <c r="D27" s="13" t="s">
        <v>107</v>
      </c>
      <c r="E27" s="17" t="s">
        <v>35</v>
      </c>
      <c r="F27" s="17"/>
      <c r="G27" s="10" t="s">
        <v>35</v>
      </c>
      <c r="H27" s="8" t="s">
        <v>102</v>
      </c>
      <c r="I27" s="6" t="s">
        <v>108</v>
      </c>
      <c r="J27" s="6" t="s">
        <v>18</v>
      </c>
      <c r="K27" s="6" t="s">
        <v>38</v>
      </c>
      <c r="L27" s="8" t="s">
        <v>19</v>
      </c>
    </row>
    <row r="28">
      <c r="A28" s="6">
        <v>27.0</v>
      </c>
      <c r="B28" s="7">
        <v>380.0</v>
      </c>
      <c r="C28" s="12" t="s">
        <v>33</v>
      </c>
      <c r="D28" s="13" t="s">
        <v>34</v>
      </c>
      <c r="E28" s="17" t="s">
        <v>35</v>
      </c>
      <c r="F28" s="17" t="s">
        <v>30</v>
      </c>
      <c r="G28" s="7" t="s">
        <v>109</v>
      </c>
      <c r="H28" s="6" t="s">
        <v>31</v>
      </c>
      <c r="I28" s="6" t="s">
        <v>37</v>
      </c>
      <c r="J28" s="6" t="s">
        <v>18</v>
      </c>
      <c r="K28" s="6" t="s">
        <v>38</v>
      </c>
      <c r="L28" s="8" t="s">
        <v>19</v>
      </c>
    </row>
    <row r="29">
      <c r="A29" s="6">
        <v>28.0</v>
      </c>
      <c r="B29" s="7">
        <v>3517.0</v>
      </c>
      <c r="C29" s="6" t="s">
        <v>110</v>
      </c>
      <c r="D29" s="11" t="s">
        <v>111</v>
      </c>
      <c r="E29" s="17" t="s">
        <v>35</v>
      </c>
      <c r="F29" s="17"/>
      <c r="G29" s="10" t="s">
        <v>35</v>
      </c>
      <c r="H29" s="8" t="s">
        <v>102</v>
      </c>
      <c r="I29" s="8" t="s">
        <v>103</v>
      </c>
      <c r="J29" s="6" t="s">
        <v>18</v>
      </c>
      <c r="K29" s="6" t="s">
        <v>38</v>
      </c>
      <c r="L29" s="8" t="s">
        <v>19</v>
      </c>
    </row>
    <row r="30">
      <c r="A30" s="6">
        <v>29.0</v>
      </c>
      <c r="B30" s="7">
        <v>840.0</v>
      </c>
      <c r="C30" s="6" t="s">
        <v>112</v>
      </c>
      <c r="D30" s="11" t="s">
        <v>113</v>
      </c>
      <c r="E30" s="17" t="s">
        <v>35</v>
      </c>
      <c r="F30" s="17"/>
      <c r="G30" s="10" t="s">
        <v>35</v>
      </c>
      <c r="H30" s="8" t="s">
        <v>102</v>
      </c>
      <c r="I30" s="8" t="s">
        <v>103</v>
      </c>
      <c r="J30" s="6" t="s">
        <v>22</v>
      </c>
      <c r="K30" s="6" t="s">
        <v>38</v>
      </c>
      <c r="L30" s="8" t="s">
        <v>19</v>
      </c>
    </row>
    <row r="31">
      <c r="A31" s="6">
        <v>30.0</v>
      </c>
      <c r="B31" s="7">
        <v>1389.0</v>
      </c>
      <c r="C31" s="6" t="s">
        <v>114</v>
      </c>
      <c r="D31" s="11" t="s">
        <v>115</v>
      </c>
      <c r="E31" s="17" t="s">
        <v>35</v>
      </c>
      <c r="F31" s="17"/>
      <c r="G31" s="7" t="s">
        <v>35</v>
      </c>
      <c r="H31" s="6" t="s">
        <v>102</v>
      </c>
      <c r="I31" s="6" t="s">
        <v>108</v>
      </c>
      <c r="J31" s="6" t="s">
        <v>22</v>
      </c>
      <c r="K31" s="6" t="s">
        <v>38</v>
      </c>
      <c r="L31" s="8" t="s">
        <v>19</v>
      </c>
    </row>
    <row r="32">
      <c r="A32" s="7">
        <v>31.0</v>
      </c>
      <c r="B32" s="7">
        <v>3940.0</v>
      </c>
      <c r="C32" s="7" t="s">
        <v>116</v>
      </c>
      <c r="D32" s="18" t="s">
        <v>117</v>
      </c>
      <c r="E32" s="7" t="s">
        <v>118</v>
      </c>
      <c r="F32" s="19"/>
      <c r="G32" s="7" t="s">
        <v>119</v>
      </c>
      <c r="H32" s="7" t="s">
        <v>120</v>
      </c>
      <c r="I32" s="19"/>
      <c r="J32" s="7" t="s">
        <v>18</v>
      </c>
      <c r="K32" s="19"/>
      <c r="L32" s="10" t="s">
        <v>32</v>
      </c>
      <c r="M32" s="20"/>
      <c r="N32" s="20"/>
      <c r="O32" s="20"/>
      <c r="P32" s="20"/>
      <c r="Q32" s="20"/>
      <c r="R32" s="20"/>
      <c r="S32" s="20"/>
      <c r="T32" s="20"/>
      <c r="U32" s="20"/>
      <c r="V32" s="20"/>
      <c r="W32" s="20"/>
      <c r="X32" s="20"/>
      <c r="Y32" s="20"/>
      <c r="Z32" s="20"/>
      <c r="AA32" s="20"/>
      <c r="AB32" s="20"/>
      <c r="AC32" s="20"/>
      <c r="AD32" s="20"/>
      <c r="AE32" s="20"/>
      <c r="AF32" s="20"/>
    </row>
    <row r="33">
      <c r="A33" s="7">
        <v>32.0</v>
      </c>
      <c r="B33" s="7">
        <v>506.0</v>
      </c>
      <c r="C33" s="7" t="s">
        <v>121</v>
      </c>
      <c r="D33" s="18" t="s">
        <v>122</v>
      </c>
      <c r="E33" s="7" t="s">
        <v>118</v>
      </c>
      <c r="F33" s="7"/>
      <c r="G33" s="7" t="s">
        <v>119</v>
      </c>
      <c r="H33" s="7" t="s">
        <v>123</v>
      </c>
      <c r="I33" s="19"/>
      <c r="J33" s="7" t="s">
        <v>18</v>
      </c>
      <c r="K33" s="7" t="s">
        <v>38</v>
      </c>
      <c r="L33" s="10" t="s">
        <v>19</v>
      </c>
      <c r="M33" s="20"/>
      <c r="N33" s="20"/>
      <c r="O33" s="20"/>
      <c r="P33" s="20"/>
      <c r="Q33" s="20"/>
      <c r="R33" s="20"/>
      <c r="S33" s="20"/>
      <c r="T33" s="20"/>
      <c r="U33" s="20"/>
      <c r="V33" s="20"/>
      <c r="W33" s="20"/>
      <c r="X33" s="20"/>
      <c r="Y33" s="20"/>
      <c r="Z33" s="20"/>
      <c r="AA33" s="20"/>
      <c r="AB33" s="20"/>
      <c r="AC33" s="20"/>
      <c r="AD33" s="20"/>
      <c r="AE33" s="20"/>
      <c r="AF33" s="20"/>
    </row>
    <row r="34">
      <c r="A34" s="7">
        <v>33.0</v>
      </c>
      <c r="B34" s="7">
        <v>560.0</v>
      </c>
      <c r="C34" s="7" t="s">
        <v>124</v>
      </c>
      <c r="D34" s="18" t="s">
        <v>125</v>
      </c>
      <c r="E34" s="7" t="s">
        <v>118</v>
      </c>
      <c r="F34" s="19"/>
      <c r="G34" s="7" t="s">
        <v>119</v>
      </c>
      <c r="H34" s="7" t="s">
        <v>126</v>
      </c>
      <c r="I34" s="19"/>
      <c r="J34" s="7" t="s">
        <v>18</v>
      </c>
      <c r="K34" s="7" t="s">
        <v>38</v>
      </c>
      <c r="L34" s="10" t="s">
        <v>19</v>
      </c>
      <c r="M34" s="20"/>
      <c r="N34" s="20"/>
      <c r="O34" s="20"/>
      <c r="P34" s="20"/>
      <c r="Q34" s="20"/>
      <c r="R34" s="20"/>
      <c r="S34" s="20"/>
      <c r="T34" s="20"/>
      <c r="U34" s="20"/>
      <c r="V34" s="20"/>
      <c r="W34" s="20"/>
      <c r="X34" s="20"/>
      <c r="Y34" s="20"/>
      <c r="Z34" s="20"/>
      <c r="AA34" s="20"/>
      <c r="AB34" s="20"/>
      <c r="AC34" s="20"/>
      <c r="AD34" s="20"/>
      <c r="AE34" s="20"/>
      <c r="AF34" s="20"/>
    </row>
    <row r="35">
      <c r="A35" s="14"/>
      <c r="B35" s="19"/>
      <c r="C35" s="14"/>
      <c r="D35" s="14"/>
      <c r="E35" s="14"/>
      <c r="F35" s="14"/>
      <c r="G35" s="19"/>
      <c r="H35" s="14"/>
      <c r="I35" s="14"/>
      <c r="J35" s="14"/>
      <c r="K35" s="14"/>
      <c r="L35" s="8"/>
    </row>
    <row r="36">
      <c r="A36" s="14"/>
      <c r="B36" s="19"/>
      <c r="C36" s="14"/>
      <c r="D36" s="14"/>
      <c r="E36" s="14"/>
      <c r="F36" s="14"/>
      <c r="G36" s="19"/>
      <c r="H36" s="14"/>
      <c r="I36" s="14"/>
      <c r="J36" s="14"/>
      <c r="K36" s="14"/>
      <c r="L36" s="8"/>
    </row>
    <row r="37">
      <c r="A37" s="14"/>
      <c r="B37" s="19"/>
      <c r="C37" s="14"/>
      <c r="D37" s="14"/>
      <c r="E37" s="14"/>
      <c r="F37" s="14"/>
      <c r="G37" s="19"/>
      <c r="H37" s="14"/>
      <c r="I37" s="14"/>
      <c r="J37" s="14"/>
      <c r="K37" s="14"/>
      <c r="L37" s="8"/>
      <c r="M37" s="21"/>
    </row>
    <row r="38">
      <c r="A38" s="14"/>
      <c r="B38" s="19"/>
      <c r="C38" s="14"/>
      <c r="D38" s="14"/>
      <c r="E38" s="14"/>
      <c r="F38" s="14"/>
      <c r="G38" s="19"/>
      <c r="H38" s="14"/>
      <c r="I38" s="14"/>
      <c r="J38" s="14"/>
      <c r="K38" s="14"/>
      <c r="L38" s="8"/>
    </row>
    <row r="39">
      <c r="A39" s="14"/>
      <c r="B39" s="19"/>
      <c r="C39" s="14"/>
      <c r="D39" s="14"/>
      <c r="E39" s="14"/>
      <c r="F39" s="14"/>
      <c r="G39" s="19"/>
      <c r="H39" s="14"/>
      <c r="I39" s="14"/>
      <c r="J39" s="14"/>
      <c r="K39" s="14"/>
      <c r="L39" s="8"/>
    </row>
    <row r="40">
      <c r="A40" s="14"/>
      <c r="B40" s="19"/>
      <c r="C40" s="14"/>
      <c r="D40" s="14"/>
      <c r="E40" s="14"/>
      <c r="F40" s="14"/>
      <c r="G40" s="19"/>
      <c r="H40" s="14"/>
      <c r="I40" s="14"/>
      <c r="J40" s="14"/>
      <c r="K40" s="14"/>
      <c r="L40" s="8"/>
    </row>
    <row r="41">
      <c r="B41" s="20"/>
      <c r="G41" s="20"/>
      <c r="L41" s="8"/>
    </row>
    <row r="42">
      <c r="B42" s="20"/>
      <c r="G42" s="7"/>
      <c r="L42" s="8"/>
    </row>
    <row r="43">
      <c r="B43" s="20"/>
      <c r="G43" s="20"/>
      <c r="L43" s="8"/>
    </row>
    <row r="44">
      <c r="B44" s="20"/>
      <c r="G44" s="20"/>
      <c r="L44" s="8"/>
    </row>
    <row r="45">
      <c r="B45" s="20"/>
      <c r="G45" s="20"/>
      <c r="L45" s="8"/>
    </row>
    <row r="46">
      <c r="B46" s="20"/>
      <c r="G46" s="20"/>
      <c r="L46" s="8"/>
    </row>
    <row r="47">
      <c r="B47" s="20"/>
      <c r="G47" s="20"/>
      <c r="L47" s="8"/>
    </row>
    <row r="48">
      <c r="B48" s="20"/>
      <c r="G48" s="20"/>
      <c r="L48" s="8"/>
    </row>
    <row r="49">
      <c r="B49" s="20"/>
      <c r="G49" s="20"/>
      <c r="L49" s="8"/>
    </row>
    <row r="50">
      <c r="B50" s="20"/>
      <c r="G50" s="20"/>
      <c r="L50" s="8"/>
    </row>
    <row r="51">
      <c r="B51" s="20"/>
      <c r="G51" s="20"/>
      <c r="L51" s="8"/>
    </row>
    <row r="52">
      <c r="B52" s="20"/>
      <c r="G52" s="20"/>
      <c r="L52" s="8"/>
    </row>
    <row r="53">
      <c r="B53" s="20"/>
      <c r="G53" s="20"/>
      <c r="L53" s="8"/>
    </row>
    <row r="54">
      <c r="B54" s="20"/>
      <c r="G54" s="20"/>
      <c r="L54" s="8"/>
    </row>
    <row r="55">
      <c r="B55" s="20"/>
      <c r="G55" s="20"/>
      <c r="L55" s="8"/>
    </row>
    <row r="56">
      <c r="B56" s="20"/>
      <c r="G56" s="20"/>
      <c r="L56" s="8"/>
    </row>
    <row r="57">
      <c r="B57" s="20"/>
      <c r="G57" s="20"/>
      <c r="L57" s="8"/>
    </row>
    <row r="58">
      <c r="B58" s="20"/>
      <c r="G58" s="20"/>
      <c r="L58" s="8"/>
    </row>
    <row r="59">
      <c r="B59" s="20"/>
      <c r="G59" s="20"/>
      <c r="L59" s="8"/>
    </row>
    <row r="60">
      <c r="B60" s="20"/>
      <c r="G60" s="20"/>
      <c r="L60" s="8"/>
    </row>
    <row r="61">
      <c r="B61" s="20"/>
      <c r="G61" s="20"/>
      <c r="L61" s="8"/>
    </row>
    <row r="62">
      <c r="B62" s="20"/>
      <c r="G62" s="20"/>
      <c r="L62" s="8"/>
    </row>
    <row r="63">
      <c r="B63" s="20"/>
      <c r="G63" s="20"/>
      <c r="L63" s="8"/>
    </row>
    <row r="64">
      <c r="B64" s="20"/>
      <c r="G64" s="20"/>
      <c r="L64" s="8"/>
    </row>
    <row r="65">
      <c r="B65" s="20"/>
      <c r="G65" s="20"/>
      <c r="L65" s="8"/>
    </row>
    <row r="66">
      <c r="B66" s="20"/>
      <c r="G66" s="20"/>
      <c r="L66" s="8"/>
    </row>
    <row r="67">
      <c r="B67" s="20"/>
      <c r="G67" s="20"/>
      <c r="L67" s="8"/>
    </row>
    <row r="68">
      <c r="B68" s="20"/>
      <c r="G68" s="20"/>
      <c r="L68" s="8"/>
    </row>
    <row r="69">
      <c r="B69" s="20"/>
      <c r="G69" s="20"/>
      <c r="L69" s="8"/>
    </row>
    <row r="70">
      <c r="B70" s="20"/>
      <c r="C70" s="22"/>
      <c r="D70" s="22"/>
      <c r="E70" s="22"/>
      <c r="F70" s="22"/>
      <c r="G70" s="23"/>
      <c r="H70" s="22"/>
      <c r="I70" s="22"/>
      <c r="J70" s="22"/>
      <c r="K70" s="22"/>
      <c r="L70" s="8"/>
    </row>
    <row r="71">
      <c r="B71" s="20"/>
      <c r="C71" s="24" t="s">
        <v>127</v>
      </c>
      <c r="D71" s="24"/>
      <c r="E71" s="24"/>
      <c r="F71" s="24"/>
      <c r="G71" s="25" t="s">
        <v>128</v>
      </c>
      <c r="H71" s="26" t="s">
        <v>129</v>
      </c>
      <c r="I71" s="26" t="s">
        <v>130</v>
      </c>
      <c r="J71" s="26" t="s">
        <v>131</v>
      </c>
      <c r="K71" s="26"/>
      <c r="L71" s="8"/>
    </row>
    <row r="72">
      <c r="B72" s="20"/>
      <c r="C72" s="22"/>
      <c r="D72" s="22"/>
      <c r="E72" s="22"/>
      <c r="F72" s="22"/>
      <c r="G72" s="27" t="s">
        <v>132</v>
      </c>
      <c r="H72" s="24" t="s">
        <v>133</v>
      </c>
      <c r="I72" s="24" t="s">
        <v>48</v>
      </c>
      <c r="J72" s="24" t="s">
        <v>17</v>
      </c>
      <c r="K72" s="24"/>
      <c r="L72" s="8"/>
    </row>
    <row r="73">
      <c r="B73" s="20"/>
      <c r="C73" s="22"/>
      <c r="D73" s="22"/>
      <c r="E73" s="22"/>
      <c r="F73" s="22"/>
      <c r="G73" s="23"/>
      <c r="H73" s="22"/>
      <c r="I73" s="22"/>
      <c r="J73" s="22"/>
      <c r="K73" s="22"/>
      <c r="L73" s="8"/>
    </row>
    <row r="74">
      <c r="B74" s="20"/>
      <c r="C74" s="22"/>
      <c r="D74" s="22"/>
      <c r="E74" s="22"/>
      <c r="F74" s="22"/>
      <c r="G74" s="23"/>
      <c r="H74" s="22"/>
      <c r="I74" s="22"/>
      <c r="J74" s="22"/>
      <c r="K74" s="22"/>
      <c r="L74" s="8"/>
    </row>
    <row r="75">
      <c r="B75" s="20"/>
      <c r="C75" s="22"/>
      <c r="D75" s="22"/>
      <c r="E75" s="22"/>
      <c r="F75" s="22"/>
      <c r="G75" s="27" t="s">
        <v>134</v>
      </c>
      <c r="H75" s="24" t="s">
        <v>135</v>
      </c>
      <c r="I75" s="24" t="s">
        <v>48</v>
      </c>
      <c r="J75" s="24" t="s">
        <v>26</v>
      </c>
      <c r="K75" s="24"/>
      <c r="L75" s="8"/>
    </row>
    <row r="76">
      <c r="B76" s="20"/>
      <c r="C76" s="22"/>
      <c r="D76" s="22"/>
      <c r="E76" s="22"/>
      <c r="F76" s="22"/>
      <c r="G76" s="23"/>
      <c r="H76" s="22"/>
      <c r="I76" s="22"/>
      <c r="J76" s="22"/>
      <c r="K76" s="22"/>
      <c r="L76" s="8"/>
    </row>
    <row r="77">
      <c r="B77" s="20"/>
      <c r="C77" s="22"/>
      <c r="D77" s="22"/>
      <c r="E77" s="22"/>
      <c r="F77" s="22"/>
      <c r="G77" s="23"/>
      <c r="H77" s="22"/>
      <c r="I77" s="22"/>
      <c r="J77" s="22"/>
      <c r="K77" s="22"/>
      <c r="L77" s="8"/>
    </row>
    <row r="78">
      <c r="B78" s="20"/>
      <c r="C78" s="22"/>
      <c r="D78" s="22"/>
      <c r="E78" s="22"/>
      <c r="F78" s="22"/>
      <c r="G78" s="27" t="s">
        <v>136</v>
      </c>
      <c r="H78" s="24" t="s">
        <v>133</v>
      </c>
      <c r="I78" s="24" t="s">
        <v>48</v>
      </c>
      <c r="J78" s="24" t="s">
        <v>26</v>
      </c>
      <c r="K78" s="24"/>
      <c r="L78" s="8"/>
    </row>
    <row r="79">
      <c r="B79" s="20"/>
      <c r="C79" s="22"/>
      <c r="D79" s="22"/>
      <c r="E79" s="22"/>
      <c r="F79" s="22"/>
      <c r="G79" s="23"/>
      <c r="H79" s="22"/>
      <c r="I79" s="22"/>
      <c r="J79" s="22"/>
      <c r="K79" s="22"/>
      <c r="L79" s="8"/>
    </row>
    <row r="80">
      <c r="B80" s="20"/>
      <c r="C80" s="22"/>
      <c r="D80" s="22"/>
      <c r="E80" s="22"/>
      <c r="F80" s="22"/>
      <c r="G80" s="23"/>
      <c r="H80" s="22"/>
      <c r="I80" s="22"/>
      <c r="J80" s="22"/>
      <c r="K80" s="22"/>
      <c r="L80" s="8"/>
    </row>
    <row r="81">
      <c r="B81" s="20"/>
      <c r="C81" s="22"/>
      <c r="D81" s="22"/>
      <c r="E81" s="22"/>
      <c r="F81" s="22"/>
      <c r="G81" s="27" t="s">
        <v>12</v>
      </c>
      <c r="H81" s="24" t="s">
        <v>133</v>
      </c>
      <c r="I81" s="24" t="s">
        <v>137</v>
      </c>
      <c r="J81" s="24" t="s">
        <v>16</v>
      </c>
      <c r="K81" s="24"/>
      <c r="L81" s="8"/>
    </row>
    <row r="82">
      <c r="B82" s="20"/>
      <c r="C82" s="22"/>
      <c r="D82" s="22"/>
      <c r="E82" s="22"/>
      <c r="F82" s="22"/>
      <c r="G82" s="23"/>
      <c r="H82" s="22"/>
      <c r="I82" s="22"/>
      <c r="J82" s="22"/>
      <c r="K82" s="22"/>
      <c r="L82" s="8"/>
    </row>
    <row r="83">
      <c r="B83" s="20"/>
      <c r="C83" s="22"/>
      <c r="D83" s="22"/>
      <c r="E83" s="22"/>
      <c r="F83" s="22"/>
      <c r="G83" s="23"/>
      <c r="H83" s="22"/>
      <c r="I83" s="22"/>
      <c r="J83" s="22"/>
      <c r="K83" s="22"/>
      <c r="L83" s="8"/>
    </row>
    <row r="84">
      <c r="B84" s="20"/>
      <c r="C84" s="22"/>
      <c r="D84" s="22"/>
      <c r="E84" s="22"/>
      <c r="F84" s="22"/>
      <c r="G84" s="23"/>
      <c r="H84" s="22"/>
      <c r="I84" s="22"/>
      <c r="J84" s="22"/>
      <c r="K84" s="22"/>
      <c r="L84" s="8"/>
    </row>
    <row r="85">
      <c r="B85" s="20"/>
      <c r="C85" s="24" t="s">
        <v>76</v>
      </c>
      <c r="D85" s="24"/>
      <c r="E85" s="24"/>
      <c r="F85" s="24"/>
      <c r="G85" s="25" t="s">
        <v>128</v>
      </c>
      <c r="H85" s="26" t="s">
        <v>129</v>
      </c>
      <c r="I85" s="26" t="s">
        <v>130</v>
      </c>
      <c r="J85" s="26" t="s">
        <v>131</v>
      </c>
      <c r="K85" s="26"/>
      <c r="L85" s="8"/>
    </row>
    <row r="86">
      <c r="B86" s="20"/>
      <c r="C86" s="22"/>
      <c r="D86" s="22"/>
      <c r="E86" s="22"/>
      <c r="F86" s="22"/>
      <c r="G86" s="27" t="s">
        <v>74</v>
      </c>
      <c r="H86" s="24" t="s">
        <v>78</v>
      </c>
      <c r="I86" s="24" t="s">
        <v>137</v>
      </c>
      <c r="J86" s="24" t="s">
        <v>79</v>
      </c>
      <c r="K86" s="24"/>
      <c r="L86" s="8"/>
    </row>
    <row r="87">
      <c r="B87" s="20"/>
      <c r="C87" s="22"/>
      <c r="D87" s="22"/>
      <c r="E87" s="22"/>
      <c r="F87" s="22"/>
      <c r="G87" s="23"/>
      <c r="H87" s="22"/>
      <c r="I87" s="22"/>
      <c r="J87" s="22"/>
      <c r="K87" s="22"/>
      <c r="L87" s="8"/>
    </row>
    <row r="88">
      <c r="B88" s="20"/>
      <c r="C88" s="22"/>
      <c r="D88" s="22"/>
      <c r="E88" s="22"/>
      <c r="F88" s="22"/>
      <c r="G88" s="23"/>
      <c r="H88" s="22"/>
      <c r="I88" s="22"/>
      <c r="J88" s="22"/>
      <c r="K88" s="22"/>
      <c r="L88" s="8"/>
    </row>
    <row r="89">
      <c r="B89" s="20"/>
      <c r="C89" s="22"/>
      <c r="D89" s="22"/>
      <c r="E89" s="22"/>
      <c r="F89" s="22"/>
      <c r="G89" s="27" t="s">
        <v>81</v>
      </c>
      <c r="H89" s="24" t="s">
        <v>78</v>
      </c>
      <c r="I89" s="24" t="s">
        <v>137</v>
      </c>
      <c r="J89" s="24" t="s">
        <v>79</v>
      </c>
      <c r="K89" s="24"/>
      <c r="L89" s="8"/>
    </row>
    <row r="90">
      <c r="B90" s="20"/>
      <c r="C90" s="22"/>
      <c r="D90" s="22"/>
      <c r="E90" s="22"/>
      <c r="F90" s="22"/>
      <c r="G90" s="23"/>
      <c r="H90" s="22"/>
      <c r="I90" s="22"/>
      <c r="J90" s="22"/>
      <c r="K90" s="22"/>
      <c r="L90" s="8"/>
    </row>
    <row r="91">
      <c r="B91" s="20"/>
      <c r="C91" s="22"/>
      <c r="D91" s="22"/>
      <c r="E91" s="22"/>
      <c r="F91" s="22"/>
      <c r="G91" s="23"/>
      <c r="H91" s="22"/>
      <c r="I91" s="22"/>
      <c r="J91" s="22"/>
      <c r="K91" s="22"/>
      <c r="L91" s="8"/>
    </row>
    <row r="92">
      <c r="B92" s="20"/>
      <c r="C92" s="22"/>
      <c r="D92" s="22"/>
      <c r="E92" s="22"/>
      <c r="F92" s="22"/>
      <c r="G92" s="27" t="s">
        <v>83</v>
      </c>
      <c r="H92" s="24" t="s">
        <v>78</v>
      </c>
      <c r="I92" s="24" t="s">
        <v>137</v>
      </c>
      <c r="J92" s="24" t="s">
        <v>85</v>
      </c>
      <c r="K92" s="24"/>
      <c r="L92" s="8"/>
    </row>
    <row r="93">
      <c r="B93" s="20"/>
      <c r="C93" s="22"/>
      <c r="D93" s="22"/>
      <c r="E93" s="22"/>
      <c r="F93" s="22"/>
      <c r="G93" s="23"/>
      <c r="H93" s="22"/>
      <c r="I93" s="22"/>
      <c r="J93" s="22"/>
      <c r="K93" s="22"/>
      <c r="L93" s="8"/>
    </row>
    <row r="94">
      <c r="B94" s="20"/>
      <c r="C94" s="22"/>
      <c r="D94" s="22"/>
      <c r="E94" s="22"/>
      <c r="F94" s="22"/>
      <c r="G94" s="23"/>
      <c r="H94" s="22"/>
      <c r="I94" s="22"/>
      <c r="J94" s="22"/>
      <c r="K94" s="22"/>
      <c r="L94" s="8"/>
    </row>
    <row r="95">
      <c r="B95" s="20"/>
      <c r="C95" s="22"/>
      <c r="D95" s="22"/>
      <c r="E95" s="22"/>
      <c r="F95" s="22"/>
      <c r="G95" s="27" t="s">
        <v>87</v>
      </c>
      <c r="H95" s="24" t="s">
        <v>78</v>
      </c>
      <c r="I95" s="24" t="s">
        <v>137</v>
      </c>
      <c r="J95" s="24" t="s">
        <v>79</v>
      </c>
      <c r="K95" s="24"/>
      <c r="L95" s="8"/>
    </row>
    <row r="96">
      <c r="B96" s="20"/>
      <c r="C96" s="22"/>
      <c r="D96" s="22"/>
      <c r="E96" s="22"/>
      <c r="F96" s="22"/>
      <c r="G96" s="23"/>
      <c r="H96" s="22"/>
      <c r="I96" s="22"/>
      <c r="J96" s="22"/>
      <c r="K96" s="22"/>
      <c r="L96" s="8"/>
    </row>
    <row r="97">
      <c r="B97" s="20"/>
      <c r="C97" s="22"/>
      <c r="D97" s="22"/>
      <c r="E97" s="22"/>
      <c r="F97" s="22"/>
      <c r="G97" s="23"/>
      <c r="H97" s="22"/>
      <c r="I97" s="22"/>
      <c r="J97" s="22"/>
      <c r="K97" s="22"/>
      <c r="L97" s="8"/>
    </row>
    <row r="98">
      <c r="B98" s="20"/>
      <c r="C98" s="22"/>
      <c r="D98" s="22"/>
      <c r="E98" s="22"/>
      <c r="F98" s="22"/>
      <c r="G98" s="27" t="s">
        <v>90</v>
      </c>
      <c r="H98" s="24" t="s">
        <v>78</v>
      </c>
      <c r="I98" s="24" t="s">
        <v>137</v>
      </c>
      <c r="J98" s="24" t="s">
        <v>79</v>
      </c>
      <c r="K98" s="24"/>
      <c r="L98" s="8"/>
    </row>
    <row r="99">
      <c r="B99" s="20"/>
      <c r="C99" s="22"/>
      <c r="D99" s="22"/>
      <c r="E99" s="22"/>
      <c r="F99" s="22"/>
      <c r="G99" s="23"/>
      <c r="H99" s="22"/>
      <c r="I99" s="22"/>
      <c r="J99" s="22"/>
      <c r="K99" s="22"/>
      <c r="L99" s="8"/>
    </row>
    <row r="100">
      <c r="B100" s="20"/>
      <c r="C100" s="22"/>
      <c r="D100" s="22"/>
      <c r="E100" s="22"/>
      <c r="F100" s="22"/>
      <c r="G100" s="23"/>
      <c r="H100" s="22"/>
      <c r="I100" s="22"/>
      <c r="J100" s="22"/>
      <c r="K100" s="22"/>
      <c r="L100" s="8"/>
    </row>
    <row r="101">
      <c r="B101" s="20"/>
      <c r="C101" s="22"/>
      <c r="D101" s="22"/>
      <c r="E101" s="22"/>
      <c r="F101" s="22"/>
      <c r="G101" s="23"/>
      <c r="H101" s="22"/>
      <c r="I101" s="22"/>
      <c r="J101" s="22"/>
      <c r="K101" s="22"/>
      <c r="L101" s="8"/>
    </row>
    <row r="102">
      <c r="B102" s="20"/>
      <c r="C102" s="24" t="s">
        <v>43</v>
      </c>
      <c r="D102" s="24"/>
      <c r="E102" s="24"/>
      <c r="F102" s="24"/>
      <c r="G102" s="25" t="s">
        <v>128</v>
      </c>
      <c r="H102" s="26" t="s">
        <v>129</v>
      </c>
      <c r="I102" s="26" t="s">
        <v>130</v>
      </c>
      <c r="J102" s="26" t="s">
        <v>131</v>
      </c>
      <c r="K102" s="26"/>
      <c r="L102" s="8"/>
    </row>
    <row r="103">
      <c r="B103" s="20"/>
      <c r="C103" s="22"/>
      <c r="D103" s="22"/>
      <c r="E103" s="22"/>
      <c r="F103" s="22"/>
      <c r="G103" s="27" t="s">
        <v>41</v>
      </c>
      <c r="H103" s="24" t="s">
        <v>43</v>
      </c>
      <c r="I103" s="24" t="s">
        <v>137</v>
      </c>
      <c r="J103" s="24" t="s">
        <v>44</v>
      </c>
      <c r="K103" s="24"/>
      <c r="L103" s="8"/>
    </row>
    <row r="104">
      <c r="B104" s="20"/>
      <c r="C104" s="22"/>
      <c r="D104" s="22"/>
      <c r="E104" s="22"/>
      <c r="F104" s="22"/>
      <c r="G104" s="23"/>
      <c r="H104" s="22"/>
      <c r="I104" s="22"/>
      <c r="J104" s="22"/>
      <c r="K104" s="22"/>
      <c r="L104" s="8"/>
    </row>
    <row r="105">
      <c r="B105" s="20"/>
      <c r="C105" s="22"/>
      <c r="D105" s="22"/>
      <c r="E105" s="22"/>
      <c r="F105" s="22"/>
      <c r="G105" s="23"/>
      <c r="H105" s="22"/>
      <c r="I105" s="22"/>
      <c r="J105" s="22"/>
      <c r="K105" s="22"/>
      <c r="L105" s="8"/>
    </row>
    <row r="106">
      <c r="B106" s="20"/>
      <c r="C106" s="22"/>
      <c r="D106" s="22"/>
      <c r="E106" s="22"/>
      <c r="F106" s="22"/>
      <c r="G106" s="23"/>
      <c r="H106" s="22"/>
      <c r="I106" s="22"/>
      <c r="J106" s="22"/>
      <c r="K106" s="22"/>
      <c r="L106" s="8"/>
    </row>
    <row r="107">
      <c r="B107" s="20"/>
      <c r="C107" s="24" t="s">
        <v>64</v>
      </c>
      <c r="D107" s="24"/>
      <c r="E107" s="24"/>
      <c r="F107" s="24"/>
      <c r="G107" s="25" t="s">
        <v>128</v>
      </c>
      <c r="H107" s="26" t="s">
        <v>129</v>
      </c>
      <c r="I107" s="26" t="s">
        <v>130</v>
      </c>
      <c r="J107" s="26" t="s">
        <v>131</v>
      </c>
      <c r="K107" s="26"/>
      <c r="L107" s="8"/>
    </row>
    <row r="108">
      <c r="B108" s="20"/>
      <c r="C108" s="22"/>
      <c r="D108" s="22"/>
      <c r="E108" s="22"/>
      <c r="F108" s="22"/>
      <c r="G108" s="27" t="s">
        <v>62</v>
      </c>
      <c r="H108" s="24" t="s">
        <v>64</v>
      </c>
      <c r="I108" s="24" t="s">
        <v>137</v>
      </c>
      <c r="J108" s="28" t="s">
        <v>65</v>
      </c>
      <c r="K108" s="28"/>
      <c r="L108" s="8"/>
    </row>
    <row r="109">
      <c r="B109" s="20"/>
      <c r="C109" s="22"/>
      <c r="D109" s="22"/>
      <c r="E109" s="22"/>
      <c r="F109" s="22"/>
      <c r="G109" s="23"/>
      <c r="H109" s="22"/>
      <c r="I109" s="22"/>
      <c r="J109" s="22"/>
      <c r="K109" s="22"/>
      <c r="L109" s="8"/>
    </row>
    <row r="110">
      <c r="B110" s="20"/>
      <c r="C110" s="22"/>
      <c r="D110" s="22"/>
      <c r="E110" s="22"/>
      <c r="F110" s="22"/>
      <c r="G110" s="23"/>
      <c r="H110" s="22"/>
      <c r="I110" s="22"/>
      <c r="J110" s="22"/>
      <c r="K110" s="22"/>
      <c r="L110" s="8"/>
    </row>
    <row r="111">
      <c r="B111" s="20"/>
      <c r="C111" s="22"/>
      <c r="D111" s="22"/>
      <c r="E111" s="22"/>
      <c r="F111" s="22"/>
      <c r="G111" s="27" t="s">
        <v>67</v>
      </c>
      <c r="H111" s="24" t="s">
        <v>64</v>
      </c>
      <c r="I111" s="24" t="s">
        <v>48</v>
      </c>
      <c r="J111" s="28" t="s">
        <v>69</v>
      </c>
      <c r="K111" s="28"/>
      <c r="L111" s="8"/>
    </row>
    <row r="112">
      <c r="B112" s="20"/>
      <c r="C112" s="22"/>
      <c r="D112" s="22"/>
      <c r="E112" s="22"/>
      <c r="F112" s="22"/>
      <c r="G112" s="23"/>
      <c r="H112" s="22"/>
      <c r="I112" s="22"/>
      <c r="J112" s="22"/>
      <c r="K112" s="22"/>
      <c r="L112" s="8"/>
    </row>
    <row r="113">
      <c r="B113" s="20"/>
      <c r="G113" s="20"/>
      <c r="L113" s="8"/>
    </row>
    <row r="114">
      <c r="B114" s="20"/>
      <c r="G114" s="20"/>
      <c r="L114" s="8"/>
    </row>
    <row r="115">
      <c r="B115" s="20"/>
      <c r="G115" s="20"/>
      <c r="L115" s="8"/>
    </row>
    <row r="116">
      <c r="B116" s="20"/>
      <c r="G116" s="20"/>
      <c r="L116" s="8"/>
    </row>
    <row r="117">
      <c r="B117" s="20"/>
      <c r="G117" s="20"/>
      <c r="L117" s="8"/>
    </row>
    <row r="118">
      <c r="B118" s="20"/>
      <c r="G118" s="20"/>
      <c r="L118" s="8"/>
    </row>
    <row r="119">
      <c r="B119" s="20"/>
      <c r="G119" s="20"/>
      <c r="L119" s="8"/>
    </row>
    <row r="120">
      <c r="B120" s="20"/>
      <c r="G120" s="20"/>
      <c r="L120" s="8"/>
    </row>
    <row r="121">
      <c r="B121" s="20"/>
      <c r="G121" s="20"/>
      <c r="L121" s="8"/>
    </row>
    <row r="122">
      <c r="B122" s="20"/>
      <c r="G122" s="20"/>
      <c r="L122" s="8"/>
    </row>
    <row r="123">
      <c r="B123" s="20"/>
      <c r="G123" s="20"/>
      <c r="L123" s="8"/>
    </row>
    <row r="124">
      <c r="B124" s="20"/>
      <c r="G124" s="20"/>
      <c r="L124" s="8"/>
    </row>
    <row r="125">
      <c r="B125" s="20"/>
      <c r="G125" s="20"/>
      <c r="L125" s="8"/>
    </row>
    <row r="126">
      <c r="B126" s="20"/>
      <c r="G126" s="20"/>
      <c r="L126" s="8"/>
    </row>
    <row r="127">
      <c r="B127" s="20"/>
      <c r="G127" s="20"/>
      <c r="L127" s="8"/>
    </row>
    <row r="128">
      <c r="B128" s="20"/>
      <c r="G128" s="20"/>
      <c r="L128" s="8"/>
    </row>
    <row r="129">
      <c r="B129" s="20"/>
      <c r="G129" s="20"/>
      <c r="L129" s="8"/>
    </row>
    <row r="130">
      <c r="B130" s="20"/>
      <c r="G130" s="20"/>
      <c r="L130" s="8"/>
    </row>
    <row r="131">
      <c r="B131" s="20"/>
      <c r="G131" s="20"/>
      <c r="L131" s="8"/>
    </row>
    <row r="132">
      <c r="B132" s="20"/>
      <c r="G132" s="20"/>
      <c r="L132" s="8"/>
    </row>
    <row r="133">
      <c r="B133" s="20"/>
      <c r="G133" s="20"/>
      <c r="L133" s="8"/>
    </row>
    <row r="134">
      <c r="B134" s="20"/>
      <c r="G134" s="20"/>
      <c r="L134" s="8"/>
    </row>
    <row r="135">
      <c r="B135" s="20"/>
      <c r="G135" s="20"/>
      <c r="L135" s="8"/>
    </row>
    <row r="136">
      <c r="B136" s="20"/>
      <c r="G136" s="20"/>
      <c r="L136" s="8"/>
    </row>
    <row r="137">
      <c r="B137" s="20"/>
      <c r="G137" s="20"/>
      <c r="L137" s="8"/>
    </row>
    <row r="138">
      <c r="B138" s="20"/>
      <c r="G138" s="20"/>
      <c r="L138" s="8"/>
    </row>
    <row r="139">
      <c r="B139" s="20"/>
      <c r="G139" s="20"/>
      <c r="L139" s="8"/>
    </row>
    <row r="140">
      <c r="B140" s="20"/>
      <c r="G140" s="20"/>
      <c r="L140" s="8"/>
    </row>
    <row r="141">
      <c r="B141" s="20"/>
      <c r="G141" s="20"/>
      <c r="L141" s="8"/>
    </row>
    <row r="142">
      <c r="B142" s="20"/>
      <c r="G142" s="20"/>
      <c r="L142" s="8"/>
    </row>
    <row r="143">
      <c r="B143" s="20"/>
      <c r="G143" s="20"/>
      <c r="L143" s="8"/>
    </row>
    <row r="144">
      <c r="B144" s="20"/>
      <c r="G144" s="20"/>
      <c r="L144" s="8"/>
    </row>
    <row r="145">
      <c r="B145" s="20"/>
      <c r="G145" s="20"/>
      <c r="L145" s="8"/>
    </row>
    <row r="146">
      <c r="B146" s="20"/>
      <c r="G146" s="20"/>
      <c r="L146" s="8"/>
    </row>
    <row r="147">
      <c r="B147" s="20"/>
      <c r="G147" s="20"/>
      <c r="L147" s="8"/>
    </row>
    <row r="148">
      <c r="B148" s="20"/>
      <c r="G148" s="20"/>
      <c r="L148" s="8"/>
    </row>
    <row r="149">
      <c r="B149" s="20"/>
      <c r="G149" s="20"/>
      <c r="L149" s="8"/>
    </row>
    <row r="150">
      <c r="B150" s="20"/>
      <c r="G150" s="20"/>
      <c r="L150" s="8"/>
    </row>
    <row r="151">
      <c r="B151" s="20"/>
      <c r="G151" s="20"/>
      <c r="L151" s="8"/>
    </row>
    <row r="152">
      <c r="B152" s="20"/>
      <c r="G152" s="20"/>
      <c r="L152" s="8"/>
    </row>
    <row r="153">
      <c r="B153" s="20"/>
      <c r="G153" s="20"/>
      <c r="L153" s="8"/>
    </row>
    <row r="154">
      <c r="B154" s="20"/>
      <c r="G154" s="20"/>
      <c r="L154" s="8"/>
    </row>
    <row r="155">
      <c r="B155" s="20"/>
      <c r="G155" s="20"/>
      <c r="L155" s="8"/>
    </row>
    <row r="156">
      <c r="B156" s="20"/>
      <c r="G156" s="20"/>
      <c r="L156" s="8"/>
    </row>
    <row r="157">
      <c r="B157" s="20"/>
      <c r="G157" s="20"/>
      <c r="L157" s="8"/>
    </row>
    <row r="158">
      <c r="B158" s="20"/>
      <c r="G158" s="20"/>
      <c r="L158" s="8"/>
    </row>
    <row r="159">
      <c r="B159" s="20"/>
      <c r="G159" s="20"/>
      <c r="L159" s="8"/>
    </row>
    <row r="160">
      <c r="B160" s="20"/>
      <c r="G160" s="20"/>
      <c r="L160" s="8"/>
    </row>
    <row r="161">
      <c r="B161" s="20"/>
      <c r="G161" s="20"/>
      <c r="L161" s="8"/>
    </row>
    <row r="162">
      <c r="B162" s="20"/>
      <c r="G162" s="20"/>
      <c r="L162" s="8"/>
    </row>
    <row r="163">
      <c r="B163" s="20"/>
      <c r="G163" s="20"/>
      <c r="L163" s="8"/>
    </row>
    <row r="164">
      <c r="B164" s="20"/>
      <c r="G164" s="20"/>
      <c r="L164" s="8"/>
    </row>
    <row r="165">
      <c r="B165" s="20"/>
      <c r="G165" s="20"/>
      <c r="L165" s="8"/>
    </row>
    <row r="166">
      <c r="B166" s="20"/>
      <c r="G166" s="20"/>
      <c r="L166" s="8"/>
    </row>
    <row r="167">
      <c r="B167" s="20"/>
      <c r="G167" s="20"/>
      <c r="L167" s="8"/>
    </row>
    <row r="168">
      <c r="B168" s="20"/>
      <c r="G168" s="20"/>
      <c r="L168" s="8"/>
    </row>
    <row r="169">
      <c r="B169" s="20"/>
      <c r="G169" s="20"/>
      <c r="L169" s="8"/>
    </row>
    <row r="170">
      <c r="B170" s="20"/>
      <c r="G170" s="20"/>
      <c r="L170" s="8"/>
    </row>
    <row r="171">
      <c r="B171" s="20"/>
      <c r="G171" s="20"/>
      <c r="L171" s="8"/>
    </row>
    <row r="172">
      <c r="B172" s="20"/>
      <c r="G172" s="20"/>
      <c r="L172" s="8"/>
    </row>
    <row r="173">
      <c r="B173" s="20"/>
      <c r="G173" s="20"/>
      <c r="L173" s="8"/>
    </row>
    <row r="174">
      <c r="B174" s="20"/>
      <c r="G174" s="20"/>
      <c r="L174" s="8"/>
    </row>
    <row r="175">
      <c r="B175" s="20"/>
      <c r="G175" s="20"/>
      <c r="L175" s="8"/>
    </row>
    <row r="176">
      <c r="B176" s="20"/>
      <c r="G176" s="20"/>
      <c r="L176" s="8"/>
    </row>
    <row r="177">
      <c r="B177" s="20"/>
      <c r="G177" s="20"/>
      <c r="L177" s="8"/>
    </row>
    <row r="178">
      <c r="B178" s="20"/>
      <c r="G178" s="20"/>
      <c r="L178" s="8"/>
    </row>
    <row r="179">
      <c r="B179" s="20"/>
      <c r="G179" s="20"/>
      <c r="L179" s="8"/>
    </row>
    <row r="180">
      <c r="B180" s="20"/>
      <c r="G180" s="20"/>
      <c r="L180" s="8"/>
    </row>
    <row r="181">
      <c r="B181" s="20"/>
      <c r="G181" s="20"/>
      <c r="L181" s="8"/>
    </row>
    <row r="182">
      <c r="B182" s="20"/>
      <c r="G182" s="20"/>
      <c r="L182" s="8"/>
    </row>
    <row r="183">
      <c r="B183" s="20"/>
      <c r="G183" s="20"/>
      <c r="L183" s="8"/>
    </row>
    <row r="184">
      <c r="B184" s="20"/>
      <c r="G184" s="20"/>
      <c r="L184" s="8"/>
    </row>
    <row r="185">
      <c r="B185" s="20"/>
      <c r="G185" s="20"/>
      <c r="L185" s="8"/>
    </row>
    <row r="186">
      <c r="B186" s="20"/>
      <c r="G186" s="20"/>
      <c r="L186" s="8"/>
    </row>
    <row r="187">
      <c r="B187" s="20"/>
      <c r="G187" s="20"/>
      <c r="L187" s="8"/>
    </row>
    <row r="188">
      <c r="B188" s="20"/>
      <c r="G188" s="20"/>
      <c r="L188" s="8"/>
    </row>
    <row r="189">
      <c r="B189" s="20"/>
      <c r="G189" s="20"/>
      <c r="L189" s="8"/>
    </row>
    <row r="190">
      <c r="B190" s="20"/>
      <c r="G190" s="20"/>
      <c r="L190" s="8"/>
    </row>
    <row r="191">
      <c r="B191" s="20"/>
      <c r="G191" s="20"/>
      <c r="L191" s="8"/>
    </row>
    <row r="192">
      <c r="B192" s="20"/>
      <c r="G192" s="20"/>
      <c r="L192" s="8"/>
    </row>
    <row r="193">
      <c r="B193" s="20"/>
      <c r="G193" s="20"/>
      <c r="L193" s="8"/>
    </row>
    <row r="194">
      <c r="B194" s="20"/>
      <c r="G194" s="20"/>
      <c r="L194" s="8"/>
    </row>
    <row r="195">
      <c r="B195" s="20"/>
      <c r="G195" s="20"/>
      <c r="L195" s="8"/>
    </row>
    <row r="196">
      <c r="B196" s="20"/>
      <c r="G196" s="20"/>
      <c r="L196" s="8"/>
    </row>
    <row r="197">
      <c r="B197" s="20"/>
      <c r="G197" s="20"/>
      <c r="L197" s="8"/>
    </row>
    <row r="198">
      <c r="B198" s="20"/>
      <c r="G198" s="20"/>
      <c r="L198" s="8"/>
    </row>
    <row r="199">
      <c r="B199" s="20"/>
      <c r="G199" s="20"/>
      <c r="L199" s="8"/>
    </row>
    <row r="200">
      <c r="B200" s="20"/>
      <c r="G200" s="20"/>
      <c r="L200" s="8"/>
    </row>
    <row r="201">
      <c r="B201" s="20"/>
      <c r="G201" s="20"/>
      <c r="L201" s="8"/>
    </row>
    <row r="202">
      <c r="B202" s="20"/>
      <c r="G202" s="20"/>
      <c r="L202" s="8"/>
    </row>
    <row r="203">
      <c r="B203" s="20"/>
      <c r="G203" s="20"/>
      <c r="L203" s="8"/>
    </row>
    <row r="204">
      <c r="B204" s="20"/>
      <c r="G204" s="20"/>
      <c r="L204" s="8"/>
    </row>
    <row r="205">
      <c r="B205" s="20"/>
      <c r="G205" s="20"/>
      <c r="L205" s="8"/>
    </row>
    <row r="206">
      <c r="B206" s="20"/>
      <c r="G206" s="20"/>
      <c r="L206" s="8"/>
    </row>
    <row r="207">
      <c r="B207" s="20"/>
      <c r="G207" s="20"/>
      <c r="L207" s="8"/>
    </row>
    <row r="208">
      <c r="B208" s="20"/>
      <c r="G208" s="20"/>
      <c r="L208" s="8"/>
    </row>
    <row r="209">
      <c r="B209" s="20"/>
      <c r="G209" s="20"/>
      <c r="L209" s="8"/>
    </row>
    <row r="210">
      <c r="B210" s="20"/>
      <c r="G210" s="20"/>
      <c r="L210" s="8"/>
    </row>
    <row r="211">
      <c r="B211" s="20"/>
      <c r="G211" s="20"/>
      <c r="L211" s="8"/>
    </row>
    <row r="212">
      <c r="B212" s="20"/>
      <c r="G212" s="20"/>
      <c r="L212" s="8"/>
    </row>
    <row r="213">
      <c r="B213" s="20"/>
      <c r="G213" s="20"/>
      <c r="L213" s="8"/>
    </row>
    <row r="214">
      <c r="B214" s="20"/>
      <c r="G214" s="20"/>
      <c r="L214" s="8"/>
    </row>
    <row r="215">
      <c r="B215" s="20"/>
      <c r="G215" s="20"/>
      <c r="L215" s="8"/>
    </row>
    <row r="216">
      <c r="B216" s="20"/>
      <c r="G216" s="20"/>
      <c r="L216" s="8"/>
    </row>
    <row r="217">
      <c r="B217" s="20"/>
      <c r="G217" s="20"/>
      <c r="L217" s="8"/>
    </row>
    <row r="218">
      <c r="B218" s="20"/>
      <c r="G218" s="20"/>
      <c r="L218" s="8"/>
    </row>
    <row r="219">
      <c r="B219" s="20"/>
      <c r="G219" s="20"/>
      <c r="L219" s="8"/>
    </row>
    <row r="220">
      <c r="B220" s="20"/>
      <c r="G220" s="20"/>
      <c r="L220" s="8"/>
    </row>
    <row r="221">
      <c r="B221" s="20"/>
      <c r="G221" s="20"/>
      <c r="L221" s="8"/>
    </row>
    <row r="222">
      <c r="B222" s="20"/>
      <c r="G222" s="20"/>
      <c r="L222" s="8"/>
    </row>
    <row r="223">
      <c r="B223" s="20"/>
      <c r="G223" s="20"/>
      <c r="L223" s="8"/>
    </row>
    <row r="224">
      <c r="B224" s="20"/>
      <c r="G224" s="20"/>
      <c r="L224" s="8"/>
    </row>
    <row r="225">
      <c r="B225" s="20"/>
      <c r="G225" s="20"/>
      <c r="L225" s="8"/>
    </row>
    <row r="226">
      <c r="B226" s="20"/>
      <c r="G226" s="20"/>
      <c r="L226" s="8"/>
    </row>
    <row r="227">
      <c r="B227" s="20"/>
      <c r="G227" s="20"/>
      <c r="L227" s="8"/>
    </row>
    <row r="228">
      <c r="B228" s="20"/>
      <c r="G228" s="20"/>
      <c r="L228" s="8"/>
    </row>
    <row r="229">
      <c r="B229" s="20"/>
      <c r="G229" s="20"/>
      <c r="L229" s="8"/>
    </row>
    <row r="230">
      <c r="B230" s="20"/>
      <c r="G230" s="20"/>
      <c r="L230" s="8"/>
    </row>
    <row r="231">
      <c r="B231" s="20"/>
      <c r="G231" s="20"/>
      <c r="L231" s="8"/>
    </row>
    <row r="232">
      <c r="B232" s="20"/>
      <c r="G232" s="20"/>
      <c r="L232" s="8"/>
    </row>
    <row r="233">
      <c r="B233" s="20"/>
      <c r="G233" s="20"/>
      <c r="L233" s="8"/>
    </row>
    <row r="234">
      <c r="B234" s="20"/>
      <c r="G234" s="20"/>
      <c r="L234" s="8"/>
    </row>
    <row r="235">
      <c r="B235" s="20"/>
      <c r="G235" s="20"/>
      <c r="L235" s="8"/>
    </row>
    <row r="236">
      <c r="B236" s="20"/>
      <c r="G236" s="20"/>
      <c r="L236" s="8"/>
    </row>
    <row r="237">
      <c r="B237" s="20"/>
      <c r="G237" s="20"/>
      <c r="L237" s="8"/>
    </row>
    <row r="238">
      <c r="B238" s="20"/>
      <c r="G238" s="20"/>
      <c r="L238" s="8"/>
    </row>
    <row r="239">
      <c r="B239" s="20"/>
      <c r="G239" s="20"/>
      <c r="L239" s="8"/>
    </row>
    <row r="240">
      <c r="B240" s="20"/>
      <c r="G240" s="20"/>
      <c r="L240" s="8"/>
    </row>
    <row r="241">
      <c r="B241" s="20"/>
      <c r="G241" s="20"/>
      <c r="L241" s="8"/>
    </row>
    <row r="242">
      <c r="B242" s="20"/>
      <c r="G242" s="20"/>
      <c r="L242" s="8"/>
    </row>
    <row r="243">
      <c r="B243" s="20"/>
      <c r="G243" s="20"/>
      <c r="L243" s="8"/>
    </row>
    <row r="244">
      <c r="B244" s="20"/>
      <c r="G244" s="20"/>
      <c r="L244" s="8"/>
    </row>
    <row r="245">
      <c r="B245" s="20"/>
      <c r="G245" s="20"/>
      <c r="L245" s="8"/>
    </row>
    <row r="246">
      <c r="B246" s="20"/>
      <c r="G246" s="20"/>
      <c r="L246" s="8"/>
    </row>
    <row r="247">
      <c r="B247" s="20"/>
      <c r="G247" s="20"/>
      <c r="L247" s="8"/>
    </row>
    <row r="248">
      <c r="B248" s="20"/>
      <c r="G248" s="20"/>
      <c r="L248" s="8"/>
    </row>
    <row r="249">
      <c r="B249" s="20"/>
      <c r="G249" s="20"/>
      <c r="L249" s="8"/>
    </row>
    <row r="250">
      <c r="B250" s="20"/>
      <c r="G250" s="20"/>
      <c r="L250" s="8"/>
    </row>
    <row r="251">
      <c r="B251" s="20"/>
      <c r="G251" s="20"/>
      <c r="L251" s="8"/>
    </row>
    <row r="252">
      <c r="B252" s="20"/>
      <c r="G252" s="20"/>
      <c r="L252" s="8"/>
    </row>
    <row r="253">
      <c r="B253" s="20"/>
      <c r="G253" s="20"/>
      <c r="L253" s="8"/>
    </row>
    <row r="254">
      <c r="B254" s="20"/>
      <c r="G254" s="20"/>
      <c r="L254" s="8"/>
    </row>
    <row r="255">
      <c r="B255" s="20"/>
      <c r="G255" s="20"/>
      <c r="L255" s="8"/>
    </row>
    <row r="256">
      <c r="B256" s="20"/>
      <c r="G256" s="20"/>
      <c r="L256" s="8"/>
    </row>
    <row r="257">
      <c r="B257" s="20"/>
      <c r="G257" s="20"/>
      <c r="L257" s="8"/>
    </row>
    <row r="258">
      <c r="B258" s="20"/>
      <c r="G258" s="20"/>
      <c r="L258" s="8"/>
    </row>
    <row r="259">
      <c r="B259" s="20"/>
      <c r="G259" s="20"/>
      <c r="L259" s="8"/>
    </row>
    <row r="260">
      <c r="B260" s="20"/>
      <c r="G260" s="20"/>
      <c r="L260" s="8"/>
    </row>
    <row r="261">
      <c r="B261" s="20"/>
      <c r="G261" s="20"/>
      <c r="L261" s="8"/>
    </row>
    <row r="262">
      <c r="B262" s="20"/>
      <c r="G262" s="20"/>
      <c r="L262" s="8"/>
    </row>
    <row r="263">
      <c r="B263" s="20"/>
      <c r="G263" s="20"/>
      <c r="L263" s="8"/>
    </row>
    <row r="264">
      <c r="B264" s="20"/>
      <c r="G264" s="20"/>
      <c r="L264" s="8"/>
    </row>
    <row r="265">
      <c r="B265" s="20"/>
      <c r="G265" s="20"/>
      <c r="L265" s="8"/>
    </row>
    <row r="266">
      <c r="B266" s="20"/>
      <c r="G266" s="20"/>
      <c r="L266" s="8"/>
    </row>
    <row r="267">
      <c r="B267" s="20"/>
      <c r="G267" s="20"/>
      <c r="L267" s="8"/>
    </row>
    <row r="268">
      <c r="B268" s="20"/>
      <c r="G268" s="20"/>
      <c r="L268" s="8"/>
    </row>
    <row r="269">
      <c r="B269" s="20"/>
      <c r="G269" s="20"/>
      <c r="L269" s="8"/>
    </row>
    <row r="270">
      <c r="B270" s="20"/>
      <c r="G270" s="20"/>
      <c r="L270" s="8"/>
    </row>
    <row r="271">
      <c r="B271" s="20"/>
      <c r="G271" s="20"/>
      <c r="L271" s="8"/>
    </row>
    <row r="272">
      <c r="B272" s="20"/>
      <c r="G272" s="20"/>
      <c r="L272" s="8"/>
    </row>
    <row r="273">
      <c r="B273" s="20"/>
      <c r="G273" s="20"/>
      <c r="L273" s="8"/>
    </row>
    <row r="274">
      <c r="B274" s="20"/>
      <c r="G274" s="20"/>
      <c r="L274" s="8"/>
    </row>
    <row r="275">
      <c r="B275" s="20"/>
      <c r="G275" s="20"/>
      <c r="L275" s="8"/>
    </row>
    <row r="276">
      <c r="B276" s="20"/>
      <c r="G276" s="20"/>
      <c r="L276" s="8"/>
    </row>
    <row r="277">
      <c r="B277" s="20"/>
      <c r="G277" s="20"/>
      <c r="L277" s="8"/>
    </row>
    <row r="278">
      <c r="B278" s="20"/>
      <c r="G278" s="20"/>
      <c r="L278" s="8"/>
    </row>
    <row r="279">
      <c r="B279" s="20"/>
      <c r="G279" s="20"/>
      <c r="L279" s="8"/>
    </row>
    <row r="280">
      <c r="B280" s="20"/>
      <c r="G280" s="20"/>
      <c r="L280" s="8"/>
    </row>
    <row r="281">
      <c r="B281" s="20"/>
      <c r="G281" s="20"/>
      <c r="L281" s="8"/>
    </row>
    <row r="282">
      <c r="B282" s="20"/>
      <c r="G282" s="20"/>
      <c r="L282" s="8"/>
    </row>
    <row r="283">
      <c r="B283" s="20"/>
      <c r="G283" s="20"/>
      <c r="L283" s="8"/>
    </row>
    <row r="284">
      <c r="B284" s="20"/>
      <c r="G284" s="20"/>
      <c r="L284" s="8"/>
    </row>
    <row r="285">
      <c r="B285" s="20"/>
      <c r="G285" s="20"/>
      <c r="L285" s="8"/>
    </row>
    <row r="286">
      <c r="B286" s="20"/>
      <c r="G286" s="20"/>
      <c r="L286" s="8"/>
    </row>
    <row r="287">
      <c r="B287" s="20"/>
      <c r="G287" s="20"/>
      <c r="L287" s="8"/>
    </row>
    <row r="288">
      <c r="B288" s="20"/>
      <c r="G288" s="20"/>
      <c r="L288" s="8"/>
    </row>
    <row r="289">
      <c r="B289" s="20"/>
      <c r="G289" s="20"/>
      <c r="L289" s="8"/>
    </row>
    <row r="290">
      <c r="B290" s="20"/>
      <c r="G290" s="20"/>
      <c r="L290" s="8"/>
    </row>
    <row r="291">
      <c r="B291" s="20"/>
      <c r="G291" s="20"/>
      <c r="L291" s="8"/>
    </row>
    <row r="292">
      <c r="B292" s="20"/>
      <c r="G292" s="20"/>
      <c r="L292" s="8"/>
    </row>
    <row r="293">
      <c r="B293" s="20"/>
      <c r="G293" s="20"/>
      <c r="L293" s="8"/>
    </row>
    <row r="294">
      <c r="B294" s="20"/>
      <c r="G294" s="20"/>
      <c r="L294" s="8"/>
    </row>
    <row r="295">
      <c r="B295" s="20"/>
      <c r="G295" s="20"/>
      <c r="L295" s="8"/>
    </row>
    <row r="296">
      <c r="B296" s="20"/>
      <c r="G296" s="20"/>
      <c r="L296" s="8"/>
    </row>
    <row r="297">
      <c r="B297" s="20"/>
      <c r="G297" s="20"/>
      <c r="L297" s="8"/>
    </row>
    <row r="298">
      <c r="B298" s="20"/>
      <c r="G298" s="20"/>
      <c r="L298" s="8"/>
    </row>
    <row r="299">
      <c r="B299" s="20"/>
      <c r="G299" s="20"/>
      <c r="L299" s="8"/>
    </row>
    <row r="300">
      <c r="B300" s="20"/>
      <c r="G300" s="20"/>
      <c r="L300" s="8"/>
    </row>
    <row r="301">
      <c r="B301" s="20"/>
      <c r="G301" s="20"/>
      <c r="L301" s="8"/>
    </row>
    <row r="302">
      <c r="B302" s="20"/>
      <c r="G302" s="20"/>
      <c r="L302" s="8"/>
    </row>
    <row r="303">
      <c r="B303" s="20"/>
      <c r="G303" s="20"/>
      <c r="L303" s="8"/>
    </row>
    <row r="304">
      <c r="B304" s="20"/>
      <c r="G304" s="20"/>
      <c r="L304" s="8"/>
    </row>
    <row r="305">
      <c r="B305" s="20"/>
      <c r="G305" s="20"/>
      <c r="L305" s="8"/>
    </row>
    <row r="306">
      <c r="B306" s="20"/>
      <c r="G306" s="20"/>
      <c r="L306" s="8"/>
    </row>
    <row r="307">
      <c r="B307" s="20"/>
      <c r="G307" s="20"/>
      <c r="L307" s="8"/>
    </row>
    <row r="308">
      <c r="B308" s="20"/>
      <c r="G308" s="20"/>
      <c r="L308" s="8"/>
    </row>
    <row r="309">
      <c r="B309" s="20"/>
      <c r="G309" s="20"/>
      <c r="L309" s="8"/>
    </row>
    <row r="310">
      <c r="B310" s="20"/>
      <c r="G310" s="20"/>
      <c r="L310" s="8"/>
    </row>
    <row r="311">
      <c r="B311" s="20"/>
      <c r="G311" s="20"/>
      <c r="L311" s="8"/>
    </row>
    <row r="312">
      <c r="B312" s="20"/>
      <c r="G312" s="20"/>
      <c r="L312" s="8"/>
    </row>
    <row r="313">
      <c r="B313" s="20"/>
      <c r="G313" s="20"/>
      <c r="L313" s="8"/>
    </row>
    <row r="314">
      <c r="B314" s="20"/>
      <c r="G314" s="20"/>
      <c r="L314" s="8"/>
    </row>
    <row r="315">
      <c r="B315" s="20"/>
      <c r="G315" s="20"/>
      <c r="L315" s="8"/>
    </row>
    <row r="316">
      <c r="B316" s="20"/>
      <c r="G316" s="20"/>
      <c r="L316" s="8"/>
    </row>
    <row r="317">
      <c r="B317" s="20"/>
      <c r="G317" s="20"/>
      <c r="L317" s="8"/>
    </row>
    <row r="318">
      <c r="B318" s="20"/>
      <c r="G318" s="20"/>
      <c r="L318" s="8"/>
    </row>
    <row r="319">
      <c r="B319" s="20"/>
      <c r="G319" s="20"/>
      <c r="L319" s="8"/>
    </row>
    <row r="320">
      <c r="B320" s="20"/>
      <c r="G320" s="20"/>
      <c r="L320" s="8"/>
    </row>
    <row r="321">
      <c r="B321" s="20"/>
      <c r="G321" s="20"/>
      <c r="L321" s="8"/>
    </row>
    <row r="322">
      <c r="B322" s="20"/>
      <c r="G322" s="20"/>
      <c r="L322" s="8"/>
    </row>
    <row r="323">
      <c r="B323" s="20"/>
      <c r="G323" s="20"/>
      <c r="L323" s="8"/>
    </row>
    <row r="324">
      <c r="B324" s="20"/>
      <c r="G324" s="20"/>
      <c r="L324" s="8"/>
    </row>
    <row r="325">
      <c r="B325" s="20"/>
      <c r="G325" s="20"/>
      <c r="L325" s="8"/>
    </row>
    <row r="326">
      <c r="B326" s="20"/>
      <c r="G326" s="20"/>
      <c r="L326" s="8"/>
    </row>
    <row r="327">
      <c r="B327" s="20"/>
      <c r="G327" s="20"/>
      <c r="L327" s="8"/>
    </row>
    <row r="328">
      <c r="B328" s="20"/>
      <c r="G328" s="20"/>
      <c r="L328" s="8"/>
    </row>
    <row r="329">
      <c r="B329" s="20"/>
      <c r="G329" s="20"/>
      <c r="L329" s="8"/>
    </row>
    <row r="330">
      <c r="B330" s="20"/>
      <c r="G330" s="20"/>
      <c r="L330" s="8"/>
    </row>
    <row r="331">
      <c r="B331" s="20"/>
      <c r="G331" s="20"/>
      <c r="L331" s="8"/>
    </row>
    <row r="332">
      <c r="B332" s="20"/>
      <c r="G332" s="20"/>
      <c r="L332" s="8"/>
    </row>
    <row r="333">
      <c r="B333" s="20"/>
      <c r="G333" s="20"/>
      <c r="L333" s="8"/>
    </row>
    <row r="334">
      <c r="B334" s="20"/>
      <c r="G334" s="20"/>
      <c r="L334" s="8"/>
    </row>
    <row r="335">
      <c r="B335" s="20"/>
      <c r="G335" s="20"/>
      <c r="L335" s="8"/>
    </row>
    <row r="336">
      <c r="B336" s="20"/>
      <c r="G336" s="20"/>
      <c r="L336" s="8"/>
    </row>
    <row r="337">
      <c r="B337" s="20"/>
      <c r="G337" s="20"/>
      <c r="L337" s="8"/>
    </row>
    <row r="338">
      <c r="B338" s="20"/>
      <c r="G338" s="20"/>
      <c r="L338" s="8"/>
    </row>
    <row r="339">
      <c r="B339" s="20"/>
      <c r="G339" s="20"/>
      <c r="L339" s="8"/>
    </row>
    <row r="340">
      <c r="B340" s="20"/>
      <c r="G340" s="20"/>
      <c r="L340" s="8"/>
    </row>
    <row r="341">
      <c r="B341" s="20"/>
      <c r="G341" s="20"/>
      <c r="L341" s="8"/>
    </row>
    <row r="342">
      <c r="B342" s="20"/>
      <c r="G342" s="20"/>
      <c r="L342" s="8"/>
    </row>
    <row r="343">
      <c r="B343" s="20"/>
      <c r="G343" s="20"/>
      <c r="L343" s="8"/>
    </row>
    <row r="344">
      <c r="B344" s="20"/>
      <c r="G344" s="20"/>
      <c r="L344" s="8"/>
    </row>
    <row r="345">
      <c r="B345" s="20"/>
      <c r="G345" s="20"/>
      <c r="L345" s="8"/>
    </row>
    <row r="346">
      <c r="B346" s="20"/>
      <c r="G346" s="20"/>
      <c r="L346" s="8"/>
    </row>
    <row r="347">
      <c r="B347" s="20"/>
      <c r="G347" s="20"/>
      <c r="L347" s="8"/>
    </row>
    <row r="348">
      <c r="B348" s="20"/>
      <c r="G348" s="20"/>
      <c r="L348" s="8"/>
    </row>
    <row r="349">
      <c r="B349" s="20"/>
      <c r="G349" s="20"/>
      <c r="L349" s="8"/>
    </row>
    <row r="350">
      <c r="B350" s="20"/>
      <c r="G350" s="20"/>
      <c r="L350" s="8"/>
    </row>
    <row r="351">
      <c r="B351" s="20"/>
      <c r="G351" s="20"/>
      <c r="L351" s="8"/>
    </row>
    <row r="352">
      <c r="B352" s="20"/>
      <c r="G352" s="20"/>
      <c r="L352" s="8"/>
    </row>
    <row r="353">
      <c r="B353" s="20"/>
      <c r="G353" s="20"/>
      <c r="L353" s="8"/>
    </row>
    <row r="354">
      <c r="B354" s="20"/>
      <c r="G354" s="20"/>
      <c r="L354" s="8"/>
    </row>
    <row r="355">
      <c r="B355" s="20"/>
      <c r="G355" s="20"/>
      <c r="L355" s="8"/>
    </row>
    <row r="356">
      <c r="B356" s="20"/>
      <c r="G356" s="20"/>
      <c r="L356" s="8"/>
    </row>
    <row r="357">
      <c r="B357" s="20"/>
      <c r="G357" s="20"/>
      <c r="L357" s="8"/>
    </row>
    <row r="358">
      <c r="B358" s="20"/>
      <c r="G358" s="20"/>
      <c r="L358" s="8"/>
    </row>
    <row r="359">
      <c r="B359" s="20"/>
      <c r="G359" s="20"/>
      <c r="L359" s="8"/>
    </row>
    <row r="360">
      <c r="B360" s="20"/>
      <c r="G360" s="20"/>
      <c r="L360" s="8"/>
    </row>
    <row r="361">
      <c r="B361" s="20"/>
      <c r="G361" s="20"/>
      <c r="L361" s="8"/>
    </row>
    <row r="362">
      <c r="B362" s="20"/>
      <c r="G362" s="20"/>
      <c r="L362" s="8"/>
    </row>
    <row r="363">
      <c r="B363" s="20"/>
      <c r="G363" s="20"/>
      <c r="L363" s="8"/>
    </row>
    <row r="364">
      <c r="B364" s="20"/>
      <c r="G364" s="20"/>
      <c r="L364" s="8"/>
    </row>
    <row r="365">
      <c r="B365" s="20"/>
      <c r="G365" s="20"/>
      <c r="L365" s="8"/>
    </row>
    <row r="366">
      <c r="B366" s="20"/>
      <c r="G366" s="20"/>
      <c r="L366" s="8"/>
    </row>
    <row r="367">
      <c r="B367" s="20"/>
      <c r="G367" s="20"/>
      <c r="L367" s="8"/>
    </row>
    <row r="368">
      <c r="B368" s="20"/>
      <c r="G368" s="20"/>
      <c r="L368" s="8"/>
    </row>
    <row r="369">
      <c r="B369" s="20"/>
      <c r="G369" s="20"/>
      <c r="L369" s="8"/>
    </row>
    <row r="370">
      <c r="B370" s="20"/>
      <c r="G370" s="20"/>
      <c r="L370" s="8"/>
    </row>
    <row r="371">
      <c r="B371" s="20"/>
      <c r="G371" s="20"/>
      <c r="L371" s="8"/>
    </row>
    <row r="372">
      <c r="B372" s="20"/>
      <c r="G372" s="20"/>
      <c r="L372" s="8"/>
    </row>
    <row r="373">
      <c r="B373" s="20"/>
      <c r="G373" s="20"/>
      <c r="L373" s="8"/>
    </row>
    <row r="374">
      <c r="B374" s="20"/>
      <c r="G374" s="20"/>
      <c r="L374" s="8"/>
    </row>
    <row r="375">
      <c r="B375" s="20"/>
      <c r="G375" s="20"/>
      <c r="L375" s="8"/>
    </row>
    <row r="376">
      <c r="B376" s="20"/>
      <c r="G376" s="20"/>
      <c r="L376" s="8"/>
    </row>
    <row r="377">
      <c r="B377" s="20"/>
      <c r="G377" s="20"/>
      <c r="L377" s="8"/>
    </row>
    <row r="378">
      <c r="B378" s="20"/>
      <c r="G378" s="20"/>
      <c r="L378" s="8"/>
    </row>
    <row r="379">
      <c r="B379" s="20"/>
      <c r="G379" s="20"/>
      <c r="L379" s="8"/>
    </row>
    <row r="380">
      <c r="B380" s="20"/>
      <c r="G380" s="20"/>
      <c r="L380" s="8"/>
    </row>
    <row r="381">
      <c r="B381" s="20"/>
      <c r="G381" s="20"/>
      <c r="L381" s="8"/>
    </row>
    <row r="382">
      <c r="B382" s="20"/>
      <c r="G382" s="20"/>
      <c r="L382" s="8"/>
    </row>
    <row r="383">
      <c r="B383" s="20"/>
      <c r="G383" s="20"/>
      <c r="L383" s="8"/>
    </row>
    <row r="384">
      <c r="B384" s="20"/>
      <c r="G384" s="20"/>
      <c r="L384" s="8"/>
    </row>
    <row r="385">
      <c r="B385" s="20"/>
      <c r="G385" s="20"/>
      <c r="L385" s="8"/>
    </row>
    <row r="386">
      <c r="B386" s="20"/>
      <c r="G386" s="20"/>
      <c r="L386" s="8"/>
    </row>
    <row r="387">
      <c r="B387" s="20"/>
      <c r="G387" s="20"/>
      <c r="L387" s="8"/>
    </row>
    <row r="388">
      <c r="B388" s="20"/>
      <c r="G388" s="20"/>
      <c r="L388" s="8"/>
    </row>
    <row r="389">
      <c r="B389" s="20"/>
      <c r="G389" s="20"/>
      <c r="L389" s="8"/>
    </row>
    <row r="390">
      <c r="B390" s="20"/>
      <c r="G390" s="20"/>
      <c r="L390" s="8"/>
    </row>
    <row r="391">
      <c r="B391" s="20"/>
      <c r="G391" s="20"/>
      <c r="L391" s="8"/>
    </row>
    <row r="392">
      <c r="B392" s="20"/>
      <c r="G392" s="20"/>
      <c r="L392" s="8"/>
    </row>
    <row r="393">
      <c r="B393" s="20"/>
      <c r="G393" s="20"/>
      <c r="L393" s="8"/>
    </row>
    <row r="394">
      <c r="B394" s="20"/>
      <c r="G394" s="20"/>
      <c r="L394" s="8"/>
    </row>
    <row r="395">
      <c r="B395" s="20"/>
      <c r="G395" s="20"/>
      <c r="L395" s="8"/>
    </row>
    <row r="396">
      <c r="B396" s="20"/>
      <c r="G396" s="20"/>
      <c r="L396" s="8"/>
    </row>
    <row r="397">
      <c r="B397" s="20"/>
      <c r="G397" s="20"/>
      <c r="L397" s="8"/>
    </row>
    <row r="398">
      <c r="B398" s="20"/>
      <c r="G398" s="20"/>
      <c r="L398" s="8"/>
    </row>
    <row r="399">
      <c r="B399" s="20"/>
      <c r="G399" s="20"/>
      <c r="L399" s="8"/>
    </row>
    <row r="400">
      <c r="B400" s="20"/>
      <c r="G400" s="20"/>
      <c r="L400" s="8"/>
    </row>
    <row r="401">
      <c r="B401" s="20"/>
      <c r="G401" s="20"/>
      <c r="L401" s="8"/>
    </row>
    <row r="402">
      <c r="B402" s="20"/>
      <c r="G402" s="20"/>
      <c r="L402" s="8"/>
    </row>
    <row r="403">
      <c r="B403" s="20"/>
      <c r="G403" s="20"/>
      <c r="L403" s="8"/>
    </row>
    <row r="404">
      <c r="B404" s="20"/>
      <c r="G404" s="20"/>
      <c r="L404" s="8"/>
    </row>
    <row r="405">
      <c r="B405" s="20"/>
      <c r="G405" s="20"/>
      <c r="L405" s="8"/>
    </row>
    <row r="406">
      <c r="B406" s="20"/>
      <c r="G406" s="20"/>
      <c r="L406" s="8"/>
    </row>
    <row r="407">
      <c r="B407" s="20"/>
      <c r="G407" s="20"/>
      <c r="L407" s="8"/>
    </row>
    <row r="408">
      <c r="B408" s="20"/>
      <c r="G408" s="20"/>
      <c r="L408" s="8"/>
    </row>
    <row r="409">
      <c r="B409" s="20"/>
      <c r="G409" s="20"/>
      <c r="L409" s="8"/>
    </row>
    <row r="410">
      <c r="B410" s="20"/>
      <c r="G410" s="20"/>
      <c r="L410" s="8"/>
    </row>
    <row r="411">
      <c r="B411" s="20"/>
      <c r="G411" s="20"/>
      <c r="L411" s="8"/>
    </row>
    <row r="412">
      <c r="B412" s="20"/>
      <c r="G412" s="20"/>
      <c r="L412" s="8"/>
    </row>
    <row r="413">
      <c r="B413" s="20"/>
      <c r="G413" s="20"/>
      <c r="L413" s="8"/>
    </row>
    <row r="414">
      <c r="B414" s="20"/>
      <c r="G414" s="20"/>
      <c r="L414" s="8"/>
    </row>
    <row r="415">
      <c r="B415" s="20"/>
      <c r="G415" s="20"/>
      <c r="L415" s="8"/>
    </row>
    <row r="416">
      <c r="B416" s="20"/>
      <c r="G416" s="20"/>
      <c r="L416" s="8"/>
    </row>
    <row r="417">
      <c r="B417" s="20"/>
      <c r="G417" s="20"/>
      <c r="L417" s="8"/>
    </row>
    <row r="418">
      <c r="B418" s="20"/>
      <c r="G418" s="20"/>
      <c r="L418" s="8"/>
    </row>
    <row r="419">
      <c r="B419" s="20"/>
      <c r="G419" s="20"/>
      <c r="L419" s="8"/>
    </row>
    <row r="420">
      <c r="B420" s="20"/>
      <c r="G420" s="20"/>
      <c r="L420" s="8"/>
    </row>
    <row r="421">
      <c r="B421" s="20"/>
      <c r="G421" s="20"/>
      <c r="L421" s="8"/>
    </row>
    <row r="422">
      <c r="B422" s="20"/>
      <c r="G422" s="20"/>
      <c r="L422" s="8"/>
    </row>
    <row r="423">
      <c r="B423" s="20"/>
      <c r="G423" s="20"/>
      <c r="L423" s="8"/>
    </row>
    <row r="424">
      <c r="B424" s="20"/>
      <c r="G424" s="20"/>
      <c r="L424" s="8"/>
    </row>
    <row r="425">
      <c r="B425" s="20"/>
      <c r="G425" s="20"/>
      <c r="L425" s="8"/>
    </row>
    <row r="426">
      <c r="B426" s="20"/>
      <c r="G426" s="20"/>
      <c r="L426" s="8"/>
    </row>
    <row r="427">
      <c r="B427" s="20"/>
      <c r="G427" s="20"/>
      <c r="L427" s="8"/>
    </row>
    <row r="428">
      <c r="B428" s="20"/>
      <c r="G428" s="20"/>
      <c r="L428" s="8"/>
    </row>
    <row r="429">
      <c r="B429" s="20"/>
      <c r="G429" s="20"/>
      <c r="L429" s="8"/>
    </row>
    <row r="430">
      <c r="B430" s="20"/>
      <c r="G430" s="20"/>
      <c r="L430" s="8"/>
    </row>
    <row r="431">
      <c r="B431" s="20"/>
      <c r="G431" s="20"/>
      <c r="L431" s="8"/>
    </row>
    <row r="432">
      <c r="B432" s="20"/>
      <c r="G432" s="20"/>
      <c r="L432" s="8"/>
    </row>
    <row r="433">
      <c r="B433" s="20"/>
      <c r="G433" s="20"/>
      <c r="L433" s="8"/>
    </row>
    <row r="434">
      <c r="B434" s="20"/>
      <c r="G434" s="20"/>
      <c r="L434" s="8"/>
    </row>
    <row r="435">
      <c r="B435" s="20"/>
      <c r="G435" s="20"/>
      <c r="L435" s="8"/>
    </row>
    <row r="436">
      <c r="B436" s="20"/>
      <c r="G436" s="20"/>
      <c r="L436" s="8"/>
    </row>
    <row r="437">
      <c r="B437" s="20"/>
      <c r="G437" s="20"/>
      <c r="L437" s="8"/>
    </row>
    <row r="438">
      <c r="B438" s="20"/>
      <c r="G438" s="20"/>
      <c r="L438" s="8"/>
    </row>
    <row r="439">
      <c r="B439" s="20"/>
      <c r="G439" s="20"/>
      <c r="L439" s="8"/>
    </row>
    <row r="440">
      <c r="B440" s="20"/>
      <c r="G440" s="20"/>
      <c r="L440" s="8"/>
    </row>
    <row r="441">
      <c r="B441" s="20"/>
      <c r="G441" s="20"/>
      <c r="L441" s="8"/>
    </row>
    <row r="442">
      <c r="B442" s="20"/>
      <c r="G442" s="20"/>
      <c r="L442" s="8"/>
    </row>
    <row r="443">
      <c r="B443" s="20"/>
      <c r="G443" s="20"/>
      <c r="L443" s="8"/>
    </row>
    <row r="444">
      <c r="B444" s="20"/>
      <c r="G444" s="20"/>
      <c r="L444" s="8"/>
    </row>
    <row r="445">
      <c r="B445" s="20"/>
      <c r="G445" s="20"/>
      <c r="L445" s="8"/>
    </row>
    <row r="446">
      <c r="B446" s="20"/>
      <c r="G446" s="20"/>
      <c r="L446" s="8"/>
    </row>
    <row r="447">
      <c r="B447" s="20"/>
      <c r="G447" s="20"/>
      <c r="L447" s="8"/>
    </row>
    <row r="448">
      <c r="B448" s="20"/>
      <c r="G448" s="20"/>
      <c r="L448" s="8"/>
    </row>
    <row r="449">
      <c r="B449" s="20"/>
      <c r="G449" s="20"/>
      <c r="L449" s="8"/>
    </row>
    <row r="450">
      <c r="B450" s="20"/>
      <c r="G450" s="20"/>
      <c r="L450" s="8"/>
    </row>
    <row r="451">
      <c r="B451" s="20"/>
      <c r="G451" s="20"/>
      <c r="L451" s="8"/>
    </row>
    <row r="452">
      <c r="B452" s="20"/>
      <c r="G452" s="20"/>
      <c r="L452" s="8"/>
    </row>
    <row r="453">
      <c r="B453" s="20"/>
      <c r="G453" s="20"/>
      <c r="L453" s="8"/>
    </row>
    <row r="454">
      <c r="B454" s="20"/>
      <c r="G454" s="20"/>
      <c r="L454" s="8"/>
    </row>
    <row r="455">
      <c r="B455" s="20"/>
      <c r="G455" s="20"/>
      <c r="L455" s="8"/>
    </row>
    <row r="456">
      <c r="B456" s="20"/>
      <c r="G456" s="20"/>
      <c r="L456" s="8"/>
    </row>
    <row r="457">
      <c r="B457" s="20"/>
      <c r="G457" s="20"/>
      <c r="L457" s="8"/>
    </row>
    <row r="458">
      <c r="B458" s="20"/>
      <c r="G458" s="20"/>
      <c r="L458" s="8"/>
    </row>
    <row r="459">
      <c r="B459" s="20"/>
      <c r="G459" s="20"/>
      <c r="L459" s="8"/>
    </row>
    <row r="460">
      <c r="B460" s="20"/>
      <c r="G460" s="20"/>
      <c r="L460" s="8"/>
    </row>
    <row r="461">
      <c r="B461" s="20"/>
      <c r="G461" s="20"/>
      <c r="L461" s="8"/>
    </row>
    <row r="462">
      <c r="B462" s="20"/>
      <c r="G462" s="20"/>
      <c r="L462" s="8"/>
    </row>
    <row r="463">
      <c r="B463" s="20"/>
      <c r="G463" s="20"/>
      <c r="L463" s="8"/>
    </row>
    <row r="464">
      <c r="B464" s="20"/>
      <c r="G464" s="20"/>
      <c r="L464" s="8"/>
    </row>
    <row r="465">
      <c r="B465" s="20"/>
      <c r="G465" s="20"/>
      <c r="L465" s="8"/>
    </row>
    <row r="466">
      <c r="B466" s="20"/>
      <c r="G466" s="20"/>
      <c r="L466" s="8"/>
    </row>
    <row r="467">
      <c r="B467" s="20"/>
      <c r="G467" s="20"/>
      <c r="L467" s="8"/>
    </row>
    <row r="468">
      <c r="B468" s="20"/>
      <c r="G468" s="20"/>
      <c r="L468" s="8"/>
    </row>
    <row r="469">
      <c r="B469" s="20"/>
      <c r="G469" s="20"/>
      <c r="L469" s="8"/>
    </row>
    <row r="470">
      <c r="B470" s="20"/>
      <c r="G470" s="20"/>
      <c r="L470" s="8"/>
    </row>
    <row r="471">
      <c r="B471" s="20"/>
      <c r="G471" s="20"/>
      <c r="L471" s="8"/>
    </row>
    <row r="472">
      <c r="B472" s="20"/>
      <c r="G472" s="20"/>
      <c r="L472" s="8"/>
    </row>
    <row r="473">
      <c r="B473" s="20"/>
      <c r="G473" s="20"/>
      <c r="L473" s="8"/>
    </row>
    <row r="474">
      <c r="B474" s="20"/>
      <c r="G474" s="20"/>
      <c r="L474" s="8"/>
    </row>
    <row r="475">
      <c r="B475" s="20"/>
      <c r="G475" s="20"/>
      <c r="L475" s="8"/>
    </row>
    <row r="476">
      <c r="B476" s="20"/>
      <c r="G476" s="20"/>
      <c r="L476" s="8"/>
    </row>
    <row r="477">
      <c r="B477" s="20"/>
      <c r="G477" s="20"/>
      <c r="L477" s="8"/>
    </row>
    <row r="478">
      <c r="B478" s="20"/>
      <c r="G478" s="20"/>
      <c r="L478" s="8"/>
    </row>
    <row r="479">
      <c r="B479" s="20"/>
      <c r="G479" s="20"/>
      <c r="L479" s="8"/>
    </row>
    <row r="480">
      <c r="B480" s="20"/>
      <c r="G480" s="20"/>
      <c r="L480" s="8"/>
    </row>
    <row r="481">
      <c r="B481" s="20"/>
      <c r="G481" s="20"/>
      <c r="L481" s="8"/>
    </row>
    <row r="482">
      <c r="B482" s="20"/>
      <c r="G482" s="20"/>
      <c r="L482" s="8"/>
    </row>
    <row r="483">
      <c r="B483" s="20"/>
      <c r="G483" s="20"/>
      <c r="L483" s="8"/>
    </row>
    <row r="484">
      <c r="B484" s="20"/>
      <c r="G484" s="20"/>
      <c r="L484" s="8"/>
    </row>
    <row r="485">
      <c r="B485" s="20"/>
      <c r="G485" s="20"/>
      <c r="L485" s="8"/>
    </row>
    <row r="486">
      <c r="B486" s="20"/>
      <c r="G486" s="20"/>
      <c r="L486" s="8"/>
    </row>
    <row r="487">
      <c r="B487" s="20"/>
      <c r="G487" s="20"/>
      <c r="L487" s="8"/>
    </row>
    <row r="488">
      <c r="B488" s="20"/>
      <c r="G488" s="20"/>
      <c r="L488" s="8"/>
    </row>
    <row r="489">
      <c r="B489" s="20"/>
      <c r="G489" s="20"/>
      <c r="L489" s="8"/>
    </row>
    <row r="490">
      <c r="B490" s="20"/>
      <c r="G490" s="20"/>
      <c r="L490" s="8"/>
    </row>
    <row r="491">
      <c r="B491" s="20"/>
      <c r="G491" s="20"/>
      <c r="L491" s="8"/>
    </row>
    <row r="492">
      <c r="B492" s="20"/>
      <c r="G492" s="20"/>
      <c r="L492" s="8"/>
    </row>
    <row r="493">
      <c r="B493" s="20"/>
      <c r="G493" s="20"/>
      <c r="L493" s="8"/>
    </row>
    <row r="494">
      <c r="B494" s="20"/>
      <c r="G494" s="20"/>
      <c r="L494" s="8"/>
    </row>
    <row r="495">
      <c r="B495" s="20"/>
      <c r="G495" s="20"/>
      <c r="L495" s="8"/>
    </row>
    <row r="496">
      <c r="B496" s="20"/>
      <c r="G496" s="20"/>
      <c r="L496" s="8"/>
    </row>
    <row r="497">
      <c r="B497" s="20"/>
      <c r="G497" s="20"/>
      <c r="L497" s="8"/>
    </row>
    <row r="498">
      <c r="B498" s="20"/>
      <c r="G498" s="20"/>
      <c r="L498" s="8"/>
    </row>
    <row r="499">
      <c r="B499" s="20"/>
      <c r="G499" s="20"/>
      <c r="L499" s="8"/>
    </row>
    <row r="500">
      <c r="B500" s="20"/>
      <c r="G500" s="20"/>
      <c r="L500" s="8"/>
    </row>
    <row r="501">
      <c r="B501" s="20"/>
      <c r="G501" s="20"/>
      <c r="L501" s="8"/>
    </row>
    <row r="502">
      <c r="B502" s="20"/>
      <c r="G502" s="20"/>
      <c r="L502" s="8"/>
    </row>
    <row r="503">
      <c r="B503" s="20"/>
      <c r="G503" s="20"/>
      <c r="L503" s="8"/>
    </row>
    <row r="504">
      <c r="B504" s="20"/>
      <c r="G504" s="20"/>
      <c r="L504" s="8"/>
    </row>
    <row r="505">
      <c r="B505" s="20"/>
      <c r="G505" s="20"/>
      <c r="L505" s="8"/>
    </row>
    <row r="506">
      <c r="B506" s="20"/>
      <c r="G506" s="20"/>
      <c r="L506" s="8"/>
    </row>
    <row r="507">
      <c r="B507" s="20"/>
      <c r="G507" s="20"/>
      <c r="L507" s="8"/>
    </row>
    <row r="508">
      <c r="B508" s="20"/>
      <c r="G508" s="20"/>
      <c r="L508" s="8"/>
    </row>
    <row r="509">
      <c r="B509" s="20"/>
      <c r="G509" s="20"/>
      <c r="L509" s="8"/>
    </row>
    <row r="510">
      <c r="B510" s="20"/>
      <c r="G510" s="20"/>
      <c r="L510" s="8"/>
    </row>
    <row r="511">
      <c r="B511" s="20"/>
      <c r="G511" s="20"/>
      <c r="L511" s="8"/>
    </row>
    <row r="512">
      <c r="B512" s="20"/>
      <c r="G512" s="20"/>
      <c r="L512" s="8"/>
    </row>
    <row r="513">
      <c r="B513" s="20"/>
      <c r="G513" s="20"/>
      <c r="L513" s="8"/>
    </row>
    <row r="514">
      <c r="B514" s="20"/>
      <c r="G514" s="20"/>
      <c r="L514" s="8"/>
    </row>
    <row r="515">
      <c r="B515" s="20"/>
      <c r="G515" s="20"/>
      <c r="L515" s="8"/>
    </row>
    <row r="516">
      <c r="B516" s="20"/>
      <c r="G516" s="20"/>
      <c r="L516" s="8"/>
    </row>
    <row r="517">
      <c r="B517" s="20"/>
      <c r="G517" s="20"/>
      <c r="L517" s="8"/>
    </row>
    <row r="518">
      <c r="B518" s="20"/>
      <c r="G518" s="20"/>
      <c r="L518" s="8"/>
    </row>
    <row r="519">
      <c r="B519" s="20"/>
      <c r="G519" s="20"/>
      <c r="L519" s="8"/>
    </row>
    <row r="520">
      <c r="B520" s="20"/>
      <c r="G520" s="20"/>
      <c r="L520" s="8"/>
    </row>
    <row r="521">
      <c r="B521" s="20"/>
      <c r="G521" s="20"/>
      <c r="L521" s="8"/>
    </row>
    <row r="522">
      <c r="B522" s="20"/>
      <c r="G522" s="20"/>
      <c r="L522" s="8"/>
    </row>
    <row r="523">
      <c r="B523" s="20"/>
      <c r="G523" s="20"/>
      <c r="L523" s="8"/>
    </row>
    <row r="524">
      <c r="B524" s="20"/>
      <c r="G524" s="20"/>
      <c r="L524" s="8"/>
    </row>
    <row r="525">
      <c r="B525" s="20"/>
      <c r="G525" s="20"/>
      <c r="L525" s="8"/>
    </row>
    <row r="526">
      <c r="B526" s="20"/>
      <c r="G526" s="20"/>
      <c r="L526" s="8"/>
    </row>
    <row r="527">
      <c r="B527" s="20"/>
      <c r="G527" s="20"/>
      <c r="L527" s="8"/>
    </row>
    <row r="528">
      <c r="B528" s="20"/>
      <c r="G528" s="20"/>
      <c r="L528" s="8"/>
    </row>
    <row r="529">
      <c r="B529" s="20"/>
      <c r="G529" s="20"/>
      <c r="L529" s="8"/>
    </row>
    <row r="530">
      <c r="B530" s="20"/>
      <c r="G530" s="20"/>
      <c r="L530" s="8"/>
    </row>
    <row r="531">
      <c r="B531" s="20"/>
      <c r="G531" s="20"/>
      <c r="L531" s="8"/>
    </row>
    <row r="532">
      <c r="B532" s="20"/>
      <c r="G532" s="20"/>
      <c r="L532" s="8"/>
    </row>
    <row r="533">
      <c r="B533" s="20"/>
      <c r="G533" s="20"/>
      <c r="L533" s="8"/>
    </row>
    <row r="534">
      <c r="B534" s="20"/>
      <c r="G534" s="20"/>
      <c r="L534" s="8"/>
    </row>
    <row r="535">
      <c r="B535" s="20"/>
      <c r="G535" s="20"/>
      <c r="L535" s="8"/>
    </row>
    <row r="536">
      <c r="B536" s="20"/>
      <c r="G536" s="20"/>
      <c r="L536" s="8"/>
    </row>
    <row r="537">
      <c r="B537" s="20"/>
      <c r="G537" s="20"/>
      <c r="L537" s="8"/>
    </row>
    <row r="538">
      <c r="B538" s="20"/>
      <c r="G538" s="20"/>
      <c r="L538" s="8"/>
    </row>
    <row r="539">
      <c r="B539" s="20"/>
      <c r="G539" s="20"/>
      <c r="L539" s="8"/>
    </row>
    <row r="540">
      <c r="B540" s="20"/>
      <c r="G540" s="20"/>
      <c r="L540" s="8"/>
    </row>
    <row r="541">
      <c r="B541" s="20"/>
      <c r="G541" s="20"/>
      <c r="L541" s="8"/>
    </row>
    <row r="542">
      <c r="B542" s="20"/>
      <c r="G542" s="20"/>
      <c r="L542" s="8"/>
    </row>
    <row r="543">
      <c r="B543" s="20"/>
      <c r="G543" s="20"/>
      <c r="L543" s="8"/>
    </row>
    <row r="544">
      <c r="B544" s="20"/>
      <c r="G544" s="20"/>
      <c r="L544" s="8"/>
    </row>
    <row r="545">
      <c r="B545" s="20"/>
      <c r="G545" s="20"/>
      <c r="L545" s="8"/>
    </row>
    <row r="546">
      <c r="B546" s="20"/>
      <c r="G546" s="20"/>
      <c r="L546" s="8"/>
    </row>
    <row r="547">
      <c r="B547" s="20"/>
      <c r="G547" s="20"/>
      <c r="L547" s="8"/>
    </row>
    <row r="548">
      <c r="B548" s="20"/>
      <c r="G548" s="20"/>
      <c r="L548" s="8"/>
    </row>
    <row r="549">
      <c r="B549" s="20"/>
      <c r="G549" s="20"/>
      <c r="L549" s="8"/>
    </row>
    <row r="550">
      <c r="B550" s="20"/>
      <c r="G550" s="20"/>
      <c r="L550" s="8"/>
    </row>
    <row r="551">
      <c r="B551" s="20"/>
      <c r="G551" s="20"/>
      <c r="L551" s="8"/>
    </row>
    <row r="552">
      <c r="B552" s="20"/>
      <c r="G552" s="20"/>
      <c r="L552" s="8"/>
    </row>
    <row r="553">
      <c r="B553" s="20"/>
      <c r="G553" s="20"/>
      <c r="L553" s="8"/>
    </row>
    <row r="554">
      <c r="B554" s="20"/>
      <c r="G554" s="20"/>
      <c r="L554" s="8"/>
    </row>
    <row r="555">
      <c r="B555" s="20"/>
      <c r="G555" s="20"/>
      <c r="L555" s="8"/>
    </row>
    <row r="556">
      <c r="B556" s="20"/>
      <c r="G556" s="20"/>
      <c r="L556" s="8"/>
    </row>
    <row r="557">
      <c r="B557" s="20"/>
      <c r="G557" s="20"/>
      <c r="L557" s="8"/>
    </row>
    <row r="558">
      <c r="B558" s="20"/>
      <c r="G558" s="20"/>
      <c r="L558" s="8"/>
    </row>
    <row r="559">
      <c r="B559" s="20"/>
      <c r="G559" s="20"/>
      <c r="L559" s="8"/>
    </row>
    <row r="560">
      <c r="B560" s="20"/>
      <c r="G560" s="20"/>
      <c r="L560" s="8"/>
    </row>
    <row r="561">
      <c r="B561" s="20"/>
      <c r="G561" s="20"/>
      <c r="L561" s="8"/>
    </row>
    <row r="562">
      <c r="B562" s="20"/>
      <c r="G562" s="20"/>
      <c r="L562" s="8"/>
    </row>
    <row r="563">
      <c r="B563" s="20"/>
      <c r="G563" s="20"/>
      <c r="L563" s="8"/>
    </row>
    <row r="564">
      <c r="B564" s="20"/>
      <c r="G564" s="20"/>
      <c r="L564" s="8"/>
    </row>
    <row r="565">
      <c r="B565" s="20"/>
      <c r="G565" s="20"/>
      <c r="L565" s="8"/>
    </row>
    <row r="566">
      <c r="B566" s="20"/>
      <c r="G566" s="20"/>
      <c r="L566" s="8"/>
    </row>
    <row r="567">
      <c r="B567" s="20"/>
      <c r="G567" s="20"/>
      <c r="L567" s="8"/>
    </row>
    <row r="568">
      <c r="B568" s="20"/>
      <c r="G568" s="20"/>
      <c r="L568" s="8"/>
    </row>
    <row r="569">
      <c r="B569" s="20"/>
      <c r="G569" s="20"/>
      <c r="L569" s="8"/>
    </row>
    <row r="570">
      <c r="B570" s="20"/>
      <c r="G570" s="20"/>
      <c r="L570" s="8"/>
    </row>
    <row r="571">
      <c r="B571" s="20"/>
      <c r="G571" s="20"/>
      <c r="L571" s="8"/>
    </row>
    <row r="572">
      <c r="B572" s="20"/>
      <c r="G572" s="20"/>
      <c r="L572" s="8"/>
    </row>
    <row r="573">
      <c r="B573" s="20"/>
      <c r="G573" s="20"/>
      <c r="L573" s="8"/>
    </row>
    <row r="574">
      <c r="B574" s="20"/>
      <c r="G574" s="20"/>
      <c r="L574" s="8"/>
    </row>
    <row r="575">
      <c r="B575" s="20"/>
      <c r="G575" s="20"/>
      <c r="L575" s="8"/>
    </row>
    <row r="576">
      <c r="B576" s="20"/>
      <c r="G576" s="20"/>
      <c r="L576" s="8"/>
    </row>
    <row r="577">
      <c r="B577" s="20"/>
      <c r="G577" s="20"/>
      <c r="L577" s="8"/>
    </row>
    <row r="578">
      <c r="B578" s="20"/>
      <c r="G578" s="20"/>
      <c r="L578" s="8"/>
    </row>
    <row r="579">
      <c r="B579" s="20"/>
      <c r="G579" s="20"/>
      <c r="L579" s="8"/>
    </row>
    <row r="580">
      <c r="B580" s="20"/>
      <c r="G580" s="20"/>
      <c r="L580" s="8"/>
    </row>
    <row r="581">
      <c r="B581" s="20"/>
      <c r="G581" s="20"/>
      <c r="L581" s="8"/>
    </row>
    <row r="582">
      <c r="B582" s="20"/>
      <c r="G582" s="20"/>
      <c r="L582" s="8"/>
    </row>
    <row r="583">
      <c r="B583" s="20"/>
      <c r="G583" s="20"/>
      <c r="L583" s="8"/>
    </row>
    <row r="584">
      <c r="B584" s="20"/>
      <c r="G584" s="20"/>
      <c r="L584" s="8"/>
    </row>
    <row r="585">
      <c r="B585" s="20"/>
      <c r="G585" s="20"/>
      <c r="L585" s="8"/>
    </row>
    <row r="586">
      <c r="B586" s="20"/>
      <c r="G586" s="20"/>
      <c r="L586" s="8"/>
    </row>
    <row r="587">
      <c r="B587" s="20"/>
      <c r="G587" s="20"/>
      <c r="L587" s="8"/>
    </row>
    <row r="588">
      <c r="B588" s="20"/>
      <c r="G588" s="20"/>
      <c r="L588" s="8"/>
    </row>
    <row r="589">
      <c r="B589" s="20"/>
      <c r="G589" s="20"/>
      <c r="L589" s="8"/>
    </row>
    <row r="590">
      <c r="B590" s="20"/>
      <c r="G590" s="20"/>
      <c r="L590" s="8"/>
    </row>
    <row r="591">
      <c r="B591" s="20"/>
      <c r="G591" s="20"/>
      <c r="L591" s="8"/>
    </row>
    <row r="592">
      <c r="B592" s="20"/>
      <c r="G592" s="20"/>
      <c r="L592" s="8"/>
    </row>
    <row r="593">
      <c r="B593" s="20"/>
      <c r="G593" s="20"/>
      <c r="L593" s="8"/>
    </row>
    <row r="594">
      <c r="B594" s="20"/>
      <c r="G594" s="20"/>
      <c r="L594" s="8"/>
    </row>
    <row r="595">
      <c r="B595" s="20"/>
      <c r="G595" s="20"/>
      <c r="L595" s="8"/>
    </row>
    <row r="596">
      <c r="B596" s="20"/>
      <c r="G596" s="20"/>
      <c r="L596" s="8"/>
    </row>
    <row r="597">
      <c r="B597" s="20"/>
      <c r="G597" s="20"/>
      <c r="L597" s="8"/>
    </row>
    <row r="598">
      <c r="B598" s="20"/>
      <c r="G598" s="20"/>
      <c r="L598" s="8"/>
    </row>
    <row r="599">
      <c r="B599" s="20"/>
      <c r="G599" s="20"/>
      <c r="L599" s="8"/>
    </row>
    <row r="600">
      <c r="B600" s="20"/>
      <c r="G600" s="20"/>
      <c r="L600" s="8"/>
    </row>
    <row r="601">
      <c r="B601" s="20"/>
      <c r="G601" s="20"/>
      <c r="L601" s="8"/>
    </row>
    <row r="602">
      <c r="B602" s="20"/>
      <c r="G602" s="20"/>
      <c r="L602" s="8"/>
    </row>
    <row r="603">
      <c r="B603" s="20"/>
      <c r="G603" s="20"/>
      <c r="L603" s="8"/>
    </row>
    <row r="604">
      <c r="B604" s="20"/>
      <c r="G604" s="20"/>
      <c r="L604" s="8"/>
    </row>
    <row r="605">
      <c r="B605" s="20"/>
      <c r="G605" s="20"/>
      <c r="L605" s="8"/>
    </row>
    <row r="606">
      <c r="B606" s="20"/>
      <c r="G606" s="20"/>
      <c r="L606" s="8"/>
    </row>
    <row r="607">
      <c r="B607" s="20"/>
      <c r="G607" s="20"/>
      <c r="L607" s="8"/>
    </row>
    <row r="608">
      <c r="B608" s="20"/>
      <c r="G608" s="20"/>
      <c r="L608" s="8"/>
    </row>
    <row r="609">
      <c r="B609" s="20"/>
      <c r="G609" s="20"/>
      <c r="L609" s="8"/>
    </row>
    <row r="610">
      <c r="B610" s="20"/>
      <c r="G610" s="20"/>
      <c r="L610" s="8"/>
    </row>
    <row r="611">
      <c r="B611" s="20"/>
      <c r="G611" s="20"/>
      <c r="L611" s="8"/>
    </row>
    <row r="612">
      <c r="B612" s="20"/>
      <c r="G612" s="20"/>
      <c r="L612" s="8"/>
    </row>
    <row r="613">
      <c r="B613" s="20"/>
      <c r="G613" s="20"/>
      <c r="L613" s="8"/>
    </row>
    <row r="614">
      <c r="B614" s="20"/>
      <c r="G614" s="20"/>
      <c r="L614" s="8"/>
    </row>
    <row r="615">
      <c r="B615" s="20"/>
      <c r="G615" s="20"/>
      <c r="L615" s="8"/>
    </row>
    <row r="616">
      <c r="B616" s="20"/>
      <c r="G616" s="20"/>
      <c r="L616" s="8"/>
    </row>
    <row r="617">
      <c r="B617" s="20"/>
      <c r="G617" s="20"/>
      <c r="L617" s="8"/>
    </row>
    <row r="618">
      <c r="B618" s="20"/>
      <c r="G618" s="20"/>
      <c r="L618" s="8"/>
    </row>
    <row r="619">
      <c r="B619" s="20"/>
      <c r="G619" s="20"/>
      <c r="L619" s="8"/>
    </row>
    <row r="620">
      <c r="B620" s="20"/>
      <c r="G620" s="20"/>
      <c r="L620" s="8"/>
    </row>
    <row r="621">
      <c r="B621" s="20"/>
      <c r="G621" s="20"/>
      <c r="L621" s="8"/>
    </row>
    <row r="622">
      <c r="B622" s="20"/>
      <c r="G622" s="20"/>
      <c r="L622" s="8"/>
    </row>
    <row r="623">
      <c r="B623" s="20"/>
      <c r="G623" s="20"/>
      <c r="L623" s="8"/>
    </row>
    <row r="624">
      <c r="B624" s="20"/>
      <c r="G624" s="20"/>
      <c r="L624" s="8"/>
    </row>
    <row r="625">
      <c r="B625" s="20"/>
      <c r="G625" s="20"/>
      <c r="L625" s="8"/>
    </row>
    <row r="626">
      <c r="B626" s="20"/>
      <c r="G626" s="20"/>
      <c r="L626" s="8"/>
    </row>
    <row r="627">
      <c r="B627" s="20"/>
      <c r="G627" s="20"/>
      <c r="L627" s="8"/>
    </row>
    <row r="628">
      <c r="B628" s="20"/>
      <c r="G628" s="20"/>
      <c r="L628" s="8"/>
    </row>
    <row r="629">
      <c r="B629" s="20"/>
      <c r="G629" s="20"/>
      <c r="L629" s="8"/>
    </row>
    <row r="630">
      <c r="B630" s="20"/>
      <c r="G630" s="20"/>
      <c r="L630" s="8"/>
    </row>
    <row r="631">
      <c r="B631" s="20"/>
      <c r="G631" s="20"/>
      <c r="L631" s="8"/>
    </row>
    <row r="632">
      <c r="B632" s="20"/>
      <c r="G632" s="20"/>
      <c r="L632" s="8"/>
    </row>
    <row r="633">
      <c r="B633" s="20"/>
      <c r="G633" s="20"/>
      <c r="L633" s="8"/>
    </row>
    <row r="634">
      <c r="B634" s="20"/>
      <c r="G634" s="20"/>
      <c r="L634" s="8"/>
    </row>
    <row r="635">
      <c r="B635" s="20"/>
      <c r="G635" s="20"/>
      <c r="L635" s="8"/>
    </row>
    <row r="636">
      <c r="B636" s="20"/>
      <c r="G636" s="20"/>
      <c r="L636" s="8"/>
    </row>
    <row r="637">
      <c r="B637" s="20"/>
      <c r="G637" s="20"/>
      <c r="L637" s="8"/>
    </row>
    <row r="638">
      <c r="B638" s="20"/>
      <c r="G638" s="20"/>
      <c r="L638" s="8"/>
    </row>
    <row r="639">
      <c r="B639" s="20"/>
      <c r="G639" s="20"/>
      <c r="L639" s="8"/>
    </row>
    <row r="640">
      <c r="B640" s="20"/>
      <c r="G640" s="20"/>
      <c r="L640" s="8"/>
    </row>
    <row r="641">
      <c r="B641" s="20"/>
      <c r="G641" s="20"/>
      <c r="L641" s="8"/>
    </row>
    <row r="642">
      <c r="B642" s="20"/>
      <c r="G642" s="20"/>
      <c r="L642" s="8"/>
    </row>
    <row r="643">
      <c r="B643" s="20"/>
      <c r="G643" s="20"/>
      <c r="L643" s="8"/>
    </row>
    <row r="644">
      <c r="B644" s="20"/>
      <c r="G644" s="20"/>
      <c r="L644" s="8"/>
    </row>
    <row r="645">
      <c r="B645" s="20"/>
      <c r="G645" s="20"/>
      <c r="L645" s="8"/>
    </row>
    <row r="646">
      <c r="B646" s="20"/>
      <c r="G646" s="20"/>
      <c r="L646" s="8"/>
    </row>
    <row r="647">
      <c r="B647" s="20"/>
      <c r="G647" s="20"/>
      <c r="L647" s="8"/>
    </row>
    <row r="648">
      <c r="B648" s="20"/>
      <c r="G648" s="20"/>
      <c r="L648" s="8"/>
    </row>
    <row r="649">
      <c r="B649" s="20"/>
      <c r="G649" s="20"/>
      <c r="L649" s="8"/>
    </row>
    <row r="650">
      <c r="B650" s="20"/>
      <c r="G650" s="20"/>
      <c r="L650" s="8"/>
    </row>
    <row r="651">
      <c r="B651" s="20"/>
      <c r="G651" s="20"/>
      <c r="L651" s="8"/>
    </row>
    <row r="652">
      <c r="B652" s="20"/>
      <c r="G652" s="20"/>
      <c r="L652" s="8"/>
    </row>
    <row r="653">
      <c r="B653" s="20"/>
      <c r="G653" s="20"/>
      <c r="L653" s="8"/>
    </row>
    <row r="654">
      <c r="B654" s="20"/>
      <c r="G654" s="20"/>
      <c r="L654" s="8"/>
    </row>
    <row r="655">
      <c r="B655" s="20"/>
      <c r="G655" s="20"/>
      <c r="L655" s="8"/>
    </row>
    <row r="656">
      <c r="B656" s="20"/>
      <c r="G656" s="20"/>
      <c r="L656" s="8"/>
    </row>
    <row r="657">
      <c r="B657" s="20"/>
      <c r="G657" s="20"/>
      <c r="L657" s="8"/>
    </row>
    <row r="658">
      <c r="B658" s="20"/>
      <c r="G658" s="20"/>
      <c r="L658" s="8"/>
    </row>
    <row r="659">
      <c r="B659" s="20"/>
      <c r="G659" s="20"/>
      <c r="L659" s="8"/>
    </row>
    <row r="660">
      <c r="B660" s="20"/>
      <c r="G660" s="20"/>
      <c r="L660" s="8"/>
    </row>
    <row r="661">
      <c r="B661" s="20"/>
      <c r="G661" s="20"/>
      <c r="L661" s="8"/>
    </row>
    <row r="662">
      <c r="B662" s="20"/>
      <c r="G662" s="20"/>
      <c r="L662" s="8"/>
    </row>
    <row r="663">
      <c r="B663" s="20"/>
      <c r="G663" s="20"/>
      <c r="L663" s="8"/>
    </row>
    <row r="664">
      <c r="B664" s="20"/>
      <c r="G664" s="20"/>
      <c r="L664" s="8"/>
    </row>
    <row r="665">
      <c r="B665" s="20"/>
      <c r="G665" s="20"/>
      <c r="L665" s="8"/>
    </row>
    <row r="666">
      <c r="B666" s="20"/>
      <c r="G666" s="20"/>
      <c r="L666" s="8"/>
    </row>
    <row r="667">
      <c r="B667" s="20"/>
      <c r="G667" s="20"/>
      <c r="L667" s="8"/>
    </row>
    <row r="668">
      <c r="B668" s="20"/>
      <c r="G668" s="20"/>
      <c r="L668" s="8"/>
    </row>
    <row r="669">
      <c r="B669" s="20"/>
      <c r="G669" s="20"/>
      <c r="L669" s="8"/>
    </row>
    <row r="670">
      <c r="B670" s="20"/>
      <c r="G670" s="20"/>
      <c r="L670" s="8"/>
    </row>
    <row r="671">
      <c r="B671" s="20"/>
      <c r="G671" s="20"/>
      <c r="L671" s="8"/>
    </row>
    <row r="672">
      <c r="B672" s="20"/>
      <c r="G672" s="20"/>
      <c r="L672" s="8"/>
    </row>
    <row r="673">
      <c r="B673" s="20"/>
      <c r="G673" s="20"/>
      <c r="L673" s="8"/>
    </row>
    <row r="674">
      <c r="B674" s="20"/>
      <c r="G674" s="20"/>
      <c r="L674" s="8"/>
    </row>
    <row r="675">
      <c r="B675" s="20"/>
      <c r="G675" s="20"/>
      <c r="L675" s="8"/>
    </row>
    <row r="676">
      <c r="B676" s="20"/>
      <c r="G676" s="20"/>
      <c r="L676" s="8"/>
    </row>
    <row r="677">
      <c r="B677" s="20"/>
      <c r="G677" s="20"/>
      <c r="L677" s="8"/>
    </row>
    <row r="678">
      <c r="B678" s="20"/>
      <c r="G678" s="20"/>
      <c r="L678" s="8"/>
    </row>
    <row r="679">
      <c r="B679" s="20"/>
      <c r="G679" s="20"/>
      <c r="L679" s="8"/>
    </row>
    <row r="680">
      <c r="B680" s="20"/>
      <c r="G680" s="20"/>
      <c r="L680" s="8"/>
    </row>
    <row r="681">
      <c r="B681" s="20"/>
      <c r="G681" s="20"/>
      <c r="L681" s="8"/>
    </row>
    <row r="682">
      <c r="B682" s="20"/>
      <c r="G682" s="20"/>
      <c r="L682" s="8"/>
    </row>
    <row r="683">
      <c r="B683" s="20"/>
      <c r="G683" s="20"/>
      <c r="L683" s="8"/>
    </row>
    <row r="684">
      <c r="B684" s="20"/>
      <c r="G684" s="20"/>
      <c r="L684" s="8"/>
    </row>
    <row r="685">
      <c r="B685" s="20"/>
      <c r="G685" s="20"/>
      <c r="L685" s="8"/>
    </row>
    <row r="686">
      <c r="B686" s="20"/>
      <c r="G686" s="20"/>
      <c r="L686" s="8"/>
    </row>
    <row r="687">
      <c r="B687" s="20"/>
      <c r="G687" s="20"/>
      <c r="L687" s="8"/>
    </row>
    <row r="688">
      <c r="B688" s="20"/>
      <c r="G688" s="20"/>
      <c r="L688" s="8"/>
    </row>
    <row r="689">
      <c r="B689" s="20"/>
      <c r="G689" s="20"/>
      <c r="L689" s="8"/>
    </row>
    <row r="690">
      <c r="B690" s="20"/>
      <c r="G690" s="20"/>
      <c r="L690" s="8"/>
    </row>
    <row r="691">
      <c r="B691" s="20"/>
      <c r="G691" s="20"/>
      <c r="L691" s="8"/>
    </row>
    <row r="692">
      <c r="B692" s="20"/>
      <c r="G692" s="20"/>
      <c r="L692" s="8"/>
    </row>
    <row r="693">
      <c r="B693" s="20"/>
      <c r="G693" s="20"/>
      <c r="L693" s="8"/>
    </row>
    <row r="694">
      <c r="B694" s="20"/>
      <c r="G694" s="20"/>
      <c r="L694" s="8"/>
    </row>
    <row r="695">
      <c r="B695" s="20"/>
      <c r="G695" s="20"/>
      <c r="L695" s="8"/>
    </row>
    <row r="696">
      <c r="B696" s="20"/>
      <c r="G696" s="20"/>
      <c r="L696" s="8"/>
    </row>
    <row r="697">
      <c r="B697" s="20"/>
      <c r="G697" s="20"/>
      <c r="L697" s="8"/>
    </row>
    <row r="698">
      <c r="B698" s="20"/>
      <c r="G698" s="20"/>
      <c r="L698" s="8"/>
    </row>
    <row r="699">
      <c r="B699" s="20"/>
      <c r="G699" s="20"/>
      <c r="L699" s="8"/>
    </row>
    <row r="700">
      <c r="B700" s="20"/>
      <c r="G700" s="20"/>
      <c r="L700" s="8"/>
    </row>
    <row r="701">
      <c r="B701" s="20"/>
      <c r="G701" s="20"/>
      <c r="L701" s="8"/>
    </row>
    <row r="702">
      <c r="B702" s="20"/>
      <c r="G702" s="20"/>
      <c r="L702" s="8"/>
    </row>
    <row r="703">
      <c r="B703" s="20"/>
      <c r="G703" s="20"/>
      <c r="L703" s="8"/>
    </row>
    <row r="704">
      <c r="B704" s="20"/>
      <c r="G704" s="20"/>
      <c r="L704" s="8"/>
    </row>
    <row r="705">
      <c r="B705" s="20"/>
      <c r="G705" s="20"/>
      <c r="L705" s="8"/>
    </row>
    <row r="706">
      <c r="B706" s="20"/>
      <c r="G706" s="20"/>
      <c r="L706" s="8"/>
    </row>
    <row r="707">
      <c r="B707" s="20"/>
      <c r="G707" s="20"/>
      <c r="L707" s="8"/>
    </row>
    <row r="708">
      <c r="B708" s="20"/>
      <c r="G708" s="20"/>
      <c r="L708" s="8"/>
    </row>
    <row r="709">
      <c r="B709" s="20"/>
      <c r="G709" s="20"/>
      <c r="L709" s="8"/>
    </row>
    <row r="710">
      <c r="B710" s="20"/>
      <c r="G710" s="20"/>
      <c r="L710" s="8"/>
    </row>
    <row r="711">
      <c r="B711" s="20"/>
      <c r="G711" s="20"/>
      <c r="L711" s="8"/>
    </row>
    <row r="712">
      <c r="B712" s="20"/>
      <c r="G712" s="20"/>
      <c r="L712" s="8"/>
    </row>
    <row r="713">
      <c r="B713" s="20"/>
      <c r="G713" s="20"/>
      <c r="L713" s="8"/>
    </row>
    <row r="714">
      <c r="B714" s="20"/>
      <c r="G714" s="20"/>
      <c r="L714" s="8"/>
    </row>
    <row r="715">
      <c r="B715" s="20"/>
      <c r="G715" s="20"/>
      <c r="L715" s="8"/>
    </row>
    <row r="716">
      <c r="B716" s="20"/>
      <c r="G716" s="20"/>
      <c r="L716" s="8"/>
    </row>
    <row r="717">
      <c r="B717" s="20"/>
      <c r="G717" s="20"/>
      <c r="L717" s="8"/>
    </row>
    <row r="718">
      <c r="B718" s="20"/>
      <c r="G718" s="20"/>
      <c r="L718" s="8"/>
    </row>
    <row r="719">
      <c r="B719" s="20"/>
      <c r="G719" s="20"/>
      <c r="L719" s="8"/>
    </row>
    <row r="720">
      <c r="B720" s="20"/>
      <c r="G720" s="20"/>
      <c r="L720" s="8"/>
    </row>
    <row r="721">
      <c r="B721" s="20"/>
      <c r="G721" s="20"/>
      <c r="L721" s="8"/>
    </row>
    <row r="722">
      <c r="B722" s="20"/>
      <c r="G722" s="20"/>
      <c r="L722" s="8"/>
    </row>
    <row r="723">
      <c r="B723" s="20"/>
      <c r="G723" s="20"/>
      <c r="L723" s="8"/>
    </row>
    <row r="724">
      <c r="B724" s="20"/>
      <c r="G724" s="20"/>
      <c r="L724" s="8"/>
    </row>
    <row r="725">
      <c r="B725" s="20"/>
      <c r="G725" s="20"/>
      <c r="L725" s="8"/>
    </row>
    <row r="726">
      <c r="B726" s="20"/>
      <c r="G726" s="20"/>
      <c r="L726" s="8"/>
    </row>
    <row r="727">
      <c r="B727" s="20"/>
      <c r="G727" s="20"/>
      <c r="L727" s="8"/>
    </row>
    <row r="728">
      <c r="B728" s="20"/>
      <c r="G728" s="20"/>
      <c r="L728" s="8"/>
    </row>
    <row r="729">
      <c r="B729" s="20"/>
      <c r="G729" s="20"/>
      <c r="L729" s="8"/>
    </row>
    <row r="730">
      <c r="B730" s="20"/>
      <c r="G730" s="20"/>
      <c r="L730" s="8"/>
    </row>
    <row r="731">
      <c r="B731" s="20"/>
      <c r="G731" s="20"/>
      <c r="L731" s="8"/>
    </row>
    <row r="732">
      <c r="B732" s="20"/>
      <c r="G732" s="20"/>
      <c r="L732" s="8"/>
    </row>
    <row r="733">
      <c r="B733" s="20"/>
      <c r="G733" s="20"/>
      <c r="L733" s="8"/>
    </row>
    <row r="734">
      <c r="B734" s="20"/>
      <c r="G734" s="20"/>
      <c r="L734" s="8"/>
    </row>
    <row r="735">
      <c r="B735" s="20"/>
      <c r="G735" s="20"/>
      <c r="L735" s="8"/>
    </row>
    <row r="736">
      <c r="B736" s="20"/>
      <c r="G736" s="20"/>
      <c r="L736" s="8"/>
    </row>
    <row r="737">
      <c r="B737" s="20"/>
      <c r="G737" s="20"/>
      <c r="L737" s="8"/>
    </row>
    <row r="738">
      <c r="B738" s="20"/>
      <c r="G738" s="20"/>
      <c r="L738" s="8"/>
    </row>
    <row r="739">
      <c r="B739" s="20"/>
      <c r="G739" s="20"/>
      <c r="L739" s="8"/>
    </row>
    <row r="740">
      <c r="B740" s="20"/>
      <c r="G740" s="20"/>
      <c r="L740" s="8"/>
    </row>
    <row r="741">
      <c r="B741" s="20"/>
      <c r="G741" s="20"/>
      <c r="L741" s="8"/>
    </row>
    <row r="742">
      <c r="B742" s="20"/>
      <c r="G742" s="20"/>
      <c r="L742" s="8"/>
    </row>
    <row r="743">
      <c r="B743" s="20"/>
      <c r="G743" s="20"/>
      <c r="L743" s="8"/>
    </row>
    <row r="744">
      <c r="B744" s="20"/>
      <c r="G744" s="20"/>
      <c r="L744" s="8"/>
    </row>
    <row r="745">
      <c r="B745" s="20"/>
      <c r="G745" s="20"/>
      <c r="L745" s="8"/>
    </row>
    <row r="746">
      <c r="B746" s="20"/>
      <c r="G746" s="20"/>
      <c r="L746" s="8"/>
    </row>
    <row r="747">
      <c r="B747" s="20"/>
      <c r="G747" s="20"/>
      <c r="L747" s="8"/>
    </row>
    <row r="748">
      <c r="B748" s="20"/>
      <c r="G748" s="20"/>
      <c r="L748" s="8"/>
    </row>
    <row r="749">
      <c r="B749" s="20"/>
      <c r="G749" s="20"/>
      <c r="L749" s="8"/>
    </row>
    <row r="750">
      <c r="B750" s="20"/>
      <c r="G750" s="20"/>
      <c r="L750" s="8"/>
    </row>
    <row r="751">
      <c r="B751" s="20"/>
      <c r="G751" s="20"/>
      <c r="L751" s="8"/>
    </row>
    <row r="752">
      <c r="B752" s="20"/>
      <c r="G752" s="20"/>
      <c r="L752" s="8"/>
    </row>
    <row r="753">
      <c r="B753" s="20"/>
      <c r="G753" s="20"/>
      <c r="L753" s="8"/>
    </row>
    <row r="754">
      <c r="B754" s="20"/>
      <c r="G754" s="20"/>
      <c r="L754" s="8"/>
    </row>
    <row r="755">
      <c r="B755" s="20"/>
      <c r="G755" s="20"/>
      <c r="L755" s="8"/>
    </row>
    <row r="756">
      <c r="B756" s="20"/>
      <c r="G756" s="20"/>
      <c r="L756" s="8"/>
    </row>
    <row r="757">
      <c r="B757" s="20"/>
      <c r="G757" s="20"/>
      <c r="L757" s="8"/>
    </row>
    <row r="758">
      <c r="B758" s="20"/>
      <c r="G758" s="20"/>
      <c r="L758" s="8"/>
    </row>
    <row r="759">
      <c r="B759" s="20"/>
      <c r="G759" s="20"/>
      <c r="L759" s="8"/>
    </row>
    <row r="760">
      <c r="B760" s="20"/>
      <c r="G760" s="20"/>
      <c r="L760" s="8"/>
    </row>
    <row r="761">
      <c r="B761" s="20"/>
      <c r="G761" s="20"/>
      <c r="L761" s="8"/>
    </row>
    <row r="762">
      <c r="B762" s="20"/>
      <c r="G762" s="20"/>
      <c r="L762" s="8"/>
    </row>
    <row r="763">
      <c r="B763" s="20"/>
      <c r="G763" s="20"/>
      <c r="L763" s="8"/>
    </row>
    <row r="764">
      <c r="B764" s="20"/>
      <c r="G764" s="20"/>
      <c r="L764" s="8"/>
    </row>
    <row r="765">
      <c r="B765" s="20"/>
      <c r="G765" s="20"/>
      <c r="L765" s="8"/>
    </row>
    <row r="766">
      <c r="B766" s="20"/>
      <c r="G766" s="20"/>
      <c r="L766" s="8"/>
    </row>
    <row r="767">
      <c r="B767" s="20"/>
      <c r="G767" s="20"/>
      <c r="L767" s="8"/>
    </row>
    <row r="768">
      <c r="B768" s="20"/>
      <c r="G768" s="20"/>
      <c r="L768" s="8"/>
    </row>
    <row r="769">
      <c r="B769" s="20"/>
      <c r="G769" s="20"/>
      <c r="L769" s="8"/>
    </row>
    <row r="770">
      <c r="B770" s="20"/>
      <c r="G770" s="20"/>
      <c r="L770" s="8"/>
    </row>
    <row r="771">
      <c r="B771" s="20"/>
      <c r="G771" s="20"/>
      <c r="L771" s="8"/>
    </row>
    <row r="772">
      <c r="B772" s="20"/>
      <c r="G772" s="20"/>
      <c r="L772" s="8"/>
    </row>
    <row r="773">
      <c r="B773" s="20"/>
      <c r="G773" s="20"/>
      <c r="L773" s="8"/>
    </row>
    <row r="774">
      <c r="B774" s="20"/>
      <c r="G774" s="20"/>
      <c r="L774" s="8"/>
    </row>
    <row r="775">
      <c r="B775" s="20"/>
      <c r="G775" s="20"/>
      <c r="L775" s="8"/>
    </row>
    <row r="776">
      <c r="B776" s="20"/>
      <c r="G776" s="20"/>
      <c r="L776" s="8"/>
    </row>
    <row r="777">
      <c r="B777" s="20"/>
      <c r="G777" s="20"/>
      <c r="L777" s="8"/>
    </row>
    <row r="778">
      <c r="B778" s="20"/>
      <c r="G778" s="20"/>
      <c r="L778" s="8"/>
    </row>
    <row r="779">
      <c r="B779" s="20"/>
      <c r="G779" s="20"/>
      <c r="L779" s="8"/>
    </row>
    <row r="780">
      <c r="B780" s="20"/>
      <c r="G780" s="20"/>
      <c r="L780" s="8"/>
    </row>
    <row r="781">
      <c r="B781" s="20"/>
      <c r="G781" s="20"/>
      <c r="L781" s="8"/>
    </row>
    <row r="782">
      <c r="B782" s="20"/>
      <c r="G782" s="20"/>
      <c r="L782" s="8"/>
    </row>
    <row r="783">
      <c r="B783" s="20"/>
      <c r="G783" s="20"/>
      <c r="L783" s="8"/>
    </row>
    <row r="784">
      <c r="B784" s="20"/>
      <c r="G784" s="20"/>
      <c r="L784" s="8"/>
    </row>
    <row r="785">
      <c r="B785" s="20"/>
      <c r="G785" s="20"/>
      <c r="L785" s="8"/>
    </row>
    <row r="786">
      <c r="B786" s="20"/>
      <c r="G786" s="20"/>
      <c r="L786" s="8"/>
    </row>
    <row r="787">
      <c r="B787" s="20"/>
      <c r="G787" s="20"/>
      <c r="L787" s="8"/>
    </row>
    <row r="788">
      <c r="B788" s="20"/>
      <c r="G788" s="20"/>
      <c r="L788" s="8"/>
    </row>
    <row r="789">
      <c r="B789" s="20"/>
      <c r="G789" s="20"/>
      <c r="L789" s="8"/>
    </row>
    <row r="790">
      <c r="B790" s="20"/>
      <c r="G790" s="20"/>
      <c r="L790" s="8"/>
    </row>
    <row r="791">
      <c r="B791" s="20"/>
      <c r="G791" s="20"/>
      <c r="L791" s="8"/>
    </row>
    <row r="792">
      <c r="B792" s="20"/>
      <c r="G792" s="20"/>
      <c r="L792" s="8"/>
    </row>
    <row r="793">
      <c r="B793" s="20"/>
      <c r="G793" s="20"/>
      <c r="L793" s="8"/>
    </row>
    <row r="794">
      <c r="B794" s="20"/>
      <c r="G794" s="20"/>
      <c r="L794" s="8"/>
    </row>
    <row r="795">
      <c r="B795" s="20"/>
      <c r="G795" s="20"/>
      <c r="L795" s="8"/>
    </row>
    <row r="796">
      <c r="B796" s="20"/>
      <c r="G796" s="20"/>
      <c r="L796" s="8"/>
    </row>
    <row r="797">
      <c r="B797" s="20"/>
      <c r="G797" s="20"/>
      <c r="L797" s="8"/>
    </row>
    <row r="798">
      <c r="B798" s="20"/>
      <c r="G798" s="20"/>
      <c r="L798" s="8"/>
    </row>
    <row r="799">
      <c r="B799" s="20"/>
      <c r="G799" s="20"/>
      <c r="L799" s="8"/>
    </row>
    <row r="800">
      <c r="B800" s="20"/>
      <c r="G800" s="20"/>
      <c r="L800" s="8"/>
    </row>
    <row r="801">
      <c r="B801" s="20"/>
      <c r="G801" s="20"/>
      <c r="L801" s="8"/>
    </row>
    <row r="802">
      <c r="B802" s="20"/>
      <c r="G802" s="20"/>
      <c r="L802" s="8"/>
    </row>
    <row r="803">
      <c r="B803" s="20"/>
      <c r="G803" s="20"/>
      <c r="L803" s="8"/>
    </row>
    <row r="804">
      <c r="B804" s="20"/>
      <c r="G804" s="20"/>
      <c r="L804" s="8"/>
    </row>
    <row r="805">
      <c r="B805" s="20"/>
      <c r="G805" s="20"/>
      <c r="L805" s="8"/>
    </row>
    <row r="806">
      <c r="B806" s="20"/>
      <c r="G806" s="20"/>
      <c r="L806" s="8"/>
    </row>
    <row r="807">
      <c r="B807" s="20"/>
      <c r="G807" s="20"/>
      <c r="L807" s="8"/>
    </row>
    <row r="808">
      <c r="B808" s="20"/>
      <c r="G808" s="20"/>
      <c r="L808" s="8"/>
    </row>
    <row r="809">
      <c r="B809" s="20"/>
      <c r="G809" s="20"/>
      <c r="L809" s="8"/>
    </row>
    <row r="810">
      <c r="B810" s="20"/>
      <c r="G810" s="20"/>
      <c r="L810" s="8"/>
    </row>
    <row r="811">
      <c r="B811" s="20"/>
      <c r="G811" s="20"/>
      <c r="L811" s="8"/>
    </row>
    <row r="812">
      <c r="B812" s="20"/>
      <c r="G812" s="20"/>
      <c r="L812" s="8"/>
    </row>
    <row r="813">
      <c r="B813" s="20"/>
      <c r="G813" s="20"/>
      <c r="L813" s="8"/>
    </row>
    <row r="814">
      <c r="B814" s="20"/>
      <c r="G814" s="20"/>
      <c r="L814" s="8"/>
    </row>
    <row r="815">
      <c r="B815" s="20"/>
      <c r="G815" s="20"/>
      <c r="L815" s="8"/>
    </row>
    <row r="816">
      <c r="B816" s="20"/>
      <c r="G816" s="20"/>
      <c r="L816" s="8"/>
    </row>
    <row r="817">
      <c r="B817" s="20"/>
      <c r="G817" s="20"/>
      <c r="L817" s="8"/>
    </row>
    <row r="818">
      <c r="B818" s="20"/>
      <c r="G818" s="20"/>
      <c r="L818" s="8"/>
    </row>
    <row r="819">
      <c r="B819" s="20"/>
      <c r="G819" s="20"/>
      <c r="L819" s="8"/>
    </row>
    <row r="820">
      <c r="B820" s="20"/>
      <c r="G820" s="20"/>
      <c r="L820" s="8"/>
    </row>
    <row r="821">
      <c r="B821" s="20"/>
      <c r="G821" s="20"/>
      <c r="L821" s="8"/>
    </row>
    <row r="822">
      <c r="B822" s="20"/>
      <c r="G822" s="20"/>
      <c r="L822" s="8"/>
    </row>
    <row r="823">
      <c r="B823" s="20"/>
      <c r="G823" s="20"/>
      <c r="L823" s="8"/>
    </row>
    <row r="824">
      <c r="B824" s="20"/>
      <c r="G824" s="20"/>
      <c r="L824" s="8"/>
    </row>
    <row r="825">
      <c r="B825" s="20"/>
      <c r="G825" s="20"/>
      <c r="L825" s="8"/>
    </row>
    <row r="826">
      <c r="B826" s="20"/>
      <c r="G826" s="20"/>
      <c r="L826" s="8"/>
    </row>
    <row r="827">
      <c r="B827" s="20"/>
      <c r="G827" s="20"/>
      <c r="L827" s="8"/>
    </row>
    <row r="828">
      <c r="B828" s="20"/>
      <c r="G828" s="20"/>
      <c r="L828" s="8"/>
    </row>
    <row r="829">
      <c r="B829" s="20"/>
      <c r="G829" s="20"/>
      <c r="L829" s="8"/>
    </row>
    <row r="830">
      <c r="B830" s="20"/>
      <c r="G830" s="20"/>
      <c r="L830" s="8"/>
    </row>
    <row r="831">
      <c r="B831" s="20"/>
      <c r="G831" s="20"/>
      <c r="L831" s="8"/>
    </row>
    <row r="832">
      <c r="B832" s="20"/>
      <c r="G832" s="20"/>
      <c r="L832" s="8"/>
    </row>
    <row r="833">
      <c r="B833" s="20"/>
      <c r="G833" s="20"/>
      <c r="L833" s="8"/>
    </row>
    <row r="834">
      <c r="B834" s="20"/>
      <c r="G834" s="20"/>
      <c r="L834" s="8"/>
    </row>
    <row r="835">
      <c r="B835" s="20"/>
      <c r="G835" s="20"/>
      <c r="L835" s="8"/>
    </row>
    <row r="836">
      <c r="B836" s="20"/>
      <c r="G836" s="20"/>
      <c r="L836" s="8"/>
    </row>
    <row r="837">
      <c r="B837" s="20"/>
      <c r="G837" s="20"/>
      <c r="L837" s="8"/>
    </row>
    <row r="838">
      <c r="B838" s="20"/>
      <c r="G838" s="20"/>
      <c r="L838" s="8"/>
    </row>
    <row r="839">
      <c r="B839" s="20"/>
      <c r="G839" s="20"/>
      <c r="L839" s="8"/>
    </row>
    <row r="840">
      <c r="B840" s="20"/>
      <c r="G840" s="20"/>
      <c r="L840" s="8"/>
    </row>
    <row r="841">
      <c r="B841" s="20"/>
      <c r="G841" s="20"/>
      <c r="L841" s="8"/>
    </row>
    <row r="842">
      <c r="B842" s="20"/>
      <c r="G842" s="20"/>
      <c r="L842" s="8"/>
    </row>
    <row r="843">
      <c r="B843" s="20"/>
      <c r="G843" s="20"/>
      <c r="L843" s="8"/>
    </row>
    <row r="844">
      <c r="B844" s="20"/>
      <c r="G844" s="20"/>
      <c r="L844" s="8"/>
    </row>
    <row r="845">
      <c r="B845" s="20"/>
      <c r="G845" s="20"/>
      <c r="L845" s="8"/>
    </row>
    <row r="846">
      <c r="B846" s="20"/>
      <c r="G846" s="20"/>
      <c r="L846" s="8"/>
    </row>
    <row r="847">
      <c r="B847" s="20"/>
      <c r="G847" s="20"/>
      <c r="L847" s="8"/>
    </row>
    <row r="848">
      <c r="B848" s="20"/>
      <c r="G848" s="20"/>
      <c r="L848" s="8"/>
    </row>
    <row r="849">
      <c r="B849" s="20"/>
      <c r="G849" s="20"/>
      <c r="L849" s="8"/>
    </row>
    <row r="850">
      <c r="B850" s="20"/>
      <c r="G850" s="20"/>
      <c r="L850" s="8"/>
    </row>
    <row r="851">
      <c r="B851" s="20"/>
      <c r="G851" s="20"/>
      <c r="L851" s="8"/>
    </row>
    <row r="852">
      <c r="B852" s="20"/>
      <c r="G852" s="20"/>
      <c r="L852" s="8"/>
    </row>
    <row r="853">
      <c r="B853" s="20"/>
      <c r="G853" s="20"/>
      <c r="L853" s="8"/>
    </row>
    <row r="854">
      <c r="B854" s="20"/>
      <c r="G854" s="20"/>
      <c r="L854" s="8"/>
    </row>
    <row r="855">
      <c r="B855" s="20"/>
      <c r="G855" s="20"/>
      <c r="L855" s="8"/>
    </row>
    <row r="856">
      <c r="B856" s="20"/>
      <c r="G856" s="20"/>
      <c r="L856" s="8"/>
    </row>
    <row r="857">
      <c r="B857" s="20"/>
      <c r="G857" s="20"/>
      <c r="L857" s="8"/>
    </row>
    <row r="858">
      <c r="B858" s="20"/>
      <c r="G858" s="20"/>
      <c r="L858" s="8"/>
    </row>
    <row r="859">
      <c r="B859" s="20"/>
      <c r="G859" s="20"/>
      <c r="L859" s="8"/>
    </row>
    <row r="860">
      <c r="B860" s="20"/>
      <c r="G860" s="20"/>
      <c r="L860" s="8"/>
    </row>
    <row r="861">
      <c r="B861" s="20"/>
      <c r="G861" s="20"/>
      <c r="L861" s="8"/>
    </row>
    <row r="862">
      <c r="B862" s="20"/>
      <c r="G862" s="20"/>
      <c r="L862" s="8"/>
    </row>
    <row r="863">
      <c r="B863" s="20"/>
      <c r="G863" s="20"/>
      <c r="L863" s="8"/>
    </row>
    <row r="864">
      <c r="B864" s="20"/>
      <c r="G864" s="20"/>
      <c r="L864" s="8"/>
    </row>
    <row r="865">
      <c r="B865" s="20"/>
      <c r="G865" s="20"/>
      <c r="L865" s="8"/>
    </row>
    <row r="866">
      <c r="B866" s="20"/>
      <c r="G866" s="20"/>
      <c r="L866" s="8"/>
    </row>
    <row r="867">
      <c r="B867" s="20"/>
      <c r="G867" s="20"/>
      <c r="L867" s="8"/>
    </row>
    <row r="868">
      <c r="B868" s="20"/>
      <c r="G868" s="20"/>
      <c r="L868" s="8"/>
    </row>
    <row r="869">
      <c r="B869" s="20"/>
      <c r="G869" s="20"/>
      <c r="L869" s="8"/>
    </row>
    <row r="870">
      <c r="B870" s="20"/>
      <c r="G870" s="20"/>
      <c r="L870" s="8"/>
    </row>
    <row r="871">
      <c r="B871" s="20"/>
      <c r="G871" s="20"/>
      <c r="L871" s="8"/>
    </row>
    <row r="872">
      <c r="B872" s="20"/>
      <c r="G872" s="20"/>
      <c r="L872" s="8"/>
    </row>
    <row r="873">
      <c r="B873" s="20"/>
      <c r="G873" s="20"/>
      <c r="L873" s="8"/>
    </row>
    <row r="874">
      <c r="B874" s="20"/>
      <c r="G874" s="20"/>
      <c r="L874" s="8"/>
    </row>
    <row r="875">
      <c r="B875" s="20"/>
      <c r="G875" s="20"/>
      <c r="L875" s="8"/>
    </row>
    <row r="876">
      <c r="B876" s="20"/>
      <c r="G876" s="20"/>
      <c r="L876" s="8"/>
    </row>
    <row r="877">
      <c r="B877" s="20"/>
      <c r="G877" s="20"/>
      <c r="L877" s="8"/>
    </row>
    <row r="878">
      <c r="B878" s="20"/>
      <c r="G878" s="20"/>
      <c r="L878" s="8"/>
    </row>
    <row r="879">
      <c r="B879" s="20"/>
      <c r="G879" s="20"/>
      <c r="L879" s="8"/>
    </row>
    <row r="880">
      <c r="B880" s="20"/>
      <c r="G880" s="20"/>
      <c r="L880" s="8"/>
    </row>
    <row r="881">
      <c r="B881" s="20"/>
      <c r="G881" s="20"/>
      <c r="L881" s="8"/>
    </row>
    <row r="882">
      <c r="B882" s="20"/>
      <c r="G882" s="20"/>
      <c r="L882" s="8"/>
    </row>
    <row r="883">
      <c r="B883" s="20"/>
      <c r="G883" s="20"/>
      <c r="L883" s="8"/>
    </row>
    <row r="884">
      <c r="B884" s="20"/>
      <c r="G884" s="20"/>
      <c r="L884" s="8"/>
    </row>
    <row r="885">
      <c r="B885" s="20"/>
      <c r="G885" s="20"/>
      <c r="L885" s="8"/>
    </row>
    <row r="886">
      <c r="B886" s="20"/>
      <c r="G886" s="20"/>
      <c r="L886" s="8"/>
    </row>
    <row r="887">
      <c r="B887" s="20"/>
      <c r="G887" s="20"/>
      <c r="L887" s="8"/>
    </row>
    <row r="888">
      <c r="B888" s="20"/>
      <c r="G888" s="20"/>
      <c r="L888" s="8"/>
    </row>
    <row r="889">
      <c r="B889" s="20"/>
      <c r="G889" s="20"/>
      <c r="L889" s="8"/>
    </row>
    <row r="890">
      <c r="B890" s="20"/>
      <c r="G890" s="20"/>
      <c r="L890" s="8"/>
    </row>
    <row r="891">
      <c r="B891" s="20"/>
      <c r="G891" s="20"/>
      <c r="L891" s="8"/>
    </row>
    <row r="892">
      <c r="B892" s="20"/>
      <c r="G892" s="20"/>
      <c r="L892" s="8"/>
    </row>
    <row r="893">
      <c r="B893" s="20"/>
      <c r="G893" s="20"/>
      <c r="L893" s="8"/>
    </row>
    <row r="894">
      <c r="B894" s="20"/>
      <c r="G894" s="20"/>
      <c r="L894" s="8"/>
    </row>
    <row r="895">
      <c r="B895" s="20"/>
      <c r="G895" s="20"/>
      <c r="L895" s="8"/>
    </row>
    <row r="896">
      <c r="B896" s="20"/>
      <c r="G896" s="20"/>
      <c r="L896" s="8"/>
    </row>
    <row r="897">
      <c r="B897" s="20"/>
      <c r="G897" s="20"/>
      <c r="L897" s="8"/>
    </row>
    <row r="898">
      <c r="B898" s="20"/>
      <c r="G898" s="20"/>
      <c r="L898" s="8"/>
    </row>
    <row r="899">
      <c r="B899" s="20"/>
      <c r="G899" s="20"/>
      <c r="L899" s="8"/>
    </row>
    <row r="900">
      <c r="B900" s="20"/>
      <c r="G900" s="20"/>
      <c r="L900" s="8"/>
    </row>
    <row r="901">
      <c r="B901" s="20"/>
      <c r="G901" s="20"/>
      <c r="L901" s="8"/>
    </row>
    <row r="902">
      <c r="B902" s="20"/>
      <c r="G902" s="20"/>
      <c r="L902" s="8"/>
    </row>
    <row r="903">
      <c r="B903" s="20"/>
      <c r="G903" s="20"/>
      <c r="L903" s="8"/>
    </row>
    <row r="904">
      <c r="B904" s="20"/>
      <c r="G904" s="20"/>
      <c r="L904" s="8"/>
    </row>
    <row r="905">
      <c r="B905" s="20"/>
      <c r="G905" s="20"/>
      <c r="L905" s="8"/>
    </row>
    <row r="906">
      <c r="B906" s="20"/>
      <c r="G906" s="20"/>
      <c r="L906" s="8"/>
    </row>
    <row r="907">
      <c r="B907" s="20"/>
      <c r="G907" s="20"/>
      <c r="L907" s="8"/>
    </row>
    <row r="908">
      <c r="B908" s="20"/>
      <c r="G908" s="20"/>
      <c r="L908" s="8"/>
    </row>
    <row r="909">
      <c r="B909" s="20"/>
      <c r="G909" s="20"/>
      <c r="L909" s="8"/>
    </row>
    <row r="910">
      <c r="B910" s="20"/>
      <c r="G910" s="20"/>
      <c r="L910" s="8"/>
    </row>
    <row r="911">
      <c r="B911" s="20"/>
      <c r="G911" s="20"/>
      <c r="L911" s="8"/>
    </row>
    <row r="912">
      <c r="B912" s="20"/>
      <c r="G912" s="20"/>
      <c r="L912" s="8"/>
    </row>
    <row r="913">
      <c r="B913" s="20"/>
      <c r="G913" s="20"/>
      <c r="L913" s="8"/>
    </row>
    <row r="914">
      <c r="B914" s="20"/>
      <c r="G914" s="20"/>
      <c r="L914" s="8"/>
    </row>
    <row r="915">
      <c r="B915" s="20"/>
      <c r="G915" s="20"/>
      <c r="L915" s="8"/>
    </row>
    <row r="916">
      <c r="B916" s="20"/>
      <c r="G916" s="20"/>
      <c r="L916" s="8"/>
    </row>
    <row r="917">
      <c r="B917" s="20"/>
      <c r="G917" s="20"/>
      <c r="L917" s="8"/>
    </row>
    <row r="918">
      <c r="B918" s="20"/>
      <c r="G918" s="20"/>
      <c r="L918" s="8"/>
    </row>
    <row r="919">
      <c r="B919" s="20"/>
      <c r="G919" s="20"/>
      <c r="L919" s="8"/>
    </row>
    <row r="920">
      <c r="B920" s="20"/>
      <c r="G920" s="20"/>
      <c r="L920" s="8"/>
    </row>
    <row r="921">
      <c r="B921" s="20"/>
      <c r="G921" s="20"/>
      <c r="L921" s="8"/>
    </row>
    <row r="922">
      <c r="B922" s="20"/>
      <c r="G922" s="20"/>
      <c r="L922" s="8"/>
    </row>
    <row r="923">
      <c r="B923" s="20"/>
      <c r="G923" s="20"/>
      <c r="L923" s="8"/>
    </row>
    <row r="924">
      <c r="B924" s="20"/>
      <c r="G924" s="20"/>
      <c r="L924" s="8"/>
    </row>
    <row r="925">
      <c r="B925" s="20"/>
      <c r="G925" s="20"/>
      <c r="L925" s="8"/>
    </row>
    <row r="926">
      <c r="B926" s="20"/>
      <c r="G926" s="20"/>
      <c r="L926" s="8"/>
    </row>
    <row r="927">
      <c r="B927" s="20"/>
      <c r="G927" s="20"/>
      <c r="L927" s="8"/>
    </row>
    <row r="928">
      <c r="B928" s="20"/>
      <c r="G928" s="20"/>
      <c r="L928" s="8"/>
    </row>
    <row r="929">
      <c r="B929" s="20"/>
      <c r="G929" s="20"/>
      <c r="L929" s="8"/>
    </row>
    <row r="930">
      <c r="B930" s="20"/>
      <c r="G930" s="20"/>
      <c r="L930" s="8"/>
    </row>
    <row r="931">
      <c r="B931" s="20"/>
      <c r="G931" s="20"/>
      <c r="L931" s="8"/>
    </row>
    <row r="932">
      <c r="B932" s="20"/>
      <c r="G932" s="20"/>
      <c r="L932" s="8"/>
    </row>
    <row r="933">
      <c r="B933" s="20"/>
      <c r="G933" s="20"/>
      <c r="L933" s="8"/>
    </row>
    <row r="934">
      <c r="B934" s="20"/>
      <c r="G934" s="20"/>
      <c r="L934" s="8"/>
    </row>
    <row r="935">
      <c r="B935" s="20"/>
      <c r="G935" s="20"/>
      <c r="L935" s="8"/>
    </row>
    <row r="936">
      <c r="B936" s="20"/>
      <c r="G936" s="20"/>
      <c r="L936" s="8"/>
    </row>
    <row r="937">
      <c r="B937" s="20"/>
      <c r="G937" s="20"/>
      <c r="L937" s="8"/>
    </row>
    <row r="938">
      <c r="B938" s="20"/>
      <c r="G938" s="20"/>
      <c r="L938" s="8"/>
    </row>
    <row r="939">
      <c r="B939" s="20"/>
      <c r="G939" s="20"/>
      <c r="L939" s="8"/>
    </row>
    <row r="940">
      <c r="B940" s="20"/>
      <c r="G940" s="20"/>
      <c r="L940" s="8"/>
    </row>
    <row r="941">
      <c r="B941" s="20"/>
      <c r="G941" s="20"/>
      <c r="L941" s="8"/>
    </row>
    <row r="942">
      <c r="B942" s="20"/>
      <c r="G942" s="20"/>
      <c r="L942" s="8"/>
    </row>
    <row r="943">
      <c r="B943" s="20"/>
      <c r="G943" s="20"/>
      <c r="L943" s="8"/>
    </row>
    <row r="944">
      <c r="B944" s="20"/>
      <c r="G944" s="20"/>
      <c r="L944" s="8"/>
    </row>
    <row r="945">
      <c r="B945" s="20"/>
      <c r="G945" s="20"/>
      <c r="L945" s="8"/>
    </row>
    <row r="946">
      <c r="B946" s="20"/>
      <c r="G946" s="20"/>
      <c r="L946" s="8"/>
    </row>
    <row r="947">
      <c r="B947" s="20"/>
      <c r="G947" s="20"/>
      <c r="L947" s="8"/>
    </row>
    <row r="948">
      <c r="B948" s="20"/>
      <c r="G948" s="20"/>
      <c r="L948" s="8"/>
    </row>
    <row r="949">
      <c r="B949" s="20"/>
      <c r="G949" s="20"/>
      <c r="L949" s="8"/>
    </row>
    <row r="950">
      <c r="B950" s="20"/>
      <c r="G950" s="20"/>
      <c r="L950" s="8"/>
    </row>
    <row r="951">
      <c r="B951" s="20"/>
      <c r="G951" s="20"/>
      <c r="L951" s="8"/>
    </row>
    <row r="952">
      <c r="B952" s="20"/>
      <c r="G952" s="20"/>
      <c r="L952" s="8"/>
    </row>
    <row r="953">
      <c r="B953" s="20"/>
      <c r="G953" s="20"/>
      <c r="L953" s="8"/>
    </row>
    <row r="954">
      <c r="B954" s="20"/>
      <c r="G954" s="20"/>
      <c r="L954" s="8"/>
    </row>
    <row r="955">
      <c r="B955" s="20"/>
      <c r="G955" s="20"/>
      <c r="L955" s="8"/>
    </row>
    <row r="956">
      <c r="B956" s="20"/>
      <c r="G956" s="20"/>
      <c r="L956" s="8"/>
    </row>
    <row r="957">
      <c r="B957" s="20"/>
      <c r="G957" s="20"/>
      <c r="L957" s="8"/>
    </row>
    <row r="958">
      <c r="B958" s="20"/>
      <c r="G958" s="20"/>
      <c r="L958" s="8"/>
    </row>
    <row r="959">
      <c r="B959" s="20"/>
      <c r="G959" s="20"/>
      <c r="L959" s="8"/>
    </row>
    <row r="960">
      <c r="B960" s="20"/>
      <c r="G960" s="20"/>
      <c r="L960" s="8"/>
    </row>
    <row r="961">
      <c r="B961" s="20"/>
      <c r="G961" s="20"/>
      <c r="L961" s="8"/>
    </row>
    <row r="962">
      <c r="B962" s="20"/>
      <c r="G962" s="20"/>
      <c r="L962" s="8"/>
    </row>
    <row r="963">
      <c r="B963" s="20"/>
      <c r="G963" s="20"/>
      <c r="L963" s="8"/>
    </row>
    <row r="964">
      <c r="B964" s="20"/>
      <c r="G964" s="20"/>
      <c r="L964" s="8"/>
    </row>
    <row r="965">
      <c r="B965" s="20"/>
      <c r="G965" s="20"/>
      <c r="L965" s="8"/>
    </row>
    <row r="966">
      <c r="B966" s="20"/>
      <c r="G966" s="20"/>
      <c r="L966" s="8"/>
    </row>
    <row r="967">
      <c r="B967" s="20"/>
      <c r="G967" s="20"/>
      <c r="L967" s="8"/>
    </row>
    <row r="968">
      <c r="B968" s="20"/>
      <c r="G968" s="20"/>
      <c r="L968" s="8"/>
    </row>
    <row r="969">
      <c r="B969" s="20"/>
      <c r="G969" s="20"/>
      <c r="L969" s="8"/>
    </row>
    <row r="970">
      <c r="B970" s="20"/>
      <c r="G970" s="20"/>
      <c r="L970" s="8"/>
    </row>
    <row r="971">
      <c r="B971" s="20"/>
      <c r="G971" s="20"/>
      <c r="L971" s="8"/>
    </row>
    <row r="972">
      <c r="B972" s="20"/>
      <c r="G972" s="20"/>
      <c r="L972" s="8"/>
    </row>
    <row r="973">
      <c r="B973" s="20"/>
      <c r="G973" s="20"/>
      <c r="L973" s="8"/>
    </row>
    <row r="974">
      <c r="B974" s="20"/>
      <c r="G974" s="20"/>
      <c r="L974" s="8"/>
    </row>
    <row r="975">
      <c r="B975" s="20"/>
      <c r="G975" s="20"/>
      <c r="L975" s="8"/>
    </row>
    <row r="976">
      <c r="B976" s="20"/>
      <c r="G976" s="20"/>
      <c r="L976" s="8"/>
    </row>
    <row r="977">
      <c r="B977" s="20"/>
      <c r="G977" s="20"/>
      <c r="L977" s="8"/>
    </row>
    <row r="978">
      <c r="B978" s="20"/>
      <c r="G978" s="20"/>
      <c r="L978" s="8"/>
    </row>
    <row r="979">
      <c r="B979" s="20"/>
      <c r="G979" s="20"/>
      <c r="L979" s="8"/>
    </row>
    <row r="980">
      <c r="B980" s="20"/>
      <c r="G980" s="20"/>
      <c r="L980" s="8"/>
    </row>
  </sheetData>
  <dataValidations>
    <dataValidation type="list" allowBlank="1" showErrorMessage="1" sqref="E2:F39">
      <formula1>"이두,삼두,어깨,등,가슴,하체,코어,기타"</formula1>
    </dataValidation>
    <dataValidation type="list" allowBlank="1" showErrorMessage="1" sqref="L2:L39">
      <formula1>"양쪽 동시 (Dual),양쪽 번갈아서 (Alternating),한쪽씩 (Dual Serial),한쪽만 (Single)"</formula1>
    </dataValidation>
  </dataValidations>
  <hyperlinks>
    <hyperlink display="AllDB#" location="'설계 반영 항목 체크'!A1" ref="B1"/>
  </hyperlink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2.57"/>
    <col customWidth="1" min="2" max="2" width="6.0"/>
    <col customWidth="1" min="3" max="4" width="35.71"/>
    <col customWidth="1" min="5" max="5" width="24.0"/>
    <col customWidth="1" min="6" max="6" width="17.43"/>
    <col customWidth="1" min="7" max="7" width="28.29"/>
    <col customWidth="1" min="8" max="8" width="23.57"/>
    <col customWidth="1" min="9" max="9" width="24.86"/>
    <col customWidth="1" min="10" max="11" width="14.86"/>
    <col customWidth="1" min="12" max="12" width="23.86"/>
  </cols>
  <sheetData>
    <row r="1">
      <c r="A1" s="1" t="s">
        <v>0</v>
      </c>
      <c r="B1" s="2" t="s">
        <v>1</v>
      </c>
      <c r="C1" s="3"/>
      <c r="D1" s="3" t="s">
        <v>3</v>
      </c>
      <c r="E1" s="3" t="s">
        <v>4</v>
      </c>
      <c r="F1" s="3" t="s">
        <v>5</v>
      </c>
      <c r="G1" s="4" t="s">
        <v>6</v>
      </c>
      <c r="H1" s="3" t="s">
        <v>7</v>
      </c>
      <c r="I1" s="3" t="s">
        <v>8</v>
      </c>
      <c r="J1" s="3" t="s">
        <v>9</v>
      </c>
      <c r="K1" s="3" t="s">
        <v>10</v>
      </c>
      <c r="L1" s="3" t="s">
        <v>11</v>
      </c>
      <c r="M1" s="5"/>
    </row>
    <row r="2">
      <c r="A2" s="6">
        <v>1.0</v>
      </c>
      <c r="B2" s="7">
        <v>382.0</v>
      </c>
      <c r="C2" s="8" t="s">
        <v>12</v>
      </c>
      <c r="D2" s="9" t="s">
        <v>13</v>
      </c>
      <c r="E2" s="8" t="s">
        <v>14</v>
      </c>
      <c r="F2" s="8"/>
      <c r="G2" s="10" t="s">
        <v>15</v>
      </c>
      <c r="H2" s="8" t="s">
        <v>16</v>
      </c>
      <c r="I2" s="6" t="s">
        <v>17</v>
      </c>
      <c r="J2" s="8" t="s">
        <v>18</v>
      </c>
      <c r="K2" s="8"/>
      <c r="L2" s="8" t="s">
        <v>19</v>
      </c>
    </row>
    <row r="3">
      <c r="A3" s="6">
        <v>2.0</v>
      </c>
      <c r="B3" s="7">
        <v>1424.0</v>
      </c>
      <c r="C3" s="8" t="s">
        <v>20</v>
      </c>
      <c r="D3" s="9" t="s">
        <v>21</v>
      </c>
      <c r="E3" s="8" t="s">
        <v>14</v>
      </c>
      <c r="F3" s="8"/>
      <c r="G3" s="10" t="s">
        <v>15</v>
      </c>
      <c r="H3" s="8" t="s">
        <v>16</v>
      </c>
      <c r="I3" s="6" t="s">
        <v>17</v>
      </c>
      <c r="J3" s="8" t="s">
        <v>22</v>
      </c>
      <c r="K3" s="8"/>
      <c r="L3" s="8" t="s">
        <v>23</v>
      </c>
      <c r="M3" s="5"/>
    </row>
    <row r="4">
      <c r="A4" s="6">
        <v>3.0</v>
      </c>
      <c r="B4" s="7">
        <v>1512.0</v>
      </c>
      <c r="C4" s="6" t="s">
        <v>24</v>
      </c>
      <c r="D4" s="11" t="s">
        <v>25</v>
      </c>
      <c r="E4" s="8" t="s">
        <v>14</v>
      </c>
      <c r="F4" s="8"/>
      <c r="G4" s="10" t="s">
        <v>15</v>
      </c>
      <c r="H4" s="8" t="s">
        <v>26</v>
      </c>
      <c r="I4" s="6" t="s">
        <v>27</v>
      </c>
      <c r="J4" s="8" t="s">
        <v>22</v>
      </c>
      <c r="K4" s="8"/>
      <c r="L4" s="8" t="s">
        <v>23</v>
      </c>
    </row>
    <row r="5">
      <c r="A5" s="6"/>
      <c r="B5" s="7">
        <v>894.0</v>
      </c>
      <c r="C5" s="6" t="s">
        <v>138</v>
      </c>
      <c r="D5" s="11" t="s">
        <v>139</v>
      </c>
      <c r="E5" s="8" t="s">
        <v>14</v>
      </c>
      <c r="F5" s="8"/>
      <c r="G5" s="10" t="s">
        <v>15</v>
      </c>
      <c r="H5" s="8" t="s">
        <v>26</v>
      </c>
      <c r="I5" s="6" t="s">
        <v>27</v>
      </c>
      <c r="J5" s="8" t="s">
        <v>73</v>
      </c>
      <c r="K5" s="8"/>
      <c r="L5" s="8" t="s">
        <v>32</v>
      </c>
    </row>
    <row r="6">
      <c r="A6" s="6"/>
      <c r="B6" s="7">
        <v>1432.0</v>
      </c>
      <c r="C6" s="6" t="s">
        <v>140</v>
      </c>
      <c r="D6" s="11" t="s">
        <v>141</v>
      </c>
      <c r="E6" s="8" t="s">
        <v>14</v>
      </c>
      <c r="F6" s="8"/>
      <c r="G6" s="10" t="s">
        <v>15</v>
      </c>
      <c r="H6" s="8" t="s">
        <v>142</v>
      </c>
      <c r="I6" s="6" t="s">
        <v>143</v>
      </c>
      <c r="J6" s="8" t="s">
        <v>48</v>
      </c>
      <c r="K6" s="8" t="s">
        <v>38</v>
      </c>
      <c r="L6" s="8" t="s">
        <v>32</v>
      </c>
    </row>
    <row r="7">
      <c r="A7" s="6"/>
      <c r="B7" s="7">
        <v>400.0</v>
      </c>
      <c r="C7" s="6" t="s">
        <v>144</v>
      </c>
      <c r="D7" s="11" t="s">
        <v>145</v>
      </c>
      <c r="E7" s="8" t="s">
        <v>14</v>
      </c>
      <c r="F7" s="8"/>
      <c r="G7" s="10" t="s">
        <v>15</v>
      </c>
      <c r="H7" s="16" t="s">
        <v>146</v>
      </c>
      <c r="I7" s="16" t="s">
        <v>147</v>
      </c>
      <c r="J7" s="8" t="s">
        <v>18</v>
      </c>
      <c r="K7" s="8"/>
      <c r="L7" s="8" t="s">
        <v>19</v>
      </c>
    </row>
    <row r="8">
      <c r="A8" s="6">
        <v>4.0</v>
      </c>
      <c r="B8" s="7">
        <v>1884.0</v>
      </c>
      <c r="C8" s="12" t="s">
        <v>28</v>
      </c>
      <c r="D8" s="13" t="s">
        <v>29</v>
      </c>
      <c r="E8" s="12" t="s">
        <v>30</v>
      </c>
      <c r="F8" s="12"/>
      <c r="G8" s="7" t="s">
        <v>15</v>
      </c>
      <c r="H8" s="6" t="s">
        <v>31</v>
      </c>
      <c r="I8" s="14"/>
      <c r="J8" s="6" t="s">
        <v>22</v>
      </c>
      <c r="K8" s="6"/>
      <c r="L8" s="8" t="s">
        <v>32</v>
      </c>
    </row>
    <row r="9">
      <c r="A9" s="6"/>
      <c r="B9" s="7">
        <v>474.0</v>
      </c>
      <c r="C9" s="12" t="s">
        <v>148</v>
      </c>
      <c r="D9" s="13" t="s">
        <v>149</v>
      </c>
      <c r="E9" s="12" t="s">
        <v>30</v>
      </c>
      <c r="F9" s="12"/>
      <c r="G9" s="7" t="s">
        <v>15</v>
      </c>
      <c r="H9" s="6" t="s">
        <v>31</v>
      </c>
      <c r="I9" s="14"/>
      <c r="J9" s="6" t="s">
        <v>18</v>
      </c>
      <c r="K9" s="6" t="s">
        <v>38</v>
      </c>
      <c r="L9" s="8" t="s">
        <v>19</v>
      </c>
    </row>
    <row r="10">
      <c r="A10" s="6"/>
      <c r="B10" s="7">
        <v>1020.0</v>
      </c>
      <c r="C10" s="12" t="s">
        <v>150</v>
      </c>
      <c r="D10" s="29" t="s">
        <v>151</v>
      </c>
      <c r="E10" s="12" t="s">
        <v>30</v>
      </c>
      <c r="F10" s="12"/>
      <c r="G10" s="7" t="s">
        <v>15</v>
      </c>
      <c r="H10" s="6" t="s">
        <v>152</v>
      </c>
      <c r="I10" s="14"/>
      <c r="J10" s="6" t="s">
        <v>73</v>
      </c>
      <c r="K10" s="6"/>
      <c r="L10" s="8" t="s">
        <v>32</v>
      </c>
    </row>
    <row r="11">
      <c r="A11" s="6"/>
      <c r="B11" s="7">
        <v>1599.0</v>
      </c>
      <c r="C11" s="12" t="s">
        <v>153</v>
      </c>
      <c r="D11" s="13" t="s">
        <v>154</v>
      </c>
      <c r="E11" s="12" t="s">
        <v>30</v>
      </c>
      <c r="F11" s="12"/>
      <c r="G11" s="7" t="s">
        <v>15</v>
      </c>
      <c r="H11" s="6" t="s">
        <v>31</v>
      </c>
      <c r="I11" s="14"/>
      <c r="J11" s="6" t="s">
        <v>48</v>
      </c>
      <c r="K11" s="6"/>
      <c r="L11" s="8" t="s">
        <v>32</v>
      </c>
    </row>
    <row r="12">
      <c r="A12" s="6">
        <v>5.0</v>
      </c>
      <c r="B12" s="7">
        <v>380.0</v>
      </c>
      <c r="C12" s="12" t="s">
        <v>33</v>
      </c>
      <c r="D12" s="13" t="s">
        <v>34</v>
      </c>
      <c r="E12" s="12" t="s">
        <v>30</v>
      </c>
      <c r="F12" s="12" t="s">
        <v>35</v>
      </c>
      <c r="G12" s="7" t="s">
        <v>36</v>
      </c>
      <c r="H12" s="6" t="s">
        <v>31</v>
      </c>
      <c r="I12" s="6" t="s">
        <v>37</v>
      </c>
      <c r="J12" s="6" t="s">
        <v>18</v>
      </c>
      <c r="K12" s="6" t="s">
        <v>38</v>
      </c>
      <c r="L12" s="8" t="s">
        <v>19</v>
      </c>
    </row>
    <row r="13">
      <c r="A13" s="6">
        <v>6.0</v>
      </c>
      <c r="B13" s="7">
        <v>486.0</v>
      </c>
      <c r="C13" s="6" t="s">
        <v>39</v>
      </c>
      <c r="D13" s="11" t="s">
        <v>40</v>
      </c>
      <c r="E13" s="12" t="s">
        <v>30</v>
      </c>
      <c r="F13" s="12"/>
      <c r="G13" s="7" t="s">
        <v>15</v>
      </c>
      <c r="H13" s="6" t="s">
        <v>31</v>
      </c>
      <c r="I13" s="6" t="s">
        <v>37</v>
      </c>
      <c r="J13" s="6" t="s">
        <v>18</v>
      </c>
      <c r="K13" s="6" t="s">
        <v>38</v>
      </c>
      <c r="L13" s="8" t="s">
        <v>19</v>
      </c>
    </row>
    <row r="14">
      <c r="A14" s="6">
        <v>7.0</v>
      </c>
      <c r="B14" s="7">
        <v>2157.0</v>
      </c>
      <c r="C14" s="8" t="s">
        <v>41</v>
      </c>
      <c r="D14" s="9" t="s">
        <v>42</v>
      </c>
      <c r="E14" s="8" t="s">
        <v>43</v>
      </c>
      <c r="F14" s="8"/>
      <c r="G14" s="10" t="s">
        <v>43</v>
      </c>
      <c r="H14" s="8" t="s">
        <v>44</v>
      </c>
      <c r="I14" s="8" t="s">
        <v>45</v>
      </c>
      <c r="J14" s="8" t="s">
        <v>18</v>
      </c>
      <c r="K14" s="8"/>
      <c r="L14" s="8" t="s">
        <v>19</v>
      </c>
    </row>
    <row r="15">
      <c r="A15" s="6">
        <v>8.0</v>
      </c>
      <c r="B15" s="7">
        <v>1990.0</v>
      </c>
      <c r="C15" s="6" t="s">
        <v>46</v>
      </c>
      <c r="D15" s="11" t="s">
        <v>47</v>
      </c>
      <c r="E15" s="8" t="s">
        <v>43</v>
      </c>
      <c r="F15" s="8"/>
      <c r="G15" s="7" t="s">
        <v>43</v>
      </c>
      <c r="H15" s="6" t="s">
        <v>44</v>
      </c>
      <c r="I15" s="8" t="s">
        <v>45</v>
      </c>
      <c r="J15" s="6" t="s">
        <v>48</v>
      </c>
      <c r="K15" s="6"/>
      <c r="L15" s="8" t="s">
        <v>19</v>
      </c>
    </row>
    <row r="16">
      <c r="A16" s="6">
        <v>9.0</v>
      </c>
      <c r="B16" s="7">
        <v>676.0</v>
      </c>
      <c r="C16" s="6" t="s">
        <v>49</v>
      </c>
      <c r="D16" s="11" t="s">
        <v>50</v>
      </c>
      <c r="E16" s="8" t="s">
        <v>43</v>
      </c>
      <c r="F16" s="8"/>
      <c r="G16" s="7" t="s">
        <v>43</v>
      </c>
      <c r="H16" s="6" t="s">
        <v>51</v>
      </c>
      <c r="I16" s="6" t="s">
        <v>52</v>
      </c>
      <c r="J16" s="6" t="s">
        <v>18</v>
      </c>
      <c r="K16" s="6"/>
      <c r="L16" s="8" t="s">
        <v>19</v>
      </c>
    </row>
    <row r="17">
      <c r="A17" s="6">
        <v>10.0</v>
      </c>
      <c r="B17" s="7">
        <v>949.0</v>
      </c>
      <c r="C17" s="6" t="s">
        <v>53</v>
      </c>
      <c r="D17" s="11" t="s">
        <v>54</v>
      </c>
      <c r="E17" s="8" t="s">
        <v>43</v>
      </c>
      <c r="F17" s="8"/>
      <c r="G17" s="7" t="s">
        <v>43</v>
      </c>
      <c r="H17" s="6" t="s">
        <v>51</v>
      </c>
      <c r="I17" s="6" t="s">
        <v>55</v>
      </c>
      <c r="J17" s="6" t="s">
        <v>22</v>
      </c>
      <c r="K17" s="6"/>
      <c r="L17" s="8" t="s">
        <v>19</v>
      </c>
    </row>
    <row r="18">
      <c r="A18" s="6">
        <v>11.0</v>
      </c>
      <c r="B18" s="7">
        <v>881.0</v>
      </c>
      <c r="C18" s="6" t="s">
        <v>56</v>
      </c>
      <c r="D18" s="11" t="s">
        <v>57</v>
      </c>
      <c r="E18" s="8" t="s">
        <v>43</v>
      </c>
      <c r="F18" s="8"/>
      <c r="G18" s="7" t="s">
        <v>43</v>
      </c>
      <c r="H18" s="6" t="s">
        <v>44</v>
      </c>
      <c r="I18" s="6" t="s">
        <v>58</v>
      </c>
      <c r="J18" s="6" t="s">
        <v>18</v>
      </c>
      <c r="K18" s="6"/>
      <c r="L18" s="8" t="s">
        <v>32</v>
      </c>
    </row>
    <row r="19">
      <c r="A19" s="6">
        <v>12.0</v>
      </c>
      <c r="B19" s="7">
        <v>3560.0</v>
      </c>
      <c r="C19" s="6" t="s">
        <v>59</v>
      </c>
      <c r="D19" s="11" t="s">
        <v>60</v>
      </c>
      <c r="E19" s="8" t="s">
        <v>43</v>
      </c>
      <c r="F19" s="8"/>
      <c r="G19" s="7" t="s">
        <v>43</v>
      </c>
      <c r="H19" s="6" t="s">
        <v>51</v>
      </c>
      <c r="I19" s="6" t="s">
        <v>61</v>
      </c>
      <c r="J19" s="6" t="s">
        <v>18</v>
      </c>
      <c r="K19" s="6"/>
      <c r="L19" s="8" t="s">
        <v>19</v>
      </c>
    </row>
    <row r="20">
      <c r="A20" s="6"/>
      <c r="B20" s="7">
        <v>1375.0</v>
      </c>
      <c r="C20" s="6" t="s">
        <v>155</v>
      </c>
      <c r="D20" s="11" t="s">
        <v>156</v>
      </c>
      <c r="E20" s="8" t="s">
        <v>43</v>
      </c>
      <c r="F20" s="8"/>
      <c r="G20" s="7" t="s">
        <v>43</v>
      </c>
      <c r="H20" s="6" t="s">
        <v>44</v>
      </c>
      <c r="I20" s="6" t="s">
        <v>51</v>
      </c>
      <c r="J20" s="6" t="s">
        <v>48</v>
      </c>
      <c r="K20" s="6"/>
      <c r="L20" s="8" t="s">
        <v>19</v>
      </c>
    </row>
    <row r="21">
      <c r="A21" s="6"/>
      <c r="B21" s="7">
        <v>1376.0</v>
      </c>
      <c r="C21" s="6" t="s">
        <v>157</v>
      </c>
      <c r="D21" s="11" t="s">
        <v>158</v>
      </c>
      <c r="E21" s="8" t="s">
        <v>43</v>
      </c>
      <c r="F21" s="8"/>
      <c r="G21" s="7" t="s">
        <v>43</v>
      </c>
      <c r="H21" s="6" t="s">
        <v>159</v>
      </c>
      <c r="I21" s="6" t="s">
        <v>160</v>
      </c>
      <c r="J21" s="6" t="s">
        <v>48</v>
      </c>
      <c r="K21" s="6" t="s">
        <v>38</v>
      </c>
      <c r="L21" s="8" t="s">
        <v>19</v>
      </c>
    </row>
    <row r="22">
      <c r="A22" s="6"/>
      <c r="B22" s="7">
        <v>338.0</v>
      </c>
      <c r="C22" s="6" t="s">
        <v>161</v>
      </c>
      <c r="D22" s="11" t="s">
        <v>162</v>
      </c>
      <c r="E22" s="8" t="s">
        <v>43</v>
      </c>
      <c r="F22" s="8"/>
      <c r="G22" s="7" t="s">
        <v>43</v>
      </c>
      <c r="H22" s="6" t="s">
        <v>163</v>
      </c>
      <c r="I22" s="6" t="s">
        <v>164</v>
      </c>
      <c r="J22" s="6" t="s">
        <v>137</v>
      </c>
      <c r="K22" s="6"/>
      <c r="L22" s="8" t="s">
        <v>19</v>
      </c>
    </row>
    <row r="23">
      <c r="A23" s="6"/>
      <c r="B23" s="7">
        <v>413.0</v>
      </c>
      <c r="C23" s="6" t="s">
        <v>165</v>
      </c>
      <c r="D23" s="11" t="s">
        <v>166</v>
      </c>
      <c r="E23" s="8" t="s">
        <v>43</v>
      </c>
      <c r="F23" s="8"/>
      <c r="G23" s="7" t="s">
        <v>43</v>
      </c>
      <c r="H23" s="6" t="s">
        <v>44</v>
      </c>
      <c r="I23" s="6" t="s">
        <v>58</v>
      </c>
      <c r="J23" s="6" t="s">
        <v>18</v>
      </c>
      <c r="K23" s="6"/>
      <c r="L23" s="8" t="s">
        <v>19</v>
      </c>
    </row>
    <row r="24">
      <c r="A24" s="6">
        <v>13.0</v>
      </c>
      <c r="B24" s="10">
        <v>363.0</v>
      </c>
      <c r="C24" s="8" t="s">
        <v>62</v>
      </c>
      <c r="D24" s="9" t="s">
        <v>63</v>
      </c>
      <c r="E24" s="8" t="s">
        <v>64</v>
      </c>
      <c r="F24" s="8"/>
      <c r="G24" s="10" t="s">
        <v>64</v>
      </c>
      <c r="H24" s="15" t="s">
        <v>65</v>
      </c>
      <c r="I24" s="8" t="s">
        <v>66</v>
      </c>
      <c r="J24" s="8" t="s">
        <v>18</v>
      </c>
      <c r="K24" s="8"/>
      <c r="L24" s="8" t="s">
        <v>19</v>
      </c>
    </row>
    <row r="25">
      <c r="A25" s="6">
        <v>14.0</v>
      </c>
      <c r="B25" s="10">
        <v>1403.0</v>
      </c>
      <c r="C25" s="8" t="s">
        <v>67</v>
      </c>
      <c r="D25" s="9" t="s">
        <v>68</v>
      </c>
      <c r="E25" s="8" t="s">
        <v>64</v>
      </c>
      <c r="F25" s="8"/>
      <c r="G25" s="10" t="s">
        <v>64</v>
      </c>
      <c r="H25" s="15" t="s">
        <v>69</v>
      </c>
      <c r="I25" s="8" t="s">
        <v>70</v>
      </c>
      <c r="J25" s="8" t="s">
        <v>22</v>
      </c>
      <c r="K25" s="8"/>
      <c r="L25" s="8" t="s">
        <v>19</v>
      </c>
    </row>
    <row r="26">
      <c r="A26" s="6">
        <v>15.0</v>
      </c>
      <c r="B26" s="7">
        <v>845.0</v>
      </c>
      <c r="C26" s="6" t="s">
        <v>71</v>
      </c>
      <c r="D26" s="11" t="s">
        <v>72</v>
      </c>
      <c r="E26" s="8" t="s">
        <v>64</v>
      </c>
      <c r="F26" s="8"/>
      <c r="G26" s="7" t="s">
        <v>64</v>
      </c>
      <c r="H26" s="15" t="s">
        <v>69</v>
      </c>
      <c r="I26" s="8" t="s">
        <v>66</v>
      </c>
      <c r="J26" s="6" t="s">
        <v>73</v>
      </c>
      <c r="K26" s="6"/>
      <c r="L26" s="8" t="s">
        <v>32</v>
      </c>
    </row>
    <row r="27">
      <c r="A27" s="6"/>
      <c r="B27" s="7"/>
      <c r="C27" s="6"/>
      <c r="D27" s="11"/>
      <c r="E27" s="8"/>
      <c r="F27" s="8"/>
      <c r="G27" s="7"/>
      <c r="H27" s="15"/>
      <c r="I27" s="8"/>
      <c r="J27" s="6"/>
      <c r="K27" s="6"/>
      <c r="L27" s="8"/>
    </row>
    <row r="28">
      <c r="A28" s="6">
        <v>16.0</v>
      </c>
      <c r="B28" s="10">
        <v>619.0</v>
      </c>
      <c r="C28" s="8" t="s">
        <v>74</v>
      </c>
      <c r="D28" s="9" t="s">
        <v>75</v>
      </c>
      <c r="E28" s="8" t="s">
        <v>76</v>
      </c>
      <c r="F28" s="8" t="s">
        <v>77</v>
      </c>
      <c r="G28" s="10" t="s">
        <v>78</v>
      </c>
      <c r="H28" s="8" t="s">
        <v>79</v>
      </c>
      <c r="I28" s="8" t="s">
        <v>80</v>
      </c>
      <c r="J28" s="8" t="s">
        <v>18</v>
      </c>
      <c r="K28" s="8"/>
      <c r="L28" s="8" t="s">
        <v>19</v>
      </c>
    </row>
    <row r="29">
      <c r="A29" s="6">
        <v>17.0</v>
      </c>
      <c r="B29" s="10">
        <v>416.0</v>
      </c>
      <c r="C29" s="8" t="s">
        <v>81</v>
      </c>
      <c r="D29" s="9" t="s">
        <v>82</v>
      </c>
      <c r="E29" s="8" t="s">
        <v>76</v>
      </c>
      <c r="F29" s="8" t="s">
        <v>77</v>
      </c>
      <c r="G29" s="10" t="s">
        <v>78</v>
      </c>
      <c r="H29" s="8" t="s">
        <v>79</v>
      </c>
      <c r="I29" s="8" t="s">
        <v>80</v>
      </c>
      <c r="J29" s="8" t="s">
        <v>18</v>
      </c>
      <c r="K29" s="8"/>
      <c r="L29" s="8" t="s">
        <v>19</v>
      </c>
    </row>
    <row r="30">
      <c r="A30" s="6">
        <v>18.0</v>
      </c>
      <c r="B30" s="10">
        <v>386.0</v>
      </c>
      <c r="C30" s="8" t="s">
        <v>83</v>
      </c>
      <c r="D30" s="9" t="s">
        <v>84</v>
      </c>
      <c r="E30" s="8" t="s">
        <v>76</v>
      </c>
      <c r="F30" s="8" t="s">
        <v>77</v>
      </c>
      <c r="G30" s="10" t="s">
        <v>78</v>
      </c>
      <c r="H30" s="8" t="s">
        <v>85</v>
      </c>
      <c r="I30" s="15" t="s">
        <v>86</v>
      </c>
      <c r="J30" s="8" t="s">
        <v>18</v>
      </c>
      <c r="K30" s="8"/>
      <c r="L30" s="8" t="s">
        <v>19</v>
      </c>
    </row>
    <row r="31">
      <c r="A31" s="6">
        <v>19.0</v>
      </c>
      <c r="B31" s="10">
        <v>669.0</v>
      </c>
      <c r="C31" s="8" t="s">
        <v>87</v>
      </c>
      <c r="D31" s="9" t="s">
        <v>88</v>
      </c>
      <c r="E31" s="8" t="s">
        <v>76</v>
      </c>
      <c r="F31" s="8" t="s">
        <v>77</v>
      </c>
      <c r="G31" s="10" t="s">
        <v>78</v>
      </c>
      <c r="H31" s="8" t="s">
        <v>79</v>
      </c>
      <c r="I31" s="8" t="s">
        <v>89</v>
      </c>
      <c r="J31" s="8" t="s">
        <v>18</v>
      </c>
      <c r="K31" s="8"/>
      <c r="L31" s="8" t="s">
        <v>19</v>
      </c>
    </row>
    <row r="32">
      <c r="A32" s="6">
        <v>20.0</v>
      </c>
      <c r="B32" s="10">
        <v>389.0</v>
      </c>
      <c r="C32" s="8" t="s">
        <v>90</v>
      </c>
      <c r="D32" s="9" t="s">
        <v>91</v>
      </c>
      <c r="E32" s="8" t="s">
        <v>76</v>
      </c>
      <c r="F32" s="8" t="s">
        <v>77</v>
      </c>
      <c r="G32" s="10" t="s">
        <v>78</v>
      </c>
      <c r="H32" s="8" t="s">
        <v>79</v>
      </c>
      <c r="I32" s="8" t="s">
        <v>92</v>
      </c>
      <c r="J32" s="8" t="s">
        <v>18</v>
      </c>
      <c r="K32" s="8"/>
      <c r="L32" s="8" t="s">
        <v>19</v>
      </c>
      <c r="O32" s="16" t="s">
        <v>93</v>
      </c>
    </row>
    <row r="33">
      <c r="A33" s="6">
        <v>21.0</v>
      </c>
      <c r="B33" s="10">
        <v>1613.0</v>
      </c>
      <c r="C33" s="8" t="s">
        <v>94</v>
      </c>
      <c r="D33" s="9" t="s">
        <v>95</v>
      </c>
      <c r="E33" s="8" t="s">
        <v>76</v>
      </c>
      <c r="F33" s="8"/>
      <c r="G33" s="10" t="s">
        <v>78</v>
      </c>
      <c r="H33" s="8" t="s">
        <v>79</v>
      </c>
      <c r="I33" s="8" t="s">
        <v>80</v>
      </c>
      <c r="J33" s="8" t="s">
        <v>22</v>
      </c>
      <c r="K33" s="8"/>
      <c r="L33" s="8" t="s">
        <v>19</v>
      </c>
      <c r="M33" s="5"/>
    </row>
    <row r="34">
      <c r="A34" s="6">
        <v>22.0</v>
      </c>
      <c r="B34" s="7">
        <v>541.0</v>
      </c>
      <c r="C34" s="6" t="s">
        <v>96</v>
      </c>
      <c r="D34" s="11" t="s">
        <v>97</v>
      </c>
      <c r="E34" s="8" t="s">
        <v>76</v>
      </c>
      <c r="F34" s="8"/>
      <c r="G34" s="10" t="s">
        <v>78</v>
      </c>
      <c r="H34" s="8" t="s">
        <v>79</v>
      </c>
      <c r="I34" s="8" t="s">
        <v>80</v>
      </c>
      <c r="J34" s="6" t="s">
        <v>22</v>
      </c>
      <c r="K34" s="6"/>
      <c r="L34" s="8" t="s">
        <v>19</v>
      </c>
    </row>
    <row r="35">
      <c r="A35" s="6">
        <v>23.0</v>
      </c>
      <c r="B35" s="7">
        <v>1043.0</v>
      </c>
      <c r="C35" s="6" t="s">
        <v>98</v>
      </c>
      <c r="D35" s="11" t="s">
        <v>99</v>
      </c>
      <c r="E35" s="8" t="s">
        <v>76</v>
      </c>
      <c r="F35" s="8"/>
      <c r="G35" s="10" t="s">
        <v>78</v>
      </c>
      <c r="H35" s="8" t="s">
        <v>79</v>
      </c>
      <c r="I35" s="8" t="s">
        <v>80</v>
      </c>
      <c r="J35" s="6" t="s">
        <v>22</v>
      </c>
      <c r="K35" s="6"/>
      <c r="L35" s="8" t="s">
        <v>19</v>
      </c>
    </row>
    <row r="36">
      <c r="A36" s="6"/>
      <c r="B36" s="7">
        <v>1027.0</v>
      </c>
      <c r="C36" s="6" t="s">
        <v>167</v>
      </c>
      <c r="D36" s="11" t="s">
        <v>168</v>
      </c>
      <c r="E36" s="8" t="s">
        <v>76</v>
      </c>
      <c r="F36" s="8"/>
      <c r="G36" s="10" t="s">
        <v>169</v>
      </c>
      <c r="H36" s="8" t="s">
        <v>85</v>
      </c>
      <c r="I36" s="8" t="s">
        <v>170</v>
      </c>
      <c r="J36" s="6" t="s">
        <v>73</v>
      </c>
      <c r="K36" s="6"/>
      <c r="L36" s="8" t="s">
        <v>32</v>
      </c>
    </row>
    <row r="37">
      <c r="A37" s="6"/>
      <c r="B37" s="7">
        <v>426.0</v>
      </c>
      <c r="C37" s="6" t="s">
        <v>171</v>
      </c>
      <c r="D37" s="11" t="s">
        <v>172</v>
      </c>
      <c r="E37" s="8" t="s">
        <v>76</v>
      </c>
      <c r="F37" s="8"/>
      <c r="G37" s="10" t="s">
        <v>169</v>
      </c>
      <c r="H37" s="8" t="s">
        <v>85</v>
      </c>
      <c r="I37" s="8" t="s">
        <v>173</v>
      </c>
      <c r="J37" s="6" t="s">
        <v>18</v>
      </c>
      <c r="K37" s="6"/>
      <c r="L37" s="8" t="s">
        <v>19</v>
      </c>
    </row>
    <row r="38">
      <c r="A38" s="6"/>
      <c r="B38" s="7">
        <v>433.0</v>
      </c>
      <c r="C38" s="6" t="s">
        <v>174</v>
      </c>
      <c r="D38" s="11" t="s">
        <v>175</v>
      </c>
      <c r="E38" s="8" t="s">
        <v>76</v>
      </c>
      <c r="F38" s="8"/>
      <c r="G38" s="10" t="s">
        <v>169</v>
      </c>
      <c r="H38" s="8" t="s">
        <v>79</v>
      </c>
      <c r="I38" s="8" t="s">
        <v>176</v>
      </c>
      <c r="J38" s="6" t="s">
        <v>18</v>
      </c>
      <c r="K38" s="6"/>
      <c r="L38" s="8"/>
    </row>
    <row r="39">
      <c r="A39" s="6">
        <v>24.0</v>
      </c>
      <c r="B39" s="7">
        <v>350.0</v>
      </c>
      <c r="C39" s="17" t="s">
        <v>100</v>
      </c>
      <c r="D39" s="13" t="s">
        <v>101</v>
      </c>
      <c r="E39" s="17" t="s">
        <v>35</v>
      </c>
      <c r="F39" s="17"/>
      <c r="G39" s="10" t="s">
        <v>35</v>
      </c>
      <c r="H39" s="8" t="s">
        <v>102</v>
      </c>
      <c r="I39" s="8" t="s">
        <v>103</v>
      </c>
      <c r="J39" s="8" t="s">
        <v>18</v>
      </c>
      <c r="K39" s="8" t="s">
        <v>38</v>
      </c>
      <c r="L39" s="8" t="s">
        <v>19</v>
      </c>
    </row>
    <row r="40">
      <c r="A40" s="6">
        <v>25.0</v>
      </c>
      <c r="B40" s="7">
        <v>392.0</v>
      </c>
      <c r="C40" s="12" t="s">
        <v>104</v>
      </c>
      <c r="D40" s="13" t="s">
        <v>105</v>
      </c>
      <c r="E40" s="17" t="s">
        <v>35</v>
      </c>
      <c r="F40" s="17"/>
      <c r="G40" s="10" t="s">
        <v>35</v>
      </c>
      <c r="H40" s="8" t="s">
        <v>102</v>
      </c>
      <c r="I40" s="8" t="s">
        <v>103</v>
      </c>
      <c r="J40" s="6" t="s">
        <v>18</v>
      </c>
      <c r="K40" s="6" t="s">
        <v>38</v>
      </c>
      <c r="L40" s="8" t="s">
        <v>19</v>
      </c>
    </row>
    <row r="41">
      <c r="A41" s="6">
        <v>26.0</v>
      </c>
      <c r="B41" s="7">
        <v>446.0</v>
      </c>
      <c r="C41" s="12" t="s">
        <v>106</v>
      </c>
      <c r="D41" s="13" t="s">
        <v>107</v>
      </c>
      <c r="E41" s="17" t="s">
        <v>35</v>
      </c>
      <c r="F41" s="17"/>
      <c r="G41" s="10" t="s">
        <v>35</v>
      </c>
      <c r="H41" s="8" t="s">
        <v>102</v>
      </c>
      <c r="I41" s="6" t="s">
        <v>108</v>
      </c>
      <c r="J41" s="6" t="s">
        <v>18</v>
      </c>
      <c r="K41" s="6" t="s">
        <v>38</v>
      </c>
      <c r="L41" s="8" t="s">
        <v>19</v>
      </c>
    </row>
    <row r="42">
      <c r="A42" s="6">
        <v>27.0</v>
      </c>
      <c r="B42" s="7">
        <v>380.0</v>
      </c>
      <c r="C42" s="12" t="s">
        <v>33</v>
      </c>
      <c r="D42" s="13" t="s">
        <v>34</v>
      </c>
      <c r="E42" s="17" t="s">
        <v>35</v>
      </c>
      <c r="F42" s="17" t="s">
        <v>30</v>
      </c>
      <c r="G42" s="7" t="s">
        <v>109</v>
      </c>
      <c r="H42" s="6" t="s">
        <v>31</v>
      </c>
      <c r="I42" s="6" t="s">
        <v>37</v>
      </c>
      <c r="J42" s="6" t="s">
        <v>18</v>
      </c>
      <c r="K42" s="6" t="s">
        <v>38</v>
      </c>
      <c r="L42" s="8" t="s">
        <v>19</v>
      </c>
    </row>
    <row r="43">
      <c r="A43" s="6">
        <v>28.0</v>
      </c>
      <c r="B43" s="7">
        <v>3517.0</v>
      </c>
      <c r="C43" s="6" t="s">
        <v>110</v>
      </c>
      <c r="D43" s="11" t="s">
        <v>111</v>
      </c>
      <c r="E43" s="17" t="s">
        <v>35</v>
      </c>
      <c r="F43" s="17"/>
      <c r="G43" s="10" t="s">
        <v>35</v>
      </c>
      <c r="H43" s="8" t="s">
        <v>102</v>
      </c>
      <c r="I43" s="8" t="s">
        <v>103</v>
      </c>
      <c r="J43" s="6" t="s">
        <v>18</v>
      </c>
      <c r="K43" s="6" t="s">
        <v>38</v>
      </c>
      <c r="L43" s="8" t="s">
        <v>19</v>
      </c>
    </row>
    <row r="44">
      <c r="A44" s="6">
        <v>29.0</v>
      </c>
      <c r="B44" s="7">
        <v>840.0</v>
      </c>
      <c r="C44" s="6" t="s">
        <v>112</v>
      </c>
      <c r="D44" s="11" t="s">
        <v>113</v>
      </c>
      <c r="E44" s="17" t="s">
        <v>35</v>
      </c>
      <c r="F44" s="17"/>
      <c r="G44" s="10" t="s">
        <v>35</v>
      </c>
      <c r="H44" s="8" t="s">
        <v>102</v>
      </c>
      <c r="I44" s="8" t="s">
        <v>103</v>
      </c>
      <c r="J44" s="6" t="s">
        <v>22</v>
      </c>
      <c r="K44" s="6" t="s">
        <v>38</v>
      </c>
      <c r="L44" s="8" t="s">
        <v>19</v>
      </c>
    </row>
    <row r="45">
      <c r="A45" s="6">
        <v>30.0</v>
      </c>
      <c r="B45" s="7">
        <v>1389.0</v>
      </c>
      <c r="C45" s="6" t="s">
        <v>114</v>
      </c>
      <c r="D45" s="11" t="s">
        <v>115</v>
      </c>
      <c r="E45" s="17" t="s">
        <v>35</v>
      </c>
      <c r="F45" s="17"/>
      <c r="G45" s="7" t="s">
        <v>35</v>
      </c>
      <c r="H45" s="6" t="s">
        <v>102</v>
      </c>
      <c r="I45" s="6" t="s">
        <v>108</v>
      </c>
      <c r="J45" s="6" t="s">
        <v>22</v>
      </c>
      <c r="K45" s="6" t="s">
        <v>38</v>
      </c>
      <c r="L45" s="8" t="s">
        <v>19</v>
      </c>
    </row>
    <row r="46">
      <c r="A46" s="6"/>
      <c r="B46" s="7">
        <v>1477.0</v>
      </c>
      <c r="C46" s="6" t="s">
        <v>177</v>
      </c>
      <c r="D46" s="11" t="s">
        <v>178</v>
      </c>
      <c r="E46" s="17" t="s">
        <v>35</v>
      </c>
      <c r="F46" s="17"/>
      <c r="G46" s="7" t="s">
        <v>35</v>
      </c>
      <c r="H46" s="6" t="s">
        <v>102</v>
      </c>
      <c r="I46" s="6" t="s">
        <v>179</v>
      </c>
      <c r="J46" s="6" t="s">
        <v>48</v>
      </c>
      <c r="K46" s="6"/>
      <c r="L46" s="8" t="s">
        <v>19</v>
      </c>
    </row>
    <row r="47">
      <c r="A47" s="6"/>
      <c r="B47" s="7">
        <v>405.0</v>
      </c>
      <c r="C47" s="6" t="s">
        <v>180</v>
      </c>
      <c r="D47" s="11" t="s">
        <v>181</v>
      </c>
      <c r="E47" s="17" t="s">
        <v>35</v>
      </c>
      <c r="F47" s="17"/>
      <c r="G47" s="7" t="s">
        <v>35</v>
      </c>
      <c r="H47" s="6" t="s">
        <v>102</v>
      </c>
      <c r="I47" s="6" t="s">
        <v>108</v>
      </c>
      <c r="J47" s="6" t="s">
        <v>18</v>
      </c>
      <c r="K47" s="6"/>
      <c r="L47" s="8" t="s">
        <v>19</v>
      </c>
    </row>
    <row r="48">
      <c r="A48" s="7">
        <v>31.0</v>
      </c>
      <c r="B48" s="7">
        <v>3940.0</v>
      </c>
      <c r="C48" s="7" t="s">
        <v>116</v>
      </c>
      <c r="D48" s="18" t="s">
        <v>117</v>
      </c>
      <c r="E48" s="7" t="s">
        <v>118</v>
      </c>
      <c r="F48" s="19"/>
      <c r="G48" s="7" t="s">
        <v>119</v>
      </c>
      <c r="H48" s="7" t="s">
        <v>120</v>
      </c>
      <c r="I48" s="19"/>
      <c r="J48" s="7" t="s">
        <v>18</v>
      </c>
      <c r="K48" s="19"/>
      <c r="L48" s="10" t="s">
        <v>32</v>
      </c>
      <c r="M48" s="20"/>
      <c r="N48" s="20"/>
      <c r="O48" s="20"/>
      <c r="P48" s="20"/>
      <c r="Q48" s="20"/>
      <c r="R48" s="20"/>
      <c r="S48" s="20"/>
      <c r="T48" s="20"/>
      <c r="U48" s="20"/>
      <c r="V48" s="20"/>
      <c r="W48" s="20"/>
      <c r="X48" s="20"/>
      <c r="Y48" s="20"/>
      <c r="Z48" s="20"/>
      <c r="AA48" s="20"/>
      <c r="AB48" s="20"/>
      <c r="AC48" s="20"/>
      <c r="AD48" s="20"/>
      <c r="AE48" s="20"/>
      <c r="AF48" s="20"/>
    </row>
    <row r="49">
      <c r="A49" s="7">
        <v>32.0</v>
      </c>
      <c r="B49" s="7">
        <v>506.0</v>
      </c>
      <c r="C49" s="7" t="s">
        <v>121</v>
      </c>
      <c r="D49" s="18" t="s">
        <v>122</v>
      </c>
      <c r="E49" s="7" t="s">
        <v>118</v>
      </c>
      <c r="F49" s="7"/>
      <c r="G49" s="7" t="s">
        <v>119</v>
      </c>
      <c r="H49" s="7" t="s">
        <v>123</v>
      </c>
      <c r="I49" s="19"/>
      <c r="J49" s="7" t="s">
        <v>18</v>
      </c>
      <c r="K49" s="7" t="s">
        <v>38</v>
      </c>
      <c r="L49" s="10" t="s">
        <v>19</v>
      </c>
      <c r="M49" s="20"/>
      <c r="N49" s="20"/>
      <c r="O49" s="20"/>
      <c r="P49" s="20"/>
      <c r="Q49" s="20"/>
      <c r="R49" s="20"/>
      <c r="S49" s="20"/>
      <c r="T49" s="20"/>
      <c r="U49" s="20"/>
      <c r="V49" s="20"/>
      <c r="W49" s="20"/>
      <c r="X49" s="20"/>
      <c r="Y49" s="20"/>
      <c r="Z49" s="20"/>
      <c r="AA49" s="20"/>
      <c r="AB49" s="20"/>
      <c r="AC49" s="20"/>
      <c r="AD49" s="20"/>
      <c r="AE49" s="20"/>
      <c r="AF49" s="20"/>
    </row>
    <row r="50">
      <c r="A50" s="7">
        <v>33.0</v>
      </c>
      <c r="B50" s="7">
        <v>560.0</v>
      </c>
      <c r="C50" s="7" t="s">
        <v>124</v>
      </c>
      <c r="D50" s="18" t="s">
        <v>125</v>
      </c>
      <c r="E50" s="7" t="s">
        <v>118</v>
      </c>
      <c r="F50" s="19"/>
      <c r="G50" s="7" t="s">
        <v>119</v>
      </c>
      <c r="H50" s="7" t="s">
        <v>126</v>
      </c>
      <c r="I50" s="19"/>
      <c r="J50" s="7" t="s">
        <v>18</v>
      </c>
      <c r="K50" s="7" t="s">
        <v>38</v>
      </c>
      <c r="L50" s="10" t="s">
        <v>19</v>
      </c>
      <c r="M50" s="20"/>
      <c r="N50" s="20"/>
      <c r="O50" s="20"/>
      <c r="P50" s="20"/>
      <c r="Q50" s="20"/>
      <c r="R50" s="20"/>
      <c r="S50" s="20"/>
      <c r="T50" s="20"/>
      <c r="U50" s="20"/>
      <c r="V50" s="20"/>
      <c r="W50" s="20"/>
      <c r="X50" s="20"/>
      <c r="Y50" s="20"/>
      <c r="Z50" s="20"/>
      <c r="AA50" s="20"/>
      <c r="AB50" s="20"/>
      <c r="AC50" s="20"/>
      <c r="AD50" s="20"/>
      <c r="AE50" s="20"/>
      <c r="AF50" s="20"/>
    </row>
    <row r="51">
      <c r="A51" s="14"/>
      <c r="B51" s="7">
        <v>344.0</v>
      </c>
      <c r="C51" s="6" t="s">
        <v>182</v>
      </c>
      <c r="D51" s="6" t="s">
        <v>183</v>
      </c>
      <c r="E51" s="6" t="s">
        <v>118</v>
      </c>
      <c r="F51" s="14"/>
      <c r="G51" s="7" t="s">
        <v>119</v>
      </c>
      <c r="H51" s="14"/>
      <c r="I51" s="14"/>
      <c r="J51" s="14"/>
      <c r="K51" s="14"/>
      <c r="L51" s="8"/>
    </row>
    <row r="52">
      <c r="A52" s="14"/>
      <c r="B52" s="19"/>
      <c r="C52" s="14"/>
      <c r="D52" s="14"/>
      <c r="E52" s="14"/>
      <c r="F52" s="14"/>
      <c r="G52" s="19"/>
      <c r="H52" s="14"/>
      <c r="I52" s="14"/>
      <c r="J52" s="14"/>
      <c r="K52" s="14"/>
      <c r="L52" s="8"/>
    </row>
    <row r="53">
      <c r="A53" s="14"/>
      <c r="B53" s="19"/>
      <c r="C53" s="14"/>
      <c r="D53" s="14"/>
      <c r="E53" s="14"/>
      <c r="F53" s="14"/>
      <c r="G53" s="19"/>
      <c r="H53" s="14"/>
      <c r="I53" s="14"/>
      <c r="J53" s="14"/>
      <c r="K53" s="14"/>
      <c r="L53" s="8"/>
      <c r="M53" s="21"/>
    </row>
    <row r="54">
      <c r="A54" s="14"/>
      <c r="B54" s="19"/>
      <c r="C54" s="14"/>
      <c r="D54" s="14"/>
      <c r="E54" s="14"/>
      <c r="F54" s="14"/>
      <c r="G54" s="19"/>
      <c r="H54" s="14"/>
      <c r="I54" s="14"/>
      <c r="J54" s="14"/>
      <c r="K54" s="14"/>
      <c r="L54" s="8"/>
    </row>
    <row r="55">
      <c r="A55" s="14"/>
      <c r="B55" s="19"/>
      <c r="C55" s="14"/>
      <c r="D55" s="14"/>
      <c r="E55" s="14"/>
      <c r="F55" s="14"/>
      <c r="G55" s="19"/>
      <c r="H55" s="14"/>
      <c r="I55" s="14"/>
      <c r="J55" s="14"/>
      <c r="K55" s="14"/>
      <c r="L55" s="8"/>
    </row>
    <row r="56">
      <c r="A56" s="14"/>
      <c r="B56" s="19"/>
      <c r="C56" s="14"/>
      <c r="D56" s="14"/>
      <c r="E56" s="14"/>
      <c r="F56" s="14"/>
      <c r="G56" s="19"/>
      <c r="H56" s="14"/>
      <c r="I56" s="14"/>
      <c r="J56" s="14"/>
      <c r="K56" s="14"/>
      <c r="L56" s="8"/>
    </row>
    <row r="57">
      <c r="B57" s="30">
        <v>426.0</v>
      </c>
      <c r="C57" s="16" t="s">
        <v>172</v>
      </c>
      <c r="D57" s="16" t="s">
        <v>184</v>
      </c>
      <c r="E57" s="16" t="s">
        <v>185</v>
      </c>
      <c r="F57" s="16" t="s">
        <v>186</v>
      </c>
      <c r="G57" s="16" t="s">
        <v>187</v>
      </c>
      <c r="H57" s="16" t="s">
        <v>188</v>
      </c>
      <c r="L57" s="8"/>
    </row>
    <row r="58">
      <c r="B58" s="30">
        <v>433.0</v>
      </c>
      <c r="C58" s="16" t="s">
        <v>175</v>
      </c>
      <c r="D58" s="16" t="s">
        <v>184</v>
      </c>
      <c r="E58" s="16" t="s">
        <v>185</v>
      </c>
      <c r="F58" s="16" t="s">
        <v>186</v>
      </c>
      <c r="G58" s="16" t="s">
        <v>189</v>
      </c>
      <c r="H58" s="16" t="s">
        <v>190</v>
      </c>
      <c r="L58" s="8"/>
    </row>
    <row r="59">
      <c r="B59" s="30">
        <v>454.0</v>
      </c>
      <c r="C59" s="16" t="s">
        <v>191</v>
      </c>
      <c r="D59" s="16" t="s">
        <v>184</v>
      </c>
      <c r="E59" s="16" t="s">
        <v>192</v>
      </c>
      <c r="F59" s="16" t="s">
        <v>186</v>
      </c>
      <c r="G59" s="16" t="s">
        <v>193</v>
      </c>
      <c r="H59" s="16" t="s">
        <v>194</v>
      </c>
      <c r="L59" s="8"/>
    </row>
    <row r="60">
      <c r="L60" s="8"/>
    </row>
    <row r="61">
      <c r="L61" s="8"/>
    </row>
    <row r="62">
      <c r="L62" s="8"/>
    </row>
    <row r="63">
      <c r="L63" s="8"/>
    </row>
    <row r="64">
      <c r="L64" s="8"/>
    </row>
    <row r="65">
      <c r="L65" s="8"/>
    </row>
    <row r="66">
      <c r="L66" s="8"/>
    </row>
    <row r="67">
      <c r="L67" s="8"/>
    </row>
    <row r="68">
      <c r="L68" s="8"/>
    </row>
    <row r="69">
      <c r="L69" s="8"/>
    </row>
    <row r="70">
      <c r="L70" s="8"/>
    </row>
    <row r="71">
      <c r="L71" s="8"/>
    </row>
    <row r="72">
      <c r="L72" s="8"/>
    </row>
    <row r="73">
      <c r="B73" s="20"/>
      <c r="L73" s="8"/>
    </row>
    <row r="74">
      <c r="B74" s="20"/>
      <c r="L74" s="8"/>
    </row>
    <row r="75">
      <c r="L75" s="8"/>
    </row>
    <row r="76">
      <c r="L76" s="8"/>
    </row>
    <row r="77">
      <c r="L77" s="8"/>
    </row>
    <row r="78">
      <c r="L78" s="8"/>
    </row>
    <row r="79">
      <c r="L79" s="8"/>
    </row>
    <row r="80">
      <c r="L80" s="8"/>
    </row>
    <row r="81">
      <c r="L81" s="8"/>
    </row>
    <row r="82">
      <c r="L82" s="8"/>
    </row>
    <row r="83">
      <c r="L83" s="8"/>
    </row>
    <row r="84">
      <c r="L84" s="8"/>
    </row>
    <row r="85">
      <c r="L85" s="8"/>
    </row>
    <row r="86">
      <c r="I86" s="22"/>
      <c r="J86" s="22"/>
      <c r="K86" s="22"/>
      <c r="L86" s="8"/>
    </row>
    <row r="87">
      <c r="I87" s="26" t="s">
        <v>130</v>
      </c>
      <c r="J87" s="26" t="s">
        <v>131</v>
      </c>
      <c r="K87" s="26"/>
      <c r="L87" s="8"/>
    </row>
    <row r="88">
      <c r="I88" s="24" t="s">
        <v>48</v>
      </c>
      <c r="J88" s="24" t="s">
        <v>17</v>
      </c>
      <c r="K88" s="24"/>
      <c r="L88" s="8"/>
    </row>
    <row r="89">
      <c r="I89" s="22"/>
      <c r="J89" s="22"/>
      <c r="K89" s="22"/>
      <c r="L89" s="8"/>
    </row>
    <row r="90">
      <c r="B90" s="20"/>
      <c r="C90" s="22"/>
      <c r="D90" s="22"/>
      <c r="E90" s="22"/>
      <c r="F90" s="22"/>
      <c r="G90" s="23"/>
      <c r="H90" s="22"/>
      <c r="I90" s="22"/>
      <c r="J90" s="22"/>
      <c r="K90" s="22"/>
      <c r="L90" s="8"/>
    </row>
    <row r="91">
      <c r="B91" s="20"/>
      <c r="C91" s="22"/>
      <c r="D91" s="22"/>
      <c r="E91" s="22"/>
      <c r="F91" s="22"/>
      <c r="G91" s="27" t="s">
        <v>134</v>
      </c>
      <c r="H91" s="24" t="s">
        <v>135</v>
      </c>
      <c r="I91" s="24" t="s">
        <v>48</v>
      </c>
      <c r="J91" s="24" t="s">
        <v>26</v>
      </c>
      <c r="K91" s="24"/>
      <c r="L91" s="8"/>
    </row>
    <row r="92">
      <c r="B92" s="20"/>
      <c r="C92" s="22"/>
      <c r="D92" s="22"/>
      <c r="E92" s="22"/>
      <c r="F92" s="22"/>
      <c r="G92" s="23"/>
      <c r="H92" s="22"/>
      <c r="I92" s="22"/>
      <c r="J92" s="22"/>
      <c r="K92" s="22"/>
      <c r="L92" s="8"/>
    </row>
    <row r="93">
      <c r="B93" s="20"/>
      <c r="C93" s="22"/>
      <c r="D93" s="22"/>
      <c r="E93" s="22"/>
      <c r="F93" s="22"/>
      <c r="G93" s="23"/>
      <c r="H93" s="22"/>
      <c r="I93" s="22"/>
      <c r="J93" s="22"/>
      <c r="K93" s="22"/>
      <c r="L93" s="8"/>
    </row>
    <row r="94">
      <c r="B94" s="20"/>
      <c r="C94" s="22"/>
      <c r="D94" s="22"/>
      <c r="E94" s="22"/>
      <c r="F94" s="22"/>
      <c r="G94" s="27" t="s">
        <v>136</v>
      </c>
      <c r="H94" s="24" t="s">
        <v>133</v>
      </c>
      <c r="I94" s="24" t="s">
        <v>48</v>
      </c>
      <c r="J94" s="24" t="s">
        <v>26</v>
      </c>
      <c r="K94" s="24"/>
      <c r="L94" s="8"/>
    </row>
    <row r="95">
      <c r="B95" s="20"/>
      <c r="C95" s="22"/>
      <c r="D95" s="22"/>
      <c r="E95" s="22"/>
      <c r="F95" s="22"/>
      <c r="G95" s="23"/>
      <c r="H95" s="22"/>
      <c r="I95" s="22"/>
      <c r="J95" s="22"/>
      <c r="K95" s="22"/>
      <c r="L95" s="8"/>
    </row>
    <row r="96">
      <c r="B96" s="20"/>
      <c r="C96" s="22"/>
      <c r="D96" s="22"/>
      <c r="E96" s="22"/>
      <c r="F96" s="22"/>
      <c r="G96" s="23"/>
      <c r="H96" s="22"/>
      <c r="I96" s="22"/>
      <c r="J96" s="22"/>
      <c r="K96" s="22"/>
      <c r="L96" s="8"/>
    </row>
    <row r="97">
      <c r="B97" s="20"/>
      <c r="C97" s="22"/>
      <c r="D97" s="22"/>
      <c r="E97" s="22"/>
      <c r="F97" s="22"/>
      <c r="G97" s="27" t="s">
        <v>12</v>
      </c>
      <c r="H97" s="24" t="s">
        <v>133</v>
      </c>
      <c r="I97" s="24" t="s">
        <v>137</v>
      </c>
      <c r="J97" s="24" t="s">
        <v>16</v>
      </c>
      <c r="K97" s="24"/>
      <c r="L97" s="8"/>
    </row>
    <row r="98">
      <c r="B98" s="20"/>
      <c r="C98" s="22"/>
      <c r="D98" s="22"/>
      <c r="E98" s="22"/>
      <c r="F98" s="22"/>
      <c r="G98" s="23"/>
      <c r="H98" s="22"/>
      <c r="I98" s="22"/>
      <c r="J98" s="22"/>
      <c r="K98" s="22"/>
      <c r="L98" s="8"/>
    </row>
    <row r="99">
      <c r="B99" s="20"/>
      <c r="C99" s="22"/>
      <c r="D99" s="22"/>
      <c r="E99" s="22"/>
      <c r="F99" s="22"/>
      <c r="G99" s="23"/>
      <c r="H99" s="22"/>
      <c r="I99" s="22"/>
      <c r="J99" s="22"/>
      <c r="K99" s="22"/>
      <c r="L99" s="8"/>
    </row>
    <row r="100">
      <c r="B100" s="20"/>
      <c r="C100" s="22"/>
      <c r="D100" s="22"/>
      <c r="E100" s="22"/>
      <c r="F100" s="22"/>
      <c r="G100" s="23"/>
      <c r="H100" s="22"/>
      <c r="I100" s="22"/>
      <c r="J100" s="22"/>
      <c r="K100" s="22"/>
      <c r="L100" s="8"/>
    </row>
    <row r="101">
      <c r="B101" s="20"/>
      <c r="C101" s="24" t="s">
        <v>76</v>
      </c>
      <c r="D101" s="24"/>
      <c r="E101" s="24"/>
      <c r="F101" s="24"/>
      <c r="G101" s="25" t="s">
        <v>128</v>
      </c>
      <c r="H101" s="26" t="s">
        <v>129</v>
      </c>
      <c r="I101" s="26" t="s">
        <v>130</v>
      </c>
      <c r="J101" s="26" t="s">
        <v>131</v>
      </c>
      <c r="K101" s="26"/>
      <c r="L101" s="8"/>
    </row>
    <row r="102">
      <c r="B102" s="20"/>
      <c r="C102" s="22"/>
      <c r="D102" s="22"/>
      <c r="E102" s="22"/>
      <c r="F102" s="22"/>
      <c r="G102" s="27" t="s">
        <v>74</v>
      </c>
      <c r="H102" s="24" t="s">
        <v>78</v>
      </c>
      <c r="I102" s="24" t="s">
        <v>137</v>
      </c>
      <c r="J102" s="24" t="s">
        <v>79</v>
      </c>
      <c r="K102" s="24"/>
      <c r="L102" s="8"/>
    </row>
    <row r="103">
      <c r="B103" s="20"/>
      <c r="C103" s="22"/>
      <c r="D103" s="22"/>
      <c r="E103" s="22"/>
      <c r="F103" s="22"/>
      <c r="G103" s="23"/>
      <c r="H103" s="22"/>
      <c r="I103" s="22"/>
      <c r="J103" s="22"/>
      <c r="K103" s="22"/>
      <c r="L103" s="8"/>
    </row>
    <row r="104">
      <c r="B104" s="20"/>
      <c r="C104" s="22"/>
      <c r="D104" s="22"/>
      <c r="E104" s="22"/>
      <c r="F104" s="22"/>
      <c r="G104" s="23"/>
      <c r="H104" s="22"/>
      <c r="I104" s="22"/>
      <c r="J104" s="22"/>
      <c r="K104" s="22"/>
      <c r="L104" s="8"/>
    </row>
    <row r="105">
      <c r="B105" s="20"/>
      <c r="C105" s="22"/>
      <c r="D105" s="22"/>
      <c r="E105" s="22"/>
      <c r="F105" s="22"/>
      <c r="G105" s="27" t="s">
        <v>81</v>
      </c>
      <c r="H105" s="24" t="s">
        <v>78</v>
      </c>
      <c r="I105" s="24" t="s">
        <v>137</v>
      </c>
      <c r="J105" s="24" t="s">
        <v>79</v>
      </c>
      <c r="K105" s="24"/>
      <c r="L105" s="8"/>
    </row>
    <row r="106">
      <c r="B106" s="20"/>
      <c r="C106" s="22"/>
      <c r="D106" s="22"/>
      <c r="E106" s="22"/>
      <c r="F106" s="22"/>
      <c r="G106" s="23"/>
      <c r="H106" s="22"/>
      <c r="I106" s="22"/>
      <c r="J106" s="22"/>
      <c r="K106" s="22"/>
      <c r="L106" s="8"/>
    </row>
    <row r="107">
      <c r="B107" s="20"/>
      <c r="C107" s="22"/>
      <c r="D107" s="22"/>
      <c r="E107" s="22"/>
      <c r="F107" s="22"/>
      <c r="G107" s="23"/>
      <c r="H107" s="22"/>
      <c r="I107" s="22"/>
      <c r="J107" s="22"/>
      <c r="K107" s="22"/>
      <c r="L107" s="8"/>
    </row>
    <row r="108">
      <c r="B108" s="20"/>
      <c r="C108" s="22"/>
      <c r="D108" s="22"/>
      <c r="E108" s="22"/>
      <c r="F108" s="22"/>
      <c r="G108" s="27" t="s">
        <v>83</v>
      </c>
      <c r="H108" s="24" t="s">
        <v>78</v>
      </c>
      <c r="I108" s="24" t="s">
        <v>137</v>
      </c>
      <c r="J108" s="24" t="s">
        <v>85</v>
      </c>
      <c r="K108" s="24"/>
      <c r="L108" s="8"/>
    </row>
    <row r="109">
      <c r="B109" s="20"/>
      <c r="C109" s="22"/>
      <c r="D109" s="22"/>
      <c r="E109" s="22"/>
      <c r="F109" s="22"/>
      <c r="G109" s="23"/>
      <c r="H109" s="22"/>
      <c r="I109" s="22"/>
      <c r="J109" s="22"/>
      <c r="K109" s="22"/>
      <c r="L109" s="8"/>
    </row>
    <row r="110">
      <c r="B110" s="20"/>
      <c r="C110" s="22"/>
      <c r="D110" s="22"/>
      <c r="E110" s="22"/>
      <c r="F110" s="22"/>
      <c r="G110" s="23"/>
      <c r="H110" s="22"/>
      <c r="I110" s="22"/>
      <c r="J110" s="22"/>
      <c r="K110" s="22"/>
      <c r="L110" s="8"/>
    </row>
    <row r="111">
      <c r="B111" s="20"/>
      <c r="C111" s="22"/>
      <c r="D111" s="22"/>
      <c r="E111" s="22"/>
      <c r="F111" s="22"/>
      <c r="G111" s="27" t="s">
        <v>87</v>
      </c>
      <c r="H111" s="24" t="s">
        <v>78</v>
      </c>
      <c r="I111" s="24" t="s">
        <v>137</v>
      </c>
      <c r="J111" s="24" t="s">
        <v>79</v>
      </c>
      <c r="K111" s="24"/>
      <c r="L111" s="8"/>
    </row>
    <row r="112">
      <c r="B112" s="20"/>
      <c r="C112" s="22"/>
      <c r="D112" s="22"/>
      <c r="E112" s="22"/>
      <c r="F112" s="22"/>
      <c r="G112" s="23"/>
      <c r="H112" s="22"/>
      <c r="I112" s="22"/>
      <c r="J112" s="22"/>
      <c r="K112" s="22"/>
      <c r="L112" s="8"/>
    </row>
    <row r="113">
      <c r="B113" s="20"/>
      <c r="C113" s="22"/>
      <c r="D113" s="22"/>
      <c r="E113" s="22"/>
      <c r="F113" s="22"/>
      <c r="G113" s="23"/>
      <c r="H113" s="22"/>
      <c r="I113" s="22"/>
      <c r="J113" s="22"/>
      <c r="K113" s="22"/>
      <c r="L113" s="8"/>
    </row>
    <row r="114">
      <c r="B114" s="20"/>
      <c r="C114" s="22"/>
      <c r="D114" s="22"/>
      <c r="E114" s="22"/>
      <c r="F114" s="22"/>
      <c r="G114" s="27" t="s">
        <v>90</v>
      </c>
      <c r="H114" s="24" t="s">
        <v>78</v>
      </c>
      <c r="I114" s="24" t="s">
        <v>137</v>
      </c>
      <c r="J114" s="24" t="s">
        <v>79</v>
      </c>
      <c r="K114" s="24"/>
      <c r="L114" s="8"/>
    </row>
    <row r="115">
      <c r="B115" s="20"/>
      <c r="C115" s="22"/>
      <c r="D115" s="22"/>
      <c r="E115" s="22"/>
      <c r="F115" s="22"/>
      <c r="G115" s="23"/>
      <c r="H115" s="22"/>
      <c r="I115" s="22"/>
      <c r="J115" s="22"/>
      <c r="K115" s="22"/>
      <c r="L115" s="8"/>
    </row>
    <row r="116">
      <c r="B116" s="20"/>
      <c r="C116" s="22"/>
      <c r="D116" s="22"/>
      <c r="E116" s="22"/>
      <c r="F116" s="22"/>
      <c r="G116" s="23"/>
      <c r="H116" s="22"/>
      <c r="I116" s="22"/>
      <c r="J116" s="22"/>
      <c r="K116" s="22"/>
      <c r="L116" s="8"/>
    </row>
    <row r="117">
      <c r="B117" s="20"/>
      <c r="C117" s="22"/>
      <c r="D117" s="22"/>
      <c r="E117" s="22"/>
      <c r="F117" s="22"/>
      <c r="G117" s="23"/>
      <c r="H117" s="22"/>
      <c r="I117" s="22"/>
      <c r="J117" s="22"/>
      <c r="K117" s="22"/>
      <c r="L117" s="8"/>
    </row>
    <row r="118">
      <c r="B118" s="20"/>
      <c r="C118" s="24" t="s">
        <v>43</v>
      </c>
      <c r="D118" s="24"/>
      <c r="E118" s="24"/>
      <c r="F118" s="24"/>
      <c r="G118" s="25" t="s">
        <v>128</v>
      </c>
      <c r="H118" s="26" t="s">
        <v>129</v>
      </c>
      <c r="I118" s="26" t="s">
        <v>130</v>
      </c>
      <c r="J118" s="26" t="s">
        <v>131</v>
      </c>
      <c r="K118" s="26"/>
      <c r="L118" s="8"/>
    </row>
    <row r="119">
      <c r="B119" s="20"/>
      <c r="C119" s="22"/>
      <c r="D119" s="22"/>
      <c r="E119" s="22"/>
      <c r="F119" s="22"/>
      <c r="G119" s="27" t="s">
        <v>41</v>
      </c>
      <c r="H119" s="24" t="s">
        <v>43</v>
      </c>
      <c r="I119" s="24" t="s">
        <v>137</v>
      </c>
      <c r="J119" s="24" t="s">
        <v>44</v>
      </c>
      <c r="K119" s="24"/>
      <c r="L119" s="8"/>
    </row>
    <row r="120">
      <c r="B120" s="20"/>
      <c r="C120" s="22"/>
      <c r="D120" s="22"/>
      <c r="E120" s="22"/>
      <c r="F120" s="22"/>
      <c r="G120" s="23"/>
      <c r="H120" s="22"/>
      <c r="I120" s="22"/>
      <c r="J120" s="22"/>
      <c r="K120" s="22"/>
      <c r="L120" s="8"/>
    </row>
    <row r="121">
      <c r="B121" s="20"/>
      <c r="C121" s="22"/>
      <c r="D121" s="22"/>
      <c r="E121" s="22"/>
      <c r="F121" s="22"/>
      <c r="G121" s="23"/>
      <c r="H121" s="22"/>
      <c r="I121" s="22"/>
      <c r="J121" s="22"/>
      <c r="K121" s="22"/>
      <c r="L121" s="8"/>
    </row>
    <row r="122">
      <c r="B122" s="20"/>
      <c r="C122" s="22"/>
      <c r="D122" s="22"/>
      <c r="E122" s="22"/>
      <c r="F122" s="22"/>
      <c r="G122" s="23"/>
      <c r="H122" s="22"/>
      <c r="I122" s="22"/>
      <c r="J122" s="22"/>
      <c r="K122" s="22"/>
      <c r="L122" s="8"/>
    </row>
    <row r="123">
      <c r="B123" s="20"/>
      <c r="C123" s="24" t="s">
        <v>64</v>
      </c>
      <c r="D123" s="24"/>
      <c r="E123" s="24"/>
      <c r="F123" s="24"/>
      <c r="G123" s="25" t="s">
        <v>128</v>
      </c>
      <c r="H123" s="26" t="s">
        <v>129</v>
      </c>
      <c r="I123" s="26" t="s">
        <v>130</v>
      </c>
      <c r="J123" s="26" t="s">
        <v>131</v>
      </c>
      <c r="K123" s="26"/>
      <c r="L123" s="8"/>
    </row>
    <row r="124">
      <c r="B124" s="20"/>
      <c r="C124" s="22"/>
      <c r="D124" s="22"/>
      <c r="E124" s="22"/>
      <c r="F124" s="22"/>
      <c r="G124" s="27" t="s">
        <v>62</v>
      </c>
      <c r="H124" s="24" t="s">
        <v>64</v>
      </c>
      <c r="I124" s="24" t="s">
        <v>137</v>
      </c>
      <c r="J124" s="28" t="s">
        <v>65</v>
      </c>
      <c r="K124" s="28"/>
      <c r="L124" s="8"/>
    </row>
    <row r="125">
      <c r="B125" s="20"/>
      <c r="C125" s="22"/>
      <c r="D125" s="22"/>
      <c r="E125" s="22"/>
      <c r="F125" s="22"/>
      <c r="G125" s="23"/>
      <c r="H125" s="22"/>
      <c r="I125" s="22"/>
      <c r="J125" s="22"/>
      <c r="K125" s="22"/>
      <c r="L125" s="8"/>
    </row>
    <row r="126">
      <c r="B126" s="20"/>
      <c r="C126" s="22"/>
      <c r="D126" s="22"/>
      <c r="E126" s="22"/>
      <c r="F126" s="22"/>
      <c r="G126" s="23"/>
      <c r="H126" s="22"/>
      <c r="I126" s="22"/>
      <c r="J126" s="22"/>
      <c r="K126" s="22"/>
      <c r="L126" s="8"/>
    </row>
    <row r="127">
      <c r="B127" s="20"/>
      <c r="C127" s="22"/>
      <c r="D127" s="22"/>
      <c r="E127" s="22"/>
      <c r="F127" s="22"/>
      <c r="G127" s="27" t="s">
        <v>67</v>
      </c>
      <c r="H127" s="24" t="s">
        <v>64</v>
      </c>
      <c r="I127" s="24" t="s">
        <v>48</v>
      </c>
      <c r="J127" s="28" t="s">
        <v>69</v>
      </c>
      <c r="K127" s="28"/>
      <c r="L127" s="8"/>
    </row>
    <row r="128">
      <c r="B128" s="20"/>
      <c r="C128" s="22"/>
      <c r="D128" s="22"/>
      <c r="E128" s="22"/>
      <c r="F128" s="22"/>
      <c r="G128" s="23"/>
      <c r="H128" s="22"/>
      <c r="I128" s="22"/>
      <c r="J128" s="22"/>
      <c r="K128" s="22"/>
      <c r="L128" s="8"/>
    </row>
    <row r="129">
      <c r="B129" s="20"/>
      <c r="G129" s="20"/>
      <c r="L129" s="8"/>
    </row>
    <row r="130">
      <c r="B130" s="20"/>
      <c r="G130" s="20"/>
      <c r="L130" s="8"/>
    </row>
    <row r="131">
      <c r="B131" s="20"/>
      <c r="G131" s="20"/>
      <c r="L131" s="8"/>
    </row>
    <row r="132">
      <c r="B132" s="20"/>
      <c r="G132" s="20"/>
      <c r="L132" s="8"/>
    </row>
    <row r="133">
      <c r="B133" s="20"/>
      <c r="G133" s="20"/>
      <c r="L133" s="8"/>
    </row>
    <row r="134">
      <c r="B134" s="20"/>
      <c r="G134" s="20"/>
      <c r="L134" s="8"/>
    </row>
    <row r="135">
      <c r="B135" s="20"/>
      <c r="G135" s="20"/>
      <c r="L135" s="8"/>
    </row>
    <row r="136">
      <c r="B136" s="20"/>
      <c r="G136" s="20"/>
      <c r="L136" s="8"/>
    </row>
    <row r="137">
      <c r="B137" s="20"/>
      <c r="G137" s="20"/>
      <c r="L137" s="8"/>
    </row>
    <row r="138">
      <c r="B138" s="20"/>
      <c r="G138" s="20"/>
      <c r="L138" s="8"/>
    </row>
    <row r="139">
      <c r="B139" s="20"/>
      <c r="G139" s="20"/>
      <c r="L139" s="8"/>
    </row>
    <row r="140">
      <c r="B140" s="20"/>
      <c r="G140" s="20"/>
      <c r="L140" s="8"/>
    </row>
    <row r="141">
      <c r="B141" s="20"/>
      <c r="G141" s="20"/>
      <c r="L141" s="8"/>
    </row>
    <row r="142">
      <c r="B142" s="20"/>
      <c r="G142" s="20"/>
      <c r="L142" s="8"/>
    </row>
    <row r="143">
      <c r="B143" s="20"/>
      <c r="G143" s="20"/>
      <c r="L143" s="8"/>
    </row>
    <row r="144">
      <c r="B144" s="20"/>
      <c r="G144" s="20"/>
      <c r="L144" s="8"/>
    </row>
    <row r="145">
      <c r="B145" s="20"/>
      <c r="G145" s="20"/>
      <c r="L145" s="8"/>
    </row>
    <row r="146">
      <c r="B146" s="20"/>
      <c r="G146" s="20"/>
      <c r="L146" s="8"/>
    </row>
    <row r="147">
      <c r="B147" s="20"/>
      <c r="G147" s="20"/>
      <c r="L147" s="8"/>
    </row>
    <row r="148">
      <c r="B148" s="20"/>
      <c r="G148" s="20"/>
      <c r="L148" s="8"/>
    </row>
    <row r="149">
      <c r="B149" s="20"/>
      <c r="G149" s="20"/>
      <c r="L149" s="8"/>
    </row>
    <row r="150">
      <c r="B150" s="20"/>
      <c r="G150" s="20"/>
      <c r="L150" s="8"/>
    </row>
    <row r="151">
      <c r="B151" s="20"/>
      <c r="G151" s="20"/>
      <c r="L151" s="8"/>
    </row>
    <row r="152">
      <c r="B152" s="20"/>
      <c r="G152" s="20"/>
      <c r="L152" s="8"/>
    </row>
    <row r="153">
      <c r="B153" s="20"/>
      <c r="G153" s="20"/>
      <c r="L153" s="8"/>
    </row>
    <row r="154">
      <c r="B154" s="20"/>
      <c r="G154" s="20"/>
      <c r="L154" s="8"/>
    </row>
    <row r="155">
      <c r="B155" s="20"/>
      <c r="G155" s="20"/>
      <c r="L155" s="8"/>
    </row>
    <row r="156">
      <c r="B156" s="20"/>
      <c r="G156" s="20"/>
      <c r="L156" s="8"/>
    </row>
    <row r="157">
      <c r="B157" s="20"/>
      <c r="G157" s="20"/>
      <c r="L157" s="8"/>
    </row>
    <row r="158">
      <c r="B158" s="20"/>
      <c r="G158" s="20"/>
      <c r="L158" s="8"/>
    </row>
    <row r="159">
      <c r="B159" s="20"/>
      <c r="G159" s="20"/>
      <c r="L159" s="8"/>
    </row>
    <row r="160">
      <c r="B160" s="20"/>
      <c r="G160" s="20"/>
      <c r="L160" s="8"/>
    </row>
    <row r="161">
      <c r="B161" s="20"/>
      <c r="G161" s="20"/>
      <c r="L161" s="8"/>
    </row>
    <row r="162">
      <c r="B162" s="20"/>
      <c r="G162" s="20"/>
      <c r="L162" s="8"/>
    </row>
    <row r="163">
      <c r="B163" s="20"/>
      <c r="G163" s="20"/>
      <c r="L163" s="8"/>
    </row>
    <row r="164">
      <c r="B164" s="20"/>
      <c r="G164" s="20"/>
      <c r="L164" s="8"/>
    </row>
    <row r="165">
      <c r="B165" s="20"/>
      <c r="G165" s="20"/>
      <c r="L165" s="8"/>
    </row>
    <row r="166">
      <c r="B166" s="20"/>
      <c r="G166" s="20"/>
      <c r="L166" s="8"/>
    </row>
    <row r="167">
      <c r="B167" s="20"/>
      <c r="G167" s="20"/>
      <c r="L167" s="8"/>
    </row>
    <row r="168">
      <c r="B168" s="20"/>
      <c r="G168" s="20"/>
      <c r="L168" s="8"/>
    </row>
    <row r="169">
      <c r="B169" s="20"/>
      <c r="G169" s="20"/>
      <c r="L169" s="8"/>
    </row>
    <row r="170">
      <c r="B170" s="20"/>
      <c r="G170" s="20"/>
      <c r="L170" s="8"/>
    </row>
    <row r="171">
      <c r="B171" s="20"/>
      <c r="G171" s="20"/>
      <c r="L171" s="8"/>
    </row>
    <row r="172">
      <c r="B172" s="20"/>
      <c r="G172" s="20"/>
      <c r="L172" s="8"/>
    </row>
    <row r="173">
      <c r="B173" s="20"/>
      <c r="G173" s="20"/>
      <c r="L173" s="8"/>
    </row>
    <row r="174">
      <c r="B174" s="20"/>
      <c r="G174" s="20"/>
      <c r="L174" s="8"/>
    </row>
    <row r="175">
      <c r="B175" s="20"/>
      <c r="G175" s="20"/>
      <c r="L175" s="8"/>
    </row>
    <row r="176">
      <c r="B176" s="20"/>
      <c r="G176" s="20"/>
      <c r="L176" s="8"/>
    </row>
    <row r="177">
      <c r="B177" s="20"/>
      <c r="G177" s="20"/>
      <c r="L177" s="8"/>
    </row>
    <row r="178">
      <c r="B178" s="20"/>
      <c r="G178" s="20"/>
      <c r="L178" s="8"/>
    </row>
    <row r="179">
      <c r="B179" s="20"/>
      <c r="G179" s="20"/>
      <c r="L179" s="8"/>
    </row>
    <row r="180">
      <c r="B180" s="20"/>
      <c r="G180" s="20"/>
      <c r="L180" s="8"/>
    </row>
    <row r="181">
      <c r="B181" s="20"/>
      <c r="G181" s="20"/>
      <c r="L181" s="8"/>
    </row>
    <row r="182">
      <c r="B182" s="20"/>
      <c r="G182" s="20"/>
      <c r="L182" s="8"/>
    </row>
    <row r="183">
      <c r="B183" s="20"/>
      <c r="G183" s="20"/>
      <c r="L183" s="8"/>
    </row>
    <row r="184">
      <c r="B184" s="20"/>
      <c r="G184" s="20"/>
      <c r="L184" s="8"/>
    </row>
    <row r="185">
      <c r="B185" s="20"/>
      <c r="G185" s="20"/>
      <c r="L185" s="8"/>
    </row>
    <row r="186">
      <c r="B186" s="20"/>
      <c r="G186" s="20"/>
      <c r="L186" s="8"/>
    </row>
    <row r="187">
      <c r="B187" s="20"/>
      <c r="G187" s="20"/>
      <c r="L187" s="8"/>
    </row>
    <row r="188">
      <c r="B188" s="20"/>
      <c r="G188" s="20"/>
      <c r="L188" s="8"/>
    </row>
    <row r="189">
      <c r="B189" s="20"/>
      <c r="G189" s="20"/>
      <c r="L189" s="8"/>
    </row>
    <row r="190">
      <c r="B190" s="20"/>
      <c r="G190" s="20"/>
      <c r="L190" s="8"/>
    </row>
    <row r="191">
      <c r="B191" s="20"/>
      <c r="G191" s="20"/>
      <c r="L191" s="8"/>
    </row>
    <row r="192">
      <c r="B192" s="20"/>
      <c r="G192" s="20"/>
      <c r="L192" s="8"/>
    </row>
    <row r="193">
      <c r="B193" s="20"/>
      <c r="G193" s="20"/>
      <c r="L193" s="8"/>
    </row>
    <row r="194">
      <c r="B194" s="20"/>
      <c r="G194" s="20"/>
      <c r="L194" s="8"/>
    </row>
    <row r="195">
      <c r="B195" s="20"/>
      <c r="G195" s="20"/>
      <c r="L195" s="8"/>
    </row>
    <row r="196">
      <c r="B196" s="20"/>
      <c r="G196" s="20"/>
      <c r="L196" s="8"/>
    </row>
    <row r="197">
      <c r="B197" s="20"/>
      <c r="G197" s="20"/>
      <c r="L197" s="8"/>
    </row>
    <row r="198">
      <c r="B198" s="20"/>
      <c r="G198" s="20"/>
      <c r="L198" s="8"/>
    </row>
    <row r="199">
      <c r="B199" s="20"/>
      <c r="G199" s="20"/>
      <c r="L199" s="8"/>
    </row>
    <row r="200">
      <c r="B200" s="20"/>
      <c r="G200" s="20"/>
      <c r="L200" s="8"/>
    </row>
    <row r="201">
      <c r="B201" s="20"/>
      <c r="G201" s="20"/>
      <c r="L201" s="8"/>
    </row>
    <row r="202">
      <c r="B202" s="20"/>
      <c r="G202" s="20"/>
      <c r="L202" s="8"/>
    </row>
    <row r="203">
      <c r="B203" s="20"/>
      <c r="G203" s="20"/>
      <c r="L203" s="8"/>
    </row>
    <row r="204">
      <c r="B204" s="20"/>
      <c r="G204" s="20"/>
      <c r="L204" s="8"/>
    </row>
    <row r="205">
      <c r="B205" s="20"/>
      <c r="G205" s="20"/>
      <c r="L205" s="8"/>
    </row>
    <row r="206">
      <c r="B206" s="20"/>
      <c r="G206" s="20"/>
      <c r="L206" s="8"/>
    </row>
    <row r="207">
      <c r="B207" s="20"/>
      <c r="G207" s="20"/>
      <c r="L207" s="8"/>
    </row>
    <row r="208">
      <c r="B208" s="20"/>
      <c r="G208" s="20"/>
      <c r="L208" s="8"/>
    </row>
    <row r="209">
      <c r="B209" s="20"/>
      <c r="G209" s="20"/>
      <c r="L209" s="8"/>
    </row>
    <row r="210">
      <c r="B210" s="20"/>
      <c r="G210" s="20"/>
      <c r="L210" s="8"/>
    </row>
    <row r="211">
      <c r="B211" s="20"/>
      <c r="G211" s="20"/>
      <c r="L211" s="8"/>
    </row>
    <row r="212">
      <c r="B212" s="20"/>
      <c r="G212" s="20"/>
      <c r="L212" s="8"/>
    </row>
    <row r="213">
      <c r="B213" s="20"/>
      <c r="G213" s="20"/>
      <c r="L213" s="8"/>
    </row>
    <row r="214">
      <c r="B214" s="20"/>
      <c r="G214" s="20"/>
      <c r="L214" s="8"/>
    </row>
    <row r="215">
      <c r="B215" s="20"/>
      <c r="G215" s="20"/>
      <c r="L215" s="8"/>
    </row>
    <row r="216">
      <c r="B216" s="20"/>
      <c r="G216" s="20"/>
      <c r="L216" s="8"/>
    </row>
    <row r="217">
      <c r="B217" s="20"/>
      <c r="G217" s="20"/>
      <c r="L217" s="8"/>
    </row>
    <row r="218">
      <c r="B218" s="20"/>
      <c r="G218" s="20"/>
      <c r="L218" s="8"/>
    </row>
    <row r="219">
      <c r="B219" s="20"/>
      <c r="G219" s="20"/>
      <c r="L219" s="8"/>
    </row>
    <row r="220">
      <c r="B220" s="20"/>
      <c r="G220" s="20"/>
      <c r="L220" s="8"/>
    </row>
    <row r="221">
      <c r="B221" s="20"/>
      <c r="G221" s="20"/>
      <c r="L221" s="8"/>
    </row>
    <row r="222">
      <c r="B222" s="20"/>
      <c r="G222" s="20"/>
      <c r="L222" s="8"/>
    </row>
    <row r="223">
      <c r="B223" s="20"/>
      <c r="G223" s="20"/>
      <c r="L223" s="8"/>
    </row>
    <row r="224">
      <c r="B224" s="20"/>
      <c r="G224" s="20"/>
      <c r="L224" s="8"/>
    </row>
    <row r="225">
      <c r="B225" s="20"/>
      <c r="G225" s="20"/>
      <c r="L225" s="8"/>
    </row>
    <row r="226">
      <c r="B226" s="20"/>
      <c r="G226" s="20"/>
      <c r="L226" s="8"/>
    </row>
    <row r="227">
      <c r="B227" s="20"/>
      <c r="G227" s="20"/>
      <c r="L227" s="8"/>
    </row>
    <row r="228">
      <c r="B228" s="20"/>
      <c r="G228" s="20"/>
      <c r="L228" s="8"/>
    </row>
    <row r="229">
      <c r="B229" s="20"/>
      <c r="G229" s="20"/>
      <c r="L229" s="8"/>
    </row>
    <row r="230">
      <c r="B230" s="20"/>
      <c r="G230" s="20"/>
      <c r="L230" s="8"/>
    </row>
    <row r="231">
      <c r="B231" s="20"/>
      <c r="G231" s="20"/>
      <c r="L231" s="8"/>
    </row>
    <row r="232">
      <c r="B232" s="20"/>
      <c r="G232" s="20"/>
      <c r="L232" s="8"/>
    </row>
    <row r="233">
      <c r="B233" s="20"/>
      <c r="G233" s="20"/>
      <c r="L233" s="8"/>
    </row>
    <row r="234">
      <c r="B234" s="20"/>
      <c r="G234" s="20"/>
      <c r="L234" s="8"/>
    </row>
    <row r="235">
      <c r="B235" s="20"/>
      <c r="G235" s="20"/>
      <c r="L235" s="8"/>
    </row>
    <row r="236">
      <c r="B236" s="20"/>
      <c r="G236" s="20"/>
      <c r="L236" s="8"/>
    </row>
    <row r="237">
      <c r="B237" s="20"/>
      <c r="G237" s="20"/>
      <c r="L237" s="8"/>
    </row>
    <row r="238">
      <c r="B238" s="20"/>
      <c r="G238" s="20"/>
      <c r="L238" s="8"/>
    </row>
    <row r="239">
      <c r="B239" s="20"/>
      <c r="G239" s="20"/>
      <c r="L239" s="8"/>
    </row>
    <row r="240">
      <c r="B240" s="20"/>
      <c r="G240" s="20"/>
      <c r="L240" s="8"/>
    </row>
    <row r="241">
      <c r="B241" s="20"/>
      <c r="G241" s="20"/>
      <c r="L241" s="8"/>
    </row>
    <row r="242">
      <c r="B242" s="20"/>
      <c r="G242" s="20"/>
      <c r="L242" s="8"/>
    </row>
    <row r="243">
      <c r="B243" s="20"/>
      <c r="G243" s="20"/>
      <c r="L243" s="8"/>
    </row>
    <row r="244">
      <c r="B244" s="20"/>
      <c r="G244" s="20"/>
      <c r="L244" s="8"/>
    </row>
    <row r="245">
      <c r="B245" s="20"/>
      <c r="G245" s="20"/>
      <c r="L245" s="8"/>
    </row>
    <row r="246">
      <c r="B246" s="20"/>
      <c r="G246" s="20"/>
      <c r="L246" s="8"/>
    </row>
    <row r="247">
      <c r="B247" s="20"/>
      <c r="G247" s="20"/>
      <c r="L247" s="8"/>
    </row>
    <row r="248">
      <c r="B248" s="20"/>
      <c r="G248" s="20"/>
      <c r="L248" s="8"/>
    </row>
    <row r="249">
      <c r="B249" s="20"/>
      <c r="G249" s="20"/>
      <c r="L249" s="8"/>
    </row>
    <row r="250">
      <c r="B250" s="20"/>
      <c r="G250" s="20"/>
      <c r="L250" s="8"/>
    </row>
    <row r="251">
      <c r="B251" s="20"/>
      <c r="G251" s="20"/>
      <c r="L251" s="8"/>
    </row>
    <row r="252">
      <c r="B252" s="20"/>
      <c r="G252" s="20"/>
      <c r="L252" s="8"/>
    </row>
    <row r="253">
      <c r="B253" s="20"/>
      <c r="G253" s="20"/>
      <c r="L253" s="8"/>
    </row>
    <row r="254">
      <c r="B254" s="20"/>
      <c r="G254" s="20"/>
      <c r="L254" s="8"/>
    </row>
    <row r="255">
      <c r="B255" s="20"/>
      <c r="G255" s="20"/>
      <c r="L255" s="8"/>
    </row>
    <row r="256">
      <c r="B256" s="20"/>
      <c r="G256" s="20"/>
      <c r="L256" s="8"/>
    </row>
    <row r="257">
      <c r="B257" s="20"/>
      <c r="G257" s="20"/>
      <c r="L257" s="8"/>
    </row>
    <row r="258">
      <c r="B258" s="20"/>
      <c r="G258" s="20"/>
      <c r="L258" s="8"/>
    </row>
    <row r="259">
      <c r="B259" s="20"/>
      <c r="G259" s="20"/>
      <c r="L259" s="8"/>
    </row>
    <row r="260">
      <c r="B260" s="20"/>
      <c r="G260" s="20"/>
      <c r="L260" s="8"/>
    </row>
    <row r="261">
      <c r="B261" s="20"/>
      <c r="G261" s="20"/>
      <c r="L261" s="8"/>
    </row>
    <row r="262">
      <c r="B262" s="20"/>
      <c r="G262" s="20"/>
      <c r="L262" s="8"/>
    </row>
    <row r="263">
      <c r="B263" s="20"/>
      <c r="G263" s="20"/>
      <c r="L263" s="8"/>
    </row>
    <row r="264">
      <c r="B264" s="20"/>
      <c r="G264" s="20"/>
      <c r="L264" s="8"/>
    </row>
    <row r="265">
      <c r="B265" s="20"/>
      <c r="G265" s="20"/>
      <c r="L265" s="8"/>
    </row>
    <row r="266">
      <c r="B266" s="20"/>
      <c r="G266" s="20"/>
      <c r="L266" s="8"/>
    </row>
    <row r="267">
      <c r="B267" s="20"/>
      <c r="G267" s="20"/>
      <c r="L267" s="8"/>
    </row>
    <row r="268">
      <c r="B268" s="20"/>
      <c r="G268" s="20"/>
      <c r="L268" s="8"/>
    </row>
    <row r="269">
      <c r="B269" s="20"/>
      <c r="G269" s="20"/>
      <c r="L269" s="8"/>
    </row>
    <row r="270">
      <c r="B270" s="20"/>
      <c r="G270" s="20"/>
      <c r="L270" s="8"/>
    </row>
    <row r="271">
      <c r="B271" s="20"/>
      <c r="G271" s="20"/>
      <c r="L271" s="8"/>
    </row>
    <row r="272">
      <c r="B272" s="20"/>
      <c r="G272" s="20"/>
      <c r="L272" s="8"/>
    </row>
    <row r="273">
      <c r="B273" s="20"/>
      <c r="G273" s="20"/>
      <c r="L273" s="8"/>
    </row>
    <row r="274">
      <c r="B274" s="20"/>
      <c r="G274" s="20"/>
      <c r="L274" s="8"/>
    </row>
    <row r="275">
      <c r="B275" s="20"/>
      <c r="G275" s="20"/>
      <c r="L275" s="8"/>
    </row>
    <row r="276">
      <c r="B276" s="20"/>
      <c r="G276" s="20"/>
      <c r="L276" s="8"/>
    </row>
    <row r="277">
      <c r="B277" s="20"/>
      <c r="G277" s="20"/>
      <c r="L277" s="8"/>
    </row>
    <row r="278">
      <c r="B278" s="20"/>
      <c r="G278" s="20"/>
      <c r="L278" s="8"/>
    </row>
    <row r="279">
      <c r="B279" s="20"/>
      <c r="G279" s="20"/>
      <c r="L279" s="8"/>
    </row>
    <row r="280">
      <c r="B280" s="20"/>
      <c r="G280" s="20"/>
      <c r="L280" s="8"/>
    </row>
    <row r="281">
      <c r="B281" s="20"/>
      <c r="G281" s="20"/>
      <c r="L281" s="8"/>
    </row>
    <row r="282">
      <c r="B282" s="20"/>
      <c r="G282" s="20"/>
      <c r="L282" s="8"/>
    </row>
    <row r="283">
      <c r="B283" s="20"/>
      <c r="G283" s="20"/>
      <c r="L283" s="8"/>
    </row>
    <row r="284">
      <c r="B284" s="20"/>
      <c r="G284" s="20"/>
      <c r="L284" s="8"/>
    </row>
    <row r="285">
      <c r="B285" s="20"/>
      <c r="G285" s="20"/>
      <c r="L285" s="8"/>
    </row>
    <row r="286">
      <c r="B286" s="20"/>
      <c r="G286" s="20"/>
      <c r="L286" s="8"/>
    </row>
    <row r="287">
      <c r="B287" s="20"/>
      <c r="G287" s="20"/>
      <c r="L287" s="8"/>
    </row>
    <row r="288">
      <c r="B288" s="20"/>
      <c r="G288" s="20"/>
      <c r="L288" s="8"/>
    </row>
    <row r="289">
      <c r="B289" s="20"/>
      <c r="G289" s="20"/>
      <c r="L289" s="8"/>
    </row>
    <row r="290">
      <c r="B290" s="20"/>
      <c r="G290" s="20"/>
      <c r="L290" s="8"/>
    </row>
    <row r="291">
      <c r="B291" s="20"/>
      <c r="G291" s="20"/>
      <c r="L291" s="8"/>
    </row>
    <row r="292">
      <c r="B292" s="20"/>
      <c r="G292" s="20"/>
      <c r="L292" s="8"/>
    </row>
    <row r="293">
      <c r="B293" s="20"/>
      <c r="G293" s="20"/>
      <c r="L293" s="8"/>
    </row>
    <row r="294">
      <c r="B294" s="20"/>
      <c r="G294" s="20"/>
      <c r="L294" s="8"/>
    </row>
    <row r="295">
      <c r="B295" s="20"/>
      <c r="G295" s="20"/>
      <c r="L295" s="8"/>
    </row>
    <row r="296">
      <c r="B296" s="20"/>
      <c r="G296" s="20"/>
      <c r="L296" s="8"/>
    </row>
    <row r="297">
      <c r="B297" s="20"/>
      <c r="G297" s="20"/>
      <c r="L297" s="8"/>
    </row>
    <row r="298">
      <c r="B298" s="20"/>
      <c r="G298" s="20"/>
      <c r="L298" s="8"/>
    </row>
    <row r="299">
      <c r="B299" s="20"/>
      <c r="G299" s="20"/>
      <c r="L299" s="8"/>
    </row>
    <row r="300">
      <c r="B300" s="20"/>
      <c r="G300" s="20"/>
      <c r="L300" s="8"/>
    </row>
    <row r="301">
      <c r="B301" s="20"/>
      <c r="G301" s="20"/>
      <c r="L301" s="8"/>
    </row>
    <row r="302">
      <c r="B302" s="20"/>
      <c r="G302" s="20"/>
      <c r="L302" s="8"/>
    </row>
    <row r="303">
      <c r="B303" s="20"/>
      <c r="G303" s="20"/>
      <c r="L303" s="8"/>
    </row>
    <row r="304">
      <c r="B304" s="20"/>
      <c r="G304" s="20"/>
      <c r="L304" s="8"/>
    </row>
    <row r="305">
      <c r="B305" s="20"/>
      <c r="G305" s="20"/>
      <c r="L305" s="8"/>
    </row>
    <row r="306">
      <c r="B306" s="20"/>
      <c r="G306" s="20"/>
      <c r="L306" s="8"/>
    </row>
    <row r="307">
      <c r="B307" s="20"/>
      <c r="G307" s="20"/>
      <c r="L307" s="8"/>
    </row>
    <row r="308">
      <c r="B308" s="20"/>
      <c r="G308" s="20"/>
      <c r="L308" s="8"/>
    </row>
    <row r="309">
      <c r="B309" s="20"/>
      <c r="G309" s="20"/>
      <c r="L309" s="8"/>
    </row>
    <row r="310">
      <c r="B310" s="20"/>
      <c r="G310" s="20"/>
      <c r="L310" s="8"/>
    </row>
    <row r="311">
      <c r="B311" s="20"/>
      <c r="G311" s="20"/>
      <c r="L311" s="8"/>
    </row>
    <row r="312">
      <c r="B312" s="20"/>
      <c r="G312" s="20"/>
      <c r="L312" s="8"/>
    </row>
    <row r="313">
      <c r="B313" s="20"/>
      <c r="G313" s="20"/>
      <c r="L313" s="8"/>
    </row>
    <row r="314">
      <c r="B314" s="20"/>
      <c r="G314" s="20"/>
      <c r="L314" s="8"/>
    </row>
    <row r="315">
      <c r="B315" s="20"/>
      <c r="G315" s="20"/>
      <c r="L315" s="8"/>
    </row>
    <row r="316">
      <c r="B316" s="20"/>
      <c r="G316" s="20"/>
      <c r="L316" s="8"/>
    </row>
    <row r="317">
      <c r="B317" s="20"/>
      <c r="G317" s="20"/>
      <c r="L317" s="8"/>
    </row>
    <row r="318">
      <c r="B318" s="20"/>
      <c r="G318" s="20"/>
      <c r="L318" s="8"/>
    </row>
    <row r="319">
      <c r="B319" s="20"/>
      <c r="G319" s="20"/>
      <c r="L319" s="8"/>
    </row>
    <row r="320">
      <c r="B320" s="20"/>
      <c r="G320" s="20"/>
      <c r="L320" s="8"/>
    </row>
    <row r="321">
      <c r="B321" s="20"/>
      <c r="G321" s="20"/>
      <c r="L321" s="8"/>
    </row>
    <row r="322">
      <c r="B322" s="20"/>
      <c r="G322" s="20"/>
      <c r="L322" s="8"/>
    </row>
    <row r="323">
      <c r="B323" s="20"/>
      <c r="G323" s="20"/>
      <c r="L323" s="8"/>
    </row>
    <row r="324">
      <c r="B324" s="20"/>
      <c r="G324" s="20"/>
      <c r="L324" s="8"/>
    </row>
    <row r="325">
      <c r="B325" s="20"/>
      <c r="G325" s="20"/>
      <c r="L325" s="8"/>
    </row>
    <row r="326">
      <c r="B326" s="20"/>
      <c r="G326" s="20"/>
      <c r="L326" s="8"/>
    </row>
    <row r="327">
      <c r="B327" s="20"/>
      <c r="G327" s="20"/>
      <c r="L327" s="8"/>
    </row>
    <row r="328">
      <c r="B328" s="20"/>
      <c r="G328" s="20"/>
      <c r="L328" s="8"/>
    </row>
    <row r="329">
      <c r="B329" s="20"/>
      <c r="G329" s="20"/>
      <c r="L329" s="8"/>
    </row>
    <row r="330">
      <c r="B330" s="20"/>
      <c r="G330" s="20"/>
      <c r="L330" s="8"/>
    </row>
    <row r="331">
      <c r="B331" s="20"/>
      <c r="G331" s="20"/>
      <c r="L331" s="8"/>
    </row>
    <row r="332">
      <c r="B332" s="20"/>
      <c r="G332" s="20"/>
      <c r="L332" s="8"/>
    </row>
    <row r="333">
      <c r="B333" s="20"/>
      <c r="G333" s="20"/>
      <c r="L333" s="8"/>
    </row>
    <row r="334">
      <c r="B334" s="20"/>
      <c r="G334" s="20"/>
      <c r="L334" s="8"/>
    </row>
    <row r="335">
      <c r="B335" s="20"/>
      <c r="G335" s="20"/>
      <c r="L335" s="8"/>
    </row>
    <row r="336">
      <c r="B336" s="20"/>
      <c r="G336" s="20"/>
      <c r="L336" s="8"/>
    </row>
    <row r="337">
      <c r="B337" s="20"/>
      <c r="G337" s="20"/>
      <c r="L337" s="8"/>
    </row>
    <row r="338">
      <c r="B338" s="20"/>
      <c r="G338" s="20"/>
      <c r="L338" s="8"/>
    </row>
    <row r="339">
      <c r="B339" s="20"/>
      <c r="G339" s="20"/>
      <c r="L339" s="8"/>
    </row>
    <row r="340">
      <c r="B340" s="20"/>
      <c r="G340" s="20"/>
      <c r="L340" s="8"/>
    </row>
    <row r="341">
      <c r="B341" s="20"/>
      <c r="G341" s="20"/>
      <c r="L341" s="8"/>
    </row>
    <row r="342">
      <c r="B342" s="20"/>
      <c r="G342" s="20"/>
      <c r="L342" s="8"/>
    </row>
    <row r="343">
      <c r="B343" s="20"/>
      <c r="G343" s="20"/>
      <c r="L343" s="8"/>
    </row>
    <row r="344">
      <c r="B344" s="20"/>
      <c r="G344" s="20"/>
      <c r="L344" s="8"/>
    </row>
    <row r="345">
      <c r="B345" s="20"/>
      <c r="G345" s="20"/>
      <c r="L345" s="8"/>
    </row>
    <row r="346">
      <c r="B346" s="20"/>
      <c r="G346" s="20"/>
      <c r="L346" s="8"/>
    </row>
    <row r="347">
      <c r="B347" s="20"/>
      <c r="G347" s="20"/>
      <c r="L347" s="8"/>
    </row>
    <row r="348">
      <c r="B348" s="20"/>
      <c r="G348" s="20"/>
      <c r="L348" s="8"/>
    </row>
    <row r="349">
      <c r="B349" s="20"/>
      <c r="G349" s="20"/>
      <c r="L349" s="8"/>
    </row>
    <row r="350">
      <c r="B350" s="20"/>
      <c r="G350" s="20"/>
      <c r="L350" s="8"/>
    </row>
    <row r="351">
      <c r="B351" s="20"/>
      <c r="G351" s="20"/>
      <c r="L351" s="8"/>
    </row>
    <row r="352">
      <c r="B352" s="20"/>
      <c r="G352" s="20"/>
      <c r="L352" s="8"/>
    </row>
    <row r="353">
      <c r="B353" s="20"/>
      <c r="G353" s="20"/>
      <c r="L353" s="8"/>
    </row>
    <row r="354">
      <c r="B354" s="20"/>
      <c r="G354" s="20"/>
      <c r="L354" s="8"/>
    </row>
    <row r="355">
      <c r="B355" s="20"/>
      <c r="G355" s="20"/>
      <c r="L355" s="8"/>
    </row>
    <row r="356">
      <c r="B356" s="20"/>
      <c r="G356" s="20"/>
      <c r="L356" s="8"/>
    </row>
    <row r="357">
      <c r="B357" s="20"/>
      <c r="G357" s="20"/>
      <c r="L357" s="8"/>
    </row>
    <row r="358">
      <c r="B358" s="20"/>
      <c r="G358" s="20"/>
      <c r="L358" s="8"/>
    </row>
    <row r="359">
      <c r="B359" s="20"/>
      <c r="G359" s="20"/>
      <c r="L359" s="8"/>
    </row>
    <row r="360">
      <c r="B360" s="20"/>
      <c r="G360" s="20"/>
      <c r="L360" s="8"/>
    </row>
    <row r="361">
      <c r="B361" s="20"/>
      <c r="G361" s="20"/>
      <c r="L361" s="8"/>
    </row>
    <row r="362">
      <c r="B362" s="20"/>
      <c r="G362" s="20"/>
      <c r="L362" s="8"/>
    </row>
    <row r="363">
      <c r="B363" s="20"/>
      <c r="G363" s="20"/>
      <c r="L363" s="8"/>
    </row>
    <row r="364">
      <c r="B364" s="20"/>
      <c r="G364" s="20"/>
      <c r="L364" s="8"/>
    </row>
    <row r="365">
      <c r="B365" s="20"/>
      <c r="G365" s="20"/>
      <c r="L365" s="8"/>
    </row>
    <row r="366">
      <c r="B366" s="20"/>
      <c r="G366" s="20"/>
      <c r="L366" s="8"/>
    </row>
    <row r="367">
      <c r="B367" s="20"/>
      <c r="G367" s="20"/>
      <c r="L367" s="8"/>
    </row>
    <row r="368">
      <c r="B368" s="20"/>
      <c r="G368" s="20"/>
      <c r="L368" s="8"/>
    </row>
    <row r="369">
      <c r="B369" s="20"/>
      <c r="G369" s="20"/>
      <c r="L369" s="8"/>
    </row>
    <row r="370">
      <c r="B370" s="20"/>
      <c r="G370" s="20"/>
      <c r="L370" s="8"/>
    </row>
    <row r="371">
      <c r="B371" s="20"/>
      <c r="G371" s="20"/>
      <c r="L371" s="8"/>
    </row>
    <row r="372">
      <c r="B372" s="20"/>
      <c r="G372" s="20"/>
      <c r="L372" s="8"/>
    </row>
    <row r="373">
      <c r="B373" s="20"/>
      <c r="G373" s="20"/>
      <c r="L373" s="8"/>
    </row>
    <row r="374">
      <c r="B374" s="20"/>
      <c r="G374" s="20"/>
      <c r="L374" s="8"/>
    </row>
    <row r="375">
      <c r="B375" s="20"/>
      <c r="G375" s="20"/>
      <c r="L375" s="8"/>
    </row>
    <row r="376">
      <c r="B376" s="20"/>
      <c r="G376" s="20"/>
      <c r="L376" s="8"/>
    </row>
    <row r="377">
      <c r="B377" s="20"/>
      <c r="G377" s="20"/>
      <c r="L377" s="8"/>
    </row>
    <row r="378">
      <c r="B378" s="20"/>
      <c r="G378" s="20"/>
      <c r="L378" s="8"/>
    </row>
    <row r="379">
      <c r="B379" s="20"/>
      <c r="G379" s="20"/>
      <c r="L379" s="8"/>
    </row>
    <row r="380">
      <c r="B380" s="20"/>
      <c r="G380" s="20"/>
      <c r="L380" s="8"/>
    </row>
    <row r="381">
      <c r="B381" s="20"/>
      <c r="G381" s="20"/>
      <c r="L381" s="8"/>
    </row>
    <row r="382">
      <c r="B382" s="20"/>
      <c r="G382" s="20"/>
      <c r="L382" s="8"/>
    </row>
    <row r="383">
      <c r="B383" s="20"/>
      <c r="G383" s="20"/>
      <c r="L383" s="8"/>
    </row>
    <row r="384">
      <c r="B384" s="20"/>
      <c r="G384" s="20"/>
      <c r="L384" s="8"/>
    </row>
    <row r="385">
      <c r="B385" s="20"/>
      <c r="G385" s="20"/>
      <c r="L385" s="8"/>
    </row>
    <row r="386">
      <c r="B386" s="20"/>
      <c r="G386" s="20"/>
      <c r="L386" s="8"/>
    </row>
    <row r="387">
      <c r="B387" s="20"/>
      <c r="G387" s="20"/>
      <c r="L387" s="8"/>
    </row>
    <row r="388">
      <c r="B388" s="20"/>
      <c r="G388" s="20"/>
      <c r="L388" s="8"/>
    </row>
    <row r="389">
      <c r="B389" s="20"/>
      <c r="G389" s="20"/>
      <c r="L389" s="8"/>
    </row>
    <row r="390">
      <c r="B390" s="20"/>
      <c r="G390" s="20"/>
      <c r="L390" s="8"/>
    </row>
    <row r="391">
      <c r="B391" s="20"/>
      <c r="G391" s="20"/>
      <c r="L391" s="8"/>
    </row>
    <row r="392">
      <c r="B392" s="20"/>
      <c r="G392" s="20"/>
      <c r="L392" s="8"/>
    </row>
    <row r="393">
      <c r="B393" s="20"/>
      <c r="G393" s="20"/>
      <c r="L393" s="8"/>
    </row>
    <row r="394">
      <c r="B394" s="20"/>
      <c r="G394" s="20"/>
      <c r="L394" s="8"/>
    </row>
    <row r="395">
      <c r="B395" s="20"/>
      <c r="G395" s="20"/>
      <c r="L395" s="8"/>
    </row>
    <row r="396">
      <c r="B396" s="20"/>
      <c r="G396" s="20"/>
      <c r="L396" s="8"/>
    </row>
    <row r="397">
      <c r="B397" s="20"/>
      <c r="G397" s="20"/>
      <c r="L397" s="8"/>
    </row>
    <row r="398">
      <c r="B398" s="20"/>
      <c r="G398" s="20"/>
      <c r="L398" s="8"/>
    </row>
    <row r="399">
      <c r="B399" s="20"/>
      <c r="G399" s="20"/>
      <c r="L399" s="8"/>
    </row>
    <row r="400">
      <c r="B400" s="20"/>
      <c r="G400" s="20"/>
      <c r="L400" s="8"/>
    </row>
    <row r="401">
      <c r="B401" s="20"/>
      <c r="G401" s="20"/>
      <c r="L401" s="8"/>
    </row>
    <row r="402">
      <c r="B402" s="20"/>
      <c r="G402" s="20"/>
      <c r="L402" s="8"/>
    </row>
    <row r="403">
      <c r="B403" s="20"/>
      <c r="G403" s="20"/>
      <c r="L403" s="8"/>
    </row>
    <row r="404">
      <c r="B404" s="20"/>
      <c r="G404" s="20"/>
      <c r="L404" s="8"/>
    </row>
    <row r="405">
      <c r="B405" s="20"/>
      <c r="G405" s="20"/>
      <c r="L405" s="8"/>
    </row>
    <row r="406">
      <c r="B406" s="20"/>
      <c r="G406" s="20"/>
      <c r="L406" s="8"/>
    </row>
    <row r="407">
      <c r="B407" s="20"/>
      <c r="G407" s="20"/>
      <c r="L407" s="8"/>
    </row>
    <row r="408">
      <c r="B408" s="20"/>
      <c r="G408" s="20"/>
      <c r="L408" s="8"/>
    </row>
    <row r="409">
      <c r="B409" s="20"/>
      <c r="G409" s="20"/>
      <c r="L409" s="8"/>
    </row>
    <row r="410">
      <c r="B410" s="20"/>
      <c r="G410" s="20"/>
      <c r="L410" s="8"/>
    </row>
    <row r="411">
      <c r="B411" s="20"/>
      <c r="G411" s="20"/>
      <c r="L411" s="8"/>
    </row>
    <row r="412">
      <c r="B412" s="20"/>
      <c r="G412" s="20"/>
      <c r="L412" s="8"/>
    </row>
    <row r="413">
      <c r="B413" s="20"/>
      <c r="G413" s="20"/>
      <c r="L413" s="8"/>
    </row>
    <row r="414">
      <c r="B414" s="20"/>
      <c r="G414" s="20"/>
      <c r="L414" s="8"/>
    </row>
    <row r="415">
      <c r="B415" s="20"/>
      <c r="G415" s="20"/>
      <c r="L415" s="8"/>
    </row>
    <row r="416">
      <c r="B416" s="20"/>
      <c r="G416" s="20"/>
      <c r="L416" s="8"/>
    </row>
    <row r="417">
      <c r="B417" s="20"/>
      <c r="G417" s="20"/>
      <c r="L417" s="8"/>
    </row>
    <row r="418">
      <c r="B418" s="20"/>
      <c r="G418" s="20"/>
      <c r="L418" s="8"/>
    </row>
    <row r="419">
      <c r="B419" s="20"/>
      <c r="G419" s="20"/>
      <c r="L419" s="8"/>
    </row>
    <row r="420">
      <c r="B420" s="20"/>
      <c r="G420" s="20"/>
      <c r="L420" s="8"/>
    </row>
    <row r="421">
      <c r="B421" s="20"/>
      <c r="G421" s="20"/>
      <c r="L421" s="8"/>
    </row>
    <row r="422">
      <c r="B422" s="20"/>
      <c r="G422" s="20"/>
      <c r="L422" s="8"/>
    </row>
    <row r="423">
      <c r="B423" s="20"/>
      <c r="G423" s="20"/>
      <c r="L423" s="8"/>
    </row>
    <row r="424">
      <c r="B424" s="20"/>
      <c r="G424" s="20"/>
      <c r="L424" s="8"/>
    </row>
    <row r="425">
      <c r="B425" s="20"/>
      <c r="G425" s="20"/>
      <c r="L425" s="8"/>
    </row>
    <row r="426">
      <c r="B426" s="20"/>
      <c r="G426" s="20"/>
      <c r="L426" s="8"/>
    </row>
    <row r="427">
      <c r="B427" s="20"/>
      <c r="G427" s="20"/>
      <c r="L427" s="8"/>
    </row>
    <row r="428">
      <c r="B428" s="20"/>
      <c r="G428" s="20"/>
      <c r="L428" s="8"/>
    </row>
    <row r="429">
      <c r="B429" s="20"/>
      <c r="G429" s="20"/>
      <c r="L429" s="8"/>
    </row>
    <row r="430">
      <c r="B430" s="20"/>
      <c r="G430" s="20"/>
      <c r="L430" s="8"/>
    </row>
    <row r="431">
      <c r="B431" s="20"/>
      <c r="G431" s="20"/>
      <c r="L431" s="8"/>
    </row>
    <row r="432">
      <c r="B432" s="20"/>
      <c r="G432" s="20"/>
      <c r="L432" s="8"/>
    </row>
    <row r="433">
      <c r="B433" s="20"/>
      <c r="G433" s="20"/>
      <c r="L433" s="8"/>
    </row>
    <row r="434">
      <c r="B434" s="20"/>
      <c r="G434" s="20"/>
      <c r="L434" s="8"/>
    </row>
    <row r="435">
      <c r="B435" s="20"/>
      <c r="G435" s="20"/>
      <c r="L435" s="8"/>
    </row>
    <row r="436">
      <c r="B436" s="20"/>
      <c r="G436" s="20"/>
      <c r="L436" s="8"/>
    </row>
    <row r="437">
      <c r="B437" s="20"/>
      <c r="G437" s="20"/>
      <c r="L437" s="8"/>
    </row>
    <row r="438">
      <c r="B438" s="20"/>
      <c r="G438" s="20"/>
      <c r="L438" s="8"/>
    </row>
    <row r="439">
      <c r="B439" s="20"/>
      <c r="G439" s="20"/>
      <c r="L439" s="8"/>
    </row>
    <row r="440">
      <c r="B440" s="20"/>
      <c r="G440" s="20"/>
      <c r="L440" s="8"/>
    </row>
    <row r="441">
      <c r="B441" s="20"/>
      <c r="G441" s="20"/>
      <c r="L441" s="8"/>
    </row>
    <row r="442">
      <c r="B442" s="20"/>
      <c r="G442" s="20"/>
      <c r="L442" s="8"/>
    </row>
    <row r="443">
      <c r="B443" s="20"/>
      <c r="G443" s="20"/>
      <c r="L443" s="8"/>
    </row>
    <row r="444">
      <c r="B444" s="20"/>
      <c r="G444" s="20"/>
      <c r="L444" s="8"/>
    </row>
    <row r="445">
      <c r="B445" s="20"/>
      <c r="G445" s="20"/>
      <c r="L445" s="8"/>
    </row>
    <row r="446">
      <c r="B446" s="20"/>
      <c r="G446" s="20"/>
      <c r="L446" s="8"/>
    </row>
    <row r="447">
      <c r="B447" s="20"/>
      <c r="G447" s="20"/>
      <c r="L447" s="8"/>
    </row>
    <row r="448">
      <c r="B448" s="20"/>
      <c r="G448" s="20"/>
      <c r="L448" s="8"/>
    </row>
    <row r="449">
      <c r="B449" s="20"/>
      <c r="G449" s="20"/>
      <c r="L449" s="8"/>
    </row>
    <row r="450">
      <c r="B450" s="20"/>
      <c r="G450" s="20"/>
      <c r="L450" s="8"/>
    </row>
    <row r="451">
      <c r="B451" s="20"/>
      <c r="G451" s="20"/>
      <c r="L451" s="8"/>
    </row>
    <row r="452">
      <c r="B452" s="20"/>
      <c r="G452" s="20"/>
      <c r="L452" s="8"/>
    </row>
    <row r="453">
      <c r="B453" s="20"/>
      <c r="G453" s="20"/>
      <c r="L453" s="8"/>
    </row>
    <row r="454">
      <c r="B454" s="20"/>
      <c r="G454" s="20"/>
      <c r="L454" s="8"/>
    </row>
    <row r="455">
      <c r="B455" s="20"/>
      <c r="G455" s="20"/>
      <c r="L455" s="8"/>
    </row>
    <row r="456">
      <c r="B456" s="20"/>
      <c r="G456" s="20"/>
      <c r="L456" s="8"/>
    </row>
    <row r="457">
      <c r="B457" s="20"/>
      <c r="G457" s="20"/>
      <c r="L457" s="8"/>
    </row>
    <row r="458">
      <c r="B458" s="20"/>
      <c r="G458" s="20"/>
      <c r="L458" s="8"/>
    </row>
    <row r="459">
      <c r="B459" s="20"/>
      <c r="G459" s="20"/>
      <c r="L459" s="8"/>
    </row>
    <row r="460">
      <c r="B460" s="20"/>
      <c r="G460" s="20"/>
      <c r="L460" s="8"/>
    </row>
    <row r="461">
      <c r="B461" s="20"/>
      <c r="G461" s="20"/>
      <c r="L461" s="8"/>
    </row>
    <row r="462">
      <c r="B462" s="20"/>
      <c r="G462" s="20"/>
      <c r="L462" s="8"/>
    </row>
    <row r="463">
      <c r="B463" s="20"/>
      <c r="G463" s="20"/>
      <c r="L463" s="8"/>
    </row>
    <row r="464">
      <c r="B464" s="20"/>
      <c r="G464" s="20"/>
      <c r="L464" s="8"/>
    </row>
    <row r="465">
      <c r="B465" s="20"/>
      <c r="G465" s="20"/>
      <c r="L465" s="8"/>
    </row>
    <row r="466">
      <c r="B466" s="20"/>
      <c r="G466" s="20"/>
      <c r="L466" s="8"/>
    </row>
    <row r="467">
      <c r="B467" s="20"/>
      <c r="G467" s="20"/>
      <c r="L467" s="8"/>
    </row>
    <row r="468">
      <c r="B468" s="20"/>
      <c r="G468" s="20"/>
      <c r="L468" s="8"/>
    </row>
    <row r="469">
      <c r="B469" s="20"/>
      <c r="G469" s="20"/>
      <c r="L469" s="8"/>
    </row>
    <row r="470">
      <c r="B470" s="20"/>
      <c r="G470" s="20"/>
      <c r="L470" s="8"/>
    </row>
    <row r="471">
      <c r="B471" s="20"/>
      <c r="G471" s="20"/>
      <c r="L471" s="8"/>
    </row>
    <row r="472">
      <c r="B472" s="20"/>
      <c r="G472" s="20"/>
      <c r="L472" s="8"/>
    </row>
    <row r="473">
      <c r="B473" s="20"/>
      <c r="G473" s="20"/>
      <c r="L473" s="8"/>
    </row>
    <row r="474">
      <c r="B474" s="20"/>
      <c r="G474" s="20"/>
      <c r="L474" s="8"/>
    </row>
    <row r="475">
      <c r="B475" s="20"/>
      <c r="G475" s="20"/>
      <c r="L475" s="8"/>
    </row>
    <row r="476">
      <c r="B476" s="20"/>
      <c r="G476" s="20"/>
      <c r="L476" s="8"/>
    </row>
    <row r="477">
      <c r="B477" s="20"/>
      <c r="G477" s="20"/>
      <c r="L477" s="8"/>
    </row>
    <row r="478">
      <c r="B478" s="20"/>
      <c r="G478" s="20"/>
      <c r="L478" s="8"/>
    </row>
    <row r="479">
      <c r="B479" s="20"/>
      <c r="G479" s="20"/>
      <c r="L479" s="8"/>
    </row>
    <row r="480">
      <c r="B480" s="20"/>
      <c r="G480" s="20"/>
      <c r="L480" s="8"/>
    </row>
    <row r="481">
      <c r="B481" s="20"/>
      <c r="G481" s="20"/>
      <c r="L481" s="8"/>
    </row>
    <row r="482">
      <c r="B482" s="20"/>
      <c r="G482" s="20"/>
      <c r="L482" s="8"/>
    </row>
    <row r="483">
      <c r="B483" s="20"/>
      <c r="G483" s="20"/>
      <c r="L483" s="8"/>
    </row>
    <row r="484">
      <c r="B484" s="20"/>
      <c r="G484" s="20"/>
      <c r="L484" s="8"/>
    </row>
    <row r="485">
      <c r="B485" s="20"/>
      <c r="G485" s="20"/>
      <c r="L485" s="8"/>
    </row>
    <row r="486">
      <c r="B486" s="20"/>
      <c r="G486" s="20"/>
      <c r="L486" s="8"/>
    </row>
    <row r="487">
      <c r="B487" s="20"/>
      <c r="G487" s="20"/>
      <c r="L487" s="8"/>
    </row>
    <row r="488">
      <c r="B488" s="20"/>
      <c r="G488" s="20"/>
      <c r="L488" s="8"/>
    </row>
    <row r="489">
      <c r="B489" s="20"/>
      <c r="G489" s="20"/>
      <c r="L489" s="8"/>
    </row>
    <row r="490">
      <c r="B490" s="20"/>
      <c r="G490" s="20"/>
      <c r="L490" s="8"/>
    </row>
    <row r="491">
      <c r="B491" s="20"/>
      <c r="G491" s="20"/>
      <c r="L491" s="8"/>
    </row>
    <row r="492">
      <c r="B492" s="20"/>
      <c r="G492" s="20"/>
      <c r="L492" s="8"/>
    </row>
    <row r="493">
      <c r="B493" s="20"/>
      <c r="G493" s="20"/>
      <c r="L493" s="8"/>
    </row>
    <row r="494">
      <c r="B494" s="20"/>
      <c r="G494" s="20"/>
      <c r="L494" s="8"/>
    </row>
    <row r="495">
      <c r="B495" s="20"/>
      <c r="G495" s="20"/>
      <c r="L495" s="8"/>
    </row>
    <row r="496">
      <c r="B496" s="20"/>
      <c r="G496" s="20"/>
      <c r="L496" s="8"/>
    </row>
    <row r="497">
      <c r="B497" s="20"/>
      <c r="G497" s="20"/>
      <c r="L497" s="8"/>
    </row>
    <row r="498">
      <c r="B498" s="20"/>
      <c r="G498" s="20"/>
      <c r="L498" s="8"/>
    </row>
    <row r="499">
      <c r="B499" s="20"/>
      <c r="G499" s="20"/>
      <c r="L499" s="8"/>
    </row>
    <row r="500">
      <c r="B500" s="20"/>
      <c r="G500" s="20"/>
      <c r="L500" s="8"/>
    </row>
    <row r="501">
      <c r="B501" s="20"/>
      <c r="G501" s="20"/>
      <c r="L501" s="8"/>
    </row>
    <row r="502">
      <c r="B502" s="20"/>
      <c r="G502" s="20"/>
      <c r="L502" s="8"/>
    </row>
    <row r="503">
      <c r="B503" s="20"/>
      <c r="G503" s="20"/>
      <c r="L503" s="8"/>
    </row>
    <row r="504">
      <c r="B504" s="20"/>
      <c r="G504" s="20"/>
      <c r="L504" s="8"/>
    </row>
    <row r="505">
      <c r="B505" s="20"/>
      <c r="G505" s="20"/>
      <c r="L505" s="8"/>
    </row>
    <row r="506">
      <c r="B506" s="20"/>
      <c r="G506" s="20"/>
      <c r="L506" s="8"/>
    </row>
    <row r="507">
      <c r="B507" s="20"/>
      <c r="G507" s="20"/>
      <c r="L507" s="8"/>
    </row>
    <row r="508">
      <c r="B508" s="20"/>
      <c r="G508" s="20"/>
      <c r="L508" s="8"/>
    </row>
    <row r="509">
      <c r="B509" s="20"/>
      <c r="G509" s="20"/>
      <c r="L509" s="8"/>
    </row>
    <row r="510">
      <c r="B510" s="20"/>
      <c r="G510" s="20"/>
      <c r="L510" s="8"/>
    </row>
    <row r="511">
      <c r="B511" s="20"/>
      <c r="G511" s="20"/>
      <c r="L511" s="8"/>
    </row>
    <row r="512">
      <c r="B512" s="20"/>
      <c r="G512" s="20"/>
      <c r="L512" s="8"/>
    </row>
    <row r="513">
      <c r="B513" s="20"/>
      <c r="G513" s="20"/>
      <c r="L513" s="8"/>
    </row>
    <row r="514">
      <c r="B514" s="20"/>
      <c r="G514" s="20"/>
      <c r="L514" s="8"/>
    </row>
    <row r="515">
      <c r="B515" s="20"/>
      <c r="G515" s="20"/>
      <c r="L515" s="8"/>
    </row>
    <row r="516">
      <c r="B516" s="20"/>
      <c r="G516" s="20"/>
      <c r="L516" s="8"/>
    </row>
    <row r="517">
      <c r="B517" s="20"/>
      <c r="G517" s="20"/>
      <c r="L517" s="8"/>
    </row>
    <row r="518">
      <c r="B518" s="20"/>
      <c r="G518" s="20"/>
      <c r="L518" s="8"/>
    </row>
    <row r="519">
      <c r="B519" s="20"/>
      <c r="G519" s="20"/>
      <c r="L519" s="8"/>
    </row>
    <row r="520">
      <c r="B520" s="20"/>
      <c r="G520" s="20"/>
      <c r="L520" s="8"/>
    </row>
    <row r="521">
      <c r="B521" s="20"/>
      <c r="G521" s="20"/>
      <c r="L521" s="8"/>
    </row>
    <row r="522">
      <c r="B522" s="20"/>
      <c r="G522" s="20"/>
      <c r="L522" s="8"/>
    </row>
    <row r="523">
      <c r="B523" s="20"/>
      <c r="G523" s="20"/>
      <c r="L523" s="8"/>
    </row>
    <row r="524">
      <c r="B524" s="20"/>
      <c r="G524" s="20"/>
      <c r="L524" s="8"/>
    </row>
    <row r="525">
      <c r="B525" s="20"/>
      <c r="G525" s="20"/>
      <c r="L525" s="8"/>
    </row>
    <row r="526">
      <c r="B526" s="20"/>
      <c r="G526" s="20"/>
      <c r="L526" s="8"/>
    </row>
    <row r="527">
      <c r="B527" s="20"/>
      <c r="G527" s="20"/>
      <c r="L527" s="8"/>
    </row>
    <row r="528">
      <c r="B528" s="20"/>
      <c r="G528" s="20"/>
      <c r="L528" s="8"/>
    </row>
    <row r="529">
      <c r="B529" s="20"/>
      <c r="G529" s="20"/>
      <c r="L529" s="8"/>
    </row>
    <row r="530">
      <c r="B530" s="20"/>
      <c r="G530" s="20"/>
      <c r="L530" s="8"/>
    </row>
    <row r="531">
      <c r="B531" s="20"/>
      <c r="G531" s="20"/>
      <c r="L531" s="8"/>
    </row>
    <row r="532">
      <c r="B532" s="20"/>
      <c r="G532" s="20"/>
      <c r="L532" s="8"/>
    </row>
    <row r="533">
      <c r="B533" s="20"/>
      <c r="G533" s="20"/>
      <c r="L533" s="8"/>
    </row>
    <row r="534">
      <c r="B534" s="20"/>
      <c r="G534" s="20"/>
      <c r="L534" s="8"/>
    </row>
    <row r="535">
      <c r="B535" s="20"/>
      <c r="G535" s="20"/>
      <c r="L535" s="8"/>
    </row>
    <row r="536">
      <c r="B536" s="20"/>
      <c r="G536" s="20"/>
      <c r="L536" s="8"/>
    </row>
    <row r="537">
      <c r="B537" s="20"/>
      <c r="G537" s="20"/>
      <c r="L537" s="8"/>
    </row>
    <row r="538">
      <c r="B538" s="20"/>
      <c r="G538" s="20"/>
      <c r="L538" s="8"/>
    </row>
    <row r="539">
      <c r="B539" s="20"/>
      <c r="G539" s="20"/>
      <c r="L539" s="8"/>
    </row>
    <row r="540">
      <c r="B540" s="20"/>
      <c r="G540" s="20"/>
      <c r="L540" s="8"/>
    </row>
    <row r="541">
      <c r="B541" s="20"/>
      <c r="G541" s="20"/>
      <c r="L541" s="8"/>
    </row>
    <row r="542">
      <c r="B542" s="20"/>
      <c r="G542" s="20"/>
      <c r="L542" s="8"/>
    </row>
    <row r="543">
      <c r="B543" s="20"/>
      <c r="G543" s="20"/>
      <c r="L543" s="8"/>
    </row>
    <row r="544">
      <c r="B544" s="20"/>
      <c r="G544" s="20"/>
      <c r="L544" s="8"/>
    </row>
    <row r="545">
      <c r="B545" s="20"/>
      <c r="G545" s="20"/>
      <c r="L545" s="8"/>
    </row>
    <row r="546">
      <c r="B546" s="20"/>
      <c r="G546" s="20"/>
      <c r="L546" s="8"/>
    </row>
    <row r="547">
      <c r="B547" s="20"/>
      <c r="G547" s="20"/>
      <c r="L547" s="8"/>
    </row>
    <row r="548">
      <c r="B548" s="20"/>
      <c r="G548" s="20"/>
      <c r="L548" s="8"/>
    </row>
    <row r="549">
      <c r="B549" s="20"/>
      <c r="G549" s="20"/>
      <c r="L549" s="8"/>
    </row>
    <row r="550">
      <c r="B550" s="20"/>
      <c r="G550" s="20"/>
      <c r="L550" s="8"/>
    </row>
    <row r="551">
      <c r="B551" s="20"/>
      <c r="G551" s="20"/>
      <c r="L551" s="8"/>
    </row>
    <row r="552">
      <c r="B552" s="20"/>
      <c r="G552" s="20"/>
      <c r="L552" s="8"/>
    </row>
    <row r="553">
      <c r="B553" s="20"/>
      <c r="G553" s="20"/>
      <c r="L553" s="8"/>
    </row>
    <row r="554">
      <c r="B554" s="20"/>
      <c r="G554" s="20"/>
      <c r="L554" s="8"/>
    </row>
    <row r="555">
      <c r="B555" s="20"/>
      <c r="G555" s="20"/>
      <c r="L555" s="8"/>
    </row>
    <row r="556">
      <c r="B556" s="20"/>
      <c r="G556" s="20"/>
      <c r="L556" s="8"/>
    </row>
    <row r="557">
      <c r="B557" s="20"/>
      <c r="G557" s="20"/>
      <c r="L557" s="8"/>
    </row>
    <row r="558">
      <c r="B558" s="20"/>
      <c r="G558" s="20"/>
      <c r="L558" s="8"/>
    </row>
    <row r="559">
      <c r="B559" s="20"/>
      <c r="G559" s="20"/>
      <c r="L559" s="8"/>
    </row>
    <row r="560">
      <c r="B560" s="20"/>
      <c r="G560" s="20"/>
      <c r="L560" s="8"/>
    </row>
    <row r="561">
      <c r="B561" s="20"/>
      <c r="G561" s="20"/>
      <c r="L561" s="8"/>
    </row>
    <row r="562">
      <c r="B562" s="20"/>
      <c r="G562" s="20"/>
      <c r="L562" s="8"/>
    </row>
    <row r="563">
      <c r="B563" s="20"/>
      <c r="G563" s="20"/>
      <c r="L563" s="8"/>
    </row>
    <row r="564">
      <c r="B564" s="20"/>
      <c r="G564" s="20"/>
      <c r="L564" s="8"/>
    </row>
    <row r="565">
      <c r="B565" s="20"/>
      <c r="G565" s="20"/>
      <c r="L565" s="8"/>
    </row>
    <row r="566">
      <c r="B566" s="20"/>
      <c r="G566" s="20"/>
      <c r="L566" s="8"/>
    </row>
    <row r="567">
      <c r="B567" s="20"/>
      <c r="G567" s="20"/>
      <c r="L567" s="8"/>
    </row>
    <row r="568">
      <c r="B568" s="20"/>
      <c r="G568" s="20"/>
      <c r="L568" s="8"/>
    </row>
    <row r="569">
      <c r="B569" s="20"/>
      <c r="G569" s="20"/>
      <c r="L569" s="8"/>
    </row>
    <row r="570">
      <c r="B570" s="20"/>
      <c r="G570" s="20"/>
      <c r="L570" s="8"/>
    </row>
    <row r="571">
      <c r="B571" s="20"/>
      <c r="G571" s="20"/>
      <c r="L571" s="8"/>
    </row>
    <row r="572">
      <c r="B572" s="20"/>
      <c r="G572" s="20"/>
      <c r="L572" s="8"/>
    </row>
    <row r="573">
      <c r="B573" s="20"/>
      <c r="G573" s="20"/>
      <c r="L573" s="8"/>
    </row>
    <row r="574">
      <c r="B574" s="20"/>
      <c r="G574" s="20"/>
      <c r="L574" s="8"/>
    </row>
    <row r="575">
      <c r="B575" s="20"/>
      <c r="G575" s="20"/>
      <c r="L575" s="8"/>
    </row>
    <row r="576">
      <c r="B576" s="20"/>
      <c r="G576" s="20"/>
      <c r="L576" s="8"/>
    </row>
    <row r="577">
      <c r="B577" s="20"/>
      <c r="G577" s="20"/>
      <c r="L577" s="8"/>
    </row>
    <row r="578">
      <c r="B578" s="20"/>
      <c r="G578" s="20"/>
      <c r="L578" s="8"/>
    </row>
    <row r="579">
      <c r="B579" s="20"/>
      <c r="G579" s="20"/>
      <c r="L579" s="8"/>
    </row>
    <row r="580">
      <c r="B580" s="20"/>
      <c r="G580" s="20"/>
      <c r="L580" s="8"/>
    </row>
    <row r="581">
      <c r="B581" s="20"/>
      <c r="G581" s="20"/>
      <c r="L581" s="8"/>
    </row>
    <row r="582">
      <c r="B582" s="20"/>
      <c r="G582" s="20"/>
      <c r="L582" s="8"/>
    </row>
    <row r="583">
      <c r="B583" s="20"/>
      <c r="G583" s="20"/>
      <c r="L583" s="8"/>
    </row>
    <row r="584">
      <c r="B584" s="20"/>
      <c r="G584" s="20"/>
      <c r="L584" s="8"/>
    </row>
    <row r="585">
      <c r="B585" s="20"/>
      <c r="G585" s="20"/>
      <c r="L585" s="8"/>
    </row>
    <row r="586">
      <c r="B586" s="20"/>
      <c r="G586" s="20"/>
      <c r="L586" s="8"/>
    </row>
    <row r="587">
      <c r="B587" s="20"/>
      <c r="G587" s="20"/>
      <c r="L587" s="8"/>
    </row>
    <row r="588">
      <c r="B588" s="20"/>
      <c r="G588" s="20"/>
      <c r="L588" s="8"/>
    </row>
    <row r="589">
      <c r="B589" s="20"/>
      <c r="G589" s="20"/>
      <c r="L589" s="8"/>
    </row>
    <row r="590">
      <c r="B590" s="20"/>
      <c r="G590" s="20"/>
      <c r="L590" s="8"/>
    </row>
    <row r="591">
      <c r="B591" s="20"/>
      <c r="G591" s="20"/>
      <c r="L591" s="8"/>
    </row>
    <row r="592">
      <c r="B592" s="20"/>
      <c r="G592" s="20"/>
      <c r="L592" s="8"/>
    </row>
    <row r="593">
      <c r="B593" s="20"/>
      <c r="G593" s="20"/>
      <c r="L593" s="8"/>
    </row>
    <row r="594">
      <c r="B594" s="20"/>
      <c r="G594" s="20"/>
      <c r="L594" s="8"/>
    </row>
    <row r="595">
      <c r="B595" s="20"/>
      <c r="G595" s="20"/>
      <c r="L595" s="8"/>
    </row>
    <row r="596">
      <c r="B596" s="20"/>
      <c r="G596" s="20"/>
      <c r="L596" s="8"/>
    </row>
    <row r="597">
      <c r="B597" s="20"/>
      <c r="G597" s="20"/>
      <c r="L597" s="8"/>
    </row>
    <row r="598">
      <c r="B598" s="20"/>
      <c r="G598" s="20"/>
      <c r="L598" s="8"/>
    </row>
    <row r="599">
      <c r="B599" s="20"/>
      <c r="G599" s="20"/>
      <c r="L599" s="8"/>
    </row>
    <row r="600">
      <c r="B600" s="20"/>
      <c r="G600" s="20"/>
      <c r="L600" s="8"/>
    </row>
    <row r="601">
      <c r="B601" s="20"/>
      <c r="G601" s="20"/>
      <c r="L601" s="8"/>
    </row>
    <row r="602">
      <c r="B602" s="20"/>
      <c r="G602" s="20"/>
      <c r="L602" s="8"/>
    </row>
    <row r="603">
      <c r="B603" s="20"/>
      <c r="G603" s="20"/>
      <c r="L603" s="8"/>
    </row>
    <row r="604">
      <c r="B604" s="20"/>
      <c r="G604" s="20"/>
      <c r="L604" s="8"/>
    </row>
    <row r="605">
      <c r="B605" s="20"/>
      <c r="G605" s="20"/>
      <c r="L605" s="8"/>
    </row>
    <row r="606">
      <c r="B606" s="20"/>
      <c r="G606" s="20"/>
      <c r="L606" s="8"/>
    </row>
    <row r="607">
      <c r="B607" s="20"/>
      <c r="G607" s="20"/>
      <c r="L607" s="8"/>
    </row>
    <row r="608">
      <c r="B608" s="20"/>
      <c r="G608" s="20"/>
      <c r="L608" s="8"/>
    </row>
    <row r="609">
      <c r="B609" s="20"/>
      <c r="G609" s="20"/>
      <c r="L609" s="8"/>
    </row>
    <row r="610">
      <c r="B610" s="20"/>
      <c r="G610" s="20"/>
      <c r="L610" s="8"/>
    </row>
    <row r="611">
      <c r="B611" s="20"/>
      <c r="G611" s="20"/>
      <c r="L611" s="8"/>
    </row>
    <row r="612">
      <c r="B612" s="20"/>
      <c r="G612" s="20"/>
      <c r="L612" s="8"/>
    </row>
    <row r="613">
      <c r="B613" s="20"/>
      <c r="G613" s="20"/>
      <c r="L613" s="8"/>
    </row>
    <row r="614">
      <c r="B614" s="20"/>
      <c r="G614" s="20"/>
      <c r="L614" s="8"/>
    </row>
    <row r="615">
      <c r="B615" s="20"/>
      <c r="G615" s="20"/>
      <c r="L615" s="8"/>
    </row>
    <row r="616">
      <c r="B616" s="20"/>
      <c r="G616" s="20"/>
      <c r="L616" s="8"/>
    </row>
    <row r="617">
      <c r="B617" s="20"/>
      <c r="G617" s="20"/>
      <c r="L617" s="8"/>
    </row>
    <row r="618">
      <c r="B618" s="20"/>
      <c r="G618" s="20"/>
      <c r="L618" s="8"/>
    </row>
    <row r="619">
      <c r="B619" s="20"/>
      <c r="G619" s="20"/>
      <c r="L619" s="8"/>
    </row>
    <row r="620">
      <c r="B620" s="20"/>
      <c r="G620" s="20"/>
      <c r="L620" s="8"/>
    </row>
    <row r="621">
      <c r="B621" s="20"/>
      <c r="G621" s="20"/>
      <c r="L621" s="8"/>
    </row>
    <row r="622">
      <c r="B622" s="20"/>
      <c r="G622" s="20"/>
      <c r="L622" s="8"/>
    </row>
    <row r="623">
      <c r="B623" s="20"/>
      <c r="G623" s="20"/>
      <c r="L623" s="8"/>
    </row>
    <row r="624">
      <c r="B624" s="20"/>
      <c r="G624" s="20"/>
      <c r="L624" s="8"/>
    </row>
    <row r="625">
      <c r="B625" s="20"/>
      <c r="G625" s="20"/>
      <c r="L625" s="8"/>
    </row>
    <row r="626">
      <c r="B626" s="20"/>
      <c r="G626" s="20"/>
      <c r="L626" s="8"/>
    </row>
    <row r="627">
      <c r="B627" s="20"/>
      <c r="G627" s="20"/>
      <c r="L627" s="8"/>
    </row>
    <row r="628">
      <c r="B628" s="20"/>
      <c r="G628" s="20"/>
      <c r="L628" s="8"/>
    </row>
    <row r="629">
      <c r="B629" s="20"/>
      <c r="G629" s="20"/>
      <c r="L629" s="8"/>
    </row>
    <row r="630">
      <c r="B630" s="20"/>
      <c r="G630" s="20"/>
      <c r="L630" s="8"/>
    </row>
    <row r="631">
      <c r="B631" s="20"/>
      <c r="G631" s="20"/>
      <c r="L631" s="8"/>
    </row>
    <row r="632">
      <c r="B632" s="20"/>
      <c r="G632" s="20"/>
      <c r="L632" s="8"/>
    </row>
    <row r="633">
      <c r="B633" s="20"/>
      <c r="G633" s="20"/>
      <c r="L633" s="8"/>
    </row>
    <row r="634">
      <c r="B634" s="20"/>
      <c r="G634" s="20"/>
      <c r="L634" s="8"/>
    </row>
    <row r="635">
      <c r="B635" s="20"/>
      <c r="G635" s="20"/>
      <c r="L635" s="8"/>
    </row>
    <row r="636">
      <c r="B636" s="20"/>
      <c r="G636" s="20"/>
      <c r="L636" s="8"/>
    </row>
    <row r="637">
      <c r="B637" s="20"/>
      <c r="G637" s="20"/>
      <c r="L637" s="8"/>
    </row>
    <row r="638">
      <c r="B638" s="20"/>
      <c r="G638" s="20"/>
      <c r="L638" s="8"/>
    </row>
    <row r="639">
      <c r="B639" s="20"/>
      <c r="G639" s="20"/>
      <c r="L639" s="8"/>
    </row>
    <row r="640">
      <c r="B640" s="20"/>
      <c r="G640" s="20"/>
      <c r="L640" s="8"/>
    </row>
    <row r="641">
      <c r="B641" s="20"/>
      <c r="G641" s="20"/>
      <c r="L641" s="8"/>
    </row>
    <row r="642">
      <c r="B642" s="20"/>
      <c r="G642" s="20"/>
      <c r="L642" s="8"/>
    </row>
    <row r="643">
      <c r="B643" s="20"/>
      <c r="G643" s="20"/>
      <c r="L643" s="8"/>
    </row>
    <row r="644">
      <c r="B644" s="20"/>
      <c r="G644" s="20"/>
      <c r="L644" s="8"/>
    </row>
    <row r="645">
      <c r="B645" s="20"/>
      <c r="G645" s="20"/>
      <c r="L645" s="8"/>
    </row>
    <row r="646">
      <c r="B646" s="20"/>
      <c r="G646" s="20"/>
      <c r="L646" s="8"/>
    </row>
    <row r="647">
      <c r="B647" s="20"/>
      <c r="G647" s="20"/>
      <c r="L647" s="8"/>
    </row>
    <row r="648">
      <c r="B648" s="20"/>
      <c r="G648" s="20"/>
      <c r="L648" s="8"/>
    </row>
    <row r="649">
      <c r="B649" s="20"/>
      <c r="G649" s="20"/>
      <c r="L649" s="8"/>
    </row>
    <row r="650">
      <c r="B650" s="20"/>
      <c r="G650" s="20"/>
      <c r="L650" s="8"/>
    </row>
    <row r="651">
      <c r="B651" s="20"/>
      <c r="G651" s="20"/>
      <c r="L651" s="8"/>
    </row>
    <row r="652">
      <c r="B652" s="20"/>
      <c r="G652" s="20"/>
      <c r="L652" s="8"/>
    </row>
    <row r="653">
      <c r="B653" s="20"/>
      <c r="G653" s="20"/>
      <c r="L653" s="8"/>
    </row>
    <row r="654">
      <c r="B654" s="20"/>
      <c r="G654" s="20"/>
      <c r="L654" s="8"/>
    </row>
    <row r="655">
      <c r="B655" s="20"/>
      <c r="G655" s="20"/>
      <c r="L655" s="8"/>
    </row>
    <row r="656">
      <c r="B656" s="20"/>
      <c r="G656" s="20"/>
      <c r="L656" s="8"/>
    </row>
    <row r="657">
      <c r="B657" s="20"/>
      <c r="G657" s="20"/>
      <c r="L657" s="8"/>
    </row>
    <row r="658">
      <c r="B658" s="20"/>
      <c r="G658" s="20"/>
      <c r="L658" s="8"/>
    </row>
    <row r="659">
      <c r="B659" s="20"/>
      <c r="G659" s="20"/>
      <c r="L659" s="8"/>
    </row>
    <row r="660">
      <c r="B660" s="20"/>
      <c r="G660" s="20"/>
      <c r="L660" s="8"/>
    </row>
    <row r="661">
      <c r="B661" s="20"/>
      <c r="G661" s="20"/>
      <c r="L661" s="8"/>
    </row>
    <row r="662">
      <c r="B662" s="20"/>
      <c r="G662" s="20"/>
      <c r="L662" s="8"/>
    </row>
    <row r="663">
      <c r="B663" s="20"/>
      <c r="G663" s="20"/>
      <c r="L663" s="8"/>
    </row>
    <row r="664">
      <c r="B664" s="20"/>
      <c r="G664" s="20"/>
      <c r="L664" s="8"/>
    </row>
    <row r="665">
      <c r="B665" s="20"/>
      <c r="G665" s="20"/>
      <c r="L665" s="8"/>
    </row>
    <row r="666">
      <c r="B666" s="20"/>
      <c r="G666" s="20"/>
      <c r="L666" s="8"/>
    </row>
    <row r="667">
      <c r="B667" s="20"/>
      <c r="G667" s="20"/>
      <c r="L667" s="8"/>
    </row>
    <row r="668">
      <c r="B668" s="20"/>
      <c r="G668" s="20"/>
      <c r="L668" s="8"/>
    </row>
    <row r="669">
      <c r="B669" s="20"/>
      <c r="G669" s="20"/>
      <c r="L669" s="8"/>
    </row>
    <row r="670">
      <c r="B670" s="20"/>
      <c r="G670" s="20"/>
      <c r="L670" s="8"/>
    </row>
    <row r="671">
      <c r="B671" s="20"/>
      <c r="G671" s="20"/>
      <c r="L671" s="8"/>
    </row>
    <row r="672">
      <c r="B672" s="20"/>
      <c r="G672" s="20"/>
      <c r="L672" s="8"/>
    </row>
    <row r="673">
      <c r="B673" s="20"/>
      <c r="G673" s="20"/>
      <c r="L673" s="8"/>
    </row>
    <row r="674">
      <c r="B674" s="20"/>
      <c r="G674" s="20"/>
      <c r="L674" s="8"/>
    </row>
    <row r="675">
      <c r="B675" s="20"/>
      <c r="G675" s="20"/>
      <c r="L675" s="8"/>
    </row>
    <row r="676">
      <c r="B676" s="20"/>
      <c r="G676" s="20"/>
      <c r="L676" s="8"/>
    </row>
    <row r="677">
      <c r="B677" s="20"/>
      <c r="G677" s="20"/>
      <c r="L677" s="8"/>
    </row>
    <row r="678">
      <c r="B678" s="20"/>
      <c r="G678" s="20"/>
      <c r="L678" s="8"/>
    </row>
    <row r="679">
      <c r="B679" s="20"/>
      <c r="G679" s="20"/>
      <c r="L679" s="8"/>
    </row>
    <row r="680">
      <c r="B680" s="20"/>
      <c r="G680" s="20"/>
      <c r="L680" s="8"/>
    </row>
    <row r="681">
      <c r="B681" s="20"/>
      <c r="G681" s="20"/>
      <c r="L681" s="8"/>
    </row>
    <row r="682">
      <c r="B682" s="20"/>
      <c r="G682" s="20"/>
      <c r="L682" s="8"/>
    </row>
    <row r="683">
      <c r="B683" s="20"/>
      <c r="G683" s="20"/>
      <c r="L683" s="8"/>
    </row>
    <row r="684">
      <c r="B684" s="20"/>
      <c r="G684" s="20"/>
      <c r="L684" s="8"/>
    </row>
    <row r="685">
      <c r="B685" s="20"/>
      <c r="G685" s="20"/>
      <c r="L685" s="8"/>
    </row>
    <row r="686">
      <c r="B686" s="20"/>
      <c r="G686" s="20"/>
      <c r="L686" s="8"/>
    </row>
    <row r="687">
      <c r="B687" s="20"/>
      <c r="G687" s="20"/>
      <c r="L687" s="8"/>
    </row>
    <row r="688">
      <c r="B688" s="20"/>
      <c r="G688" s="20"/>
      <c r="L688" s="8"/>
    </row>
    <row r="689">
      <c r="B689" s="20"/>
      <c r="G689" s="20"/>
      <c r="L689" s="8"/>
    </row>
    <row r="690">
      <c r="B690" s="20"/>
      <c r="G690" s="20"/>
      <c r="L690" s="8"/>
    </row>
    <row r="691">
      <c r="B691" s="20"/>
      <c r="G691" s="20"/>
      <c r="L691" s="8"/>
    </row>
    <row r="692">
      <c r="B692" s="20"/>
      <c r="G692" s="20"/>
      <c r="L692" s="8"/>
    </row>
    <row r="693">
      <c r="B693" s="20"/>
      <c r="G693" s="20"/>
      <c r="L693" s="8"/>
    </row>
    <row r="694">
      <c r="B694" s="20"/>
      <c r="G694" s="20"/>
      <c r="L694" s="8"/>
    </row>
    <row r="695">
      <c r="B695" s="20"/>
      <c r="G695" s="20"/>
      <c r="L695" s="8"/>
    </row>
    <row r="696">
      <c r="B696" s="20"/>
      <c r="G696" s="20"/>
      <c r="L696" s="8"/>
    </row>
    <row r="697">
      <c r="B697" s="20"/>
      <c r="G697" s="20"/>
      <c r="L697" s="8"/>
    </row>
    <row r="698">
      <c r="B698" s="20"/>
      <c r="G698" s="20"/>
      <c r="L698" s="8"/>
    </row>
    <row r="699">
      <c r="B699" s="20"/>
      <c r="G699" s="20"/>
      <c r="L699" s="8"/>
    </row>
    <row r="700">
      <c r="B700" s="20"/>
      <c r="G700" s="20"/>
      <c r="L700" s="8"/>
    </row>
    <row r="701">
      <c r="B701" s="20"/>
      <c r="G701" s="20"/>
      <c r="L701" s="8"/>
    </row>
    <row r="702">
      <c r="B702" s="20"/>
      <c r="G702" s="20"/>
      <c r="L702" s="8"/>
    </row>
    <row r="703">
      <c r="B703" s="20"/>
      <c r="G703" s="20"/>
      <c r="L703" s="8"/>
    </row>
    <row r="704">
      <c r="B704" s="20"/>
      <c r="G704" s="20"/>
      <c r="L704" s="8"/>
    </row>
    <row r="705">
      <c r="B705" s="20"/>
      <c r="G705" s="20"/>
      <c r="L705" s="8"/>
    </row>
    <row r="706">
      <c r="B706" s="20"/>
      <c r="G706" s="20"/>
      <c r="L706" s="8"/>
    </row>
    <row r="707">
      <c r="B707" s="20"/>
      <c r="G707" s="20"/>
      <c r="L707" s="8"/>
    </row>
    <row r="708">
      <c r="B708" s="20"/>
      <c r="G708" s="20"/>
      <c r="L708" s="8"/>
    </row>
    <row r="709">
      <c r="B709" s="20"/>
      <c r="G709" s="20"/>
      <c r="L709" s="8"/>
    </row>
    <row r="710">
      <c r="B710" s="20"/>
      <c r="G710" s="20"/>
      <c r="L710" s="8"/>
    </row>
    <row r="711">
      <c r="B711" s="20"/>
      <c r="G711" s="20"/>
      <c r="L711" s="8"/>
    </row>
    <row r="712">
      <c r="B712" s="20"/>
      <c r="G712" s="20"/>
      <c r="L712" s="8"/>
    </row>
    <row r="713">
      <c r="B713" s="20"/>
      <c r="G713" s="20"/>
      <c r="L713" s="8"/>
    </row>
    <row r="714">
      <c r="B714" s="20"/>
      <c r="G714" s="20"/>
      <c r="L714" s="8"/>
    </row>
    <row r="715">
      <c r="B715" s="20"/>
      <c r="G715" s="20"/>
      <c r="L715" s="8"/>
    </row>
    <row r="716">
      <c r="B716" s="20"/>
      <c r="G716" s="20"/>
      <c r="L716" s="8"/>
    </row>
    <row r="717">
      <c r="B717" s="20"/>
      <c r="G717" s="20"/>
      <c r="L717" s="8"/>
    </row>
    <row r="718">
      <c r="B718" s="20"/>
      <c r="G718" s="20"/>
      <c r="L718" s="8"/>
    </row>
    <row r="719">
      <c r="B719" s="20"/>
      <c r="G719" s="20"/>
      <c r="L719" s="8"/>
    </row>
    <row r="720">
      <c r="B720" s="20"/>
      <c r="G720" s="20"/>
      <c r="L720" s="8"/>
    </row>
    <row r="721">
      <c r="B721" s="20"/>
      <c r="G721" s="20"/>
      <c r="L721" s="8"/>
    </row>
    <row r="722">
      <c r="B722" s="20"/>
      <c r="G722" s="20"/>
      <c r="L722" s="8"/>
    </row>
    <row r="723">
      <c r="B723" s="20"/>
      <c r="G723" s="20"/>
      <c r="L723" s="8"/>
    </row>
    <row r="724">
      <c r="B724" s="20"/>
      <c r="G724" s="20"/>
      <c r="L724" s="8"/>
    </row>
    <row r="725">
      <c r="B725" s="20"/>
      <c r="G725" s="20"/>
      <c r="L725" s="8"/>
    </row>
    <row r="726">
      <c r="B726" s="20"/>
      <c r="G726" s="20"/>
      <c r="L726" s="8"/>
    </row>
    <row r="727">
      <c r="B727" s="20"/>
      <c r="G727" s="20"/>
      <c r="L727" s="8"/>
    </row>
    <row r="728">
      <c r="B728" s="20"/>
      <c r="G728" s="20"/>
      <c r="L728" s="8"/>
    </row>
    <row r="729">
      <c r="B729" s="20"/>
      <c r="G729" s="20"/>
      <c r="L729" s="8"/>
    </row>
    <row r="730">
      <c r="B730" s="20"/>
      <c r="G730" s="20"/>
      <c r="L730" s="8"/>
    </row>
    <row r="731">
      <c r="B731" s="20"/>
      <c r="G731" s="20"/>
      <c r="L731" s="8"/>
    </row>
    <row r="732">
      <c r="B732" s="20"/>
      <c r="G732" s="20"/>
      <c r="L732" s="8"/>
    </row>
    <row r="733">
      <c r="B733" s="20"/>
      <c r="G733" s="20"/>
      <c r="L733" s="8"/>
    </row>
    <row r="734">
      <c r="B734" s="20"/>
      <c r="G734" s="20"/>
      <c r="L734" s="8"/>
    </row>
    <row r="735">
      <c r="B735" s="20"/>
      <c r="G735" s="20"/>
      <c r="L735" s="8"/>
    </row>
    <row r="736">
      <c r="B736" s="20"/>
      <c r="G736" s="20"/>
      <c r="L736" s="8"/>
    </row>
    <row r="737">
      <c r="B737" s="20"/>
      <c r="G737" s="20"/>
      <c r="L737" s="8"/>
    </row>
    <row r="738">
      <c r="B738" s="20"/>
      <c r="G738" s="20"/>
      <c r="L738" s="8"/>
    </row>
    <row r="739">
      <c r="B739" s="20"/>
      <c r="G739" s="20"/>
      <c r="L739" s="8"/>
    </row>
    <row r="740">
      <c r="B740" s="20"/>
      <c r="G740" s="20"/>
      <c r="L740" s="8"/>
    </row>
    <row r="741">
      <c r="B741" s="20"/>
      <c r="G741" s="20"/>
      <c r="L741" s="8"/>
    </row>
    <row r="742">
      <c r="B742" s="20"/>
      <c r="G742" s="20"/>
      <c r="L742" s="8"/>
    </row>
    <row r="743">
      <c r="B743" s="20"/>
      <c r="G743" s="20"/>
      <c r="L743" s="8"/>
    </row>
    <row r="744">
      <c r="B744" s="20"/>
      <c r="G744" s="20"/>
      <c r="L744" s="8"/>
    </row>
    <row r="745">
      <c r="B745" s="20"/>
      <c r="G745" s="20"/>
      <c r="L745" s="8"/>
    </row>
    <row r="746">
      <c r="B746" s="20"/>
      <c r="G746" s="20"/>
      <c r="L746" s="8"/>
    </row>
    <row r="747">
      <c r="B747" s="20"/>
      <c r="G747" s="20"/>
      <c r="L747" s="8"/>
    </row>
    <row r="748">
      <c r="B748" s="20"/>
      <c r="G748" s="20"/>
      <c r="L748" s="8"/>
    </row>
    <row r="749">
      <c r="B749" s="20"/>
      <c r="G749" s="20"/>
      <c r="L749" s="8"/>
    </row>
    <row r="750">
      <c r="B750" s="20"/>
      <c r="G750" s="20"/>
      <c r="L750" s="8"/>
    </row>
    <row r="751">
      <c r="B751" s="20"/>
      <c r="G751" s="20"/>
      <c r="L751" s="8"/>
    </row>
    <row r="752">
      <c r="B752" s="20"/>
      <c r="G752" s="20"/>
      <c r="L752" s="8"/>
    </row>
    <row r="753">
      <c r="B753" s="20"/>
      <c r="G753" s="20"/>
      <c r="L753" s="8"/>
    </row>
    <row r="754">
      <c r="B754" s="20"/>
      <c r="G754" s="20"/>
      <c r="L754" s="8"/>
    </row>
    <row r="755">
      <c r="B755" s="20"/>
      <c r="G755" s="20"/>
      <c r="L755" s="8"/>
    </row>
    <row r="756">
      <c r="B756" s="20"/>
      <c r="G756" s="20"/>
      <c r="L756" s="8"/>
    </row>
    <row r="757">
      <c r="B757" s="20"/>
      <c r="G757" s="20"/>
      <c r="L757" s="8"/>
    </row>
    <row r="758">
      <c r="B758" s="20"/>
      <c r="G758" s="20"/>
      <c r="L758" s="8"/>
    </row>
    <row r="759">
      <c r="B759" s="20"/>
      <c r="G759" s="20"/>
      <c r="L759" s="8"/>
    </row>
    <row r="760">
      <c r="B760" s="20"/>
      <c r="G760" s="20"/>
      <c r="L760" s="8"/>
    </row>
    <row r="761">
      <c r="B761" s="20"/>
      <c r="G761" s="20"/>
      <c r="L761" s="8"/>
    </row>
    <row r="762">
      <c r="B762" s="20"/>
      <c r="G762" s="20"/>
      <c r="L762" s="8"/>
    </row>
    <row r="763">
      <c r="B763" s="20"/>
      <c r="G763" s="20"/>
      <c r="L763" s="8"/>
    </row>
    <row r="764">
      <c r="B764" s="20"/>
      <c r="G764" s="20"/>
      <c r="L764" s="8"/>
    </row>
    <row r="765">
      <c r="B765" s="20"/>
      <c r="G765" s="20"/>
      <c r="L765" s="8"/>
    </row>
    <row r="766">
      <c r="B766" s="20"/>
      <c r="G766" s="20"/>
      <c r="L766" s="8"/>
    </row>
    <row r="767">
      <c r="B767" s="20"/>
      <c r="G767" s="20"/>
      <c r="L767" s="8"/>
    </row>
    <row r="768">
      <c r="B768" s="20"/>
      <c r="G768" s="20"/>
      <c r="L768" s="8"/>
    </row>
    <row r="769">
      <c r="B769" s="20"/>
      <c r="G769" s="20"/>
      <c r="L769" s="8"/>
    </row>
    <row r="770">
      <c r="B770" s="20"/>
      <c r="G770" s="20"/>
      <c r="L770" s="8"/>
    </row>
    <row r="771">
      <c r="B771" s="20"/>
      <c r="G771" s="20"/>
      <c r="L771" s="8"/>
    </row>
    <row r="772">
      <c r="B772" s="20"/>
      <c r="G772" s="20"/>
      <c r="L772" s="8"/>
    </row>
    <row r="773">
      <c r="B773" s="20"/>
      <c r="G773" s="20"/>
      <c r="L773" s="8"/>
    </row>
    <row r="774">
      <c r="B774" s="20"/>
      <c r="G774" s="20"/>
      <c r="L774" s="8"/>
    </row>
    <row r="775">
      <c r="B775" s="20"/>
      <c r="G775" s="20"/>
      <c r="L775" s="8"/>
    </row>
    <row r="776">
      <c r="B776" s="20"/>
      <c r="G776" s="20"/>
      <c r="L776" s="8"/>
    </row>
    <row r="777">
      <c r="B777" s="20"/>
      <c r="G777" s="20"/>
      <c r="L777" s="8"/>
    </row>
    <row r="778">
      <c r="B778" s="20"/>
      <c r="G778" s="20"/>
      <c r="L778" s="8"/>
    </row>
    <row r="779">
      <c r="B779" s="20"/>
      <c r="G779" s="20"/>
      <c r="L779" s="8"/>
    </row>
    <row r="780">
      <c r="B780" s="20"/>
      <c r="G780" s="20"/>
      <c r="L780" s="8"/>
    </row>
    <row r="781">
      <c r="B781" s="20"/>
      <c r="G781" s="20"/>
      <c r="L781" s="8"/>
    </row>
    <row r="782">
      <c r="B782" s="20"/>
      <c r="G782" s="20"/>
      <c r="L782" s="8"/>
    </row>
    <row r="783">
      <c r="B783" s="20"/>
      <c r="G783" s="20"/>
      <c r="L783" s="8"/>
    </row>
    <row r="784">
      <c r="B784" s="20"/>
      <c r="G784" s="20"/>
      <c r="L784" s="8"/>
    </row>
    <row r="785">
      <c r="B785" s="20"/>
      <c r="G785" s="20"/>
      <c r="L785" s="8"/>
    </row>
    <row r="786">
      <c r="B786" s="20"/>
      <c r="G786" s="20"/>
      <c r="L786" s="8"/>
    </row>
    <row r="787">
      <c r="B787" s="20"/>
      <c r="G787" s="20"/>
      <c r="L787" s="8"/>
    </row>
    <row r="788">
      <c r="B788" s="20"/>
      <c r="G788" s="20"/>
      <c r="L788" s="8"/>
    </row>
    <row r="789">
      <c r="B789" s="20"/>
      <c r="G789" s="20"/>
      <c r="L789" s="8"/>
    </row>
    <row r="790">
      <c r="B790" s="20"/>
      <c r="G790" s="20"/>
      <c r="L790" s="8"/>
    </row>
    <row r="791">
      <c r="B791" s="20"/>
      <c r="G791" s="20"/>
      <c r="L791" s="8"/>
    </row>
    <row r="792">
      <c r="B792" s="20"/>
      <c r="G792" s="20"/>
      <c r="L792" s="8"/>
    </row>
    <row r="793">
      <c r="B793" s="20"/>
      <c r="G793" s="20"/>
      <c r="L793" s="8"/>
    </row>
    <row r="794">
      <c r="B794" s="20"/>
      <c r="G794" s="20"/>
      <c r="L794" s="8"/>
    </row>
    <row r="795">
      <c r="B795" s="20"/>
      <c r="G795" s="20"/>
      <c r="L795" s="8"/>
    </row>
    <row r="796">
      <c r="B796" s="20"/>
      <c r="G796" s="20"/>
      <c r="L796" s="8"/>
    </row>
    <row r="797">
      <c r="B797" s="20"/>
      <c r="G797" s="20"/>
      <c r="L797" s="8"/>
    </row>
    <row r="798">
      <c r="B798" s="20"/>
      <c r="G798" s="20"/>
      <c r="L798" s="8"/>
    </row>
    <row r="799">
      <c r="B799" s="20"/>
      <c r="G799" s="20"/>
      <c r="L799" s="8"/>
    </row>
    <row r="800">
      <c r="B800" s="20"/>
      <c r="G800" s="20"/>
      <c r="L800" s="8"/>
    </row>
    <row r="801">
      <c r="B801" s="20"/>
      <c r="G801" s="20"/>
      <c r="L801" s="8"/>
    </row>
    <row r="802">
      <c r="B802" s="20"/>
      <c r="G802" s="20"/>
      <c r="L802" s="8"/>
    </row>
    <row r="803">
      <c r="B803" s="20"/>
      <c r="G803" s="20"/>
      <c r="L803" s="8"/>
    </row>
    <row r="804">
      <c r="B804" s="20"/>
      <c r="G804" s="20"/>
      <c r="L804" s="8"/>
    </row>
    <row r="805">
      <c r="B805" s="20"/>
      <c r="G805" s="20"/>
      <c r="L805" s="8"/>
    </row>
    <row r="806">
      <c r="B806" s="20"/>
      <c r="G806" s="20"/>
      <c r="L806" s="8"/>
    </row>
    <row r="807">
      <c r="B807" s="20"/>
      <c r="G807" s="20"/>
      <c r="L807" s="8"/>
    </row>
    <row r="808">
      <c r="B808" s="20"/>
      <c r="G808" s="20"/>
      <c r="L808" s="8"/>
    </row>
    <row r="809">
      <c r="B809" s="20"/>
      <c r="G809" s="20"/>
      <c r="L809" s="8"/>
    </row>
    <row r="810">
      <c r="B810" s="20"/>
      <c r="G810" s="20"/>
      <c r="L810" s="8"/>
    </row>
    <row r="811">
      <c r="B811" s="20"/>
      <c r="G811" s="20"/>
      <c r="L811" s="8"/>
    </row>
    <row r="812">
      <c r="B812" s="20"/>
      <c r="G812" s="20"/>
      <c r="L812" s="8"/>
    </row>
    <row r="813">
      <c r="B813" s="20"/>
      <c r="G813" s="20"/>
      <c r="L813" s="8"/>
    </row>
    <row r="814">
      <c r="B814" s="20"/>
      <c r="G814" s="20"/>
      <c r="L814" s="8"/>
    </row>
    <row r="815">
      <c r="B815" s="20"/>
      <c r="G815" s="20"/>
      <c r="L815" s="8"/>
    </row>
    <row r="816">
      <c r="B816" s="20"/>
      <c r="G816" s="20"/>
      <c r="L816" s="8"/>
    </row>
    <row r="817">
      <c r="B817" s="20"/>
      <c r="G817" s="20"/>
      <c r="L817" s="8"/>
    </row>
    <row r="818">
      <c r="B818" s="20"/>
      <c r="G818" s="20"/>
      <c r="L818" s="8"/>
    </row>
    <row r="819">
      <c r="B819" s="20"/>
      <c r="G819" s="20"/>
      <c r="L819" s="8"/>
    </row>
    <row r="820">
      <c r="B820" s="20"/>
      <c r="G820" s="20"/>
      <c r="L820" s="8"/>
    </row>
    <row r="821">
      <c r="B821" s="20"/>
      <c r="G821" s="20"/>
      <c r="L821" s="8"/>
    </row>
    <row r="822">
      <c r="B822" s="20"/>
      <c r="G822" s="20"/>
      <c r="L822" s="8"/>
    </row>
    <row r="823">
      <c r="B823" s="20"/>
      <c r="G823" s="20"/>
      <c r="L823" s="8"/>
    </row>
    <row r="824">
      <c r="B824" s="20"/>
      <c r="G824" s="20"/>
      <c r="L824" s="8"/>
    </row>
    <row r="825">
      <c r="B825" s="20"/>
      <c r="G825" s="20"/>
      <c r="L825" s="8"/>
    </row>
    <row r="826">
      <c r="B826" s="20"/>
      <c r="G826" s="20"/>
      <c r="L826" s="8"/>
    </row>
    <row r="827">
      <c r="B827" s="20"/>
      <c r="G827" s="20"/>
      <c r="L827" s="8"/>
    </row>
    <row r="828">
      <c r="B828" s="20"/>
      <c r="G828" s="20"/>
      <c r="L828" s="8"/>
    </row>
    <row r="829">
      <c r="B829" s="20"/>
      <c r="G829" s="20"/>
      <c r="L829" s="8"/>
    </row>
    <row r="830">
      <c r="B830" s="20"/>
      <c r="G830" s="20"/>
      <c r="L830" s="8"/>
    </row>
    <row r="831">
      <c r="B831" s="20"/>
      <c r="G831" s="20"/>
      <c r="L831" s="8"/>
    </row>
    <row r="832">
      <c r="B832" s="20"/>
      <c r="G832" s="20"/>
      <c r="L832" s="8"/>
    </row>
    <row r="833">
      <c r="B833" s="20"/>
      <c r="G833" s="20"/>
      <c r="L833" s="8"/>
    </row>
    <row r="834">
      <c r="B834" s="20"/>
      <c r="G834" s="20"/>
      <c r="L834" s="8"/>
    </row>
    <row r="835">
      <c r="B835" s="20"/>
      <c r="G835" s="20"/>
      <c r="L835" s="8"/>
    </row>
    <row r="836">
      <c r="B836" s="20"/>
      <c r="G836" s="20"/>
      <c r="L836" s="8"/>
    </row>
    <row r="837">
      <c r="B837" s="20"/>
      <c r="G837" s="20"/>
      <c r="L837" s="8"/>
    </row>
    <row r="838">
      <c r="B838" s="20"/>
      <c r="G838" s="20"/>
      <c r="L838" s="8"/>
    </row>
    <row r="839">
      <c r="B839" s="20"/>
      <c r="G839" s="20"/>
      <c r="L839" s="8"/>
    </row>
    <row r="840">
      <c r="B840" s="20"/>
      <c r="G840" s="20"/>
      <c r="L840" s="8"/>
    </row>
    <row r="841">
      <c r="B841" s="20"/>
      <c r="G841" s="20"/>
      <c r="L841" s="8"/>
    </row>
    <row r="842">
      <c r="B842" s="20"/>
      <c r="G842" s="20"/>
      <c r="L842" s="8"/>
    </row>
    <row r="843">
      <c r="B843" s="20"/>
      <c r="G843" s="20"/>
      <c r="L843" s="8"/>
    </row>
    <row r="844">
      <c r="B844" s="20"/>
      <c r="G844" s="20"/>
      <c r="L844" s="8"/>
    </row>
    <row r="845">
      <c r="B845" s="20"/>
      <c r="G845" s="20"/>
      <c r="L845" s="8"/>
    </row>
    <row r="846">
      <c r="B846" s="20"/>
      <c r="G846" s="20"/>
      <c r="L846" s="8"/>
    </row>
    <row r="847">
      <c r="B847" s="20"/>
      <c r="G847" s="20"/>
      <c r="L847" s="8"/>
    </row>
    <row r="848">
      <c r="B848" s="20"/>
      <c r="G848" s="20"/>
      <c r="L848" s="8"/>
    </row>
    <row r="849">
      <c r="B849" s="20"/>
      <c r="G849" s="20"/>
      <c r="L849" s="8"/>
    </row>
    <row r="850">
      <c r="B850" s="20"/>
      <c r="G850" s="20"/>
      <c r="L850" s="8"/>
    </row>
    <row r="851">
      <c r="B851" s="20"/>
      <c r="G851" s="20"/>
      <c r="L851" s="8"/>
    </row>
    <row r="852">
      <c r="B852" s="20"/>
      <c r="G852" s="20"/>
      <c r="L852" s="8"/>
    </row>
    <row r="853">
      <c r="B853" s="20"/>
      <c r="G853" s="20"/>
      <c r="L853" s="8"/>
    </row>
    <row r="854">
      <c r="B854" s="20"/>
      <c r="G854" s="20"/>
      <c r="L854" s="8"/>
    </row>
    <row r="855">
      <c r="B855" s="20"/>
      <c r="G855" s="20"/>
      <c r="L855" s="8"/>
    </row>
    <row r="856">
      <c r="B856" s="20"/>
      <c r="G856" s="20"/>
      <c r="L856" s="8"/>
    </row>
    <row r="857">
      <c r="B857" s="20"/>
      <c r="G857" s="20"/>
      <c r="L857" s="8"/>
    </row>
    <row r="858">
      <c r="B858" s="20"/>
      <c r="G858" s="20"/>
      <c r="L858" s="8"/>
    </row>
    <row r="859">
      <c r="B859" s="20"/>
      <c r="G859" s="20"/>
      <c r="L859" s="8"/>
    </row>
    <row r="860">
      <c r="B860" s="20"/>
      <c r="G860" s="20"/>
      <c r="L860" s="8"/>
    </row>
    <row r="861">
      <c r="B861" s="20"/>
      <c r="G861" s="20"/>
      <c r="L861" s="8"/>
    </row>
    <row r="862">
      <c r="B862" s="20"/>
      <c r="G862" s="20"/>
      <c r="L862" s="8"/>
    </row>
    <row r="863">
      <c r="B863" s="20"/>
      <c r="G863" s="20"/>
      <c r="L863" s="8"/>
    </row>
    <row r="864">
      <c r="B864" s="20"/>
      <c r="G864" s="20"/>
      <c r="L864" s="8"/>
    </row>
    <row r="865">
      <c r="B865" s="20"/>
      <c r="G865" s="20"/>
      <c r="L865" s="8"/>
    </row>
    <row r="866">
      <c r="B866" s="20"/>
      <c r="G866" s="20"/>
      <c r="L866" s="8"/>
    </row>
    <row r="867">
      <c r="B867" s="20"/>
      <c r="G867" s="20"/>
      <c r="L867" s="8"/>
    </row>
    <row r="868">
      <c r="B868" s="20"/>
      <c r="G868" s="20"/>
      <c r="L868" s="8"/>
    </row>
    <row r="869">
      <c r="B869" s="20"/>
      <c r="G869" s="20"/>
      <c r="L869" s="8"/>
    </row>
    <row r="870">
      <c r="B870" s="20"/>
      <c r="G870" s="20"/>
      <c r="L870" s="8"/>
    </row>
    <row r="871">
      <c r="B871" s="20"/>
      <c r="G871" s="20"/>
      <c r="L871" s="8"/>
    </row>
    <row r="872">
      <c r="B872" s="20"/>
      <c r="G872" s="20"/>
      <c r="L872" s="8"/>
    </row>
    <row r="873">
      <c r="B873" s="20"/>
      <c r="G873" s="20"/>
      <c r="L873" s="8"/>
    </row>
    <row r="874">
      <c r="B874" s="20"/>
      <c r="G874" s="20"/>
      <c r="L874" s="8"/>
    </row>
    <row r="875">
      <c r="B875" s="20"/>
      <c r="G875" s="20"/>
      <c r="L875" s="8"/>
    </row>
    <row r="876">
      <c r="B876" s="20"/>
      <c r="G876" s="20"/>
      <c r="L876" s="8"/>
    </row>
    <row r="877">
      <c r="B877" s="20"/>
      <c r="G877" s="20"/>
      <c r="L877" s="8"/>
    </row>
    <row r="878">
      <c r="B878" s="20"/>
      <c r="G878" s="20"/>
      <c r="L878" s="8"/>
    </row>
    <row r="879">
      <c r="B879" s="20"/>
      <c r="G879" s="20"/>
      <c r="L879" s="8"/>
    </row>
    <row r="880">
      <c r="B880" s="20"/>
      <c r="G880" s="20"/>
      <c r="L880" s="8"/>
    </row>
    <row r="881">
      <c r="B881" s="20"/>
      <c r="G881" s="20"/>
      <c r="L881" s="8"/>
    </row>
    <row r="882">
      <c r="B882" s="20"/>
      <c r="G882" s="20"/>
      <c r="L882" s="8"/>
    </row>
    <row r="883">
      <c r="B883" s="20"/>
      <c r="G883" s="20"/>
      <c r="L883" s="8"/>
    </row>
    <row r="884">
      <c r="B884" s="20"/>
      <c r="G884" s="20"/>
      <c r="L884" s="8"/>
    </row>
    <row r="885">
      <c r="B885" s="20"/>
      <c r="G885" s="20"/>
      <c r="L885" s="8"/>
    </row>
    <row r="886">
      <c r="B886" s="20"/>
      <c r="G886" s="20"/>
      <c r="L886" s="8"/>
    </row>
    <row r="887">
      <c r="B887" s="20"/>
      <c r="G887" s="20"/>
      <c r="L887" s="8"/>
    </row>
    <row r="888">
      <c r="B888" s="20"/>
      <c r="G888" s="20"/>
      <c r="L888" s="8"/>
    </row>
    <row r="889">
      <c r="B889" s="20"/>
      <c r="G889" s="20"/>
      <c r="L889" s="8"/>
    </row>
    <row r="890">
      <c r="B890" s="20"/>
      <c r="G890" s="20"/>
      <c r="L890" s="8"/>
    </row>
    <row r="891">
      <c r="B891" s="20"/>
      <c r="G891" s="20"/>
      <c r="L891" s="8"/>
    </row>
    <row r="892">
      <c r="B892" s="20"/>
      <c r="G892" s="20"/>
      <c r="L892" s="8"/>
    </row>
    <row r="893">
      <c r="B893" s="20"/>
      <c r="G893" s="20"/>
      <c r="L893" s="8"/>
    </row>
    <row r="894">
      <c r="B894" s="20"/>
      <c r="G894" s="20"/>
      <c r="L894" s="8"/>
    </row>
    <row r="895">
      <c r="B895" s="20"/>
      <c r="G895" s="20"/>
      <c r="L895" s="8"/>
    </row>
    <row r="896">
      <c r="B896" s="20"/>
      <c r="G896" s="20"/>
      <c r="L896" s="8"/>
    </row>
    <row r="897">
      <c r="B897" s="20"/>
      <c r="G897" s="20"/>
      <c r="L897" s="8"/>
    </row>
    <row r="898">
      <c r="B898" s="20"/>
      <c r="G898" s="20"/>
      <c r="L898" s="8"/>
    </row>
    <row r="899">
      <c r="B899" s="20"/>
      <c r="G899" s="20"/>
      <c r="L899" s="8"/>
    </row>
    <row r="900">
      <c r="B900" s="20"/>
      <c r="G900" s="20"/>
      <c r="L900" s="8"/>
    </row>
    <row r="901">
      <c r="B901" s="20"/>
      <c r="G901" s="20"/>
      <c r="L901" s="8"/>
    </row>
    <row r="902">
      <c r="B902" s="20"/>
      <c r="G902" s="20"/>
      <c r="L902" s="8"/>
    </row>
    <row r="903">
      <c r="B903" s="20"/>
      <c r="G903" s="20"/>
      <c r="L903" s="8"/>
    </row>
    <row r="904">
      <c r="B904" s="20"/>
      <c r="G904" s="20"/>
      <c r="L904" s="8"/>
    </row>
    <row r="905">
      <c r="B905" s="20"/>
      <c r="G905" s="20"/>
      <c r="L905" s="8"/>
    </row>
    <row r="906">
      <c r="B906" s="20"/>
      <c r="G906" s="20"/>
      <c r="L906" s="8"/>
    </row>
    <row r="907">
      <c r="B907" s="20"/>
      <c r="G907" s="20"/>
      <c r="L907" s="8"/>
    </row>
    <row r="908">
      <c r="B908" s="20"/>
      <c r="G908" s="20"/>
      <c r="L908" s="8"/>
    </row>
    <row r="909">
      <c r="B909" s="20"/>
      <c r="G909" s="20"/>
      <c r="L909" s="8"/>
    </row>
    <row r="910">
      <c r="B910" s="20"/>
      <c r="G910" s="20"/>
      <c r="L910" s="8"/>
    </row>
    <row r="911">
      <c r="B911" s="20"/>
      <c r="G911" s="20"/>
      <c r="L911" s="8"/>
    </row>
    <row r="912">
      <c r="B912" s="20"/>
      <c r="G912" s="20"/>
      <c r="L912" s="8"/>
    </row>
    <row r="913">
      <c r="B913" s="20"/>
      <c r="G913" s="20"/>
      <c r="L913" s="8"/>
    </row>
    <row r="914">
      <c r="B914" s="20"/>
      <c r="G914" s="20"/>
      <c r="L914" s="8"/>
    </row>
    <row r="915">
      <c r="B915" s="20"/>
      <c r="G915" s="20"/>
      <c r="L915" s="8"/>
    </row>
    <row r="916">
      <c r="B916" s="20"/>
      <c r="G916" s="20"/>
      <c r="L916" s="8"/>
    </row>
    <row r="917">
      <c r="B917" s="20"/>
      <c r="G917" s="20"/>
      <c r="L917" s="8"/>
    </row>
    <row r="918">
      <c r="B918" s="20"/>
      <c r="G918" s="20"/>
      <c r="L918" s="8"/>
    </row>
    <row r="919">
      <c r="B919" s="20"/>
      <c r="G919" s="20"/>
      <c r="L919" s="8"/>
    </row>
    <row r="920">
      <c r="B920" s="20"/>
      <c r="G920" s="20"/>
      <c r="L920" s="8"/>
    </row>
    <row r="921">
      <c r="B921" s="20"/>
      <c r="G921" s="20"/>
      <c r="L921" s="8"/>
    </row>
    <row r="922">
      <c r="B922" s="20"/>
      <c r="G922" s="20"/>
      <c r="L922" s="8"/>
    </row>
    <row r="923">
      <c r="B923" s="20"/>
      <c r="G923" s="20"/>
      <c r="L923" s="8"/>
    </row>
    <row r="924">
      <c r="B924" s="20"/>
      <c r="G924" s="20"/>
      <c r="L924" s="8"/>
    </row>
    <row r="925">
      <c r="B925" s="20"/>
      <c r="G925" s="20"/>
      <c r="L925" s="8"/>
    </row>
    <row r="926">
      <c r="B926" s="20"/>
      <c r="G926" s="20"/>
      <c r="L926" s="8"/>
    </row>
    <row r="927">
      <c r="B927" s="20"/>
      <c r="G927" s="20"/>
      <c r="L927" s="8"/>
    </row>
    <row r="928">
      <c r="B928" s="20"/>
      <c r="G928" s="20"/>
      <c r="L928" s="8"/>
    </row>
    <row r="929">
      <c r="B929" s="20"/>
      <c r="G929" s="20"/>
      <c r="L929" s="8"/>
    </row>
    <row r="930">
      <c r="B930" s="20"/>
      <c r="G930" s="20"/>
      <c r="L930" s="8"/>
    </row>
    <row r="931">
      <c r="B931" s="20"/>
      <c r="G931" s="20"/>
      <c r="L931" s="8"/>
    </row>
    <row r="932">
      <c r="B932" s="20"/>
      <c r="G932" s="20"/>
      <c r="L932" s="8"/>
    </row>
    <row r="933">
      <c r="B933" s="20"/>
      <c r="G933" s="20"/>
      <c r="L933" s="8"/>
    </row>
    <row r="934">
      <c r="B934" s="20"/>
      <c r="G934" s="20"/>
      <c r="L934" s="8"/>
    </row>
    <row r="935">
      <c r="B935" s="20"/>
      <c r="G935" s="20"/>
      <c r="L935" s="8"/>
    </row>
    <row r="936">
      <c r="B936" s="20"/>
      <c r="G936" s="20"/>
      <c r="L936" s="8"/>
    </row>
    <row r="937">
      <c r="B937" s="20"/>
      <c r="G937" s="20"/>
      <c r="L937" s="8"/>
    </row>
    <row r="938">
      <c r="B938" s="20"/>
      <c r="G938" s="20"/>
      <c r="L938" s="8"/>
    </row>
    <row r="939">
      <c r="B939" s="20"/>
      <c r="G939" s="20"/>
      <c r="L939" s="8"/>
    </row>
    <row r="940">
      <c r="B940" s="20"/>
      <c r="G940" s="20"/>
      <c r="L940" s="8"/>
    </row>
    <row r="941">
      <c r="B941" s="20"/>
      <c r="G941" s="20"/>
      <c r="L941" s="8"/>
    </row>
    <row r="942">
      <c r="B942" s="20"/>
      <c r="G942" s="20"/>
      <c r="L942" s="8"/>
    </row>
    <row r="943">
      <c r="B943" s="20"/>
      <c r="G943" s="20"/>
      <c r="L943" s="8"/>
    </row>
    <row r="944">
      <c r="B944" s="20"/>
      <c r="G944" s="20"/>
      <c r="L944" s="8"/>
    </row>
    <row r="945">
      <c r="B945" s="20"/>
      <c r="G945" s="20"/>
      <c r="L945" s="8"/>
    </row>
    <row r="946">
      <c r="B946" s="20"/>
      <c r="G946" s="20"/>
      <c r="L946" s="8"/>
    </row>
    <row r="947">
      <c r="B947" s="20"/>
      <c r="G947" s="20"/>
      <c r="L947" s="8"/>
    </row>
    <row r="948">
      <c r="B948" s="20"/>
      <c r="G948" s="20"/>
      <c r="L948" s="8"/>
    </row>
    <row r="949">
      <c r="B949" s="20"/>
      <c r="G949" s="20"/>
      <c r="L949" s="8"/>
    </row>
    <row r="950">
      <c r="B950" s="20"/>
      <c r="G950" s="20"/>
      <c r="L950" s="8"/>
    </row>
    <row r="951">
      <c r="B951" s="20"/>
      <c r="G951" s="20"/>
      <c r="L951" s="8"/>
    </row>
    <row r="952">
      <c r="B952" s="20"/>
      <c r="G952" s="20"/>
      <c r="L952" s="8"/>
    </row>
    <row r="953">
      <c r="B953" s="20"/>
      <c r="G953" s="20"/>
      <c r="L953" s="8"/>
    </row>
    <row r="954">
      <c r="B954" s="20"/>
      <c r="G954" s="20"/>
      <c r="L954" s="8"/>
    </row>
    <row r="955">
      <c r="B955" s="20"/>
      <c r="G955" s="20"/>
      <c r="L955" s="8"/>
    </row>
    <row r="956">
      <c r="B956" s="20"/>
      <c r="G956" s="20"/>
      <c r="L956" s="8"/>
    </row>
    <row r="957">
      <c r="B957" s="20"/>
      <c r="G957" s="20"/>
      <c r="L957" s="8"/>
    </row>
    <row r="958">
      <c r="B958" s="20"/>
      <c r="G958" s="20"/>
      <c r="L958" s="8"/>
    </row>
    <row r="959">
      <c r="B959" s="20"/>
      <c r="G959" s="20"/>
      <c r="L959" s="8"/>
    </row>
    <row r="960">
      <c r="B960" s="20"/>
      <c r="G960" s="20"/>
      <c r="L960" s="8"/>
    </row>
    <row r="961">
      <c r="B961" s="20"/>
      <c r="G961" s="20"/>
      <c r="L961" s="8"/>
    </row>
    <row r="962">
      <c r="B962" s="20"/>
      <c r="G962" s="20"/>
      <c r="L962" s="8"/>
    </row>
    <row r="963">
      <c r="B963" s="20"/>
      <c r="G963" s="20"/>
      <c r="L963" s="8"/>
    </row>
    <row r="964">
      <c r="B964" s="20"/>
      <c r="G964" s="20"/>
      <c r="L964" s="8"/>
    </row>
    <row r="965">
      <c r="B965" s="20"/>
      <c r="G965" s="20"/>
      <c r="L965" s="8"/>
    </row>
    <row r="966">
      <c r="B966" s="20"/>
      <c r="G966" s="20"/>
      <c r="L966" s="8"/>
    </row>
    <row r="967">
      <c r="B967" s="20"/>
      <c r="G967" s="20"/>
      <c r="L967" s="8"/>
    </row>
    <row r="968">
      <c r="B968" s="20"/>
      <c r="G968" s="20"/>
      <c r="L968" s="8"/>
    </row>
    <row r="969">
      <c r="B969" s="20"/>
      <c r="G969" s="20"/>
      <c r="L969" s="8"/>
    </row>
    <row r="970">
      <c r="B970" s="20"/>
      <c r="G970" s="20"/>
      <c r="L970" s="8"/>
    </row>
    <row r="971">
      <c r="B971" s="20"/>
      <c r="G971" s="20"/>
      <c r="L971" s="8"/>
    </row>
    <row r="972">
      <c r="B972" s="20"/>
      <c r="G972" s="20"/>
      <c r="L972" s="8"/>
    </row>
    <row r="973">
      <c r="B973" s="20"/>
      <c r="G973" s="20"/>
      <c r="L973" s="8"/>
    </row>
    <row r="974">
      <c r="B974" s="20"/>
      <c r="G974" s="20"/>
      <c r="L974" s="8"/>
    </row>
    <row r="975">
      <c r="B975" s="20"/>
      <c r="G975" s="20"/>
      <c r="L975" s="8"/>
    </row>
    <row r="976">
      <c r="B976" s="20"/>
      <c r="G976" s="20"/>
      <c r="L976" s="8"/>
    </row>
    <row r="977">
      <c r="B977" s="20"/>
      <c r="G977" s="20"/>
      <c r="L977" s="8"/>
    </row>
    <row r="978">
      <c r="B978" s="20"/>
      <c r="G978" s="20"/>
      <c r="L978" s="8"/>
    </row>
    <row r="979">
      <c r="B979" s="20"/>
      <c r="G979" s="20"/>
      <c r="L979" s="8"/>
    </row>
    <row r="980">
      <c r="B980" s="20"/>
      <c r="G980" s="20"/>
      <c r="L980" s="8"/>
    </row>
    <row r="981">
      <c r="B981" s="20"/>
      <c r="G981" s="20"/>
      <c r="L981" s="8"/>
    </row>
    <row r="982">
      <c r="B982" s="20"/>
      <c r="G982" s="20"/>
      <c r="L982" s="8"/>
    </row>
    <row r="983">
      <c r="B983" s="20"/>
      <c r="G983" s="20"/>
      <c r="L983" s="8"/>
    </row>
    <row r="984">
      <c r="B984" s="20"/>
      <c r="G984" s="20"/>
      <c r="L984" s="8"/>
    </row>
    <row r="985">
      <c r="B985" s="20"/>
      <c r="G985" s="20"/>
      <c r="L985" s="8"/>
    </row>
    <row r="986">
      <c r="B986" s="20"/>
      <c r="G986" s="20"/>
      <c r="L986" s="8"/>
    </row>
    <row r="987">
      <c r="B987" s="20"/>
      <c r="G987" s="20"/>
      <c r="L987" s="8"/>
    </row>
    <row r="988">
      <c r="B988" s="20"/>
      <c r="G988" s="20"/>
      <c r="L988" s="8"/>
    </row>
    <row r="989">
      <c r="B989" s="20"/>
      <c r="G989" s="20"/>
      <c r="L989" s="8"/>
    </row>
    <row r="990">
      <c r="B990" s="20"/>
      <c r="G990" s="20"/>
      <c r="L990" s="8"/>
    </row>
    <row r="991">
      <c r="B991" s="20"/>
      <c r="G991" s="20"/>
      <c r="L991" s="8"/>
    </row>
    <row r="992">
      <c r="B992" s="20"/>
      <c r="G992" s="20"/>
      <c r="L992" s="8"/>
    </row>
    <row r="993">
      <c r="B993" s="20"/>
      <c r="G993" s="20"/>
      <c r="L993" s="8"/>
    </row>
    <row r="994">
      <c r="B994" s="20"/>
      <c r="G994" s="20"/>
      <c r="L994" s="8"/>
    </row>
    <row r="995">
      <c r="B995" s="20"/>
      <c r="G995" s="20"/>
      <c r="L995" s="8"/>
    </row>
    <row r="996">
      <c r="B996" s="20"/>
      <c r="G996" s="20"/>
      <c r="L996" s="8"/>
    </row>
  </sheetData>
  <dataValidations>
    <dataValidation type="list" allowBlank="1" showErrorMessage="1" sqref="E2:F55">
      <formula1>"이두,삼두,어깨,등,가슴,하체,코어,기타"</formula1>
    </dataValidation>
    <dataValidation type="list" allowBlank="1" showErrorMessage="1" sqref="L2:L55">
      <formula1>"양쪽 동시 (Dual),양쪽 번갈아서 (Alternating),한쪽씩 (Dual Serial),한쪽만 (Single)"</formula1>
    </dataValidation>
  </dataValidations>
  <hyperlinks>
    <hyperlink display="AllDB#" location="'설계 반영 항목 체크'!A1" ref="B1"/>
  </hyperlink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21.43"/>
    <col customWidth="1" min="6" max="6" width="21.0"/>
  </cols>
  <sheetData>
    <row r="2">
      <c r="H2" s="31" t="s">
        <v>195</v>
      </c>
      <c r="I2" s="16" t="s">
        <v>26</v>
      </c>
      <c r="K2" s="16" t="s">
        <v>196</v>
      </c>
      <c r="L2" s="16" t="s">
        <v>85</v>
      </c>
    </row>
    <row r="3">
      <c r="H3" s="16" t="s">
        <v>197</v>
      </c>
      <c r="I3" s="16" t="s">
        <v>146</v>
      </c>
      <c r="K3" s="16" t="s">
        <v>198</v>
      </c>
      <c r="L3" s="16" t="s">
        <v>199</v>
      </c>
    </row>
    <row r="4">
      <c r="H4" s="16" t="s">
        <v>200</v>
      </c>
      <c r="I4" s="16" t="s">
        <v>142</v>
      </c>
      <c r="K4" s="16" t="s">
        <v>201</v>
      </c>
      <c r="L4" s="16" t="s">
        <v>202</v>
      </c>
    </row>
    <row r="5">
      <c r="H5" s="16" t="s">
        <v>203</v>
      </c>
      <c r="I5" s="16" t="s">
        <v>44</v>
      </c>
    </row>
    <row r="6">
      <c r="H6" s="16" t="s">
        <v>204</v>
      </c>
      <c r="I6" s="16" t="s">
        <v>51</v>
      </c>
    </row>
    <row r="7">
      <c r="H7" s="16" t="s">
        <v>205</v>
      </c>
      <c r="I7" s="16" t="s">
        <v>206</v>
      </c>
    </row>
    <row r="8">
      <c r="H8" s="16" t="s">
        <v>207</v>
      </c>
      <c r="I8" s="16" t="s">
        <v>31</v>
      </c>
    </row>
    <row r="9">
      <c r="H9" s="16" t="s">
        <v>208</v>
      </c>
      <c r="I9" s="16" t="s">
        <v>102</v>
      </c>
    </row>
    <row r="10">
      <c r="H10" s="16" t="s">
        <v>209</v>
      </c>
      <c r="I10" s="16" t="s">
        <v>163</v>
      </c>
    </row>
    <row r="11">
      <c r="H11" s="16" t="s">
        <v>210</v>
      </c>
      <c r="I11" s="16" t="s">
        <v>164</v>
      </c>
    </row>
    <row r="12">
      <c r="H12" s="16" t="s">
        <v>211</v>
      </c>
      <c r="I12" s="16" t="s">
        <v>212</v>
      </c>
    </row>
    <row r="21">
      <c r="C21" s="30">
        <v>894.0</v>
      </c>
      <c r="D21" s="16" t="s">
        <v>213</v>
      </c>
      <c r="E21" s="16" t="s">
        <v>184</v>
      </c>
      <c r="F21" s="16" t="s">
        <v>214</v>
      </c>
      <c r="G21" s="16" t="s">
        <v>215</v>
      </c>
      <c r="H21" s="16" t="s">
        <v>216</v>
      </c>
      <c r="I21" s="16" t="s">
        <v>217</v>
      </c>
    </row>
    <row r="23">
      <c r="C23" s="32" t="str">
        <f>IMAGE("https://gymvisual.com/7439-catalog_default/barbell-lying-back-of-the-head-tricep-extension.jpg",4,500,500)</f>
        <v/>
      </c>
      <c r="D23" s="30">
        <v>474.0</v>
      </c>
      <c r="E23" s="16" t="s">
        <v>218</v>
      </c>
      <c r="F23" s="16" t="s">
        <v>184</v>
      </c>
      <c r="G23" s="16" t="s">
        <v>219</v>
      </c>
      <c r="H23" s="16" t="s">
        <v>186</v>
      </c>
      <c r="I23" s="16" t="s">
        <v>220</v>
      </c>
      <c r="J23" s="16" t="s">
        <v>220</v>
      </c>
    </row>
    <row r="25">
      <c r="C25" s="32" t="str">
        <f>IMAGE("https://gymvisual.com/1019-catalog_default/3-4-sit-up.jpg",4,500,500)</f>
        <v/>
      </c>
      <c r="D25" s="30">
        <v>1599.0</v>
      </c>
      <c r="E25" s="16" t="s">
        <v>221</v>
      </c>
      <c r="F25" s="16" t="s">
        <v>184</v>
      </c>
      <c r="G25" s="16" t="s">
        <v>219</v>
      </c>
      <c r="H25" s="16" t="s">
        <v>222</v>
      </c>
      <c r="I25" s="16" t="s">
        <v>223</v>
      </c>
      <c r="J25" s="16" t="s">
        <v>220</v>
      </c>
    </row>
    <row r="28">
      <c r="C28" s="16" t="s">
        <v>224</v>
      </c>
    </row>
    <row r="30">
      <c r="C30" s="32" t="str">
        <f>IMAGE("https://gymvisual.com/604-catalog_default/cable-overhead-triceps-extension-rope-attachment.jpg",4,500,500)</f>
        <v/>
      </c>
      <c r="D30" s="30">
        <v>1020.0</v>
      </c>
      <c r="E30" s="16" t="s">
        <v>225</v>
      </c>
      <c r="F30" s="16" t="s">
        <v>184</v>
      </c>
      <c r="G30" s="16" t="s">
        <v>219</v>
      </c>
      <c r="H30" s="16" t="s">
        <v>215</v>
      </c>
      <c r="I30" s="16" t="s">
        <v>223</v>
      </c>
      <c r="J30" s="16" t="s">
        <v>220</v>
      </c>
    </row>
    <row r="32">
      <c r="C32" s="30">
        <v>1027.0</v>
      </c>
      <c r="D32" s="16" t="s">
        <v>226</v>
      </c>
      <c r="E32" s="16" t="s">
        <v>184</v>
      </c>
      <c r="F32" s="16" t="s">
        <v>185</v>
      </c>
      <c r="G32" s="16" t="s">
        <v>215</v>
      </c>
      <c r="H32" s="16" t="s">
        <v>187</v>
      </c>
      <c r="I32" s="16" t="s">
        <v>227</v>
      </c>
    </row>
    <row r="34">
      <c r="C34" s="30">
        <v>1375.0</v>
      </c>
      <c r="D34" s="16" t="s">
        <v>156</v>
      </c>
      <c r="E34" s="16" t="s">
        <v>184</v>
      </c>
      <c r="F34" s="16" t="s">
        <v>228</v>
      </c>
      <c r="G34" s="16" t="s">
        <v>222</v>
      </c>
      <c r="H34" s="16" t="s">
        <v>220</v>
      </c>
      <c r="I34" s="16" t="s">
        <v>220</v>
      </c>
    </row>
    <row r="35">
      <c r="C35" s="30">
        <v>1376.0</v>
      </c>
      <c r="D35" s="16" t="s">
        <v>158</v>
      </c>
      <c r="E35" s="16" t="s">
        <v>184</v>
      </c>
      <c r="F35" s="16" t="s">
        <v>228</v>
      </c>
      <c r="G35" s="16" t="s">
        <v>222</v>
      </c>
      <c r="H35" s="16" t="s">
        <v>229</v>
      </c>
      <c r="I35" s="16" t="s">
        <v>230</v>
      </c>
    </row>
    <row r="36">
      <c r="C36" s="30">
        <v>1432.0</v>
      </c>
      <c r="D36" s="16" t="s">
        <v>231</v>
      </c>
      <c r="E36" s="16" t="s">
        <v>184</v>
      </c>
      <c r="F36" s="16" t="s">
        <v>219</v>
      </c>
      <c r="G36" s="16" t="s">
        <v>222</v>
      </c>
      <c r="H36" s="16" t="s">
        <v>232</v>
      </c>
      <c r="I36" s="16" t="s">
        <v>233</v>
      </c>
    </row>
    <row r="37">
      <c r="C37" s="30">
        <v>1477.0</v>
      </c>
      <c r="D37" s="16" t="s">
        <v>178</v>
      </c>
      <c r="E37" s="16" t="s">
        <v>184</v>
      </c>
      <c r="F37" s="16" t="s">
        <v>234</v>
      </c>
      <c r="G37" s="16" t="s">
        <v>222</v>
      </c>
      <c r="H37" s="16" t="s">
        <v>235</v>
      </c>
      <c r="I37" s="16" t="s">
        <v>236</v>
      </c>
    </row>
    <row r="38">
      <c r="C38" s="30">
        <v>338.0</v>
      </c>
      <c r="D38" s="16" t="s">
        <v>237</v>
      </c>
      <c r="E38" s="16" t="s">
        <v>184</v>
      </c>
      <c r="F38" s="16" t="s">
        <v>192</v>
      </c>
      <c r="G38" s="16" t="s">
        <v>186</v>
      </c>
      <c r="H38" s="16" t="s">
        <v>238</v>
      </c>
      <c r="I38" s="16" t="s">
        <v>239</v>
      </c>
    </row>
    <row r="39">
      <c r="C39" s="30">
        <v>344.0</v>
      </c>
      <c r="D39" s="16" t="s">
        <v>240</v>
      </c>
      <c r="E39" s="16" t="s">
        <v>184</v>
      </c>
      <c r="F39" s="16" t="s">
        <v>214</v>
      </c>
      <c r="G39" s="16" t="s">
        <v>186</v>
      </c>
      <c r="H39" s="16" t="s">
        <v>220</v>
      </c>
      <c r="I39" s="16" t="s">
        <v>220</v>
      </c>
    </row>
    <row r="40">
      <c r="C40" s="30">
        <v>400.0</v>
      </c>
      <c r="D40" s="16" t="s">
        <v>145</v>
      </c>
      <c r="E40" s="16" t="s">
        <v>184</v>
      </c>
      <c r="F40" s="16" t="s">
        <v>219</v>
      </c>
      <c r="G40" s="16" t="s">
        <v>186</v>
      </c>
      <c r="H40" s="16" t="s">
        <v>241</v>
      </c>
      <c r="I40" s="16" t="s">
        <v>242</v>
      </c>
    </row>
    <row r="41">
      <c r="C41" s="30">
        <v>405.0</v>
      </c>
      <c r="D41" s="16" t="s">
        <v>181</v>
      </c>
      <c r="E41" s="16" t="s">
        <v>184</v>
      </c>
      <c r="F41" s="16" t="s">
        <v>234</v>
      </c>
      <c r="G41" s="16" t="s">
        <v>186</v>
      </c>
      <c r="H41" s="16" t="s">
        <v>235</v>
      </c>
      <c r="I41" s="16" t="s">
        <v>243</v>
      </c>
    </row>
    <row r="42">
      <c r="C42" s="30">
        <v>413.0</v>
      </c>
      <c r="D42" s="16" t="s">
        <v>166</v>
      </c>
      <c r="E42" s="16" t="s">
        <v>184</v>
      </c>
      <c r="F42" s="16" t="s">
        <v>228</v>
      </c>
      <c r="G42" s="16" t="s">
        <v>186</v>
      </c>
      <c r="H42" s="16" t="s">
        <v>229</v>
      </c>
      <c r="I42" s="16" t="s">
        <v>244</v>
      </c>
    </row>
    <row r="43">
      <c r="C43" s="30">
        <v>426.0</v>
      </c>
      <c r="D43" s="16" t="s">
        <v>172</v>
      </c>
      <c r="E43" s="16" t="s">
        <v>184</v>
      </c>
      <c r="F43" s="16" t="s">
        <v>185</v>
      </c>
      <c r="G43" s="16" t="s">
        <v>186</v>
      </c>
      <c r="H43" s="16" t="s">
        <v>187</v>
      </c>
      <c r="I43" s="16" t="s">
        <v>188</v>
      </c>
    </row>
    <row r="44">
      <c r="C44" s="30">
        <v>433.0</v>
      </c>
      <c r="D44" s="16" t="s">
        <v>175</v>
      </c>
      <c r="E44" s="16" t="s">
        <v>184</v>
      </c>
      <c r="F44" s="16" t="s">
        <v>185</v>
      </c>
      <c r="G44" s="16" t="s">
        <v>186</v>
      </c>
      <c r="H44" s="16" t="s">
        <v>189</v>
      </c>
      <c r="I44" s="16" t="s">
        <v>190</v>
      </c>
    </row>
    <row r="45">
      <c r="C45" s="30">
        <v>454.0</v>
      </c>
      <c r="D45" s="16" t="s">
        <v>191</v>
      </c>
      <c r="E45" s="16" t="s">
        <v>184</v>
      </c>
      <c r="F45" s="16" t="s">
        <v>192</v>
      </c>
      <c r="G45" s="16" t="s">
        <v>186</v>
      </c>
      <c r="H45" s="16" t="s">
        <v>193</v>
      </c>
      <c r="I45" s="16" t="s">
        <v>194</v>
      </c>
    </row>
    <row r="46">
      <c r="A46" s="33"/>
      <c r="B46" s="33"/>
      <c r="C46" s="33"/>
      <c r="D46" s="33"/>
      <c r="E46" s="33"/>
      <c r="F46" s="33"/>
      <c r="G46" s="33"/>
      <c r="H46" s="33"/>
    </row>
    <row r="47">
      <c r="A47" s="33"/>
      <c r="B47" s="33"/>
      <c r="C47" s="33"/>
      <c r="D47" s="33"/>
      <c r="E47" s="33"/>
      <c r="F47" s="33"/>
      <c r="G47" s="33"/>
      <c r="H47" s="33"/>
    </row>
    <row r="48">
      <c r="A48" s="33"/>
      <c r="B48" s="33"/>
      <c r="C48" s="33"/>
      <c r="D48" s="33"/>
      <c r="E48" s="33"/>
      <c r="F48" s="33"/>
      <c r="G48" s="33"/>
      <c r="H48" s="3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43"/>
    <col customWidth="1" min="2" max="2" width="74.29"/>
    <col customWidth="1" min="3" max="3" width="5.43"/>
    <col customWidth="1" min="4" max="4" width="37.0"/>
    <col customWidth="1" min="5" max="5" width="17.0"/>
    <col customWidth="1" min="6" max="6" width="31.86"/>
    <col customWidth="1" min="7" max="7" width="19.86"/>
    <col customWidth="1" min="8" max="9" width="40.43"/>
    <col customWidth="1" min="10" max="27" width="74.29"/>
  </cols>
  <sheetData>
    <row r="1" ht="24.75" customHeight="1">
      <c r="A1" s="16" t="s">
        <v>245</v>
      </c>
      <c r="C1" s="32" t="s">
        <v>246</v>
      </c>
      <c r="D1" s="34" t="s">
        <v>247</v>
      </c>
      <c r="E1" s="34" t="s">
        <v>248</v>
      </c>
      <c r="F1" s="34" t="s">
        <v>249</v>
      </c>
      <c r="G1" s="34" t="s">
        <v>250</v>
      </c>
      <c r="H1" s="34" t="s">
        <v>251</v>
      </c>
      <c r="I1" s="34" t="s">
        <v>252</v>
      </c>
    </row>
    <row r="2" ht="242.25" hidden="1" customHeight="1">
      <c r="B2" s="32" t="str">
        <f>IMAGE("https://gymvisual.com/10999-catalog_default/3-4-sit-up-female.jpg",4,500,500)</f>
        <v/>
      </c>
      <c r="C2" s="30">
        <v>1.0</v>
      </c>
      <c r="D2" s="16" t="s">
        <v>253</v>
      </c>
      <c r="E2" s="16" t="s">
        <v>184</v>
      </c>
      <c r="F2" s="16" t="s">
        <v>254</v>
      </c>
      <c r="G2" s="16" t="s">
        <v>255</v>
      </c>
      <c r="H2" s="16" t="s">
        <v>256</v>
      </c>
      <c r="I2" s="16" t="s">
        <v>257</v>
      </c>
    </row>
    <row r="3" ht="242.25" hidden="1" customHeight="1">
      <c r="B3" s="32" t="str">
        <f>IMAGE("https://gymvisual.com/33-catalog_default/34-sit-up.jpg",4,500,500)</f>
        <v/>
      </c>
      <c r="C3" s="30">
        <v>2.0</v>
      </c>
      <c r="D3" s="16" t="s">
        <v>258</v>
      </c>
      <c r="E3" s="16" t="s">
        <v>184</v>
      </c>
      <c r="F3" s="16" t="s">
        <v>254</v>
      </c>
      <c r="G3" s="16" t="s">
        <v>255</v>
      </c>
      <c r="H3" s="16" t="s">
        <v>256</v>
      </c>
      <c r="I3" s="16" t="s">
        <v>257</v>
      </c>
    </row>
    <row r="4" ht="242.25" hidden="1" customHeight="1">
      <c r="B4" s="32" t="str">
        <f>IMAGE("https://gymvisual.com/4455-catalog_default/45-degree-bycicle-twisting-crunch.jpg",4,500,500)</f>
        <v/>
      </c>
      <c r="C4" s="30">
        <v>3.0</v>
      </c>
      <c r="D4" s="16" t="s">
        <v>259</v>
      </c>
      <c r="E4" s="16" t="s">
        <v>184</v>
      </c>
      <c r="F4" s="16" t="s">
        <v>254</v>
      </c>
      <c r="G4" s="16" t="s">
        <v>255</v>
      </c>
      <c r="H4" s="16" t="s">
        <v>260</v>
      </c>
      <c r="I4" s="16" t="s">
        <v>261</v>
      </c>
    </row>
    <row r="5" ht="242.25" hidden="1" customHeight="1">
      <c r="B5" s="32" t="str">
        <f>IMAGE("https://gymvisual.com/20513-catalog_default/45-degree-bycicle-twisting-crunch-male.jpg",4,500,500)</f>
        <v/>
      </c>
      <c r="C5" s="30">
        <v>4.0</v>
      </c>
      <c r="D5" s="16" t="s">
        <v>262</v>
      </c>
      <c r="E5" s="16" t="s">
        <v>184</v>
      </c>
      <c r="F5" s="16" t="s">
        <v>254</v>
      </c>
      <c r="G5" s="16" t="s">
        <v>255</v>
      </c>
      <c r="H5" s="16" t="s">
        <v>263</v>
      </c>
      <c r="I5" s="16" t="s">
        <v>264</v>
      </c>
    </row>
    <row r="6" ht="242.25" hidden="1" customHeight="1">
      <c r="B6" s="32" t="str">
        <f>IMAGE("https://gymvisual.com/19944-catalog_default/45-degree-hip-extension-glute-focused.jpg",4,500,500)</f>
        <v/>
      </c>
      <c r="C6" s="30">
        <v>5.0</v>
      </c>
      <c r="D6" s="16" t="s">
        <v>265</v>
      </c>
      <c r="E6" s="16" t="s">
        <v>184</v>
      </c>
      <c r="F6" s="16" t="s">
        <v>185</v>
      </c>
      <c r="G6" s="16" t="s">
        <v>255</v>
      </c>
      <c r="H6" s="16" t="s">
        <v>187</v>
      </c>
      <c r="I6" s="16" t="s">
        <v>188</v>
      </c>
    </row>
    <row r="7" ht="242.25" hidden="1" customHeight="1">
      <c r="B7" s="32" t="str">
        <f>IMAGE("https://gymvisual.com/2767-catalog_default/45-degree-hyperextension-arms-in-front-of-chest.jpg",4,500,500)</f>
        <v/>
      </c>
      <c r="C7" s="30">
        <v>6.0</v>
      </c>
      <c r="D7" s="16" t="s">
        <v>266</v>
      </c>
      <c r="E7" s="16" t="s">
        <v>184</v>
      </c>
      <c r="F7" s="16" t="s">
        <v>192</v>
      </c>
      <c r="G7" s="16" t="s">
        <v>255</v>
      </c>
      <c r="H7" s="16" t="s">
        <v>267</v>
      </c>
      <c r="I7" s="16" t="s">
        <v>188</v>
      </c>
    </row>
    <row r="8" ht="242.25" hidden="1" customHeight="1">
      <c r="B8" s="32" t="str">
        <f>IMAGE("https://gymvisual.com/6472-catalog_default/45-degree-hyperextension-arms-in-front-of-chest-side-pov.jpg",4,500,500)</f>
        <v/>
      </c>
      <c r="C8" s="30">
        <v>7.0</v>
      </c>
      <c r="D8" s="16" t="s">
        <v>268</v>
      </c>
      <c r="E8" s="16" t="s">
        <v>184</v>
      </c>
      <c r="F8" s="16" t="s">
        <v>185</v>
      </c>
      <c r="G8" s="16" t="s">
        <v>255</v>
      </c>
      <c r="H8" s="16" t="s">
        <v>187</v>
      </c>
      <c r="I8" s="16" t="s">
        <v>227</v>
      </c>
    </row>
    <row r="9" ht="242.25" hidden="1" customHeight="1">
      <c r="B9" s="32" t="str">
        <f>IMAGE("https://gymvisual.com/4410-catalog_default/45-degree-one-leg-hyperextension-arms-in-front-of-chest.jpg",4,500,500)</f>
        <v/>
      </c>
      <c r="C9" s="30">
        <v>8.0</v>
      </c>
      <c r="D9" s="16" t="s">
        <v>269</v>
      </c>
      <c r="E9" s="16" t="s">
        <v>184</v>
      </c>
      <c r="F9" s="16" t="s">
        <v>185</v>
      </c>
      <c r="G9" s="16" t="s">
        <v>255</v>
      </c>
      <c r="H9" s="16" t="s">
        <v>227</v>
      </c>
      <c r="I9" s="16" t="s">
        <v>187</v>
      </c>
    </row>
    <row r="10" ht="242.25" hidden="1" customHeight="1">
      <c r="B10" s="32" t="str">
        <f>IMAGE("https://gymvisual.com/36-catalog_default/45-degree-side-bend.jpg",4,500,500)</f>
        <v/>
      </c>
      <c r="C10" s="30">
        <v>9.0</v>
      </c>
      <c r="D10" s="16" t="s">
        <v>270</v>
      </c>
      <c r="E10" s="16" t="s">
        <v>184</v>
      </c>
      <c r="F10" s="16" t="s">
        <v>254</v>
      </c>
      <c r="G10" s="16" t="s">
        <v>255</v>
      </c>
      <c r="H10" s="16" t="s">
        <v>257</v>
      </c>
      <c r="I10" s="16" t="s">
        <v>271</v>
      </c>
    </row>
    <row r="11" ht="242.25" hidden="1" customHeight="1">
      <c r="B11" s="32" t="str">
        <f>IMAGE("https://gymvisual.com/4413-catalog_default/45-degree-twisting-hyperextension.jpg",4,500,500)</f>
        <v/>
      </c>
      <c r="C11" s="30">
        <v>10.0</v>
      </c>
      <c r="D11" s="16" t="s">
        <v>272</v>
      </c>
      <c r="E11" s="16" t="s">
        <v>184</v>
      </c>
      <c r="F11" s="16" t="s">
        <v>185</v>
      </c>
      <c r="G11" s="16" t="s">
        <v>255</v>
      </c>
      <c r="H11" s="16" t="s">
        <v>273</v>
      </c>
      <c r="I11" s="16" t="s">
        <v>187</v>
      </c>
    </row>
    <row r="12" ht="242.25" hidden="1" customHeight="1">
      <c r="B12" s="32" t="str">
        <f>IMAGE("https://gymvisual.com/19012-catalog_default/45-degrees-back-extension.jpg",4,500,500)</f>
        <v/>
      </c>
      <c r="C12" s="30">
        <v>11.0</v>
      </c>
      <c r="D12" s="16" t="s">
        <v>274</v>
      </c>
      <c r="E12" s="16" t="s">
        <v>184</v>
      </c>
      <c r="F12" s="16" t="s">
        <v>185</v>
      </c>
      <c r="G12" s="16" t="s">
        <v>255</v>
      </c>
      <c r="H12" s="16" t="s">
        <v>275</v>
      </c>
      <c r="I12" s="16" t="s">
        <v>220</v>
      </c>
    </row>
    <row r="13" ht="242.25" hidden="1" customHeight="1">
      <c r="B13" s="32" t="str">
        <f>IMAGE("https://gymvisual.com/10930-catalog_default/45-degrees-side-bend-female.jpg",4,500,500)</f>
        <v/>
      </c>
      <c r="C13" s="30">
        <v>12.0</v>
      </c>
      <c r="D13" s="16" t="s">
        <v>276</v>
      </c>
      <c r="E13" s="16" t="s">
        <v>184</v>
      </c>
      <c r="F13" s="16" t="s">
        <v>254</v>
      </c>
      <c r="G13" s="16" t="s">
        <v>255</v>
      </c>
      <c r="H13" s="16" t="s">
        <v>257</v>
      </c>
      <c r="I13" s="16" t="s">
        <v>271</v>
      </c>
    </row>
    <row r="14" ht="242.25" hidden="1" customHeight="1">
      <c r="B14" s="32" t="str">
        <f>IMAGE("https://gymvisual.com/25069-catalog_default/45-degrees-side-bend-male.jpg",4,500,500)</f>
        <v/>
      </c>
      <c r="C14" s="30">
        <v>13.0</v>
      </c>
      <c r="D14" s="16" t="s">
        <v>277</v>
      </c>
      <c r="E14" s="16" t="s">
        <v>184</v>
      </c>
      <c r="F14" s="16" t="s">
        <v>254</v>
      </c>
      <c r="G14" s="16" t="s">
        <v>255</v>
      </c>
      <c r="H14" s="16" t="s">
        <v>220</v>
      </c>
      <c r="I14" s="16" t="s">
        <v>220</v>
      </c>
    </row>
    <row r="15" ht="242.25" hidden="1" customHeight="1">
      <c r="B15" s="32" t="str">
        <f>IMAGE("https://gymvisual.com/22588-catalog_default/90-degree-heel-touch.jpg",4,500,500)</f>
        <v/>
      </c>
      <c r="C15" s="30">
        <v>14.0</v>
      </c>
      <c r="D15" s="16" t="s">
        <v>278</v>
      </c>
      <c r="E15" s="16" t="s">
        <v>184</v>
      </c>
      <c r="F15" s="16" t="s">
        <v>254</v>
      </c>
      <c r="G15" s="16" t="s">
        <v>255</v>
      </c>
      <c r="H15" s="16" t="s">
        <v>256</v>
      </c>
      <c r="I15" s="16" t="s">
        <v>257</v>
      </c>
    </row>
    <row r="16" ht="242.25" hidden="1" customHeight="1">
      <c r="B16" s="32" t="str">
        <f>IMAGE("https://gymvisual.com/9694-catalog_default/ab-roller-crunch.jpg",4,500,500)</f>
        <v/>
      </c>
      <c r="C16" s="30">
        <v>15.0</v>
      </c>
      <c r="D16" s="16" t="s">
        <v>279</v>
      </c>
      <c r="E16" s="16" t="s">
        <v>184</v>
      </c>
      <c r="F16" s="16" t="s">
        <v>254</v>
      </c>
      <c r="G16" s="16" t="s">
        <v>255</v>
      </c>
      <c r="H16" s="16" t="s">
        <v>256</v>
      </c>
      <c r="I16" s="16" t="s">
        <v>257</v>
      </c>
    </row>
    <row r="17" ht="242.25" hidden="1" customHeight="1">
      <c r="B17" s="32" t="str">
        <f>IMAGE("https://gymvisual.com/18768-catalog_default/abdominal-4-points.jpg",4,500,500)</f>
        <v/>
      </c>
      <c r="C17" s="30">
        <v>16.0</v>
      </c>
      <c r="D17" s="16" t="s">
        <v>280</v>
      </c>
      <c r="E17" s="16" t="s">
        <v>184</v>
      </c>
      <c r="F17" s="16" t="s">
        <v>254</v>
      </c>
      <c r="G17" s="16" t="s">
        <v>255</v>
      </c>
      <c r="H17" s="16" t="s">
        <v>220</v>
      </c>
      <c r="I17" s="16" t="s">
        <v>220</v>
      </c>
    </row>
    <row r="18" ht="242.25" hidden="1" customHeight="1">
      <c r="B18" s="32" t="str">
        <f>IMAGE("https://gymvisual.com/8815-catalog_default/air-bike.jpg",4,500,500)</f>
        <v/>
      </c>
      <c r="C18" s="30">
        <v>17.0</v>
      </c>
      <c r="D18" s="16" t="s">
        <v>281</v>
      </c>
      <c r="E18" s="16" t="s">
        <v>184</v>
      </c>
      <c r="F18" s="16" t="s">
        <v>254</v>
      </c>
      <c r="G18" s="16" t="s">
        <v>255</v>
      </c>
      <c r="H18" s="16" t="s">
        <v>257</v>
      </c>
      <c r="I18" s="16" t="s">
        <v>282</v>
      </c>
    </row>
    <row r="19" ht="242.25" hidden="1" customHeight="1">
      <c r="B19" s="32" t="str">
        <f>IMAGE("https://gymvisual.com/20664-catalog_default/air-bike-version-2-female.jpg",4,500,500)</f>
        <v/>
      </c>
      <c r="C19" s="30">
        <v>18.0</v>
      </c>
      <c r="D19" s="16" t="s">
        <v>283</v>
      </c>
      <c r="E19" s="16" t="s">
        <v>184</v>
      </c>
      <c r="F19" s="16" t="s">
        <v>254</v>
      </c>
      <c r="G19" s="16" t="s">
        <v>255</v>
      </c>
      <c r="H19" s="16" t="s">
        <v>257</v>
      </c>
      <c r="I19" s="16" t="s">
        <v>282</v>
      </c>
    </row>
    <row r="20" ht="242.25" hidden="1" customHeight="1">
      <c r="B20" s="32" t="str">
        <f>IMAGE("https://gymvisual.com/17785-catalog_default/air-squat-female.jpg",4,500,500)</f>
        <v/>
      </c>
      <c r="C20" s="30">
        <v>19.0</v>
      </c>
      <c r="D20" s="16" t="s">
        <v>284</v>
      </c>
      <c r="E20" s="16" t="s">
        <v>184</v>
      </c>
      <c r="F20" s="16" t="s">
        <v>285</v>
      </c>
      <c r="G20" s="16" t="s">
        <v>255</v>
      </c>
      <c r="H20" s="16" t="s">
        <v>220</v>
      </c>
      <c r="I20" s="16" t="s">
        <v>220</v>
      </c>
    </row>
    <row r="21" ht="242.25" hidden="1" customHeight="1">
      <c r="B21" s="32" t="str">
        <f>IMAGE("https://gymvisual.com/22185-catalog_default/air-squat-version-2.jpg",4,500,500)</f>
        <v/>
      </c>
      <c r="C21" s="30">
        <v>20.0</v>
      </c>
      <c r="D21" s="16" t="s">
        <v>286</v>
      </c>
      <c r="E21" s="16" t="s">
        <v>184</v>
      </c>
      <c r="F21" s="16" t="s">
        <v>285</v>
      </c>
      <c r="G21" s="16" t="s">
        <v>255</v>
      </c>
      <c r="H21" s="16" t="s">
        <v>220</v>
      </c>
      <c r="I21" s="16" t="s">
        <v>220</v>
      </c>
    </row>
    <row r="22" ht="242.25" hidden="1" customHeight="1">
      <c r="B22" s="32" t="str">
        <f>IMAGE("https://gymvisual.com/42-catalog_default/air-twisting-crunch.jpg",4,500,500)</f>
        <v/>
      </c>
      <c r="C22" s="30">
        <v>21.0</v>
      </c>
      <c r="D22" s="16" t="s">
        <v>287</v>
      </c>
      <c r="E22" s="16" t="s">
        <v>184</v>
      </c>
      <c r="F22" s="16" t="s">
        <v>254</v>
      </c>
      <c r="G22" s="16" t="s">
        <v>255</v>
      </c>
      <c r="H22" s="16" t="s">
        <v>257</v>
      </c>
      <c r="I22" s="16" t="s">
        <v>282</v>
      </c>
    </row>
    <row r="23" ht="242.25" hidden="1" customHeight="1">
      <c r="B23" s="32" t="str">
        <f>IMAGE("https://gymvisual.com/20515-catalog_default/air-twisting-crunch-male.jpg",4,500,500)</f>
        <v/>
      </c>
      <c r="C23" s="30">
        <v>22.0</v>
      </c>
      <c r="D23" s="16" t="s">
        <v>288</v>
      </c>
      <c r="E23" s="16" t="s">
        <v>184</v>
      </c>
      <c r="F23" s="16" t="s">
        <v>254</v>
      </c>
      <c r="G23" s="16" t="s">
        <v>255</v>
      </c>
      <c r="H23" s="16" t="s">
        <v>263</v>
      </c>
      <c r="I23" s="16" t="s">
        <v>289</v>
      </c>
    </row>
    <row r="24" ht="242.25" hidden="1" customHeight="1">
      <c r="B24" s="32" t="str">
        <f>IMAGE("https://gymvisual.com/45-catalog_default/alternate-biceps-curl-with-band.jpg",4,500,500)</f>
        <v/>
      </c>
      <c r="C24" s="30">
        <v>23.0</v>
      </c>
      <c r="D24" s="16" t="s">
        <v>290</v>
      </c>
      <c r="E24" s="16" t="s">
        <v>184</v>
      </c>
      <c r="F24" s="16" t="s">
        <v>219</v>
      </c>
      <c r="G24" s="16" t="s">
        <v>291</v>
      </c>
      <c r="H24" s="16" t="s">
        <v>241</v>
      </c>
      <c r="I24" s="16" t="s">
        <v>292</v>
      </c>
    </row>
    <row r="25" ht="242.25" hidden="1" customHeight="1">
      <c r="B25" s="32" t="str">
        <f>IMAGE("https://gymvisual.com/13974-catalog_default/alternate-heel-touch-side-kick-squat.jpg",4,500,500)</f>
        <v/>
      </c>
      <c r="C25" s="30">
        <v>24.0</v>
      </c>
      <c r="D25" s="16" t="s">
        <v>293</v>
      </c>
      <c r="E25" s="16" t="s">
        <v>184</v>
      </c>
      <c r="F25" s="16" t="s">
        <v>294</v>
      </c>
      <c r="G25" s="16" t="s">
        <v>255</v>
      </c>
      <c r="H25" s="16" t="s">
        <v>295</v>
      </c>
      <c r="I25" s="16" t="s">
        <v>296</v>
      </c>
    </row>
    <row r="26" ht="242.25" hidden="1" customHeight="1">
      <c r="B26" s="32" t="str">
        <f>IMAGE("https://gymvisual.com/14344-catalog_default/alternate-heel-touchers.jpg",4,500,500)</f>
        <v/>
      </c>
      <c r="C26" s="30">
        <v>25.0</v>
      </c>
      <c r="D26" s="16" t="s">
        <v>297</v>
      </c>
      <c r="E26" s="16" t="s">
        <v>184</v>
      </c>
      <c r="F26" s="16" t="s">
        <v>254</v>
      </c>
      <c r="G26" s="16" t="s">
        <v>255</v>
      </c>
      <c r="H26" s="16" t="s">
        <v>257</v>
      </c>
      <c r="I26" s="16" t="s">
        <v>220</v>
      </c>
    </row>
    <row r="27" ht="242.25" hidden="1" customHeight="1">
      <c r="B27" s="32" t="str">
        <f>IMAGE("https://gymvisual.com/17697-catalog_default/alternate-heel-touchers-female.jpg",4,500,500)</f>
        <v/>
      </c>
      <c r="C27" s="30">
        <v>26.0</v>
      </c>
      <c r="D27" s="16" t="s">
        <v>298</v>
      </c>
      <c r="E27" s="16" t="s">
        <v>184</v>
      </c>
      <c r="F27" s="16" t="s">
        <v>254</v>
      </c>
      <c r="G27" s="16" t="s">
        <v>255</v>
      </c>
      <c r="H27" s="16" t="s">
        <v>257</v>
      </c>
      <c r="I27" s="16" t="s">
        <v>220</v>
      </c>
    </row>
    <row r="28" ht="242.25" customHeight="1">
      <c r="A28" s="32" t="b">
        <v>0</v>
      </c>
      <c r="B28" s="32" t="str">
        <f>IMAGE("https://gymvisual.com/51-catalog_default/alternate-lateral-pulldown.jpg",4,500,500)</f>
        <v/>
      </c>
      <c r="C28" s="30">
        <v>27.0</v>
      </c>
      <c r="D28" s="16" t="s">
        <v>299</v>
      </c>
      <c r="E28" s="16" t="s">
        <v>184</v>
      </c>
      <c r="F28" s="16" t="s">
        <v>192</v>
      </c>
      <c r="G28" s="16" t="s">
        <v>215</v>
      </c>
      <c r="H28" s="16" t="s">
        <v>300</v>
      </c>
      <c r="I28" s="16" t="s">
        <v>301</v>
      </c>
    </row>
    <row r="29" ht="242.25" hidden="1" customHeight="1">
      <c r="B29" s="32" t="str">
        <f>IMAGE("https://gymvisual.com/6962-catalog_default/alternate-leg-raise.jpg",4,500,500)</f>
        <v/>
      </c>
      <c r="C29" s="30">
        <v>28.0</v>
      </c>
      <c r="D29" s="16" t="s">
        <v>302</v>
      </c>
      <c r="E29" s="16" t="s">
        <v>184</v>
      </c>
      <c r="F29" s="16" t="s">
        <v>185</v>
      </c>
      <c r="G29" s="16" t="s">
        <v>255</v>
      </c>
      <c r="H29" s="16" t="s">
        <v>271</v>
      </c>
      <c r="I29" s="16" t="s">
        <v>303</v>
      </c>
    </row>
    <row r="30" ht="242.25" hidden="1" customHeight="1">
      <c r="B30" s="32" t="str">
        <f>IMAGE("https://gymvisual.com/23673-catalog_default/alternate-leg-raise-male.jpg",4,500,500)</f>
        <v/>
      </c>
      <c r="C30" s="30">
        <v>29.0</v>
      </c>
      <c r="D30" s="16" t="s">
        <v>304</v>
      </c>
      <c r="E30" s="16" t="s">
        <v>184</v>
      </c>
      <c r="F30" s="16" t="s">
        <v>185</v>
      </c>
      <c r="G30" s="16" t="s">
        <v>255</v>
      </c>
      <c r="H30" s="16" t="s">
        <v>305</v>
      </c>
      <c r="I30" s="16" t="s">
        <v>289</v>
      </c>
    </row>
    <row r="31" ht="242.25" hidden="1" customHeight="1">
      <c r="B31" s="32" t="str">
        <f>IMAGE("https://gymvisual.com/22732-catalog_default/alternate-leg-raise-with-head-up.jpg",4,500,500)</f>
        <v/>
      </c>
      <c r="C31" s="30">
        <v>30.0</v>
      </c>
      <c r="D31" s="16" t="s">
        <v>306</v>
      </c>
      <c r="E31" s="16" t="s">
        <v>184</v>
      </c>
      <c r="F31" s="16" t="s">
        <v>254</v>
      </c>
      <c r="G31" s="16" t="s">
        <v>255</v>
      </c>
      <c r="H31" s="16" t="s">
        <v>305</v>
      </c>
      <c r="I31" s="16" t="s">
        <v>289</v>
      </c>
    </row>
    <row r="32" ht="242.25" hidden="1" customHeight="1">
      <c r="B32" s="32" t="str">
        <f>IMAGE("https://gymvisual.com/54-catalog_default/alternate-lying-floor-leg-raise.jpg",4,500,500)</f>
        <v/>
      </c>
      <c r="C32" s="30">
        <v>31.0</v>
      </c>
      <c r="D32" s="16" t="s">
        <v>307</v>
      </c>
      <c r="E32" s="16" t="s">
        <v>184</v>
      </c>
      <c r="F32" s="16" t="s">
        <v>254</v>
      </c>
      <c r="G32" s="16" t="s">
        <v>255</v>
      </c>
      <c r="H32" s="16" t="s">
        <v>256</v>
      </c>
      <c r="I32" s="16" t="s">
        <v>308</v>
      </c>
    </row>
    <row r="33" ht="242.25" hidden="1" customHeight="1">
      <c r="B33" s="32" t="str">
        <f>IMAGE("https://gymvisual.com/14244-catalog_default/alternate-lying-floor-leg-raise-male.jpg",4,500,500)</f>
        <v/>
      </c>
      <c r="C33" s="30">
        <v>32.0</v>
      </c>
      <c r="D33" s="16" t="s">
        <v>309</v>
      </c>
      <c r="E33" s="16" t="s">
        <v>184</v>
      </c>
      <c r="F33" s="16" t="s">
        <v>310</v>
      </c>
      <c r="G33" s="16" t="s">
        <v>255</v>
      </c>
      <c r="H33" s="16" t="s">
        <v>305</v>
      </c>
      <c r="I33" s="16" t="s">
        <v>311</v>
      </c>
    </row>
    <row r="34" ht="242.25" hidden="1" customHeight="1">
      <c r="B34" s="32" t="str">
        <f>IMAGE("https://gymvisual.com/18873-catalog_default/alternate-oblique-crunch.jpg",4,500,500)</f>
        <v/>
      </c>
      <c r="C34" s="30">
        <v>33.0</v>
      </c>
      <c r="D34" s="16" t="s">
        <v>312</v>
      </c>
      <c r="E34" s="16" t="s">
        <v>184</v>
      </c>
      <c r="F34" s="16" t="s">
        <v>254</v>
      </c>
      <c r="G34" s="16" t="s">
        <v>255</v>
      </c>
      <c r="H34" s="16" t="s">
        <v>257</v>
      </c>
      <c r="I34" s="16" t="s">
        <v>256</v>
      </c>
    </row>
    <row r="35" ht="242.25" hidden="1" customHeight="1">
      <c r="B35" s="32" t="str">
        <f>IMAGE("https://gymvisual.com/13976-catalog_default/alternate-sprinter-lunge.jpg",4,500,500)</f>
        <v/>
      </c>
      <c r="C35" s="30">
        <v>34.0</v>
      </c>
      <c r="D35" s="16" t="s">
        <v>313</v>
      </c>
      <c r="E35" s="16" t="s">
        <v>184</v>
      </c>
      <c r="F35" s="16" t="s">
        <v>294</v>
      </c>
      <c r="G35" s="16" t="s">
        <v>255</v>
      </c>
      <c r="H35" s="16" t="s">
        <v>189</v>
      </c>
      <c r="I35" s="16" t="s">
        <v>314</v>
      </c>
    </row>
    <row r="36" ht="242.25" customHeight="1">
      <c r="B36" s="32" t="str">
        <f>IMAGE("https://gymvisual.com/4458-catalog_default/alternate-straight-leg-raise-on-bosu-ball.jpg",4,500,500)</f>
        <v/>
      </c>
      <c r="C36" s="30">
        <v>35.0</v>
      </c>
      <c r="D36" s="16" t="s">
        <v>315</v>
      </c>
      <c r="E36" s="16" t="s">
        <v>184</v>
      </c>
      <c r="F36" s="16" t="s">
        <v>254</v>
      </c>
      <c r="G36" s="16" t="s">
        <v>316</v>
      </c>
      <c r="H36" s="16" t="s">
        <v>305</v>
      </c>
      <c r="I36" s="16" t="s">
        <v>317</v>
      </c>
    </row>
    <row r="37" ht="242.25" hidden="1" customHeight="1">
      <c r="B37" s="32" t="str">
        <f>IMAGE("https://gymvisual.com/23907-catalog_default/alternate-toe-tap-leg-lift.jpg",4,500,500)</f>
        <v/>
      </c>
      <c r="C37" s="30">
        <v>36.0</v>
      </c>
      <c r="D37" s="16" t="s">
        <v>318</v>
      </c>
      <c r="E37" s="16" t="s">
        <v>184</v>
      </c>
      <c r="F37" s="16" t="s">
        <v>185</v>
      </c>
      <c r="G37" s="16" t="s">
        <v>255</v>
      </c>
      <c r="H37" s="16" t="s">
        <v>305</v>
      </c>
      <c r="I37" s="16" t="s">
        <v>319</v>
      </c>
    </row>
    <row r="38" ht="242.25" hidden="1" customHeight="1">
      <c r="B38" s="32" t="str">
        <f>IMAGE("https://gymvisual.com/23607-catalog_default/alternating-hamstring-curl-with-punche.jpg",4,500,500)</f>
        <v/>
      </c>
      <c r="C38" s="30">
        <v>37.0</v>
      </c>
      <c r="D38" s="16" t="s">
        <v>320</v>
      </c>
      <c r="E38" s="16" t="s">
        <v>184</v>
      </c>
      <c r="F38" s="16" t="s">
        <v>321</v>
      </c>
      <c r="G38" s="16" t="s">
        <v>255</v>
      </c>
      <c r="H38" s="16" t="s">
        <v>220</v>
      </c>
      <c r="I38" s="16" t="s">
        <v>220</v>
      </c>
    </row>
    <row r="39" ht="242.25" hidden="1" customHeight="1">
      <c r="B39" s="32" t="str">
        <f>IMAGE("https://gymvisual.com/23605-catalog_default/alternating-step-out.jpg",4,500,500)</f>
        <v/>
      </c>
      <c r="C39" s="30">
        <v>38.0</v>
      </c>
      <c r="D39" s="16" t="s">
        <v>322</v>
      </c>
      <c r="E39" s="16" t="s">
        <v>184</v>
      </c>
      <c r="F39" s="16" t="s">
        <v>321</v>
      </c>
      <c r="G39" s="16" t="s">
        <v>255</v>
      </c>
      <c r="H39" s="16" t="s">
        <v>220</v>
      </c>
      <c r="I39" s="16" t="s">
        <v>220</v>
      </c>
    </row>
    <row r="40" ht="242.25" hidden="1" customHeight="1">
      <c r="B40" s="32" t="str">
        <f>IMAGE("https://gymvisual.com/22187-catalog_default/alternating-superman.jpg",4,500,500)</f>
        <v/>
      </c>
      <c r="C40" s="30">
        <v>39.0</v>
      </c>
      <c r="D40" s="16" t="s">
        <v>323</v>
      </c>
      <c r="E40" s="16" t="s">
        <v>184</v>
      </c>
      <c r="F40" s="16" t="s">
        <v>185</v>
      </c>
      <c r="G40" s="16" t="s">
        <v>255</v>
      </c>
      <c r="H40" s="16" t="s">
        <v>220</v>
      </c>
      <c r="I40" s="16" t="s">
        <v>220</v>
      </c>
    </row>
    <row r="41" ht="242.25" hidden="1" customHeight="1">
      <c r="B41" s="32" t="str">
        <f>IMAGE("https://gymvisual.com/22789-catalog_default/alternating-superman.jpg",4,500,500)</f>
        <v/>
      </c>
      <c r="C41" s="30">
        <v>40.0</v>
      </c>
      <c r="D41" s="16" t="s">
        <v>323</v>
      </c>
      <c r="E41" s="16" t="s">
        <v>184</v>
      </c>
      <c r="F41" s="16" t="s">
        <v>185</v>
      </c>
      <c r="G41" s="16" t="s">
        <v>255</v>
      </c>
      <c r="H41" s="16" t="s">
        <v>267</v>
      </c>
      <c r="I41" s="16" t="s">
        <v>188</v>
      </c>
    </row>
    <row r="42" ht="242.25" hidden="1" customHeight="1">
      <c r="B42" s="32" t="str">
        <f>IMAGE("https://gymvisual.com/6063-catalog_default/ankle-circles.jpg",4,500,500)</f>
        <v/>
      </c>
      <c r="C42" s="30">
        <v>41.0</v>
      </c>
      <c r="D42" s="16" t="s">
        <v>324</v>
      </c>
      <c r="E42" s="16" t="s">
        <v>184</v>
      </c>
      <c r="F42" s="16" t="s">
        <v>325</v>
      </c>
      <c r="G42" s="16" t="s">
        <v>255</v>
      </c>
      <c r="H42" s="16" t="s">
        <v>326</v>
      </c>
      <c r="I42" s="16" t="s">
        <v>220</v>
      </c>
    </row>
    <row r="43" ht="242.25" hidden="1" customHeight="1">
      <c r="B43" s="32" t="str">
        <f>IMAGE("https://gymvisual.com/22105-catalog_default/ankle-circles-female.jpg",4,500,500)</f>
        <v/>
      </c>
      <c r="C43" s="30">
        <v>42.0</v>
      </c>
      <c r="D43" s="16" t="s">
        <v>327</v>
      </c>
      <c r="E43" s="16" t="s">
        <v>184</v>
      </c>
      <c r="F43" s="16" t="s">
        <v>325</v>
      </c>
      <c r="G43" s="16" t="s">
        <v>255</v>
      </c>
      <c r="H43" s="16" t="s">
        <v>326</v>
      </c>
      <c r="I43" s="16" t="s">
        <v>220</v>
      </c>
    </row>
    <row r="44" ht="242.25" hidden="1" customHeight="1">
      <c r="B44" s="32" t="str">
        <f>IMAGE("https://gymvisual.com/13523-catalog_default/archer-pull-up.jpg",4,500,500)</f>
        <v/>
      </c>
      <c r="C44" s="30">
        <v>43.0</v>
      </c>
      <c r="D44" s="16" t="s">
        <v>328</v>
      </c>
      <c r="E44" s="16" t="s">
        <v>184</v>
      </c>
      <c r="F44" s="16" t="s">
        <v>192</v>
      </c>
      <c r="G44" s="16" t="s">
        <v>255</v>
      </c>
      <c r="H44" s="16" t="s">
        <v>329</v>
      </c>
      <c r="I44" s="16" t="s">
        <v>330</v>
      </c>
    </row>
    <row r="45" ht="242.25" hidden="1" customHeight="1">
      <c r="B45" s="32" t="str">
        <f>IMAGE("https://gymvisual.com/13525-catalog_default/archer-push-up.jpg",4,500,500)</f>
        <v/>
      </c>
      <c r="C45" s="30">
        <v>44.0</v>
      </c>
      <c r="D45" s="16" t="s">
        <v>331</v>
      </c>
      <c r="E45" s="16" t="s">
        <v>184</v>
      </c>
      <c r="F45" s="16" t="s">
        <v>234</v>
      </c>
      <c r="G45" s="16" t="s">
        <v>255</v>
      </c>
      <c r="H45" s="16" t="s">
        <v>235</v>
      </c>
      <c r="I45" s="16" t="s">
        <v>243</v>
      </c>
    </row>
    <row r="46" ht="242.25" hidden="1" customHeight="1">
      <c r="B46" s="32" t="str">
        <f>IMAGE("https://gymvisual.com/23569-catalog_default/arm-circles.jpg",4,500,500)</f>
        <v/>
      </c>
      <c r="C46" s="30">
        <v>45.0</v>
      </c>
      <c r="D46" s="16" t="s">
        <v>332</v>
      </c>
      <c r="E46" s="16" t="s">
        <v>184</v>
      </c>
      <c r="F46" s="16" t="s">
        <v>228</v>
      </c>
      <c r="G46" s="16" t="s">
        <v>255</v>
      </c>
      <c r="H46" s="16" t="s">
        <v>333</v>
      </c>
      <c r="I46" s="16" t="s">
        <v>334</v>
      </c>
    </row>
    <row r="47" ht="242.25" hidden="1" customHeight="1">
      <c r="B47" s="32" t="str">
        <f>IMAGE("https://gymvisual.com/23645-catalog_default/arm-crossover-female.jpg",4,500,500)</f>
        <v/>
      </c>
      <c r="C47" s="30">
        <v>46.0</v>
      </c>
      <c r="D47" s="16" t="s">
        <v>335</v>
      </c>
      <c r="E47" s="16" t="s">
        <v>184</v>
      </c>
      <c r="F47" s="16" t="s">
        <v>234</v>
      </c>
      <c r="G47" s="16" t="s">
        <v>255</v>
      </c>
      <c r="H47" s="16" t="s">
        <v>235</v>
      </c>
      <c r="I47" s="16" t="s">
        <v>336</v>
      </c>
    </row>
    <row r="48" ht="242.25" hidden="1" customHeight="1">
      <c r="B48" s="32" t="str">
        <f>IMAGE("https://gymvisual.com/23939-catalog_default/arm-crossover-male.jpg",4,500,500)</f>
        <v/>
      </c>
      <c r="C48" s="30">
        <v>47.0</v>
      </c>
      <c r="D48" s="16" t="s">
        <v>337</v>
      </c>
      <c r="E48" s="16" t="s">
        <v>184</v>
      </c>
      <c r="F48" s="16" t="s">
        <v>234</v>
      </c>
      <c r="G48" s="16" t="s">
        <v>255</v>
      </c>
      <c r="H48" s="16" t="s">
        <v>235</v>
      </c>
      <c r="I48" s="16" t="s">
        <v>336</v>
      </c>
    </row>
    <row r="49" ht="242.25" hidden="1" customHeight="1">
      <c r="B49" s="32" t="str">
        <f>IMAGE("https://gymvisual.com/10217-catalog_default/arm-slingers-hanging-bent-knee-legs.jpg",4,500,500)</f>
        <v/>
      </c>
      <c r="C49" s="30">
        <v>48.0</v>
      </c>
      <c r="D49" s="16" t="s">
        <v>338</v>
      </c>
      <c r="E49" s="16" t="s">
        <v>184</v>
      </c>
      <c r="F49" s="16" t="s">
        <v>254</v>
      </c>
      <c r="G49" s="16" t="s">
        <v>255</v>
      </c>
      <c r="H49" s="16" t="s">
        <v>256</v>
      </c>
      <c r="I49" s="16" t="s">
        <v>339</v>
      </c>
    </row>
    <row r="50" ht="242.25" hidden="1" customHeight="1">
      <c r="B50" s="32" t="str">
        <f>IMAGE("https://gymvisual.com/10049-catalog_default/arm-slingers-hanging-straight-legs.jpg",4,500,500)</f>
        <v/>
      </c>
      <c r="C50" s="30">
        <v>49.0</v>
      </c>
      <c r="D50" s="16" t="s">
        <v>340</v>
      </c>
      <c r="E50" s="16" t="s">
        <v>184</v>
      </c>
      <c r="F50" s="16" t="s">
        <v>254</v>
      </c>
      <c r="G50" s="16" t="s">
        <v>255</v>
      </c>
      <c r="H50" s="16" t="s">
        <v>305</v>
      </c>
      <c r="I50" s="16" t="s">
        <v>341</v>
      </c>
    </row>
    <row r="51" ht="242.25" hidden="1" customHeight="1">
      <c r="B51" s="32" t="str">
        <f>IMAGE("https://gymvisual.com/22488-catalog_default/around-the-world-superman.jpg",4,500,500)</f>
        <v/>
      </c>
      <c r="C51" s="30">
        <v>50.0</v>
      </c>
      <c r="D51" s="16" t="s">
        <v>342</v>
      </c>
      <c r="E51" s="16" t="s">
        <v>184</v>
      </c>
      <c r="F51" s="16" t="s">
        <v>185</v>
      </c>
      <c r="G51" s="16" t="s">
        <v>255</v>
      </c>
      <c r="H51" s="16" t="s">
        <v>220</v>
      </c>
      <c r="I51" s="16" t="s">
        <v>220</v>
      </c>
    </row>
    <row r="52" ht="242.25" hidden="1" customHeight="1">
      <c r="B52" s="32" t="str">
        <f>IMAGE("https://gymvisual.com/20688-catalog_default/around-the-world-superman-hold.jpg",4,500,500)</f>
        <v/>
      </c>
      <c r="C52" s="30">
        <v>51.0</v>
      </c>
      <c r="D52" s="16" t="s">
        <v>343</v>
      </c>
      <c r="E52" s="16" t="s">
        <v>184</v>
      </c>
      <c r="F52" s="16" t="s">
        <v>185</v>
      </c>
      <c r="G52" s="16" t="s">
        <v>255</v>
      </c>
      <c r="H52" s="16" t="s">
        <v>267</v>
      </c>
      <c r="I52" s="16" t="s">
        <v>220</v>
      </c>
    </row>
    <row r="53" ht="242.25" hidden="1" customHeight="1">
      <c r="B53" s="32" t="str">
        <f>IMAGE("https://gymvisual.com/19505-catalog_default/assisted-bulgarian-split-squat.jpg",4,500,500)</f>
        <v/>
      </c>
      <c r="C53" s="30">
        <v>52.0</v>
      </c>
      <c r="D53" s="16" t="s">
        <v>344</v>
      </c>
      <c r="E53" s="16" t="s">
        <v>184</v>
      </c>
      <c r="F53" s="16" t="s">
        <v>285</v>
      </c>
      <c r="G53" s="16" t="s">
        <v>255</v>
      </c>
      <c r="H53" s="16" t="s">
        <v>220</v>
      </c>
      <c r="I53" s="16" t="s">
        <v>220</v>
      </c>
    </row>
    <row r="54" ht="242.25" hidden="1" customHeight="1">
      <c r="B54" s="32" t="str">
        <f>IMAGE("https://gymvisual.com/57-catalog_default/assisted-chest-dip-kneeling.jpg",4,500,500)</f>
        <v/>
      </c>
      <c r="C54" s="30">
        <v>53.0</v>
      </c>
      <c r="D54" s="16" t="s">
        <v>345</v>
      </c>
      <c r="E54" s="16" t="s">
        <v>184</v>
      </c>
      <c r="F54" s="16" t="s">
        <v>234</v>
      </c>
      <c r="G54" s="16" t="s">
        <v>346</v>
      </c>
      <c r="H54" s="16" t="s">
        <v>347</v>
      </c>
      <c r="I54" s="16" t="s">
        <v>348</v>
      </c>
    </row>
    <row r="55" ht="242.25" hidden="1" customHeight="1">
      <c r="B55" s="32" t="str">
        <f>IMAGE("https://gymvisual.com/11143-catalog_default/assisted-chest-dip-kneeling-female.jpg",4,500,500)</f>
        <v/>
      </c>
      <c r="C55" s="30">
        <v>54.0</v>
      </c>
      <c r="D55" s="16" t="s">
        <v>349</v>
      </c>
      <c r="E55" s="16" t="s">
        <v>184</v>
      </c>
      <c r="F55" s="16" t="s">
        <v>234</v>
      </c>
      <c r="G55" s="16" t="s">
        <v>346</v>
      </c>
      <c r="H55" s="16" t="s">
        <v>220</v>
      </c>
      <c r="I55" s="16" t="s">
        <v>220</v>
      </c>
    </row>
    <row r="56" ht="242.25" hidden="1" customHeight="1">
      <c r="B56" s="32" t="str">
        <f>IMAGE("https://gymvisual.com/12556-catalog_default/assisted-chin-tuck.jpg",4,500,500)</f>
        <v/>
      </c>
      <c r="C56" s="30">
        <v>55.0</v>
      </c>
      <c r="D56" s="16" t="s">
        <v>350</v>
      </c>
      <c r="E56" s="16" t="s">
        <v>184</v>
      </c>
      <c r="F56" s="16" t="s">
        <v>351</v>
      </c>
      <c r="G56" s="16" t="s">
        <v>352</v>
      </c>
      <c r="H56" s="16" t="s">
        <v>220</v>
      </c>
      <c r="I56" s="16" t="s">
        <v>220</v>
      </c>
    </row>
    <row r="57" ht="242.25" hidden="1" customHeight="1">
      <c r="B57" s="32" t="str">
        <f>IMAGE("https://gymvisual.com/12558-catalog_default/assisted-chin-tuck-female.jpg",4,500,500)</f>
        <v/>
      </c>
      <c r="C57" s="30">
        <v>56.0</v>
      </c>
      <c r="D57" s="16" t="s">
        <v>353</v>
      </c>
      <c r="E57" s="16" t="s">
        <v>184</v>
      </c>
      <c r="F57" s="16" t="s">
        <v>351</v>
      </c>
      <c r="G57" s="16" t="s">
        <v>255</v>
      </c>
      <c r="H57" s="16" t="s">
        <v>220</v>
      </c>
      <c r="I57" s="16" t="s">
        <v>220</v>
      </c>
    </row>
    <row r="58" ht="242.25" hidden="1" customHeight="1">
      <c r="B58" s="32" t="str">
        <f>IMAGE("https://gymvisual.com/22189-catalog_default/assisted-chin-up-low-bar-position.jpg",4,500,500)</f>
        <v/>
      </c>
      <c r="C58" s="30">
        <v>57.0</v>
      </c>
      <c r="D58" s="16" t="s">
        <v>354</v>
      </c>
      <c r="E58" s="16" t="s">
        <v>184</v>
      </c>
      <c r="F58" s="16" t="s">
        <v>192</v>
      </c>
      <c r="G58" s="16" t="s">
        <v>255</v>
      </c>
      <c r="H58" s="16" t="s">
        <v>220</v>
      </c>
      <c r="I58" s="16" t="s">
        <v>220</v>
      </c>
    </row>
    <row r="59" ht="242.25" hidden="1" customHeight="1">
      <c r="B59" s="32" t="str">
        <f>IMAGE("https://gymvisual.com/22494-catalog_default/assisted-chin-up-squat-position.jpg",4,500,500)</f>
        <v/>
      </c>
      <c r="C59" s="30">
        <v>58.0</v>
      </c>
      <c r="D59" s="16" t="s">
        <v>355</v>
      </c>
      <c r="E59" s="16" t="s">
        <v>184</v>
      </c>
      <c r="F59" s="16" t="s">
        <v>192</v>
      </c>
      <c r="G59" s="16" t="s">
        <v>255</v>
      </c>
      <c r="H59" s="16" t="s">
        <v>220</v>
      </c>
      <c r="I59" s="16" t="s">
        <v>220</v>
      </c>
    </row>
    <row r="60" ht="242.25" hidden="1" customHeight="1">
      <c r="B60" s="32" t="str">
        <f>IMAGE("https://gymvisual.com/11188-catalog_default/assisted-close-grip-underhand-chin-up-female.jpg",4,500,500)</f>
        <v/>
      </c>
      <c r="C60" s="30">
        <v>59.0</v>
      </c>
      <c r="D60" s="16" t="s">
        <v>356</v>
      </c>
      <c r="E60" s="16" t="s">
        <v>184</v>
      </c>
      <c r="F60" s="16" t="s">
        <v>192</v>
      </c>
      <c r="G60" s="16" t="s">
        <v>346</v>
      </c>
      <c r="H60" s="16" t="s">
        <v>329</v>
      </c>
      <c r="I60" s="16" t="s">
        <v>357</v>
      </c>
    </row>
    <row r="61" ht="242.25" hidden="1" customHeight="1">
      <c r="B61" s="32" t="str">
        <f>IMAGE("https://gymvisual.com/4593-catalog_default/assisted-close-grip-underhand-chin-up.jpg",4,500,500)</f>
        <v/>
      </c>
      <c r="C61" s="30">
        <v>60.0</v>
      </c>
      <c r="D61" s="16" t="s">
        <v>358</v>
      </c>
      <c r="E61" s="16" t="s">
        <v>184</v>
      </c>
      <c r="F61" s="16" t="s">
        <v>192</v>
      </c>
      <c r="G61" s="16" t="s">
        <v>346</v>
      </c>
      <c r="H61" s="16" t="s">
        <v>300</v>
      </c>
      <c r="I61" s="16" t="s">
        <v>359</v>
      </c>
    </row>
    <row r="62" ht="242.25" hidden="1" customHeight="1">
      <c r="B62" s="32" t="str">
        <f>IMAGE("https://gymvisual.com/20501-catalog_default/assisted-commando-pull-up.jpg",4,500,500)</f>
        <v/>
      </c>
      <c r="C62" s="30">
        <v>61.0</v>
      </c>
      <c r="D62" s="16" t="s">
        <v>360</v>
      </c>
      <c r="E62" s="16" t="s">
        <v>184</v>
      </c>
      <c r="F62" s="16" t="s">
        <v>361</v>
      </c>
      <c r="G62" s="16" t="s">
        <v>255</v>
      </c>
      <c r="H62" s="16" t="s">
        <v>362</v>
      </c>
      <c r="I62" s="16" t="s">
        <v>357</v>
      </c>
    </row>
    <row r="63" ht="242.25" hidden="1" customHeight="1">
      <c r="B63" s="32" t="str">
        <f>IMAGE("https://gymvisual.com/63-catalog_default/assisted-hanging-knee-raise.jpg",4,500,500)</f>
        <v/>
      </c>
      <c r="C63" s="30">
        <v>62.0</v>
      </c>
      <c r="D63" s="16" t="s">
        <v>363</v>
      </c>
      <c r="E63" s="16" t="s">
        <v>184</v>
      </c>
      <c r="F63" s="16" t="s">
        <v>254</v>
      </c>
      <c r="G63" s="16" t="s">
        <v>352</v>
      </c>
      <c r="H63" s="16" t="s">
        <v>256</v>
      </c>
      <c r="I63" s="16" t="s">
        <v>364</v>
      </c>
    </row>
    <row r="64" ht="242.25" hidden="1" customHeight="1">
      <c r="B64" s="32" t="str">
        <f>IMAGE("https://gymvisual.com/60-catalog_default/assisted-hanging-knee-raise-with-throw-down.jpg",4,500,500)</f>
        <v/>
      </c>
      <c r="C64" s="30">
        <v>63.0</v>
      </c>
      <c r="D64" s="16" t="s">
        <v>365</v>
      </c>
      <c r="E64" s="16" t="s">
        <v>184</v>
      </c>
      <c r="F64" s="16" t="s">
        <v>254</v>
      </c>
      <c r="G64" s="16" t="s">
        <v>352</v>
      </c>
      <c r="H64" s="16" t="s">
        <v>305</v>
      </c>
      <c r="I64" s="16" t="s">
        <v>366</v>
      </c>
    </row>
    <row r="65" ht="242.25" hidden="1" customHeight="1">
      <c r="B65" s="32" t="str">
        <f>IMAGE("https://gymvisual.com/13769-catalog_default/assisted-inverse-leg-curl.jpg",4,500,500)</f>
        <v/>
      </c>
      <c r="C65" s="30">
        <v>64.0</v>
      </c>
      <c r="D65" s="16" t="s">
        <v>367</v>
      </c>
      <c r="E65" s="16" t="s">
        <v>184</v>
      </c>
      <c r="F65" s="16" t="s">
        <v>285</v>
      </c>
      <c r="G65" s="16" t="s">
        <v>352</v>
      </c>
      <c r="H65" s="16" t="s">
        <v>188</v>
      </c>
      <c r="I65" s="16" t="s">
        <v>368</v>
      </c>
    </row>
    <row r="66" ht="242.25" hidden="1" customHeight="1">
      <c r="B66" s="32" t="str">
        <f>IMAGE("https://gymvisual.com/14171-catalog_default/assisted-lying-leg-raise-with-lateral-throw-down.jpg",4,500,500)</f>
        <v/>
      </c>
      <c r="C66" s="30">
        <v>65.0</v>
      </c>
      <c r="D66" s="16" t="s">
        <v>369</v>
      </c>
      <c r="E66" s="16" t="s">
        <v>184</v>
      </c>
      <c r="F66" s="16" t="s">
        <v>254</v>
      </c>
      <c r="G66" s="16" t="s">
        <v>352</v>
      </c>
      <c r="H66" s="16" t="s">
        <v>260</v>
      </c>
      <c r="I66" s="16" t="s">
        <v>366</v>
      </c>
    </row>
    <row r="67" ht="242.25" hidden="1" customHeight="1">
      <c r="B67" s="32" t="str">
        <f>IMAGE("https://gymvisual.com/69-catalog_default/assisted-lying-leg-raise-with-throw-down.jpg",4,500,500)</f>
        <v/>
      </c>
      <c r="C67" s="30">
        <v>66.0</v>
      </c>
      <c r="D67" s="16" t="s">
        <v>370</v>
      </c>
      <c r="E67" s="16" t="s">
        <v>184</v>
      </c>
      <c r="F67" s="16" t="s">
        <v>254</v>
      </c>
      <c r="G67" s="16" t="s">
        <v>352</v>
      </c>
      <c r="H67" s="16" t="s">
        <v>256</v>
      </c>
      <c r="I67" s="16" t="s">
        <v>371</v>
      </c>
    </row>
    <row r="68" ht="242.25" customHeight="1">
      <c r="B68" s="32" t="str">
        <f>IMAGE("https://gymvisual.com/72-catalog_default/assisted-motion-russian-twist.jpg",4,500,500)</f>
        <v/>
      </c>
      <c r="C68" s="30">
        <v>67.0</v>
      </c>
      <c r="D68" s="16" t="s">
        <v>372</v>
      </c>
      <c r="E68" s="16" t="s">
        <v>184</v>
      </c>
      <c r="F68" s="16" t="s">
        <v>254</v>
      </c>
      <c r="G68" s="16" t="s">
        <v>373</v>
      </c>
      <c r="H68" s="16" t="s">
        <v>257</v>
      </c>
      <c r="I68" s="16" t="s">
        <v>256</v>
      </c>
    </row>
    <row r="69" ht="242.25" hidden="1" customHeight="1">
      <c r="B69" s="32" t="str">
        <f>IMAGE("https://gymvisual.com/75-catalog_default/assisted-parallel-close-grip-pull-up.jpg",4,500,500)</f>
        <v/>
      </c>
      <c r="C69" s="30">
        <v>68.0</v>
      </c>
      <c r="D69" s="16" t="s">
        <v>374</v>
      </c>
      <c r="E69" s="16" t="s">
        <v>184</v>
      </c>
      <c r="F69" s="16" t="s">
        <v>192</v>
      </c>
      <c r="G69" s="16" t="s">
        <v>346</v>
      </c>
      <c r="H69" s="16" t="s">
        <v>300</v>
      </c>
      <c r="I69" s="16" t="s">
        <v>375</v>
      </c>
    </row>
    <row r="70" ht="242.25" hidden="1" customHeight="1">
      <c r="B70" s="32" t="str">
        <f>IMAGE("https://gymvisual.com/16536-catalog_default/assisted-pistol-squat-with-bed-sheet.jpg",4,500,500)</f>
        <v/>
      </c>
      <c r="C70" s="30">
        <v>69.0</v>
      </c>
      <c r="D70" s="16" t="s">
        <v>376</v>
      </c>
      <c r="E70" s="16" t="s">
        <v>184</v>
      </c>
      <c r="F70" s="16" t="s">
        <v>285</v>
      </c>
      <c r="G70" s="16" t="s">
        <v>255</v>
      </c>
      <c r="H70" s="16" t="s">
        <v>189</v>
      </c>
      <c r="I70" s="16" t="s">
        <v>190</v>
      </c>
    </row>
    <row r="71" ht="242.25" hidden="1" customHeight="1">
      <c r="B71" s="32" t="str">
        <f>IMAGE("https://gymvisual.com/78-catalog_default/assisted-prone-hamstring.jpg",4,500,500)</f>
        <v/>
      </c>
      <c r="C71" s="30">
        <v>70.0</v>
      </c>
      <c r="D71" s="16" t="s">
        <v>377</v>
      </c>
      <c r="E71" s="16" t="s">
        <v>184</v>
      </c>
      <c r="F71" s="16" t="s">
        <v>285</v>
      </c>
      <c r="G71" s="16" t="s">
        <v>352</v>
      </c>
      <c r="H71" s="16" t="s">
        <v>188</v>
      </c>
      <c r="I71" s="16" t="s">
        <v>220</v>
      </c>
    </row>
    <row r="72" ht="242.25" hidden="1" customHeight="1">
      <c r="B72" s="32" t="str">
        <f>IMAGE("https://gymvisual.com/11146-catalog_default/assisted-pull-up-female.jpg",4,500,500)</f>
        <v/>
      </c>
      <c r="C72" s="30">
        <v>71.0</v>
      </c>
      <c r="D72" s="16" t="s">
        <v>378</v>
      </c>
      <c r="E72" s="16" t="s">
        <v>184</v>
      </c>
      <c r="F72" s="16" t="s">
        <v>192</v>
      </c>
      <c r="G72" s="16" t="s">
        <v>346</v>
      </c>
      <c r="H72" s="16" t="s">
        <v>220</v>
      </c>
      <c r="I72" s="16" t="s">
        <v>220</v>
      </c>
    </row>
    <row r="73" ht="242.25" hidden="1" customHeight="1">
      <c r="B73" s="32" t="str">
        <f>IMAGE("https://gymvisual.com/81-catalog_default/assisted-pull-up.jpg",4,500,500)</f>
        <v/>
      </c>
      <c r="C73" s="30">
        <v>72.0</v>
      </c>
      <c r="D73" s="16" t="s">
        <v>379</v>
      </c>
      <c r="E73" s="16" t="s">
        <v>184</v>
      </c>
      <c r="F73" s="16" t="s">
        <v>192</v>
      </c>
      <c r="G73" s="16" t="s">
        <v>346</v>
      </c>
      <c r="H73" s="16" t="s">
        <v>300</v>
      </c>
      <c r="I73" s="16" t="s">
        <v>380</v>
      </c>
    </row>
    <row r="74" ht="242.25" hidden="1" customHeight="1">
      <c r="B74" s="32" t="str">
        <f>IMAGE("https://gymvisual.com/23502-catalog_default/assisted-single-leg-press.jpg",4,500,500)</f>
        <v/>
      </c>
      <c r="C74" s="30">
        <v>73.0</v>
      </c>
      <c r="D74" s="16" t="s">
        <v>381</v>
      </c>
      <c r="E74" s="16" t="s">
        <v>184</v>
      </c>
      <c r="F74" s="16" t="s">
        <v>285</v>
      </c>
      <c r="G74" s="16" t="s">
        <v>346</v>
      </c>
      <c r="H74" s="16" t="s">
        <v>347</v>
      </c>
      <c r="I74" s="16" t="s">
        <v>382</v>
      </c>
    </row>
    <row r="75" ht="242.25" hidden="1" customHeight="1">
      <c r="B75" s="32" t="str">
        <f>IMAGE("https://gymvisual.com/7562-catalog_default/assisted-sit-up.jpg",4,500,500)</f>
        <v/>
      </c>
      <c r="C75" s="30">
        <v>74.0</v>
      </c>
      <c r="D75" s="16" t="s">
        <v>383</v>
      </c>
      <c r="E75" s="16" t="s">
        <v>184</v>
      </c>
      <c r="F75" s="16" t="s">
        <v>254</v>
      </c>
      <c r="G75" s="16" t="s">
        <v>352</v>
      </c>
      <c r="H75" s="16" t="s">
        <v>256</v>
      </c>
      <c r="I75" s="16" t="s">
        <v>257</v>
      </c>
    </row>
    <row r="76" ht="242.25" hidden="1" customHeight="1">
      <c r="B76" s="32" t="str">
        <f>IMAGE("https://gymvisual.com/6438-catalog_default/assisted-standing-chin-up.jpg",4,500,500)</f>
        <v/>
      </c>
      <c r="C76" s="30">
        <v>75.0</v>
      </c>
      <c r="D76" s="16" t="s">
        <v>384</v>
      </c>
      <c r="E76" s="16" t="s">
        <v>184</v>
      </c>
      <c r="F76" s="16" t="s">
        <v>192</v>
      </c>
      <c r="G76" s="16" t="s">
        <v>346</v>
      </c>
      <c r="H76" s="16" t="s">
        <v>300</v>
      </c>
      <c r="I76" s="16" t="s">
        <v>385</v>
      </c>
    </row>
    <row r="77" ht="242.25" hidden="1" customHeight="1">
      <c r="B77" s="32" t="str">
        <f>IMAGE("https://gymvisual.com/6440-catalog_default/assisted-standing-pull-up.jpg",4,500,500)</f>
        <v/>
      </c>
      <c r="C77" s="30">
        <v>76.0</v>
      </c>
      <c r="D77" s="16" t="s">
        <v>386</v>
      </c>
      <c r="E77" s="16" t="s">
        <v>184</v>
      </c>
      <c r="F77" s="16" t="s">
        <v>192</v>
      </c>
      <c r="G77" s="16" t="s">
        <v>346</v>
      </c>
      <c r="H77" s="16" t="s">
        <v>300</v>
      </c>
      <c r="I77" s="16" t="s">
        <v>387</v>
      </c>
    </row>
    <row r="78" ht="242.25" hidden="1" customHeight="1">
      <c r="B78" s="32" t="str">
        <f>IMAGE("https://gymvisual.com/2926-catalog_default/assisted-standing-triceps-dip.jpg",4,500,500)</f>
        <v/>
      </c>
      <c r="C78" s="30">
        <v>77.0</v>
      </c>
      <c r="D78" s="16" t="s">
        <v>388</v>
      </c>
      <c r="E78" s="16" t="s">
        <v>184</v>
      </c>
      <c r="F78" s="16" t="s">
        <v>219</v>
      </c>
      <c r="G78" s="16" t="s">
        <v>346</v>
      </c>
      <c r="H78" s="16" t="s">
        <v>347</v>
      </c>
      <c r="I78" s="16" t="s">
        <v>389</v>
      </c>
    </row>
    <row r="79" ht="242.25" hidden="1" customHeight="1">
      <c r="B79" s="32" t="str">
        <f>IMAGE("https://gymvisual.com/84-catalog_default/assisted-standing-triceps-extension-with-towel.jpg",4,500,500)</f>
        <v/>
      </c>
      <c r="C79" s="30">
        <v>78.0</v>
      </c>
      <c r="D79" s="16" t="s">
        <v>390</v>
      </c>
      <c r="E79" s="16" t="s">
        <v>184</v>
      </c>
      <c r="F79" s="16" t="s">
        <v>219</v>
      </c>
      <c r="G79" s="16" t="s">
        <v>352</v>
      </c>
      <c r="H79" s="16" t="s">
        <v>223</v>
      </c>
      <c r="I79" s="16" t="s">
        <v>220</v>
      </c>
    </row>
    <row r="80" ht="242.25" hidden="1" customHeight="1">
      <c r="B80" s="32" t="str">
        <f>IMAGE("https://gymvisual.com/87-catalog_default/assisted-triceps-dip-kneeling.jpg",4,500,500)</f>
        <v/>
      </c>
      <c r="C80" s="30">
        <v>79.0</v>
      </c>
      <c r="D80" s="16" t="s">
        <v>391</v>
      </c>
      <c r="E80" s="16" t="s">
        <v>184</v>
      </c>
      <c r="F80" s="16" t="s">
        <v>219</v>
      </c>
      <c r="G80" s="16" t="s">
        <v>346</v>
      </c>
      <c r="H80" s="16" t="s">
        <v>223</v>
      </c>
      <c r="I80" s="16" t="s">
        <v>392</v>
      </c>
    </row>
    <row r="81" ht="242.25" hidden="1" customHeight="1">
      <c r="B81" s="32" t="str">
        <f>IMAGE("https://gymvisual.com/11279-catalog_default/assisted-triceps-dip-kneeling-female.jpg",4,500,500)</f>
        <v/>
      </c>
      <c r="C81" s="30">
        <v>80.0</v>
      </c>
      <c r="D81" s="16" t="s">
        <v>393</v>
      </c>
      <c r="E81" s="16" t="s">
        <v>184</v>
      </c>
      <c r="F81" s="16" t="s">
        <v>219</v>
      </c>
      <c r="G81" s="16" t="s">
        <v>346</v>
      </c>
      <c r="H81" s="16" t="s">
        <v>223</v>
      </c>
      <c r="I81" s="16" t="s">
        <v>394</v>
      </c>
    </row>
    <row r="82" ht="242.25" customHeight="1">
      <c r="B82" s="32" t="str">
        <f>IMAGE("https://gymvisual.com/4416-catalog_default/assisted-weighted-push-up.jpg",4,500,500)</f>
        <v/>
      </c>
      <c r="C82" s="30">
        <v>81.0</v>
      </c>
      <c r="D82" s="16" t="s">
        <v>395</v>
      </c>
      <c r="E82" s="16" t="s">
        <v>184</v>
      </c>
      <c r="F82" s="16" t="s">
        <v>234</v>
      </c>
      <c r="G82" s="16" t="s">
        <v>396</v>
      </c>
      <c r="H82" s="16" t="s">
        <v>347</v>
      </c>
      <c r="I82" s="16" t="s">
        <v>382</v>
      </c>
    </row>
    <row r="83" ht="242.25" hidden="1" customHeight="1">
      <c r="B83" s="32" t="str">
        <f>IMAGE("https://gymvisual.com/10242-catalog_default/assisted-wide-grip-chest-dip-kneeling.jpg",4,500,500)</f>
        <v/>
      </c>
      <c r="C83" s="30">
        <v>82.0</v>
      </c>
      <c r="D83" s="16" t="s">
        <v>397</v>
      </c>
      <c r="E83" s="16" t="s">
        <v>184</v>
      </c>
      <c r="F83" s="16" t="s">
        <v>234</v>
      </c>
      <c r="G83" s="16" t="s">
        <v>346</v>
      </c>
      <c r="H83" s="16" t="s">
        <v>235</v>
      </c>
      <c r="I83" s="16" t="s">
        <v>243</v>
      </c>
    </row>
    <row r="84" ht="242.25" customHeight="1">
      <c r="B84" s="32" t="str">
        <f>IMAGE("https://gymvisual.com/6005-catalog_default/back-extension-on-exercise-ball.jpg",4,500,500)</f>
        <v/>
      </c>
      <c r="C84" s="30">
        <v>83.0</v>
      </c>
      <c r="D84" s="16" t="s">
        <v>398</v>
      </c>
      <c r="E84" s="16" t="s">
        <v>184</v>
      </c>
      <c r="F84" s="16" t="s">
        <v>192</v>
      </c>
      <c r="G84" s="16" t="s">
        <v>399</v>
      </c>
      <c r="H84" s="16" t="s">
        <v>275</v>
      </c>
      <c r="I84" s="16" t="s">
        <v>220</v>
      </c>
    </row>
    <row r="85" ht="242.25" hidden="1" customHeight="1">
      <c r="B85" s="32" t="str">
        <f>IMAGE("https://gymvisual.com/11273-catalog_default/back-forward-leg-swings-female.jpg",4,500,500)</f>
        <v/>
      </c>
      <c r="C85" s="30">
        <v>84.0</v>
      </c>
      <c r="D85" s="16" t="s">
        <v>400</v>
      </c>
      <c r="E85" s="16" t="s">
        <v>184</v>
      </c>
      <c r="F85" s="16" t="s">
        <v>185</v>
      </c>
      <c r="G85" s="16" t="s">
        <v>255</v>
      </c>
      <c r="H85" s="16" t="s">
        <v>401</v>
      </c>
      <c r="I85" s="16" t="s">
        <v>188</v>
      </c>
    </row>
    <row r="86" ht="242.25" hidden="1" customHeight="1">
      <c r="B86" s="32" t="str">
        <f>IMAGE("https://gymvisual.com/14020-catalog_default/back-forward-leg-swings-male.jpg",4,500,500)</f>
        <v/>
      </c>
      <c r="C86" s="30">
        <v>85.0</v>
      </c>
      <c r="D86" s="16" t="s">
        <v>402</v>
      </c>
      <c r="E86" s="16" t="s">
        <v>184</v>
      </c>
      <c r="F86" s="16" t="s">
        <v>185</v>
      </c>
      <c r="G86" s="16" t="s">
        <v>255</v>
      </c>
      <c r="H86" s="16" t="s">
        <v>401</v>
      </c>
      <c r="I86" s="16" t="s">
        <v>220</v>
      </c>
    </row>
    <row r="87" ht="242.25" hidden="1" customHeight="1">
      <c r="B87" s="32" t="str">
        <f>IMAGE("https://gymvisual.com/13531-catalog_default/back-lever.jpg",4,500,500)</f>
        <v/>
      </c>
      <c r="C87" s="30">
        <v>86.0</v>
      </c>
      <c r="D87" s="16" t="s">
        <v>403</v>
      </c>
      <c r="E87" s="16" t="s">
        <v>184</v>
      </c>
      <c r="F87" s="16" t="s">
        <v>192</v>
      </c>
      <c r="G87" s="16" t="s">
        <v>255</v>
      </c>
      <c r="H87" s="16" t="s">
        <v>404</v>
      </c>
      <c r="I87" s="16" t="s">
        <v>405</v>
      </c>
    </row>
    <row r="88" ht="242.25" hidden="1" customHeight="1">
      <c r="B88" s="32" t="str">
        <f>IMAGE("https://gymvisual.com/23643-catalog_default/backhand-raise-female.jpg",4,500,500)</f>
        <v/>
      </c>
      <c r="C88" s="30">
        <v>87.0</v>
      </c>
      <c r="D88" s="16" t="s">
        <v>406</v>
      </c>
      <c r="E88" s="16" t="s">
        <v>184</v>
      </c>
      <c r="F88" s="16" t="s">
        <v>192</v>
      </c>
      <c r="G88" s="16" t="s">
        <v>255</v>
      </c>
      <c r="H88" s="16" t="s">
        <v>407</v>
      </c>
      <c r="I88" s="16" t="s">
        <v>408</v>
      </c>
    </row>
    <row r="89" ht="242.25" hidden="1" customHeight="1">
      <c r="B89" s="32" t="str">
        <f>IMAGE("https://gymvisual.com/90-catalog_default/balance-board.jpg",4,500,500)</f>
        <v/>
      </c>
      <c r="C89" s="30">
        <v>88.0</v>
      </c>
      <c r="D89" s="16" t="s">
        <v>409</v>
      </c>
      <c r="E89" s="16" t="s">
        <v>184</v>
      </c>
      <c r="F89" s="16" t="s">
        <v>325</v>
      </c>
      <c r="G89" s="16" t="s">
        <v>255</v>
      </c>
      <c r="H89" s="16" t="s">
        <v>410</v>
      </c>
      <c r="I89" s="16" t="s">
        <v>220</v>
      </c>
    </row>
    <row r="90" ht="242.25" customHeight="1">
      <c r="B90" s="32" t="str">
        <f>IMAGE("https://gymvisual.com/2571-catalog_default/ball-sit-up-on-stability-ball.jpg",4,500,500)</f>
        <v/>
      </c>
      <c r="C90" s="30">
        <v>89.0</v>
      </c>
      <c r="D90" s="16" t="s">
        <v>411</v>
      </c>
      <c r="E90" s="16" t="s">
        <v>184</v>
      </c>
      <c r="F90" s="16" t="s">
        <v>254</v>
      </c>
      <c r="G90" s="16" t="s">
        <v>399</v>
      </c>
      <c r="H90" s="16" t="s">
        <v>256</v>
      </c>
      <c r="I90" s="16" t="s">
        <v>412</v>
      </c>
    </row>
    <row r="91" ht="242.25" hidden="1" customHeight="1">
      <c r="B91" s="32" t="str">
        <f>IMAGE("https://gymvisual.com/22123-catalog_default/band-45-degrees-biceps-curl-male.jpg",4,500,500)</f>
        <v/>
      </c>
      <c r="C91" s="30">
        <v>90.0</v>
      </c>
      <c r="D91" s="16" t="s">
        <v>413</v>
      </c>
      <c r="E91" s="16" t="s">
        <v>184</v>
      </c>
      <c r="F91" s="16" t="s">
        <v>219</v>
      </c>
      <c r="G91" s="16" t="s">
        <v>291</v>
      </c>
      <c r="H91" s="16" t="s">
        <v>241</v>
      </c>
      <c r="I91" s="16" t="s">
        <v>292</v>
      </c>
    </row>
    <row r="92" ht="242.25" hidden="1" customHeight="1">
      <c r="B92" s="32" t="str">
        <f>IMAGE("https://gymvisual.com/13252-catalog_default/band-alternate-incline-chest-press-with-twist.jpg",4,500,500)</f>
        <v/>
      </c>
      <c r="C92" s="30">
        <v>91.0</v>
      </c>
      <c r="D92" s="16" t="s">
        <v>414</v>
      </c>
      <c r="E92" s="16" t="s">
        <v>184</v>
      </c>
      <c r="F92" s="16" t="s">
        <v>234</v>
      </c>
      <c r="G92" s="16" t="s">
        <v>291</v>
      </c>
      <c r="H92" s="16" t="s">
        <v>415</v>
      </c>
      <c r="I92" s="16" t="s">
        <v>416</v>
      </c>
    </row>
    <row r="93" ht="242.25" hidden="1" customHeight="1">
      <c r="B93" s="32" t="str">
        <f>IMAGE("https://gymvisual.com/13256-catalog_default/band-alternate-lat-pulldown-with-twist.jpg",4,500,500)</f>
        <v/>
      </c>
      <c r="C93" s="30">
        <v>92.0</v>
      </c>
      <c r="D93" s="16" t="s">
        <v>417</v>
      </c>
      <c r="E93" s="16" t="s">
        <v>184</v>
      </c>
      <c r="F93" s="16" t="s">
        <v>192</v>
      </c>
      <c r="G93" s="16" t="s">
        <v>291</v>
      </c>
      <c r="H93" s="16" t="s">
        <v>300</v>
      </c>
      <c r="I93" s="16" t="s">
        <v>418</v>
      </c>
    </row>
    <row r="94" ht="242.25" hidden="1" customHeight="1">
      <c r="B94" s="32" t="str">
        <f>IMAGE("https://gymvisual.com/22744-catalog_default/band-alternate-low-chest-fly-male.jpg",4,500,500)</f>
        <v/>
      </c>
      <c r="C94" s="30">
        <v>93.0</v>
      </c>
      <c r="D94" s="16" t="s">
        <v>419</v>
      </c>
      <c r="E94" s="16" t="s">
        <v>184</v>
      </c>
      <c r="F94" s="16" t="s">
        <v>234</v>
      </c>
      <c r="G94" s="16" t="s">
        <v>291</v>
      </c>
      <c r="H94" s="16" t="s">
        <v>347</v>
      </c>
      <c r="I94" s="16" t="s">
        <v>420</v>
      </c>
    </row>
    <row r="95" ht="242.25" hidden="1" customHeight="1">
      <c r="B95" s="32" t="str">
        <f>IMAGE("https://gymvisual.com/13254-catalog_default/band-alternate-low-row-wtih-twist.jpg",4,500,500)</f>
        <v/>
      </c>
      <c r="C95" s="30">
        <v>94.0</v>
      </c>
      <c r="D95" s="16" t="s">
        <v>421</v>
      </c>
      <c r="E95" s="16" t="s">
        <v>184</v>
      </c>
      <c r="F95" s="16" t="s">
        <v>192</v>
      </c>
      <c r="G95" s="16" t="s">
        <v>291</v>
      </c>
      <c r="H95" s="16" t="s">
        <v>329</v>
      </c>
      <c r="I95" s="16" t="s">
        <v>330</v>
      </c>
    </row>
    <row r="96" ht="242.25" hidden="1" customHeight="1">
      <c r="B96" s="32" t="str">
        <f>IMAGE("https://gymvisual.com/19351-catalog_default/band-alternating-biceps-curl.jpg",4,500,500)</f>
        <v/>
      </c>
      <c r="C96" s="30">
        <v>95.0</v>
      </c>
      <c r="D96" s="16" t="s">
        <v>422</v>
      </c>
      <c r="E96" s="16" t="s">
        <v>184</v>
      </c>
      <c r="F96" s="16" t="s">
        <v>219</v>
      </c>
      <c r="G96" s="16" t="s">
        <v>291</v>
      </c>
      <c r="H96" s="16" t="s">
        <v>241</v>
      </c>
      <c r="I96" s="16" t="s">
        <v>292</v>
      </c>
    </row>
    <row r="97" ht="242.25" hidden="1" customHeight="1">
      <c r="B97" s="32" t="str">
        <f>IMAGE("https://gymvisual.com/2860-catalog_default/band-alternating-v-up.jpg",4,500,500)</f>
        <v/>
      </c>
      <c r="C97" s="30">
        <v>96.0</v>
      </c>
      <c r="D97" s="16" t="s">
        <v>423</v>
      </c>
      <c r="E97" s="16" t="s">
        <v>184</v>
      </c>
      <c r="F97" s="16" t="s">
        <v>254</v>
      </c>
      <c r="G97" s="16" t="s">
        <v>291</v>
      </c>
      <c r="H97" s="16" t="s">
        <v>424</v>
      </c>
      <c r="I97" s="16" t="s">
        <v>425</v>
      </c>
    </row>
    <row r="98" ht="242.25" hidden="1" customHeight="1">
      <c r="B98" s="32" t="str">
        <f>IMAGE("https://gymvisual.com/20696-catalog_default/band-assisted-chin-up-female.jpg",4,500,500)</f>
        <v/>
      </c>
      <c r="C98" s="30">
        <v>97.0</v>
      </c>
      <c r="D98" s="16" t="s">
        <v>426</v>
      </c>
      <c r="E98" s="16" t="s">
        <v>184</v>
      </c>
      <c r="F98" s="16" t="s">
        <v>192</v>
      </c>
      <c r="G98" s="16" t="s">
        <v>291</v>
      </c>
      <c r="H98" s="16" t="s">
        <v>329</v>
      </c>
      <c r="I98" s="16" t="s">
        <v>357</v>
      </c>
    </row>
    <row r="99" ht="242.25" hidden="1" customHeight="1">
      <c r="B99" s="32" t="str">
        <f>IMAGE("https://gymvisual.com/18047-catalog_default/band-assisted-chin-up-from-knee.jpg",4,500,500)</f>
        <v/>
      </c>
      <c r="C99" s="30">
        <v>98.0</v>
      </c>
      <c r="D99" s="16" t="s">
        <v>427</v>
      </c>
      <c r="E99" s="16" t="s">
        <v>184</v>
      </c>
      <c r="F99" s="16" t="s">
        <v>192</v>
      </c>
      <c r="G99" s="16" t="s">
        <v>291</v>
      </c>
      <c r="H99" s="16" t="s">
        <v>329</v>
      </c>
      <c r="I99" s="16" t="s">
        <v>357</v>
      </c>
    </row>
    <row r="100" ht="242.25" hidden="1" customHeight="1">
      <c r="B100" s="32" t="str">
        <f>IMAGE("https://gymvisual.com/18045-catalog_default/band-assisted-dip.jpg",4,500,500)</f>
        <v/>
      </c>
      <c r="C100" s="30">
        <v>99.0</v>
      </c>
      <c r="D100" s="16" t="s">
        <v>428</v>
      </c>
      <c r="E100" s="16" t="s">
        <v>184</v>
      </c>
      <c r="F100" s="16" t="s">
        <v>192</v>
      </c>
      <c r="G100" s="16" t="s">
        <v>291</v>
      </c>
      <c r="H100" s="16" t="s">
        <v>223</v>
      </c>
      <c r="I100" s="16" t="s">
        <v>394</v>
      </c>
    </row>
    <row r="101" ht="242.25" hidden="1" customHeight="1">
      <c r="B101" s="32" t="str">
        <f>IMAGE("https://gymvisual.com/22191-catalog_default/band-assisted-dip-version-2.jpg",4,500,500)</f>
        <v/>
      </c>
      <c r="C101" s="30">
        <v>100.0</v>
      </c>
      <c r="D101" s="16" t="s">
        <v>429</v>
      </c>
      <c r="E101" s="16" t="s">
        <v>184</v>
      </c>
      <c r="F101" s="16" t="s">
        <v>219</v>
      </c>
      <c r="G101" s="16" t="s">
        <v>291</v>
      </c>
      <c r="H101" s="16" t="s">
        <v>220</v>
      </c>
      <c r="I101" s="16" t="s">
        <v>220</v>
      </c>
    </row>
    <row r="102" ht="242.25" hidden="1" customHeight="1">
      <c r="B102" s="32" t="str">
        <f>IMAGE("https://gymvisual.com/22520-catalog_default/band-assisted-floor-glute-ham-raise.jpg",4,500,500)</f>
        <v/>
      </c>
      <c r="C102" s="30">
        <v>101.0</v>
      </c>
      <c r="D102" s="16" t="s">
        <v>430</v>
      </c>
      <c r="E102" s="16" t="s">
        <v>184</v>
      </c>
      <c r="F102" s="16" t="s">
        <v>285</v>
      </c>
      <c r="G102" s="16" t="s">
        <v>291</v>
      </c>
      <c r="H102" s="16" t="s">
        <v>220</v>
      </c>
      <c r="I102" s="16" t="s">
        <v>220</v>
      </c>
    </row>
    <row r="103" ht="242.25" hidden="1" customHeight="1">
      <c r="B103" s="32" t="str">
        <f>IMAGE("https://gymvisual.com/25653-catalog_default/band-assisted-muscle-up.jpg",4,500,500)</f>
        <v/>
      </c>
      <c r="C103" s="30">
        <v>102.0</v>
      </c>
      <c r="D103" s="16" t="s">
        <v>431</v>
      </c>
      <c r="E103" s="16" t="s">
        <v>184</v>
      </c>
      <c r="F103" s="16" t="s">
        <v>192</v>
      </c>
      <c r="G103" s="16" t="s">
        <v>291</v>
      </c>
      <c r="H103" s="16" t="s">
        <v>220</v>
      </c>
      <c r="I103" s="16" t="s">
        <v>220</v>
      </c>
    </row>
    <row r="104" ht="242.25" hidden="1" customHeight="1">
      <c r="B104" s="32" t="str">
        <f>IMAGE("https://gymvisual.com/17081-catalog_default/band-assisted-pull-up-version-3-female.jpg",4,500,500)</f>
        <v/>
      </c>
      <c r="C104" s="30">
        <v>103.0</v>
      </c>
      <c r="D104" s="16" t="s">
        <v>432</v>
      </c>
      <c r="E104" s="16" t="s">
        <v>184</v>
      </c>
      <c r="F104" s="16" t="s">
        <v>192</v>
      </c>
      <c r="G104" s="16" t="s">
        <v>291</v>
      </c>
      <c r="H104" s="16" t="s">
        <v>329</v>
      </c>
      <c r="I104" s="16" t="s">
        <v>357</v>
      </c>
    </row>
    <row r="105" ht="242.25" hidden="1" customHeight="1">
      <c r="B105" s="32" t="str">
        <f>IMAGE("https://gymvisual.com/2861-catalog_default/band-assisted-pull-up.jpg",4,500,500)</f>
        <v/>
      </c>
      <c r="C105" s="30">
        <v>104.0</v>
      </c>
      <c r="D105" s="16" t="s">
        <v>433</v>
      </c>
      <c r="E105" s="16" t="s">
        <v>184</v>
      </c>
      <c r="F105" s="16" t="s">
        <v>192</v>
      </c>
      <c r="G105" s="16" t="s">
        <v>291</v>
      </c>
      <c r="H105" s="16" t="s">
        <v>300</v>
      </c>
      <c r="I105" s="16" t="s">
        <v>434</v>
      </c>
    </row>
    <row r="106" ht="242.25" hidden="1" customHeight="1">
      <c r="B106" s="32" t="str">
        <f>IMAGE("https://gymvisual.com/12351-catalog_default/band-assisted-pull-up-version-3.jpg",4,500,500)</f>
        <v/>
      </c>
      <c r="C106" s="30">
        <v>105.0</v>
      </c>
      <c r="D106" s="16" t="s">
        <v>435</v>
      </c>
      <c r="E106" s="16" t="s">
        <v>184</v>
      </c>
      <c r="F106" s="16" t="s">
        <v>192</v>
      </c>
      <c r="G106" s="16" t="s">
        <v>291</v>
      </c>
      <c r="H106" s="16" t="s">
        <v>300</v>
      </c>
      <c r="I106" s="16" t="s">
        <v>434</v>
      </c>
    </row>
    <row r="107" ht="242.25" hidden="1" customHeight="1">
      <c r="B107" s="32" t="str">
        <f>IMAGE("https://gymvisual.com/2862-catalog_default/band-assisted-wheel-rollout.jpg",4,500,500)</f>
        <v/>
      </c>
      <c r="C107" s="30">
        <v>106.0</v>
      </c>
      <c r="D107" s="16" t="s">
        <v>436</v>
      </c>
      <c r="E107" s="16" t="s">
        <v>184</v>
      </c>
      <c r="F107" s="16" t="s">
        <v>254</v>
      </c>
      <c r="G107" s="16" t="s">
        <v>291</v>
      </c>
      <c r="H107" s="16" t="s">
        <v>271</v>
      </c>
      <c r="I107" s="16" t="s">
        <v>437</v>
      </c>
    </row>
    <row r="108" ht="242.25" customHeight="1">
      <c r="B108" s="32" t="str">
        <f>IMAGE("https://gymvisual.com/11477-catalog_default/band-assisted-wheel-rollout-female.jpg",4,500,500)</f>
        <v/>
      </c>
      <c r="C108" s="30">
        <v>107.0</v>
      </c>
      <c r="D108" s="16" t="s">
        <v>438</v>
      </c>
      <c r="E108" s="16" t="s">
        <v>184</v>
      </c>
      <c r="F108" s="16" t="s">
        <v>254</v>
      </c>
      <c r="G108" s="16" t="s">
        <v>439</v>
      </c>
      <c r="H108" s="16" t="s">
        <v>220</v>
      </c>
      <c r="I108" s="16" t="s">
        <v>220</v>
      </c>
    </row>
    <row r="109" ht="242.25" hidden="1" customHeight="1">
      <c r="B109" s="32" t="str">
        <f>IMAGE("https://gymvisual.com/2782-catalog_default/band-back-extension.jpg",4,500,500)</f>
        <v/>
      </c>
      <c r="C109" s="30">
        <v>108.0</v>
      </c>
      <c r="D109" s="16" t="s">
        <v>440</v>
      </c>
      <c r="E109" s="16" t="s">
        <v>184</v>
      </c>
      <c r="F109" s="16" t="s">
        <v>192</v>
      </c>
      <c r="G109" s="16" t="s">
        <v>291</v>
      </c>
      <c r="H109" s="16" t="s">
        <v>275</v>
      </c>
      <c r="I109" s="16" t="s">
        <v>220</v>
      </c>
    </row>
    <row r="110" ht="242.25" hidden="1" customHeight="1">
      <c r="B110" s="32" t="str">
        <f>IMAGE("https://gymvisual.com/6729-catalog_default/band-behind-neck-shoulder-press.jpg",4,500,500)</f>
        <v/>
      </c>
      <c r="C110" s="30">
        <v>109.0</v>
      </c>
      <c r="D110" s="16" t="s">
        <v>441</v>
      </c>
      <c r="E110" s="16" t="s">
        <v>184</v>
      </c>
      <c r="F110" s="16" t="s">
        <v>228</v>
      </c>
      <c r="G110" s="16" t="s">
        <v>291</v>
      </c>
      <c r="H110" s="16" t="s">
        <v>229</v>
      </c>
      <c r="I110" s="16" t="s">
        <v>442</v>
      </c>
    </row>
    <row r="111" ht="242.25" hidden="1" customHeight="1">
      <c r="B111" s="32" t="str">
        <f>IMAGE("https://gymvisual.com/5943-catalog_default/band-bench-press.jpg",4,500,500)</f>
        <v/>
      </c>
      <c r="C111" s="30">
        <v>110.0</v>
      </c>
      <c r="D111" s="16" t="s">
        <v>443</v>
      </c>
      <c r="E111" s="16" t="s">
        <v>184</v>
      </c>
      <c r="F111" s="16" t="s">
        <v>234</v>
      </c>
      <c r="G111" s="16" t="s">
        <v>291</v>
      </c>
      <c r="H111" s="16" t="s">
        <v>235</v>
      </c>
      <c r="I111" s="16" t="s">
        <v>243</v>
      </c>
    </row>
    <row r="112" ht="242.25" hidden="1" customHeight="1">
      <c r="B112" s="32" t="str">
        <f>IMAGE("https://gymvisual.com/22596-catalog_default/band-bent-over-lat-pulldown.jpg",4,500,500)</f>
        <v/>
      </c>
      <c r="C112" s="30">
        <v>111.0</v>
      </c>
      <c r="D112" s="16" t="s">
        <v>444</v>
      </c>
      <c r="E112" s="16" t="s">
        <v>184</v>
      </c>
      <c r="F112" s="16" t="s">
        <v>192</v>
      </c>
      <c r="G112" s="16" t="s">
        <v>291</v>
      </c>
      <c r="H112" s="16" t="s">
        <v>300</v>
      </c>
      <c r="I112" s="16" t="s">
        <v>445</v>
      </c>
    </row>
    <row r="113" ht="242.25" hidden="1" customHeight="1">
      <c r="B113" s="32" t="str">
        <f>IMAGE("https://gymvisual.com/17142-catalog_default/band-bent-over-row-male.jpg",4,500,500)</f>
        <v/>
      </c>
      <c r="C113" s="30">
        <v>112.0</v>
      </c>
      <c r="D113" s="16" t="s">
        <v>446</v>
      </c>
      <c r="E113" s="16" t="s">
        <v>184</v>
      </c>
      <c r="F113" s="16" t="s">
        <v>192</v>
      </c>
      <c r="G113" s="16" t="s">
        <v>291</v>
      </c>
      <c r="H113" s="16" t="s">
        <v>329</v>
      </c>
      <c r="I113" s="16" t="s">
        <v>447</v>
      </c>
    </row>
    <row r="114" ht="242.25" hidden="1" customHeight="1">
      <c r="B114" s="32" t="str">
        <f>IMAGE("https://gymvisual.com/19006-catalog_default/band-bent-over-wide-grip-row-male.jpg",4,500,500)</f>
        <v/>
      </c>
      <c r="C114" s="30">
        <v>113.0</v>
      </c>
      <c r="D114" s="16" t="s">
        <v>448</v>
      </c>
      <c r="E114" s="16" t="s">
        <v>184</v>
      </c>
      <c r="F114" s="16" t="s">
        <v>192</v>
      </c>
      <c r="G114" s="16" t="s">
        <v>291</v>
      </c>
      <c r="H114" s="16" t="s">
        <v>329</v>
      </c>
      <c r="I114" s="16" t="s">
        <v>447</v>
      </c>
    </row>
    <row r="115" ht="242.25" hidden="1" customHeight="1">
      <c r="B115" s="32" t="str">
        <f>IMAGE("https://gymvisual.com/2877-catalog_default/band-bent-over-hip-extension.jpg",4,500,500)</f>
        <v/>
      </c>
      <c r="C115" s="30">
        <v>114.0</v>
      </c>
      <c r="D115" s="16" t="s">
        <v>449</v>
      </c>
      <c r="E115" s="16" t="s">
        <v>184</v>
      </c>
      <c r="F115" s="16" t="s">
        <v>185</v>
      </c>
      <c r="G115" s="16" t="s">
        <v>291</v>
      </c>
      <c r="H115" s="16" t="s">
        <v>187</v>
      </c>
      <c r="I115" s="16" t="s">
        <v>188</v>
      </c>
    </row>
    <row r="116" ht="242.25" hidden="1" customHeight="1">
      <c r="B116" s="32" t="str">
        <f>IMAGE("https://gymvisual.com/17517-catalog_default/band-bent-over-hip-extension-male.jpg",4,500,500)</f>
        <v/>
      </c>
      <c r="C116" s="30">
        <v>115.0</v>
      </c>
      <c r="D116" s="16" t="s">
        <v>450</v>
      </c>
      <c r="E116" s="16" t="s">
        <v>184</v>
      </c>
      <c r="F116" s="16" t="s">
        <v>185</v>
      </c>
      <c r="G116" s="16" t="s">
        <v>291</v>
      </c>
      <c r="H116" s="16" t="s">
        <v>187</v>
      </c>
      <c r="I116" s="16" t="s">
        <v>188</v>
      </c>
    </row>
    <row r="117" ht="242.25" hidden="1" customHeight="1">
      <c r="B117" s="32" t="str">
        <f>IMAGE("https://gymvisual.com/2784-catalog_default/band-bent-over-rear-lateral-raise.jpg",4,500,500)</f>
        <v/>
      </c>
      <c r="C117" s="30">
        <v>116.0</v>
      </c>
      <c r="D117" s="16" t="s">
        <v>451</v>
      </c>
      <c r="E117" s="16" t="s">
        <v>184</v>
      </c>
      <c r="F117" s="16" t="s">
        <v>228</v>
      </c>
      <c r="G117" s="16" t="s">
        <v>291</v>
      </c>
      <c r="H117" s="16" t="s">
        <v>408</v>
      </c>
      <c r="I117" s="16" t="s">
        <v>452</v>
      </c>
    </row>
    <row r="118" ht="242.25" hidden="1" customHeight="1">
      <c r="B118" s="32" t="str">
        <f>IMAGE("https://gymvisual.com/17364-catalog_default/band-bent-over-rear-lateral-raise-male.jpg",4,500,500)</f>
        <v/>
      </c>
      <c r="C118" s="30">
        <v>117.0</v>
      </c>
      <c r="D118" s="16" t="s">
        <v>453</v>
      </c>
      <c r="E118" s="16" t="s">
        <v>184</v>
      </c>
      <c r="F118" s="16" t="s">
        <v>228</v>
      </c>
      <c r="G118" s="16" t="s">
        <v>291</v>
      </c>
      <c r="H118" s="16" t="s">
        <v>454</v>
      </c>
      <c r="I118" s="16" t="s">
        <v>455</v>
      </c>
    </row>
    <row r="119" ht="242.25" hidden="1" customHeight="1">
      <c r="B119" s="32" t="str">
        <f>IMAGE("https://gymvisual.com/2783-catalog_default/band-bent-over-row.jpg",4,500,500)</f>
        <v/>
      </c>
      <c r="C119" s="30">
        <v>118.0</v>
      </c>
      <c r="D119" s="16" t="s">
        <v>456</v>
      </c>
      <c r="E119" s="16" t="s">
        <v>184</v>
      </c>
      <c r="F119" s="16" t="s">
        <v>192</v>
      </c>
      <c r="G119" s="16" t="s">
        <v>291</v>
      </c>
      <c r="H119" s="16" t="s">
        <v>329</v>
      </c>
      <c r="I119" s="16" t="s">
        <v>457</v>
      </c>
    </row>
    <row r="120" ht="242.25" hidden="1" customHeight="1">
      <c r="B120" s="32" t="str">
        <f>IMAGE("https://gymvisual.com/17859-catalog_default/band-biceps-curl.jpg",4,500,500)</f>
        <v/>
      </c>
      <c r="C120" s="30">
        <v>119.0</v>
      </c>
      <c r="D120" s="16" t="s">
        <v>458</v>
      </c>
      <c r="E120" s="16" t="s">
        <v>184</v>
      </c>
      <c r="F120" s="16" t="s">
        <v>219</v>
      </c>
      <c r="G120" s="16" t="s">
        <v>291</v>
      </c>
      <c r="H120" s="16" t="s">
        <v>220</v>
      </c>
      <c r="I120" s="16" t="s">
        <v>220</v>
      </c>
    </row>
    <row r="121" ht="242.25" hidden="1" customHeight="1">
      <c r="B121" s="32" t="str">
        <f>IMAGE("https://gymvisual.com/18911-catalog_default/band-biceps-curl-version-2.jpg",4,500,500)</f>
        <v/>
      </c>
      <c r="C121" s="30">
        <v>120.0</v>
      </c>
      <c r="D121" s="16" t="s">
        <v>459</v>
      </c>
      <c r="E121" s="16" t="s">
        <v>184</v>
      </c>
      <c r="F121" s="16" t="s">
        <v>219</v>
      </c>
      <c r="G121" s="16" t="s">
        <v>291</v>
      </c>
      <c r="H121" s="16" t="s">
        <v>241</v>
      </c>
      <c r="I121" s="16" t="s">
        <v>292</v>
      </c>
    </row>
    <row r="122" ht="242.25" hidden="1" customHeight="1">
      <c r="B122" s="32" t="str">
        <f>IMAGE("https://gymvisual.com/2863-catalog_default/band-bicycle-crunch.jpg",4,500,500)</f>
        <v/>
      </c>
      <c r="C122" s="30">
        <v>121.0</v>
      </c>
      <c r="D122" s="16" t="s">
        <v>460</v>
      </c>
      <c r="E122" s="16" t="s">
        <v>184</v>
      </c>
      <c r="F122" s="16" t="s">
        <v>254</v>
      </c>
      <c r="G122" s="16" t="s">
        <v>291</v>
      </c>
      <c r="H122" s="16" t="s">
        <v>424</v>
      </c>
      <c r="I122" s="16" t="s">
        <v>461</v>
      </c>
    </row>
    <row r="123" ht="242.25" hidden="1" customHeight="1">
      <c r="B123" s="32" t="str">
        <f>IMAGE("https://gymvisual.com/2785-catalog_default/band-calf-raise.jpg",4,500,500)</f>
        <v/>
      </c>
      <c r="C123" s="30">
        <v>122.0</v>
      </c>
      <c r="D123" s="16" t="s">
        <v>462</v>
      </c>
      <c r="E123" s="16" t="s">
        <v>184</v>
      </c>
      <c r="F123" s="16" t="s">
        <v>325</v>
      </c>
      <c r="G123" s="16" t="s">
        <v>291</v>
      </c>
      <c r="H123" s="16" t="s">
        <v>368</v>
      </c>
      <c r="I123" s="16" t="s">
        <v>463</v>
      </c>
    </row>
    <row r="124" ht="242.25" hidden="1" customHeight="1">
      <c r="B124" s="32" t="str">
        <f>IMAGE("https://gymvisual.com/2864-catalog_default/band-calf-raise-version-2.jpg",4,500,500)</f>
        <v/>
      </c>
      <c r="C124" s="30">
        <v>123.0</v>
      </c>
      <c r="D124" s="16" t="s">
        <v>464</v>
      </c>
      <c r="E124" s="16" t="s">
        <v>184</v>
      </c>
      <c r="F124" s="16" t="s">
        <v>325</v>
      </c>
      <c r="G124" s="16" t="s">
        <v>291</v>
      </c>
      <c r="H124" s="16" t="s">
        <v>368</v>
      </c>
      <c r="I124" s="16" t="s">
        <v>463</v>
      </c>
    </row>
    <row r="125" ht="242.25" hidden="1" customHeight="1">
      <c r="B125" s="32" t="str">
        <f>IMAGE("https://gymvisual.com/6743-catalog_default/band-calf-raise-version-3.jpg",4,500,500)</f>
        <v/>
      </c>
      <c r="C125" s="30">
        <v>124.0</v>
      </c>
      <c r="D125" s="16" t="s">
        <v>465</v>
      </c>
      <c r="E125" s="16" t="s">
        <v>184</v>
      </c>
      <c r="F125" s="16" t="s">
        <v>325</v>
      </c>
      <c r="G125" s="16" t="s">
        <v>291</v>
      </c>
      <c r="H125" s="16" t="s">
        <v>220</v>
      </c>
      <c r="I125" s="16" t="s">
        <v>220</v>
      </c>
    </row>
    <row r="126" ht="242.25" hidden="1" customHeight="1">
      <c r="B126" s="32" t="str">
        <f>IMAGE("https://gymvisual.com/18940-catalog_default/band-chest-fly-male.jpg",4,500,500)</f>
        <v/>
      </c>
      <c r="C126" s="30">
        <v>125.0</v>
      </c>
      <c r="D126" s="16" t="s">
        <v>466</v>
      </c>
      <c r="E126" s="16" t="s">
        <v>184</v>
      </c>
      <c r="F126" s="16" t="s">
        <v>234</v>
      </c>
      <c r="G126" s="16" t="s">
        <v>291</v>
      </c>
      <c r="H126" s="16" t="s">
        <v>235</v>
      </c>
      <c r="I126" s="16" t="s">
        <v>236</v>
      </c>
    </row>
    <row r="127" ht="242.25" hidden="1" customHeight="1">
      <c r="B127" s="32" t="str">
        <f>IMAGE("https://gymvisual.com/22129-catalog_default/band-close-grip-biceps-curl.jpg",4,500,500)</f>
        <v/>
      </c>
      <c r="C127" s="30">
        <v>126.0</v>
      </c>
      <c r="D127" s="16" t="s">
        <v>467</v>
      </c>
      <c r="E127" s="16" t="s">
        <v>184</v>
      </c>
      <c r="F127" s="16" t="s">
        <v>219</v>
      </c>
      <c r="G127" s="16" t="s">
        <v>291</v>
      </c>
      <c r="H127" s="16" t="s">
        <v>241</v>
      </c>
      <c r="I127" s="16" t="s">
        <v>292</v>
      </c>
    </row>
    <row r="128" ht="242.25" hidden="1" customHeight="1">
      <c r="B128" s="32" t="str">
        <f>IMAGE("https://gymvisual.com/19233-catalog_default/band-close-grip-row.jpg",4,500,500)</f>
        <v/>
      </c>
      <c r="C128" s="30">
        <v>127.0</v>
      </c>
      <c r="D128" s="16" t="s">
        <v>468</v>
      </c>
      <c r="E128" s="16" t="s">
        <v>184</v>
      </c>
      <c r="F128" s="16" t="s">
        <v>192</v>
      </c>
      <c r="G128" s="16" t="s">
        <v>291</v>
      </c>
      <c r="H128" s="16" t="s">
        <v>329</v>
      </c>
      <c r="I128" s="16" t="s">
        <v>357</v>
      </c>
    </row>
    <row r="129" ht="242.25" hidden="1" customHeight="1">
      <c r="B129" s="32" t="str">
        <f>IMAGE("https://gymvisual.com/2865-catalog_default/band-close-grip-pulldown.jpg",4,500,500)</f>
        <v/>
      </c>
      <c r="C129" s="30">
        <v>128.0</v>
      </c>
      <c r="D129" s="16" t="s">
        <v>469</v>
      </c>
      <c r="E129" s="16" t="s">
        <v>184</v>
      </c>
      <c r="F129" s="16" t="s">
        <v>192</v>
      </c>
      <c r="G129" s="16" t="s">
        <v>291</v>
      </c>
      <c r="H129" s="16" t="s">
        <v>300</v>
      </c>
      <c r="I129" s="16" t="s">
        <v>470</v>
      </c>
    </row>
    <row r="130" ht="242.25" hidden="1" customHeight="1">
      <c r="B130" s="32" t="str">
        <f>IMAGE("https://gymvisual.com/2866-catalog_default/band-close-grip-push-up.jpg",4,500,500)</f>
        <v/>
      </c>
      <c r="C130" s="30">
        <v>129.0</v>
      </c>
      <c r="D130" s="16" t="s">
        <v>471</v>
      </c>
      <c r="E130" s="16" t="s">
        <v>184</v>
      </c>
      <c r="F130" s="16" t="s">
        <v>219</v>
      </c>
      <c r="G130" s="16" t="s">
        <v>291</v>
      </c>
      <c r="H130" s="16" t="s">
        <v>223</v>
      </c>
      <c r="I130" s="16" t="s">
        <v>472</v>
      </c>
    </row>
    <row r="131" ht="242.25" hidden="1" customHeight="1">
      <c r="B131" s="32" t="str">
        <f>IMAGE("https://gymvisual.com/2867-catalog_default/band-concentration-curl.jpg",4,500,500)</f>
        <v/>
      </c>
      <c r="C131" s="30">
        <v>130.0</v>
      </c>
      <c r="D131" s="16" t="s">
        <v>473</v>
      </c>
      <c r="E131" s="16" t="s">
        <v>184</v>
      </c>
      <c r="F131" s="16" t="s">
        <v>219</v>
      </c>
      <c r="G131" s="16" t="s">
        <v>291</v>
      </c>
      <c r="H131" s="16" t="s">
        <v>232</v>
      </c>
      <c r="I131" s="16" t="s">
        <v>233</v>
      </c>
    </row>
    <row r="132" ht="242.25" hidden="1" customHeight="1">
      <c r="B132" s="32" t="str">
        <f>IMAGE("https://gymvisual.com/22127-catalog_default/band-cross-abduction.jpg",4,500,500)</f>
        <v/>
      </c>
      <c r="C132" s="30">
        <v>131.0</v>
      </c>
      <c r="D132" s="16" t="s">
        <v>474</v>
      </c>
      <c r="E132" s="16" t="s">
        <v>184</v>
      </c>
      <c r="F132" s="16" t="s">
        <v>185</v>
      </c>
      <c r="G132" s="16" t="s">
        <v>291</v>
      </c>
      <c r="H132" s="16" t="s">
        <v>475</v>
      </c>
      <c r="I132" s="16" t="s">
        <v>476</v>
      </c>
    </row>
    <row r="133" ht="242.25" hidden="1" customHeight="1">
      <c r="B133" s="32" t="str">
        <f>IMAGE("https://gymvisual.com/19391-catalog_default/band-cross-body-one-arm-chest-press-male.jpg",4,500,500)</f>
        <v/>
      </c>
      <c r="C133" s="30">
        <v>132.0</v>
      </c>
      <c r="D133" s="16" t="s">
        <v>477</v>
      </c>
      <c r="E133" s="16" t="s">
        <v>184</v>
      </c>
      <c r="F133" s="16" t="s">
        <v>234</v>
      </c>
      <c r="G133" s="16" t="s">
        <v>291</v>
      </c>
      <c r="H133" s="16" t="s">
        <v>347</v>
      </c>
      <c r="I133" s="16" t="s">
        <v>382</v>
      </c>
    </row>
    <row r="134" ht="242.25" hidden="1" customHeight="1">
      <c r="B134" s="32" t="str">
        <f>IMAGE("https://gymvisual.com/22125-catalog_default/band-cross-chest-biceps-curl-male.jpg",4,500,500)</f>
        <v/>
      </c>
      <c r="C134" s="30">
        <v>133.0</v>
      </c>
      <c r="D134" s="16" t="s">
        <v>478</v>
      </c>
      <c r="E134" s="16" t="s">
        <v>184</v>
      </c>
      <c r="F134" s="16" t="s">
        <v>219</v>
      </c>
      <c r="G134" s="16" t="s">
        <v>291</v>
      </c>
      <c r="H134" s="16" t="s">
        <v>241</v>
      </c>
      <c r="I134" s="16" t="s">
        <v>292</v>
      </c>
    </row>
    <row r="135" ht="242.25" hidden="1" customHeight="1">
      <c r="B135" s="32" t="str">
        <f>IMAGE("https://gymvisual.com/2786-catalog_default/band-deadlift.jpg",4,500,500)</f>
        <v/>
      </c>
      <c r="C135" s="30">
        <v>134.0</v>
      </c>
      <c r="D135" s="16" t="s">
        <v>479</v>
      </c>
      <c r="E135" s="16" t="s">
        <v>184</v>
      </c>
      <c r="F135" s="16" t="s">
        <v>185</v>
      </c>
      <c r="G135" s="16" t="s">
        <v>291</v>
      </c>
      <c r="H135" s="16" t="s">
        <v>187</v>
      </c>
      <c r="I135" s="16" t="s">
        <v>480</v>
      </c>
    </row>
    <row r="136" ht="242.25" hidden="1" customHeight="1">
      <c r="B136" s="32" t="str">
        <f>IMAGE("https://gymvisual.com/22181-catalog_default/band-deadlift.jpg",4,500,500)</f>
        <v/>
      </c>
      <c r="C136" s="30">
        <v>135.0</v>
      </c>
      <c r="D136" s="16" t="s">
        <v>481</v>
      </c>
      <c r="E136" s="16" t="s">
        <v>184</v>
      </c>
      <c r="F136" s="16" t="s">
        <v>185</v>
      </c>
      <c r="G136" s="16" t="s">
        <v>291</v>
      </c>
      <c r="H136" s="16" t="s">
        <v>187</v>
      </c>
      <c r="I136" s="16" t="s">
        <v>482</v>
      </c>
    </row>
    <row r="137" ht="242.25" hidden="1" customHeight="1">
      <c r="B137" s="32" t="str">
        <f>IMAGE("https://gymvisual.com/16745-catalog_default/band-deadlift-with-single-arm-row.jpg",4,500,500)</f>
        <v/>
      </c>
      <c r="C137" s="30">
        <v>136.0</v>
      </c>
      <c r="D137" s="16" t="s">
        <v>483</v>
      </c>
      <c r="E137" s="16" t="s">
        <v>184</v>
      </c>
      <c r="F137" s="16" t="s">
        <v>484</v>
      </c>
      <c r="G137" s="16" t="s">
        <v>291</v>
      </c>
      <c r="H137" s="16" t="s">
        <v>220</v>
      </c>
      <c r="I137" s="16" t="s">
        <v>220</v>
      </c>
    </row>
    <row r="138" ht="242.25" hidden="1" customHeight="1">
      <c r="B138" s="32" t="str">
        <f>IMAGE("https://gymvisual.com/17073-catalog_default/band-decline-sit-up-female.jpg",4,500,500)</f>
        <v/>
      </c>
      <c r="C138" s="30">
        <v>137.0</v>
      </c>
      <c r="D138" s="16" t="s">
        <v>485</v>
      </c>
      <c r="E138" s="16" t="s">
        <v>184</v>
      </c>
      <c r="F138" s="16" t="s">
        <v>310</v>
      </c>
      <c r="G138" s="16" t="s">
        <v>291</v>
      </c>
      <c r="H138" s="16" t="s">
        <v>305</v>
      </c>
      <c r="I138" s="16" t="s">
        <v>319</v>
      </c>
    </row>
    <row r="139" ht="242.25" hidden="1" customHeight="1">
      <c r="B139" s="32" t="str">
        <f>IMAGE("https://gymvisual.com/6727-catalog_default/band-decline-sit-up.jpg",4,500,500)</f>
        <v/>
      </c>
      <c r="C139" s="30">
        <v>138.0</v>
      </c>
      <c r="D139" s="16" t="s">
        <v>486</v>
      </c>
      <c r="E139" s="16" t="s">
        <v>184</v>
      </c>
      <c r="F139" s="16" t="s">
        <v>185</v>
      </c>
      <c r="G139" s="16" t="s">
        <v>291</v>
      </c>
      <c r="H139" s="16" t="s">
        <v>271</v>
      </c>
      <c r="I139" s="16" t="s">
        <v>487</v>
      </c>
    </row>
    <row r="140" ht="242.25" hidden="1" customHeight="1">
      <c r="B140" s="32" t="str">
        <f>IMAGE("https://gymvisual.com/6745-catalog_default/band-ez-barbell-close-grip-curl.jpg",4,500,500)</f>
        <v/>
      </c>
      <c r="C140" s="30">
        <v>139.0</v>
      </c>
      <c r="D140" s="16" t="s">
        <v>488</v>
      </c>
      <c r="E140" s="16" t="s">
        <v>184</v>
      </c>
      <c r="F140" s="16" t="s">
        <v>219</v>
      </c>
      <c r="G140" s="16" t="s">
        <v>291</v>
      </c>
      <c r="H140" s="16" t="s">
        <v>220</v>
      </c>
      <c r="I140" s="16" t="s">
        <v>220</v>
      </c>
    </row>
    <row r="141" ht="242.25" hidden="1" customHeight="1">
      <c r="B141" s="32" t="str">
        <f>IMAGE("https://gymvisual.com/2787-catalog_default/band-face-pull.jpg",4,500,500)</f>
        <v/>
      </c>
      <c r="C141" s="30">
        <v>140.0</v>
      </c>
      <c r="D141" s="16" t="s">
        <v>489</v>
      </c>
      <c r="E141" s="16" t="s">
        <v>184</v>
      </c>
      <c r="F141" s="16" t="s">
        <v>228</v>
      </c>
      <c r="G141" s="16" t="s">
        <v>291</v>
      </c>
      <c r="H141" s="16" t="s">
        <v>408</v>
      </c>
      <c r="I141" s="16" t="s">
        <v>490</v>
      </c>
    </row>
    <row r="142" ht="242.25" hidden="1" customHeight="1">
      <c r="B142" s="32" t="str">
        <f>IMAGE("https://gymvisual.com/24796-catalog_default/band-face-pull-male.jpg",4,500,500)</f>
        <v/>
      </c>
      <c r="C142" s="30">
        <v>141.0</v>
      </c>
      <c r="D142" s="16" t="s">
        <v>491</v>
      </c>
      <c r="E142" s="16" t="s">
        <v>184</v>
      </c>
      <c r="F142" s="16" t="s">
        <v>228</v>
      </c>
      <c r="G142" s="16" t="s">
        <v>291</v>
      </c>
      <c r="H142" s="16" t="s">
        <v>408</v>
      </c>
      <c r="I142" s="16" t="s">
        <v>490</v>
      </c>
    </row>
    <row r="143" ht="242.25" hidden="1" customHeight="1">
      <c r="B143" s="32" t="str">
        <f>IMAGE("https://gymvisual.com/12486-catalog_default/band-fixed-back-close-grip-pulldown.jpg",4,500,500)</f>
        <v/>
      </c>
      <c r="C143" s="30">
        <v>142.0</v>
      </c>
      <c r="D143" s="16" t="s">
        <v>492</v>
      </c>
      <c r="E143" s="16" t="s">
        <v>184</v>
      </c>
      <c r="F143" s="16" t="s">
        <v>192</v>
      </c>
      <c r="G143" s="16" t="s">
        <v>291</v>
      </c>
      <c r="H143" s="16" t="s">
        <v>300</v>
      </c>
      <c r="I143" s="16" t="s">
        <v>493</v>
      </c>
    </row>
    <row r="144" ht="242.25" hidden="1" customHeight="1">
      <c r="B144" s="32" t="str">
        <f>IMAGE("https://gymvisual.com/12483-catalog_default/band-fixed-back-underhand-pulldown.jpg",4,500,500)</f>
        <v/>
      </c>
      <c r="C144" s="30">
        <v>143.0</v>
      </c>
      <c r="D144" s="16" t="s">
        <v>494</v>
      </c>
      <c r="E144" s="16" t="s">
        <v>184</v>
      </c>
      <c r="F144" s="16" t="s">
        <v>192</v>
      </c>
      <c r="G144" s="16" t="s">
        <v>291</v>
      </c>
      <c r="H144" s="16" t="s">
        <v>300</v>
      </c>
      <c r="I144" s="16" t="s">
        <v>434</v>
      </c>
    </row>
    <row r="145" ht="242.25" hidden="1" customHeight="1">
      <c r="B145" s="32" t="str">
        <f>IMAGE("https://gymvisual.com/2868-catalog_default/band-front-lateral-raise.jpg",4,500,500)</f>
        <v/>
      </c>
      <c r="C145" s="30">
        <v>144.0</v>
      </c>
      <c r="D145" s="16" t="s">
        <v>495</v>
      </c>
      <c r="E145" s="16" t="s">
        <v>184</v>
      </c>
      <c r="F145" s="16" t="s">
        <v>228</v>
      </c>
      <c r="G145" s="16" t="s">
        <v>291</v>
      </c>
      <c r="H145" s="16" t="s">
        <v>229</v>
      </c>
      <c r="I145" s="16" t="s">
        <v>496</v>
      </c>
    </row>
    <row r="146" ht="242.25" hidden="1" customHeight="1">
      <c r="B146" s="32" t="str">
        <f>IMAGE("https://gymvisual.com/20052-catalog_default/band-front-lateral-raise-female.jpg",4,500,500)</f>
        <v/>
      </c>
      <c r="C146" s="30">
        <v>145.0</v>
      </c>
      <c r="D146" s="16" t="s">
        <v>497</v>
      </c>
      <c r="E146" s="16" t="s">
        <v>184</v>
      </c>
      <c r="F146" s="16" t="s">
        <v>228</v>
      </c>
      <c r="G146" s="16" t="s">
        <v>291</v>
      </c>
      <c r="H146" s="16" t="s">
        <v>454</v>
      </c>
      <c r="I146" s="16" t="s">
        <v>455</v>
      </c>
    </row>
    <row r="147" ht="242.25" hidden="1" customHeight="1">
      <c r="B147" s="32" t="str">
        <f>IMAGE("https://gymvisual.com/16759-catalog_default/band-front-plank-with-single-arm-pulldown.jpg",4,500,500)</f>
        <v/>
      </c>
      <c r="C147" s="30">
        <v>146.0</v>
      </c>
      <c r="D147" s="16" t="s">
        <v>498</v>
      </c>
      <c r="E147" s="16" t="s">
        <v>184</v>
      </c>
      <c r="F147" s="16" t="s">
        <v>361</v>
      </c>
      <c r="G147" s="16" t="s">
        <v>291</v>
      </c>
      <c r="H147" s="16" t="s">
        <v>220</v>
      </c>
      <c r="I147" s="16" t="s">
        <v>220</v>
      </c>
    </row>
    <row r="148" ht="242.25" hidden="1" customHeight="1">
      <c r="B148" s="32" t="str">
        <f>IMAGE("https://gymvisual.com/2869-catalog_default/band-front-raise.jpg",4,500,500)</f>
        <v/>
      </c>
      <c r="C148" s="30">
        <v>147.0</v>
      </c>
      <c r="D148" s="16" t="s">
        <v>499</v>
      </c>
      <c r="E148" s="16" t="s">
        <v>184</v>
      </c>
      <c r="F148" s="16" t="s">
        <v>228</v>
      </c>
      <c r="G148" s="16" t="s">
        <v>291</v>
      </c>
      <c r="H148" s="16" t="s">
        <v>229</v>
      </c>
      <c r="I148" s="16" t="s">
        <v>244</v>
      </c>
    </row>
    <row r="149" ht="242.25" hidden="1" customHeight="1">
      <c r="B149" s="32" t="str">
        <f>IMAGE("https://gymvisual.com/6761-catalog_default/band-good-morning.jpg",4,500,500)</f>
        <v/>
      </c>
      <c r="C149" s="30">
        <v>148.0</v>
      </c>
      <c r="D149" s="16" t="s">
        <v>500</v>
      </c>
      <c r="E149" s="16" t="s">
        <v>184</v>
      </c>
      <c r="F149" s="16" t="s">
        <v>185</v>
      </c>
      <c r="G149" s="16" t="s">
        <v>291</v>
      </c>
      <c r="H149" s="16" t="s">
        <v>220</v>
      </c>
      <c r="I149" s="16" t="s">
        <v>220</v>
      </c>
    </row>
    <row r="150" ht="242.25" hidden="1" customHeight="1">
      <c r="B150" s="32" t="str">
        <f>IMAGE("https://gymvisual.com/19237-catalog_default/band-half-kneeling-chop.jpg",4,500,500)</f>
        <v/>
      </c>
      <c r="C150" s="30">
        <v>149.0</v>
      </c>
      <c r="D150" s="16" t="s">
        <v>501</v>
      </c>
      <c r="E150" s="16" t="s">
        <v>184</v>
      </c>
      <c r="F150" s="16" t="s">
        <v>254</v>
      </c>
      <c r="G150" s="16" t="s">
        <v>291</v>
      </c>
      <c r="H150" s="16" t="s">
        <v>257</v>
      </c>
      <c r="I150" s="16" t="s">
        <v>502</v>
      </c>
    </row>
    <row r="151" ht="242.25" hidden="1" customHeight="1">
      <c r="B151" s="32" t="str">
        <f>IMAGE("https://gymvisual.com/2788-catalog_default/band-hammer-curl.jpg",4,500,500)</f>
        <v/>
      </c>
      <c r="C151" s="30">
        <v>150.0</v>
      </c>
      <c r="D151" s="16" t="s">
        <v>503</v>
      </c>
      <c r="E151" s="16" t="s">
        <v>184</v>
      </c>
      <c r="F151" s="16" t="s">
        <v>214</v>
      </c>
      <c r="G151" s="16" t="s">
        <v>291</v>
      </c>
      <c r="H151" s="16" t="s">
        <v>216</v>
      </c>
      <c r="I151" s="16" t="s">
        <v>217</v>
      </c>
    </row>
    <row r="152" ht="242.25" hidden="1" customHeight="1">
      <c r="B152" s="32" t="str">
        <f>IMAGE("https://gymvisual.com/2789-catalog_default/band-high-fly.jpg",4,500,500)</f>
        <v/>
      </c>
      <c r="C152" s="30">
        <v>151.0</v>
      </c>
      <c r="D152" s="16" t="s">
        <v>504</v>
      </c>
      <c r="E152" s="16" t="s">
        <v>184</v>
      </c>
      <c r="F152" s="16" t="s">
        <v>234</v>
      </c>
      <c r="G152" s="16" t="s">
        <v>291</v>
      </c>
      <c r="H152" s="16" t="s">
        <v>347</v>
      </c>
      <c r="I152" s="16" t="s">
        <v>505</v>
      </c>
    </row>
    <row r="153" ht="242.25" hidden="1" customHeight="1">
      <c r="B153" s="32" t="str">
        <f>IMAGE("https://gymvisual.com/16624-catalog_default/band-high-fly-male.jpg",4,500,500)</f>
        <v/>
      </c>
      <c r="C153" s="30">
        <v>152.0</v>
      </c>
      <c r="D153" s="16" t="s">
        <v>506</v>
      </c>
      <c r="E153" s="16" t="s">
        <v>184</v>
      </c>
      <c r="F153" s="16" t="s">
        <v>234</v>
      </c>
      <c r="G153" s="16" t="s">
        <v>291</v>
      </c>
      <c r="H153" s="16" t="s">
        <v>235</v>
      </c>
      <c r="I153" s="16" t="s">
        <v>236</v>
      </c>
    </row>
    <row r="154" ht="242.25" hidden="1" customHeight="1">
      <c r="B154" s="32" t="str">
        <f>IMAGE("https://gymvisual.com/2790-catalog_default/band-hip-abduction.jpg",4,500,500)</f>
        <v/>
      </c>
      <c r="C154" s="30">
        <v>153.0</v>
      </c>
      <c r="D154" s="16" t="s">
        <v>507</v>
      </c>
      <c r="E154" s="16" t="s">
        <v>184</v>
      </c>
      <c r="F154" s="16" t="s">
        <v>185</v>
      </c>
      <c r="G154" s="16" t="s">
        <v>291</v>
      </c>
      <c r="H154" s="16" t="s">
        <v>508</v>
      </c>
      <c r="I154" s="16" t="s">
        <v>220</v>
      </c>
    </row>
    <row r="155" ht="242.25" hidden="1" customHeight="1">
      <c r="B155" s="32" t="str">
        <f>IMAGE("https://gymvisual.com/17509-catalog_default/band-hip-abduction-male.jpg",4,500,500)</f>
        <v/>
      </c>
      <c r="C155" s="30">
        <v>154.0</v>
      </c>
      <c r="D155" s="16" t="s">
        <v>509</v>
      </c>
      <c r="E155" s="16" t="s">
        <v>184</v>
      </c>
      <c r="F155" s="16" t="s">
        <v>185</v>
      </c>
      <c r="G155" s="16" t="s">
        <v>291</v>
      </c>
      <c r="H155" s="16" t="s">
        <v>475</v>
      </c>
      <c r="I155" s="16" t="s">
        <v>476</v>
      </c>
    </row>
    <row r="156" ht="242.25" hidden="1" customHeight="1">
      <c r="B156" s="32" t="str">
        <f>IMAGE("https://gymvisual.com/17486-catalog_default/band-hip-adduction.jpg",4,500,500)</f>
        <v/>
      </c>
      <c r="C156" s="30">
        <v>155.0</v>
      </c>
      <c r="D156" s="16" t="s">
        <v>510</v>
      </c>
      <c r="E156" s="16" t="s">
        <v>184</v>
      </c>
      <c r="F156" s="16" t="s">
        <v>185</v>
      </c>
      <c r="G156" s="16" t="s">
        <v>291</v>
      </c>
      <c r="H156" s="16" t="s">
        <v>511</v>
      </c>
      <c r="I156" s="16" t="s">
        <v>512</v>
      </c>
    </row>
    <row r="157" ht="242.25" hidden="1" customHeight="1">
      <c r="B157" s="32" t="str">
        <f>IMAGE("https://gymvisual.com/17505-catalog_default/band-hip-adduction-male.jpg",4,500,500)</f>
        <v/>
      </c>
      <c r="C157" s="30">
        <v>156.0</v>
      </c>
      <c r="D157" s="16" t="s">
        <v>513</v>
      </c>
      <c r="E157" s="16" t="s">
        <v>184</v>
      </c>
      <c r="F157" s="16" t="s">
        <v>185</v>
      </c>
      <c r="G157" s="16" t="s">
        <v>291</v>
      </c>
      <c r="H157" s="16" t="s">
        <v>514</v>
      </c>
      <c r="I157" s="16" t="s">
        <v>515</v>
      </c>
    </row>
    <row r="158" ht="242.25" hidden="1" customHeight="1">
      <c r="B158" s="32" t="str">
        <f>IMAGE("https://gymvisual.com/2792-catalog_default/band-hip-extension.jpg",4,500,500)</f>
        <v/>
      </c>
      <c r="C158" s="30">
        <v>157.0</v>
      </c>
      <c r="D158" s="16" t="s">
        <v>516</v>
      </c>
      <c r="E158" s="16" t="s">
        <v>184</v>
      </c>
      <c r="F158" s="16" t="s">
        <v>185</v>
      </c>
      <c r="G158" s="16" t="s">
        <v>291</v>
      </c>
      <c r="H158" s="16" t="s">
        <v>187</v>
      </c>
      <c r="I158" s="16" t="s">
        <v>275</v>
      </c>
    </row>
    <row r="159" ht="242.25" hidden="1" customHeight="1">
      <c r="B159" s="32" t="str">
        <f>IMAGE("https://gymvisual.com/6747-catalog_default/band-hip-flexion.jpg",4,500,500)</f>
        <v/>
      </c>
      <c r="C159" s="30">
        <v>158.0</v>
      </c>
      <c r="D159" s="16" t="s">
        <v>517</v>
      </c>
      <c r="E159" s="16" t="s">
        <v>184</v>
      </c>
      <c r="F159" s="16" t="s">
        <v>185</v>
      </c>
      <c r="G159" s="16" t="s">
        <v>291</v>
      </c>
      <c r="H159" s="16" t="s">
        <v>220</v>
      </c>
      <c r="I159" s="16" t="s">
        <v>220</v>
      </c>
    </row>
    <row r="160" ht="242.25" hidden="1" customHeight="1">
      <c r="B160" s="32" t="str">
        <f>IMAGE("https://gymvisual.com/6260-catalog_default/band-hip-lift.jpg",4,500,500)</f>
        <v/>
      </c>
      <c r="C160" s="30">
        <v>159.0</v>
      </c>
      <c r="D160" s="16" t="s">
        <v>518</v>
      </c>
      <c r="E160" s="16" t="s">
        <v>184</v>
      </c>
      <c r="F160" s="16" t="s">
        <v>185</v>
      </c>
      <c r="G160" s="16" t="s">
        <v>291</v>
      </c>
      <c r="H160" s="16" t="s">
        <v>187</v>
      </c>
      <c r="I160" s="16" t="s">
        <v>188</v>
      </c>
    </row>
    <row r="161" ht="242.25" hidden="1" customHeight="1">
      <c r="B161" s="32" t="str">
        <f>IMAGE("https://gymvisual.com/22119-catalog_default/band-horizontal-biceps-curl-male.jpg",4,500,500)</f>
        <v/>
      </c>
      <c r="C161" s="30">
        <v>160.0</v>
      </c>
      <c r="D161" s="16" t="s">
        <v>519</v>
      </c>
      <c r="E161" s="16" t="s">
        <v>184</v>
      </c>
      <c r="F161" s="16" t="s">
        <v>219</v>
      </c>
      <c r="G161" s="16" t="s">
        <v>291</v>
      </c>
      <c r="H161" s="16" t="s">
        <v>241</v>
      </c>
      <c r="I161" s="16" t="s">
        <v>292</v>
      </c>
    </row>
    <row r="162" ht="242.25" hidden="1" customHeight="1">
      <c r="B162" s="32" t="str">
        <f>IMAGE("https://gymvisual.com/2870-catalog_default/band-horizontal-pallof-press.jpg",4,500,500)</f>
        <v/>
      </c>
      <c r="C162" s="30">
        <v>161.0</v>
      </c>
      <c r="D162" s="16" t="s">
        <v>520</v>
      </c>
      <c r="E162" s="16" t="s">
        <v>184</v>
      </c>
      <c r="F162" s="16" t="s">
        <v>254</v>
      </c>
      <c r="G162" s="16" t="s">
        <v>291</v>
      </c>
      <c r="H162" s="16" t="s">
        <v>257</v>
      </c>
      <c r="I162" s="16" t="s">
        <v>220</v>
      </c>
    </row>
    <row r="163" ht="242.25" customHeight="1">
      <c r="B163" s="32" t="str">
        <f>IMAGE("https://gymvisual.com/14058-catalog_default/band-horizontal-pallof-press-with-resistance-band-squat.jpg",4,500,500)</f>
        <v/>
      </c>
      <c r="C163" s="30">
        <v>162.0</v>
      </c>
      <c r="D163" s="16" t="s">
        <v>521</v>
      </c>
      <c r="E163" s="16" t="s">
        <v>184</v>
      </c>
      <c r="F163" s="16" t="s">
        <v>522</v>
      </c>
      <c r="G163" s="16" t="s">
        <v>523</v>
      </c>
      <c r="H163" s="16" t="s">
        <v>524</v>
      </c>
      <c r="I163" s="16" t="s">
        <v>220</v>
      </c>
    </row>
    <row r="164" ht="242.25" hidden="1" customHeight="1">
      <c r="B164" s="32" t="str">
        <f>IMAGE("https://gymvisual.com/2871-catalog_default/band-hyperextension.jpg",4,500,500)</f>
        <v/>
      </c>
      <c r="C164" s="30">
        <v>163.0</v>
      </c>
      <c r="D164" s="16" t="s">
        <v>525</v>
      </c>
      <c r="E164" s="16" t="s">
        <v>184</v>
      </c>
      <c r="F164" s="16" t="s">
        <v>192</v>
      </c>
      <c r="G164" s="16" t="s">
        <v>291</v>
      </c>
      <c r="H164" s="16" t="s">
        <v>267</v>
      </c>
      <c r="I164" s="16" t="s">
        <v>220</v>
      </c>
    </row>
    <row r="165" ht="242.25" hidden="1" customHeight="1">
      <c r="B165" s="32" t="str">
        <f>IMAGE("https://gymvisual.com/19565-catalog_default/band-incline-bench-press.jpg",4,500,500)</f>
        <v/>
      </c>
      <c r="C165" s="30">
        <v>164.0</v>
      </c>
      <c r="D165" s="16" t="s">
        <v>526</v>
      </c>
      <c r="E165" s="16" t="s">
        <v>184</v>
      </c>
      <c r="F165" s="16" t="s">
        <v>234</v>
      </c>
      <c r="G165" s="16" t="s">
        <v>291</v>
      </c>
      <c r="H165" s="16" t="s">
        <v>220</v>
      </c>
      <c r="I165" s="16" t="s">
        <v>220</v>
      </c>
    </row>
    <row r="166" ht="242.25" hidden="1" customHeight="1">
      <c r="B166" s="32" t="str">
        <f>IMAGE("https://gymvisual.com/11182-catalog_default/band-jack-knife-sit-up-female.jpg",4,500,500)</f>
        <v/>
      </c>
      <c r="C166" s="30">
        <v>165.0</v>
      </c>
      <c r="D166" s="16" t="s">
        <v>527</v>
      </c>
      <c r="E166" s="16" t="s">
        <v>184</v>
      </c>
      <c r="F166" s="16" t="s">
        <v>310</v>
      </c>
      <c r="G166" s="16" t="s">
        <v>291</v>
      </c>
      <c r="H166" s="16" t="s">
        <v>220</v>
      </c>
      <c r="I166" s="16" t="s">
        <v>220</v>
      </c>
    </row>
    <row r="167" ht="242.25" hidden="1" customHeight="1">
      <c r="B167" s="32" t="str">
        <f>IMAGE("https://gymvisual.com/2878-catalog_default/band-jack-knife-sit-up.jpg",4,500,500)</f>
        <v/>
      </c>
      <c r="C167" s="30">
        <v>166.0</v>
      </c>
      <c r="D167" s="16" t="s">
        <v>528</v>
      </c>
      <c r="E167" s="16" t="s">
        <v>184</v>
      </c>
      <c r="F167" s="16" t="s">
        <v>254</v>
      </c>
      <c r="G167" s="16" t="s">
        <v>291</v>
      </c>
      <c r="H167" s="16" t="s">
        <v>305</v>
      </c>
      <c r="I167" s="16" t="s">
        <v>529</v>
      </c>
    </row>
    <row r="168" ht="242.25" hidden="1" customHeight="1">
      <c r="B168" s="32" t="str">
        <f>IMAGE("https://gymvisual.com/2794-catalog_default/band-kickback.jpg",4,500,500)</f>
        <v/>
      </c>
      <c r="C168" s="30">
        <v>167.0</v>
      </c>
      <c r="D168" s="16" t="s">
        <v>530</v>
      </c>
      <c r="E168" s="16" t="s">
        <v>184</v>
      </c>
      <c r="F168" s="16" t="s">
        <v>219</v>
      </c>
      <c r="G168" s="16" t="s">
        <v>291</v>
      </c>
      <c r="H168" s="16" t="s">
        <v>223</v>
      </c>
      <c r="I168" s="16" t="s">
        <v>220</v>
      </c>
    </row>
    <row r="169" ht="242.25" hidden="1" customHeight="1">
      <c r="B169" s="32" t="str">
        <f>IMAGE("https://gymvisual.com/2872-catalog_default/band-kneeling-crunch.jpg",4,500,500)</f>
        <v/>
      </c>
      <c r="C169" s="30">
        <v>168.0</v>
      </c>
      <c r="D169" s="16" t="s">
        <v>531</v>
      </c>
      <c r="E169" s="16" t="s">
        <v>184</v>
      </c>
      <c r="F169" s="16" t="s">
        <v>254</v>
      </c>
      <c r="G169" s="16" t="s">
        <v>291</v>
      </c>
      <c r="H169" s="16" t="s">
        <v>256</v>
      </c>
      <c r="I169" s="16" t="s">
        <v>257</v>
      </c>
    </row>
    <row r="170" ht="242.25" hidden="1" customHeight="1">
      <c r="B170" s="32" t="str">
        <f>IMAGE("https://gymvisual.com/22113-catalog_default/band-kneeling-crunch-male.jpg",4,500,500)</f>
        <v/>
      </c>
      <c r="C170" s="30">
        <v>169.0</v>
      </c>
      <c r="D170" s="16" t="s">
        <v>532</v>
      </c>
      <c r="E170" s="16" t="s">
        <v>184</v>
      </c>
      <c r="F170" s="16" t="s">
        <v>254</v>
      </c>
      <c r="G170" s="16" t="s">
        <v>291</v>
      </c>
      <c r="H170" s="16" t="s">
        <v>256</v>
      </c>
      <c r="I170" s="16" t="s">
        <v>257</v>
      </c>
    </row>
    <row r="171" ht="242.25" hidden="1" customHeight="1">
      <c r="B171" s="32" t="str">
        <f>IMAGE("https://gymvisual.com/22193-catalog_default/band-kneeling-crunch-version-2-female.jpg",4,500,500)</f>
        <v/>
      </c>
      <c r="C171" s="30">
        <v>170.0</v>
      </c>
      <c r="D171" s="16" t="s">
        <v>533</v>
      </c>
      <c r="E171" s="16" t="s">
        <v>184</v>
      </c>
      <c r="F171" s="16" t="s">
        <v>254</v>
      </c>
      <c r="G171" s="16" t="s">
        <v>291</v>
      </c>
      <c r="H171" s="16" t="s">
        <v>220</v>
      </c>
      <c r="I171" s="16" t="s">
        <v>220</v>
      </c>
    </row>
    <row r="172" ht="242.25" hidden="1" customHeight="1">
      <c r="B172" s="32" t="str">
        <f>IMAGE("https://gymvisual.com/18913-catalog_default/band-kneeling-lat-pulldown.jpg",4,500,500)</f>
        <v/>
      </c>
      <c r="C172" s="30">
        <v>171.0</v>
      </c>
      <c r="D172" s="16" t="s">
        <v>534</v>
      </c>
      <c r="E172" s="16" t="s">
        <v>184</v>
      </c>
      <c r="F172" s="16" t="s">
        <v>192</v>
      </c>
      <c r="G172" s="16" t="s">
        <v>291</v>
      </c>
      <c r="H172" s="16" t="s">
        <v>300</v>
      </c>
      <c r="I172" s="16" t="s">
        <v>535</v>
      </c>
    </row>
    <row r="173" ht="242.25" hidden="1" customHeight="1">
      <c r="B173" s="32" t="str">
        <f>IMAGE("https://gymvisual.com/2880-catalog_default/band-kneeling-one-arm-pulldown.jpg",4,500,500)</f>
        <v/>
      </c>
      <c r="C173" s="30">
        <v>172.0</v>
      </c>
      <c r="D173" s="16" t="s">
        <v>536</v>
      </c>
      <c r="E173" s="16" t="s">
        <v>184</v>
      </c>
      <c r="F173" s="16" t="s">
        <v>192</v>
      </c>
      <c r="G173" s="16" t="s">
        <v>291</v>
      </c>
      <c r="H173" s="16" t="s">
        <v>300</v>
      </c>
      <c r="I173" s="16" t="s">
        <v>537</v>
      </c>
    </row>
    <row r="174" ht="242.25" hidden="1" customHeight="1">
      <c r="B174" s="32" t="str">
        <f>IMAGE("https://gymvisual.com/17077-catalog_default/band-kneeling-one-arm-pulldown-female.jpg",4,500,500)</f>
        <v/>
      </c>
      <c r="C174" s="30">
        <v>173.0</v>
      </c>
      <c r="D174" s="16" t="s">
        <v>538</v>
      </c>
      <c r="E174" s="16" t="s">
        <v>184</v>
      </c>
      <c r="F174" s="16" t="s">
        <v>192</v>
      </c>
      <c r="G174" s="16" t="s">
        <v>291</v>
      </c>
      <c r="H174" s="16" t="s">
        <v>300</v>
      </c>
      <c r="I174" s="16" t="s">
        <v>387</v>
      </c>
    </row>
    <row r="175" ht="242.25" hidden="1" customHeight="1">
      <c r="B175" s="32" t="str">
        <f>IMAGE("https://gymvisual.com/20555-catalog_default/band-kneeling-preacher-curl-male.jpg",4,500,500)</f>
        <v/>
      </c>
      <c r="C175" s="30">
        <v>174.0</v>
      </c>
      <c r="D175" s="16" t="s">
        <v>539</v>
      </c>
      <c r="E175" s="16" t="s">
        <v>184</v>
      </c>
      <c r="F175" s="16" t="s">
        <v>219</v>
      </c>
      <c r="G175" s="16" t="s">
        <v>291</v>
      </c>
      <c r="H175" s="16" t="s">
        <v>241</v>
      </c>
      <c r="I175" s="16" t="s">
        <v>292</v>
      </c>
    </row>
    <row r="176" ht="242.25" hidden="1" customHeight="1">
      <c r="B176" s="32" t="str">
        <f>IMAGE("https://gymvisual.com/2796-catalog_default/band-kneeling-pulldown.jpg",4,500,500)</f>
        <v/>
      </c>
      <c r="C176" s="30">
        <v>175.0</v>
      </c>
      <c r="D176" s="16" t="s">
        <v>540</v>
      </c>
      <c r="E176" s="16" t="s">
        <v>184</v>
      </c>
      <c r="F176" s="16" t="s">
        <v>192</v>
      </c>
      <c r="G176" s="16" t="s">
        <v>291</v>
      </c>
      <c r="H176" s="16" t="s">
        <v>300</v>
      </c>
      <c r="I176" s="16" t="s">
        <v>387</v>
      </c>
    </row>
    <row r="177" ht="242.25" hidden="1" customHeight="1">
      <c r="B177" s="32" t="str">
        <f>IMAGE("https://gymvisual.com/2873-catalog_default/band-kneeling-rear-kick.jpg",4,500,500)</f>
        <v/>
      </c>
      <c r="C177" s="30">
        <v>176.0</v>
      </c>
      <c r="D177" s="16" t="s">
        <v>541</v>
      </c>
      <c r="E177" s="16" t="s">
        <v>184</v>
      </c>
      <c r="F177" s="16" t="s">
        <v>185</v>
      </c>
      <c r="G177" s="16" t="s">
        <v>291</v>
      </c>
      <c r="H177" s="16" t="s">
        <v>187</v>
      </c>
      <c r="I177" s="16" t="s">
        <v>220</v>
      </c>
    </row>
    <row r="178" ht="242.25" hidden="1" customHeight="1">
      <c r="B178" s="32" t="str">
        <f>IMAGE("https://gymvisual.com/2882-catalog_default/band-kneeling-twisting-crunch.jpg",4,500,500)</f>
        <v/>
      </c>
      <c r="C178" s="30">
        <v>177.0</v>
      </c>
      <c r="D178" s="16" t="s">
        <v>542</v>
      </c>
      <c r="E178" s="16" t="s">
        <v>184</v>
      </c>
      <c r="F178" s="16" t="s">
        <v>254</v>
      </c>
      <c r="G178" s="16" t="s">
        <v>291</v>
      </c>
      <c r="H178" s="16" t="s">
        <v>257</v>
      </c>
      <c r="I178" s="16" t="s">
        <v>256</v>
      </c>
    </row>
    <row r="179" ht="242.25" hidden="1" customHeight="1">
      <c r="B179" s="32" t="str">
        <f>IMAGE("https://gymvisual.com/2798-catalog_default/band-lateral-raise.jpg",4,500,500)</f>
        <v/>
      </c>
      <c r="C179" s="30">
        <v>178.0</v>
      </c>
      <c r="D179" s="16" t="s">
        <v>543</v>
      </c>
      <c r="E179" s="16" t="s">
        <v>184</v>
      </c>
      <c r="F179" s="16" t="s">
        <v>228</v>
      </c>
      <c r="G179" s="16" t="s">
        <v>291</v>
      </c>
      <c r="H179" s="16" t="s">
        <v>544</v>
      </c>
      <c r="I179" s="16" t="s">
        <v>545</v>
      </c>
    </row>
    <row r="180" ht="242.25" hidden="1" customHeight="1">
      <c r="B180" s="32" t="str">
        <f>IMAGE("https://gymvisual.com/6749-catalog_default/band-lateral-raise-version-2.jpg",4,500,500)</f>
        <v/>
      </c>
      <c r="C180" s="30">
        <v>179.0</v>
      </c>
      <c r="D180" s="16" t="s">
        <v>546</v>
      </c>
      <c r="E180" s="16" t="s">
        <v>184</v>
      </c>
      <c r="F180" s="16" t="s">
        <v>228</v>
      </c>
      <c r="G180" s="16" t="s">
        <v>291</v>
      </c>
      <c r="H180" s="16" t="s">
        <v>544</v>
      </c>
      <c r="I180" s="16" t="s">
        <v>545</v>
      </c>
    </row>
    <row r="181" ht="242.25" hidden="1" customHeight="1">
      <c r="B181" s="32" t="str">
        <f>IMAGE("https://gymvisual.com/22742-catalog_default/band-low-alternate-chest-press-male.jpg",4,500,500)</f>
        <v/>
      </c>
      <c r="C181" s="30">
        <v>180.0</v>
      </c>
      <c r="D181" s="16" t="s">
        <v>547</v>
      </c>
      <c r="E181" s="16" t="s">
        <v>184</v>
      </c>
      <c r="F181" s="16" t="s">
        <v>234</v>
      </c>
      <c r="G181" s="16" t="s">
        <v>291</v>
      </c>
      <c r="H181" s="16" t="s">
        <v>347</v>
      </c>
      <c r="I181" s="16" t="s">
        <v>382</v>
      </c>
    </row>
    <row r="182" ht="242.25" hidden="1" customHeight="1">
      <c r="B182" s="32" t="str">
        <f>IMAGE("https://gymvisual.com/18938-catalog_default/band-low-chest-fly-male.jpg",4,500,500)</f>
        <v/>
      </c>
      <c r="C182" s="30">
        <v>181.0</v>
      </c>
      <c r="D182" s="16" t="s">
        <v>548</v>
      </c>
      <c r="E182" s="16" t="s">
        <v>184</v>
      </c>
      <c r="F182" s="16" t="s">
        <v>234</v>
      </c>
      <c r="G182" s="16" t="s">
        <v>291</v>
      </c>
      <c r="H182" s="16" t="s">
        <v>235</v>
      </c>
      <c r="I182" s="16" t="s">
        <v>236</v>
      </c>
    </row>
    <row r="183" ht="242.25" hidden="1" customHeight="1">
      <c r="B183" s="32" t="str">
        <f>IMAGE("https://gymvisual.com/18907-catalog_default/band-low-chest-press-male.jpg",4,500,500)</f>
        <v/>
      </c>
      <c r="C183" s="30">
        <v>182.0</v>
      </c>
      <c r="D183" s="16" t="s">
        <v>549</v>
      </c>
      <c r="E183" s="16" t="s">
        <v>184</v>
      </c>
      <c r="F183" s="16" t="s">
        <v>234</v>
      </c>
      <c r="G183" s="16" t="s">
        <v>291</v>
      </c>
      <c r="H183" s="16" t="s">
        <v>235</v>
      </c>
      <c r="I183" s="16" t="s">
        <v>243</v>
      </c>
    </row>
    <row r="184" ht="242.25" hidden="1" customHeight="1">
      <c r="B184" s="32" t="str">
        <f>IMAGE("https://gymvisual.com/2799-catalog_default/band-low-fly.jpg",4,500,500)</f>
        <v/>
      </c>
      <c r="C184" s="30">
        <v>183.0</v>
      </c>
      <c r="D184" s="16" t="s">
        <v>550</v>
      </c>
      <c r="E184" s="16" t="s">
        <v>184</v>
      </c>
      <c r="F184" s="16" t="s">
        <v>234</v>
      </c>
      <c r="G184" s="16" t="s">
        <v>291</v>
      </c>
      <c r="H184" s="16" t="s">
        <v>415</v>
      </c>
      <c r="I184" s="16" t="s">
        <v>236</v>
      </c>
    </row>
    <row r="185" ht="242.25" hidden="1" customHeight="1">
      <c r="B185" s="32" t="str">
        <f>IMAGE("https://gymvisual.com/2800-catalog_default/band-lunges.jpg",4,500,500)</f>
        <v/>
      </c>
      <c r="C185" s="30">
        <v>184.0</v>
      </c>
      <c r="D185" s="16" t="s">
        <v>551</v>
      </c>
      <c r="E185" s="16" t="s">
        <v>184</v>
      </c>
      <c r="F185" s="16" t="s">
        <v>285</v>
      </c>
      <c r="G185" s="16" t="s">
        <v>291</v>
      </c>
      <c r="H185" s="16" t="s">
        <v>552</v>
      </c>
      <c r="I185" s="16" t="s">
        <v>553</v>
      </c>
    </row>
    <row r="186" ht="242.25" hidden="1" customHeight="1">
      <c r="B186" s="32" t="str">
        <f>IMAGE("https://gymvisual.com/2879-catalog_default/band-lying-hip-external-rotation.jpg",4,500,500)</f>
        <v/>
      </c>
      <c r="C186" s="30">
        <v>185.0</v>
      </c>
      <c r="D186" s="16" t="s">
        <v>554</v>
      </c>
      <c r="E186" s="16" t="s">
        <v>184</v>
      </c>
      <c r="F186" s="16" t="s">
        <v>185</v>
      </c>
      <c r="G186" s="16" t="s">
        <v>291</v>
      </c>
      <c r="H186" s="16" t="s">
        <v>555</v>
      </c>
      <c r="I186" s="16" t="s">
        <v>220</v>
      </c>
    </row>
    <row r="187" ht="242.25" hidden="1" customHeight="1">
      <c r="B187" s="32" t="str">
        <f>IMAGE("https://gymvisual.com/13313-catalog_default/band-lying-hip-external-rotation-female.jpg",4,500,500)</f>
        <v/>
      </c>
      <c r="C187" s="30">
        <v>186.0</v>
      </c>
      <c r="D187" s="16" t="s">
        <v>556</v>
      </c>
      <c r="E187" s="16" t="s">
        <v>184</v>
      </c>
      <c r="F187" s="16" t="s">
        <v>185</v>
      </c>
      <c r="G187" s="16" t="s">
        <v>255</v>
      </c>
      <c r="H187" s="16" t="s">
        <v>220</v>
      </c>
      <c r="I187" s="16" t="s">
        <v>220</v>
      </c>
    </row>
    <row r="188" ht="242.25" hidden="1" customHeight="1">
      <c r="B188" s="32" t="str">
        <f>IMAGE("https://gymvisual.com/2881-catalog_default/band-lying-hip-internal-rotation.jpg",4,500,500)</f>
        <v/>
      </c>
      <c r="C188" s="30">
        <v>187.0</v>
      </c>
      <c r="D188" s="16" t="s">
        <v>557</v>
      </c>
      <c r="E188" s="16" t="s">
        <v>184</v>
      </c>
      <c r="F188" s="16" t="s">
        <v>185</v>
      </c>
      <c r="G188" s="16" t="s">
        <v>291</v>
      </c>
      <c r="H188" s="16" t="s">
        <v>508</v>
      </c>
      <c r="I188" s="16" t="s">
        <v>220</v>
      </c>
    </row>
    <row r="189" ht="242.25" hidden="1" customHeight="1">
      <c r="B189" s="32" t="str">
        <f>IMAGE("https://gymvisual.com/13315-catalog_default/band-lying-hip-internal-rotation-female.jpg",4,500,500)</f>
        <v/>
      </c>
      <c r="C189" s="30">
        <v>188.0</v>
      </c>
      <c r="D189" s="16" t="s">
        <v>558</v>
      </c>
      <c r="E189" s="16" t="s">
        <v>184</v>
      </c>
      <c r="F189" s="16" t="s">
        <v>185</v>
      </c>
      <c r="G189" s="16" t="s">
        <v>291</v>
      </c>
      <c r="H189" s="16" t="s">
        <v>220</v>
      </c>
      <c r="I189" s="16" t="s">
        <v>220</v>
      </c>
    </row>
    <row r="190" ht="242.25" hidden="1" customHeight="1">
      <c r="B190" s="32" t="str">
        <f>IMAGE("https://gymvisual.com/2801-catalog_default/band-lying-leg-and-hip-raise.jpg",4,500,500)</f>
        <v/>
      </c>
      <c r="C190" s="30">
        <v>189.0</v>
      </c>
      <c r="D190" s="16" t="s">
        <v>559</v>
      </c>
      <c r="E190" s="16" t="s">
        <v>184</v>
      </c>
      <c r="F190" s="16" t="s">
        <v>254</v>
      </c>
      <c r="G190" s="16" t="s">
        <v>291</v>
      </c>
      <c r="H190" s="16" t="s">
        <v>305</v>
      </c>
      <c r="I190" s="16" t="s">
        <v>371</v>
      </c>
    </row>
    <row r="191" ht="242.25" hidden="1" customHeight="1">
      <c r="B191" s="32" t="str">
        <f>IMAGE("https://gymvisual.com/2802-catalog_default/band-lying-leg-curl.jpg",4,500,500)</f>
        <v/>
      </c>
      <c r="C191" s="30">
        <v>190.0</v>
      </c>
      <c r="D191" s="16" t="s">
        <v>560</v>
      </c>
      <c r="E191" s="16" t="s">
        <v>184</v>
      </c>
      <c r="F191" s="16" t="s">
        <v>285</v>
      </c>
      <c r="G191" s="16" t="s">
        <v>291</v>
      </c>
      <c r="H191" s="16" t="s">
        <v>188</v>
      </c>
      <c r="I191" s="16" t="s">
        <v>561</v>
      </c>
    </row>
    <row r="192" ht="242.25" hidden="1" customHeight="1">
      <c r="B192" s="32" t="str">
        <f>IMAGE("https://gymvisual.com/2803-catalog_default/band-lying-leg-raise.jpg",4,500,500)</f>
        <v/>
      </c>
      <c r="C192" s="30">
        <v>191.0</v>
      </c>
      <c r="D192" s="16" t="s">
        <v>562</v>
      </c>
      <c r="E192" s="16" t="s">
        <v>184</v>
      </c>
      <c r="F192" s="16" t="s">
        <v>185</v>
      </c>
      <c r="G192" s="16" t="s">
        <v>291</v>
      </c>
      <c r="H192" s="16" t="s">
        <v>271</v>
      </c>
      <c r="I192" s="16" t="s">
        <v>563</v>
      </c>
    </row>
    <row r="193" ht="242.25" hidden="1" customHeight="1">
      <c r="B193" s="32" t="str">
        <f>IMAGE("https://gymvisual.com/22135-catalog_default/band-lying-reverse-grip-pressdown.jpg",4,500,500)</f>
        <v/>
      </c>
      <c r="C193" s="30">
        <v>192.0</v>
      </c>
      <c r="D193" s="16" t="s">
        <v>564</v>
      </c>
      <c r="E193" s="16" t="s">
        <v>184</v>
      </c>
      <c r="F193" s="16" t="s">
        <v>219</v>
      </c>
      <c r="G193" s="16" t="s">
        <v>291</v>
      </c>
      <c r="H193" s="16" t="s">
        <v>220</v>
      </c>
      <c r="I193" s="16" t="s">
        <v>220</v>
      </c>
    </row>
    <row r="194" ht="242.25" hidden="1" customHeight="1">
      <c r="B194" s="32" t="str">
        <f>IMAGE("https://gymvisual.com/2899-catalog_default/band-lying-straight-leg-raise.jpg",4,500,500)</f>
        <v/>
      </c>
      <c r="C194" s="30">
        <v>193.0</v>
      </c>
      <c r="D194" s="16" t="s">
        <v>565</v>
      </c>
      <c r="E194" s="16" t="s">
        <v>184</v>
      </c>
      <c r="F194" s="16" t="s">
        <v>185</v>
      </c>
      <c r="G194" s="16" t="s">
        <v>291</v>
      </c>
      <c r="H194" s="16" t="s">
        <v>271</v>
      </c>
      <c r="I194" s="16" t="s">
        <v>566</v>
      </c>
    </row>
    <row r="195" ht="242.25" hidden="1" customHeight="1">
      <c r="B195" s="32" t="str">
        <f>IMAGE("https://gymvisual.com/2804-catalog_default/band-middle-fly.jpg",4,500,500)</f>
        <v/>
      </c>
      <c r="C195" s="30">
        <v>194.0</v>
      </c>
      <c r="D195" s="16" t="s">
        <v>567</v>
      </c>
      <c r="E195" s="16" t="s">
        <v>184</v>
      </c>
      <c r="F195" s="16" t="s">
        <v>234</v>
      </c>
      <c r="G195" s="16" t="s">
        <v>291</v>
      </c>
      <c r="H195" s="16" t="s">
        <v>347</v>
      </c>
      <c r="I195" s="16" t="s">
        <v>568</v>
      </c>
    </row>
    <row r="196" ht="242.25" hidden="1" customHeight="1">
      <c r="B196" s="32" t="str">
        <f>IMAGE("https://gymvisual.com/22600-catalog_default/band-narrow-grip-high-row.jpg",4,500,500)</f>
        <v/>
      </c>
      <c r="C196" s="30">
        <v>195.0</v>
      </c>
      <c r="D196" s="16" t="s">
        <v>569</v>
      </c>
      <c r="E196" s="16" t="s">
        <v>184</v>
      </c>
      <c r="F196" s="16" t="s">
        <v>192</v>
      </c>
      <c r="G196" s="16" t="s">
        <v>291</v>
      </c>
      <c r="H196" s="16" t="s">
        <v>570</v>
      </c>
      <c r="I196" s="16" t="s">
        <v>447</v>
      </c>
    </row>
    <row r="197" ht="242.25" hidden="1" customHeight="1">
      <c r="B197" s="32" t="str">
        <f>IMAGE("https://gymvisual.com/22752-catalog_default/band-narrow-grip-high-row-version-2.jpg",4,500,500)</f>
        <v/>
      </c>
      <c r="C197" s="30">
        <v>196.0</v>
      </c>
      <c r="D197" s="16" t="s">
        <v>571</v>
      </c>
      <c r="E197" s="16" t="s">
        <v>184</v>
      </c>
      <c r="F197" s="16" t="s">
        <v>192</v>
      </c>
      <c r="G197" s="16" t="s">
        <v>291</v>
      </c>
      <c r="H197" s="16" t="s">
        <v>570</v>
      </c>
      <c r="I197" s="16" t="s">
        <v>447</v>
      </c>
    </row>
    <row r="198" ht="242.25" hidden="1" customHeight="1">
      <c r="B198" s="32" t="str">
        <f>IMAGE("https://gymvisual.com/2883-catalog_default/band-one-arm-overhead-biceps-cur.jpg",4,500,500)</f>
        <v/>
      </c>
      <c r="C198" s="30">
        <v>197.0</v>
      </c>
      <c r="D198" s="16" t="s">
        <v>572</v>
      </c>
      <c r="E198" s="16" t="s">
        <v>184</v>
      </c>
      <c r="F198" s="16" t="s">
        <v>219</v>
      </c>
      <c r="G198" s="16" t="s">
        <v>291</v>
      </c>
      <c r="H198" s="16" t="s">
        <v>232</v>
      </c>
      <c r="I198" s="16" t="s">
        <v>233</v>
      </c>
    </row>
    <row r="199" ht="242.25" hidden="1" customHeight="1">
      <c r="B199" s="32" t="str">
        <f>IMAGE("https://gymvisual.com/2884-catalog_default/band-one-arm-single-leg-split-squat.jpg",4,500,500)</f>
        <v/>
      </c>
      <c r="C199" s="30">
        <v>198.0</v>
      </c>
      <c r="D199" s="16" t="s">
        <v>573</v>
      </c>
      <c r="E199" s="16" t="s">
        <v>184</v>
      </c>
      <c r="F199" s="16" t="s">
        <v>185</v>
      </c>
      <c r="G199" s="16" t="s">
        <v>291</v>
      </c>
      <c r="H199" s="16" t="s">
        <v>187</v>
      </c>
      <c r="I199" s="16" t="s">
        <v>480</v>
      </c>
    </row>
    <row r="200" ht="242.25" hidden="1" customHeight="1">
      <c r="B200" s="32" t="str">
        <f>IMAGE("https://gymvisual.com/2885-catalog_default/band-one-arm-standing-low-row.jpg",4,500,500)</f>
        <v/>
      </c>
      <c r="C200" s="30">
        <v>199.0</v>
      </c>
      <c r="D200" s="16" t="s">
        <v>574</v>
      </c>
      <c r="E200" s="16" t="s">
        <v>184</v>
      </c>
      <c r="F200" s="16" t="s">
        <v>192</v>
      </c>
      <c r="G200" s="16" t="s">
        <v>291</v>
      </c>
      <c r="H200" s="16" t="s">
        <v>329</v>
      </c>
      <c r="I200" s="16" t="s">
        <v>457</v>
      </c>
    </row>
    <row r="201" ht="242.25" hidden="1" customHeight="1">
      <c r="B201" s="32" t="str">
        <f>IMAGE("https://gymvisual.com/19008-catalog_default/band-one-arm-standing-wide-grip-low-row.jpg",4,500,500)</f>
        <v/>
      </c>
      <c r="C201" s="30">
        <v>200.0</v>
      </c>
      <c r="D201" s="16" t="s">
        <v>575</v>
      </c>
      <c r="E201" s="16" t="s">
        <v>184</v>
      </c>
      <c r="F201" s="16" t="s">
        <v>192</v>
      </c>
      <c r="G201" s="16" t="s">
        <v>291</v>
      </c>
      <c r="H201" s="16" t="s">
        <v>329</v>
      </c>
      <c r="I201" s="16" t="s">
        <v>447</v>
      </c>
    </row>
    <row r="202" ht="242.25" hidden="1" customHeight="1">
      <c r="B202" s="32" t="str">
        <f>IMAGE("https://gymvisual.com/2886-catalog_default/band-one-arm-twisting-chest-press.jpg",4,500,500)</f>
        <v/>
      </c>
      <c r="C202" s="30">
        <v>201.0</v>
      </c>
      <c r="D202" s="16" t="s">
        <v>576</v>
      </c>
      <c r="E202" s="16" t="s">
        <v>184</v>
      </c>
      <c r="F202" s="16" t="s">
        <v>234</v>
      </c>
      <c r="G202" s="16" t="s">
        <v>291</v>
      </c>
      <c r="H202" s="16" t="s">
        <v>347</v>
      </c>
      <c r="I202" s="16" t="s">
        <v>577</v>
      </c>
    </row>
    <row r="203" ht="242.25" hidden="1" customHeight="1">
      <c r="B203" s="32" t="str">
        <f>IMAGE("https://gymvisual.com/2887-catalog_default/band-one-arm-twisting-seated-row.jpg",4,500,500)</f>
        <v/>
      </c>
      <c r="C203" s="30">
        <v>202.0</v>
      </c>
      <c r="D203" s="16" t="s">
        <v>578</v>
      </c>
      <c r="E203" s="16" t="s">
        <v>184</v>
      </c>
      <c r="F203" s="16" t="s">
        <v>192</v>
      </c>
      <c r="G203" s="16" t="s">
        <v>291</v>
      </c>
      <c r="H203" s="16" t="s">
        <v>329</v>
      </c>
      <c r="I203" s="16" t="s">
        <v>579</v>
      </c>
    </row>
    <row r="204" ht="242.25" hidden="1" customHeight="1">
      <c r="B204" s="32" t="str">
        <f>IMAGE("https://gymvisual.com/17079-catalog_default/band-one-arm-twisting-seated-row-female.jpg",4,500,500)</f>
        <v/>
      </c>
      <c r="C204" s="30">
        <v>203.0</v>
      </c>
      <c r="D204" s="16" t="s">
        <v>580</v>
      </c>
      <c r="E204" s="16" t="s">
        <v>184</v>
      </c>
      <c r="F204" s="16" t="s">
        <v>361</v>
      </c>
      <c r="G204" s="16" t="s">
        <v>291</v>
      </c>
      <c r="H204" s="16" t="s">
        <v>362</v>
      </c>
      <c r="I204" s="16" t="s">
        <v>447</v>
      </c>
    </row>
    <row r="205" ht="242.25" hidden="1" customHeight="1">
      <c r="B205" s="32" t="str">
        <f>IMAGE("https://gymvisual.com/22115-catalog_default/band-overhead-side-bend-male.jpg",4,500,500)</f>
        <v/>
      </c>
      <c r="C205" s="30">
        <v>204.0</v>
      </c>
      <c r="D205" s="16" t="s">
        <v>581</v>
      </c>
      <c r="E205" s="16" t="s">
        <v>184</v>
      </c>
      <c r="F205" s="16" t="s">
        <v>254</v>
      </c>
      <c r="G205" s="16" t="s">
        <v>291</v>
      </c>
      <c r="H205" s="16" t="s">
        <v>257</v>
      </c>
      <c r="I205" s="16" t="s">
        <v>271</v>
      </c>
    </row>
    <row r="206" ht="242.25" hidden="1" customHeight="1">
      <c r="B206" s="32" t="str">
        <f>IMAGE("https://gymvisual.com/22133-catalog_default/band-overhead-single-arm-triceps-extension.jpg",4,500,500)</f>
        <v/>
      </c>
      <c r="C206" s="30">
        <v>205.0</v>
      </c>
      <c r="D206" s="16" t="s">
        <v>582</v>
      </c>
      <c r="E206" s="16" t="s">
        <v>184</v>
      </c>
      <c r="F206" s="16" t="s">
        <v>219</v>
      </c>
      <c r="G206" s="16" t="s">
        <v>291</v>
      </c>
      <c r="H206" s="16" t="s">
        <v>223</v>
      </c>
      <c r="I206" s="16" t="s">
        <v>220</v>
      </c>
    </row>
    <row r="207" ht="242.25" hidden="1" customHeight="1">
      <c r="B207" s="32" t="str">
        <f>IMAGE("https://gymvisual.com/19691-catalog_default/band-overhead-single-arm-triceps-extension-version-2.jpg",4,500,500)</f>
        <v/>
      </c>
      <c r="C207" s="30">
        <v>206.0</v>
      </c>
      <c r="D207" s="16" t="s">
        <v>583</v>
      </c>
      <c r="E207" s="16" t="s">
        <v>184</v>
      </c>
      <c r="F207" s="16" t="s">
        <v>219</v>
      </c>
      <c r="G207" s="16" t="s">
        <v>291</v>
      </c>
      <c r="H207" s="16" t="s">
        <v>223</v>
      </c>
      <c r="I207" s="16" t="s">
        <v>220</v>
      </c>
    </row>
    <row r="208" ht="242.25" hidden="1" customHeight="1">
      <c r="B208" s="32" t="str">
        <f>IMAGE("https://gymvisual.com/2805-catalog_default/band-overhead-triceps-extension.jpg",4,500,500)</f>
        <v/>
      </c>
      <c r="C208" s="30">
        <v>207.0</v>
      </c>
      <c r="D208" s="16" t="s">
        <v>584</v>
      </c>
      <c r="E208" s="16" t="s">
        <v>184</v>
      </c>
      <c r="F208" s="16" t="s">
        <v>219</v>
      </c>
      <c r="G208" s="16" t="s">
        <v>291</v>
      </c>
      <c r="H208" s="16" t="s">
        <v>223</v>
      </c>
      <c r="I208" s="16" t="s">
        <v>220</v>
      </c>
    </row>
    <row r="209" ht="242.25" hidden="1" customHeight="1">
      <c r="B209" s="32" t="str">
        <f>IMAGE("https://gymvisual.com/17278-catalog_default/band-overhead-triceps-extension-male.jpg",4,500,500)</f>
        <v/>
      </c>
      <c r="C209" s="30">
        <v>208.0</v>
      </c>
      <c r="D209" s="16" t="s">
        <v>585</v>
      </c>
      <c r="E209" s="16" t="s">
        <v>184</v>
      </c>
      <c r="F209" s="16" t="s">
        <v>219</v>
      </c>
      <c r="G209" s="16" t="s">
        <v>291</v>
      </c>
      <c r="H209" s="16" t="s">
        <v>223</v>
      </c>
      <c r="I209" s="16" t="s">
        <v>220</v>
      </c>
    </row>
    <row r="210" ht="242.25" hidden="1" customHeight="1">
      <c r="B210" s="32" t="str">
        <f>IMAGE("https://gymvisual.com/22131-catalog_default/band-overhead-triceps-extension-version-2.jpg",4,500,500)</f>
        <v/>
      </c>
      <c r="C210" s="30">
        <v>209.0</v>
      </c>
      <c r="D210" s="16" t="s">
        <v>586</v>
      </c>
      <c r="E210" s="16" t="s">
        <v>184</v>
      </c>
      <c r="F210" s="16" t="s">
        <v>219</v>
      </c>
      <c r="G210" s="16" t="s">
        <v>291</v>
      </c>
      <c r="H210" s="16" t="s">
        <v>223</v>
      </c>
      <c r="I210" s="16" t="s">
        <v>220</v>
      </c>
    </row>
    <row r="211" ht="242.25" hidden="1" customHeight="1">
      <c r="B211" s="32" t="str">
        <f>IMAGE("https://gymvisual.com/18915-catalog_default/band-overhead-triceps-extension-version-2-male.jpg",4,500,500)</f>
        <v/>
      </c>
      <c r="C211" s="30">
        <v>210.0</v>
      </c>
      <c r="D211" s="16" t="s">
        <v>587</v>
      </c>
      <c r="E211" s="16" t="s">
        <v>184</v>
      </c>
      <c r="F211" s="16" t="s">
        <v>219</v>
      </c>
      <c r="G211" s="16" t="s">
        <v>291</v>
      </c>
      <c r="H211" s="16" t="s">
        <v>223</v>
      </c>
      <c r="I211" s="16" t="s">
        <v>220</v>
      </c>
    </row>
    <row r="212" ht="242.25" hidden="1" customHeight="1">
      <c r="B212" s="32" t="str">
        <f>IMAGE("https://gymvisual.com/6739-catalog_default/band-pull-apart.jpg",4,500,500)</f>
        <v/>
      </c>
      <c r="C212" s="30">
        <v>211.0</v>
      </c>
      <c r="D212" s="16" t="s">
        <v>588</v>
      </c>
      <c r="E212" s="16" t="s">
        <v>184</v>
      </c>
      <c r="F212" s="16" t="s">
        <v>228</v>
      </c>
      <c r="G212" s="16" t="s">
        <v>291</v>
      </c>
      <c r="H212" s="16" t="s">
        <v>220</v>
      </c>
      <c r="I212" s="16" t="s">
        <v>220</v>
      </c>
    </row>
    <row r="213" ht="242.25" hidden="1" customHeight="1">
      <c r="B213" s="32" t="str">
        <f>IMAGE("https://gymvisual.com/2888-catalog_default/band-pull-through.jpg",4,500,500)</f>
        <v/>
      </c>
      <c r="C213" s="30">
        <v>212.0</v>
      </c>
      <c r="D213" s="16" t="s">
        <v>589</v>
      </c>
      <c r="E213" s="16" t="s">
        <v>184</v>
      </c>
      <c r="F213" s="16" t="s">
        <v>185</v>
      </c>
      <c r="G213" s="16" t="s">
        <v>291</v>
      </c>
      <c r="H213" s="16" t="s">
        <v>187</v>
      </c>
      <c r="I213" s="16" t="s">
        <v>590</v>
      </c>
    </row>
    <row r="214" ht="242.25" hidden="1" customHeight="1">
      <c r="B214" s="32" t="str">
        <f>IMAGE("https://gymvisual.com/13317-catalog_default/band-pull-through-female.jpg",4,500,500)</f>
        <v/>
      </c>
      <c r="C214" s="30">
        <v>213.0</v>
      </c>
      <c r="D214" s="16" t="s">
        <v>591</v>
      </c>
      <c r="E214" s="16" t="s">
        <v>184</v>
      </c>
      <c r="F214" s="16" t="s">
        <v>185</v>
      </c>
      <c r="G214" s="16" t="s">
        <v>291</v>
      </c>
      <c r="H214" s="16" t="s">
        <v>187</v>
      </c>
      <c r="I214" s="16" t="s">
        <v>188</v>
      </c>
    </row>
    <row r="215" ht="242.25" hidden="1" customHeight="1">
      <c r="B215" s="32" t="str">
        <f>IMAGE("https://gymvisual.com/2889-catalog_default/band-push-sit-up.jpg",4,500,500)</f>
        <v/>
      </c>
      <c r="C215" s="30">
        <v>214.0</v>
      </c>
      <c r="D215" s="16" t="s">
        <v>592</v>
      </c>
      <c r="E215" s="16" t="s">
        <v>184</v>
      </c>
      <c r="F215" s="16" t="s">
        <v>254</v>
      </c>
      <c r="G215" s="16" t="s">
        <v>291</v>
      </c>
      <c r="H215" s="16" t="s">
        <v>305</v>
      </c>
      <c r="I215" s="16" t="s">
        <v>593</v>
      </c>
    </row>
    <row r="216" ht="242.25" hidden="1" customHeight="1">
      <c r="B216" s="32" t="str">
        <f>IMAGE("https://gymvisual.com/2806-catalog_default/band-push-up.jpg",4,500,500)</f>
        <v/>
      </c>
      <c r="C216" s="30">
        <v>215.0</v>
      </c>
      <c r="D216" s="16" t="s">
        <v>594</v>
      </c>
      <c r="E216" s="16" t="s">
        <v>184</v>
      </c>
      <c r="F216" s="16" t="s">
        <v>234</v>
      </c>
      <c r="G216" s="16" t="s">
        <v>291</v>
      </c>
      <c r="H216" s="16" t="s">
        <v>347</v>
      </c>
      <c r="I216" s="16" t="s">
        <v>382</v>
      </c>
    </row>
    <row r="217" ht="242.25" hidden="1" customHeight="1">
      <c r="B217" s="32" t="str">
        <f>IMAGE("https://gymvisual.com/2807-catalog_default/band-pushdown.jpg",4,500,500)</f>
        <v/>
      </c>
      <c r="C217" s="30">
        <v>216.0</v>
      </c>
      <c r="D217" s="16" t="s">
        <v>595</v>
      </c>
      <c r="E217" s="16" t="s">
        <v>184</v>
      </c>
      <c r="F217" s="16" t="s">
        <v>219</v>
      </c>
      <c r="G217" s="16" t="s">
        <v>291</v>
      </c>
      <c r="H217" s="16" t="s">
        <v>223</v>
      </c>
      <c r="I217" s="16" t="s">
        <v>220</v>
      </c>
    </row>
    <row r="218" ht="242.25" hidden="1" customHeight="1">
      <c r="B218" s="32" t="str">
        <f>IMAGE("https://gymvisual.com/6737-catalog_default/band-pushdown.jpg",4,500,500)</f>
        <v/>
      </c>
      <c r="C218" s="30">
        <v>217.0</v>
      </c>
      <c r="D218" s="16" t="s">
        <v>596</v>
      </c>
      <c r="E218" s="16" t="s">
        <v>184</v>
      </c>
      <c r="F218" s="16" t="s">
        <v>219</v>
      </c>
      <c r="G218" s="16" t="s">
        <v>291</v>
      </c>
      <c r="H218" s="16" t="s">
        <v>223</v>
      </c>
      <c r="I218" s="16" t="s">
        <v>220</v>
      </c>
    </row>
    <row r="219" ht="242.25" hidden="1" customHeight="1">
      <c r="B219" s="32" t="str">
        <f>IMAGE("https://gymvisual.com/2903-catalog_default/band-rear-delt-row.jpg",4,500,500)</f>
        <v/>
      </c>
      <c r="C219" s="30">
        <v>218.0</v>
      </c>
      <c r="D219" s="16" t="s">
        <v>597</v>
      </c>
      <c r="E219" s="16" t="s">
        <v>184</v>
      </c>
      <c r="F219" s="16" t="s">
        <v>228</v>
      </c>
      <c r="G219" s="16" t="s">
        <v>291</v>
      </c>
      <c r="H219" s="16" t="s">
        <v>408</v>
      </c>
      <c r="I219" s="16" t="s">
        <v>490</v>
      </c>
    </row>
    <row r="220" ht="242.25" hidden="1" customHeight="1">
      <c r="B220" s="32" t="str">
        <f>IMAGE("https://gymvisual.com/19497-catalog_default/band-resisted-chin-up.jpg",4,500,500)</f>
        <v/>
      </c>
      <c r="C220" s="30">
        <v>219.0</v>
      </c>
      <c r="D220" s="16" t="s">
        <v>598</v>
      </c>
      <c r="E220" s="16" t="s">
        <v>184</v>
      </c>
      <c r="F220" s="16" t="s">
        <v>192</v>
      </c>
      <c r="G220" s="16" t="s">
        <v>291</v>
      </c>
      <c r="H220" s="16" t="s">
        <v>220</v>
      </c>
      <c r="I220" s="16" t="s">
        <v>220</v>
      </c>
    </row>
    <row r="221" ht="242.25" hidden="1" customHeight="1">
      <c r="B221" s="32" t="str">
        <f>IMAGE("https://gymvisual.com/22748-catalog_default/band-reverse-crunch-male.jpg",4,500,500)</f>
        <v/>
      </c>
      <c r="C221" s="30">
        <v>220.0</v>
      </c>
      <c r="D221" s="16" t="s">
        <v>599</v>
      </c>
      <c r="E221" s="16" t="s">
        <v>184</v>
      </c>
      <c r="F221" s="16" t="s">
        <v>254</v>
      </c>
      <c r="G221" s="16" t="s">
        <v>291</v>
      </c>
      <c r="H221" s="16" t="s">
        <v>305</v>
      </c>
      <c r="I221" s="16" t="s">
        <v>600</v>
      </c>
    </row>
    <row r="222" ht="242.25" hidden="1" customHeight="1">
      <c r="B222" s="32" t="str">
        <f>IMAGE("https://gymvisual.com/2808-catalog_default/band-reverse-curl.jpg",4,500,500)</f>
        <v/>
      </c>
      <c r="C222" s="30">
        <v>221.0</v>
      </c>
      <c r="D222" s="16" t="s">
        <v>601</v>
      </c>
      <c r="E222" s="16" t="s">
        <v>184</v>
      </c>
      <c r="F222" s="16" t="s">
        <v>214</v>
      </c>
      <c r="G222" s="16" t="s">
        <v>291</v>
      </c>
      <c r="H222" s="16" t="s">
        <v>216</v>
      </c>
      <c r="I222" s="16" t="s">
        <v>217</v>
      </c>
    </row>
    <row r="223" ht="242.25" hidden="1" customHeight="1">
      <c r="B223" s="32" t="str">
        <f>IMAGE("https://gymvisual.com/2890-catalog_default/band-reverse-fly.jpg",4,500,500)</f>
        <v/>
      </c>
      <c r="C223" s="30">
        <v>222.0</v>
      </c>
      <c r="D223" s="16" t="s">
        <v>602</v>
      </c>
      <c r="E223" s="16" t="s">
        <v>184</v>
      </c>
      <c r="F223" s="16" t="s">
        <v>228</v>
      </c>
      <c r="G223" s="16" t="s">
        <v>291</v>
      </c>
      <c r="H223" s="16" t="s">
        <v>408</v>
      </c>
      <c r="I223" s="16" t="s">
        <v>452</v>
      </c>
    </row>
    <row r="224" ht="242.25" hidden="1" customHeight="1">
      <c r="B224" s="32" t="str">
        <f>IMAGE("https://gymvisual.com/2891-catalog_default/band-reverse-wrist-curl.jpg",4,500,500)</f>
        <v/>
      </c>
      <c r="C224" s="30">
        <v>223.0</v>
      </c>
      <c r="D224" s="16" t="s">
        <v>603</v>
      </c>
      <c r="E224" s="16" t="s">
        <v>184</v>
      </c>
      <c r="F224" s="16" t="s">
        <v>214</v>
      </c>
      <c r="G224" s="16" t="s">
        <v>291</v>
      </c>
      <c r="H224" s="16" t="s">
        <v>604</v>
      </c>
      <c r="I224" s="16" t="s">
        <v>220</v>
      </c>
    </row>
    <row r="225" ht="242.25" hidden="1" customHeight="1">
      <c r="B225" s="32" t="str">
        <f>IMAGE("https://gymvisual.com/2892-catalog_default/band-seated-hip-external-rotation.jpg",4,500,500)</f>
        <v/>
      </c>
      <c r="C225" s="30">
        <v>224.0</v>
      </c>
      <c r="D225" s="16" t="s">
        <v>605</v>
      </c>
      <c r="E225" s="16" t="s">
        <v>184</v>
      </c>
      <c r="F225" s="16" t="s">
        <v>185</v>
      </c>
      <c r="G225" s="16" t="s">
        <v>291</v>
      </c>
      <c r="H225" s="16" t="s">
        <v>555</v>
      </c>
      <c r="I225" s="16" t="s">
        <v>220</v>
      </c>
    </row>
    <row r="226" ht="242.25" hidden="1" customHeight="1">
      <c r="B226" s="32" t="str">
        <f>IMAGE("https://gymvisual.com/2893-catalog_default/band-seated-hip-internal-rotation.jpg",4,500,500)</f>
        <v/>
      </c>
      <c r="C226" s="30">
        <v>225.0</v>
      </c>
      <c r="D226" s="16" t="s">
        <v>606</v>
      </c>
      <c r="E226" s="16" t="s">
        <v>184</v>
      </c>
      <c r="F226" s="16" t="s">
        <v>185</v>
      </c>
      <c r="G226" s="16" t="s">
        <v>291</v>
      </c>
      <c r="H226" s="16" t="s">
        <v>508</v>
      </c>
      <c r="I226" s="16" t="s">
        <v>220</v>
      </c>
    </row>
    <row r="227" ht="242.25" hidden="1" customHeight="1">
      <c r="B227" s="32" t="str">
        <f>IMAGE("https://gymvisual.com/14048-catalog_default/band-seated-leg-extension-female.jpg",4,500,500)</f>
        <v/>
      </c>
      <c r="C227" s="30">
        <v>226.0</v>
      </c>
      <c r="D227" s="16" t="s">
        <v>607</v>
      </c>
      <c r="E227" s="16" t="s">
        <v>184</v>
      </c>
      <c r="F227" s="16" t="s">
        <v>285</v>
      </c>
      <c r="G227" s="16" t="s">
        <v>291</v>
      </c>
      <c r="H227" s="16" t="s">
        <v>552</v>
      </c>
      <c r="I227" s="16" t="s">
        <v>220</v>
      </c>
    </row>
    <row r="228" ht="242.25" hidden="1" customHeight="1">
      <c r="B228" s="32" t="str">
        <f>IMAGE("https://gymvisual.com/14046-catalog_default/band-seated-leg-extension-male.jpg",4,500,500)</f>
        <v/>
      </c>
      <c r="C228" s="30">
        <v>227.0</v>
      </c>
      <c r="D228" s="16" t="s">
        <v>608</v>
      </c>
      <c r="E228" s="16" t="s">
        <v>184</v>
      </c>
      <c r="F228" s="16" t="s">
        <v>285</v>
      </c>
      <c r="G228" s="16" t="s">
        <v>291</v>
      </c>
      <c r="H228" s="16" t="s">
        <v>552</v>
      </c>
      <c r="I228" s="16" t="s">
        <v>220</v>
      </c>
    </row>
    <row r="229" ht="242.25" hidden="1" customHeight="1">
      <c r="B229" s="32" t="str">
        <f>IMAGE("https://gymvisual.com/2809-catalog_default/band-seated-row.jpg",4,500,500)</f>
        <v/>
      </c>
      <c r="C229" s="30">
        <v>228.0</v>
      </c>
      <c r="D229" s="16" t="s">
        <v>609</v>
      </c>
      <c r="E229" s="16" t="s">
        <v>184</v>
      </c>
      <c r="F229" s="16" t="s">
        <v>192</v>
      </c>
      <c r="G229" s="16" t="s">
        <v>291</v>
      </c>
      <c r="H229" s="16" t="s">
        <v>329</v>
      </c>
      <c r="I229" s="16" t="s">
        <v>447</v>
      </c>
    </row>
    <row r="230" ht="242.25" hidden="1" customHeight="1">
      <c r="B230" s="32" t="str">
        <f>IMAGE("https://gymvisual.com/17136-catalog_default/band-seated-row-male.jpg",4,500,500)</f>
        <v/>
      </c>
      <c r="C230" s="30">
        <v>229.0</v>
      </c>
      <c r="D230" s="16" t="s">
        <v>610</v>
      </c>
      <c r="E230" s="16" t="s">
        <v>184</v>
      </c>
      <c r="F230" s="16" t="s">
        <v>192</v>
      </c>
      <c r="G230" s="16" t="s">
        <v>291</v>
      </c>
      <c r="H230" s="16" t="s">
        <v>329</v>
      </c>
      <c r="I230" s="16" t="s">
        <v>447</v>
      </c>
    </row>
    <row r="231" ht="242.25" hidden="1" customHeight="1">
      <c r="B231" s="32" t="str">
        <f>IMAGE("https://gymvisual.com/12500-catalog_default/band-seated-straight-back-row.jpg",4,500,500)</f>
        <v/>
      </c>
      <c r="C231" s="30">
        <v>230.0</v>
      </c>
      <c r="D231" s="16" t="s">
        <v>611</v>
      </c>
      <c r="E231" s="16" t="s">
        <v>184</v>
      </c>
      <c r="F231" s="16" t="s">
        <v>192</v>
      </c>
      <c r="G231" s="16" t="s">
        <v>291</v>
      </c>
      <c r="H231" s="16" t="s">
        <v>329</v>
      </c>
      <c r="I231" s="16" t="s">
        <v>447</v>
      </c>
    </row>
    <row r="232" ht="242.25" hidden="1" customHeight="1">
      <c r="B232" s="32" t="str">
        <f>IMAGE("https://gymvisual.com/2908-catalog_default/band-seated-twist.jpg",4,500,500)</f>
        <v/>
      </c>
      <c r="C232" s="30">
        <v>231.0</v>
      </c>
      <c r="D232" s="16" t="s">
        <v>612</v>
      </c>
      <c r="E232" s="16" t="s">
        <v>184</v>
      </c>
      <c r="F232" s="16" t="s">
        <v>254</v>
      </c>
      <c r="G232" s="16" t="s">
        <v>291</v>
      </c>
      <c r="H232" s="16" t="s">
        <v>257</v>
      </c>
      <c r="I232" s="16" t="s">
        <v>271</v>
      </c>
    </row>
    <row r="233" ht="242.25" hidden="1" customHeight="1">
      <c r="B233" s="32" t="str">
        <f>IMAGE("https://gymvisual.com/10963-catalog_default/band-seated-twist-female.jpg",4,500,500)</f>
        <v/>
      </c>
      <c r="C233" s="30">
        <v>232.0</v>
      </c>
      <c r="D233" s="16" t="s">
        <v>613</v>
      </c>
      <c r="E233" s="16" t="s">
        <v>184</v>
      </c>
      <c r="F233" s="16" t="s">
        <v>254</v>
      </c>
      <c r="G233" s="16" t="s">
        <v>291</v>
      </c>
      <c r="H233" s="16" t="s">
        <v>220</v>
      </c>
      <c r="I233" s="16" t="s">
        <v>220</v>
      </c>
    </row>
    <row r="234" ht="242.25" hidden="1" customHeight="1">
      <c r="B234" s="32" t="str">
        <f>IMAGE("https://gymvisual.com/20094-catalog_default/band-seated-underhand-grip-row.jpg",4,500,500)</f>
        <v/>
      </c>
      <c r="C234" s="30">
        <v>233.0</v>
      </c>
      <c r="D234" s="16" t="s">
        <v>614</v>
      </c>
      <c r="E234" s="16" t="s">
        <v>184</v>
      </c>
      <c r="F234" s="16" t="s">
        <v>192</v>
      </c>
      <c r="G234" s="16" t="s">
        <v>291</v>
      </c>
      <c r="H234" s="16" t="s">
        <v>329</v>
      </c>
      <c r="I234" s="16" t="s">
        <v>357</v>
      </c>
    </row>
    <row r="235" ht="242.25" hidden="1" customHeight="1">
      <c r="B235" s="32" t="str">
        <f>IMAGE("https://gymvisual.com/19010-catalog_default/band-seated-wide-grip-row-female.jpg",4,500,500)</f>
        <v/>
      </c>
      <c r="C235" s="30">
        <v>234.0</v>
      </c>
      <c r="D235" s="16" t="s">
        <v>615</v>
      </c>
      <c r="E235" s="16" t="s">
        <v>184</v>
      </c>
      <c r="F235" s="16" t="s">
        <v>192</v>
      </c>
      <c r="G235" s="16" t="s">
        <v>291</v>
      </c>
      <c r="H235" s="16" t="s">
        <v>329</v>
      </c>
      <c r="I235" s="16" t="s">
        <v>447</v>
      </c>
    </row>
    <row r="236" ht="242.25" hidden="1" customHeight="1">
      <c r="B236" s="32" t="str">
        <f>IMAGE("https://gymvisual.com/2894-catalog_default/band-shoulder-press.jpg",4,500,500)</f>
        <v/>
      </c>
      <c r="C236" s="30">
        <v>235.0</v>
      </c>
      <c r="D236" s="16" t="s">
        <v>616</v>
      </c>
      <c r="E236" s="16" t="s">
        <v>184</v>
      </c>
      <c r="F236" s="16" t="s">
        <v>228</v>
      </c>
      <c r="G236" s="16" t="s">
        <v>291</v>
      </c>
      <c r="H236" s="16" t="s">
        <v>229</v>
      </c>
      <c r="I236" s="16" t="s">
        <v>230</v>
      </c>
    </row>
    <row r="237" ht="242.25" hidden="1" customHeight="1">
      <c r="B237" s="32" t="str">
        <f>IMAGE("https://gymvisual.com/2915-catalog_default/band-shrug.jpg",4,500,500)</f>
        <v/>
      </c>
      <c r="C237" s="30">
        <v>236.0</v>
      </c>
      <c r="D237" s="16" t="s">
        <v>617</v>
      </c>
      <c r="E237" s="16" t="s">
        <v>184</v>
      </c>
      <c r="F237" s="16" t="s">
        <v>192</v>
      </c>
      <c r="G237" s="16" t="s">
        <v>291</v>
      </c>
      <c r="H237" s="16" t="s">
        <v>238</v>
      </c>
      <c r="I237" s="16" t="s">
        <v>618</v>
      </c>
    </row>
    <row r="238" ht="242.25" hidden="1" customHeight="1">
      <c r="B238" s="32" t="str">
        <f>IMAGE("https://gymvisual.com/2916-catalog_default/band-side-bend.jpg",4,500,500)</f>
        <v/>
      </c>
      <c r="C238" s="30">
        <v>237.0</v>
      </c>
      <c r="D238" s="16" t="s">
        <v>619</v>
      </c>
      <c r="E238" s="16" t="s">
        <v>184</v>
      </c>
      <c r="F238" s="16" t="s">
        <v>254</v>
      </c>
      <c r="G238" s="16" t="s">
        <v>291</v>
      </c>
      <c r="H238" s="16" t="s">
        <v>257</v>
      </c>
      <c r="I238" s="16" t="s">
        <v>271</v>
      </c>
    </row>
    <row r="239" ht="242.25" hidden="1" customHeight="1">
      <c r="B239" s="32" t="str">
        <f>IMAGE("https://gymvisual.com/17075-catalog_default/band-side-bend-male.jpg",4,500,500)</f>
        <v/>
      </c>
      <c r="C239" s="30">
        <v>238.0</v>
      </c>
      <c r="D239" s="16" t="s">
        <v>620</v>
      </c>
      <c r="E239" s="16" t="s">
        <v>184</v>
      </c>
      <c r="F239" s="16" t="s">
        <v>254</v>
      </c>
      <c r="G239" s="16" t="s">
        <v>291</v>
      </c>
      <c r="H239" s="16" t="s">
        <v>257</v>
      </c>
      <c r="I239" s="16" t="s">
        <v>220</v>
      </c>
    </row>
    <row r="240" ht="242.25" hidden="1" customHeight="1">
      <c r="B240" s="32" t="str">
        <f>IMAGE("https://gymvisual.com/2917-catalog_default/band-side-crunch.jpg",4,500,500)</f>
        <v/>
      </c>
      <c r="C240" s="30">
        <v>239.0</v>
      </c>
      <c r="D240" s="16" t="s">
        <v>621</v>
      </c>
      <c r="E240" s="16" t="s">
        <v>184</v>
      </c>
      <c r="F240" s="16" t="s">
        <v>254</v>
      </c>
      <c r="G240" s="16" t="s">
        <v>291</v>
      </c>
      <c r="H240" s="16" t="s">
        <v>257</v>
      </c>
      <c r="I240" s="16" t="s">
        <v>271</v>
      </c>
    </row>
    <row r="241" ht="242.25" hidden="1" customHeight="1">
      <c r="B241" s="32" t="str">
        <f>IMAGE("https://gymvisual.com/6735-catalog_default/band-side-plank-row-with-partner.jpg",4,500,500)</f>
        <v/>
      </c>
      <c r="C241" s="30">
        <v>240.0</v>
      </c>
      <c r="D241" s="16" t="s">
        <v>622</v>
      </c>
      <c r="E241" s="16" t="s">
        <v>184</v>
      </c>
      <c r="F241" s="16" t="s">
        <v>192</v>
      </c>
      <c r="G241" s="16" t="s">
        <v>291</v>
      </c>
      <c r="H241" s="16" t="s">
        <v>220</v>
      </c>
      <c r="I241" s="16" t="s">
        <v>220</v>
      </c>
    </row>
    <row r="242" ht="242.25" hidden="1" customHeight="1">
      <c r="B242" s="32" t="str">
        <f>IMAGE("https://gymvisual.com/16757-catalog_default/band-side-step-with-horizontal-pallof-hold.jpg",4,500,500)</f>
        <v/>
      </c>
      <c r="C242" s="30">
        <v>241.0</v>
      </c>
      <c r="D242" s="16" t="s">
        <v>623</v>
      </c>
      <c r="E242" s="16" t="s">
        <v>184</v>
      </c>
      <c r="F242" s="16" t="s">
        <v>185</v>
      </c>
      <c r="G242" s="16" t="s">
        <v>291</v>
      </c>
      <c r="H242" s="16" t="s">
        <v>220</v>
      </c>
      <c r="I242" s="16" t="s">
        <v>220</v>
      </c>
    </row>
    <row r="243" ht="242.25" hidden="1" customHeight="1">
      <c r="B243" s="32" t="str">
        <f>IMAGE("https://gymvisual.com/2895-catalog_default/band-side-triceps-extension.jpg",4,500,500)</f>
        <v/>
      </c>
      <c r="C243" s="30">
        <v>242.0</v>
      </c>
      <c r="D243" s="16" t="s">
        <v>624</v>
      </c>
      <c r="E243" s="16" t="s">
        <v>184</v>
      </c>
      <c r="F243" s="16" t="s">
        <v>219</v>
      </c>
      <c r="G243" s="16" t="s">
        <v>291</v>
      </c>
      <c r="H243" s="16" t="s">
        <v>223</v>
      </c>
      <c r="I243" s="16" t="s">
        <v>220</v>
      </c>
    </row>
    <row r="244" ht="242.25" hidden="1" customHeight="1">
      <c r="B244" s="32" t="str">
        <f>IMAGE("https://gymvisual.com/12350-catalog_default/band-single-arm-shoulder-press.jpg",4,500,500)</f>
        <v/>
      </c>
      <c r="C244" s="30">
        <v>243.0</v>
      </c>
      <c r="D244" s="16" t="s">
        <v>625</v>
      </c>
      <c r="E244" s="16" t="s">
        <v>184</v>
      </c>
      <c r="F244" s="16" t="s">
        <v>228</v>
      </c>
      <c r="G244" s="16" t="s">
        <v>291</v>
      </c>
      <c r="H244" s="16" t="s">
        <v>229</v>
      </c>
      <c r="I244" s="16" t="s">
        <v>626</v>
      </c>
    </row>
    <row r="245" ht="242.25" hidden="1" customHeight="1">
      <c r="B245" s="32" t="str">
        <f>IMAGE("https://gymvisual.com/12347-catalog_default/band-single-arm-shoulder-press-female.jpg",4,500,500)</f>
        <v/>
      </c>
      <c r="C245" s="30">
        <v>244.0</v>
      </c>
      <c r="D245" s="16" t="s">
        <v>627</v>
      </c>
      <c r="E245" s="16" t="s">
        <v>184</v>
      </c>
      <c r="F245" s="16" t="s">
        <v>228</v>
      </c>
      <c r="G245" s="16" t="s">
        <v>291</v>
      </c>
      <c r="H245" s="16" t="s">
        <v>229</v>
      </c>
      <c r="I245" s="16" t="s">
        <v>626</v>
      </c>
    </row>
    <row r="246" ht="242.25" hidden="1" customHeight="1">
      <c r="B246" s="32" t="str">
        <f>IMAGE("https://gymvisual.com/2896-catalog_default/band-single-leg-calf-raise.jpg",4,500,500)</f>
        <v/>
      </c>
      <c r="C246" s="30">
        <v>245.0</v>
      </c>
      <c r="D246" s="16" t="s">
        <v>628</v>
      </c>
      <c r="E246" s="16" t="s">
        <v>184</v>
      </c>
      <c r="F246" s="16" t="s">
        <v>325</v>
      </c>
      <c r="G246" s="16" t="s">
        <v>291</v>
      </c>
      <c r="H246" s="16" t="s">
        <v>368</v>
      </c>
      <c r="I246" s="16" t="s">
        <v>463</v>
      </c>
    </row>
    <row r="247" ht="242.25" hidden="1" customHeight="1">
      <c r="B247" s="32" t="str">
        <f>IMAGE("https://gymvisual.com/2897-catalog_default/band-single-leg-reverse-calf-raise.jpg",4,500,500)</f>
        <v/>
      </c>
      <c r="C247" s="30">
        <v>246.0</v>
      </c>
      <c r="D247" s="16" t="s">
        <v>629</v>
      </c>
      <c r="E247" s="16" t="s">
        <v>184</v>
      </c>
      <c r="F247" s="16" t="s">
        <v>325</v>
      </c>
      <c r="G247" s="16" t="s">
        <v>291</v>
      </c>
      <c r="H247" s="16" t="s">
        <v>630</v>
      </c>
      <c r="I247" s="16" t="s">
        <v>220</v>
      </c>
    </row>
    <row r="248" ht="242.25" hidden="1" customHeight="1">
      <c r="B248" s="32" t="str">
        <f>IMAGE("https://gymvisual.com/2898-catalog_default/band-single-leg-split-squat.jpg",4,500,500)</f>
        <v/>
      </c>
      <c r="C248" s="30">
        <v>247.0</v>
      </c>
      <c r="D248" s="16" t="s">
        <v>631</v>
      </c>
      <c r="E248" s="16" t="s">
        <v>184</v>
      </c>
      <c r="F248" s="16" t="s">
        <v>185</v>
      </c>
      <c r="G248" s="16" t="s">
        <v>291</v>
      </c>
      <c r="H248" s="16" t="s">
        <v>187</v>
      </c>
      <c r="I248" s="16" t="s">
        <v>480</v>
      </c>
    </row>
    <row r="249" ht="242.25" hidden="1" customHeight="1">
      <c r="B249" s="32" t="str">
        <f>IMAGE("https://gymvisual.com/2874-catalog_default/band-single-stiff-leg-deadlift.jpg",4,500,500)</f>
        <v/>
      </c>
      <c r="C249" s="30">
        <v>248.0</v>
      </c>
      <c r="D249" s="16" t="s">
        <v>632</v>
      </c>
      <c r="E249" s="16" t="s">
        <v>184</v>
      </c>
      <c r="F249" s="16" t="s">
        <v>185</v>
      </c>
      <c r="G249" s="16" t="s">
        <v>291</v>
      </c>
      <c r="H249" s="16" t="s">
        <v>187</v>
      </c>
      <c r="I249" s="16" t="s">
        <v>188</v>
      </c>
    </row>
    <row r="250" ht="242.25" hidden="1" customHeight="1">
      <c r="B250" s="32" t="str">
        <f>IMAGE("https://gymvisual.com/16749-catalog_default/band-single-stiff-leg-deadlift-with-single-arm-row.jpg",4,500,500)</f>
        <v/>
      </c>
      <c r="C250" s="30">
        <v>249.0</v>
      </c>
      <c r="D250" s="16" t="s">
        <v>633</v>
      </c>
      <c r="E250" s="16" t="s">
        <v>184</v>
      </c>
      <c r="F250" s="16" t="s">
        <v>484</v>
      </c>
      <c r="G250" s="16" t="s">
        <v>291</v>
      </c>
      <c r="H250" s="16" t="s">
        <v>220</v>
      </c>
      <c r="I250" s="16" t="s">
        <v>220</v>
      </c>
    </row>
    <row r="251" ht="242.25" hidden="1" customHeight="1">
      <c r="B251" s="32" t="str">
        <f>IMAGE("https://gymvisual.com/16763-catalog_default/band-skier.jpg",4,500,500)</f>
        <v/>
      </c>
      <c r="C251" s="30">
        <v>250.0</v>
      </c>
      <c r="D251" s="16" t="s">
        <v>634</v>
      </c>
      <c r="E251" s="16" t="s">
        <v>184</v>
      </c>
      <c r="F251" s="16" t="s">
        <v>192</v>
      </c>
      <c r="G251" s="16" t="s">
        <v>291</v>
      </c>
      <c r="H251" s="16" t="s">
        <v>220</v>
      </c>
      <c r="I251" s="16" t="s">
        <v>220</v>
      </c>
    </row>
    <row r="252" ht="242.25" hidden="1" customHeight="1">
      <c r="B252" s="32" t="str">
        <f>IMAGE("https://gymvisual.com/6741-catalog_default/band-skull-crusher.jpg",4,500,500)</f>
        <v/>
      </c>
      <c r="C252" s="30">
        <v>251.0</v>
      </c>
      <c r="D252" s="16" t="s">
        <v>635</v>
      </c>
      <c r="E252" s="16" t="s">
        <v>184</v>
      </c>
      <c r="F252" s="16" t="s">
        <v>219</v>
      </c>
      <c r="G252" s="16" t="s">
        <v>291</v>
      </c>
      <c r="H252" s="16" t="s">
        <v>220</v>
      </c>
      <c r="I252" s="16" t="s">
        <v>220</v>
      </c>
    </row>
    <row r="253" ht="242.25" hidden="1" customHeight="1">
      <c r="B253" s="32" t="str">
        <f>IMAGE("https://gymvisual.com/22592-catalog_default/band-split-squat.jpg",4,500,500)</f>
        <v/>
      </c>
      <c r="C253" s="30">
        <v>252.0</v>
      </c>
      <c r="D253" s="16" t="s">
        <v>636</v>
      </c>
      <c r="E253" s="16" t="s">
        <v>184</v>
      </c>
      <c r="F253" s="16" t="s">
        <v>285</v>
      </c>
      <c r="G253" s="16" t="s">
        <v>291</v>
      </c>
      <c r="H253" s="16" t="s">
        <v>189</v>
      </c>
      <c r="I253" s="16" t="s">
        <v>190</v>
      </c>
    </row>
    <row r="254" ht="242.25" hidden="1" customHeight="1">
      <c r="B254" s="32" t="str">
        <f>IMAGE("https://gymvisual.com/16755-catalog_default/band-split-squat-with-horizontal-pallof-hold.jpg",4,500,500)</f>
        <v/>
      </c>
      <c r="C254" s="30">
        <v>253.0</v>
      </c>
      <c r="D254" s="16" t="s">
        <v>637</v>
      </c>
      <c r="E254" s="16" t="s">
        <v>184</v>
      </c>
      <c r="F254" s="16" t="s">
        <v>522</v>
      </c>
      <c r="G254" s="16" t="s">
        <v>291</v>
      </c>
      <c r="H254" s="16" t="s">
        <v>220</v>
      </c>
      <c r="I254" s="16" t="s">
        <v>220</v>
      </c>
    </row>
    <row r="255" ht="242.25" hidden="1" customHeight="1">
      <c r="B255" s="32" t="str">
        <f>IMAGE("https://gymvisual.com/18905-catalog_default/band-squat.jpg",4,500,500)</f>
        <v/>
      </c>
      <c r="C255" s="30">
        <v>254.0</v>
      </c>
      <c r="D255" s="16" t="s">
        <v>638</v>
      </c>
      <c r="E255" s="16" t="s">
        <v>184</v>
      </c>
      <c r="F255" s="16" t="s">
        <v>185</v>
      </c>
      <c r="G255" s="16" t="s">
        <v>291</v>
      </c>
      <c r="H255" s="16" t="s">
        <v>187</v>
      </c>
      <c r="I255" s="16" t="s">
        <v>480</v>
      </c>
    </row>
    <row r="256" ht="242.25" hidden="1" customHeight="1">
      <c r="B256" s="32" t="str">
        <f>IMAGE("https://gymvisual.com/2900-catalog_default/band-squat-row.jpg",4,500,500)</f>
        <v/>
      </c>
      <c r="C256" s="30">
        <v>255.0</v>
      </c>
      <c r="D256" s="16" t="s">
        <v>639</v>
      </c>
      <c r="E256" s="16" t="s">
        <v>184</v>
      </c>
      <c r="F256" s="16" t="s">
        <v>192</v>
      </c>
      <c r="G256" s="16" t="s">
        <v>291</v>
      </c>
      <c r="H256" s="16" t="s">
        <v>640</v>
      </c>
      <c r="I256" s="16" t="s">
        <v>641</v>
      </c>
    </row>
    <row r="257" ht="242.25" hidden="1" customHeight="1">
      <c r="B257" s="32" t="str">
        <f>IMAGE("https://gymvisual.com/23585-catalog_default/band-squat-twist.jpg",4,500,500)</f>
        <v/>
      </c>
      <c r="C257" s="30">
        <v>256.0</v>
      </c>
      <c r="D257" s="16" t="s">
        <v>642</v>
      </c>
      <c r="E257" s="16" t="s">
        <v>184</v>
      </c>
      <c r="F257" s="16" t="s">
        <v>254</v>
      </c>
      <c r="G257" s="16" t="s">
        <v>291</v>
      </c>
      <c r="H257" s="16" t="s">
        <v>524</v>
      </c>
      <c r="I257" s="16" t="s">
        <v>190</v>
      </c>
    </row>
    <row r="258" ht="242.25" hidden="1" customHeight="1">
      <c r="B258" s="32" t="str">
        <f>IMAGE("https://gymvisual.com/16751-catalog_default/band-squat-with-horizontal-pallof-hold.jpg",4,500,500)</f>
        <v/>
      </c>
      <c r="C258" s="30">
        <v>257.0</v>
      </c>
      <c r="D258" s="16" t="s">
        <v>643</v>
      </c>
      <c r="E258" s="16" t="s">
        <v>184</v>
      </c>
      <c r="F258" s="16" t="s">
        <v>522</v>
      </c>
      <c r="G258" s="16" t="s">
        <v>291</v>
      </c>
      <c r="H258" s="16" t="s">
        <v>220</v>
      </c>
      <c r="I258" s="16" t="s">
        <v>220</v>
      </c>
    </row>
    <row r="259" ht="242.25" hidden="1" customHeight="1">
      <c r="B259" s="32" t="str">
        <f>IMAGE("https://gymvisual.com/16743-catalog_default/band-squat-with-single-arm-row.jpg",4,500,500)</f>
        <v/>
      </c>
      <c r="C259" s="30">
        <v>258.0</v>
      </c>
      <c r="D259" s="16" t="s">
        <v>644</v>
      </c>
      <c r="E259" s="16" t="s">
        <v>184</v>
      </c>
      <c r="F259" s="16" t="s">
        <v>645</v>
      </c>
      <c r="G259" s="16" t="s">
        <v>291</v>
      </c>
      <c r="H259" s="16" t="s">
        <v>220</v>
      </c>
      <c r="I259" s="16" t="s">
        <v>220</v>
      </c>
    </row>
    <row r="260" ht="242.25" hidden="1" customHeight="1">
      <c r="B260" s="32" t="str">
        <f>IMAGE("https://gymvisual.com/22121-catalog_default/band-standard-biceps-curl-male.jpg",4,500,500)</f>
        <v/>
      </c>
      <c r="C260" s="30">
        <v>259.0</v>
      </c>
      <c r="D260" s="16" t="s">
        <v>646</v>
      </c>
      <c r="E260" s="16" t="s">
        <v>184</v>
      </c>
      <c r="F260" s="16" t="s">
        <v>219</v>
      </c>
      <c r="G260" s="16" t="s">
        <v>291</v>
      </c>
      <c r="H260" s="16" t="s">
        <v>241</v>
      </c>
      <c r="I260" s="16" t="s">
        <v>292</v>
      </c>
    </row>
    <row r="261" ht="242.25" hidden="1" customHeight="1">
      <c r="B261" s="32" t="str">
        <f>IMAGE("https://gymvisual.com/22746-catalog_default/band-standing-alternate-chest-press-male.jpg",4,500,500)</f>
        <v/>
      </c>
      <c r="C261" s="30">
        <v>260.0</v>
      </c>
      <c r="D261" s="16" t="s">
        <v>647</v>
      </c>
      <c r="E261" s="16" t="s">
        <v>184</v>
      </c>
      <c r="F261" s="16" t="s">
        <v>234</v>
      </c>
      <c r="G261" s="16" t="s">
        <v>291</v>
      </c>
      <c r="H261" s="16" t="s">
        <v>347</v>
      </c>
      <c r="I261" s="16" t="s">
        <v>382</v>
      </c>
    </row>
    <row r="262" ht="242.25" hidden="1" customHeight="1">
      <c r="B262" s="32" t="str">
        <f>IMAGE("https://gymvisual.com/2811-catalog_default/band-standing-chest-press.jpg",4,500,500)</f>
        <v/>
      </c>
      <c r="C262" s="30">
        <v>261.0</v>
      </c>
      <c r="D262" s="16" t="s">
        <v>648</v>
      </c>
      <c r="E262" s="16" t="s">
        <v>184</v>
      </c>
      <c r="F262" s="16" t="s">
        <v>234</v>
      </c>
      <c r="G262" s="16" t="s">
        <v>291</v>
      </c>
      <c r="H262" s="16" t="s">
        <v>347</v>
      </c>
      <c r="I262" s="16" t="s">
        <v>382</v>
      </c>
    </row>
    <row r="263" ht="242.25" hidden="1" customHeight="1">
      <c r="B263" s="32" t="str">
        <f>IMAGE("https://gymvisual.com/19385-catalog_default/band-standing-chest-press-male.jpg",4,500,500)</f>
        <v/>
      </c>
      <c r="C263" s="30">
        <v>262.0</v>
      </c>
      <c r="D263" s="16" t="s">
        <v>649</v>
      </c>
      <c r="E263" s="16" t="s">
        <v>184</v>
      </c>
      <c r="F263" s="16" t="s">
        <v>234</v>
      </c>
      <c r="G263" s="16" t="s">
        <v>291</v>
      </c>
      <c r="H263" s="16" t="s">
        <v>347</v>
      </c>
      <c r="I263" s="16" t="s">
        <v>382</v>
      </c>
    </row>
    <row r="264" ht="242.25" hidden="1" customHeight="1">
      <c r="B264" s="32" t="str">
        <f>IMAGE("https://gymvisual.com/24799-catalog_default/band-standing-chest-press-version-2-male.jpg",4,500,500)</f>
        <v/>
      </c>
      <c r="C264" s="30">
        <v>263.0</v>
      </c>
      <c r="D264" s="16" t="s">
        <v>650</v>
      </c>
      <c r="E264" s="16" t="s">
        <v>184</v>
      </c>
      <c r="F264" s="16" t="s">
        <v>234</v>
      </c>
      <c r="G264" s="16" t="s">
        <v>291</v>
      </c>
      <c r="H264" s="16" t="s">
        <v>235</v>
      </c>
      <c r="I264" s="16" t="s">
        <v>243</v>
      </c>
    </row>
    <row r="265" ht="242.25" hidden="1" customHeight="1">
      <c r="B265" s="32" t="str">
        <f>IMAGE("https://gymvisual.com/2902-catalog_default/band-standing-crunch.jpg",4,500,500)</f>
        <v/>
      </c>
      <c r="C265" s="30">
        <v>264.0</v>
      </c>
      <c r="D265" s="16" t="s">
        <v>651</v>
      </c>
      <c r="E265" s="16" t="s">
        <v>184</v>
      </c>
      <c r="F265" s="16" t="s">
        <v>254</v>
      </c>
      <c r="G265" s="16" t="s">
        <v>291</v>
      </c>
      <c r="H265" s="16" t="s">
        <v>256</v>
      </c>
      <c r="I265" s="16" t="s">
        <v>257</v>
      </c>
    </row>
    <row r="266" ht="242.25" hidden="1" customHeight="1">
      <c r="B266" s="32" t="str">
        <f>IMAGE("https://gymvisual.com/17071-catalog_default/band-standing-crunch-female.jpg",4,500,500)</f>
        <v/>
      </c>
      <c r="C266" s="30">
        <v>265.0</v>
      </c>
      <c r="D266" s="16" t="s">
        <v>652</v>
      </c>
      <c r="E266" s="16" t="s">
        <v>184</v>
      </c>
      <c r="F266" s="16" t="s">
        <v>254</v>
      </c>
      <c r="G266" s="16" t="s">
        <v>291</v>
      </c>
      <c r="H266" s="16" t="s">
        <v>256</v>
      </c>
      <c r="I266" s="16" t="s">
        <v>257</v>
      </c>
    </row>
    <row r="267" ht="242.25" hidden="1" customHeight="1">
      <c r="B267" s="32" t="str">
        <f>IMAGE("https://gymvisual.com/2812-catalog_default/band-standing-external-shoulder-rotation.jpg",4,500,500)</f>
        <v/>
      </c>
      <c r="C267" s="30">
        <v>266.0</v>
      </c>
      <c r="D267" s="16" t="s">
        <v>653</v>
      </c>
      <c r="E267" s="16" t="s">
        <v>184</v>
      </c>
      <c r="F267" s="16" t="s">
        <v>192</v>
      </c>
      <c r="G267" s="16" t="s">
        <v>291</v>
      </c>
      <c r="H267" s="16" t="s">
        <v>654</v>
      </c>
      <c r="I267" s="16" t="s">
        <v>220</v>
      </c>
    </row>
    <row r="268" ht="242.25" hidden="1" customHeight="1">
      <c r="B268" s="32" t="str">
        <f>IMAGE("https://gymvisual.com/22183-catalog_default/band-standing-hammer-curl.jpg",4,500,500)</f>
        <v/>
      </c>
      <c r="C268" s="30">
        <v>267.0</v>
      </c>
      <c r="D268" s="16" t="s">
        <v>655</v>
      </c>
      <c r="E268" s="16" t="s">
        <v>184</v>
      </c>
      <c r="F268" s="16" t="s">
        <v>219</v>
      </c>
      <c r="G268" s="16" t="s">
        <v>291</v>
      </c>
      <c r="H268" s="16" t="s">
        <v>216</v>
      </c>
      <c r="I268" s="16" t="s">
        <v>217</v>
      </c>
    </row>
    <row r="269" ht="242.25" hidden="1" customHeight="1">
      <c r="B269" s="32" t="str">
        <f>IMAGE("https://gymvisual.com/2875-catalog_default/band-standing-hip-extension.jpg",4,500,500)</f>
        <v/>
      </c>
      <c r="C269" s="30">
        <v>268.0</v>
      </c>
      <c r="D269" s="16" t="s">
        <v>656</v>
      </c>
      <c r="E269" s="16" t="s">
        <v>184</v>
      </c>
      <c r="F269" s="16" t="s">
        <v>185</v>
      </c>
      <c r="G269" s="16" t="s">
        <v>291</v>
      </c>
      <c r="H269" s="16" t="s">
        <v>187</v>
      </c>
      <c r="I269" s="16" t="s">
        <v>188</v>
      </c>
    </row>
    <row r="270" ht="242.25" hidden="1" customHeight="1">
      <c r="B270" s="32" t="str">
        <f>IMAGE("https://gymvisual.com/17515-catalog_default/band-standing-hip-extension-male.jpg",4,500,500)</f>
        <v/>
      </c>
      <c r="C270" s="30">
        <v>269.0</v>
      </c>
      <c r="D270" s="16" t="s">
        <v>657</v>
      </c>
      <c r="E270" s="16" t="s">
        <v>184</v>
      </c>
      <c r="F270" s="16" t="s">
        <v>185</v>
      </c>
      <c r="G270" s="16" t="s">
        <v>291</v>
      </c>
      <c r="H270" s="16" t="s">
        <v>187</v>
      </c>
      <c r="I270" s="16" t="s">
        <v>188</v>
      </c>
    </row>
    <row r="271" ht="242.25" hidden="1" customHeight="1">
      <c r="B271" s="32" t="str">
        <f>IMAGE("https://gymvisual.com/2814-catalog_default/band-standing-incline-chest-press.jpg",4,500,500)</f>
        <v/>
      </c>
      <c r="C271" s="30">
        <v>270.0</v>
      </c>
      <c r="D271" s="16" t="s">
        <v>658</v>
      </c>
      <c r="E271" s="16" t="s">
        <v>184</v>
      </c>
      <c r="F271" s="16" t="s">
        <v>234</v>
      </c>
      <c r="G271" s="16" t="s">
        <v>291</v>
      </c>
      <c r="H271" s="16" t="s">
        <v>415</v>
      </c>
      <c r="I271" s="16" t="s">
        <v>659</v>
      </c>
    </row>
    <row r="272" ht="242.25" hidden="1" customHeight="1">
      <c r="B272" s="32" t="str">
        <f>IMAGE("https://gymvisual.com/2815-catalog_default/band-standing-internal-shoulder-rotation.jpg",4,500,500)</f>
        <v/>
      </c>
      <c r="C272" s="30">
        <v>271.0</v>
      </c>
      <c r="D272" s="16" t="s">
        <v>660</v>
      </c>
      <c r="E272" s="16" t="s">
        <v>184</v>
      </c>
      <c r="F272" s="16" t="s">
        <v>192</v>
      </c>
      <c r="G272" s="16" t="s">
        <v>291</v>
      </c>
      <c r="H272" s="16" t="s">
        <v>661</v>
      </c>
      <c r="I272" s="16" t="s">
        <v>662</v>
      </c>
    </row>
    <row r="273" ht="242.25" hidden="1" customHeight="1">
      <c r="B273" s="32" t="str">
        <f>IMAGE("https://gymvisual.com/2816-catalog_default/band-standing-leg-curl.jpg",4,500,500)</f>
        <v/>
      </c>
      <c r="C273" s="30">
        <v>272.0</v>
      </c>
      <c r="D273" s="16" t="s">
        <v>663</v>
      </c>
      <c r="E273" s="16" t="s">
        <v>184</v>
      </c>
      <c r="F273" s="16" t="s">
        <v>285</v>
      </c>
      <c r="G273" s="16" t="s">
        <v>291</v>
      </c>
      <c r="H273" s="16" t="s">
        <v>188</v>
      </c>
      <c r="I273" s="16" t="s">
        <v>368</v>
      </c>
    </row>
    <row r="274" ht="242.25" hidden="1" customHeight="1">
      <c r="B274" s="32" t="str">
        <f>IMAGE("https://gymvisual.com/17513-catalog_default/band-standing-leg-curl-male.jpg",4,500,500)</f>
        <v/>
      </c>
      <c r="C274" s="30">
        <v>273.0</v>
      </c>
      <c r="D274" s="16" t="s">
        <v>664</v>
      </c>
      <c r="E274" s="16" t="s">
        <v>184</v>
      </c>
      <c r="F274" s="16" t="s">
        <v>285</v>
      </c>
      <c r="G274" s="16" t="s">
        <v>291</v>
      </c>
      <c r="H274" s="16" t="s">
        <v>188</v>
      </c>
      <c r="I274" s="16" t="s">
        <v>665</v>
      </c>
    </row>
    <row r="275" ht="242.25" hidden="1" customHeight="1">
      <c r="B275" s="32" t="str">
        <f>IMAGE("https://gymvisual.com/2817-catalog_default/band-standing-leg-extension.jpg",4,500,500)</f>
        <v/>
      </c>
      <c r="C275" s="30">
        <v>274.0</v>
      </c>
      <c r="D275" s="16" t="s">
        <v>666</v>
      </c>
      <c r="E275" s="16" t="s">
        <v>184</v>
      </c>
      <c r="F275" s="16" t="s">
        <v>285</v>
      </c>
      <c r="G275" s="16" t="s">
        <v>291</v>
      </c>
      <c r="H275" s="16" t="s">
        <v>552</v>
      </c>
      <c r="I275" s="16" t="s">
        <v>476</v>
      </c>
    </row>
    <row r="276" ht="242.25" hidden="1" customHeight="1">
      <c r="B276" s="32" t="str">
        <f>IMAGE("https://gymvisual.com/2918-catalog_default/band-standing-leg-raise.jpg",4,500,500)</f>
        <v/>
      </c>
      <c r="C276" s="30">
        <v>275.0</v>
      </c>
      <c r="D276" s="16" t="s">
        <v>667</v>
      </c>
      <c r="E276" s="16" t="s">
        <v>184</v>
      </c>
      <c r="F276" s="16" t="s">
        <v>185</v>
      </c>
      <c r="G276" s="16" t="s">
        <v>291</v>
      </c>
      <c r="H276" s="16" t="s">
        <v>271</v>
      </c>
      <c r="I276" s="16" t="s">
        <v>668</v>
      </c>
    </row>
    <row r="277" ht="242.25" hidden="1" customHeight="1">
      <c r="B277" s="32" t="str">
        <f>IMAGE("https://gymvisual.com/2919-catalog_default/band-standing-rear-delt-row.jpg",4,500,500)</f>
        <v/>
      </c>
      <c r="C277" s="30">
        <v>276.0</v>
      </c>
      <c r="D277" s="16" t="s">
        <v>669</v>
      </c>
      <c r="E277" s="16" t="s">
        <v>184</v>
      </c>
      <c r="F277" s="16" t="s">
        <v>228</v>
      </c>
      <c r="G277" s="16" t="s">
        <v>291</v>
      </c>
      <c r="H277" s="16" t="s">
        <v>408</v>
      </c>
      <c r="I277" s="16" t="s">
        <v>490</v>
      </c>
    </row>
    <row r="278" ht="242.25" hidden="1" customHeight="1">
      <c r="B278" s="32" t="str">
        <f>IMAGE("https://gymvisual.com/17374-catalog_default/band-standing-rear-delt-row-female.jpg",4,500,500)</f>
        <v/>
      </c>
      <c r="C278" s="30">
        <v>277.0</v>
      </c>
      <c r="D278" s="16" t="s">
        <v>670</v>
      </c>
      <c r="E278" s="16" t="s">
        <v>184</v>
      </c>
      <c r="F278" s="16" t="s">
        <v>228</v>
      </c>
      <c r="G278" s="16" t="s">
        <v>291</v>
      </c>
      <c r="H278" s="16" t="s">
        <v>408</v>
      </c>
      <c r="I278" s="16" t="s">
        <v>671</v>
      </c>
    </row>
    <row r="279" ht="242.25" hidden="1" customHeight="1">
      <c r="B279" s="32" t="str">
        <f>IMAGE("https://gymvisual.com/19241-catalog_default/band-standing-single-arm-row.jpg",4,500,500)</f>
        <v/>
      </c>
      <c r="C279" s="30">
        <v>278.0</v>
      </c>
      <c r="D279" s="16" t="s">
        <v>672</v>
      </c>
      <c r="E279" s="16" t="s">
        <v>184</v>
      </c>
      <c r="F279" s="16" t="s">
        <v>192</v>
      </c>
      <c r="G279" s="16" t="s">
        <v>291</v>
      </c>
      <c r="H279" s="16" t="s">
        <v>220</v>
      </c>
      <c r="I279" s="16" t="s">
        <v>220</v>
      </c>
    </row>
    <row r="280" ht="242.25" hidden="1" customHeight="1">
      <c r="B280" s="32" t="str">
        <f>IMAGE("https://gymvisual.com/22750-catalog_default/band-standing-single-arm-twist-row.jpg",4,500,500)</f>
        <v/>
      </c>
      <c r="C280" s="30">
        <v>279.0</v>
      </c>
      <c r="D280" s="16" t="s">
        <v>673</v>
      </c>
      <c r="E280" s="16" t="s">
        <v>184</v>
      </c>
      <c r="F280" s="16" t="s">
        <v>192</v>
      </c>
      <c r="G280" s="16" t="s">
        <v>291</v>
      </c>
      <c r="H280" s="16" t="s">
        <v>570</v>
      </c>
      <c r="I280" s="16" t="s">
        <v>447</v>
      </c>
    </row>
    <row r="281" ht="242.25" hidden="1" customHeight="1">
      <c r="B281" s="32" t="str">
        <f>IMAGE("https://gymvisual.com/19243-catalog_default/band-standing-straight-arm-pulldown.jpg",4,500,500)</f>
        <v/>
      </c>
      <c r="C281" s="30">
        <v>280.0</v>
      </c>
      <c r="D281" s="16" t="s">
        <v>674</v>
      </c>
      <c r="E281" s="16" t="s">
        <v>184</v>
      </c>
      <c r="F281" s="16" t="s">
        <v>192</v>
      </c>
      <c r="G281" s="16" t="s">
        <v>291</v>
      </c>
      <c r="H281" s="16" t="s">
        <v>220</v>
      </c>
      <c r="I281" s="16" t="s">
        <v>220</v>
      </c>
    </row>
    <row r="282" ht="242.25" hidden="1" customHeight="1">
      <c r="B282" s="32" t="str">
        <f>IMAGE("https://gymvisual.com/2818-catalog_default/band-standing-straight-leg-raise.jpg",4,500,500)</f>
        <v/>
      </c>
      <c r="C282" s="30">
        <v>281.0</v>
      </c>
      <c r="D282" s="16" t="s">
        <v>675</v>
      </c>
      <c r="E282" s="16" t="s">
        <v>184</v>
      </c>
      <c r="F282" s="16" t="s">
        <v>185</v>
      </c>
      <c r="G282" s="16" t="s">
        <v>291</v>
      </c>
      <c r="H282" s="16" t="s">
        <v>271</v>
      </c>
      <c r="I282" s="16" t="s">
        <v>676</v>
      </c>
    </row>
    <row r="283" ht="242.25" hidden="1" customHeight="1">
      <c r="B283" s="32" t="str">
        <f>IMAGE("https://gymvisual.com/2904-catalog_default/band-standing-twisting-crunch.jpg",4,500,500)</f>
        <v/>
      </c>
      <c r="C283" s="30">
        <v>282.0</v>
      </c>
      <c r="D283" s="16" t="s">
        <v>677</v>
      </c>
      <c r="E283" s="16" t="s">
        <v>184</v>
      </c>
      <c r="F283" s="16" t="s">
        <v>254</v>
      </c>
      <c r="G283" s="16" t="s">
        <v>291</v>
      </c>
      <c r="H283" s="16" t="s">
        <v>257</v>
      </c>
      <c r="I283" s="16" t="s">
        <v>256</v>
      </c>
    </row>
    <row r="284" ht="242.25" hidden="1" customHeight="1">
      <c r="B284" s="32" t="str">
        <f>IMAGE("https://gymvisual.com/2905-catalog_default/band-step-up.jpg",4,500,500)</f>
        <v/>
      </c>
      <c r="C284" s="30">
        <v>283.0</v>
      </c>
      <c r="D284" s="16" t="s">
        <v>678</v>
      </c>
      <c r="E284" s="16" t="s">
        <v>184</v>
      </c>
      <c r="F284" s="16" t="s">
        <v>185</v>
      </c>
      <c r="G284" s="16" t="s">
        <v>291</v>
      </c>
      <c r="H284" s="16" t="s">
        <v>187</v>
      </c>
      <c r="I284" s="16" t="s">
        <v>679</v>
      </c>
    </row>
    <row r="285" ht="242.25" hidden="1" customHeight="1">
      <c r="B285" s="32" t="str">
        <f>IMAGE("https://gymvisual.com/2906-catalog_default/band-stiff-leg-deadlift.jpg",4,500,500)</f>
        <v/>
      </c>
      <c r="C285" s="30">
        <v>284.0</v>
      </c>
      <c r="D285" s="16" t="s">
        <v>680</v>
      </c>
      <c r="E285" s="16" t="s">
        <v>184</v>
      </c>
      <c r="F285" s="16" t="s">
        <v>185</v>
      </c>
      <c r="G285" s="16" t="s">
        <v>291</v>
      </c>
      <c r="H285" s="16" t="s">
        <v>187</v>
      </c>
      <c r="I285" s="16" t="s">
        <v>590</v>
      </c>
    </row>
    <row r="286" ht="242.25" hidden="1" customHeight="1">
      <c r="B286" s="32" t="str">
        <f>IMAGE("https://gymvisual.com/17083-catalog_default/band-straight-back-seated-row-male.jpg",4,500,500)</f>
        <v/>
      </c>
      <c r="C286" s="30">
        <v>285.0</v>
      </c>
      <c r="D286" s="16" t="s">
        <v>681</v>
      </c>
      <c r="E286" s="16" t="s">
        <v>184</v>
      </c>
      <c r="F286" s="16" t="s">
        <v>192</v>
      </c>
      <c r="G286" s="16" t="s">
        <v>291</v>
      </c>
      <c r="H286" s="16" t="s">
        <v>329</v>
      </c>
      <c r="I286" s="16" t="s">
        <v>447</v>
      </c>
    </row>
    <row r="287" ht="242.25" hidden="1" customHeight="1">
      <c r="B287" s="32" t="str">
        <f>IMAGE("https://gymvisual.com/2920-catalog_default/band-straight-back-stiff-leg-deadlift.jpg",4,500,500)</f>
        <v/>
      </c>
      <c r="C287" s="30">
        <v>286.0</v>
      </c>
      <c r="D287" s="16" t="s">
        <v>682</v>
      </c>
      <c r="E287" s="16" t="s">
        <v>184</v>
      </c>
      <c r="F287" s="16" t="s">
        <v>185</v>
      </c>
      <c r="G287" s="16" t="s">
        <v>291</v>
      </c>
      <c r="H287" s="16" t="s">
        <v>187</v>
      </c>
      <c r="I287" s="16" t="s">
        <v>683</v>
      </c>
    </row>
    <row r="288" ht="242.25" hidden="1" customHeight="1">
      <c r="B288" s="32" t="str">
        <f>IMAGE("https://gymvisual.com/2907-catalog_default/band-straight-leg-deadlift.jpg",4,500,500)</f>
        <v/>
      </c>
      <c r="C288" s="30">
        <v>287.0</v>
      </c>
      <c r="D288" s="16" t="s">
        <v>684</v>
      </c>
      <c r="E288" s="16" t="s">
        <v>184</v>
      </c>
      <c r="F288" s="16" t="s">
        <v>192</v>
      </c>
      <c r="G288" s="16" t="s">
        <v>291</v>
      </c>
      <c r="H288" s="16" t="s">
        <v>275</v>
      </c>
      <c r="I288" s="16" t="s">
        <v>685</v>
      </c>
    </row>
    <row r="289" ht="242.25" hidden="1" customHeight="1">
      <c r="B289" s="32" t="str">
        <f>IMAGE("https://gymvisual.com/2819-catalog_default/band-straight-arm-pulldown.jpg",4,500,500)</f>
        <v/>
      </c>
      <c r="C289" s="30">
        <v>288.0</v>
      </c>
      <c r="D289" s="16" t="s">
        <v>686</v>
      </c>
      <c r="E289" s="16" t="s">
        <v>184</v>
      </c>
      <c r="F289" s="16" t="s">
        <v>192</v>
      </c>
      <c r="G289" s="16" t="s">
        <v>291</v>
      </c>
      <c r="H289" s="16" t="s">
        <v>300</v>
      </c>
      <c r="I289" s="16" t="s">
        <v>687</v>
      </c>
    </row>
    <row r="290" ht="242.25" hidden="1" customHeight="1">
      <c r="B290" s="32" t="str">
        <f>IMAGE("https://gymvisual.com/2820-catalog_default/band-straight-back-seated-row.jpg",4,500,500)</f>
        <v/>
      </c>
      <c r="C290" s="30">
        <v>289.0</v>
      </c>
      <c r="D290" s="16" t="s">
        <v>688</v>
      </c>
      <c r="E290" s="16" t="s">
        <v>184</v>
      </c>
      <c r="F290" s="16" t="s">
        <v>192</v>
      </c>
      <c r="G290" s="16" t="s">
        <v>291</v>
      </c>
      <c r="H290" s="16" t="s">
        <v>329</v>
      </c>
      <c r="I290" s="16" t="s">
        <v>457</v>
      </c>
    </row>
    <row r="291" ht="242.25" hidden="1" customHeight="1">
      <c r="B291" s="32" t="str">
        <f>IMAGE("https://gymvisual.com/2821-catalog_default/band-straight-back-standing-row.jpg",4,500,500)</f>
        <v/>
      </c>
      <c r="C291" s="30">
        <v>290.0</v>
      </c>
      <c r="D291" s="16" t="s">
        <v>689</v>
      </c>
      <c r="E291" s="16" t="s">
        <v>184</v>
      </c>
      <c r="F291" s="16" t="s">
        <v>192</v>
      </c>
      <c r="G291" s="16" t="s">
        <v>291</v>
      </c>
      <c r="H291" s="16" t="s">
        <v>329</v>
      </c>
      <c r="I291" s="16" t="s">
        <v>457</v>
      </c>
    </row>
    <row r="292" ht="242.25" hidden="1" customHeight="1">
      <c r="B292" s="32" t="str">
        <f>IMAGE("https://gymvisual.com/13283-catalog_default/band-thruster.jpg",4,500,500)</f>
        <v/>
      </c>
      <c r="C292" s="30">
        <v>291.0</v>
      </c>
      <c r="D292" s="16" t="s">
        <v>690</v>
      </c>
      <c r="E292" s="16" t="s">
        <v>184</v>
      </c>
      <c r="F292" s="16" t="s">
        <v>691</v>
      </c>
      <c r="G292" s="16" t="s">
        <v>291</v>
      </c>
      <c r="H292" s="16" t="s">
        <v>220</v>
      </c>
      <c r="I292" s="16" t="s">
        <v>220</v>
      </c>
    </row>
    <row r="293" ht="242.25" hidden="1" customHeight="1">
      <c r="B293" s="32" t="str">
        <f>IMAGE("https://gymvisual.com/13285-catalog_default/band-thruster-female.jpg",4,500,500)</f>
        <v/>
      </c>
      <c r="C293" s="30">
        <v>292.0</v>
      </c>
      <c r="D293" s="16" t="s">
        <v>692</v>
      </c>
      <c r="E293" s="16" t="s">
        <v>184</v>
      </c>
      <c r="F293" s="16" t="s">
        <v>691</v>
      </c>
      <c r="G293" s="16" t="s">
        <v>291</v>
      </c>
      <c r="H293" s="16" t="s">
        <v>220</v>
      </c>
      <c r="I293" s="16" t="s">
        <v>220</v>
      </c>
    </row>
    <row r="294" ht="242.25" hidden="1" customHeight="1">
      <c r="B294" s="32" t="str">
        <f>IMAGE("https://gymvisual.com/18909-catalog_default/band-triceps-kickback.jpg",4,500,500)</f>
        <v/>
      </c>
      <c r="C294" s="30">
        <v>293.0</v>
      </c>
      <c r="D294" s="16" t="s">
        <v>693</v>
      </c>
      <c r="E294" s="16" t="s">
        <v>184</v>
      </c>
      <c r="F294" s="16" t="s">
        <v>219</v>
      </c>
      <c r="G294" s="16" t="s">
        <v>291</v>
      </c>
      <c r="H294" s="16" t="s">
        <v>223</v>
      </c>
      <c r="I294" s="16" t="s">
        <v>220</v>
      </c>
    </row>
    <row r="295" ht="242.25" hidden="1" customHeight="1">
      <c r="B295" s="32" t="str">
        <f>IMAGE("https://gymvisual.com/2824-catalog_default/band-twist.jpg",4,500,500)</f>
        <v/>
      </c>
      <c r="C295" s="30">
        <v>294.0</v>
      </c>
      <c r="D295" s="16" t="s">
        <v>694</v>
      </c>
      <c r="E295" s="16" t="s">
        <v>184</v>
      </c>
      <c r="F295" s="16" t="s">
        <v>254</v>
      </c>
      <c r="G295" s="16" t="s">
        <v>291</v>
      </c>
      <c r="H295" s="16" t="s">
        <v>257</v>
      </c>
      <c r="I295" s="16" t="s">
        <v>695</v>
      </c>
    </row>
    <row r="296" ht="242.25" hidden="1" customHeight="1">
      <c r="B296" s="32" t="str">
        <f>IMAGE("https://gymvisual.com/22714-catalog_default/band-twist-up-down-male.jpg",4,500,500)</f>
        <v/>
      </c>
      <c r="C296" s="30">
        <v>295.0</v>
      </c>
      <c r="D296" s="16" t="s">
        <v>696</v>
      </c>
      <c r="E296" s="16" t="s">
        <v>184</v>
      </c>
      <c r="F296" s="16" t="s">
        <v>254</v>
      </c>
      <c r="G296" s="16" t="s">
        <v>291</v>
      </c>
      <c r="H296" s="16" t="s">
        <v>257</v>
      </c>
      <c r="I296" s="16" t="s">
        <v>697</v>
      </c>
    </row>
    <row r="297" ht="242.25" hidden="1" customHeight="1">
      <c r="B297" s="32" t="str">
        <f>IMAGE("https://gymvisual.com/2822-catalog_default/band-twist-down-up.jpg",4,500,500)</f>
        <v/>
      </c>
      <c r="C297" s="30">
        <v>296.0</v>
      </c>
      <c r="D297" s="16" t="s">
        <v>698</v>
      </c>
      <c r="E297" s="16" t="s">
        <v>184</v>
      </c>
      <c r="F297" s="16" t="s">
        <v>254</v>
      </c>
      <c r="G297" s="16" t="s">
        <v>291</v>
      </c>
      <c r="H297" s="16" t="s">
        <v>257</v>
      </c>
      <c r="I297" s="16" t="s">
        <v>695</v>
      </c>
    </row>
    <row r="298" ht="242.25" hidden="1" customHeight="1">
      <c r="B298" s="32" t="str">
        <f>IMAGE("https://gymvisual.com/14246-catalog_default/band-twist-male.jpg",4,500,500)</f>
        <v/>
      </c>
      <c r="C298" s="30">
        <v>297.0</v>
      </c>
      <c r="D298" s="16" t="s">
        <v>699</v>
      </c>
      <c r="E298" s="16" t="s">
        <v>184</v>
      </c>
      <c r="F298" s="16" t="s">
        <v>254</v>
      </c>
      <c r="G298" s="16" t="s">
        <v>291</v>
      </c>
      <c r="H298" s="16" t="s">
        <v>257</v>
      </c>
      <c r="I298" s="16" t="s">
        <v>700</v>
      </c>
    </row>
    <row r="299" ht="242.25" hidden="1" customHeight="1">
      <c r="B299" s="32" t="str">
        <f>IMAGE("https://gymvisual.com/2876-catalog_default/band-twist-up-down.jpg",4,500,500)</f>
        <v/>
      </c>
      <c r="C299" s="30">
        <v>298.0</v>
      </c>
      <c r="D299" s="16" t="s">
        <v>701</v>
      </c>
      <c r="E299" s="16" t="s">
        <v>184</v>
      </c>
      <c r="F299" s="16" t="s">
        <v>254</v>
      </c>
      <c r="G299" s="16" t="s">
        <v>291</v>
      </c>
      <c r="H299" s="16" t="s">
        <v>257</v>
      </c>
      <c r="I299" s="16" t="s">
        <v>702</v>
      </c>
    </row>
    <row r="300" ht="242.25" hidden="1" customHeight="1">
      <c r="B300" s="32" t="str">
        <f>IMAGE("https://gymvisual.com/2909-catalog_default/band-twisting-overhead-press.jpg",4,500,500)</f>
        <v/>
      </c>
      <c r="C300" s="30">
        <v>299.0</v>
      </c>
      <c r="D300" s="16" t="s">
        <v>703</v>
      </c>
      <c r="E300" s="16" t="s">
        <v>184</v>
      </c>
      <c r="F300" s="16" t="s">
        <v>228</v>
      </c>
      <c r="G300" s="16" t="s">
        <v>291</v>
      </c>
      <c r="H300" s="16" t="s">
        <v>229</v>
      </c>
      <c r="I300" s="16" t="s">
        <v>704</v>
      </c>
    </row>
    <row r="301" ht="242.25" hidden="1" customHeight="1">
      <c r="B301" s="32" t="str">
        <f>IMAGE("https://gymvisual.com/6064-catalog_default/band-two-legs-calf-raise-band-under-both-legs-version-2.jpg",4,500,500)</f>
        <v/>
      </c>
      <c r="C301" s="30">
        <v>300.0</v>
      </c>
      <c r="D301" s="16" t="s">
        <v>705</v>
      </c>
      <c r="E301" s="16" t="s">
        <v>184</v>
      </c>
      <c r="F301" s="16" t="s">
        <v>325</v>
      </c>
      <c r="G301" s="16" t="s">
        <v>291</v>
      </c>
      <c r="H301" s="16" t="s">
        <v>368</v>
      </c>
      <c r="I301" s="16" t="s">
        <v>463</v>
      </c>
    </row>
    <row r="302" ht="242.25" hidden="1" customHeight="1">
      <c r="B302" s="32" t="str">
        <f>IMAGE("https://gymvisual.com/17370-catalog_default/band-two-legs-calf-raise-band-under-both-legs-version-2-female.jpg",4,500,500)</f>
        <v/>
      </c>
      <c r="C302" s="30">
        <v>301.0</v>
      </c>
      <c r="D302" s="16" t="s">
        <v>706</v>
      </c>
      <c r="E302" s="16" t="s">
        <v>184</v>
      </c>
      <c r="F302" s="16" t="s">
        <v>325</v>
      </c>
      <c r="G302" s="16" t="s">
        <v>291</v>
      </c>
      <c r="H302" s="16" t="s">
        <v>368</v>
      </c>
      <c r="I302" s="16" t="s">
        <v>463</v>
      </c>
    </row>
    <row r="303" ht="242.25" hidden="1" customHeight="1">
      <c r="B303" s="32" t="str">
        <f>IMAGE("https://gymvisual.com/2910-catalog_default/band-underhand-pulldown.jpg",4,500,500)</f>
        <v/>
      </c>
      <c r="C303" s="30">
        <v>302.0</v>
      </c>
      <c r="D303" s="16" t="s">
        <v>707</v>
      </c>
      <c r="E303" s="16" t="s">
        <v>184</v>
      </c>
      <c r="F303" s="16" t="s">
        <v>192</v>
      </c>
      <c r="G303" s="16" t="s">
        <v>291</v>
      </c>
      <c r="H303" s="16" t="s">
        <v>300</v>
      </c>
      <c r="I303" s="16" t="s">
        <v>708</v>
      </c>
    </row>
    <row r="304" ht="242.25" hidden="1" customHeight="1">
      <c r="B304" s="32" t="str">
        <f>IMAGE("https://gymvisual.com/16761-catalog_default/band-upper-body-lying-air-bike.jpg",4,500,500)</f>
        <v/>
      </c>
      <c r="C304" s="30">
        <v>303.0</v>
      </c>
      <c r="D304" s="16" t="s">
        <v>709</v>
      </c>
      <c r="E304" s="16" t="s">
        <v>184</v>
      </c>
      <c r="F304" s="16" t="s">
        <v>310</v>
      </c>
      <c r="G304" s="16" t="s">
        <v>291</v>
      </c>
      <c r="H304" s="16" t="s">
        <v>220</v>
      </c>
      <c r="I304" s="16" t="s">
        <v>220</v>
      </c>
    </row>
    <row r="305" ht="242.25" hidden="1" customHeight="1">
      <c r="B305" s="32" t="str">
        <f>IMAGE("https://gymvisual.com/12203-catalog_default/band-upper-body-resistance-dead-bug.jpg",4,500,500)</f>
        <v/>
      </c>
      <c r="C305" s="30">
        <v>304.0</v>
      </c>
      <c r="D305" s="16" t="s">
        <v>710</v>
      </c>
      <c r="E305" s="16" t="s">
        <v>184</v>
      </c>
      <c r="F305" s="16" t="s">
        <v>254</v>
      </c>
      <c r="G305" s="16" t="s">
        <v>291</v>
      </c>
      <c r="H305" s="16" t="s">
        <v>220</v>
      </c>
      <c r="I305" s="16" t="s">
        <v>220</v>
      </c>
    </row>
    <row r="306" ht="242.25" hidden="1" customHeight="1">
      <c r="B306" s="32" t="str">
        <f>IMAGE("https://gymvisual.com/22117-catalog_default/band-upper-crunch-male.jpg",4,500,500)</f>
        <v/>
      </c>
      <c r="C306" s="30">
        <v>305.0</v>
      </c>
      <c r="D306" s="16" t="s">
        <v>711</v>
      </c>
      <c r="E306" s="16" t="s">
        <v>184</v>
      </c>
      <c r="F306" s="16" t="s">
        <v>254</v>
      </c>
      <c r="G306" s="16" t="s">
        <v>291</v>
      </c>
      <c r="H306" s="16" t="s">
        <v>256</v>
      </c>
      <c r="I306" s="16" t="s">
        <v>257</v>
      </c>
    </row>
    <row r="307" ht="242.25" hidden="1" customHeight="1">
      <c r="B307" s="32" t="str">
        <f>IMAGE("https://gymvisual.com/2825-catalog_default/band-upright-row.jpg",4,500,500)</f>
        <v/>
      </c>
      <c r="C307" s="30">
        <v>306.0</v>
      </c>
      <c r="D307" s="16" t="s">
        <v>712</v>
      </c>
      <c r="E307" s="16" t="s">
        <v>184</v>
      </c>
      <c r="F307" s="16" t="s">
        <v>228</v>
      </c>
      <c r="G307" s="16" t="s">
        <v>291</v>
      </c>
      <c r="H307" s="16" t="s">
        <v>544</v>
      </c>
      <c r="I307" s="16" t="s">
        <v>713</v>
      </c>
    </row>
    <row r="308" ht="242.25" hidden="1" customHeight="1">
      <c r="B308" s="32" t="str">
        <f>IMAGE("https://gymvisual.com/6733-catalog_default/band-upright-row-under-two-feet.jpg",4,500,500)</f>
        <v/>
      </c>
      <c r="C308" s="30">
        <v>307.0</v>
      </c>
      <c r="D308" s="16" t="s">
        <v>714</v>
      </c>
      <c r="E308" s="16" t="s">
        <v>184</v>
      </c>
      <c r="F308" s="16" t="s">
        <v>228</v>
      </c>
      <c r="G308" s="16" t="s">
        <v>291</v>
      </c>
      <c r="H308" s="16" t="s">
        <v>544</v>
      </c>
      <c r="I308" s="16" t="s">
        <v>715</v>
      </c>
    </row>
    <row r="309" ht="242.25" hidden="1" customHeight="1">
      <c r="B309" s="32" t="str">
        <f>IMAGE("https://gymvisual.com/2826-catalog_default/band-upright-shoulder-external-rotation.jpg",4,500,500)</f>
        <v/>
      </c>
      <c r="C309" s="30">
        <v>308.0</v>
      </c>
      <c r="D309" s="16" t="s">
        <v>716</v>
      </c>
      <c r="E309" s="16" t="s">
        <v>184</v>
      </c>
      <c r="F309" s="16" t="s">
        <v>192</v>
      </c>
      <c r="G309" s="16" t="s">
        <v>291</v>
      </c>
      <c r="H309" s="16" t="s">
        <v>661</v>
      </c>
      <c r="I309" s="16" t="s">
        <v>220</v>
      </c>
    </row>
    <row r="310" ht="242.25" hidden="1" customHeight="1">
      <c r="B310" s="32" t="str">
        <f>IMAGE("https://gymvisual.com/2911-catalog_default/band-v-up.jpg",4,500,500)</f>
        <v/>
      </c>
      <c r="C310" s="30">
        <v>309.0</v>
      </c>
      <c r="D310" s="16" t="s">
        <v>717</v>
      </c>
      <c r="E310" s="16" t="s">
        <v>184</v>
      </c>
      <c r="F310" s="16" t="s">
        <v>254</v>
      </c>
      <c r="G310" s="16" t="s">
        <v>291</v>
      </c>
      <c r="H310" s="16" t="s">
        <v>305</v>
      </c>
      <c r="I310" s="16" t="s">
        <v>317</v>
      </c>
    </row>
    <row r="311" ht="242.25" hidden="1" customHeight="1">
      <c r="B311" s="32" t="str">
        <f>IMAGE("https://gymvisual.com/2912-catalog_default/band-vertical-pallof-press.jpg",4,500,500)</f>
        <v/>
      </c>
      <c r="C311" s="30">
        <v>310.0</v>
      </c>
      <c r="D311" s="16" t="s">
        <v>718</v>
      </c>
      <c r="E311" s="16" t="s">
        <v>184</v>
      </c>
      <c r="F311" s="16" t="s">
        <v>254</v>
      </c>
      <c r="G311" s="16" t="s">
        <v>291</v>
      </c>
      <c r="H311" s="16" t="s">
        <v>257</v>
      </c>
      <c r="I311" s="16" t="s">
        <v>220</v>
      </c>
    </row>
    <row r="312" ht="242.25" hidden="1" customHeight="1">
      <c r="B312" s="32" t="str">
        <f>IMAGE("https://gymvisual.com/2913-catalog_default/band-wrist-curl.jpg",4,500,500)</f>
        <v/>
      </c>
      <c r="C312" s="30">
        <v>311.0</v>
      </c>
      <c r="D312" s="16" t="s">
        <v>719</v>
      </c>
      <c r="E312" s="16" t="s">
        <v>184</v>
      </c>
      <c r="F312" s="16" t="s">
        <v>214</v>
      </c>
      <c r="G312" s="16" t="s">
        <v>291</v>
      </c>
      <c r="H312" s="16" t="s">
        <v>720</v>
      </c>
      <c r="I312" s="16" t="s">
        <v>220</v>
      </c>
    </row>
    <row r="313" ht="242.25" hidden="1" customHeight="1">
      <c r="B313" s="32" t="str">
        <f>IMAGE("https://gymvisual.com/2914-catalog_default/band-y-raise.jpg",4,500,500)</f>
        <v/>
      </c>
      <c r="C313" s="30">
        <v>312.0</v>
      </c>
      <c r="D313" s="16" t="s">
        <v>721</v>
      </c>
      <c r="E313" s="16" t="s">
        <v>184</v>
      </c>
      <c r="F313" s="16" t="s">
        <v>228</v>
      </c>
      <c r="G313" s="16" t="s">
        <v>291</v>
      </c>
      <c r="H313" s="16" t="s">
        <v>544</v>
      </c>
      <c r="I313" s="16" t="s">
        <v>722</v>
      </c>
    </row>
    <row r="314" ht="242.25" hidden="1" customHeight="1">
      <c r="B314" s="32" t="str">
        <f>IMAGE("https://gymvisual.com/22383-catalog_default/banded-glute-ham-raise-version-2.jpg",4,500,500)</f>
        <v/>
      </c>
      <c r="C314" s="30">
        <v>313.0</v>
      </c>
      <c r="D314" s="16" t="s">
        <v>723</v>
      </c>
      <c r="E314" s="16" t="s">
        <v>184</v>
      </c>
      <c r="F314" s="16" t="s">
        <v>285</v>
      </c>
      <c r="G314" s="16" t="s">
        <v>291</v>
      </c>
      <c r="H314" s="16" t="s">
        <v>188</v>
      </c>
      <c r="I314" s="16" t="s">
        <v>187</v>
      </c>
    </row>
    <row r="315" ht="242.25" hidden="1" customHeight="1">
      <c r="B315" s="32" t="str">
        <f>IMAGE("https://gymvisual.com/22456-catalog_default/banded-glute-ham-raise-version-3.jpg",4,500,500)</f>
        <v/>
      </c>
      <c r="C315" s="30">
        <v>314.0</v>
      </c>
      <c r="D315" s="16" t="s">
        <v>724</v>
      </c>
      <c r="E315" s="16" t="s">
        <v>184</v>
      </c>
      <c r="F315" s="16" t="s">
        <v>285</v>
      </c>
      <c r="G315" s="16" t="s">
        <v>291</v>
      </c>
      <c r="H315" s="16" t="s">
        <v>220</v>
      </c>
      <c r="I315" s="16" t="s">
        <v>220</v>
      </c>
    </row>
    <row r="316" ht="242.25" hidden="1" customHeight="1">
      <c r="B316" s="32" t="str">
        <f>IMAGE("https://gymvisual.com/22363-catalog_default/banded-lower-body-dead-bug.jpg",4,500,500)</f>
        <v/>
      </c>
      <c r="C316" s="30">
        <v>315.0</v>
      </c>
      <c r="D316" s="16" t="s">
        <v>725</v>
      </c>
      <c r="E316" s="16" t="s">
        <v>184</v>
      </c>
      <c r="F316" s="16" t="s">
        <v>254</v>
      </c>
      <c r="G316" s="16" t="s">
        <v>291</v>
      </c>
      <c r="H316" s="16" t="s">
        <v>220</v>
      </c>
      <c r="I316" s="16" t="s">
        <v>220</v>
      </c>
    </row>
    <row r="317" ht="242.25" customHeight="1">
      <c r="B317" s="32" t="str">
        <f>IMAGE("https://gymvisual.com/19748-catalog_default/bar-band-air-bike.jpg",4,500,500)</f>
        <v/>
      </c>
      <c r="C317" s="30">
        <v>316.0</v>
      </c>
      <c r="D317" s="16" t="s">
        <v>726</v>
      </c>
      <c r="E317" s="16" t="s">
        <v>184</v>
      </c>
      <c r="F317" s="16" t="s">
        <v>254</v>
      </c>
      <c r="G317" s="16" t="s">
        <v>727</v>
      </c>
      <c r="H317" s="16" t="s">
        <v>728</v>
      </c>
      <c r="I317" s="16" t="s">
        <v>729</v>
      </c>
    </row>
    <row r="318" ht="242.25" customHeight="1">
      <c r="B318" s="32" t="str">
        <f>IMAGE("https://gymvisual.com/19717-catalog_default/bar-band-bent-over-rear-delt-fly.jpg",4,500,500)</f>
        <v/>
      </c>
      <c r="C318" s="30">
        <v>317.0</v>
      </c>
      <c r="D318" s="16" t="s">
        <v>730</v>
      </c>
      <c r="E318" s="16" t="s">
        <v>184</v>
      </c>
      <c r="F318" s="16" t="s">
        <v>228</v>
      </c>
      <c r="G318" s="16" t="s">
        <v>727</v>
      </c>
      <c r="H318" s="16" t="s">
        <v>408</v>
      </c>
      <c r="I318" s="16" t="s">
        <v>731</v>
      </c>
    </row>
    <row r="319" ht="242.25" customHeight="1">
      <c r="B319" s="32" t="str">
        <f>IMAGE("https://gymvisual.com/19746-catalog_default/bar-band-bent-over-row.jpg",4,500,500)</f>
        <v/>
      </c>
      <c r="C319" s="30">
        <v>318.0</v>
      </c>
      <c r="D319" s="16" t="s">
        <v>732</v>
      </c>
      <c r="E319" s="16" t="s">
        <v>184</v>
      </c>
      <c r="F319" s="16" t="s">
        <v>192</v>
      </c>
      <c r="G319" s="16" t="s">
        <v>727</v>
      </c>
      <c r="H319" s="16" t="s">
        <v>329</v>
      </c>
      <c r="I319" s="16" t="s">
        <v>447</v>
      </c>
    </row>
    <row r="320" ht="242.25" customHeight="1">
      <c r="B320" s="32" t="str">
        <f>IMAGE("https://gymvisual.com/19742-catalog_default/bar-band-down-to-up-twist.jpg",4,500,500)</f>
        <v/>
      </c>
      <c r="C320" s="30">
        <v>319.0</v>
      </c>
      <c r="D320" s="16" t="s">
        <v>733</v>
      </c>
      <c r="E320" s="16" t="s">
        <v>184</v>
      </c>
      <c r="F320" s="16" t="s">
        <v>254</v>
      </c>
      <c r="G320" s="16" t="s">
        <v>727</v>
      </c>
      <c r="H320" s="16" t="s">
        <v>257</v>
      </c>
      <c r="I320" s="16" t="s">
        <v>734</v>
      </c>
    </row>
    <row r="321" ht="242.25" customHeight="1">
      <c r="B321" s="32" t="str">
        <f>IMAGE("https://gymvisual.com/19721-catalog_default/bar-band-kneeling-incline-press.jpg",4,500,500)</f>
        <v/>
      </c>
      <c r="C321" s="30">
        <v>320.0</v>
      </c>
      <c r="D321" s="16" t="s">
        <v>735</v>
      </c>
      <c r="E321" s="16" t="s">
        <v>184</v>
      </c>
      <c r="F321" s="16" t="s">
        <v>234</v>
      </c>
      <c r="G321" s="16" t="s">
        <v>727</v>
      </c>
      <c r="H321" s="16" t="s">
        <v>415</v>
      </c>
      <c r="I321" s="16" t="s">
        <v>243</v>
      </c>
    </row>
    <row r="322" ht="242.25" customHeight="1">
      <c r="B322" s="32" t="str">
        <f>IMAGE("https://gymvisual.com/19707-catalog_default/bar-band-kneeling-single-leg-kick.jpg",4,500,500)</f>
        <v/>
      </c>
      <c r="C322" s="30">
        <v>321.0</v>
      </c>
      <c r="D322" s="16" t="s">
        <v>736</v>
      </c>
      <c r="E322" s="16" t="s">
        <v>184</v>
      </c>
      <c r="F322" s="16" t="s">
        <v>185</v>
      </c>
      <c r="G322" s="16" t="s">
        <v>727</v>
      </c>
      <c r="H322" s="16" t="s">
        <v>187</v>
      </c>
      <c r="I322" s="16" t="s">
        <v>188</v>
      </c>
    </row>
    <row r="323" ht="242.25" customHeight="1">
      <c r="B323" s="32" t="str">
        <f>IMAGE("https://gymvisual.com/19715-catalog_default/bar-band-lying-alternate-leg-press.jpg",4,500,500)</f>
        <v/>
      </c>
      <c r="C323" s="30">
        <v>322.0</v>
      </c>
      <c r="D323" s="16" t="s">
        <v>737</v>
      </c>
      <c r="E323" s="16" t="s">
        <v>184</v>
      </c>
      <c r="F323" s="16" t="s">
        <v>285</v>
      </c>
      <c r="G323" s="16" t="s">
        <v>727</v>
      </c>
      <c r="H323" s="16" t="s">
        <v>189</v>
      </c>
      <c r="I323" s="16" t="s">
        <v>305</v>
      </c>
    </row>
    <row r="324" ht="242.25" customHeight="1">
      <c r="B324" s="32" t="str">
        <f>IMAGE("https://gymvisual.com/19738-catalog_default/bar-band-overhead-triceps-extension.jpg",4,500,500)</f>
        <v/>
      </c>
      <c r="C324" s="30">
        <v>323.0</v>
      </c>
      <c r="D324" s="16" t="s">
        <v>738</v>
      </c>
      <c r="E324" s="16" t="s">
        <v>184</v>
      </c>
      <c r="F324" s="16" t="s">
        <v>219</v>
      </c>
      <c r="G324" s="16" t="s">
        <v>727</v>
      </c>
      <c r="H324" s="16" t="s">
        <v>223</v>
      </c>
      <c r="I324" s="16" t="s">
        <v>220</v>
      </c>
    </row>
    <row r="325" ht="242.25" customHeight="1">
      <c r="B325" s="32" t="str">
        <f>IMAGE("https://gymvisual.com/19750-catalog_default/bar-band-side-bend-press.jpg",4,500,500)</f>
        <v/>
      </c>
      <c r="C325" s="30">
        <v>324.0</v>
      </c>
      <c r="D325" s="16" t="s">
        <v>739</v>
      </c>
      <c r="E325" s="16" t="s">
        <v>184</v>
      </c>
      <c r="F325" s="16" t="s">
        <v>740</v>
      </c>
      <c r="G325" s="16" t="s">
        <v>727</v>
      </c>
      <c r="H325" s="16" t="s">
        <v>741</v>
      </c>
      <c r="I325" s="16" t="s">
        <v>626</v>
      </c>
    </row>
    <row r="326" ht="242.25" customHeight="1">
      <c r="B326" s="32" t="str">
        <f>IMAGE("https://gymvisual.com/19752-catalog_default/bar-band-single-leg-reverse-hyperextension.jpg",4,500,500)</f>
        <v/>
      </c>
      <c r="C326" s="30">
        <v>325.0</v>
      </c>
      <c r="D326" s="16" t="s">
        <v>742</v>
      </c>
      <c r="E326" s="16" t="s">
        <v>184</v>
      </c>
      <c r="F326" s="16" t="s">
        <v>185</v>
      </c>
      <c r="G326" s="16" t="s">
        <v>727</v>
      </c>
      <c r="H326" s="16" t="s">
        <v>267</v>
      </c>
      <c r="I326" s="16" t="s">
        <v>188</v>
      </c>
    </row>
    <row r="327" ht="242.25" customHeight="1">
      <c r="B327" s="32" t="str">
        <f>IMAGE("https://gymvisual.com/19744-catalog_default/bar-band-skier.jpg",4,500,500)</f>
        <v/>
      </c>
      <c r="C327" s="30">
        <v>326.0</v>
      </c>
      <c r="D327" s="16" t="s">
        <v>743</v>
      </c>
      <c r="E327" s="16" t="s">
        <v>184</v>
      </c>
      <c r="F327" s="16" t="s">
        <v>228</v>
      </c>
      <c r="G327" s="16" t="s">
        <v>727</v>
      </c>
      <c r="H327" s="16" t="s">
        <v>408</v>
      </c>
      <c r="I327" s="16" t="s">
        <v>731</v>
      </c>
    </row>
    <row r="328" ht="242.25" customHeight="1">
      <c r="B328" s="32" t="str">
        <f>IMAGE("https://gymvisual.com/19711-catalog_default/bar-band-split-squat.jpg",4,500,500)</f>
        <v/>
      </c>
      <c r="C328" s="30">
        <v>327.0</v>
      </c>
      <c r="D328" s="16" t="s">
        <v>744</v>
      </c>
      <c r="E328" s="16" t="s">
        <v>184</v>
      </c>
      <c r="F328" s="16" t="s">
        <v>285</v>
      </c>
      <c r="G328" s="16" t="s">
        <v>727</v>
      </c>
      <c r="H328" s="16" t="s">
        <v>189</v>
      </c>
      <c r="I328" s="16" t="s">
        <v>190</v>
      </c>
    </row>
    <row r="329" ht="242.25" customHeight="1">
      <c r="B329" s="32" t="str">
        <f>IMAGE("https://gymvisual.com/19719-catalog_default/bar-band-squat.jpg",4,500,500)</f>
        <v/>
      </c>
      <c r="C329" s="30">
        <v>328.0</v>
      </c>
      <c r="D329" s="16" t="s">
        <v>745</v>
      </c>
      <c r="E329" s="16" t="s">
        <v>184</v>
      </c>
      <c r="F329" s="16" t="s">
        <v>285</v>
      </c>
      <c r="G329" s="16" t="s">
        <v>727</v>
      </c>
      <c r="H329" s="16" t="s">
        <v>189</v>
      </c>
      <c r="I329" s="16" t="s">
        <v>190</v>
      </c>
    </row>
    <row r="330" ht="242.25" customHeight="1">
      <c r="B330" s="32" t="str">
        <f>IMAGE("https://gymvisual.com/19725-catalog_default/bar-band-standing-behind-head-military-press.jpg",4,500,500)</f>
        <v/>
      </c>
      <c r="C330" s="30">
        <v>329.0</v>
      </c>
      <c r="D330" s="16" t="s">
        <v>746</v>
      </c>
      <c r="E330" s="16" t="s">
        <v>184</v>
      </c>
      <c r="F330" s="16" t="s">
        <v>228</v>
      </c>
      <c r="G330" s="16" t="s">
        <v>727</v>
      </c>
      <c r="H330" s="16" t="s">
        <v>229</v>
      </c>
      <c r="I330" s="16" t="s">
        <v>230</v>
      </c>
    </row>
    <row r="331" ht="242.25" customHeight="1">
      <c r="B331" s="32" t="str">
        <f>IMAGE("https://gymvisual.com/19723-catalog_default/bar-band-standing-side-bend.jpg",4,500,500)</f>
        <v/>
      </c>
      <c r="C331" s="30">
        <v>330.0</v>
      </c>
      <c r="D331" s="16" t="s">
        <v>747</v>
      </c>
      <c r="E331" s="16" t="s">
        <v>184</v>
      </c>
      <c r="F331" s="16" t="s">
        <v>254</v>
      </c>
      <c r="G331" s="16" t="s">
        <v>727</v>
      </c>
      <c r="H331" s="16" t="s">
        <v>257</v>
      </c>
      <c r="I331" s="16" t="s">
        <v>220</v>
      </c>
    </row>
    <row r="332" ht="242.25" customHeight="1">
      <c r="B332" s="32" t="str">
        <f>IMAGE("https://gymvisual.com/19740-catalog_default/bar-band-standing-single-arm-upright-row.jpg",4,500,500)</f>
        <v/>
      </c>
      <c r="C332" s="30">
        <v>331.0</v>
      </c>
      <c r="D332" s="16" t="s">
        <v>748</v>
      </c>
      <c r="E332" s="16" t="s">
        <v>184</v>
      </c>
      <c r="F332" s="16" t="s">
        <v>228</v>
      </c>
      <c r="G332" s="16" t="s">
        <v>727</v>
      </c>
      <c r="H332" s="16" t="s">
        <v>544</v>
      </c>
      <c r="I332" s="16" t="s">
        <v>713</v>
      </c>
    </row>
    <row r="333" ht="242.25" customHeight="1">
      <c r="B333" s="32" t="str">
        <f>IMAGE("https://gymvisual.com/19713-catalog_default/bar-band-standing-triceps-extension.jpg",4,500,500)</f>
        <v/>
      </c>
      <c r="C333" s="30">
        <v>332.0</v>
      </c>
      <c r="D333" s="16" t="s">
        <v>749</v>
      </c>
      <c r="E333" s="16" t="s">
        <v>184</v>
      </c>
      <c r="F333" s="16" t="s">
        <v>219</v>
      </c>
      <c r="G333" s="16" t="s">
        <v>727</v>
      </c>
      <c r="H333" s="16" t="s">
        <v>223</v>
      </c>
      <c r="I333" s="16" t="s">
        <v>220</v>
      </c>
    </row>
    <row r="334" ht="242.25" customHeight="1">
      <c r="B334" s="32" t="str">
        <f>IMAGE("https://gymvisual.com/19709-catalog_default/bar-band-swing.jpg",4,500,500)</f>
        <v/>
      </c>
      <c r="C334" s="30">
        <v>333.0</v>
      </c>
      <c r="D334" s="16" t="s">
        <v>750</v>
      </c>
      <c r="E334" s="16" t="s">
        <v>184</v>
      </c>
      <c r="F334" s="16" t="s">
        <v>185</v>
      </c>
      <c r="G334" s="16" t="s">
        <v>727</v>
      </c>
      <c r="H334" s="16" t="s">
        <v>751</v>
      </c>
      <c r="I334" s="16" t="s">
        <v>752</v>
      </c>
    </row>
    <row r="335" ht="242.25" hidden="1" customHeight="1">
      <c r="B335" s="32" t="str">
        <f>IMAGE("https://gymvisual.com/22195-catalog_default/bar-biceps-curl.jpg",4,500,500)</f>
        <v/>
      </c>
      <c r="C335" s="30">
        <v>334.0</v>
      </c>
      <c r="D335" s="16" t="s">
        <v>753</v>
      </c>
      <c r="E335" s="16" t="s">
        <v>184</v>
      </c>
      <c r="F335" s="16" t="s">
        <v>219</v>
      </c>
      <c r="G335" s="16" t="s">
        <v>255</v>
      </c>
      <c r="H335" s="16" t="s">
        <v>220</v>
      </c>
      <c r="I335" s="16" t="s">
        <v>220</v>
      </c>
    </row>
    <row r="336" ht="242.25" hidden="1" customHeight="1">
      <c r="B336" s="32" t="str">
        <f>IMAGE("https://gymvisual.com/22512-catalog_default/bar-close-grip-biceps-curl.jpg",4,500,500)</f>
        <v/>
      </c>
      <c r="C336" s="30">
        <v>335.0</v>
      </c>
      <c r="D336" s="16" t="s">
        <v>754</v>
      </c>
      <c r="E336" s="16" t="s">
        <v>184</v>
      </c>
      <c r="F336" s="16" t="s">
        <v>219</v>
      </c>
      <c r="G336" s="16" t="s">
        <v>255</v>
      </c>
      <c r="H336" s="16" t="s">
        <v>220</v>
      </c>
      <c r="I336" s="16" t="s">
        <v>220</v>
      </c>
    </row>
    <row r="337" ht="242.25" customHeight="1">
      <c r="A337" s="32" t="b">
        <v>0</v>
      </c>
      <c r="B337" s="32" t="str">
        <f>IMAGE("https://gymvisual.com/99-catalog_default/barbell-alternate-biceps-curl.jpg",4,500,500)</f>
        <v/>
      </c>
      <c r="C337" s="30">
        <v>336.0</v>
      </c>
      <c r="D337" s="16" t="s">
        <v>755</v>
      </c>
      <c r="E337" s="16" t="s">
        <v>184</v>
      </c>
      <c r="F337" s="16" t="s">
        <v>219</v>
      </c>
      <c r="G337" s="16" t="s">
        <v>186</v>
      </c>
      <c r="H337" s="16" t="s">
        <v>241</v>
      </c>
      <c r="I337" s="16" t="s">
        <v>292</v>
      </c>
    </row>
    <row r="338" ht="242.25" customHeight="1">
      <c r="A338" s="32" t="b">
        <v>0</v>
      </c>
      <c r="B338" s="32" t="str">
        <f>IMAGE("https://gymvisual.com/24997-catalog_default/barbell-anderson-squat.jpg",4,500,500)</f>
        <v/>
      </c>
      <c r="C338" s="30">
        <v>337.0</v>
      </c>
      <c r="D338" s="16" t="s">
        <v>756</v>
      </c>
      <c r="E338" s="16" t="s">
        <v>184</v>
      </c>
      <c r="F338" s="16" t="s">
        <v>285</v>
      </c>
      <c r="G338" s="16" t="s">
        <v>186</v>
      </c>
      <c r="H338" s="16" t="s">
        <v>220</v>
      </c>
      <c r="I338" s="16" t="s">
        <v>220</v>
      </c>
    </row>
    <row r="339" ht="242.25" customHeight="1">
      <c r="A339" s="32" t="b">
        <v>0</v>
      </c>
      <c r="B339" s="32" t="str">
        <f>IMAGE("https://gymvisual.com/20417-catalog_default/barbell-back-wide-shrug.jpg",4,500,500)</f>
        <v/>
      </c>
      <c r="C339" s="30">
        <v>338.0</v>
      </c>
      <c r="D339" s="16" t="s">
        <v>237</v>
      </c>
      <c r="E339" s="16" t="s">
        <v>184</v>
      </c>
      <c r="F339" s="16" t="s">
        <v>192</v>
      </c>
      <c r="G339" s="16" t="s">
        <v>186</v>
      </c>
      <c r="H339" s="16" t="s">
        <v>238</v>
      </c>
      <c r="I339" s="16" t="s">
        <v>239</v>
      </c>
    </row>
    <row r="340" ht="242.25" customHeight="1">
      <c r="B340" s="32" t="str">
        <f>IMAGE("https://gymvisual.com/22367-catalog_default/barbell-band-assisted-deadlift.jpg",4,500,500)</f>
        <v/>
      </c>
      <c r="C340" s="30">
        <v>339.0</v>
      </c>
      <c r="D340" s="16" t="s">
        <v>757</v>
      </c>
      <c r="E340" s="16" t="s">
        <v>184</v>
      </c>
      <c r="F340" s="16" t="s">
        <v>185</v>
      </c>
      <c r="G340" s="16" t="s">
        <v>186</v>
      </c>
      <c r="H340" s="16" t="s">
        <v>220</v>
      </c>
      <c r="I340" s="16" t="s">
        <v>220</v>
      </c>
    </row>
    <row r="341" ht="242.25" customHeight="1">
      <c r="B341" s="32" t="str">
        <f>IMAGE("https://gymvisual.com/17855-catalog_default/barbell-banded-bench-squat.jpg",4,500,500)</f>
        <v/>
      </c>
      <c r="C341" s="30">
        <v>340.0</v>
      </c>
      <c r="D341" s="16" t="s">
        <v>758</v>
      </c>
      <c r="E341" s="16" t="s">
        <v>184</v>
      </c>
      <c r="F341" s="16" t="s">
        <v>285</v>
      </c>
      <c r="G341" s="16" t="s">
        <v>186</v>
      </c>
      <c r="H341" s="16" t="s">
        <v>220</v>
      </c>
      <c r="I341" s="16" t="s">
        <v>220</v>
      </c>
    </row>
    <row r="342" ht="242.25" customHeight="1">
      <c r="B342" s="32" t="str">
        <f>IMAGE("https://gymvisual.com/17989-catalog_default/barbell-banded-romanian-deadlift.jpg",4,500,500)</f>
        <v/>
      </c>
      <c r="C342" s="30">
        <v>341.0</v>
      </c>
      <c r="D342" s="16" t="s">
        <v>759</v>
      </c>
      <c r="E342" s="16" t="s">
        <v>184</v>
      </c>
      <c r="F342" s="16" t="s">
        <v>185</v>
      </c>
      <c r="G342" s="16" t="s">
        <v>186</v>
      </c>
      <c r="H342" s="16" t="s">
        <v>220</v>
      </c>
      <c r="I342" s="16" t="s">
        <v>220</v>
      </c>
    </row>
    <row r="343" ht="242.25" customHeight="1">
      <c r="B343" s="32" t="str">
        <f>IMAGE("https://gymvisual.com/14072-catalog_default/barbell-banded-squat.jpg",4,500,500)</f>
        <v/>
      </c>
      <c r="C343" s="30">
        <v>342.0</v>
      </c>
      <c r="D343" s="16" t="s">
        <v>760</v>
      </c>
      <c r="E343" s="16" t="s">
        <v>184</v>
      </c>
      <c r="F343" s="16" t="s">
        <v>294</v>
      </c>
      <c r="G343" s="16" t="s">
        <v>186</v>
      </c>
      <c r="H343" s="16" t="s">
        <v>189</v>
      </c>
      <c r="I343" s="16" t="s">
        <v>190</v>
      </c>
    </row>
    <row r="344" ht="242.25" customHeight="1">
      <c r="B344" s="32" t="str">
        <f>IMAGE("https://gymvisual.com/18041-catalog_default/barbell-banded-sumo-deadlift.jpg",4,500,500)</f>
        <v/>
      </c>
      <c r="C344" s="30">
        <v>343.0</v>
      </c>
      <c r="D344" s="16" t="s">
        <v>761</v>
      </c>
      <c r="E344" s="16" t="s">
        <v>184</v>
      </c>
      <c r="F344" s="16" t="s">
        <v>185</v>
      </c>
      <c r="G344" s="16" t="s">
        <v>186</v>
      </c>
      <c r="H344" s="16" t="s">
        <v>220</v>
      </c>
      <c r="I344" s="16" t="s">
        <v>220</v>
      </c>
    </row>
    <row r="345" ht="242.25" customHeight="1">
      <c r="A345" s="32" t="b">
        <v>0</v>
      </c>
      <c r="B345" s="32" t="str">
        <f>IMAGE("https://gymvisual.com/6956-catalog_default/barbell-behind-back-finger-curl.jpg",4,500,500)</f>
        <v/>
      </c>
      <c r="C345" s="30">
        <v>344.0</v>
      </c>
      <c r="D345" s="16" t="s">
        <v>240</v>
      </c>
      <c r="E345" s="16" t="s">
        <v>184</v>
      </c>
      <c r="F345" s="16" t="s">
        <v>214</v>
      </c>
      <c r="G345" s="16" t="s">
        <v>186</v>
      </c>
      <c r="H345" s="16" t="s">
        <v>220</v>
      </c>
      <c r="I345" s="16" t="s">
        <v>220</v>
      </c>
    </row>
    <row r="346" ht="242.25" customHeight="1">
      <c r="A346" s="32" t="b">
        <v>0</v>
      </c>
      <c r="B346" s="32" t="str">
        <f>IMAGE("https://gymvisual.com/25005-catalog_default/barbell-behind-the-back-deadlift.jpg",4,500,500)</f>
        <v/>
      </c>
      <c r="C346" s="30">
        <v>345.0</v>
      </c>
      <c r="D346" s="16" t="s">
        <v>762</v>
      </c>
      <c r="E346" s="16" t="s">
        <v>184</v>
      </c>
      <c r="F346" s="16" t="s">
        <v>185</v>
      </c>
      <c r="G346" s="16" t="s">
        <v>186</v>
      </c>
      <c r="H346" s="16" t="s">
        <v>220</v>
      </c>
      <c r="I346" s="16" t="s">
        <v>220</v>
      </c>
    </row>
    <row r="347" ht="242.25" customHeight="1">
      <c r="A347" s="32" t="b">
        <v>0</v>
      </c>
      <c r="B347" s="32" t="str">
        <f>IMAGE("https://gymvisual.com/22399-catalog_default/barbell-behind-the-back-push-press.jpg",4,500,500)</f>
        <v/>
      </c>
      <c r="C347" s="30">
        <v>346.0</v>
      </c>
      <c r="D347" s="16" t="s">
        <v>763</v>
      </c>
      <c r="E347" s="16" t="s">
        <v>184</v>
      </c>
      <c r="F347" s="16" t="s">
        <v>764</v>
      </c>
      <c r="G347" s="16" t="s">
        <v>186</v>
      </c>
      <c r="H347" s="16" t="s">
        <v>229</v>
      </c>
      <c r="I347" s="16" t="s">
        <v>230</v>
      </c>
    </row>
    <row r="348" ht="242.25" customHeight="1">
      <c r="A348" s="32" t="b">
        <v>0</v>
      </c>
      <c r="B348" s="32" t="str">
        <f>IMAGE("https://gymvisual.com/16392-catalog_default/barbell-behind-the-back-shrug.jpg",4,500,500)</f>
        <v/>
      </c>
      <c r="C348" s="30">
        <v>347.0</v>
      </c>
      <c r="D348" s="16" t="s">
        <v>765</v>
      </c>
      <c r="E348" s="16" t="s">
        <v>184</v>
      </c>
      <c r="F348" s="16" t="s">
        <v>192</v>
      </c>
      <c r="G348" s="16" t="s">
        <v>186</v>
      </c>
      <c r="H348" s="16" t="s">
        <v>238</v>
      </c>
      <c r="I348" s="16" t="s">
        <v>239</v>
      </c>
    </row>
    <row r="349" ht="242.25" customHeight="1">
      <c r="A349" s="32" t="b">
        <v>0</v>
      </c>
      <c r="B349" s="32" t="str">
        <f>IMAGE("https://gymvisual.com/102-catalog_default/barbell-bench-front-squat.jpg",4,500,500)</f>
        <v/>
      </c>
      <c r="C349" s="30">
        <v>348.0</v>
      </c>
      <c r="D349" s="16" t="s">
        <v>766</v>
      </c>
      <c r="E349" s="16" t="s">
        <v>184</v>
      </c>
      <c r="F349" s="16" t="s">
        <v>285</v>
      </c>
      <c r="G349" s="16" t="s">
        <v>186</v>
      </c>
      <c r="H349" s="16" t="s">
        <v>552</v>
      </c>
      <c r="I349" s="16" t="s">
        <v>190</v>
      </c>
    </row>
    <row r="350" ht="242.25" customHeight="1">
      <c r="A350" s="32" t="b">
        <v>0</v>
      </c>
      <c r="B350" s="32" t="str">
        <f>IMAGE("https://gymvisual.com/13319-catalog_default/barbell-bench-front-squat-female.jpg",4,500,500)</f>
        <v/>
      </c>
      <c r="C350" s="30">
        <v>349.0</v>
      </c>
      <c r="D350" s="16" t="s">
        <v>767</v>
      </c>
      <c r="E350" s="16" t="s">
        <v>184</v>
      </c>
      <c r="F350" s="16" t="s">
        <v>294</v>
      </c>
      <c r="G350" s="16" t="s">
        <v>186</v>
      </c>
      <c r="H350" s="16" t="s">
        <v>220</v>
      </c>
      <c r="I350" s="16" t="s">
        <v>220</v>
      </c>
    </row>
    <row r="351" ht="242.25" customHeight="1">
      <c r="A351" s="32" t="b">
        <v>0</v>
      </c>
      <c r="B351" s="32" t="str">
        <f>IMAGE("https://gymvisual.com/19307-catalog_default/barbell-bench-press.jpg",4,500,500)</f>
        <v/>
      </c>
      <c r="C351" s="30">
        <v>350.0</v>
      </c>
      <c r="D351" s="16" t="s">
        <v>768</v>
      </c>
      <c r="E351" s="16" t="s">
        <v>184</v>
      </c>
      <c r="F351" s="16" t="s">
        <v>234</v>
      </c>
      <c r="G351" s="16" t="s">
        <v>186</v>
      </c>
      <c r="H351" s="16" t="s">
        <v>347</v>
      </c>
      <c r="I351" s="16" t="s">
        <v>382</v>
      </c>
    </row>
    <row r="352" ht="242.25" customHeight="1">
      <c r="A352" s="32" t="b">
        <v>0</v>
      </c>
      <c r="B352" s="32" t="str">
        <f>IMAGE("https://gymvisual.com/10945-catalog_default/barbell-bench-press-female.jpg",4,500,500)</f>
        <v/>
      </c>
      <c r="C352" s="30">
        <v>351.0</v>
      </c>
      <c r="D352" s="16" t="s">
        <v>769</v>
      </c>
      <c r="E352" s="16" t="s">
        <v>184</v>
      </c>
      <c r="F352" s="16" t="s">
        <v>234</v>
      </c>
      <c r="G352" s="16" t="s">
        <v>186</v>
      </c>
      <c r="H352" s="16" t="s">
        <v>235</v>
      </c>
      <c r="I352" s="16" t="s">
        <v>243</v>
      </c>
    </row>
    <row r="353" ht="242.25" customHeight="1">
      <c r="A353" s="32" t="b">
        <v>0</v>
      </c>
      <c r="B353" s="32" t="str">
        <f>IMAGE("https://gymvisual.com/12746-catalog_default/barbell-bench-press-knees-at-90-degrees.jpg",4,500,500)</f>
        <v/>
      </c>
      <c r="C353" s="30">
        <v>352.0</v>
      </c>
      <c r="D353" s="16" t="s">
        <v>770</v>
      </c>
      <c r="E353" s="16" t="s">
        <v>184</v>
      </c>
      <c r="F353" s="16" t="s">
        <v>234</v>
      </c>
      <c r="G353" s="16" t="s">
        <v>186</v>
      </c>
      <c r="H353" s="16" t="s">
        <v>235</v>
      </c>
      <c r="I353" s="16" t="s">
        <v>243</v>
      </c>
    </row>
    <row r="354" ht="242.25" customHeight="1">
      <c r="B354" s="32" t="str">
        <f>IMAGE("https://gymvisual.com/12832-catalog_default/barbell-bench-press-with-hanging-band-technique.jpg",4,500,500)</f>
        <v/>
      </c>
      <c r="C354" s="30">
        <v>353.0</v>
      </c>
      <c r="D354" s="16" t="s">
        <v>771</v>
      </c>
      <c r="E354" s="16" t="s">
        <v>184</v>
      </c>
      <c r="F354" s="16" t="s">
        <v>234</v>
      </c>
      <c r="G354" s="16" t="s">
        <v>186</v>
      </c>
      <c r="H354" s="16" t="s">
        <v>235</v>
      </c>
      <c r="I354" s="16" t="s">
        <v>243</v>
      </c>
    </row>
    <row r="355" ht="242.25" customHeight="1">
      <c r="A355" s="32" t="b">
        <v>0</v>
      </c>
      <c r="B355" s="32" t="str">
        <f>IMAGE("https://gymvisual.com/18037-catalog_default/barbell-bench-press-against-chains.jpg",4,500,500)</f>
        <v/>
      </c>
      <c r="C355" s="30">
        <v>354.0</v>
      </c>
      <c r="D355" s="16" t="s">
        <v>772</v>
      </c>
      <c r="E355" s="16" t="s">
        <v>184</v>
      </c>
      <c r="F355" s="16" t="s">
        <v>234</v>
      </c>
      <c r="G355" s="16" t="s">
        <v>186</v>
      </c>
      <c r="H355" s="16" t="s">
        <v>220</v>
      </c>
      <c r="I355" s="16" t="s">
        <v>220</v>
      </c>
    </row>
    <row r="356" ht="242.25" customHeight="1">
      <c r="A356" s="32" t="b">
        <v>0</v>
      </c>
      <c r="B356" s="32" t="str">
        <f>IMAGE("https://gymvisual.com/17873-catalog_default/barbell-bench-press-with-1-board.jpg",4,500,500)</f>
        <v/>
      </c>
      <c r="C356" s="30">
        <v>355.0</v>
      </c>
      <c r="D356" s="16" t="s">
        <v>773</v>
      </c>
      <c r="E356" s="16" t="s">
        <v>184</v>
      </c>
      <c r="F356" s="16" t="s">
        <v>234</v>
      </c>
      <c r="G356" s="16" t="s">
        <v>186</v>
      </c>
      <c r="H356" s="16" t="s">
        <v>220</v>
      </c>
      <c r="I356" s="16" t="s">
        <v>220</v>
      </c>
    </row>
    <row r="357" ht="242.25" customHeight="1">
      <c r="A357" s="32" t="b">
        <v>0</v>
      </c>
      <c r="B357" s="32" t="str">
        <f>IMAGE("https://gymvisual.com/17871-catalog_default/barbell-bench-press-with-2-board.jpg",4,500,500)</f>
        <v/>
      </c>
      <c r="C357" s="30">
        <v>356.0</v>
      </c>
      <c r="D357" s="16" t="s">
        <v>774</v>
      </c>
      <c r="E357" s="16" t="s">
        <v>184</v>
      </c>
      <c r="F357" s="16" t="s">
        <v>234</v>
      </c>
      <c r="G357" s="16" t="s">
        <v>186</v>
      </c>
      <c r="H357" s="16" t="s">
        <v>220</v>
      </c>
      <c r="I357" s="16" t="s">
        <v>220</v>
      </c>
    </row>
    <row r="358" ht="242.25" customHeight="1">
      <c r="A358" s="32" t="b">
        <v>0</v>
      </c>
      <c r="B358" s="32" t="str">
        <f>IMAGE("https://gymvisual.com/17869-catalog_default/barbell-bench-press-with-3-board.jpg",4,500,500)</f>
        <v/>
      </c>
      <c r="C358" s="30">
        <v>357.0</v>
      </c>
      <c r="D358" s="16" t="s">
        <v>775</v>
      </c>
      <c r="E358" s="16" t="s">
        <v>184</v>
      </c>
      <c r="F358" s="16" t="s">
        <v>234</v>
      </c>
      <c r="G358" s="16" t="s">
        <v>186</v>
      </c>
      <c r="H358" s="16" t="s">
        <v>220</v>
      </c>
      <c r="I358" s="16" t="s">
        <v>220</v>
      </c>
    </row>
    <row r="359" ht="242.25" customHeight="1">
      <c r="B359" s="32" t="str">
        <f>IMAGE("https://gymvisual.com/19495-catalog_default/barbell-bench-press-with-band-suspended-kettlebell.jpg",4,500,500)</f>
        <v/>
      </c>
      <c r="C359" s="30">
        <v>358.0</v>
      </c>
      <c r="D359" s="16" t="s">
        <v>776</v>
      </c>
      <c r="E359" s="16" t="s">
        <v>184</v>
      </c>
      <c r="F359" s="16" t="s">
        <v>234</v>
      </c>
      <c r="G359" s="16" t="s">
        <v>186</v>
      </c>
      <c r="H359" s="16" t="s">
        <v>220</v>
      </c>
      <c r="I359" s="16" t="s">
        <v>220</v>
      </c>
    </row>
    <row r="360" ht="242.25" customHeight="1">
      <c r="A360" s="32" t="b">
        <v>0</v>
      </c>
      <c r="B360" s="32" t="str">
        <f>IMAGE("https://gymvisual.com/108-catalog_default/barbell-bench-squat.jpg",4,500,500)</f>
        <v/>
      </c>
      <c r="C360" s="30">
        <v>359.0</v>
      </c>
      <c r="D360" s="16" t="s">
        <v>777</v>
      </c>
      <c r="E360" s="16" t="s">
        <v>184</v>
      </c>
      <c r="F360" s="16" t="s">
        <v>185</v>
      </c>
      <c r="G360" s="16" t="s">
        <v>186</v>
      </c>
      <c r="H360" s="16" t="s">
        <v>552</v>
      </c>
      <c r="I360" s="16" t="s">
        <v>190</v>
      </c>
    </row>
    <row r="361" ht="242.25" customHeight="1">
      <c r="A361" s="32" t="b">
        <v>0</v>
      </c>
      <c r="B361" s="32" t="str">
        <f>IMAGE("https://gymvisual.com/9589-catalog_default/barbell-bench-squat-female.jpg",4,500,500)</f>
        <v/>
      </c>
      <c r="C361" s="30">
        <v>360.0</v>
      </c>
      <c r="D361" s="16" t="s">
        <v>778</v>
      </c>
      <c r="E361" s="16" t="s">
        <v>184</v>
      </c>
      <c r="F361" s="16" t="s">
        <v>294</v>
      </c>
      <c r="G361" s="16" t="s">
        <v>186</v>
      </c>
      <c r="H361" s="16" t="s">
        <v>189</v>
      </c>
      <c r="I361" s="16" t="s">
        <v>190</v>
      </c>
    </row>
    <row r="362" ht="242.25" customHeight="1">
      <c r="A362" s="32" t="b">
        <v>0</v>
      </c>
      <c r="B362" s="32" t="str">
        <f>IMAGE("https://gymvisual.com/6751-catalog_default/barbell-bench-squat-with-chains.jpg",4,500,500)</f>
        <v/>
      </c>
      <c r="C362" s="30">
        <v>361.0</v>
      </c>
      <c r="D362" s="16" t="s">
        <v>779</v>
      </c>
      <c r="E362" s="16" t="s">
        <v>184</v>
      </c>
      <c r="F362" s="16" t="s">
        <v>285</v>
      </c>
      <c r="G362" s="16" t="s">
        <v>186</v>
      </c>
      <c r="H362" s="16" t="s">
        <v>220</v>
      </c>
      <c r="I362" s="16" t="s">
        <v>220</v>
      </c>
    </row>
    <row r="363" ht="242.25" customHeight="1">
      <c r="A363" s="32" t="b">
        <v>0</v>
      </c>
      <c r="B363" s="32" t="str">
        <f>IMAGE("https://gymvisual.com/6007-catalog_default/barbell-bent-arm-pullover.jpg",4,500,500)</f>
        <v/>
      </c>
      <c r="C363" s="30">
        <v>362.0</v>
      </c>
      <c r="D363" s="16" t="s">
        <v>780</v>
      </c>
      <c r="E363" s="16" t="s">
        <v>184</v>
      </c>
      <c r="F363" s="16" t="s">
        <v>192</v>
      </c>
      <c r="G363" s="16" t="s">
        <v>186</v>
      </c>
      <c r="H363" s="16" t="s">
        <v>300</v>
      </c>
      <c r="I363" s="16" t="s">
        <v>781</v>
      </c>
    </row>
    <row r="364" ht="242.25" customHeight="1">
      <c r="A364" s="32" t="b">
        <v>0</v>
      </c>
      <c r="B364" s="32" t="str">
        <f>IMAGE("https://gymvisual.com/19309-catalog_default/barbell-bent-over-row.jpg",4,500,500)</f>
        <v/>
      </c>
      <c r="C364" s="30">
        <v>363.0</v>
      </c>
      <c r="D364" s="16" t="s">
        <v>782</v>
      </c>
      <c r="E364" s="16" t="s">
        <v>184</v>
      </c>
      <c r="F364" s="16" t="s">
        <v>192</v>
      </c>
      <c r="G364" s="16" t="s">
        <v>186</v>
      </c>
      <c r="H364" s="16" t="s">
        <v>570</v>
      </c>
      <c r="I364" s="16" t="s">
        <v>447</v>
      </c>
    </row>
    <row r="365" ht="242.25" customHeight="1">
      <c r="A365" s="32" t="b">
        <v>0</v>
      </c>
      <c r="B365" s="32" t="str">
        <f>IMAGE("https://gymvisual.com/9640-catalog_default/barbell-bent-over-row-female.jpg",4,500,500)</f>
        <v/>
      </c>
      <c r="C365" s="30">
        <v>364.0</v>
      </c>
      <c r="D365" s="16" t="s">
        <v>783</v>
      </c>
      <c r="E365" s="16" t="s">
        <v>184</v>
      </c>
      <c r="F365" s="16" t="s">
        <v>192</v>
      </c>
      <c r="G365" s="16" t="s">
        <v>186</v>
      </c>
      <c r="H365" s="16" t="s">
        <v>570</v>
      </c>
      <c r="I365" s="16" t="s">
        <v>447</v>
      </c>
    </row>
    <row r="366" ht="242.25" customHeight="1">
      <c r="A366" s="32" t="b">
        <v>0</v>
      </c>
      <c r="B366" s="32" t="str">
        <f>IMAGE("https://gymvisual.com/17405-catalog_default/barbell-bent-over-wide-alternate-row-plus.jpg",4,500,500)</f>
        <v/>
      </c>
      <c r="C366" s="30">
        <v>365.0</v>
      </c>
      <c r="D366" s="16" t="s">
        <v>784</v>
      </c>
      <c r="E366" s="16" t="s">
        <v>184</v>
      </c>
      <c r="F366" s="16" t="s">
        <v>192</v>
      </c>
      <c r="G366" s="16" t="s">
        <v>186</v>
      </c>
      <c r="H366" s="16" t="s">
        <v>329</v>
      </c>
      <c r="I366" s="16" t="s">
        <v>447</v>
      </c>
    </row>
    <row r="367" ht="242.25" customHeight="1">
      <c r="A367" s="32" t="b">
        <v>0</v>
      </c>
      <c r="B367" s="32" t="str">
        <f>IMAGE("https://gymvisual.com/16374-catalog_default/barbell-bent-over-wide-grip-row.jpg",4,500,500)</f>
        <v/>
      </c>
      <c r="C367" s="30">
        <v>366.0</v>
      </c>
      <c r="D367" s="16" t="s">
        <v>785</v>
      </c>
      <c r="E367" s="16" t="s">
        <v>184</v>
      </c>
      <c r="F367" s="16" t="s">
        <v>192</v>
      </c>
      <c r="G367" s="16" t="s">
        <v>186</v>
      </c>
      <c r="H367" s="16" t="s">
        <v>329</v>
      </c>
      <c r="I367" s="16" t="s">
        <v>447</v>
      </c>
    </row>
    <row r="368" ht="242.25" customHeight="1">
      <c r="A368" s="32" t="b">
        <v>0</v>
      </c>
      <c r="B368" s="32" t="str">
        <f>IMAGE("https://gymvisual.com/17407-catalog_default/barbell-bent-over-wide-row-plus.jpg",4,500,500)</f>
        <v/>
      </c>
      <c r="C368" s="30">
        <v>367.0</v>
      </c>
      <c r="D368" s="16" t="s">
        <v>786</v>
      </c>
      <c r="E368" s="16" t="s">
        <v>184</v>
      </c>
      <c r="F368" s="16" t="s">
        <v>192</v>
      </c>
      <c r="G368" s="16" t="s">
        <v>186</v>
      </c>
      <c r="H368" s="16" t="s">
        <v>329</v>
      </c>
      <c r="I368" s="16" t="s">
        <v>447</v>
      </c>
    </row>
    <row r="369" ht="242.25" customHeight="1">
      <c r="A369" s="32" t="b">
        <v>0</v>
      </c>
      <c r="B369" s="32" t="str">
        <f>IMAGE("https://gymvisual.com/10460-catalog_default/barbell-biceps-curl-with-arm-blaster.jpg",4,500,500)</f>
        <v/>
      </c>
      <c r="C369" s="30">
        <v>368.0</v>
      </c>
      <c r="D369" s="16" t="s">
        <v>787</v>
      </c>
      <c r="E369" s="16" t="s">
        <v>184</v>
      </c>
      <c r="F369" s="16" t="s">
        <v>219</v>
      </c>
      <c r="G369" s="16" t="s">
        <v>186</v>
      </c>
      <c r="H369" s="16" t="s">
        <v>241</v>
      </c>
      <c r="I369" s="16" t="s">
        <v>292</v>
      </c>
    </row>
    <row r="370" ht="242.25" customHeight="1">
      <c r="A370" s="32" t="b">
        <v>0</v>
      </c>
      <c r="B370" s="32" t="str">
        <f>IMAGE("https://gymvisual.com/22492-catalog_default/barbell-box-squat.jpg",4,500,500)</f>
        <v/>
      </c>
      <c r="C370" s="30">
        <v>369.0</v>
      </c>
      <c r="D370" s="16" t="s">
        <v>788</v>
      </c>
      <c r="E370" s="16" t="s">
        <v>184</v>
      </c>
      <c r="F370" s="16" t="s">
        <v>185</v>
      </c>
      <c r="G370" s="16" t="s">
        <v>186</v>
      </c>
      <c r="H370" s="16" t="s">
        <v>189</v>
      </c>
      <c r="I370" s="16" t="s">
        <v>190</v>
      </c>
    </row>
    <row r="371" ht="242.25" customHeight="1">
      <c r="B371" s="32" t="str">
        <f>IMAGE("https://gymvisual.com/16390-catalog_default/barbell-chest-press-on-stability-ball.jpg",4,500,500)</f>
        <v/>
      </c>
      <c r="C371" s="30">
        <v>370.0</v>
      </c>
      <c r="D371" s="16" t="s">
        <v>789</v>
      </c>
      <c r="E371" s="16" t="s">
        <v>184</v>
      </c>
      <c r="F371" s="16" t="s">
        <v>234</v>
      </c>
      <c r="G371" s="16" t="s">
        <v>790</v>
      </c>
      <c r="H371" s="16" t="s">
        <v>235</v>
      </c>
      <c r="I371" s="16" t="s">
        <v>243</v>
      </c>
    </row>
    <row r="372" ht="242.25" customHeight="1">
      <c r="A372" s="32" t="b">
        <v>0</v>
      </c>
      <c r="B372" s="32" t="str">
        <f>IMAGE("https://gymvisual.com/22540-catalog_default/barbell-clean-and-jerk.jpg",4,500,500)</f>
        <v/>
      </c>
      <c r="C372" s="30">
        <v>371.0</v>
      </c>
      <c r="D372" s="16" t="s">
        <v>791</v>
      </c>
      <c r="E372" s="16" t="s">
        <v>184</v>
      </c>
      <c r="F372" s="16" t="s">
        <v>764</v>
      </c>
      <c r="G372" s="16" t="s">
        <v>186</v>
      </c>
      <c r="H372" s="16" t="s">
        <v>220</v>
      </c>
      <c r="I372" s="16" t="s">
        <v>220</v>
      </c>
    </row>
    <row r="373" ht="242.25" customHeight="1">
      <c r="A373" s="32" t="b">
        <v>0</v>
      </c>
      <c r="B373" s="32" t="str">
        <f>IMAGE("https://gymvisual.com/114-catalog_default/barbell-clean-and-press.jpg",4,500,500)</f>
        <v/>
      </c>
      <c r="C373" s="30">
        <v>372.0</v>
      </c>
      <c r="D373" s="16" t="s">
        <v>792</v>
      </c>
      <c r="E373" s="16" t="s">
        <v>184</v>
      </c>
      <c r="F373" s="16" t="s">
        <v>228</v>
      </c>
      <c r="G373" s="16" t="s">
        <v>186</v>
      </c>
      <c r="H373" s="16" t="s">
        <v>793</v>
      </c>
      <c r="I373" s="16" t="s">
        <v>220</v>
      </c>
    </row>
    <row r="374" ht="242.25" customHeight="1">
      <c r="A374" s="32" t="b">
        <v>0</v>
      </c>
      <c r="B374" s="32" t="str">
        <f>IMAGE("https://gymvisual.com/14386-catalog_default/barbell-clean-and-press-female.jpg",4,500,500)</f>
        <v/>
      </c>
      <c r="C374" s="30">
        <v>373.0</v>
      </c>
      <c r="D374" s="16" t="s">
        <v>794</v>
      </c>
      <c r="E374" s="16" t="s">
        <v>184</v>
      </c>
      <c r="F374" s="16" t="s">
        <v>691</v>
      </c>
      <c r="G374" s="16" t="s">
        <v>186</v>
      </c>
      <c r="H374" s="16" t="s">
        <v>795</v>
      </c>
      <c r="I374" s="16" t="s">
        <v>220</v>
      </c>
    </row>
    <row r="375" ht="242.25" customHeight="1">
      <c r="A375" s="32" t="b">
        <v>0</v>
      </c>
      <c r="B375" s="32" t="str">
        <f>IMAGE("https://gymvisual.com/6763-catalog_default/barbell-clean-deadlift.jpg",4,500,500)</f>
        <v/>
      </c>
      <c r="C375" s="30">
        <v>374.0</v>
      </c>
      <c r="D375" s="16" t="s">
        <v>796</v>
      </c>
      <c r="E375" s="16" t="s">
        <v>184</v>
      </c>
      <c r="F375" s="16" t="s">
        <v>285</v>
      </c>
      <c r="G375" s="16" t="s">
        <v>186</v>
      </c>
      <c r="H375" s="16" t="s">
        <v>220</v>
      </c>
      <c r="I375" s="16" t="s">
        <v>220</v>
      </c>
    </row>
    <row r="376" ht="242.25" customHeight="1">
      <c r="A376" s="32" t="b">
        <v>0</v>
      </c>
      <c r="B376" s="32" t="str">
        <f>IMAGE("https://gymvisual.com/6764-catalog_default/barbell-clean-from-blocks.jpg",4,500,500)</f>
        <v/>
      </c>
      <c r="C376" s="30">
        <v>375.0</v>
      </c>
      <c r="D376" s="16" t="s">
        <v>797</v>
      </c>
      <c r="E376" s="16" t="s">
        <v>184</v>
      </c>
      <c r="F376" s="16" t="s">
        <v>764</v>
      </c>
      <c r="G376" s="16" t="s">
        <v>186</v>
      </c>
      <c r="H376" s="16" t="s">
        <v>220</v>
      </c>
      <c r="I376" s="16" t="s">
        <v>220</v>
      </c>
    </row>
    <row r="377" ht="242.25" customHeight="1">
      <c r="A377" s="32" t="b">
        <v>0</v>
      </c>
      <c r="B377" s="32" t="str">
        <f>IMAGE("https://gymvisual.com/25138-catalog_default/barbell-clean-high-pull.jpg",4,500,500)</f>
        <v/>
      </c>
      <c r="C377" s="30">
        <v>376.0</v>
      </c>
      <c r="D377" s="16" t="s">
        <v>798</v>
      </c>
      <c r="E377" s="16" t="s">
        <v>184</v>
      </c>
      <c r="F377" s="16" t="s">
        <v>764</v>
      </c>
      <c r="G377" s="16" t="s">
        <v>186</v>
      </c>
      <c r="H377" s="16" t="s">
        <v>799</v>
      </c>
      <c r="I377" s="16" t="s">
        <v>800</v>
      </c>
    </row>
    <row r="378" ht="242.25" customHeight="1">
      <c r="A378" s="32" t="b">
        <v>0</v>
      </c>
      <c r="B378" s="32" t="str">
        <f>IMAGE("https://gymvisual.com/25134-catalog_default/barbell-clean-pull.jpg",4,500,500)</f>
        <v/>
      </c>
      <c r="C378" s="30">
        <v>377.0</v>
      </c>
      <c r="D378" s="16" t="s">
        <v>801</v>
      </c>
      <c r="E378" s="16" t="s">
        <v>184</v>
      </c>
      <c r="F378" s="16" t="s">
        <v>764</v>
      </c>
      <c r="G378" s="16" t="s">
        <v>186</v>
      </c>
      <c r="H378" s="16" t="s">
        <v>220</v>
      </c>
      <c r="I378" s="16" t="s">
        <v>220</v>
      </c>
    </row>
    <row r="379" ht="242.25" customHeight="1">
      <c r="A379" s="32" t="b">
        <v>0</v>
      </c>
      <c r="B379" s="32" t="str">
        <f>IMAGE("https://gymvisual.com/24450-catalog_default/barbell-clean-grip-front-squat.jpg",4,500,500)</f>
        <v/>
      </c>
      <c r="C379" s="30">
        <v>378.0</v>
      </c>
      <c r="D379" s="16" t="s">
        <v>802</v>
      </c>
      <c r="E379" s="16" t="s">
        <v>184</v>
      </c>
      <c r="F379" s="16" t="s">
        <v>285</v>
      </c>
      <c r="G379" s="16" t="s">
        <v>186</v>
      </c>
      <c r="H379" s="16" t="s">
        <v>189</v>
      </c>
      <c r="I379" s="16" t="s">
        <v>190</v>
      </c>
    </row>
    <row r="380" ht="242.25" customHeight="1">
      <c r="A380" s="32" t="b">
        <v>0</v>
      </c>
      <c r="B380" s="32" t="str">
        <f>IMAGE("https://gymvisual.com/10369-catalog_default/barbell-close-grip-bench-press-female.jpg",4,500,500)</f>
        <v/>
      </c>
      <c r="C380" s="30">
        <v>379.0</v>
      </c>
      <c r="D380" s="16" t="s">
        <v>803</v>
      </c>
      <c r="E380" s="16" t="s">
        <v>184</v>
      </c>
      <c r="F380" s="16" t="s">
        <v>219</v>
      </c>
      <c r="G380" s="16" t="s">
        <v>186</v>
      </c>
      <c r="H380" s="16" t="s">
        <v>223</v>
      </c>
      <c r="I380" s="16" t="s">
        <v>804</v>
      </c>
    </row>
    <row r="381" ht="242.25" customHeight="1">
      <c r="A381" s="32" t="b">
        <v>0</v>
      </c>
      <c r="B381" s="32" t="str">
        <f>IMAGE("https://gymvisual.com/20048-catalog_default/barbell-close-grip-bench-press.jpg",4,500,500)</f>
        <v/>
      </c>
      <c r="C381" s="30">
        <v>380.0</v>
      </c>
      <c r="D381" s="16" t="s">
        <v>805</v>
      </c>
      <c r="E381" s="16" t="s">
        <v>184</v>
      </c>
      <c r="F381" s="16" t="s">
        <v>219</v>
      </c>
      <c r="G381" s="16" t="s">
        <v>186</v>
      </c>
      <c r="H381" s="16" t="s">
        <v>223</v>
      </c>
      <c r="I381" s="16" t="s">
        <v>472</v>
      </c>
    </row>
    <row r="382" ht="242.25" customHeight="1">
      <c r="A382" s="32" t="b">
        <v>0</v>
      </c>
      <c r="B382" s="32" t="str">
        <f>IMAGE("https://gymvisual.com/13582-catalog_default/illustration.jpg",4,500,500)</f>
        <v/>
      </c>
      <c r="C382" s="30">
        <v>381.0</v>
      </c>
      <c r="D382" s="16" t="s">
        <v>806</v>
      </c>
      <c r="E382" s="16" t="s">
        <v>184</v>
      </c>
      <c r="F382" s="16" t="s">
        <v>691</v>
      </c>
      <c r="G382" s="16" t="s">
        <v>186</v>
      </c>
      <c r="H382" s="16" t="s">
        <v>220</v>
      </c>
      <c r="I382" s="16" t="s">
        <v>220</v>
      </c>
    </row>
    <row r="383" ht="242.25" customHeight="1">
      <c r="A383" s="32" t="b">
        <v>0</v>
      </c>
      <c r="B383" s="32" t="str">
        <f>IMAGE("https://gymvisual.com/18998-catalog_default/barbell-curl.jpg",4,500,500)</f>
        <v/>
      </c>
      <c r="C383" s="30">
        <v>382.0</v>
      </c>
      <c r="D383" s="16" t="s">
        <v>13</v>
      </c>
      <c r="E383" s="16" t="s">
        <v>184</v>
      </c>
      <c r="F383" s="16" t="s">
        <v>219</v>
      </c>
      <c r="G383" s="16" t="s">
        <v>186</v>
      </c>
      <c r="H383" s="16" t="s">
        <v>241</v>
      </c>
      <c r="I383" s="16" t="s">
        <v>292</v>
      </c>
    </row>
    <row r="384" ht="242.25" customHeight="1">
      <c r="A384" s="32" t="b">
        <v>0</v>
      </c>
      <c r="B384" s="32" t="str">
        <f>IMAGE("https://gymvisual.com/14248-catalog_default/barbell-curl-female.jpg",4,500,500)</f>
        <v/>
      </c>
      <c r="C384" s="30">
        <v>383.0</v>
      </c>
      <c r="D384" s="16" t="s">
        <v>807</v>
      </c>
      <c r="E384" s="16" t="s">
        <v>184</v>
      </c>
      <c r="F384" s="16" t="s">
        <v>219</v>
      </c>
      <c r="G384" s="16" t="s">
        <v>186</v>
      </c>
      <c r="H384" s="16" t="s">
        <v>217</v>
      </c>
      <c r="I384" s="16" t="s">
        <v>216</v>
      </c>
    </row>
    <row r="385" ht="242.25" customHeight="1">
      <c r="A385" s="32" t="b">
        <v>0</v>
      </c>
      <c r="B385" s="32" t="str">
        <f>IMAGE("https://gymvisual.com/26116-catalog_default/barbell-curl-press-extension-male.jpg",4,500,500)</f>
        <v/>
      </c>
      <c r="C385" s="30">
        <v>384.0</v>
      </c>
      <c r="D385" s="16" t="s">
        <v>808</v>
      </c>
      <c r="E385" s="16" t="s">
        <v>184</v>
      </c>
      <c r="F385" s="16" t="s">
        <v>219</v>
      </c>
      <c r="G385" s="16" t="s">
        <v>186</v>
      </c>
      <c r="H385" s="16" t="s">
        <v>220</v>
      </c>
      <c r="I385" s="16" t="s">
        <v>220</v>
      </c>
    </row>
    <row r="386" ht="242.25" customHeight="1">
      <c r="A386" s="32" t="b">
        <v>0</v>
      </c>
      <c r="B386" s="32" t="str">
        <f>IMAGE("https://gymvisual.com/16378-catalog_default/barbell-curtsey-lunge.jpg",4,500,500)</f>
        <v/>
      </c>
      <c r="C386" s="30">
        <v>385.0</v>
      </c>
      <c r="D386" s="16" t="s">
        <v>809</v>
      </c>
      <c r="E386" s="16" t="s">
        <v>184</v>
      </c>
      <c r="F386" s="16" t="s">
        <v>294</v>
      </c>
      <c r="G386" s="16" t="s">
        <v>186</v>
      </c>
      <c r="H386" s="16" t="s">
        <v>295</v>
      </c>
      <c r="I386" s="16" t="s">
        <v>810</v>
      </c>
    </row>
    <row r="387" ht="242.25" customHeight="1">
      <c r="A387" s="32" t="b">
        <v>0</v>
      </c>
      <c r="B387" s="32" t="str">
        <f>IMAGE("https://gymvisual.com/20608-catalog_default/barbell-deadlift.jpg",4,500,500)</f>
        <v/>
      </c>
      <c r="C387" s="30">
        <v>386.0</v>
      </c>
      <c r="D387" s="16" t="s">
        <v>811</v>
      </c>
      <c r="E387" s="16" t="s">
        <v>184</v>
      </c>
      <c r="F387" s="16" t="s">
        <v>185</v>
      </c>
      <c r="G387" s="16" t="s">
        <v>186</v>
      </c>
      <c r="H387" s="16" t="s">
        <v>187</v>
      </c>
      <c r="I387" s="16" t="s">
        <v>482</v>
      </c>
    </row>
    <row r="388" ht="242.25" customHeight="1">
      <c r="A388" s="32" t="b">
        <v>0</v>
      </c>
      <c r="B388" s="32" t="str">
        <f>IMAGE("https://gymvisual.com/9556-catalog_default/barbell-deadlift-female.jpg",4,500,500)</f>
        <v/>
      </c>
      <c r="C388" s="30">
        <v>387.0</v>
      </c>
      <c r="D388" s="16" t="s">
        <v>812</v>
      </c>
      <c r="E388" s="16" t="s">
        <v>184</v>
      </c>
      <c r="F388" s="16" t="s">
        <v>294</v>
      </c>
      <c r="G388" s="16" t="s">
        <v>186</v>
      </c>
      <c r="H388" s="16" t="s">
        <v>187</v>
      </c>
      <c r="I388" s="16" t="s">
        <v>482</v>
      </c>
    </row>
    <row r="389" ht="242.25" customHeight="1">
      <c r="A389" s="32" t="b">
        <v>0</v>
      </c>
      <c r="B389" s="32" t="str">
        <f>IMAGE("https://gymvisual.com/18033-catalog_default/barbell-deadlift-against-chains.jpg",4,500,500)</f>
        <v/>
      </c>
      <c r="C389" s="30">
        <v>388.0</v>
      </c>
      <c r="D389" s="16" t="s">
        <v>813</v>
      </c>
      <c r="E389" s="16" t="s">
        <v>184</v>
      </c>
      <c r="F389" s="16" t="s">
        <v>185</v>
      </c>
      <c r="G389" s="16" t="s">
        <v>186</v>
      </c>
      <c r="H389" s="16" t="s">
        <v>220</v>
      </c>
      <c r="I389" s="16" t="s">
        <v>220</v>
      </c>
    </row>
    <row r="390" ht="242.25" customHeight="1">
      <c r="A390" s="32" t="b">
        <v>0</v>
      </c>
      <c r="B390" s="32" t="str">
        <f>IMAGE("https://gymvisual.com/25124-catalog_default/barbell-deadlift-from-deficit.jpg",4,500,500)</f>
        <v/>
      </c>
      <c r="C390" s="30">
        <v>389.0</v>
      </c>
      <c r="D390" s="16" t="s">
        <v>814</v>
      </c>
      <c r="E390" s="16" t="s">
        <v>184</v>
      </c>
      <c r="F390" s="16" t="s">
        <v>185</v>
      </c>
      <c r="G390" s="16" t="s">
        <v>186</v>
      </c>
      <c r="H390" s="16" t="s">
        <v>220</v>
      </c>
      <c r="I390" s="16" t="s">
        <v>220</v>
      </c>
    </row>
    <row r="391" ht="242.25" customHeight="1">
      <c r="A391" s="32" t="b">
        <v>0</v>
      </c>
      <c r="B391" s="32" t="str">
        <f>IMAGE("https://gymvisual.com/17953-catalog_default/barbell-deadstop-row-with-rack-male.jpg",4,500,500)</f>
        <v/>
      </c>
      <c r="C391" s="30">
        <v>390.0</v>
      </c>
      <c r="D391" s="16" t="s">
        <v>815</v>
      </c>
      <c r="E391" s="16" t="s">
        <v>184</v>
      </c>
      <c r="F391" s="16" t="s">
        <v>192</v>
      </c>
      <c r="G391" s="16" t="s">
        <v>186</v>
      </c>
      <c r="H391" s="16" t="s">
        <v>220</v>
      </c>
      <c r="I391" s="16" t="s">
        <v>220</v>
      </c>
    </row>
    <row r="392" ht="242.25" customHeight="1">
      <c r="A392" s="32" t="b">
        <v>0</v>
      </c>
      <c r="B392" s="32" t="str">
        <f>IMAGE("https://gymvisual.com/6766-catalog_default/barbell-decline-bench-lunge.jpg",4,500,500)</f>
        <v/>
      </c>
      <c r="C392" s="30">
        <v>391.0</v>
      </c>
      <c r="D392" s="16" t="s">
        <v>816</v>
      </c>
      <c r="E392" s="16" t="s">
        <v>184</v>
      </c>
      <c r="F392" s="16" t="s">
        <v>285</v>
      </c>
      <c r="G392" s="16" t="s">
        <v>186</v>
      </c>
      <c r="H392" s="16" t="s">
        <v>220</v>
      </c>
      <c r="I392" s="16" t="s">
        <v>220</v>
      </c>
    </row>
    <row r="393" ht="242.25" customHeight="1">
      <c r="A393" s="32" t="b">
        <v>0</v>
      </c>
      <c r="B393" s="32" t="str">
        <f>IMAGE("https://gymvisual.com/19000-catalog_default/barbell-decline-bench-press.jpg",4,500,500)</f>
        <v/>
      </c>
      <c r="C393" s="30">
        <v>392.0</v>
      </c>
      <c r="D393" s="16" t="s">
        <v>817</v>
      </c>
      <c r="E393" s="16" t="s">
        <v>184</v>
      </c>
      <c r="F393" s="16" t="s">
        <v>234</v>
      </c>
      <c r="G393" s="16" t="s">
        <v>186</v>
      </c>
      <c r="H393" s="16" t="s">
        <v>347</v>
      </c>
      <c r="I393" s="16" t="s">
        <v>382</v>
      </c>
    </row>
    <row r="394" ht="242.25" customHeight="1">
      <c r="A394" s="32" t="b">
        <v>0</v>
      </c>
      <c r="B394" s="32" t="str">
        <f>IMAGE("https://gymvisual.com/10984-catalog_default/barbell-decline-bench-press-female.jpg",4,500,500)</f>
        <v/>
      </c>
      <c r="C394" s="30">
        <v>393.0</v>
      </c>
      <c r="D394" s="16" t="s">
        <v>818</v>
      </c>
      <c r="E394" s="16" t="s">
        <v>184</v>
      </c>
      <c r="F394" s="16" t="s">
        <v>234</v>
      </c>
      <c r="G394" s="16" t="s">
        <v>186</v>
      </c>
      <c r="H394" s="16" t="s">
        <v>347</v>
      </c>
      <c r="I394" s="16" t="s">
        <v>382</v>
      </c>
    </row>
    <row r="395" ht="242.25" customHeight="1">
      <c r="A395" s="32" t="b">
        <v>0</v>
      </c>
      <c r="B395" s="32" t="str">
        <f>IMAGE("https://gymvisual.com/131-catalog_default/barbell-decline-bent-arm-pullover.jpg",4,500,500)</f>
        <v/>
      </c>
      <c r="C395" s="30">
        <v>394.0</v>
      </c>
      <c r="D395" s="16" t="s">
        <v>819</v>
      </c>
      <c r="E395" s="16" t="s">
        <v>184</v>
      </c>
      <c r="F395" s="16" t="s">
        <v>192</v>
      </c>
      <c r="G395" s="16" t="s">
        <v>186</v>
      </c>
      <c r="H395" s="16" t="s">
        <v>300</v>
      </c>
      <c r="I395" s="16" t="s">
        <v>820</v>
      </c>
    </row>
    <row r="396" ht="242.25" customHeight="1">
      <c r="A396" s="32" t="b">
        <v>0</v>
      </c>
      <c r="B396" s="32" t="str">
        <f>IMAGE("https://gymvisual.com/134-catalog_default/barbell-decline-close-grip-to-skull-press.jpg",4,500,500)</f>
        <v/>
      </c>
      <c r="C396" s="30">
        <v>395.0</v>
      </c>
      <c r="D396" s="16" t="s">
        <v>821</v>
      </c>
      <c r="E396" s="16" t="s">
        <v>184</v>
      </c>
      <c r="F396" s="16" t="s">
        <v>219</v>
      </c>
      <c r="G396" s="16" t="s">
        <v>186</v>
      </c>
      <c r="H396" s="16" t="s">
        <v>223</v>
      </c>
      <c r="I396" s="16" t="s">
        <v>220</v>
      </c>
    </row>
    <row r="397" ht="242.25" customHeight="1">
      <c r="A397" s="32" t="b">
        <v>0</v>
      </c>
      <c r="B397" s="32" t="str">
        <f>IMAGE("https://gymvisual.com/13321-catalog_default/barbell-decline-close-grip-to-skull-press-female.jpg",4,500,500)</f>
        <v/>
      </c>
      <c r="C397" s="30">
        <v>396.0</v>
      </c>
      <c r="D397" s="16" t="s">
        <v>822</v>
      </c>
      <c r="E397" s="16" t="s">
        <v>184</v>
      </c>
      <c r="F397" s="16" t="s">
        <v>219</v>
      </c>
      <c r="G397" s="16" t="s">
        <v>186</v>
      </c>
      <c r="H397" s="16" t="s">
        <v>220</v>
      </c>
      <c r="I397" s="16" t="s">
        <v>220</v>
      </c>
    </row>
    <row r="398" ht="242.25" customHeight="1">
      <c r="A398" s="32" t="b">
        <v>0</v>
      </c>
      <c r="B398" s="32" t="str">
        <f>IMAGE("https://gymvisual.com/5944-catalog_default/barbell-decline-pullover.jpg",4,500,500)</f>
        <v/>
      </c>
      <c r="C398" s="30">
        <v>397.0</v>
      </c>
      <c r="D398" s="16" t="s">
        <v>823</v>
      </c>
      <c r="E398" s="16" t="s">
        <v>184</v>
      </c>
      <c r="F398" s="16" t="s">
        <v>234</v>
      </c>
      <c r="G398" s="16" t="s">
        <v>186</v>
      </c>
      <c r="H398" s="16" t="s">
        <v>347</v>
      </c>
      <c r="I398" s="16" t="s">
        <v>824</v>
      </c>
    </row>
    <row r="399" ht="242.25" customHeight="1">
      <c r="A399" s="32" t="b">
        <v>0</v>
      </c>
      <c r="B399" s="32" t="str">
        <f>IMAGE("https://gymvisual.com/137-catalog_default/barbell-decline-wide-grip-press.jpg",4,500,500)</f>
        <v/>
      </c>
      <c r="C399" s="30">
        <v>398.0</v>
      </c>
      <c r="D399" s="16" t="s">
        <v>825</v>
      </c>
      <c r="E399" s="16" t="s">
        <v>184</v>
      </c>
      <c r="F399" s="16" t="s">
        <v>234</v>
      </c>
      <c r="G399" s="16" t="s">
        <v>186</v>
      </c>
      <c r="H399" s="16" t="s">
        <v>347</v>
      </c>
      <c r="I399" s="16" t="s">
        <v>382</v>
      </c>
    </row>
    <row r="400" ht="242.25" customHeight="1">
      <c r="A400" s="32" t="b">
        <v>0</v>
      </c>
      <c r="B400" s="32" t="str">
        <f>IMAGE("https://gymvisual.com/140-catalog_default/barbell-decline-wide-grip-pullover.jpg",4,500,500)</f>
        <v/>
      </c>
      <c r="C400" s="30">
        <v>399.0</v>
      </c>
      <c r="D400" s="16" t="s">
        <v>826</v>
      </c>
      <c r="E400" s="16" t="s">
        <v>184</v>
      </c>
      <c r="F400" s="16" t="s">
        <v>192</v>
      </c>
      <c r="G400" s="16" t="s">
        <v>186</v>
      </c>
      <c r="H400" s="16" t="s">
        <v>300</v>
      </c>
      <c r="I400" s="16" t="s">
        <v>827</v>
      </c>
    </row>
    <row r="401" ht="242.25" customHeight="1">
      <c r="A401" s="32" t="b">
        <v>0</v>
      </c>
      <c r="B401" s="32" t="str">
        <f>IMAGE("https://gymvisual.com/143-catalog_default/barbell-drag-curl.jpg",4,500,500)</f>
        <v/>
      </c>
      <c r="C401" s="30">
        <v>400.0</v>
      </c>
      <c r="D401" s="16" t="s">
        <v>145</v>
      </c>
      <c r="E401" s="16" t="s">
        <v>184</v>
      </c>
      <c r="F401" s="16" t="s">
        <v>219</v>
      </c>
      <c r="G401" s="16" t="s">
        <v>186</v>
      </c>
      <c r="H401" s="16" t="s">
        <v>241</v>
      </c>
      <c r="I401" s="16" t="s">
        <v>242</v>
      </c>
    </row>
    <row r="402" ht="242.25" customHeight="1">
      <c r="A402" s="32" t="b">
        <v>0</v>
      </c>
      <c r="B402" s="32" t="str">
        <f>IMAGE("https://gymvisual.com/13323-catalog_default/barbell-drag-curl-female.jpg",4,500,500)</f>
        <v/>
      </c>
      <c r="C402" s="30">
        <v>401.0</v>
      </c>
      <c r="D402" s="16" t="s">
        <v>828</v>
      </c>
      <c r="E402" s="16" t="s">
        <v>184</v>
      </c>
      <c r="F402" s="16" t="s">
        <v>829</v>
      </c>
      <c r="G402" s="16" t="s">
        <v>186</v>
      </c>
      <c r="H402" s="16" t="s">
        <v>236</v>
      </c>
      <c r="I402" s="16" t="s">
        <v>292</v>
      </c>
    </row>
    <row r="403" ht="242.25" customHeight="1">
      <c r="A403" s="32" t="b">
        <v>0</v>
      </c>
      <c r="B403" s="32" t="str">
        <f>IMAGE("https://gymvisual.com/17999-catalog_default/barbell-elevated-heel-squat.jpg",4,500,500)</f>
        <v/>
      </c>
      <c r="C403" s="30">
        <v>402.0</v>
      </c>
      <c r="D403" s="16" t="s">
        <v>830</v>
      </c>
      <c r="E403" s="16" t="s">
        <v>184</v>
      </c>
      <c r="F403" s="16" t="s">
        <v>285</v>
      </c>
      <c r="G403" s="16" t="s">
        <v>186</v>
      </c>
      <c r="H403" s="16" t="s">
        <v>220</v>
      </c>
      <c r="I403" s="16" t="s">
        <v>220</v>
      </c>
    </row>
    <row r="404" ht="242.25" customHeight="1">
      <c r="A404" s="32" t="b">
        <v>0</v>
      </c>
      <c r="B404" s="32" t="str">
        <f>IMAGE("https://gymvisual.com/22633-catalog_default/barbell-elevated-split-squat-female.jpg",4,500,500)</f>
        <v/>
      </c>
      <c r="C404" s="30">
        <v>403.0</v>
      </c>
      <c r="D404" s="16" t="s">
        <v>831</v>
      </c>
      <c r="E404" s="16" t="s">
        <v>184</v>
      </c>
      <c r="F404" s="16" t="s">
        <v>285</v>
      </c>
      <c r="G404" s="16" t="s">
        <v>186</v>
      </c>
      <c r="H404" s="16" t="s">
        <v>220</v>
      </c>
      <c r="I404" s="16" t="s">
        <v>220</v>
      </c>
    </row>
    <row r="405" ht="242.25" customHeight="1">
      <c r="A405" s="32" t="b">
        <v>0</v>
      </c>
      <c r="B405" s="32" t="str">
        <f>IMAGE("https://gymvisual.com/6065-catalog_default/barbell-floor-calf-raise.jpg",4,500,500)</f>
        <v/>
      </c>
      <c r="C405" s="30">
        <v>404.0</v>
      </c>
      <c r="D405" s="16" t="s">
        <v>832</v>
      </c>
      <c r="E405" s="16" t="s">
        <v>184</v>
      </c>
      <c r="F405" s="16" t="s">
        <v>325</v>
      </c>
      <c r="G405" s="16" t="s">
        <v>186</v>
      </c>
      <c r="H405" s="16" t="s">
        <v>368</v>
      </c>
      <c r="I405" s="16" t="s">
        <v>463</v>
      </c>
    </row>
    <row r="406" ht="242.25" customHeight="1">
      <c r="A406" s="32" t="b">
        <v>0</v>
      </c>
      <c r="B406" s="32" t="str">
        <f>IMAGE("https://gymvisual.com/16380-catalog_default/barbell-floor-chest-press.jpg",4,500,500)</f>
        <v/>
      </c>
      <c r="C406" s="30">
        <v>405.0</v>
      </c>
      <c r="D406" s="16" t="s">
        <v>181</v>
      </c>
      <c r="E406" s="16" t="s">
        <v>184</v>
      </c>
      <c r="F406" s="16" t="s">
        <v>234</v>
      </c>
      <c r="G406" s="16" t="s">
        <v>186</v>
      </c>
      <c r="H406" s="16" t="s">
        <v>235</v>
      </c>
      <c r="I406" s="16" t="s">
        <v>243</v>
      </c>
    </row>
    <row r="407" ht="242.25" customHeight="1">
      <c r="A407" s="32" t="b">
        <v>0</v>
      </c>
      <c r="B407" s="32" t="str">
        <f>IMAGE("https://gymvisual.com/16386-catalog_default/barbell-front-bench-squat.jpg",4,500,500)</f>
        <v/>
      </c>
      <c r="C407" s="30">
        <v>406.0</v>
      </c>
      <c r="D407" s="16" t="s">
        <v>833</v>
      </c>
      <c r="E407" s="16" t="s">
        <v>184</v>
      </c>
      <c r="F407" s="16" t="s">
        <v>285</v>
      </c>
      <c r="G407" s="16" t="s">
        <v>186</v>
      </c>
      <c r="H407" s="16" t="s">
        <v>189</v>
      </c>
      <c r="I407" s="16" t="s">
        <v>190</v>
      </c>
    </row>
    <row r="408" ht="242.25" customHeight="1">
      <c r="A408" s="32" t="b">
        <v>0</v>
      </c>
      <c r="B408" s="32" t="str">
        <f>IMAGE("https://gymvisual.com/146-catalog_default/barbell-front-chest-squat.jpg",4,500,500)</f>
        <v/>
      </c>
      <c r="C408" s="30">
        <v>407.0</v>
      </c>
      <c r="D408" s="16" t="s">
        <v>834</v>
      </c>
      <c r="E408" s="16" t="s">
        <v>184</v>
      </c>
      <c r="F408" s="16" t="s">
        <v>285</v>
      </c>
      <c r="G408" s="16" t="s">
        <v>186</v>
      </c>
      <c r="H408" s="16" t="s">
        <v>189</v>
      </c>
      <c r="I408" s="16" t="s">
        <v>190</v>
      </c>
    </row>
    <row r="409" ht="242.25" customHeight="1">
      <c r="B409" s="32" t="str">
        <f>IMAGE("https://gymvisual.com/17741-catalog_default/barbell-front-chest-squat-with-resistance-band.jpg",4,500,500)</f>
        <v/>
      </c>
      <c r="C409" s="30">
        <v>408.0</v>
      </c>
      <c r="D409" s="16" t="s">
        <v>835</v>
      </c>
      <c r="E409" s="16" t="s">
        <v>184</v>
      </c>
      <c r="F409" s="16" t="s">
        <v>285</v>
      </c>
      <c r="G409" s="16" t="s">
        <v>186</v>
      </c>
      <c r="H409" s="16" t="s">
        <v>220</v>
      </c>
      <c r="I409" s="16" t="s">
        <v>220</v>
      </c>
    </row>
    <row r="410" ht="242.25" customHeight="1">
      <c r="A410" s="32" t="b">
        <v>0</v>
      </c>
      <c r="B410" s="32" t="str">
        <f>IMAGE("https://gymvisual.com/19433-catalog_default/barbell-front-rack-lunge.jpg",4,500,500)</f>
        <v/>
      </c>
      <c r="C410" s="30">
        <v>409.0</v>
      </c>
      <c r="D410" s="16" t="s">
        <v>836</v>
      </c>
      <c r="E410" s="16" t="s">
        <v>184</v>
      </c>
      <c r="F410" s="16" t="s">
        <v>285</v>
      </c>
      <c r="G410" s="16" t="s">
        <v>186</v>
      </c>
      <c r="H410" s="16" t="s">
        <v>220</v>
      </c>
      <c r="I410" s="16" t="s">
        <v>220</v>
      </c>
    </row>
    <row r="411" ht="242.25" customHeight="1">
      <c r="A411" s="32" t="b">
        <v>0</v>
      </c>
      <c r="B411" s="32" t="str">
        <f>IMAGE("https://gymvisual.com/22093-catalog_default/barbell-front-rack-lunge.jpg",4,500,500)</f>
        <v/>
      </c>
      <c r="C411" s="30">
        <v>410.0</v>
      </c>
      <c r="D411" s="16" t="s">
        <v>836</v>
      </c>
      <c r="E411" s="16" t="s">
        <v>184</v>
      </c>
      <c r="F411" s="16" t="s">
        <v>285</v>
      </c>
      <c r="G411" s="16" t="s">
        <v>186</v>
      </c>
      <c r="H411" s="16" t="s">
        <v>189</v>
      </c>
      <c r="I411" s="16" t="s">
        <v>190</v>
      </c>
    </row>
    <row r="412" ht="242.25" customHeight="1">
      <c r="A412" s="32" t="b">
        <v>0</v>
      </c>
      <c r="B412" s="32" t="str">
        <f>IMAGE("https://gymvisual.com/19449-catalog_default/barbell-front-rack-rear-lunge.jpg",4,500,500)</f>
        <v/>
      </c>
      <c r="C412" s="30">
        <v>411.0</v>
      </c>
      <c r="D412" s="16" t="s">
        <v>837</v>
      </c>
      <c r="E412" s="16" t="s">
        <v>184</v>
      </c>
      <c r="F412" s="16" t="s">
        <v>285</v>
      </c>
      <c r="G412" s="16" t="s">
        <v>186</v>
      </c>
      <c r="H412" s="16" t="s">
        <v>220</v>
      </c>
      <c r="I412" s="16" t="s">
        <v>220</v>
      </c>
    </row>
    <row r="413" ht="242.25" customHeight="1">
      <c r="A413" s="32" t="b">
        <v>0</v>
      </c>
      <c r="B413" s="32" t="str">
        <f>IMAGE("https://gymvisual.com/19463-catalog_default/barbell-front-rack-split-squat.jpg",4,500,500)</f>
        <v/>
      </c>
      <c r="C413" s="30">
        <v>412.0</v>
      </c>
      <c r="D413" s="16" t="s">
        <v>838</v>
      </c>
      <c r="E413" s="16" t="s">
        <v>184</v>
      </c>
      <c r="F413" s="16" t="s">
        <v>285</v>
      </c>
      <c r="G413" s="16" t="s">
        <v>186</v>
      </c>
      <c r="H413" s="16" t="s">
        <v>220</v>
      </c>
      <c r="I413" s="16" t="s">
        <v>220</v>
      </c>
    </row>
    <row r="414" ht="242.25" customHeight="1">
      <c r="A414" s="32" t="b">
        <v>0</v>
      </c>
      <c r="B414" s="32" t="str">
        <f>IMAGE("https://gymvisual.com/152-catalog_default/barbell-front-raise.jpg",4,500,500)</f>
        <v/>
      </c>
      <c r="C414" s="30">
        <v>413.0</v>
      </c>
      <c r="D414" s="16" t="s">
        <v>166</v>
      </c>
      <c r="E414" s="16" t="s">
        <v>184</v>
      </c>
      <c r="F414" s="16" t="s">
        <v>228</v>
      </c>
      <c r="G414" s="16" t="s">
        <v>186</v>
      </c>
      <c r="H414" s="16" t="s">
        <v>229</v>
      </c>
      <c r="I414" s="16" t="s">
        <v>244</v>
      </c>
    </row>
    <row r="415" ht="242.25" customHeight="1">
      <c r="A415" s="32" t="b">
        <v>0</v>
      </c>
      <c r="B415" s="32" t="str">
        <f>IMAGE("https://gymvisual.com/11002-catalog_default/barbell-front-raise-female.jpg",4,500,500)</f>
        <v/>
      </c>
      <c r="C415" s="30">
        <v>414.0</v>
      </c>
      <c r="D415" s="16" t="s">
        <v>839</v>
      </c>
      <c r="E415" s="16" t="s">
        <v>184</v>
      </c>
      <c r="F415" s="16" t="s">
        <v>228</v>
      </c>
      <c r="G415" s="16" t="s">
        <v>186</v>
      </c>
      <c r="H415" s="16" t="s">
        <v>229</v>
      </c>
      <c r="I415" s="16" t="s">
        <v>244</v>
      </c>
    </row>
    <row r="416" ht="242.25" customHeight="1">
      <c r="A416" s="32" t="b">
        <v>0</v>
      </c>
      <c r="B416" s="32" t="str">
        <f>IMAGE("https://gymvisual.com/149-catalog_default/barbell-front-raise-and-pullover.jpg",4,500,500)</f>
        <v/>
      </c>
      <c r="C416" s="30">
        <v>415.0</v>
      </c>
      <c r="D416" s="16" t="s">
        <v>840</v>
      </c>
      <c r="E416" s="16" t="s">
        <v>184</v>
      </c>
      <c r="F416" s="16" t="s">
        <v>234</v>
      </c>
      <c r="G416" s="16" t="s">
        <v>186</v>
      </c>
      <c r="H416" s="16" t="s">
        <v>235</v>
      </c>
      <c r="I416" s="16" t="s">
        <v>841</v>
      </c>
    </row>
    <row r="417" ht="242.25" customHeight="1">
      <c r="A417" s="32" t="b">
        <v>0</v>
      </c>
      <c r="B417" s="32" t="str">
        <f>IMAGE("https://gymvisual.com/10574-catalog_default/barbell-front-squat.jpg",4,500,500)</f>
        <v/>
      </c>
      <c r="C417" s="30">
        <v>416.0</v>
      </c>
      <c r="D417" s="16" t="s">
        <v>842</v>
      </c>
      <c r="E417" s="16" t="s">
        <v>184</v>
      </c>
      <c r="F417" s="16" t="s">
        <v>185</v>
      </c>
      <c r="G417" s="16" t="s">
        <v>186</v>
      </c>
      <c r="H417" s="16" t="s">
        <v>189</v>
      </c>
      <c r="I417" s="16" t="s">
        <v>190</v>
      </c>
    </row>
    <row r="418" ht="242.25" customHeight="1">
      <c r="A418" s="32" t="b">
        <v>0</v>
      </c>
      <c r="B418" s="32" t="str">
        <f>IMAGE("https://gymvisual.com/11077-catalog_default/barbell-front-squat-female.jpg",4,500,500)</f>
        <v/>
      </c>
      <c r="C418" s="30">
        <v>417.0</v>
      </c>
      <c r="D418" s="16" t="s">
        <v>843</v>
      </c>
      <c r="E418" s="16" t="s">
        <v>184</v>
      </c>
      <c r="F418" s="16" t="s">
        <v>294</v>
      </c>
      <c r="G418" s="16" t="s">
        <v>186</v>
      </c>
      <c r="H418" s="16" t="s">
        <v>189</v>
      </c>
      <c r="I418" s="16" t="s">
        <v>190</v>
      </c>
    </row>
    <row r="419" ht="242.25" customHeight="1">
      <c r="A419" s="32" t="b">
        <v>0</v>
      </c>
      <c r="B419" s="32" t="str">
        <f>IMAGE("https://gymvisual.com/13163-catalog_default/barbell-front-squat-from-blocks.jpg",4,500,500)</f>
        <v/>
      </c>
      <c r="C419" s="30">
        <v>418.0</v>
      </c>
      <c r="D419" s="16" t="s">
        <v>844</v>
      </c>
      <c r="E419" s="16" t="s">
        <v>184</v>
      </c>
      <c r="F419" s="16" t="s">
        <v>285</v>
      </c>
      <c r="G419" s="16" t="s">
        <v>186</v>
      </c>
      <c r="H419" s="16" t="s">
        <v>189</v>
      </c>
      <c r="I419" s="16" t="s">
        <v>314</v>
      </c>
    </row>
    <row r="420" ht="242.25" customHeight="1">
      <c r="A420" s="32" t="b">
        <v>0</v>
      </c>
      <c r="B420" s="32" t="str">
        <f>IMAGE("https://gymvisual.com/16388-catalog_default/barbell-front-step-up.jpg",4,500,500)</f>
        <v/>
      </c>
      <c r="C420" s="30">
        <v>419.0</v>
      </c>
      <c r="D420" s="16" t="s">
        <v>845</v>
      </c>
      <c r="E420" s="16" t="s">
        <v>184</v>
      </c>
      <c r="F420" s="16" t="s">
        <v>285</v>
      </c>
      <c r="G420" s="16" t="s">
        <v>186</v>
      </c>
      <c r="H420" s="16" t="s">
        <v>189</v>
      </c>
      <c r="I420" s="16" t="s">
        <v>190</v>
      </c>
    </row>
    <row r="421" ht="242.25" customHeight="1">
      <c r="A421" s="32" t="b">
        <v>0</v>
      </c>
      <c r="B421" s="32" t="str">
        <f>IMAGE("https://gymvisual.com/20586-catalog_default/barbell-full-clean.jpg",4,500,500)</f>
        <v/>
      </c>
      <c r="C421" s="30">
        <v>420.0</v>
      </c>
      <c r="D421" s="16" t="s">
        <v>846</v>
      </c>
      <c r="E421" s="16" t="s">
        <v>184</v>
      </c>
      <c r="F421" s="16" t="s">
        <v>764</v>
      </c>
      <c r="G421" s="16" t="s">
        <v>186</v>
      </c>
      <c r="H421" s="16" t="s">
        <v>220</v>
      </c>
      <c r="I421" s="16" t="s">
        <v>220</v>
      </c>
    </row>
    <row r="422" ht="242.25" customHeight="1">
      <c r="A422" s="32" t="b">
        <v>0</v>
      </c>
      <c r="B422" s="32" t="str">
        <f>IMAGE("https://gymvisual.com/158-catalog_default/barbell-full-squat.jpg",4,500,500)</f>
        <v/>
      </c>
      <c r="C422" s="30">
        <v>421.0</v>
      </c>
      <c r="D422" s="16" t="s">
        <v>847</v>
      </c>
      <c r="E422" s="16" t="s">
        <v>184</v>
      </c>
      <c r="F422" s="16" t="s">
        <v>285</v>
      </c>
      <c r="G422" s="16" t="s">
        <v>186</v>
      </c>
      <c r="H422" s="16" t="s">
        <v>189</v>
      </c>
      <c r="I422" s="16" t="s">
        <v>190</v>
      </c>
    </row>
    <row r="423" ht="242.25" customHeight="1">
      <c r="A423" s="32" t="b">
        <v>0</v>
      </c>
      <c r="B423" s="32" t="str">
        <f>IMAGE("https://gymvisual.com/6480-catalog_default/barbell-full-squat-back-pov.jpg",4,500,500)</f>
        <v/>
      </c>
      <c r="C423" s="30">
        <v>422.0</v>
      </c>
      <c r="D423" s="16" t="s">
        <v>848</v>
      </c>
      <c r="E423" s="16" t="s">
        <v>184</v>
      </c>
      <c r="F423" s="16" t="s">
        <v>285</v>
      </c>
      <c r="G423" s="16" t="s">
        <v>186</v>
      </c>
      <c r="H423" s="16" t="s">
        <v>189</v>
      </c>
      <c r="I423" s="16" t="s">
        <v>190</v>
      </c>
    </row>
    <row r="424" ht="242.25" customHeight="1">
      <c r="A424" s="32" t="b">
        <v>0</v>
      </c>
      <c r="B424" s="32" t="str">
        <f>IMAGE("https://gymvisual.com/6478-catalog_default/barbell-full-squat-side-pov.jpg",4,500,500)</f>
        <v/>
      </c>
      <c r="C424" s="30">
        <v>423.0</v>
      </c>
      <c r="D424" s="16" t="s">
        <v>849</v>
      </c>
      <c r="E424" s="16" t="s">
        <v>184</v>
      </c>
      <c r="F424" s="16" t="s">
        <v>285</v>
      </c>
      <c r="G424" s="16" t="s">
        <v>186</v>
      </c>
      <c r="H424" s="16" t="s">
        <v>189</v>
      </c>
      <c r="I424" s="16" t="s">
        <v>190</v>
      </c>
    </row>
    <row r="425" ht="242.25" customHeight="1">
      <c r="A425" s="32" t="b">
        <v>0</v>
      </c>
      <c r="B425" s="32" t="str">
        <f>IMAGE("https://gymvisual.com/2768-catalog_default/barbell-full-squat-with-rack.jpg",4,500,500)</f>
        <v/>
      </c>
      <c r="C425" s="30">
        <v>424.0</v>
      </c>
      <c r="D425" s="16" t="s">
        <v>850</v>
      </c>
      <c r="E425" s="16" t="s">
        <v>184</v>
      </c>
      <c r="F425" s="16" t="s">
        <v>285</v>
      </c>
      <c r="G425" s="16" t="s">
        <v>186</v>
      </c>
      <c r="H425" s="16" t="s">
        <v>189</v>
      </c>
      <c r="I425" s="16" t="s">
        <v>190</v>
      </c>
    </row>
    <row r="426" ht="242.25" customHeight="1">
      <c r="A426" s="32" t="b">
        <v>0</v>
      </c>
      <c r="B426" s="32" t="str">
        <f>IMAGE("https://gymvisual.com/10022-catalog_default/barbell-full-zercher-squat.jpg",4,500,500)</f>
        <v/>
      </c>
      <c r="C426" s="30">
        <v>425.0</v>
      </c>
      <c r="D426" s="16" t="s">
        <v>851</v>
      </c>
      <c r="E426" s="16" t="s">
        <v>184</v>
      </c>
      <c r="F426" s="16" t="s">
        <v>285</v>
      </c>
      <c r="G426" s="16" t="s">
        <v>186</v>
      </c>
      <c r="H426" s="16" t="s">
        <v>189</v>
      </c>
      <c r="I426" s="16" t="s">
        <v>190</v>
      </c>
    </row>
    <row r="427" ht="242.25" customHeight="1">
      <c r="A427" s="32" t="b">
        <v>0</v>
      </c>
      <c r="B427" s="32" t="str">
        <f>IMAGE("https://gymvisual.com/6261-catalog_default/barbell-glute-bridge.jpg",4,500,500)</f>
        <v/>
      </c>
      <c r="C427" s="30">
        <v>426.0</v>
      </c>
      <c r="D427" s="16" t="s">
        <v>172</v>
      </c>
      <c r="E427" s="16" t="s">
        <v>184</v>
      </c>
      <c r="F427" s="16" t="s">
        <v>185</v>
      </c>
      <c r="G427" s="16" t="s">
        <v>186</v>
      </c>
      <c r="H427" s="16" t="s">
        <v>187</v>
      </c>
      <c r="I427" s="16" t="s">
        <v>188</v>
      </c>
    </row>
    <row r="428" ht="242.25" customHeight="1">
      <c r="A428" s="32" t="b">
        <v>0</v>
      </c>
      <c r="B428" s="32" t="str">
        <f>IMAGE("https://gymvisual.com/13273-catalog_default/barbell-glute-bridge-hands-on-bar.jpg",4,500,500)</f>
        <v/>
      </c>
      <c r="C428" s="30">
        <v>427.0</v>
      </c>
      <c r="D428" s="16" t="s">
        <v>852</v>
      </c>
      <c r="E428" s="16" t="s">
        <v>184</v>
      </c>
      <c r="F428" s="16" t="s">
        <v>185</v>
      </c>
      <c r="G428" s="16" t="s">
        <v>186</v>
      </c>
      <c r="H428" s="16" t="s">
        <v>220</v>
      </c>
      <c r="I428" s="16" t="s">
        <v>220</v>
      </c>
    </row>
    <row r="429" ht="242.25" customHeight="1">
      <c r="A429" s="32" t="b">
        <v>0</v>
      </c>
      <c r="B429" s="32" t="str">
        <f>IMAGE("https://gymvisual.com/13275-catalog_default/barbell-glute-bridge-hands-on-bar-female.jpg",4,500,500)</f>
        <v/>
      </c>
      <c r="C429" s="30">
        <v>428.0</v>
      </c>
      <c r="D429" s="16" t="s">
        <v>853</v>
      </c>
      <c r="E429" s="16" t="s">
        <v>184</v>
      </c>
      <c r="F429" s="16" t="s">
        <v>185</v>
      </c>
      <c r="G429" s="16" t="s">
        <v>186</v>
      </c>
      <c r="H429" s="16" t="s">
        <v>187</v>
      </c>
      <c r="I429" s="16" t="s">
        <v>854</v>
      </c>
    </row>
    <row r="430" ht="242.25" customHeight="1">
      <c r="A430" s="32" t="b">
        <v>0</v>
      </c>
      <c r="B430" s="32" t="str">
        <f>IMAGE("https://gymvisual.com/14151-catalog_default/barbell-glute-bridge-two-legs-on-bench-male.jpg",4,500,500)</f>
        <v/>
      </c>
      <c r="C430" s="30">
        <v>429.0</v>
      </c>
      <c r="D430" s="16" t="s">
        <v>855</v>
      </c>
      <c r="E430" s="16" t="s">
        <v>184</v>
      </c>
      <c r="F430" s="16" t="s">
        <v>185</v>
      </c>
      <c r="G430" s="16" t="s">
        <v>186</v>
      </c>
      <c r="H430" s="16" t="s">
        <v>187</v>
      </c>
      <c r="I430" s="16" t="s">
        <v>188</v>
      </c>
    </row>
    <row r="431" ht="242.25" customHeight="1">
      <c r="A431" s="32" t="b">
        <v>0</v>
      </c>
      <c r="B431" s="32" t="str">
        <f>IMAGE("https://gymvisual.com/19311-catalog_default/barbell-good-morning.jpg",4,500,500)</f>
        <v/>
      </c>
      <c r="C431" s="30">
        <v>430.0</v>
      </c>
      <c r="D431" s="16" t="s">
        <v>856</v>
      </c>
      <c r="E431" s="16" t="s">
        <v>184</v>
      </c>
      <c r="F431" s="16" t="s">
        <v>285</v>
      </c>
      <c r="G431" s="16" t="s">
        <v>186</v>
      </c>
      <c r="H431" s="16" t="s">
        <v>188</v>
      </c>
      <c r="I431" s="16" t="s">
        <v>857</v>
      </c>
    </row>
    <row r="432" ht="242.25" customHeight="1">
      <c r="A432" s="32" t="b">
        <v>0</v>
      </c>
      <c r="B432" s="32" t="str">
        <f>IMAGE("https://gymvisual.com/9559-catalog_default/barbell-good-morning-female.jpg",4,500,500)</f>
        <v/>
      </c>
      <c r="C432" s="30">
        <v>431.0</v>
      </c>
      <c r="D432" s="16" t="s">
        <v>858</v>
      </c>
      <c r="E432" s="16" t="s">
        <v>184</v>
      </c>
      <c r="F432" s="16" t="s">
        <v>185</v>
      </c>
      <c r="G432" s="16" t="s">
        <v>186</v>
      </c>
      <c r="H432" s="16" t="s">
        <v>188</v>
      </c>
      <c r="I432" s="16" t="s">
        <v>857</v>
      </c>
    </row>
    <row r="433" ht="242.25" customHeight="1">
      <c r="A433" s="32" t="b">
        <v>0</v>
      </c>
      <c r="B433" s="32" t="str">
        <f>IMAGE("https://gymvisual.com/164-catalog_default/barbell-guillotine-bench-press.jpg",4,500,500)</f>
        <v/>
      </c>
      <c r="C433" s="30">
        <v>432.0</v>
      </c>
      <c r="D433" s="16" t="s">
        <v>859</v>
      </c>
      <c r="E433" s="16" t="s">
        <v>184</v>
      </c>
      <c r="F433" s="16" t="s">
        <v>234</v>
      </c>
      <c r="G433" s="16" t="s">
        <v>186</v>
      </c>
      <c r="H433" s="16" t="s">
        <v>347</v>
      </c>
      <c r="I433" s="16" t="s">
        <v>382</v>
      </c>
    </row>
    <row r="434" ht="242.25" customHeight="1">
      <c r="A434" s="32" t="b">
        <v>0</v>
      </c>
      <c r="B434" s="32" t="str">
        <f>IMAGE("https://gymvisual.com/167-catalog_default/barbell-hack-squat.jpg",4,500,500)</f>
        <v/>
      </c>
      <c r="C434" s="30">
        <v>433.0</v>
      </c>
      <c r="D434" s="16" t="s">
        <v>175</v>
      </c>
      <c r="E434" s="16" t="s">
        <v>184</v>
      </c>
      <c r="F434" s="16" t="s">
        <v>185</v>
      </c>
      <c r="G434" s="16" t="s">
        <v>186</v>
      </c>
      <c r="H434" s="16" t="s">
        <v>189</v>
      </c>
      <c r="I434" s="16" t="s">
        <v>190</v>
      </c>
    </row>
    <row r="435" ht="242.25" customHeight="1">
      <c r="A435" s="32" t="b">
        <v>0</v>
      </c>
      <c r="B435" s="32" t="str">
        <f>IMAGE("https://gymvisual.com/11444-catalog_default/barbell-hack-squat-female.jpg",4,500,500)</f>
        <v/>
      </c>
      <c r="C435" s="30">
        <v>434.0</v>
      </c>
      <c r="D435" s="16" t="s">
        <v>860</v>
      </c>
      <c r="E435" s="16" t="s">
        <v>184</v>
      </c>
      <c r="F435" s="16" t="s">
        <v>294</v>
      </c>
      <c r="G435" s="16" t="s">
        <v>186</v>
      </c>
      <c r="H435" s="16" t="s">
        <v>220</v>
      </c>
      <c r="I435" s="16" t="s">
        <v>220</v>
      </c>
    </row>
    <row r="436" ht="242.25" customHeight="1">
      <c r="A436" s="32" t="b">
        <v>0</v>
      </c>
      <c r="B436" s="32" t="str">
        <f>IMAGE("https://gymvisual.com/6768-catalog_default/barbell-hang-clean.jpg",4,500,500)</f>
        <v/>
      </c>
      <c r="C436" s="30">
        <v>435.0</v>
      </c>
      <c r="D436" s="16" t="s">
        <v>861</v>
      </c>
      <c r="E436" s="16" t="s">
        <v>184</v>
      </c>
      <c r="F436" s="16" t="s">
        <v>764</v>
      </c>
      <c r="G436" s="16" t="s">
        <v>186</v>
      </c>
      <c r="H436" s="16" t="s">
        <v>220</v>
      </c>
      <c r="I436" s="16" t="s">
        <v>220</v>
      </c>
    </row>
    <row r="437" ht="242.25" customHeight="1">
      <c r="A437" s="32" t="b">
        <v>0</v>
      </c>
      <c r="B437" s="32" t="str">
        <f>IMAGE("https://gymvisual.com/20430-catalog_default/barbell-hang-clean-below-the-knees.jpg",4,500,500)</f>
        <v/>
      </c>
      <c r="C437" s="30">
        <v>436.0</v>
      </c>
      <c r="D437" s="16" t="s">
        <v>862</v>
      </c>
      <c r="E437" s="16" t="s">
        <v>184</v>
      </c>
      <c r="F437" s="16" t="s">
        <v>764</v>
      </c>
      <c r="G437" s="16" t="s">
        <v>186</v>
      </c>
      <c r="H437" s="16" t="s">
        <v>220</v>
      </c>
      <c r="I437" s="16" t="s">
        <v>220</v>
      </c>
    </row>
    <row r="438" ht="242.25" customHeight="1">
      <c r="A438" s="32" t="b">
        <v>0</v>
      </c>
      <c r="B438" s="32" t="str">
        <f>IMAGE("https://gymvisual.com/12828-catalog_default/barbell-hang-clean-below-the-knees-version-2.jpg",4,500,500)</f>
        <v/>
      </c>
      <c r="C438" s="30">
        <v>437.0</v>
      </c>
      <c r="D438" s="16" t="s">
        <v>863</v>
      </c>
      <c r="E438" s="16" t="s">
        <v>184</v>
      </c>
      <c r="F438" s="16" t="s">
        <v>764</v>
      </c>
      <c r="G438" s="16" t="s">
        <v>186</v>
      </c>
      <c r="H438" s="16" t="s">
        <v>220</v>
      </c>
      <c r="I438" s="16" t="s">
        <v>220</v>
      </c>
    </row>
    <row r="439" ht="242.25" customHeight="1">
      <c r="A439" s="32" t="b">
        <v>0</v>
      </c>
      <c r="B439" s="32" t="str">
        <f>IMAGE("https://gymvisual.com/25136-catalog_default/barbell-hang-power-clean.jpg",4,500,500)</f>
        <v/>
      </c>
      <c r="C439" s="30">
        <v>438.0</v>
      </c>
      <c r="D439" s="16" t="s">
        <v>864</v>
      </c>
      <c r="E439" s="16" t="s">
        <v>184</v>
      </c>
      <c r="F439" s="16" t="s">
        <v>764</v>
      </c>
      <c r="G439" s="16" t="s">
        <v>186</v>
      </c>
      <c r="H439" s="16" t="s">
        <v>220</v>
      </c>
      <c r="I439" s="16" t="s">
        <v>220</v>
      </c>
    </row>
    <row r="440" ht="242.25" customHeight="1">
      <c r="A440" s="32" t="b">
        <v>0</v>
      </c>
      <c r="B440" s="32" t="str">
        <f>IMAGE("https://gymvisual.com/6770-catalog_default/barbell-hang-snatch.jpg",4,500,500)</f>
        <v/>
      </c>
      <c r="C440" s="30">
        <v>439.0</v>
      </c>
      <c r="D440" s="16" t="s">
        <v>865</v>
      </c>
      <c r="E440" s="16" t="s">
        <v>184</v>
      </c>
      <c r="F440" s="16" t="s">
        <v>764</v>
      </c>
      <c r="G440" s="16" t="s">
        <v>186</v>
      </c>
      <c r="H440" s="16" t="s">
        <v>866</v>
      </c>
      <c r="I440" s="16" t="s">
        <v>220</v>
      </c>
    </row>
    <row r="441" ht="242.25" customHeight="1">
      <c r="A441" s="32" t="b">
        <v>0</v>
      </c>
      <c r="B441" s="32" t="str">
        <f>IMAGE("https://gymvisual.com/20652-catalog_default/barbell-hang-snatch-below-the-knees.jpg",4,500,500)</f>
        <v/>
      </c>
      <c r="C441" s="30">
        <v>440.0</v>
      </c>
      <c r="D441" s="16" t="s">
        <v>867</v>
      </c>
      <c r="E441" s="16" t="s">
        <v>184</v>
      </c>
      <c r="F441" s="16" t="s">
        <v>764</v>
      </c>
      <c r="G441" s="16" t="s">
        <v>186</v>
      </c>
      <c r="H441" s="16" t="s">
        <v>220</v>
      </c>
      <c r="I441" s="16" t="s">
        <v>220</v>
      </c>
    </row>
    <row r="442" ht="242.25" customHeight="1">
      <c r="A442" s="32" t="b">
        <v>0</v>
      </c>
      <c r="B442" s="32" t="str">
        <f>IMAGE("https://gymvisual.com/6772-catalog_default/barbell-heaving-snatch-balance.jpg",4,500,500)</f>
        <v/>
      </c>
      <c r="C442" s="30">
        <v>441.0</v>
      </c>
      <c r="D442" s="16" t="s">
        <v>868</v>
      </c>
      <c r="E442" s="16" t="s">
        <v>184</v>
      </c>
      <c r="F442" s="16" t="s">
        <v>764</v>
      </c>
      <c r="G442" s="16" t="s">
        <v>186</v>
      </c>
      <c r="H442" s="16" t="s">
        <v>220</v>
      </c>
      <c r="I442" s="16" t="s">
        <v>220</v>
      </c>
    </row>
    <row r="443" ht="242.25" customHeight="1">
      <c r="A443" s="32" t="b">
        <v>0</v>
      </c>
      <c r="B443" s="32" t="str">
        <f>IMAGE("https://gymvisual.com/6448-catalog_default/barbell-high-bar-squat.jpg",4,500,500)</f>
        <v/>
      </c>
      <c r="C443" s="30">
        <v>442.0</v>
      </c>
      <c r="D443" s="16" t="s">
        <v>869</v>
      </c>
      <c r="E443" s="16" t="s">
        <v>184</v>
      </c>
      <c r="F443" s="16" t="s">
        <v>285</v>
      </c>
      <c r="G443" s="16" t="s">
        <v>186</v>
      </c>
      <c r="H443" s="16" t="s">
        <v>189</v>
      </c>
      <c r="I443" s="16" t="s">
        <v>190</v>
      </c>
    </row>
    <row r="444" ht="242.25" customHeight="1">
      <c r="A444" s="32" t="b">
        <v>0</v>
      </c>
      <c r="B444" s="32" t="str">
        <f>IMAGE("https://gymvisual.com/4073-catalog_default/barbell-hip-thrust.jpg",4,500,500)</f>
        <v/>
      </c>
      <c r="C444" s="30">
        <v>443.0</v>
      </c>
      <c r="D444" s="16" t="s">
        <v>870</v>
      </c>
      <c r="E444" s="16" t="s">
        <v>184</v>
      </c>
      <c r="F444" s="16" t="s">
        <v>185</v>
      </c>
      <c r="G444" s="16" t="s">
        <v>186</v>
      </c>
      <c r="H444" s="16" t="s">
        <v>187</v>
      </c>
      <c r="I444" s="16" t="s">
        <v>854</v>
      </c>
    </row>
    <row r="445" ht="242.25" customHeight="1">
      <c r="A445" s="32" t="b">
        <v>0</v>
      </c>
      <c r="B445" s="32" t="str">
        <f>IMAGE("https://gymvisual.com/9562-catalog_default/barbell-hip-thrust-female.jpg",4,500,500)</f>
        <v/>
      </c>
      <c r="C445" s="30">
        <v>444.0</v>
      </c>
      <c r="D445" s="16" t="s">
        <v>871</v>
      </c>
      <c r="E445" s="16" t="s">
        <v>184</v>
      </c>
      <c r="F445" s="16" t="s">
        <v>185</v>
      </c>
      <c r="G445" s="16" t="s">
        <v>186</v>
      </c>
      <c r="H445" s="16" t="s">
        <v>187</v>
      </c>
      <c r="I445" s="16" t="s">
        <v>188</v>
      </c>
    </row>
    <row r="446" ht="242.25" customHeight="1">
      <c r="B446" s="32" t="str">
        <f>IMAGE("https://gymvisual.com/17745-catalog_default/barbell-hip-thrust-with-resistance-band.jpg",4,500,500)</f>
        <v/>
      </c>
      <c r="C446" s="30">
        <v>445.0</v>
      </c>
      <c r="D446" s="16" t="s">
        <v>872</v>
      </c>
      <c r="E446" s="16" t="s">
        <v>184</v>
      </c>
      <c r="F446" s="16" t="s">
        <v>185</v>
      </c>
      <c r="G446" s="16" t="s">
        <v>186</v>
      </c>
      <c r="H446" s="16" t="s">
        <v>220</v>
      </c>
      <c r="I446" s="16" t="s">
        <v>220</v>
      </c>
    </row>
    <row r="447" ht="242.25" customHeight="1">
      <c r="A447" s="32" t="b">
        <v>0</v>
      </c>
      <c r="B447" s="32" t="str">
        <f>IMAGE("https://gymvisual.com/19313-catalog_default/barbell-incline-bench-press.jpg",4,500,500)</f>
        <v/>
      </c>
      <c r="C447" s="30">
        <v>446.0</v>
      </c>
      <c r="D447" s="16" t="s">
        <v>873</v>
      </c>
      <c r="E447" s="16" t="s">
        <v>184</v>
      </c>
      <c r="F447" s="16" t="s">
        <v>234</v>
      </c>
      <c r="G447" s="16" t="s">
        <v>186</v>
      </c>
      <c r="H447" s="16" t="s">
        <v>415</v>
      </c>
      <c r="I447" s="16" t="s">
        <v>243</v>
      </c>
    </row>
    <row r="448" ht="242.25" customHeight="1">
      <c r="A448" s="32" t="b">
        <v>0</v>
      </c>
      <c r="B448" s="32" t="str">
        <f>IMAGE("https://gymvisual.com/10366-catalog_default/barbell-incline-bench-press-female.jpg",4,500,500)</f>
        <v/>
      </c>
      <c r="C448" s="30">
        <v>447.0</v>
      </c>
      <c r="D448" s="16" t="s">
        <v>874</v>
      </c>
      <c r="E448" s="16" t="s">
        <v>184</v>
      </c>
      <c r="F448" s="16" t="s">
        <v>234</v>
      </c>
      <c r="G448" s="16" t="s">
        <v>186</v>
      </c>
      <c r="H448" s="16" t="s">
        <v>415</v>
      </c>
      <c r="I448" s="16" t="s">
        <v>243</v>
      </c>
    </row>
    <row r="449" ht="242.25" customHeight="1">
      <c r="A449" s="32" t="b">
        <v>0</v>
      </c>
      <c r="B449" s="32" t="str">
        <f>IMAGE("https://gymvisual.com/7438-catalog_default/barbell-incline-close-grip-bench-press.jpg",4,500,500)</f>
        <v/>
      </c>
      <c r="C449" s="30">
        <v>448.0</v>
      </c>
      <c r="D449" s="16" t="s">
        <v>875</v>
      </c>
      <c r="E449" s="16" t="s">
        <v>184</v>
      </c>
      <c r="F449" s="16" t="s">
        <v>219</v>
      </c>
      <c r="G449" s="16" t="s">
        <v>186</v>
      </c>
      <c r="H449" s="16" t="s">
        <v>223</v>
      </c>
      <c r="I449" s="16" t="s">
        <v>472</v>
      </c>
    </row>
    <row r="450" ht="242.25" customHeight="1">
      <c r="A450" s="32" t="b">
        <v>0</v>
      </c>
      <c r="B450" s="32" t="str">
        <f>IMAGE("https://gymvisual.com/11128-catalog_default/barbell-incline-close-grip-bench-press-female.jpg",4,500,500)</f>
        <v/>
      </c>
      <c r="C450" s="30">
        <v>449.0</v>
      </c>
      <c r="D450" s="16" t="s">
        <v>876</v>
      </c>
      <c r="E450" s="16" t="s">
        <v>184</v>
      </c>
      <c r="F450" s="16" t="s">
        <v>234</v>
      </c>
      <c r="G450" s="16" t="s">
        <v>186</v>
      </c>
      <c r="H450" s="16" t="s">
        <v>220</v>
      </c>
      <c r="I450" s="16" t="s">
        <v>220</v>
      </c>
    </row>
    <row r="451" ht="242.25" customHeight="1">
      <c r="A451" s="32" t="b">
        <v>0</v>
      </c>
      <c r="B451" s="32" t="str">
        <f>IMAGE("https://gymvisual.com/16376-catalog_default/barbell-incline-lying-rear-delt-raise.jpg",4,500,500)</f>
        <v/>
      </c>
      <c r="C451" s="30">
        <v>450.0</v>
      </c>
      <c r="D451" s="16" t="s">
        <v>877</v>
      </c>
      <c r="E451" s="16" t="s">
        <v>184</v>
      </c>
      <c r="F451" s="16" t="s">
        <v>228</v>
      </c>
      <c r="G451" s="16" t="s">
        <v>186</v>
      </c>
      <c r="H451" s="16" t="s">
        <v>229</v>
      </c>
      <c r="I451" s="16" t="s">
        <v>878</v>
      </c>
    </row>
    <row r="452" ht="242.25" customHeight="1">
      <c r="A452" s="32" t="b">
        <v>0</v>
      </c>
      <c r="B452" s="32" t="str">
        <f>IMAGE("https://gymvisual.com/26080-catalog_default/barbell-incline-rear-delt-row.jpg",4,500,500)</f>
        <v/>
      </c>
      <c r="C452" s="30">
        <v>451.0</v>
      </c>
      <c r="D452" s="16" t="s">
        <v>879</v>
      </c>
      <c r="E452" s="16" t="s">
        <v>184</v>
      </c>
      <c r="F452" s="16" t="s">
        <v>192</v>
      </c>
      <c r="G452" s="16" t="s">
        <v>186</v>
      </c>
      <c r="H452" s="16" t="s">
        <v>220</v>
      </c>
      <c r="I452" s="16" t="s">
        <v>220</v>
      </c>
    </row>
    <row r="453" ht="242.25" customHeight="1">
      <c r="A453" s="32" t="b">
        <v>0</v>
      </c>
      <c r="B453" s="32" t="str">
        <f>IMAGE("https://gymvisual.com/17399-catalog_default/barbell-incline-reverse-grip-spider-curl-with-chest-support.jpg",4,500,500)</f>
        <v/>
      </c>
      <c r="C453" s="30">
        <v>452.0</v>
      </c>
      <c r="D453" s="16" t="s">
        <v>880</v>
      </c>
      <c r="E453" s="16" t="s">
        <v>184</v>
      </c>
      <c r="F453" s="16" t="s">
        <v>214</v>
      </c>
      <c r="G453" s="16" t="s">
        <v>186</v>
      </c>
      <c r="H453" s="16" t="s">
        <v>216</v>
      </c>
      <c r="I453" s="16" t="s">
        <v>217</v>
      </c>
    </row>
    <row r="454" ht="242.25" customHeight="1">
      <c r="A454" s="32" t="b">
        <v>0</v>
      </c>
      <c r="B454" s="32" t="str">
        <f>IMAGE("https://gymvisual.com/173-catalog_default/barbell-incline-reverse-grip-press.jpg",4,500,500)</f>
        <v/>
      </c>
      <c r="C454" s="30">
        <v>453.0</v>
      </c>
      <c r="D454" s="16" t="s">
        <v>881</v>
      </c>
      <c r="E454" s="16" t="s">
        <v>184</v>
      </c>
      <c r="F454" s="16" t="s">
        <v>219</v>
      </c>
      <c r="G454" s="16" t="s">
        <v>186</v>
      </c>
      <c r="H454" s="16" t="s">
        <v>223</v>
      </c>
      <c r="I454" s="16" t="s">
        <v>882</v>
      </c>
    </row>
    <row r="455" ht="242.25" customHeight="1">
      <c r="A455" s="32" t="b">
        <v>0</v>
      </c>
      <c r="B455" s="32" t="str">
        <f>IMAGE("https://gymvisual.com/23495-catalog_default/barbell-incline-row.jpg",4,500,500)</f>
        <v/>
      </c>
      <c r="C455" s="30">
        <v>454.0</v>
      </c>
      <c r="D455" s="16" t="s">
        <v>191</v>
      </c>
      <c r="E455" s="16" t="s">
        <v>184</v>
      </c>
      <c r="F455" s="16" t="s">
        <v>192</v>
      </c>
      <c r="G455" s="16" t="s">
        <v>186</v>
      </c>
      <c r="H455" s="16" t="s">
        <v>193</v>
      </c>
      <c r="I455" s="16" t="s">
        <v>194</v>
      </c>
    </row>
    <row r="456" ht="242.25" customHeight="1">
      <c r="A456" s="32" t="b">
        <v>0</v>
      </c>
      <c r="B456" s="32" t="str">
        <f>IMAGE("https://gymvisual.com/11080-catalog_default/barbell-incline-row-female.jpg",4,500,500)</f>
        <v/>
      </c>
      <c r="C456" s="30">
        <v>455.0</v>
      </c>
      <c r="D456" s="16" t="s">
        <v>883</v>
      </c>
      <c r="E456" s="16" t="s">
        <v>184</v>
      </c>
      <c r="F456" s="16" t="s">
        <v>192</v>
      </c>
      <c r="G456" s="16" t="s">
        <v>186</v>
      </c>
      <c r="H456" s="16" t="s">
        <v>220</v>
      </c>
      <c r="I456" s="16" t="s">
        <v>220</v>
      </c>
    </row>
    <row r="457" ht="242.25" customHeight="1">
      <c r="A457" s="32" t="b">
        <v>0</v>
      </c>
      <c r="B457" s="32" t="str">
        <f>IMAGE("https://gymvisual.com/179-catalog_default/barbell-incline-shoulder-raise.jpg",4,500,500)</f>
        <v/>
      </c>
      <c r="C457" s="30">
        <v>456.0</v>
      </c>
      <c r="D457" s="16" t="s">
        <v>884</v>
      </c>
      <c r="E457" s="16" t="s">
        <v>184</v>
      </c>
      <c r="F457" s="16" t="s">
        <v>234</v>
      </c>
      <c r="G457" s="16" t="s">
        <v>186</v>
      </c>
      <c r="H457" s="16" t="s">
        <v>885</v>
      </c>
      <c r="I457" s="16" t="s">
        <v>415</v>
      </c>
    </row>
    <row r="458" ht="242.25" customHeight="1">
      <c r="A458" s="32" t="b">
        <v>0</v>
      </c>
      <c r="B458" s="32" t="str">
        <f>IMAGE("https://gymvisual.com/18760-catalog_default/barbell-incline-triceps-extension-skull-crusher.jpg",4,500,500)</f>
        <v/>
      </c>
      <c r="C458" s="30">
        <v>457.0</v>
      </c>
      <c r="D458" s="16" t="s">
        <v>886</v>
      </c>
      <c r="E458" s="16" t="s">
        <v>184</v>
      </c>
      <c r="F458" s="16" t="s">
        <v>219</v>
      </c>
      <c r="G458" s="16" t="s">
        <v>186</v>
      </c>
      <c r="H458" s="16" t="s">
        <v>223</v>
      </c>
      <c r="I458" s="16" t="s">
        <v>220</v>
      </c>
    </row>
    <row r="459" ht="242.25" customHeight="1">
      <c r="A459" s="32" t="b">
        <v>0</v>
      </c>
      <c r="B459" s="32" t="str">
        <f>IMAGE("https://gymvisual.com/4419-catalog_default/barbell-incline-wide-reverse-grip-bench-press.jpg",4,500,500)</f>
        <v/>
      </c>
      <c r="C459" s="30">
        <v>458.0</v>
      </c>
      <c r="D459" s="16" t="s">
        <v>887</v>
      </c>
      <c r="E459" s="16" t="s">
        <v>184</v>
      </c>
      <c r="F459" s="16" t="s">
        <v>234</v>
      </c>
      <c r="G459" s="16" t="s">
        <v>186</v>
      </c>
      <c r="H459" s="16" t="s">
        <v>415</v>
      </c>
      <c r="I459" s="16" t="s">
        <v>888</v>
      </c>
    </row>
    <row r="460" ht="242.25" customHeight="1">
      <c r="A460" s="32" t="b">
        <v>0</v>
      </c>
      <c r="B460" s="32" t="str">
        <f>IMAGE("https://gymvisual.com/17397-catalog_default/barbell-incline-wrist-curl-with-chest-support.jpg",4,500,500)</f>
        <v/>
      </c>
      <c r="C460" s="30">
        <v>459.0</v>
      </c>
      <c r="D460" s="16" t="s">
        <v>889</v>
      </c>
      <c r="E460" s="16" t="s">
        <v>184</v>
      </c>
      <c r="F460" s="16" t="s">
        <v>214</v>
      </c>
      <c r="G460" s="16" t="s">
        <v>186</v>
      </c>
      <c r="H460" s="16" t="s">
        <v>720</v>
      </c>
      <c r="I460" s="16" t="s">
        <v>220</v>
      </c>
    </row>
    <row r="461" ht="242.25" customHeight="1">
      <c r="A461" s="32" t="b">
        <v>0</v>
      </c>
      <c r="B461" s="32" t="str">
        <f>IMAGE("https://gymvisual.com/25140-catalog_default/barbell-jefferson-deadlift.jpg",4,500,500)</f>
        <v/>
      </c>
      <c r="C461" s="30">
        <v>460.0</v>
      </c>
      <c r="D461" s="16" t="s">
        <v>890</v>
      </c>
      <c r="E461" s="16" t="s">
        <v>184</v>
      </c>
      <c r="F461" s="16" t="s">
        <v>185</v>
      </c>
      <c r="G461" s="16" t="s">
        <v>186</v>
      </c>
      <c r="H461" s="16" t="s">
        <v>891</v>
      </c>
      <c r="I461" s="16" t="s">
        <v>892</v>
      </c>
    </row>
    <row r="462" ht="242.25" customHeight="1">
      <c r="A462" s="32" t="b">
        <v>0</v>
      </c>
      <c r="B462" s="32" t="str">
        <f>IMAGE("https://gymvisual.com/14728-catalog_default/barbell-jefferson-squat.jpg",4,500,500)</f>
        <v/>
      </c>
      <c r="C462" s="30">
        <v>461.0</v>
      </c>
      <c r="D462" s="16" t="s">
        <v>893</v>
      </c>
      <c r="E462" s="16" t="s">
        <v>184</v>
      </c>
      <c r="F462" s="16" t="s">
        <v>285</v>
      </c>
      <c r="G462" s="16" t="s">
        <v>186</v>
      </c>
      <c r="H462" s="16" t="s">
        <v>189</v>
      </c>
      <c r="I462" s="16" t="s">
        <v>190</v>
      </c>
    </row>
    <row r="463" ht="242.25" customHeight="1">
      <c r="A463" s="32" t="b">
        <v>0</v>
      </c>
      <c r="B463" s="32" t="str">
        <f>IMAGE("https://gymvisual.com/6773-catalog_default/barbell-jerk-dip-squat.jpg",4,500,500)</f>
        <v/>
      </c>
      <c r="C463" s="30">
        <v>462.0</v>
      </c>
      <c r="D463" s="16" t="s">
        <v>894</v>
      </c>
      <c r="E463" s="16" t="s">
        <v>184</v>
      </c>
      <c r="F463" s="16" t="s">
        <v>285</v>
      </c>
      <c r="G463" s="16" t="s">
        <v>186</v>
      </c>
      <c r="H463" s="16" t="s">
        <v>220</v>
      </c>
      <c r="I463" s="16" t="s">
        <v>220</v>
      </c>
    </row>
    <row r="464" ht="242.25" customHeight="1">
      <c r="A464" s="32" t="b">
        <v>0</v>
      </c>
      <c r="B464" s="32" t="str">
        <f>IMAGE("https://gymvisual.com/25132-catalog_default/barbell-jm-bench-press.jpg",4,500,500)</f>
        <v/>
      </c>
      <c r="C464" s="30">
        <v>463.0</v>
      </c>
      <c r="D464" s="16" t="s">
        <v>895</v>
      </c>
      <c r="E464" s="16" t="s">
        <v>184</v>
      </c>
      <c r="F464" s="16" t="s">
        <v>219</v>
      </c>
      <c r="G464" s="16" t="s">
        <v>186</v>
      </c>
      <c r="H464" s="16" t="s">
        <v>223</v>
      </c>
      <c r="I464" s="16" t="s">
        <v>896</v>
      </c>
    </row>
    <row r="465" ht="242.25" customHeight="1">
      <c r="A465" s="32" t="b">
        <v>0</v>
      </c>
      <c r="B465" s="32" t="str">
        <f>IMAGE("https://gymvisual.com/13325-catalog_default/barbell-jm-bench-press-female.jpg",4,500,500)</f>
        <v/>
      </c>
      <c r="C465" s="30">
        <v>464.0</v>
      </c>
      <c r="D465" s="16" t="s">
        <v>897</v>
      </c>
      <c r="E465" s="16" t="s">
        <v>184</v>
      </c>
      <c r="F465" s="16" t="s">
        <v>219</v>
      </c>
      <c r="G465" s="16" t="s">
        <v>186</v>
      </c>
      <c r="H465" s="16" t="s">
        <v>220</v>
      </c>
      <c r="I465" s="16" t="s">
        <v>220</v>
      </c>
    </row>
    <row r="466" ht="242.25" customHeight="1">
      <c r="A466" s="32" t="b">
        <v>0</v>
      </c>
      <c r="B466" s="32" t="str">
        <f>IMAGE("https://gymvisual.com/23467-catalog_default/barbell-kas-glute-bridge-female.jpg",4,500,500)</f>
        <v/>
      </c>
      <c r="C466" s="30">
        <v>465.0</v>
      </c>
      <c r="D466" s="16" t="s">
        <v>898</v>
      </c>
      <c r="E466" s="16" t="s">
        <v>184</v>
      </c>
      <c r="F466" s="16" t="s">
        <v>185</v>
      </c>
      <c r="G466" s="16" t="s">
        <v>186</v>
      </c>
      <c r="H466" s="16" t="s">
        <v>187</v>
      </c>
      <c r="I466" s="16" t="s">
        <v>854</v>
      </c>
    </row>
    <row r="467" ht="242.25" customHeight="1">
      <c r="A467" s="32" t="b">
        <v>0</v>
      </c>
      <c r="B467" s="32" t="str">
        <f>IMAGE("https://gymvisual.com/19471-catalog_default/barbell-knee-raise-step-up.jpg",4,500,500)</f>
        <v/>
      </c>
      <c r="C467" s="30">
        <v>466.0</v>
      </c>
      <c r="D467" s="16" t="s">
        <v>899</v>
      </c>
      <c r="E467" s="16" t="s">
        <v>184</v>
      </c>
      <c r="F467" s="16" t="s">
        <v>285</v>
      </c>
      <c r="G467" s="16" t="s">
        <v>186</v>
      </c>
      <c r="H467" s="16" t="s">
        <v>220</v>
      </c>
      <c r="I467" s="16" t="s">
        <v>220</v>
      </c>
    </row>
    <row r="468" ht="242.25" customHeight="1">
      <c r="A468" s="32" t="b">
        <v>0</v>
      </c>
      <c r="B468" s="32" t="str">
        <f>IMAGE("https://gymvisual.com/6262-catalog_default/barbell-lateral-lunge.jpg",4,500,500)</f>
        <v/>
      </c>
      <c r="C468" s="30">
        <v>467.0</v>
      </c>
      <c r="D468" s="16" t="s">
        <v>900</v>
      </c>
      <c r="E468" s="16" t="s">
        <v>184</v>
      </c>
      <c r="F468" s="16" t="s">
        <v>185</v>
      </c>
      <c r="G468" s="16" t="s">
        <v>186</v>
      </c>
      <c r="H468" s="16" t="s">
        <v>189</v>
      </c>
      <c r="I468" s="16" t="s">
        <v>190</v>
      </c>
    </row>
    <row r="469" ht="242.25" customHeight="1">
      <c r="A469" s="32" t="b">
        <v>0</v>
      </c>
      <c r="B469" s="32" t="str">
        <f>IMAGE("https://gymvisual.com/9598-catalog_default/barbell-lateral-lunge-female.jpg",4,500,500)</f>
        <v/>
      </c>
      <c r="C469" s="30">
        <v>468.0</v>
      </c>
      <c r="D469" s="16" t="s">
        <v>901</v>
      </c>
      <c r="E469" s="16" t="s">
        <v>184</v>
      </c>
      <c r="F469" s="16" t="s">
        <v>294</v>
      </c>
      <c r="G469" s="16" t="s">
        <v>186</v>
      </c>
      <c r="H469" s="16" t="s">
        <v>189</v>
      </c>
      <c r="I469" s="16" t="s">
        <v>902</v>
      </c>
    </row>
    <row r="470" ht="242.25" customHeight="1">
      <c r="A470" s="32" t="b">
        <v>0</v>
      </c>
      <c r="B470" s="32" t="str">
        <f>IMAGE("https://gymvisual.com/11974-catalog_default/barbell-leg-twist-press.jpg",4,500,500)</f>
        <v/>
      </c>
      <c r="C470" s="30">
        <v>469.0</v>
      </c>
      <c r="D470" s="16" t="s">
        <v>903</v>
      </c>
      <c r="E470" s="16" t="s">
        <v>184</v>
      </c>
      <c r="F470" s="16" t="s">
        <v>254</v>
      </c>
      <c r="G470" s="16" t="s">
        <v>186</v>
      </c>
      <c r="H470" s="16" t="s">
        <v>220</v>
      </c>
      <c r="I470" s="16" t="s">
        <v>220</v>
      </c>
    </row>
    <row r="471" ht="242.25" customHeight="1">
      <c r="A471" s="32" t="b">
        <v>0</v>
      </c>
      <c r="B471" s="32" t="str">
        <f>IMAGE("https://gymvisual.com/6446-catalog_default/barbell-low-bar-squat.jpg",4,500,500)</f>
        <v/>
      </c>
      <c r="C471" s="30">
        <v>470.0</v>
      </c>
      <c r="D471" s="16" t="s">
        <v>904</v>
      </c>
      <c r="E471" s="16" t="s">
        <v>184</v>
      </c>
      <c r="F471" s="16" t="s">
        <v>285</v>
      </c>
      <c r="G471" s="16" t="s">
        <v>186</v>
      </c>
      <c r="H471" s="16" t="s">
        <v>189</v>
      </c>
      <c r="I471" s="16" t="s">
        <v>190</v>
      </c>
    </row>
    <row r="472" ht="242.25" customHeight="1">
      <c r="A472" s="32" t="b">
        <v>0</v>
      </c>
      <c r="B472" s="32" t="str">
        <f>IMAGE("https://gymvisual.com/7720-catalog_default/barbell-low-bar-squat-with-rack.jpg",4,500,500)</f>
        <v/>
      </c>
      <c r="C472" s="30">
        <v>471.0</v>
      </c>
      <c r="D472" s="16" t="s">
        <v>905</v>
      </c>
      <c r="E472" s="16" t="s">
        <v>184</v>
      </c>
      <c r="F472" s="16" t="s">
        <v>285</v>
      </c>
      <c r="G472" s="16" t="s">
        <v>186</v>
      </c>
      <c r="H472" s="16" t="s">
        <v>220</v>
      </c>
      <c r="I472" s="16" t="s">
        <v>220</v>
      </c>
    </row>
    <row r="473" ht="242.25" customHeight="1">
      <c r="A473" s="32" t="b">
        <v>0</v>
      </c>
      <c r="B473" s="32" t="str">
        <f>IMAGE("https://gymvisual.com/190-catalog_default/barbell-lunge.jpg",4,500,500)</f>
        <v/>
      </c>
      <c r="C473" s="30">
        <v>472.0</v>
      </c>
      <c r="D473" s="16" t="s">
        <v>906</v>
      </c>
      <c r="E473" s="16" t="s">
        <v>184</v>
      </c>
      <c r="F473" s="16" t="s">
        <v>285</v>
      </c>
      <c r="G473" s="16" t="s">
        <v>186</v>
      </c>
      <c r="H473" s="16" t="s">
        <v>189</v>
      </c>
      <c r="I473" s="16" t="s">
        <v>190</v>
      </c>
    </row>
    <row r="474" ht="242.25" customHeight="1">
      <c r="A474" s="32" t="b">
        <v>0</v>
      </c>
      <c r="B474" s="32" t="str">
        <f>IMAGE("https://gymvisual.com/11005-catalog_default/barbell-lunge-female.jpg",4,500,500)</f>
        <v/>
      </c>
      <c r="C474" s="30">
        <v>473.0</v>
      </c>
      <c r="D474" s="16" t="s">
        <v>907</v>
      </c>
      <c r="E474" s="16" t="s">
        <v>184</v>
      </c>
      <c r="F474" s="16" t="s">
        <v>294</v>
      </c>
      <c r="G474" s="16" t="s">
        <v>186</v>
      </c>
      <c r="H474" s="16" t="s">
        <v>189</v>
      </c>
      <c r="I474" s="16" t="s">
        <v>190</v>
      </c>
    </row>
    <row r="475" ht="242.25" customHeight="1">
      <c r="A475" s="32" t="b">
        <v>0</v>
      </c>
      <c r="B475" s="32" t="str">
        <f>IMAGE("https://gymvisual.com/7439-catalog_default/barbell-lying-back-of-the-head-tricep-extension.jpg",4,500,500)</f>
        <v/>
      </c>
      <c r="C475" s="30">
        <v>474.0</v>
      </c>
      <c r="D475" s="16" t="s">
        <v>218</v>
      </c>
      <c r="E475" s="16" t="s">
        <v>184</v>
      </c>
      <c r="F475" s="16" t="s">
        <v>219</v>
      </c>
      <c r="G475" s="16" t="s">
        <v>186</v>
      </c>
      <c r="H475" s="16" t="s">
        <v>220</v>
      </c>
      <c r="I475" s="16" t="s">
        <v>220</v>
      </c>
    </row>
    <row r="476" ht="242.25" customHeight="1">
      <c r="A476" s="32" t="b">
        <v>0</v>
      </c>
      <c r="B476" s="32" t="str">
        <f>IMAGE("https://gymvisual.com/11369-catalog_default/barbell-lying-close-grip-triceps-extension-female.jpg",4,500,500)</f>
        <v/>
      </c>
      <c r="C476" s="30">
        <v>475.0</v>
      </c>
      <c r="D476" s="16" t="s">
        <v>908</v>
      </c>
      <c r="E476" s="16" t="s">
        <v>184</v>
      </c>
      <c r="F476" s="16" t="s">
        <v>219</v>
      </c>
      <c r="G476" s="16" t="s">
        <v>186</v>
      </c>
      <c r="H476" s="16" t="s">
        <v>220</v>
      </c>
      <c r="I476" s="16" t="s">
        <v>220</v>
      </c>
    </row>
    <row r="477" ht="242.25" customHeight="1">
      <c r="A477" s="32" t="b">
        <v>0</v>
      </c>
      <c r="B477" s="32" t="str">
        <f>IMAGE("https://gymvisual.com/18971-catalog_default/barbell-lying-close-grip-overhand-row-on-rack.jpg",4,500,500)</f>
        <v/>
      </c>
      <c r="C477" s="30">
        <v>476.0</v>
      </c>
      <c r="D477" s="16" t="s">
        <v>909</v>
      </c>
      <c r="E477" s="16" t="s">
        <v>184</v>
      </c>
      <c r="F477" s="16" t="s">
        <v>192</v>
      </c>
      <c r="G477" s="16" t="s">
        <v>186</v>
      </c>
      <c r="H477" s="16" t="s">
        <v>329</v>
      </c>
      <c r="I477" s="16" t="s">
        <v>447</v>
      </c>
    </row>
    <row r="478" ht="242.25" customHeight="1">
      <c r="A478" s="32" t="b">
        <v>0</v>
      </c>
      <c r="B478" s="32" t="str">
        <f>IMAGE("https://gymvisual.com/193-catalog_default/barbell-lying-close-grip-press.jpg",4,500,500)</f>
        <v/>
      </c>
      <c r="C478" s="30">
        <v>477.0</v>
      </c>
      <c r="D478" s="16" t="s">
        <v>910</v>
      </c>
      <c r="E478" s="16" t="s">
        <v>184</v>
      </c>
      <c r="F478" s="16" t="s">
        <v>219</v>
      </c>
      <c r="G478" s="16" t="s">
        <v>186</v>
      </c>
      <c r="H478" s="16" t="s">
        <v>223</v>
      </c>
      <c r="I478" s="16" t="s">
        <v>896</v>
      </c>
    </row>
    <row r="479" ht="242.25" customHeight="1">
      <c r="A479" s="32" t="b">
        <v>0</v>
      </c>
      <c r="B479" s="32" t="str">
        <f>IMAGE("https://gymvisual.com/196-catalog_default/barbell-lying-close-grip-triceps-extension.jpg",4,500,500)</f>
        <v/>
      </c>
      <c r="C479" s="30">
        <v>478.0</v>
      </c>
      <c r="D479" s="16" t="s">
        <v>911</v>
      </c>
      <c r="E479" s="16" t="s">
        <v>184</v>
      </c>
      <c r="F479" s="16" t="s">
        <v>219</v>
      </c>
      <c r="G479" s="16" t="s">
        <v>186</v>
      </c>
      <c r="H479" s="16" t="s">
        <v>223</v>
      </c>
      <c r="I479" s="16" t="s">
        <v>220</v>
      </c>
    </row>
    <row r="480" ht="242.25" customHeight="1">
      <c r="A480" s="32" t="b">
        <v>0</v>
      </c>
      <c r="B480" s="32" t="str">
        <f>IMAGE("https://gymvisual.com/18969-catalog_default/barbell-lying-close-grip-underhand-row-on-rack.jpg",4,500,500)</f>
        <v/>
      </c>
      <c r="C480" s="30">
        <v>479.0</v>
      </c>
      <c r="D480" s="16" t="s">
        <v>912</v>
      </c>
      <c r="E480" s="16" t="s">
        <v>184</v>
      </c>
      <c r="F480" s="16" t="s">
        <v>192</v>
      </c>
      <c r="G480" s="16" t="s">
        <v>186</v>
      </c>
      <c r="H480" s="16" t="s">
        <v>329</v>
      </c>
      <c r="I480" s="16" t="s">
        <v>357</v>
      </c>
    </row>
    <row r="481" ht="242.25" customHeight="1">
      <c r="A481" s="32" t="b">
        <v>0</v>
      </c>
      <c r="B481" s="32" t="str">
        <f>IMAGE("https://gymvisual.com/2940-catalog_default/barbell-lying-extension.jpg",4,500,500)</f>
        <v/>
      </c>
      <c r="C481" s="30">
        <v>480.0</v>
      </c>
      <c r="D481" s="16" t="s">
        <v>913</v>
      </c>
      <c r="E481" s="16" t="s">
        <v>184</v>
      </c>
      <c r="F481" s="16" t="s">
        <v>219</v>
      </c>
      <c r="G481" s="16" t="s">
        <v>186</v>
      </c>
      <c r="H481" s="16" t="s">
        <v>223</v>
      </c>
      <c r="I481" s="16" t="s">
        <v>220</v>
      </c>
    </row>
    <row r="482" ht="242.25" customHeight="1">
      <c r="A482" s="32" t="b">
        <v>0</v>
      </c>
      <c r="B482" s="32" t="str">
        <f>IMAGE("https://gymvisual.com/202-catalog_default/barbell-lying-lifting-on-hip.jpg",4,500,500)</f>
        <v/>
      </c>
      <c r="C482" s="30">
        <v>481.0</v>
      </c>
      <c r="D482" s="16" t="s">
        <v>914</v>
      </c>
      <c r="E482" s="16" t="s">
        <v>184</v>
      </c>
      <c r="F482" s="16" t="s">
        <v>185</v>
      </c>
      <c r="G482" s="16" t="s">
        <v>186</v>
      </c>
      <c r="H482" s="16" t="s">
        <v>187</v>
      </c>
      <c r="I482" s="16" t="s">
        <v>665</v>
      </c>
    </row>
    <row r="483" ht="242.25" customHeight="1">
      <c r="A483" s="32" t="b">
        <v>0</v>
      </c>
      <c r="B483" s="32" t="str">
        <f>IMAGE("https://gymvisual.com/205-catalog_default/barbell-lying-preacher-curl.jpg",4,500,500)</f>
        <v/>
      </c>
      <c r="C483" s="30">
        <v>482.0</v>
      </c>
      <c r="D483" s="16" t="s">
        <v>915</v>
      </c>
      <c r="E483" s="16" t="s">
        <v>184</v>
      </c>
      <c r="F483" s="16" t="s">
        <v>219</v>
      </c>
      <c r="G483" s="16" t="s">
        <v>186</v>
      </c>
      <c r="H483" s="16" t="s">
        <v>232</v>
      </c>
      <c r="I483" s="16" t="s">
        <v>233</v>
      </c>
    </row>
    <row r="484" ht="242.25" customHeight="1">
      <c r="A484" s="32" t="b">
        <v>0</v>
      </c>
      <c r="B484" s="32" t="str">
        <f>IMAGE("https://gymvisual.com/14420-catalog_default/barbell-lying-row-on-rack.jpg",4,500,500)</f>
        <v/>
      </c>
      <c r="C484" s="30">
        <v>483.0</v>
      </c>
      <c r="D484" s="16" t="s">
        <v>916</v>
      </c>
      <c r="E484" s="16" t="s">
        <v>184</v>
      </c>
      <c r="F484" s="16" t="s">
        <v>192</v>
      </c>
      <c r="G484" s="16" t="s">
        <v>186</v>
      </c>
      <c r="H484" s="16" t="s">
        <v>329</v>
      </c>
      <c r="I484" s="16" t="s">
        <v>447</v>
      </c>
    </row>
    <row r="485" ht="242.25" customHeight="1">
      <c r="A485" s="32" t="b">
        <v>0</v>
      </c>
      <c r="B485" s="32" t="str">
        <f>IMAGE("https://gymvisual.com/211-catalog_default/barbell-lying-triceps-extension.jpg",4,500,500)</f>
        <v/>
      </c>
      <c r="C485" s="30">
        <v>484.0</v>
      </c>
      <c r="D485" s="16" t="s">
        <v>917</v>
      </c>
      <c r="E485" s="16" t="s">
        <v>184</v>
      </c>
      <c r="F485" s="16" t="s">
        <v>219</v>
      </c>
      <c r="G485" s="16" t="s">
        <v>186</v>
      </c>
      <c r="H485" s="16" t="s">
        <v>223</v>
      </c>
      <c r="I485" s="16" t="s">
        <v>220</v>
      </c>
    </row>
    <row r="486" ht="242.25" customHeight="1">
      <c r="A486" s="32" t="b">
        <v>0</v>
      </c>
      <c r="B486" s="32" t="str">
        <f>IMAGE("https://gymvisual.com/11573-catalog_default/barbell-lying-triceps-extension-female.jpg",4,500,500)</f>
        <v/>
      </c>
      <c r="C486" s="30">
        <v>485.0</v>
      </c>
      <c r="D486" s="16" t="s">
        <v>918</v>
      </c>
      <c r="E486" s="16" t="s">
        <v>184</v>
      </c>
      <c r="F486" s="16" t="s">
        <v>219</v>
      </c>
      <c r="G486" s="16" t="s">
        <v>186</v>
      </c>
      <c r="H486" s="16" t="s">
        <v>223</v>
      </c>
      <c r="I486" s="16" t="s">
        <v>220</v>
      </c>
    </row>
    <row r="487" ht="242.25" customHeight="1">
      <c r="A487" s="32" t="b">
        <v>0</v>
      </c>
      <c r="B487" s="32" t="str">
        <f>IMAGE("https://gymvisual.com/18241-catalog_default/barbell-lying-triceps-extension-skull-crusher.jpg",4,500,500)</f>
        <v/>
      </c>
      <c r="C487" s="30">
        <v>486.0</v>
      </c>
      <c r="D487" s="16" t="s">
        <v>919</v>
      </c>
      <c r="E487" s="16" t="s">
        <v>184</v>
      </c>
      <c r="F487" s="16" t="s">
        <v>219</v>
      </c>
      <c r="G487" s="16" t="s">
        <v>186</v>
      </c>
      <c r="H487" s="16" t="s">
        <v>223</v>
      </c>
      <c r="I487" s="16" t="s">
        <v>472</v>
      </c>
    </row>
    <row r="488" ht="242.25" customHeight="1">
      <c r="B488" s="32" t="str">
        <f>IMAGE("https://gymvisual.com/12834-catalog_default/barbell-military-press-with-hanging-band-technique.jpg",4,500,500)</f>
        <v/>
      </c>
      <c r="C488" s="30">
        <v>487.0</v>
      </c>
      <c r="D488" s="16" t="s">
        <v>920</v>
      </c>
      <c r="E488" s="16" t="s">
        <v>184</v>
      </c>
      <c r="F488" s="16" t="s">
        <v>228</v>
      </c>
      <c r="G488" s="16" t="s">
        <v>186</v>
      </c>
      <c r="H488" s="16" t="s">
        <v>229</v>
      </c>
      <c r="I488" s="16" t="s">
        <v>626</v>
      </c>
    </row>
    <row r="489" ht="242.25" customHeight="1">
      <c r="A489" s="32" t="b">
        <v>0</v>
      </c>
      <c r="B489" s="32" t="str">
        <f>IMAGE("https://gymvisual.com/20432-catalog_default/barbell-muscle-snatch.jpg",4,500,500)</f>
        <v/>
      </c>
      <c r="C489" s="30">
        <v>488.0</v>
      </c>
      <c r="D489" s="16" t="s">
        <v>921</v>
      </c>
      <c r="E489" s="16" t="s">
        <v>184</v>
      </c>
      <c r="F489" s="16" t="s">
        <v>764</v>
      </c>
      <c r="G489" s="16" t="s">
        <v>186</v>
      </c>
      <c r="H489" s="16" t="s">
        <v>220</v>
      </c>
      <c r="I489" s="16" t="s">
        <v>220</v>
      </c>
    </row>
    <row r="490" ht="242.25" customHeight="1">
      <c r="A490" s="32" t="b">
        <v>0</v>
      </c>
      <c r="B490" s="32" t="str">
        <f>IMAGE("https://gymvisual.com/214-catalog_default/barbell-narrow-row.jpg",4,500,500)</f>
        <v/>
      </c>
      <c r="C490" s="30">
        <v>489.0</v>
      </c>
      <c r="D490" s="16" t="s">
        <v>922</v>
      </c>
      <c r="E490" s="16" t="s">
        <v>184</v>
      </c>
      <c r="F490" s="16" t="s">
        <v>192</v>
      </c>
      <c r="G490" s="16" t="s">
        <v>186</v>
      </c>
      <c r="H490" s="16" t="s">
        <v>570</v>
      </c>
      <c r="I490" s="16" t="s">
        <v>447</v>
      </c>
    </row>
    <row r="491" ht="242.25" customHeight="1">
      <c r="A491" s="32" t="b">
        <v>0</v>
      </c>
      <c r="B491" s="32" t="str">
        <f>IMAGE("https://gymvisual.com/217-catalog_default/barbell-narrow-stance-squat.jpg",4,500,500)</f>
        <v/>
      </c>
      <c r="C491" s="30">
        <v>490.0</v>
      </c>
      <c r="D491" s="16" t="s">
        <v>923</v>
      </c>
      <c r="E491" s="16" t="s">
        <v>184</v>
      </c>
      <c r="F491" s="16" t="s">
        <v>285</v>
      </c>
      <c r="G491" s="16" t="s">
        <v>186</v>
      </c>
      <c r="H491" s="16" t="s">
        <v>189</v>
      </c>
      <c r="I491" s="16" t="s">
        <v>190</v>
      </c>
    </row>
    <row r="492" ht="242.25" customHeight="1">
      <c r="A492" s="32" t="b">
        <v>0</v>
      </c>
      <c r="B492" s="32" t="str">
        <f>IMAGE("https://gymvisual.com/10367-catalog_default/barbell-narrow-stance-squat-female.jpg",4,500,500)</f>
        <v/>
      </c>
      <c r="C492" s="30">
        <v>491.0</v>
      </c>
      <c r="D492" s="16" t="s">
        <v>924</v>
      </c>
      <c r="E492" s="16" t="s">
        <v>184</v>
      </c>
      <c r="F492" s="16" t="s">
        <v>285</v>
      </c>
      <c r="G492" s="16" t="s">
        <v>186</v>
      </c>
      <c r="H492" s="16" t="s">
        <v>189</v>
      </c>
      <c r="I492" s="16" t="s">
        <v>190</v>
      </c>
    </row>
    <row r="493" ht="242.25" customHeight="1">
      <c r="A493" s="32" t="b">
        <v>0</v>
      </c>
      <c r="B493" s="32" t="str">
        <f>IMAGE("https://gymvisual.com/24828-catalog_default/barbell-narrow-stance-squat-male.jpg",4,500,500)</f>
        <v/>
      </c>
      <c r="C493" s="30">
        <v>492.0</v>
      </c>
      <c r="D493" s="16" t="s">
        <v>925</v>
      </c>
      <c r="E493" s="16" t="s">
        <v>184</v>
      </c>
      <c r="F493" s="16" t="s">
        <v>285</v>
      </c>
      <c r="G493" s="16" t="s">
        <v>186</v>
      </c>
      <c r="H493" s="16" t="s">
        <v>552</v>
      </c>
      <c r="I493" s="16" t="s">
        <v>553</v>
      </c>
    </row>
    <row r="494" ht="242.25" customHeight="1">
      <c r="A494" s="32" t="b">
        <v>0</v>
      </c>
      <c r="B494" s="32" t="str">
        <f>IMAGE("https://gymvisual.com/6775-catalog_default/barbell-olympic-squat.jpg",4,500,500)</f>
        <v/>
      </c>
      <c r="C494" s="30">
        <v>493.0</v>
      </c>
      <c r="D494" s="16" t="s">
        <v>926</v>
      </c>
      <c r="E494" s="16" t="s">
        <v>184</v>
      </c>
      <c r="F494" s="16" t="s">
        <v>285</v>
      </c>
      <c r="G494" s="16" t="s">
        <v>186</v>
      </c>
      <c r="H494" s="16" t="s">
        <v>220</v>
      </c>
      <c r="I494" s="16" t="s">
        <v>220</v>
      </c>
    </row>
    <row r="495" ht="242.25" customHeight="1">
      <c r="A495" s="32" t="b">
        <v>0</v>
      </c>
      <c r="B495" s="32" t="str">
        <f>IMAGE("https://gymvisual.com/220-catalog_default/barbell-one-arm-bent-over-row.jpg",4,500,500)</f>
        <v/>
      </c>
      <c r="C495" s="30">
        <v>494.0</v>
      </c>
      <c r="D495" s="16" t="s">
        <v>927</v>
      </c>
      <c r="E495" s="16" t="s">
        <v>184</v>
      </c>
      <c r="F495" s="16" t="s">
        <v>192</v>
      </c>
      <c r="G495" s="16" t="s">
        <v>186</v>
      </c>
      <c r="H495" s="16" t="s">
        <v>329</v>
      </c>
      <c r="I495" s="16" t="s">
        <v>330</v>
      </c>
    </row>
    <row r="496" ht="242.25" customHeight="1">
      <c r="A496" s="32" t="b">
        <v>0</v>
      </c>
      <c r="B496" s="32" t="str">
        <f>IMAGE("https://gymvisual.com/223-catalog_default/barbell-one-arm-floor-press.jpg",4,500,500)</f>
        <v/>
      </c>
      <c r="C496" s="30">
        <v>495.0</v>
      </c>
      <c r="D496" s="16" t="s">
        <v>928</v>
      </c>
      <c r="E496" s="16" t="s">
        <v>184</v>
      </c>
      <c r="F496" s="16" t="s">
        <v>219</v>
      </c>
      <c r="G496" s="16" t="s">
        <v>186</v>
      </c>
      <c r="H496" s="16" t="s">
        <v>223</v>
      </c>
      <c r="I496" s="16" t="s">
        <v>408</v>
      </c>
    </row>
    <row r="497" ht="242.25" customHeight="1">
      <c r="A497" s="32" t="b">
        <v>0</v>
      </c>
      <c r="B497" s="32" t="str">
        <f>IMAGE("https://gymvisual.com/20459-catalog_default/barbell-one-arm-side-deadlift.jpg",4,500,500)</f>
        <v/>
      </c>
      <c r="C497" s="30">
        <v>496.0</v>
      </c>
      <c r="D497" s="16" t="s">
        <v>929</v>
      </c>
      <c r="E497" s="16" t="s">
        <v>184</v>
      </c>
      <c r="F497" s="16" t="s">
        <v>285</v>
      </c>
      <c r="G497" s="16" t="s">
        <v>186</v>
      </c>
      <c r="H497" s="16" t="s">
        <v>189</v>
      </c>
      <c r="I497" s="16" t="s">
        <v>190</v>
      </c>
    </row>
    <row r="498" ht="242.25" customHeight="1">
      <c r="A498" s="32" t="b">
        <v>0</v>
      </c>
      <c r="B498" s="32" t="str">
        <f>IMAGE("https://gymvisual.com/229-catalog_default/barbell-one-arm-snatch.jpg",4,500,500)</f>
        <v/>
      </c>
      <c r="C498" s="30">
        <v>497.0</v>
      </c>
      <c r="D498" s="16" t="s">
        <v>930</v>
      </c>
      <c r="E498" s="16" t="s">
        <v>184</v>
      </c>
      <c r="F498" s="16" t="s">
        <v>228</v>
      </c>
      <c r="G498" s="16" t="s">
        <v>186</v>
      </c>
      <c r="H498" s="16" t="s">
        <v>220</v>
      </c>
      <c r="I498" s="16" t="s">
        <v>220</v>
      </c>
    </row>
    <row r="499" ht="242.25" customHeight="1">
      <c r="A499" s="32" t="b">
        <v>0</v>
      </c>
      <c r="B499" s="32" t="str">
        <f>IMAGE("https://gymvisual.com/4076-catalog_default/barbell-one-leg-hip-thrust.jpg",4,500,500)</f>
        <v/>
      </c>
      <c r="C499" s="30">
        <v>498.0</v>
      </c>
      <c r="D499" s="16" t="s">
        <v>931</v>
      </c>
      <c r="E499" s="16" t="s">
        <v>184</v>
      </c>
      <c r="F499" s="16" t="s">
        <v>185</v>
      </c>
      <c r="G499" s="16" t="s">
        <v>186</v>
      </c>
      <c r="H499" s="16" t="s">
        <v>187</v>
      </c>
      <c r="I499" s="16" t="s">
        <v>854</v>
      </c>
    </row>
    <row r="500" ht="242.25" customHeight="1">
      <c r="A500" s="32" t="b">
        <v>0</v>
      </c>
      <c r="B500" s="32" t="str">
        <f>IMAGE("https://gymvisual.com/231-catalog_default/barbell-one-leg-squat.jpg",4,500,500)</f>
        <v/>
      </c>
      <c r="C500" s="30">
        <v>499.0</v>
      </c>
      <c r="D500" s="16" t="s">
        <v>932</v>
      </c>
      <c r="E500" s="16" t="s">
        <v>184</v>
      </c>
      <c r="F500" s="16" t="s">
        <v>285</v>
      </c>
      <c r="G500" s="16" t="s">
        <v>186</v>
      </c>
      <c r="H500" s="16" t="s">
        <v>552</v>
      </c>
      <c r="I500" s="16" t="s">
        <v>553</v>
      </c>
    </row>
    <row r="501" ht="242.25" customHeight="1">
      <c r="A501" s="32" t="b">
        <v>0</v>
      </c>
      <c r="B501" s="32" t="str">
        <f>IMAGE("https://gymvisual.com/12176-catalog_default/barbell-overhead-carry.jpg",4,500,500)</f>
        <v/>
      </c>
      <c r="C501" s="30">
        <v>500.0</v>
      </c>
      <c r="D501" s="16" t="s">
        <v>933</v>
      </c>
      <c r="E501" s="16" t="s">
        <v>184</v>
      </c>
      <c r="F501" s="16" t="s">
        <v>285</v>
      </c>
      <c r="G501" s="16" t="s">
        <v>186</v>
      </c>
      <c r="H501" s="16" t="s">
        <v>220</v>
      </c>
      <c r="I501" s="16" t="s">
        <v>220</v>
      </c>
    </row>
    <row r="502" ht="242.25" customHeight="1">
      <c r="A502" s="32" t="b">
        <v>0</v>
      </c>
      <c r="B502" s="32" t="str">
        <f>IMAGE("https://gymvisual.com/16382-catalog_default/barbell-overhead-lunge.jpg",4,500,500)</f>
        <v/>
      </c>
      <c r="C502" s="30">
        <v>501.0</v>
      </c>
      <c r="D502" s="16" t="s">
        <v>934</v>
      </c>
      <c r="E502" s="16" t="s">
        <v>184</v>
      </c>
      <c r="F502" s="16" t="s">
        <v>285</v>
      </c>
      <c r="G502" s="16" t="s">
        <v>186</v>
      </c>
      <c r="H502" s="16" t="s">
        <v>189</v>
      </c>
      <c r="I502" s="16" t="s">
        <v>190</v>
      </c>
    </row>
    <row r="503" ht="242.25" customHeight="1">
      <c r="A503" s="32" t="b">
        <v>0</v>
      </c>
      <c r="B503" s="32" t="str">
        <f>IMAGE("https://gymvisual.com/12193-catalog_default/barbell-overhead-shrug.jpg",4,500,500)</f>
        <v/>
      </c>
      <c r="C503" s="30">
        <v>502.0</v>
      </c>
      <c r="D503" s="16" t="s">
        <v>935</v>
      </c>
      <c r="E503" s="16" t="s">
        <v>184</v>
      </c>
      <c r="F503" s="16" t="s">
        <v>192</v>
      </c>
      <c r="G503" s="16" t="s">
        <v>186</v>
      </c>
      <c r="H503" s="16" t="s">
        <v>238</v>
      </c>
      <c r="I503" s="16" t="s">
        <v>618</v>
      </c>
    </row>
    <row r="504" ht="242.25" customHeight="1">
      <c r="A504" s="32" t="b">
        <v>0</v>
      </c>
      <c r="B504" s="32" t="str">
        <f>IMAGE("https://gymvisual.com/234-catalog_default/barbell-overhead-squat.jpg",4,500,500)</f>
        <v/>
      </c>
      <c r="C504" s="30">
        <v>503.0</v>
      </c>
      <c r="D504" s="16" t="s">
        <v>936</v>
      </c>
      <c r="E504" s="16" t="s">
        <v>184</v>
      </c>
      <c r="F504" s="16" t="s">
        <v>285</v>
      </c>
      <c r="G504" s="16" t="s">
        <v>186</v>
      </c>
      <c r="H504" s="16" t="s">
        <v>552</v>
      </c>
      <c r="I504" s="16" t="s">
        <v>553</v>
      </c>
    </row>
    <row r="505" ht="242.25" customHeight="1">
      <c r="A505" s="32" t="b">
        <v>0</v>
      </c>
      <c r="B505" s="32" t="str">
        <f>IMAGE("https://gymvisual.com/6263-catalog_default/barbell-palms-down-wrist-curl-over-a-bench.jpg",4,500,500)</f>
        <v/>
      </c>
      <c r="C505" s="30">
        <v>504.0</v>
      </c>
      <c r="D505" s="16" t="s">
        <v>937</v>
      </c>
      <c r="E505" s="16" t="s">
        <v>184</v>
      </c>
      <c r="F505" s="16" t="s">
        <v>214</v>
      </c>
      <c r="G505" s="16" t="s">
        <v>186</v>
      </c>
      <c r="H505" s="16" t="s">
        <v>604</v>
      </c>
      <c r="I505" s="16" t="s">
        <v>220</v>
      </c>
    </row>
    <row r="506" ht="242.25" customHeight="1">
      <c r="A506" s="32" t="b">
        <v>0</v>
      </c>
      <c r="B506" s="32" t="str">
        <f>IMAGE("https://gymvisual.com/11540-catalog_default/barbell-palms-down-wrist-curl-over-a-bench-female.jpg",4,500,500)</f>
        <v/>
      </c>
      <c r="C506" s="30">
        <v>505.0</v>
      </c>
      <c r="D506" s="16" t="s">
        <v>938</v>
      </c>
      <c r="E506" s="16" t="s">
        <v>184</v>
      </c>
      <c r="F506" s="16" t="s">
        <v>214</v>
      </c>
      <c r="G506" s="16" t="s">
        <v>186</v>
      </c>
      <c r="H506" s="16" t="s">
        <v>220</v>
      </c>
      <c r="I506" s="16" t="s">
        <v>220</v>
      </c>
    </row>
    <row r="507" ht="242.25" customHeight="1">
      <c r="A507" s="32" t="b">
        <v>0</v>
      </c>
      <c r="B507" s="32" t="str">
        <f>IMAGE("https://gymvisual.com/6264-catalog_default/barbell-palms-up-wrist-curl-over-a-bench.jpg",4,500,500)</f>
        <v/>
      </c>
      <c r="C507" s="30">
        <v>506.0</v>
      </c>
      <c r="D507" s="16" t="s">
        <v>939</v>
      </c>
      <c r="E507" s="16" t="s">
        <v>184</v>
      </c>
      <c r="F507" s="16" t="s">
        <v>214</v>
      </c>
      <c r="G507" s="16" t="s">
        <v>186</v>
      </c>
      <c r="H507" s="16" t="s">
        <v>720</v>
      </c>
      <c r="I507" s="16" t="s">
        <v>220</v>
      </c>
    </row>
    <row r="508" ht="242.25" customHeight="1">
      <c r="A508" s="32" t="b">
        <v>0</v>
      </c>
      <c r="B508" s="32" t="str">
        <f>IMAGE("https://gymvisual.com/11543-catalog_default/barbell-palms-up-wrist-curl-over-a-bench-female.jpg",4,500,500)</f>
        <v/>
      </c>
      <c r="C508" s="30">
        <v>507.0</v>
      </c>
      <c r="D508" s="16" t="s">
        <v>940</v>
      </c>
      <c r="E508" s="16" t="s">
        <v>184</v>
      </c>
      <c r="F508" s="16" t="s">
        <v>214</v>
      </c>
      <c r="G508" s="16" t="s">
        <v>186</v>
      </c>
      <c r="H508" s="16" t="s">
        <v>220</v>
      </c>
      <c r="I508" s="16" t="s">
        <v>220</v>
      </c>
    </row>
    <row r="509" ht="242.25" customHeight="1">
      <c r="A509" s="32" t="b">
        <v>0</v>
      </c>
      <c r="B509" s="32" t="str">
        <f>IMAGE("https://gymvisual.com/22532-catalog_default/barbell-pause-bench-press.jpg",4,500,500)</f>
        <v/>
      </c>
      <c r="C509" s="30">
        <v>508.0</v>
      </c>
      <c r="D509" s="16" t="s">
        <v>941</v>
      </c>
      <c r="E509" s="16" t="s">
        <v>184</v>
      </c>
      <c r="F509" s="16" t="s">
        <v>234</v>
      </c>
      <c r="G509" s="16" t="s">
        <v>186</v>
      </c>
      <c r="H509" s="16" t="s">
        <v>347</v>
      </c>
      <c r="I509" s="16" t="s">
        <v>382</v>
      </c>
    </row>
    <row r="510" ht="242.25" customHeight="1">
      <c r="A510" s="32" t="b">
        <v>0</v>
      </c>
      <c r="B510" s="32" t="str">
        <f>IMAGE("https://gymvisual.com/25122-catalog_default/barbell-pause-deadlift.jpg",4,500,500)</f>
        <v/>
      </c>
      <c r="C510" s="30">
        <v>509.0</v>
      </c>
      <c r="D510" s="16" t="s">
        <v>942</v>
      </c>
      <c r="E510" s="16" t="s">
        <v>184</v>
      </c>
      <c r="F510" s="16" t="s">
        <v>185</v>
      </c>
      <c r="G510" s="16" t="s">
        <v>186</v>
      </c>
      <c r="H510" s="16" t="s">
        <v>220</v>
      </c>
      <c r="I510" s="16" t="s">
        <v>220</v>
      </c>
    </row>
    <row r="511" ht="242.25" customHeight="1">
      <c r="A511" s="32" t="b">
        <v>0</v>
      </c>
      <c r="B511" s="32" t="str">
        <f>IMAGE("https://gymvisual.com/22528-catalog_default/barbell-pause-decline-bench-press.jpg",4,500,500)</f>
        <v/>
      </c>
      <c r="C511" s="30">
        <v>510.0</v>
      </c>
      <c r="D511" s="16" t="s">
        <v>943</v>
      </c>
      <c r="E511" s="16" t="s">
        <v>184</v>
      </c>
      <c r="F511" s="16" t="s">
        <v>234</v>
      </c>
      <c r="G511" s="16" t="s">
        <v>186</v>
      </c>
      <c r="H511" s="16" t="s">
        <v>347</v>
      </c>
      <c r="I511" s="16" t="s">
        <v>382</v>
      </c>
    </row>
    <row r="512" ht="242.25" customHeight="1">
      <c r="A512" s="32" t="b">
        <v>0</v>
      </c>
      <c r="B512" s="32" t="str">
        <f>IMAGE("https://gymvisual.com/22530-catalog_default/barbell-pause-incline-bench-press.jpg",4,500,500)</f>
        <v/>
      </c>
      <c r="C512" s="30">
        <v>511.0</v>
      </c>
      <c r="D512" s="16" t="s">
        <v>944</v>
      </c>
      <c r="E512" s="16" t="s">
        <v>184</v>
      </c>
      <c r="F512" s="16" t="s">
        <v>234</v>
      </c>
      <c r="G512" s="16" t="s">
        <v>186</v>
      </c>
      <c r="H512" s="16" t="s">
        <v>415</v>
      </c>
      <c r="I512" s="16" t="s">
        <v>243</v>
      </c>
    </row>
    <row r="513" ht="242.25" customHeight="1">
      <c r="A513" s="32" t="b">
        <v>0</v>
      </c>
      <c r="B513" s="32" t="str">
        <f>IMAGE("https://gymvisual.com/26078-catalog_default/barbell-paused-sumo-deadlift.jpg",4,500,500)</f>
        <v/>
      </c>
      <c r="C513" s="30">
        <v>512.0</v>
      </c>
      <c r="D513" s="16" t="s">
        <v>945</v>
      </c>
      <c r="E513" s="16" t="s">
        <v>184</v>
      </c>
      <c r="F513" s="16" t="s">
        <v>185</v>
      </c>
      <c r="G513" s="16" t="s">
        <v>186</v>
      </c>
      <c r="H513" s="16" t="s">
        <v>220</v>
      </c>
      <c r="I513" s="16" t="s">
        <v>220</v>
      </c>
    </row>
    <row r="514" ht="242.25" customHeight="1">
      <c r="A514" s="32" t="b">
        <v>0</v>
      </c>
      <c r="B514" s="32" t="str">
        <f>IMAGE("https://gymvisual.com/12418-catalog_default/barbell-pendlay-row.jpg",4,500,500)</f>
        <v/>
      </c>
      <c r="C514" s="30">
        <v>513.0</v>
      </c>
      <c r="D514" s="16" t="s">
        <v>946</v>
      </c>
      <c r="E514" s="16" t="s">
        <v>184</v>
      </c>
      <c r="F514" s="16" t="s">
        <v>192</v>
      </c>
      <c r="G514" s="16" t="s">
        <v>186</v>
      </c>
      <c r="H514" s="16" t="s">
        <v>329</v>
      </c>
      <c r="I514" s="16" t="s">
        <v>447</v>
      </c>
    </row>
    <row r="515" ht="242.25" customHeight="1">
      <c r="A515" s="32" t="b">
        <v>0</v>
      </c>
      <c r="B515" s="32" t="str">
        <f>IMAGE("https://gymvisual.com/24999-catalog_default/barbell-pin-chest-press.jpg",4,500,500)</f>
        <v/>
      </c>
      <c r="C515" s="30">
        <v>514.0</v>
      </c>
      <c r="D515" s="16" t="s">
        <v>947</v>
      </c>
      <c r="E515" s="16" t="s">
        <v>184</v>
      </c>
      <c r="F515" s="16" t="s">
        <v>234</v>
      </c>
      <c r="G515" s="16" t="s">
        <v>186</v>
      </c>
      <c r="H515" s="16" t="s">
        <v>220</v>
      </c>
      <c r="I515" s="16" t="s">
        <v>220</v>
      </c>
    </row>
    <row r="516" ht="242.25" customHeight="1">
      <c r="A516" s="32" t="b">
        <v>0</v>
      </c>
      <c r="B516" s="32" t="str">
        <f>IMAGE("https://gymvisual.com/22397-catalog_default/barbell-pin-close-grip-bench-press.jpg",4,500,500)</f>
        <v/>
      </c>
      <c r="C516" s="30">
        <v>515.0</v>
      </c>
      <c r="D516" s="16" t="s">
        <v>948</v>
      </c>
      <c r="E516" s="16" t="s">
        <v>184</v>
      </c>
      <c r="F516" s="16" t="s">
        <v>219</v>
      </c>
      <c r="G516" s="16" t="s">
        <v>186</v>
      </c>
      <c r="H516" s="16" t="s">
        <v>220</v>
      </c>
      <c r="I516" s="16" t="s">
        <v>220</v>
      </c>
    </row>
    <row r="517" ht="242.25" customHeight="1">
      <c r="A517" s="32" t="b">
        <v>0</v>
      </c>
      <c r="B517" s="32" t="str">
        <f>IMAGE("https://gymvisual.com/22381-catalog_default/barbell-pin-front-squat.jpg",4,500,500)</f>
        <v/>
      </c>
      <c r="C517" s="30">
        <v>516.0</v>
      </c>
      <c r="D517" s="16" t="s">
        <v>949</v>
      </c>
      <c r="E517" s="16" t="s">
        <v>184</v>
      </c>
      <c r="F517" s="16" t="s">
        <v>285</v>
      </c>
      <c r="G517" s="16" t="s">
        <v>186</v>
      </c>
      <c r="H517" s="16" t="s">
        <v>220</v>
      </c>
      <c r="I517" s="16" t="s">
        <v>220</v>
      </c>
    </row>
    <row r="518" ht="242.25" customHeight="1">
      <c r="A518" s="32" t="b">
        <v>0</v>
      </c>
      <c r="B518" s="32" t="str">
        <f>IMAGE("https://gymvisual.com/22387-catalog_default/barbell-pin-good-morning.jpg",4,500,500)</f>
        <v/>
      </c>
      <c r="C518" s="30">
        <v>517.0</v>
      </c>
      <c r="D518" s="16" t="s">
        <v>950</v>
      </c>
      <c r="E518" s="16" t="s">
        <v>184</v>
      </c>
      <c r="F518" s="16" t="s">
        <v>285</v>
      </c>
      <c r="G518" s="16" t="s">
        <v>186</v>
      </c>
      <c r="H518" s="16" t="s">
        <v>220</v>
      </c>
      <c r="I518" s="16" t="s">
        <v>220</v>
      </c>
    </row>
    <row r="519" ht="242.25" customHeight="1">
      <c r="A519" s="32" t="b">
        <v>0</v>
      </c>
      <c r="B519" s="32" t="str">
        <f>IMAGE("https://gymvisual.com/7470-catalog_default/barbell-pin-presses.jpg",4,500,500)</f>
        <v/>
      </c>
      <c r="C519" s="30">
        <v>518.0</v>
      </c>
      <c r="D519" s="16" t="s">
        <v>951</v>
      </c>
      <c r="E519" s="16" t="s">
        <v>184</v>
      </c>
      <c r="F519" s="16" t="s">
        <v>219</v>
      </c>
      <c r="G519" s="16" t="s">
        <v>186</v>
      </c>
      <c r="H519" s="16" t="s">
        <v>220</v>
      </c>
      <c r="I519" s="16" t="s">
        <v>220</v>
      </c>
    </row>
    <row r="520" ht="242.25" customHeight="1">
      <c r="A520" s="32" t="b">
        <v>0</v>
      </c>
      <c r="B520" s="32" t="str">
        <f>IMAGE("https://gymvisual.com/25123-catalog_default/barbell-pin-squat.jpg",4,500,500)</f>
        <v/>
      </c>
      <c r="C520" s="30">
        <v>519.0</v>
      </c>
      <c r="D520" s="16" t="s">
        <v>952</v>
      </c>
      <c r="E520" s="16" t="s">
        <v>184</v>
      </c>
      <c r="F520" s="16" t="s">
        <v>285</v>
      </c>
      <c r="G520" s="16" t="s">
        <v>186</v>
      </c>
      <c r="H520" s="16" t="s">
        <v>220</v>
      </c>
      <c r="I520" s="16" t="s">
        <v>220</v>
      </c>
    </row>
    <row r="521" ht="242.25" customHeight="1">
      <c r="A521" s="32" t="b">
        <v>0</v>
      </c>
      <c r="B521" s="32" t="str">
        <f>IMAGE("https://gymvisual.com/6776-catalog_default/barbell-power-clean-from-blocks.jpg",4,500,500)</f>
        <v/>
      </c>
      <c r="C521" s="30">
        <v>520.0</v>
      </c>
      <c r="D521" s="16" t="s">
        <v>953</v>
      </c>
      <c r="E521" s="16" t="s">
        <v>184</v>
      </c>
      <c r="F521" s="16" t="s">
        <v>764</v>
      </c>
      <c r="G521" s="16" t="s">
        <v>186</v>
      </c>
      <c r="H521" s="16" t="s">
        <v>954</v>
      </c>
      <c r="I521" s="16" t="s">
        <v>220</v>
      </c>
    </row>
    <row r="522" ht="242.25" customHeight="1">
      <c r="A522" s="32" t="b">
        <v>0</v>
      </c>
      <c r="B522" s="32" t="str">
        <f>IMAGE("https://gymvisual.com/6777-catalog_default/barbell-power-jerk.jpg",4,500,500)</f>
        <v/>
      </c>
      <c r="C522" s="30">
        <v>521.0</v>
      </c>
      <c r="D522" s="16" t="s">
        <v>955</v>
      </c>
      <c r="E522" s="16" t="s">
        <v>184</v>
      </c>
      <c r="F522" s="16" t="s">
        <v>764</v>
      </c>
      <c r="G522" s="16" t="s">
        <v>186</v>
      </c>
      <c r="H522" s="16" t="s">
        <v>956</v>
      </c>
      <c r="I522" s="16" t="s">
        <v>220</v>
      </c>
    </row>
    <row r="523" ht="242.25" customHeight="1">
      <c r="A523" s="32" t="b">
        <v>0</v>
      </c>
      <c r="B523" s="32" t="str">
        <f>IMAGE("https://gymvisual.com/11200-catalog_default/barbell-power-jerk-female.jpg",4,500,500)</f>
        <v/>
      </c>
      <c r="C523" s="30">
        <v>522.0</v>
      </c>
      <c r="D523" s="16" t="s">
        <v>957</v>
      </c>
      <c r="E523" s="16" t="s">
        <v>184</v>
      </c>
      <c r="F523" s="16" t="s">
        <v>691</v>
      </c>
      <c r="G523" s="16" t="s">
        <v>186</v>
      </c>
      <c r="H523" s="16" t="s">
        <v>220</v>
      </c>
      <c r="I523" s="16" t="s">
        <v>220</v>
      </c>
    </row>
    <row r="524" ht="242.25" customHeight="1">
      <c r="A524" s="32" t="b">
        <v>0</v>
      </c>
      <c r="B524" s="32" t="str">
        <f>IMAGE("https://gymvisual.com/25003-catalog_default/barbell-power-shrug.jpg",4,500,500)</f>
        <v/>
      </c>
      <c r="C524" s="30">
        <v>523.0</v>
      </c>
      <c r="D524" s="16" t="s">
        <v>958</v>
      </c>
      <c r="E524" s="16" t="s">
        <v>184</v>
      </c>
      <c r="F524" s="16" t="s">
        <v>192</v>
      </c>
      <c r="G524" s="16" t="s">
        <v>186</v>
      </c>
      <c r="H524" s="16" t="s">
        <v>220</v>
      </c>
      <c r="I524" s="16" t="s">
        <v>220</v>
      </c>
    </row>
    <row r="525" ht="242.25" customHeight="1">
      <c r="A525" s="32" t="b">
        <v>0</v>
      </c>
      <c r="B525" s="32" t="str">
        <f>IMAGE("https://gymvisual.com/20434-catalog_default/barbell-power-snatch.jpg",4,500,500)</f>
        <v/>
      </c>
      <c r="C525" s="30">
        <v>524.0</v>
      </c>
      <c r="D525" s="16" t="s">
        <v>959</v>
      </c>
      <c r="E525" s="16" t="s">
        <v>184</v>
      </c>
      <c r="F525" s="16" t="s">
        <v>764</v>
      </c>
      <c r="G525" s="16" t="s">
        <v>186</v>
      </c>
      <c r="H525" s="16" t="s">
        <v>954</v>
      </c>
      <c r="I525" s="16" t="s">
        <v>220</v>
      </c>
    </row>
    <row r="526" ht="242.25" customHeight="1">
      <c r="A526" s="32" t="b">
        <v>0</v>
      </c>
      <c r="B526" s="32" t="str">
        <f>IMAGE("https://gymvisual.com/6779-catalog_default/barbell-power-snatch-from-blocks.jpg",4,500,500)</f>
        <v/>
      </c>
      <c r="C526" s="30">
        <v>525.0</v>
      </c>
      <c r="D526" s="16" t="s">
        <v>960</v>
      </c>
      <c r="E526" s="16" t="s">
        <v>184</v>
      </c>
      <c r="F526" s="16" t="s">
        <v>764</v>
      </c>
      <c r="G526" s="16" t="s">
        <v>186</v>
      </c>
      <c r="H526" s="16" t="s">
        <v>961</v>
      </c>
      <c r="I526" s="16" t="s">
        <v>220</v>
      </c>
    </row>
    <row r="527" ht="242.25" customHeight="1">
      <c r="A527" s="32" t="b">
        <v>0</v>
      </c>
      <c r="B527" s="32" t="str">
        <f>IMAGE("https://gymvisual.com/15632-catalog_default/barbell-preacher-curl.jpg",4,500,500)</f>
        <v/>
      </c>
      <c r="C527" s="30">
        <v>526.0</v>
      </c>
      <c r="D527" s="16" t="s">
        <v>962</v>
      </c>
      <c r="E527" s="16" t="s">
        <v>184</v>
      </c>
      <c r="F527" s="16" t="s">
        <v>219</v>
      </c>
      <c r="G527" s="16" t="s">
        <v>186</v>
      </c>
      <c r="H527" s="16" t="s">
        <v>232</v>
      </c>
      <c r="I527" s="16" t="s">
        <v>233</v>
      </c>
    </row>
    <row r="528" ht="242.25" customHeight="1">
      <c r="A528" s="32" t="b">
        <v>0</v>
      </c>
      <c r="B528" s="32" t="str">
        <f>IMAGE("https://gymvisual.com/11062-catalog_default/barbell-preacher-curl-female.jpg",4,500,500)</f>
        <v/>
      </c>
      <c r="C528" s="30">
        <v>527.0</v>
      </c>
      <c r="D528" s="16" t="s">
        <v>963</v>
      </c>
      <c r="E528" s="16" t="s">
        <v>184</v>
      </c>
      <c r="F528" s="16" t="s">
        <v>219</v>
      </c>
      <c r="G528" s="16" t="s">
        <v>186</v>
      </c>
      <c r="H528" s="16" t="s">
        <v>232</v>
      </c>
      <c r="I528" s="16" t="s">
        <v>233</v>
      </c>
    </row>
    <row r="529" ht="242.25" customHeight="1">
      <c r="A529" s="32" t="b">
        <v>0</v>
      </c>
      <c r="B529" s="32" t="str">
        <f>IMAGE("https://gymvisual.com/240-catalog_default/barbell-press-sit-up.jpg",4,500,500)</f>
        <v/>
      </c>
      <c r="C529" s="30">
        <v>528.0</v>
      </c>
      <c r="D529" s="16" t="s">
        <v>964</v>
      </c>
      <c r="E529" s="16" t="s">
        <v>184</v>
      </c>
      <c r="F529" s="16" t="s">
        <v>254</v>
      </c>
      <c r="G529" s="16" t="s">
        <v>186</v>
      </c>
      <c r="H529" s="16" t="s">
        <v>965</v>
      </c>
      <c r="I529" s="16" t="s">
        <v>966</v>
      </c>
    </row>
    <row r="530" ht="242.25" customHeight="1">
      <c r="A530" s="32" t="b">
        <v>0</v>
      </c>
      <c r="B530" s="32" t="str">
        <f>IMAGE("https://gymvisual.com/243-catalog_default/barbell-prone-incline-curl.jpg",4,500,500)</f>
        <v/>
      </c>
      <c r="C530" s="30">
        <v>529.0</v>
      </c>
      <c r="D530" s="16" t="s">
        <v>967</v>
      </c>
      <c r="E530" s="16" t="s">
        <v>184</v>
      </c>
      <c r="F530" s="16" t="s">
        <v>219</v>
      </c>
      <c r="G530" s="16" t="s">
        <v>186</v>
      </c>
      <c r="H530" s="16" t="s">
        <v>232</v>
      </c>
      <c r="I530" s="16" t="s">
        <v>233</v>
      </c>
    </row>
    <row r="531" ht="242.25" customHeight="1">
      <c r="A531" s="32" t="b">
        <v>0</v>
      </c>
      <c r="B531" s="32" t="str">
        <f>IMAGE("https://gymvisual.com/11089-catalog_default/barbell-prone-incline-curl-female.jpg",4,500,500)</f>
        <v/>
      </c>
      <c r="C531" s="30">
        <v>530.0</v>
      </c>
      <c r="D531" s="16" t="s">
        <v>968</v>
      </c>
      <c r="E531" s="16" t="s">
        <v>184</v>
      </c>
      <c r="F531" s="16" t="s">
        <v>219</v>
      </c>
      <c r="G531" s="16" t="s">
        <v>186</v>
      </c>
      <c r="H531" s="16" t="s">
        <v>241</v>
      </c>
      <c r="I531" s="16" t="s">
        <v>292</v>
      </c>
    </row>
    <row r="532" ht="242.25" customHeight="1">
      <c r="A532" s="32" t="b">
        <v>0</v>
      </c>
      <c r="B532" s="32" t="str">
        <f>IMAGE("https://gymvisual.com/246-catalog_default/barbell-pullover.jpg",4,500,500)</f>
        <v/>
      </c>
      <c r="C532" s="30">
        <v>531.0</v>
      </c>
      <c r="D532" s="16" t="s">
        <v>969</v>
      </c>
      <c r="E532" s="16" t="s">
        <v>184</v>
      </c>
      <c r="F532" s="16" t="s">
        <v>192</v>
      </c>
      <c r="G532" s="16" t="s">
        <v>186</v>
      </c>
      <c r="H532" s="16" t="s">
        <v>300</v>
      </c>
      <c r="I532" s="16" t="s">
        <v>970</v>
      </c>
    </row>
    <row r="533" ht="242.25" customHeight="1">
      <c r="A533" s="32" t="b">
        <v>0</v>
      </c>
      <c r="B533" s="32" t="str">
        <f>IMAGE("https://gymvisual.com/18750-catalog_default/barbell-pullover.jpg",4,500,500)</f>
        <v/>
      </c>
      <c r="C533" s="30">
        <v>532.0</v>
      </c>
      <c r="D533" s="16" t="s">
        <v>969</v>
      </c>
      <c r="E533" s="16" t="s">
        <v>184</v>
      </c>
      <c r="F533" s="16" t="s">
        <v>192</v>
      </c>
      <c r="G533" s="16" t="s">
        <v>186</v>
      </c>
      <c r="H533" s="16" t="s">
        <v>220</v>
      </c>
      <c r="I533" s="16" t="s">
        <v>220</v>
      </c>
    </row>
    <row r="534" ht="242.25" customHeight="1">
      <c r="A534" s="32" t="b">
        <v>0</v>
      </c>
      <c r="B534" s="32" t="str">
        <f>IMAGE("https://gymvisual.com/23542-catalog_default/barbell-pullover-to-press.jpg",4,500,500)</f>
        <v/>
      </c>
      <c r="C534" s="30">
        <v>533.0</v>
      </c>
      <c r="D534" s="16" t="s">
        <v>971</v>
      </c>
      <c r="E534" s="16" t="s">
        <v>184</v>
      </c>
      <c r="F534" s="16" t="s">
        <v>192</v>
      </c>
      <c r="G534" s="16" t="s">
        <v>186</v>
      </c>
      <c r="H534" s="16" t="s">
        <v>300</v>
      </c>
      <c r="I534" s="16" t="s">
        <v>972</v>
      </c>
    </row>
    <row r="535" ht="242.25" customHeight="1">
      <c r="A535" s="32" t="b">
        <v>0</v>
      </c>
      <c r="B535" s="32" t="str">
        <f>IMAGE("https://gymvisual.com/6762-catalog_default/barbell-quarter-squat.jpg",4,500,500)</f>
        <v/>
      </c>
      <c r="C535" s="30">
        <v>534.0</v>
      </c>
      <c r="D535" s="16" t="s">
        <v>973</v>
      </c>
      <c r="E535" s="16" t="s">
        <v>184</v>
      </c>
      <c r="F535" s="16" t="s">
        <v>285</v>
      </c>
      <c r="G535" s="16" t="s">
        <v>186</v>
      </c>
      <c r="H535" s="16" t="s">
        <v>189</v>
      </c>
      <c r="I535" s="16" t="s">
        <v>190</v>
      </c>
    </row>
    <row r="536" ht="242.25" customHeight="1">
      <c r="A536" s="32" t="b">
        <v>0</v>
      </c>
      <c r="B536" s="32" t="str">
        <f>IMAGE("https://gymvisual.com/13132-catalog_default/barbell-rack-pull.jpg",4,500,500)</f>
        <v/>
      </c>
      <c r="C536" s="30">
        <v>535.0</v>
      </c>
      <c r="D536" s="16" t="s">
        <v>974</v>
      </c>
      <c r="E536" s="16" t="s">
        <v>184</v>
      </c>
      <c r="F536" s="16" t="s">
        <v>185</v>
      </c>
      <c r="G536" s="16" t="s">
        <v>186</v>
      </c>
      <c r="H536" s="16" t="s">
        <v>267</v>
      </c>
      <c r="I536" s="16" t="s">
        <v>975</v>
      </c>
    </row>
    <row r="537" ht="242.25" customHeight="1">
      <c r="A537" s="32" t="b">
        <v>0</v>
      </c>
      <c r="B537" s="32" t="str">
        <f>IMAGE("https://gymvisual.com/252-catalog_default/barbell-rear-delt-raise.jpg",4,500,500)</f>
        <v/>
      </c>
      <c r="C537" s="30">
        <v>536.0</v>
      </c>
      <c r="D537" s="16" t="s">
        <v>976</v>
      </c>
      <c r="E537" s="16" t="s">
        <v>184</v>
      </c>
      <c r="F537" s="16" t="s">
        <v>228</v>
      </c>
      <c r="G537" s="16" t="s">
        <v>186</v>
      </c>
      <c r="H537" s="16" t="s">
        <v>408</v>
      </c>
      <c r="I537" s="16" t="s">
        <v>977</v>
      </c>
    </row>
    <row r="538" ht="242.25" customHeight="1">
      <c r="A538" s="32" t="b">
        <v>0</v>
      </c>
      <c r="B538" s="32" t="str">
        <f>IMAGE("https://gymvisual.com/11441-catalog_default/barbell-rear-delt-raise-femaleshoulder.jpg",4,500,500)</f>
        <v/>
      </c>
      <c r="C538" s="30">
        <v>537.0</v>
      </c>
      <c r="D538" s="16" t="s">
        <v>978</v>
      </c>
      <c r="E538" s="16" t="s">
        <v>184</v>
      </c>
      <c r="F538" s="16" t="s">
        <v>228</v>
      </c>
      <c r="G538" s="16" t="s">
        <v>186</v>
      </c>
      <c r="H538" s="16" t="s">
        <v>408</v>
      </c>
      <c r="I538" s="16" t="s">
        <v>452</v>
      </c>
    </row>
    <row r="539" ht="242.25" customHeight="1">
      <c r="A539" s="32" t="b">
        <v>0</v>
      </c>
      <c r="B539" s="32" t="str">
        <f>IMAGE("https://gymvisual.com/19315-catalog_default/barbell-rear-delt-row.jpg",4,500,500)</f>
        <v/>
      </c>
      <c r="C539" s="30">
        <v>538.0</v>
      </c>
      <c r="D539" s="16" t="s">
        <v>979</v>
      </c>
      <c r="E539" s="16" t="s">
        <v>184</v>
      </c>
      <c r="F539" s="16" t="s">
        <v>228</v>
      </c>
      <c r="G539" s="16" t="s">
        <v>186</v>
      </c>
      <c r="H539" s="16" t="s">
        <v>408</v>
      </c>
      <c r="I539" s="16" t="s">
        <v>980</v>
      </c>
    </row>
    <row r="540" ht="242.25" customHeight="1">
      <c r="A540" s="32" t="b">
        <v>0</v>
      </c>
      <c r="B540" s="32" t="str">
        <f>IMAGE("https://gymvisual.com/261-catalog_default/barbell-rear-lunge.jpg",4,500,500)</f>
        <v/>
      </c>
      <c r="C540" s="30">
        <v>539.0</v>
      </c>
      <c r="D540" s="16" t="s">
        <v>97</v>
      </c>
      <c r="E540" s="16" t="s">
        <v>184</v>
      </c>
      <c r="F540" s="16" t="s">
        <v>285</v>
      </c>
      <c r="G540" s="16" t="s">
        <v>186</v>
      </c>
      <c r="H540" s="16" t="s">
        <v>189</v>
      </c>
      <c r="I540" s="16" t="s">
        <v>190</v>
      </c>
    </row>
    <row r="541" ht="242.25" customHeight="1">
      <c r="A541" s="32" t="b">
        <v>0</v>
      </c>
      <c r="B541" s="32" t="str">
        <f>IMAGE("https://gymvisual.com/9592-catalog_default/barbell-rear-lunge-female.jpg",4,500,500)</f>
        <v/>
      </c>
      <c r="C541" s="30">
        <v>540.0</v>
      </c>
      <c r="D541" s="16" t="s">
        <v>981</v>
      </c>
      <c r="E541" s="16" t="s">
        <v>184</v>
      </c>
      <c r="F541" s="16" t="s">
        <v>294</v>
      </c>
      <c r="G541" s="16" t="s">
        <v>186</v>
      </c>
      <c r="H541" s="16" t="s">
        <v>189</v>
      </c>
      <c r="I541" s="16" t="s">
        <v>190</v>
      </c>
    </row>
    <row r="542" ht="242.25" customHeight="1">
      <c r="A542" s="32" t="b">
        <v>0</v>
      </c>
      <c r="B542" s="32" t="str">
        <f>IMAGE("https://gymvisual.com/258-catalog_default/barbell-rear-lunge-version-2.jpg",4,500,500)</f>
        <v/>
      </c>
      <c r="C542" s="30">
        <v>541.0</v>
      </c>
      <c r="D542" s="16" t="s">
        <v>982</v>
      </c>
      <c r="E542" s="16" t="s">
        <v>184</v>
      </c>
      <c r="F542" s="16" t="s">
        <v>285</v>
      </c>
      <c r="G542" s="16" t="s">
        <v>186</v>
      </c>
      <c r="H542" s="16" t="s">
        <v>189</v>
      </c>
      <c r="I542" s="16" t="s">
        <v>190</v>
      </c>
    </row>
    <row r="543" ht="242.25" customHeight="1">
      <c r="A543" s="32" t="b">
        <v>0</v>
      </c>
      <c r="B543" s="32" t="str">
        <f>IMAGE("https://gymvisual.com/17933-catalog_default/barbell-reeves-deadlift-male.jpg",4,500,500)</f>
        <v/>
      </c>
      <c r="C543" s="30">
        <v>542.0</v>
      </c>
      <c r="D543" s="16" t="s">
        <v>983</v>
      </c>
      <c r="E543" s="16" t="s">
        <v>184</v>
      </c>
      <c r="F543" s="16" t="s">
        <v>185</v>
      </c>
      <c r="G543" s="16" t="s">
        <v>186</v>
      </c>
      <c r="H543" s="16" t="s">
        <v>220</v>
      </c>
      <c r="I543" s="16" t="s">
        <v>220</v>
      </c>
    </row>
    <row r="544" ht="242.25" customHeight="1">
      <c r="B544" s="32" t="str">
        <f>IMAGE("https://gymvisual.com/19517-catalog_default/barbell-resistance-band-hip-thrust.jpg",4,500,500)</f>
        <v/>
      </c>
      <c r="C544" s="30">
        <v>543.0</v>
      </c>
      <c r="D544" s="16" t="s">
        <v>984</v>
      </c>
      <c r="E544" s="16" t="s">
        <v>184</v>
      </c>
      <c r="F544" s="16" t="s">
        <v>185</v>
      </c>
      <c r="G544" s="16" t="s">
        <v>186</v>
      </c>
      <c r="H544" s="16" t="s">
        <v>220</v>
      </c>
      <c r="I544" s="16" t="s">
        <v>220</v>
      </c>
    </row>
    <row r="545" ht="242.25" customHeight="1">
      <c r="A545" s="32" t="b">
        <v>0</v>
      </c>
      <c r="B545" s="32" t="str">
        <f>IMAGE("https://gymvisual.com/264-catalog_default/barbell-revers-wrist-curl-version-2.jpg",4,500,500)</f>
        <v/>
      </c>
      <c r="C545" s="30">
        <v>544.0</v>
      </c>
      <c r="D545" s="16" t="s">
        <v>985</v>
      </c>
      <c r="E545" s="16" t="s">
        <v>184</v>
      </c>
      <c r="F545" s="16" t="s">
        <v>214</v>
      </c>
      <c r="G545" s="16" t="s">
        <v>186</v>
      </c>
      <c r="H545" s="16" t="s">
        <v>604</v>
      </c>
      <c r="I545" s="16" t="s">
        <v>220</v>
      </c>
    </row>
    <row r="546" ht="242.25" customHeight="1">
      <c r="A546" s="32" t="b">
        <v>0</v>
      </c>
      <c r="B546" s="32" t="str">
        <f>IMAGE("https://gymvisual.com/11546-catalog_default/barbell-revers-wrist-curl-version-2-female.jpg",4,500,500)</f>
        <v/>
      </c>
      <c r="C546" s="30">
        <v>545.0</v>
      </c>
      <c r="D546" s="16" t="s">
        <v>986</v>
      </c>
      <c r="E546" s="16" t="s">
        <v>184</v>
      </c>
      <c r="F546" s="16" t="s">
        <v>214</v>
      </c>
      <c r="G546" s="16" t="s">
        <v>186</v>
      </c>
      <c r="H546" s="16" t="s">
        <v>220</v>
      </c>
      <c r="I546" s="16" t="s">
        <v>220</v>
      </c>
    </row>
    <row r="547" ht="242.25" hidden="1" customHeight="1">
      <c r="B547" s="32" t="str">
        <f>IMAGE("https://gymvisual.com/6725-catalog_default/barbell-reverse-band-bench-press.jpg",4,500,500)</f>
        <v/>
      </c>
      <c r="C547" s="30">
        <v>546.0</v>
      </c>
      <c r="D547" s="16" t="s">
        <v>987</v>
      </c>
      <c r="E547" s="16" t="s">
        <v>184</v>
      </c>
      <c r="F547" s="16" t="s">
        <v>219</v>
      </c>
      <c r="G547" s="16" t="s">
        <v>291</v>
      </c>
      <c r="H547" s="16" t="s">
        <v>223</v>
      </c>
      <c r="I547" s="16" t="s">
        <v>472</v>
      </c>
    </row>
    <row r="548" ht="242.25" customHeight="1">
      <c r="A548" s="32" t="b">
        <v>0</v>
      </c>
      <c r="B548" s="32" t="str">
        <f>IMAGE("https://gymvisual.com/8824-catalog_default/barbell-reverse-close-grip-bench-press.jpg",4,500,500)</f>
        <v/>
      </c>
      <c r="C548" s="30">
        <v>547.0</v>
      </c>
      <c r="D548" s="16" t="s">
        <v>988</v>
      </c>
      <c r="E548" s="16" t="s">
        <v>184</v>
      </c>
      <c r="F548" s="16" t="s">
        <v>219</v>
      </c>
      <c r="G548" s="16" t="s">
        <v>186</v>
      </c>
      <c r="H548" s="16" t="s">
        <v>223</v>
      </c>
      <c r="I548" s="16" t="s">
        <v>472</v>
      </c>
    </row>
    <row r="549" ht="242.25" customHeight="1">
      <c r="A549" s="32" t="b">
        <v>0</v>
      </c>
      <c r="B549" s="32" t="str">
        <f>IMAGE("https://gymvisual.com/24756-catalog_default/barbell-reverse-curl.jpg",4,500,500)</f>
        <v/>
      </c>
      <c r="C549" s="30">
        <v>548.0</v>
      </c>
      <c r="D549" s="16" t="s">
        <v>989</v>
      </c>
      <c r="E549" s="16" t="s">
        <v>184</v>
      </c>
      <c r="F549" s="16" t="s">
        <v>214</v>
      </c>
      <c r="G549" s="16" t="s">
        <v>186</v>
      </c>
      <c r="H549" s="16" t="s">
        <v>216</v>
      </c>
      <c r="I549" s="16" t="s">
        <v>217</v>
      </c>
    </row>
    <row r="550" ht="242.25" customHeight="1">
      <c r="A550" s="32" t="b">
        <v>0</v>
      </c>
      <c r="B550" s="32" t="str">
        <f>IMAGE("https://gymvisual.com/11008-catalog_default/barbell-reverse-curl-female.jpg",4,500,500)</f>
        <v/>
      </c>
      <c r="C550" s="30">
        <v>549.0</v>
      </c>
      <c r="D550" s="16" t="s">
        <v>990</v>
      </c>
      <c r="E550" s="16" t="s">
        <v>184</v>
      </c>
      <c r="F550" s="16" t="s">
        <v>214</v>
      </c>
      <c r="G550" s="16" t="s">
        <v>186</v>
      </c>
      <c r="H550" s="16" t="s">
        <v>216</v>
      </c>
      <c r="I550" s="16" t="s">
        <v>217</v>
      </c>
    </row>
    <row r="551" ht="242.25" customHeight="1">
      <c r="A551" s="32" t="b">
        <v>0</v>
      </c>
      <c r="B551" s="32" t="str">
        <f>IMAGE("https://gymvisual.com/23891-catalog_default/barbell-reverse-grip-bench-press.jpg",4,500,500)</f>
        <v/>
      </c>
      <c r="C551" s="30">
        <v>550.0</v>
      </c>
      <c r="D551" s="16" t="s">
        <v>991</v>
      </c>
      <c r="E551" s="16" t="s">
        <v>184</v>
      </c>
      <c r="F551" s="16" t="s">
        <v>234</v>
      </c>
      <c r="G551" s="16" t="s">
        <v>186</v>
      </c>
      <c r="H551" s="16" t="s">
        <v>347</v>
      </c>
      <c r="I551" s="16" t="s">
        <v>382</v>
      </c>
    </row>
    <row r="552" ht="242.25" customHeight="1">
      <c r="A552" s="32" t="b">
        <v>0</v>
      </c>
      <c r="B552" s="32" t="str">
        <f>IMAGE("https://gymvisual.com/10575-catalog_default/barbell-reverse-grip-bent-over-row.jpg",4,500,500)</f>
        <v/>
      </c>
      <c r="C552" s="30">
        <v>551.0</v>
      </c>
      <c r="D552" s="16" t="s">
        <v>992</v>
      </c>
      <c r="E552" s="16" t="s">
        <v>184</v>
      </c>
      <c r="F552" s="16" t="s">
        <v>192</v>
      </c>
      <c r="G552" s="16" t="s">
        <v>186</v>
      </c>
      <c r="H552" s="16" t="s">
        <v>329</v>
      </c>
      <c r="I552" s="16" t="s">
        <v>330</v>
      </c>
    </row>
    <row r="553" ht="242.25" customHeight="1">
      <c r="A553" s="32" t="b">
        <v>0</v>
      </c>
      <c r="B553" s="32" t="str">
        <f>IMAGE("https://gymvisual.com/19369-catalog_default/barbell-reverse-grip-bent-over-row-female.jpg",4,500,500)</f>
        <v/>
      </c>
      <c r="C553" s="30">
        <v>552.0</v>
      </c>
      <c r="D553" s="16" t="s">
        <v>993</v>
      </c>
      <c r="E553" s="16" t="s">
        <v>184</v>
      </c>
      <c r="F553" s="16" t="s">
        <v>192</v>
      </c>
      <c r="G553" s="16" t="s">
        <v>186</v>
      </c>
      <c r="H553" s="16" t="s">
        <v>329</v>
      </c>
      <c r="I553" s="16" t="s">
        <v>457</v>
      </c>
    </row>
    <row r="554" ht="242.25" customHeight="1">
      <c r="A554" s="32" t="b">
        <v>0</v>
      </c>
      <c r="B554" s="32" t="str">
        <f>IMAGE("https://gymvisual.com/5945-catalog_default/barbell-reverse-grip-decline-bench-press.jpg",4,500,500)</f>
        <v/>
      </c>
      <c r="C554" s="30">
        <v>553.0</v>
      </c>
      <c r="D554" s="16" t="s">
        <v>823</v>
      </c>
      <c r="E554" s="16" t="s">
        <v>184</v>
      </c>
      <c r="F554" s="16" t="s">
        <v>234</v>
      </c>
      <c r="G554" s="16" t="s">
        <v>186</v>
      </c>
      <c r="H554" s="16" t="s">
        <v>347</v>
      </c>
      <c r="I554" s="16" t="s">
        <v>382</v>
      </c>
    </row>
    <row r="555" ht="242.25" customHeight="1">
      <c r="A555" s="32" t="b">
        <v>0</v>
      </c>
      <c r="B555" s="32" t="str">
        <f>IMAGE("https://gymvisual.com/5946-catalog_default/barbell-reverse-grip-incline-bench-press.jpg",4,500,500)</f>
        <v/>
      </c>
      <c r="C555" s="30">
        <v>554.0</v>
      </c>
      <c r="D555" s="16" t="s">
        <v>823</v>
      </c>
      <c r="E555" s="16" t="s">
        <v>184</v>
      </c>
      <c r="F555" s="16" t="s">
        <v>234</v>
      </c>
      <c r="G555" s="16" t="s">
        <v>186</v>
      </c>
      <c r="H555" s="16" t="s">
        <v>415</v>
      </c>
      <c r="I555" s="16" t="s">
        <v>243</v>
      </c>
    </row>
    <row r="556" ht="242.25" customHeight="1">
      <c r="A556" s="32" t="b">
        <v>0</v>
      </c>
      <c r="B556" s="32" t="str">
        <f>IMAGE("https://gymvisual.com/6008-catalog_default/barbell-reverse-grip-incline-bench-row.jpg",4,500,500)</f>
        <v/>
      </c>
      <c r="C556" s="30">
        <v>555.0</v>
      </c>
      <c r="D556" s="16" t="s">
        <v>994</v>
      </c>
      <c r="E556" s="16" t="s">
        <v>184</v>
      </c>
      <c r="F556" s="16" t="s">
        <v>192</v>
      </c>
      <c r="G556" s="16" t="s">
        <v>186</v>
      </c>
      <c r="H556" s="16" t="s">
        <v>329</v>
      </c>
      <c r="I556" s="16" t="s">
        <v>447</v>
      </c>
    </row>
    <row r="557" ht="242.25" customHeight="1">
      <c r="A557" s="32" t="b">
        <v>0</v>
      </c>
      <c r="B557" s="32" t="str">
        <f>IMAGE("https://gymvisual.com/11098-catalog_default/barbell-reverse-grip-incline-row-female.jpg",4,500,500)</f>
        <v/>
      </c>
      <c r="C557" s="30">
        <v>556.0</v>
      </c>
      <c r="D557" s="16" t="s">
        <v>995</v>
      </c>
      <c r="E557" s="16" t="s">
        <v>184</v>
      </c>
      <c r="F557" s="16" t="s">
        <v>192</v>
      </c>
      <c r="G557" s="16" t="s">
        <v>186</v>
      </c>
      <c r="H557" s="16" t="s">
        <v>220</v>
      </c>
      <c r="I557" s="16" t="s">
        <v>220</v>
      </c>
    </row>
    <row r="558" ht="242.25" customHeight="1">
      <c r="A558" s="32" t="b">
        <v>0</v>
      </c>
      <c r="B558" s="32" t="str">
        <f>IMAGE("https://gymvisual.com/7440-catalog_default/barbell-reverse-grip-skullcrusher.jpg",4,500,500)</f>
        <v/>
      </c>
      <c r="C558" s="30">
        <v>557.0</v>
      </c>
      <c r="D558" s="16" t="s">
        <v>996</v>
      </c>
      <c r="E558" s="16" t="s">
        <v>184</v>
      </c>
      <c r="F558" s="16" t="s">
        <v>219</v>
      </c>
      <c r="G558" s="16" t="s">
        <v>186</v>
      </c>
      <c r="H558" s="16" t="s">
        <v>220</v>
      </c>
      <c r="I558" s="16" t="s">
        <v>220</v>
      </c>
    </row>
    <row r="559" ht="242.25" customHeight="1">
      <c r="A559" s="32" t="b">
        <v>0</v>
      </c>
      <c r="B559" s="32" t="str">
        <f>IMAGE("https://gymvisual.com/25851-catalog_default/barbell-reverse-preacher-curl.jpg",4,500,500)</f>
        <v/>
      </c>
      <c r="C559" s="30">
        <v>558.0</v>
      </c>
      <c r="D559" s="16" t="s">
        <v>997</v>
      </c>
      <c r="E559" s="16" t="s">
        <v>184</v>
      </c>
      <c r="F559" s="16" t="s">
        <v>214</v>
      </c>
      <c r="G559" s="16" t="s">
        <v>186</v>
      </c>
      <c r="H559" s="16" t="s">
        <v>216</v>
      </c>
      <c r="I559" s="16" t="s">
        <v>217</v>
      </c>
    </row>
    <row r="560" ht="242.25" customHeight="1">
      <c r="A560" s="32" t="b">
        <v>0</v>
      </c>
      <c r="B560" s="32" t="str">
        <f>IMAGE("https://gymvisual.com/11095-catalog_default/barbell-reverse-preacher-curl-femaleforearm.jpg",4,500,500)</f>
        <v/>
      </c>
      <c r="C560" s="30">
        <v>559.0</v>
      </c>
      <c r="D560" s="16" t="s">
        <v>998</v>
      </c>
      <c r="E560" s="16" t="s">
        <v>184</v>
      </c>
      <c r="F560" s="16" t="s">
        <v>214</v>
      </c>
      <c r="G560" s="16" t="s">
        <v>186</v>
      </c>
      <c r="H560" s="16" t="s">
        <v>220</v>
      </c>
      <c r="I560" s="16" t="s">
        <v>220</v>
      </c>
    </row>
    <row r="561" ht="242.25" customHeight="1">
      <c r="A561" s="32" t="b">
        <v>0</v>
      </c>
      <c r="B561" s="32" t="str">
        <f>IMAGE("https://gymvisual.com/273-catalog_default/barbell-reverse-wrist-curl.jpg",4,500,500)</f>
        <v/>
      </c>
      <c r="C561" s="30">
        <v>560.0</v>
      </c>
      <c r="D561" s="16" t="s">
        <v>125</v>
      </c>
      <c r="E561" s="16" t="s">
        <v>184</v>
      </c>
      <c r="F561" s="16" t="s">
        <v>214</v>
      </c>
      <c r="G561" s="16" t="s">
        <v>186</v>
      </c>
      <c r="H561" s="16" t="s">
        <v>604</v>
      </c>
      <c r="I561" s="16" t="s">
        <v>220</v>
      </c>
    </row>
    <row r="562" ht="242.25" customHeight="1">
      <c r="A562" s="32" t="b">
        <v>0</v>
      </c>
      <c r="B562" s="32" t="str">
        <f>IMAGE("https://gymvisual.com/13327-catalog_default/barbell-reverse-wrist-curl-female.jpg",4,500,500)</f>
        <v/>
      </c>
      <c r="C562" s="30">
        <v>561.0</v>
      </c>
      <c r="D562" s="16" t="s">
        <v>999</v>
      </c>
      <c r="E562" s="16" t="s">
        <v>184</v>
      </c>
      <c r="F562" s="16" t="s">
        <v>214</v>
      </c>
      <c r="G562" s="16" t="s">
        <v>186</v>
      </c>
      <c r="H562" s="16" t="s">
        <v>604</v>
      </c>
      <c r="I562" s="16" t="s">
        <v>220</v>
      </c>
    </row>
    <row r="563" ht="242.25" customHeight="1">
      <c r="A563" s="32" t="b">
        <v>0</v>
      </c>
      <c r="B563" s="32" t="str">
        <f>IMAGE("https://gymvisual.com/17181-catalog_default/barbell-reverse-grip-floor-press.jpg",4,500,500)</f>
        <v/>
      </c>
      <c r="C563" s="30">
        <v>562.0</v>
      </c>
      <c r="D563" s="16" t="s">
        <v>1000</v>
      </c>
      <c r="E563" s="16" t="s">
        <v>184</v>
      </c>
      <c r="F563" s="16" t="s">
        <v>219</v>
      </c>
      <c r="G563" s="16" t="s">
        <v>186</v>
      </c>
      <c r="H563" s="16" t="s">
        <v>223</v>
      </c>
      <c r="I563" s="16" t="s">
        <v>472</v>
      </c>
    </row>
    <row r="564" ht="242.25" customHeight="1">
      <c r="A564" s="32" t="b">
        <v>0</v>
      </c>
      <c r="B564" s="32" t="str">
        <f>IMAGE("https://gymvisual.com/279-catalog_default/barbell-rollout.jpg",4,500,500)</f>
        <v/>
      </c>
      <c r="C564" s="30">
        <v>563.0</v>
      </c>
      <c r="D564" s="16" t="s">
        <v>1001</v>
      </c>
      <c r="E564" s="16" t="s">
        <v>184</v>
      </c>
      <c r="F564" s="16" t="s">
        <v>185</v>
      </c>
      <c r="G564" s="16" t="s">
        <v>186</v>
      </c>
      <c r="H564" s="16" t="s">
        <v>305</v>
      </c>
      <c r="I564" s="16" t="s">
        <v>1002</v>
      </c>
    </row>
    <row r="565" ht="242.25" customHeight="1">
      <c r="A565" s="32" t="b">
        <v>0</v>
      </c>
      <c r="B565" s="32" t="str">
        <f>IMAGE("https://gymvisual.com/11594-catalog_default/barbell-rollout-female.jpg",4,500,500)</f>
        <v/>
      </c>
      <c r="C565" s="30">
        <v>564.0</v>
      </c>
      <c r="D565" s="16" t="s">
        <v>1003</v>
      </c>
      <c r="E565" s="16" t="s">
        <v>184</v>
      </c>
      <c r="F565" s="16" t="s">
        <v>254</v>
      </c>
      <c r="G565" s="16" t="s">
        <v>186</v>
      </c>
      <c r="H565" s="16" t="s">
        <v>220</v>
      </c>
      <c r="I565" s="16" t="s">
        <v>220</v>
      </c>
    </row>
    <row r="566" ht="242.25" customHeight="1">
      <c r="A566" s="32" t="b">
        <v>0</v>
      </c>
      <c r="B566" s="32" t="str">
        <f>IMAGE("https://gymvisual.com/276-catalog_default/barbell-rollout-from-bench.jpg",4,500,500)</f>
        <v/>
      </c>
      <c r="C566" s="30">
        <v>565.0</v>
      </c>
      <c r="D566" s="16" t="s">
        <v>1004</v>
      </c>
      <c r="E566" s="16" t="s">
        <v>184</v>
      </c>
      <c r="F566" s="16" t="s">
        <v>254</v>
      </c>
      <c r="G566" s="16" t="s">
        <v>186</v>
      </c>
      <c r="H566" s="16" t="s">
        <v>305</v>
      </c>
      <c r="I566" s="16" t="s">
        <v>1005</v>
      </c>
    </row>
    <row r="567" ht="242.25" customHeight="1">
      <c r="A567" s="32" t="b">
        <v>0</v>
      </c>
      <c r="B567" s="32" t="str">
        <f>IMAGE("https://gymvisual.com/2574-catalog_default/barbell-romanian-deadlift.jpg",4,500,500)</f>
        <v/>
      </c>
      <c r="C567" s="30">
        <v>566.0</v>
      </c>
      <c r="D567" s="16" t="s">
        <v>1006</v>
      </c>
      <c r="E567" s="16" t="s">
        <v>184</v>
      </c>
      <c r="F567" s="16" t="s">
        <v>185</v>
      </c>
      <c r="G567" s="16" t="s">
        <v>186</v>
      </c>
      <c r="H567" s="16" t="s">
        <v>267</v>
      </c>
      <c r="I567" s="16" t="s">
        <v>975</v>
      </c>
    </row>
    <row r="568" ht="242.25" customHeight="1">
      <c r="A568" s="32" t="b">
        <v>0</v>
      </c>
      <c r="B568" s="32" t="str">
        <f>IMAGE("https://gymvisual.com/13267-catalog_default/barbell-romanian-deadlift-female.jpg",4,500,500)</f>
        <v/>
      </c>
      <c r="C568" s="30">
        <v>567.0</v>
      </c>
      <c r="D568" s="16" t="s">
        <v>1007</v>
      </c>
      <c r="E568" s="16" t="s">
        <v>184</v>
      </c>
      <c r="F568" s="16" t="s">
        <v>294</v>
      </c>
      <c r="G568" s="16" t="s">
        <v>186</v>
      </c>
      <c r="H568" s="16" t="s">
        <v>267</v>
      </c>
      <c r="I568" s="16" t="s">
        <v>975</v>
      </c>
    </row>
    <row r="569" ht="242.25" customHeight="1">
      <c r="A569" s="32" t="b">
        <v>0</v>
      </c>
      <c r="B569" s="32" t="str">
        <f>IMAGE("https://gymvisual.com/6780-catalog_default/barbell-romanian-deadlift-from-deficit.jpg",4,500,500)</f>
        <v/>
      </c>
      <c r="C569" s="30">
        <v>568.0</v>
      </c>
      <c r="D569" s="16" t="s">
        <v>1008</v>
      </c>
      <c r="E569" s="16" t="s">
        <v>184</v>
      </c>
      <c r="F569" s="16" t="s">
        <v>185</v>
      </c>
      <c r="G569" s="16" t="s">
        <v>186</v>
      </c>
      <c r="H569" s="16" t="s">
        <v>220</v>
      </c>
      <c r="I569" s="16" t="s">
        <v>220</v>
      </c>
    </row>
    <row r="570" ht="242.25" customHeight="1">
      <c r="A570" s="32" t="b">
        <v>0</v>
      </c>
      <c r="B570" s="32" t="str">
        <f>IMAGE("https://gymvisual.com/285-catalog_default/barbell-seated-behind-head-military-press.jpg",4,500,500)</f>
        <v/>
      </c>
      <c r="C570" s="30">
        <v>569.0</v>
      </c>
      <c r="D570" s="16" t="s">
        <v>1009</v>
      </c>
      <c r="E570" s="16" t="s">
        <v>184</v>
      </c>
      <c r="F570" s="16" t="s">
        <v>228</v>
      </c>
      <c r="G570" s="16" t="s">
        <v>186</v>
      </c>
      <c r="H570" s="16" t="s">
        <v>229</v>
      </c>
      <c r="I570" s="16" t="s">
        <v>230</v>
      </c>
    </row>
    <row r="571" ht="242.25" customHeight="1">
      <c r="A571" s="32" t="b">
        <v>0</v>
      </c>
      <c r="B571" s="32" t="str">
        <f>IMAGE("https://gymvisual.com/11357-catalog_default/barbell-seated-behind-head-military-press-female.jpg",4,500,500)</f>
        <v/>
      </c>
      <c r="C571" s="30">
        <v>570.0</v>
      </c>
      <c r="D571" s="16" t="s">
        <v>1010</v>
      </c>
      <c r="E571" s="16" t="s">
        <v>184</v>
      </c>
      <c r="F571" s="16" t="s">
        <v>228</v>
      </c>
      <c r="G571" s="16" t="s">
        <v>186</v>
      </c>
      <c r="H571" s="16" t="s">
        <v>229</v>
      </c>
      <c r="I571" s="16" t="s">
        <v>230</v>
      </c>
    </row>
    <row r="572" ht="242.25" customHeight="1">
      <c r="A572" s="32" t="b">
        <v>0</v>
      </c>
      <c r="B572" s="32" t="str">
        <f>IMAGE("https://gymvisual.com/288-catalog_default/barbell-seated-bradford-rocky-press.jpg",4,500,500)</f>
        <v/>
      </c>
      <c r="C572" s="30">
        <v>571.0</v>
      </c>
      <c r="D572" s="16" t="s">
        <v>1011</v>
      </c>
      <c r="E572" s="16" t="s">
        <v>184</v>
      </c>
      <c r="F572" s="16" t="s">
        <v>228</v>
      </c>
      <c r="G572" s="16" t="s">
        <v>186</v>
      </c>
      <c r="H572" s="16" t="s">
        <v>229</v>
      </c>
      <c r="I572" s="16" t="s">
        <v>230</v>
      </c>
    </row>
    <row r="573" ht="242.25" customHeight="1">
      <c r="A573" s="32" t="b">
        <v>0</v>
      </c>
      <c r="B573" s="32" t="str">
        <f>IMAGE("https://gymvisual.com/290-catalog_default/barbell-seated-calf-raise.jpg",4,500,500)</f>
        <v/>
      </c>
      <c r="C573" s="30">
        <v>572.0</v>
      </c>
      <c r="D573" s="16" t="s">
        <v>1012</v>
      </c>
      <c r="E573" s="16" t="s">
        <v>184</v>
      </c>
      <c r="F573" s="16" t="s">
        <v>325</v>
      </c>
      <c r="G573" s="16" t="s">
        <v>186</v>
      </c>
      <c r="H573" s="16" t="s">
        <v>368</v>
      </c>
      <c r="I573" s="16" t="s">
        <v>463</v>
      </c>
    </row>
    <row r="574" ht="242.25" customHeight="1">
      <c r="A574" s="32" t="b">
        <v>0</v>
      </c>
      <c r="B574" s="32" t="str">
        <f>IMAGE("https://gymvisual.com/6066-catalog_default/barbell-seated-calf-raise.jpg",4,500,500)</f>
        <v/>
      </c>
      <c r="C574" s="30">
        <v>573.0</v>
      </c>
      <c r="D574" s="16" t="s">
        <v>1012</v>
      </c>
      <c r="E574" s="16" t="s">
        <v>184</v>
      </c>
      <c r="F574" s="16" t="s">
        <v>325</v>
      </c>
      <c r="G574" s="16" t="s">
        <v>186</v>
      </c>
      <c r="H574" s="16" t="s">
        <v>368</v>
      </c>
      <c r="I574" s="16" t="s">
        <v>463</v>
      </c>
    </row>
    <row r="575" ht="242.25" customHeight="1">
      <c r="A575" s="32" t="b">
        <v>0</v>
      </c>
      <c r="B575" s="32" t="str">
        <f>IMAGE("https://gymvisual.com/11525-catalog_default/barbell-seated-calf-raise-female.jpg",4,500,500)</f>
        <v/>
      </c>
      <c r="C575" s="30">
        <v>574.0</v>
      </c>
      <c r="D575" s="16" t="s">
        <v>1013</v>
      </c>
      <c r="E575" s="16" t="s">
        <v>184</v>
      </c>
      <c r="F575" s="16" t="s">
        <v>325</v>
      </c>
      <c r="G575" s="16" t="s">
        <v>186</v>
      </c>
      <c r="H575" s="16" t="s">
        <v>220</v>
      </c>
      <c r="I575" s="16" t="s">
        <v>220</v>
      </c>
    </row>
    <row r="576" ht="242.25" customHeight="1">
      <c r="A576" s="32" t="b">
        <v>0</v>
      </c>
      <c r="B576" s="32" t="str">
        <f>IMAGE("https://gymvisual.com/7436-catalog_default/barbell-seated-close-grip-behind-neck-triceps-extension.jpg",4,500,500)</f>
        <v/>
      </c>
      <c r="C576" s="30">
        <v>575.0</v>
      </c>
      <c r="D576" s="16" t="s">
        <v>1014</v>
      </c>
      <c r="E576" s="16" t="s">
        <v>184</v>
      </c>
      <c r="F576" s="16" t="s">
        <v>219</v>
      </c>
      <c r="G576" s="16" t="s">
        <v>186</v>
      </c>
      <c r="H576" s="16" t="s">
        <v>220</v>
      </c>
      <c r="I576" s="16" t="s">
        <v>220</v>
      </c>
    </row>
    <row r="577" ht="242.25" customHeight="1">
      <c r="A577" s="32" t="b">
        <v>0</v>
      </c>
      <c r="B577" s="32" t="str">
        <f>IMAGE("https://gymvisual.com/7158-catalog_default/barbell-seated-close-grip-concentration-curl.jpg",4,500,500)</f>
        <v/>
      </c>
      <c r="C577" s="30">
        <v>576.0</v>
      </c>
      <c r="D577" s="16" t="s">
        <v>1015</v>
      </c>
      <c r="E577" s="16" t="s">
        <v>184</v>
      </c>
      <c r="F577" s="16" t="s">
        <v>219</v>
      </c>
      <c r="G577" s="16" t="s">
        <v>186</v>
      </c>
      <c r="H577" s="16" t="s">
        <v>232</v>
      </c>
      <c r="I577" s="16" t="s">
        <v>233</v>
      </c>
    </row>
    <row r="578" ht="242.25" customHeight="1">
      <c r="A578" s="32" t="b">
        <v>0</v>
      </c>
      <c r="B578" s="32" t="str">
        <f>IMAGE("https://gymvisual.com/16384-catalog_default/barbell-seated-front-raise.jpg",4,500,500)</f>
        <v/>
      </c>
      <c r="C578" s="30">
        <v>577.0</v>
      </c>
      <c r="D578" s="16" t="s">
        <v>1016</v>
      </c>
      <c r="E578" s="16" t="s">
        <v>184</v>
      </c>
      <c r="F578" s="16" t="s">
        <v>228</v>
      </c>
      <c r="G578" s="16" t="s">
        <v>186</v>
      </c>
      <c r="H578" s="16" t="s">
        <v>229</v>
      </c>
      <c r="I578" s="16" t="s">
        <v>244</v>
      </c>
    </row>
    <row r="579" ht="242.25" customHeight="1">
      <c r="A579" s="32" t="b">
        <v>0</v>
      </c>
      <c r="B579" s="32" t="str">
        <f>IMAGE("https://gymvisual.com/296-catalog_default/barbell-seated-good-morning.jpg",4,500,500)</f>
        <v/>
      </c>
      <c r="C579" s="30">
        <v>578.0</v>
      </c>
      <c r="D579" s="16" t="s">
        <v>1017</v>
      </c>
      <c r="E579" s="16" t="s">
        <v>184</v>
      </c>
      <c r="F579" s="16" t="s">
        <v>185</v>
      </c>
      <c r="G579" s="16" t="s">
        <v>186</v>
      </c>
      <c r="H579" s="16" t="s">
        <v>187</v>
      </c>
      <c r="I579" s="16" t="s">
        <v>188</v>
      </c>
    </row>
    <row r="580" ht="242.25" customHeight="1">
      <c r="A580" s="32" t="b">
        <v>0</v>
      </c>
      <c r="B580" s="32" t="str">
        <f>IMAGE("https://gymvisual.com/11354-catalog_default/barbell-seated-good-morning-female.jpg",4,500,500)</f>
        <v/>
      </c>
      <c r="C580" s="30">
        <v>579.0</v>
      </c>
      <c r="D580" s="16" t="s">
        <v>1018</v>
      </c>
      <c r="E580" s="16" t="s">
        <v>184</v>
      </c>
      <c r="F580" s="16" t="s">
        <v>185</v>
      </c>
      <c r="G580" s="16" t="s">
        <v>186</v>
      </c>
      <c r="H580" s="16" t="s">
        <v>220</v>
      </c>
      <c r="I580" s="16" t="s">
        <v>220</v>
      </c>
    </row>
    <row r="581" ht="242.25" customHeight="1">
      <c r="A581" s="32" t="b">
        <v>0</v>
      </c>
      <c r="B581" s="32" t="str">
        <f>IMAGE("https://gymvisual.com/19491-catalog_default/barbell-seated-high-front-raise.jpg",4,500,500)</f>
        <v/>
      </c>
      <c r="C581" s="30">
        <v>580.0</v>
      </c>
      <c r="D581" s="16" t="s">
        <v>1019</v>
      </c>
      <c r="E581" s="16" t="s">
        <v>184</v>
      </c>
      <c r="F581" s="16" t="s">
        <v>228</v>
      </c>
      <c r="G581" s="16" t="s">
        <v>186</v>
      </c>
      <c r="H581" s="16" t="s">
        <v>220</v>
      </c>
      <c r="I581" s="16" t="s">
        <v>220</v>
      </c>
    </row>
    <row r="582" ht="242.25" customHeight="1">
      <c r="A582" s="32" t="b">
        <v>0</v>
      </c>
      <c r="B582" s="32" t="str">
        <f>IMAGE("https://gymvisual.com/2956-catalog_default/barbell-seated-military-press-inside-squat-cage.jpg",4,500,500)</f>
        <v/>
      </c>
      <c r="C582" s="30">
        <v>581.0</v>
      </c>
      <c r="D582" s="16" t="s">
        <v>1020</v>
      </c>
      <c r="E582" s="16" t="s">
        <v>184</v>
      </c>
      <c r="F582" s="16" t="s">
        <v>228</v>
      </c>
      <c r="G582" s="16" t="s">
        <v>186</v>
      </c>
      <c r="H582" s="16" t="s">
        <v>229</v>
      </c>
      <c r="I582" s="16" t="s">
        <v>626</v>
      </c>
    </row>
    <row r="583" ht="242.25" customHeight="1">
      <c r="A583" s="32" t="b">
        <v>0</v>
      </c>
      <c r="B583" s="32" t="str">
        <f>IMAGE("https://gymvisual.com/299-catalog_default/barbell-seated-overhead-press.jpg",4,500,500)</f>
        <v/>
      </c>
      <c r="C583" s="30">
        <v>582.0</v>
      </c>
      <c r="D583" s="16" t="s">
        <v>1021</v>
      </c>
      <c r="E583" s="16" t="s">
        <v>184</v>
      </c>
      <c r="F583" s="16" t="s">
        <v>228</v>
      </c>
      <c r="G583" s="16" t="s">
        <v>186</v>
      </c>
      <c r="H583" s="16" t="s">
        <v>229</v>
      </c>
      <c r="I583" s="16" t="s">
        <v>230</v>
      </c>
    </row>
    <row r="584" ht="242.25" customHeight="1">
      <c r="A584" s="32" t="b">
        <v>0</v>
      </c>
      <c r="B584" s="32" t="str">
        <f>IMAGE("https://gymvisual.com/11360-catalog_default/barbell-seated-overhead-press-female.jpg",4,500,500)</f>
        <v/>
      </c>
      <c r="C584" s="30">
        <v>583.0</v>
      </c>
      <c r="D584" s="16" t="s">
        <v>1022</v>
      </c>
      <c r="E584" s="16" t="s">
        <v>184</v>
      </c>
      <c r="F584" s="16" t="s">
        <v>228</v>
      </c>
      <c r="G584" s="16" t="s">
        <v>186</v>
      </c>
      <c r="H584" s="16" t="s">
        <v>229</v>
      </c>
      <c r="I584" s="16" t="s">
        <v>230</v>
      </c>
    </row>
    <row r="585" ht="242.25" customHeight="1">
      <c r="A585" s="32" t="b">
        <v>0</v>
      </c>
      <c r="B585" s="32" t="str">
        <f>IMAGE("https://gymvisual.com/302-catalog_default/barbell-seated-overhead-triceps-extension.jpg",4,500,500)</f>
        <v/>
      </c>
      <c r="C585" s="30">
        <v>584.0</v>
      </c>
      <c r="D585" s="16" t="s">
        <v>1023</v>
      </c>
      <c r="E585" s="16" t="s">
        <v>184</v>
      </c>
      <c r="F585" s="16" t="s">
        <v>219</v>
      </c>
      <c r="G585" s="16" t="s">
        <v>186</v>
      </c>
      <c r="H585" s="16" t="s">
        <v>223</v>
      </c>
      <c r="I585" s="16" t="s">
        <v>220</v>
      </c>
    </row>
    <row r="586" ht="242.25" customHeight="1">
      <c r="A586" s="32" t="b">
        <v>0</v>
      </c>
      <c r="B586" s="32" t="str">
        <f>IMAGE("https://gymvisual.com/11366-catalog_default/barbell-seated-overhead-triceps-extension-female.jpg",4,500,500)</f>
        <v/>
      </c>
      <c r="C586" s="30">
        <v>585.0</v>
      </c>
      <c r="D586" s="16" t="s">
        <v>1024</v>
      </c>
      <c r="E586" s="16" t="s">
        <v>184</v>
      </c>
      <c r="F586" s="16" t="s">
        <v>219</v>
      </c>
      <c r="G586" s="16" t="s">
        <v>186</v>
      </c>
      <c r="H586" s="16" t="s">
        <v>223</v>
      </c>
      <c r="I586" s="16" t="s">
        <v>220</v>
      </c>
    </row>
    <row r="587" ht="242.25" customHeight="1">
      <c r="A587" s="32" t="b">
        <v>0</v>
      </c>
      <c r="B587" s="32" t="str">
        <f>IMAGE("https://gymvisual.com/17464-catalog_default/barbell-seated-shrug.jpg",4,500,500)</f>
        <v/>
      </c>
      <c r="C587" s="30">
        <v>586.0</v>
      </c>
      <c r="D587" s="16" t="s">
        <v>1025</v>
      </c>
      <c r="E587" s="16" t="s">
        <v>184</v>
      </c>
      <c r="F587" s="16" t="s">
        <v>192</v>
      </c>
      <c r="G587" s="16" t="s">
        <v>186</v>
      </c>
      <c r="H587" s="16" t="s">
        <v>238</v>
      </c>
      <c r="I587" s="16" t="s">
        <v>239</v>
      </c>
    </row>
    <row r="588" ht="242.25" customHeight="1">
      <c r="A588" s="32" t="b">
        <v>0</v>
      </c>
      <c r="B588" s="32" t="str">
        <f>IMAGE("https://gymvisual.com/308-catalog_default/barbell-seated-twist.jpg",4,500,500)</f>
        <v/>
      </c>
      <c r="C588" s="30">
        <v>587.0</v>
      </c>
      <c r="D588" s="16" t="s">
        <v>1026</v>
      </c>
      <c r="E588" s="16" t="s">
        <v>184</v>
      </c>
      <c r="F588" s="16" t="s">
        <v>254</v>
      </c>
      <c r="G588" s="16" t="s">
        <v>186</v>
      </c>
      <c r="H588" s="16" t="s">
        <v>257</v>
      </c>
      <c r="I588" s="16" t="s">
        <v>271</v>
      </c>
    </row>
    <row r="589" ht="242.25" customHeight="1">
      <c r="A589" s="32" t="b">
        <v>0</v>
      </c>
      <c r="B589" s="32" t="str">
        <f>IMAGE("https://gymvisual.com/305-catalog_default/barbell-seated-twist-on-stability-ball.jpg",4,500,500)</f>
        <v/>
      </c>
      <c r="C589" s="30">
        <v>588.0</v>
      </c>
      <c r="D589" s="16" t="s">
        <v>1027</v>
      </c>
      <c r="E589" s="16" t="s">
        <v>184</v>
      </c>
      <c r="F589" s="16" t="s">
        <v>254</v>
      </c>
      <c r="G589" s="16" t="s">
        <v>186</v>
      </c>
      <c r="H589" s="16" t="s">
        <v>257</v>
      </c>
      <c r="I589" s="16" t="s">
        <v>271</v>
      </c>
    </row>
    <row r="590" ht="242.25" customHeight="1">
      <c r="A590" s="32" t="b">
        <v>0</v>
      </c>
      <c r="B590" s="32" t="str">
        <f>IMAGE("https://gymvisual.com/10255-catalog_default/barbell-shoulder-grip-upright-row-female.jpg",4,500,500)</f>
        <v/>
      </c>
      <c r="C590" s="30">
        <v>589.0</v>
      </c>
      <c r="D590" s="16" t="s">
        <v>1028</v>
      </c>
      <c r="E590" s="16" t="s">
        <v>184</v>
      </c>
      <c r="F590" s="16" t="s">
        <v>228</v>
      </c>
      <c r="G590" s="16" t="s">
        <v>186</v>
      </c>
      <c r="H590" s="16" t="s">
        <v>544</v>
      </c>
      <c r="I590" s="16" t="s">
        <v>713</v>
      </c>
    </row>
    <row r="591" ht="242.25" customHeight="1">
      <c r="A591" s="32" t="b">
        <v>0</v>
      </c>
      <c r="B591" s="32" t="str">
        <f>IMAGE("https://gymvisual.com/24812-catalog_default/barbell-shoulder-grip-upright-row-male.jpg",4,500,500)</f>
        <v/>
      </c>
      <c r="C591" s="30">
        <v>590.0</v>
      </c>
      <c r="D591" s="16" t="s">
        <v>1029</v>
      </c>
      <c r="E591" s="16" t="s">
        <v>184</v>
      </c>
      <c r="F591" s="16" t="s">
        <v>228</v>
      </c>
      <c r="G591" s="16" t="s">
        <v>186</v>
      </c>
      <c r="H591" s="16" t="s">
        <v>544</v>
      </c>
      <c r="I591" s="16" t="s">
        <v>715</v>
      </c>
    </row>
    <row r="592" ht="242.25" customHeight="1">
      <c r="A592" s="32" t="b">
        <v>0</v>
      </c>
      <c r="B592" s="32" t="str">
        <f>IMAGE("https://gymvisual.com/311-catalog_default/barbell-shrug.jpg",4,500,500)</f>
        <v/>
      </c>
      <c r="C592" s="30">
        <v>591.0</v>
      </c>
      <c r="D592" s="16" t="s">
        <v>1030</v>
      </c>
      <c r="E592" s="16" t="s">
        <v>184</v>
      </c>
      <c r="F592" s="16" t="s">
        <v>192</v>
      </c>
      <c r="G592" s="16" t="s">
        <v>186</v>
      </c>
      <c r="H592" s="16" t="s">
        <v>238</v>
      </c>
      <c r="I592" s="16" t="s">
        <v>618</v>
      </c>
    </row>
    <row r="593" ht="242.25" customHeight="1">
      <c r="A593" s="32" t="b">
        <v>0</v>
      </c>
      <c r="B593" s="32" t="str">
        <f>IMAGE("https://gymvisual.com/11011-catalog_default/barbell-shrug-female.jpg",4,500,500)</f>
        <v/>
      </c>
      <c r="C593" s="30">
        <v>592.0</v>
      </c>
      <c r="D593" s="16" t="s">
        <v>1031</v>
      </c>
      <c r="E593" s="16" t="s">
        <v>184</v>
      </c>
      <c r="F593" s="16" t="s">
        <v>192</v>
      </c>
      <c r="G593" s="16" t="s">
        <v>186</v>
      </c>
      <c r="H593" s="16" t="s">
        <v>238</v>
      </c>
      <c r="I593" s="16" t="s">
        <v>618</v>
      </c>
    </row>
    <row r="594" ht="242.25" customHeight="1">
      <c r="A594" s="32" t="b">
        <v>0</v>
      </c>
      <c r="B594" s="32" t="str">
        <f>IMAGE("https://gymvisual.com/314-catalog_default/barbell-side-bent-version-2.jpg",4,500,500)</f>
        <v/>
      </c>
      <c r="C594" s="30">
        <v>593.0</v>
      </c>
      <c r="D594" s="16" t="s">
        <v>1032</v>
      </c>
      <c r="E594" s="16" t="s">
        <v>184</v>
      </c>
      <c r="F594" s="16" t="s">
        <v>254</v>
      </c>
      <c r="G594" s="16" t="s">
        <v>186</v>
      </c>
      <c r="H594" s="16" t="s">
        <v>257</v>
      </c>
      <c r="I594" s="16" t="s">
        <v>271</v>
      </c>
    </row>
    <row r="595" ht="242.25" customHeight="1">
      <c r="A595" s="32" t="b">
        <v>0</v>
      </c>
      <c r="B595" s="32" t="str">
        <f>IMAGE("https://gymvisual.com/320-catalog_default/barbell-side-split-squat.jpg",4,500,500)</f>
        <v/>
      </c>
      <c r="C595" s="30">
        <v>594.0</v>
      </c>
      <c r="D595" s="16" t="s">
        <v>1033</v>
      </c>
      <c r="E595" s="16" t="s">
        <v>184</v>
      </c>
      <c r="F595" s="16" t="s">
        <v>285</v>
      </c>
      <c r="G595" s="16" t="s">
        <v>186</v>
      </c>
      <c r="H595" s="16" t="s">
        <v>189</v>
      </c>
      <c r="I595" s="16" t="s">
        <v>1034</v>
      </c>
    </row>
    <row r="596" ht="242.25" customHeight="1">
      <c r="A596" s="32" t="b">
        <v>0</v>
      </c>
      <c r="B596" s="32" t="str">
        <f>IMAGE("https://gymvisual.com/317-catalog_default/barbell-side-split-squat-version-2.jpg",4,500,500)</f>
        <v/>
      </c>
      <c r="C596" s="30">
        <v>595.0</v>
      </c>
      <c r="D596" s="16" t="s">
        <v>1035</v>
      </c>
      <c r="E596" s="16" t="s">
        <v>184</v>
      </c>
      <c r="F596" s="16" t="s">
        <v>285</v>
      </c>
      <c r="G596" s="16" t="s">
        <v>186</v>
      </c>
      <c r="H596" s="16" t="s">
        <v>189</v>
      </c>
      <c r="I596" s="16" t="s">
        <v>190</v>
      </c>
    </row>
    <row r="597" ht="242.25" customHeight="1">
      <c r="A597" s="32" t="b">
        <v>0</v>
      </c>
      <c r="B597" s="32" t="str">
        <f>IMAGE("https://gymvisual.com/7516-catalog_default/barbell-single-leg-deadlift.jpg",4,500,500)</f>
        <v/>
      </c>
      <c r="C597" s="30">
        <v>596.0</v>
      </c>
      <c r="D597" s="16" t="s">
        <v>1036</v>
      </c>
      <c r="E597" s="16" t="s">
        <v>184</v>
      </c>
      <c r="F597" s="16" t="s">
        <v>185</v>
      </c>
      <c r="G597" s="16" t="s">
        <v>186</v>
      </c>
      <c r="H597" s="16" t="s">
        <v>187</v>
      </c>
      <c r="I597" s="16" t="s">
        <v>482</v>
      </c>
    </row>
    <row r="598" ht="242.25" customHeight="1">
      <c r="A598" s="32" t="b">
        <v>0</v>
      </c>
      <c r="B598" s="32" t="str">
        <f>IMAGE("https://gymvisual.com/11432-catalog_default/barbell-single-leg-deadlift-female.jpg",4,500,500)</f>
        <v/>
      </c>
      <c r="C598" s="30">
        <v>597.0</v>
      </c>
      <c r="D598" s="16" t="s">
        <v>1037</v>
      </c>
      <c r="E598" s="16" t="s">
        <v>184</v>
      </c>
      <c r="F598" s="16" t="s">
        <v>185</v>
      </c>
      <c r="G598" s="16" t="s">
        <v>186</v>
      </c>
      <c r="H598" s="16" t="s">
        <v>220</v>
      </c>
      <c r="I598" s="16" t="s">
        <v>220</v>
      </c>
    </row>
    <row r="599" ht="242.25" customHeight="1">
      <c r="A599" s="32" t="b">
        <v>0</v>
      </c>
      <c r="B599" s="32" t="str">
        <f>IMAGE("https://gymvisual.com/22385-catalog_default/barbell-single-leg-good-morning.jpg",4,500,500)</f>
        <v/>
      </c>
      <c r="C599" s="30">
        <v>598.0</v>
      </c>
      <c r="D599" s="16" t="s">
        <v>1038</v>
      </c>
      <c r="E599" s="16" t="s">
        <v>184</v>
      </c>
      <c r="F599" s="16" t="s">
        <v>285</v>
      </c>
      <c r="G599" s="16" t="s">
        <v>186</v>
      </c>
      <c r="H599" s="16" t="s">
        <v>220</v>
      </c>
      <c r="I599" s="16" t="s">
        <v>220</v>
      </c>
    </row>
    <row r="600" ht="242.25" customHeight="1">
      <c r="A600" s="32" t="b">
        <v>0</v>
      </c>
      <c r="B600" s="32" t="str">
        <f>IMAGE("https://gymvisual.com/24721-catalog_default/barbell-single-leg-split-squat.jpg",4,500,500)</f>
        <v/>
      </c>
      <c r="C600" s="30">
        <v>599.0</v>
      </c>
      <c r="D600" s="16" t="s">
        <v>1039</v>
      </c>
      <c r="E600" s="16" t="s">
        <v>184</v>
      </c>
      <c r="F600" s="16" t="s">
        <v>185</v>
      </c>
      <c r="G600" s="16" t="s">
        <v>186</v>
      </c>
      <c r="H600" s="16" t="s">
        <v>189</v>
      </c>
      <c r="I600" s="16" t="s">
        <v>190</v>
      </c>
    </row>
    <row r="601" ht="242.25" customHeight="1">
      <c r="A601" s="32" t="b">
        <v>0</v>
      </c>
      <c r="B601" s="32" t="str">
        <f>IMAGE("https://gymvisual.com/9595-catalog_default/barbell-single-leg-split-squat-female.jpg",4,500,500)</f>
        <v/>
      </c>
      <c r="C601" s="30">
        <v>600.0</v>
      </c>
      <c r="D601" s="16" t="s">
        <v>1040</v>
      </c>
      <c r="E601" s="16" t="s">
        <v>184</v>
      </c>
      <c r="F601" s="16" t="s">
        <v>294</v>
      </c>
      <c r="G601" s="16" t="s">
        <v>186</v>
      </c>
      <c r="H601" s="16" t="s">
        <v>189</v>
      </c>
      <c r="I601" s="16" t="s">
        <v>190</v>
      </c>
    </row>
    <row r="602" ht="242.25" customHeight="1">
      <c r="A602" s="32" t="b">
        <v>0</v>
      </c>
      <c r="B602" s="32" t="str">
        <f>IMAGE("https://gymvisual.com/18770-catalog_default/barbell-single-leg-squat.jpg",4,500,500)</f>
        <v/>
      </c>
      <c r="C602" s="30">
        <v>601.0</v>
      </c>
      <c r="D602" s="16" t="s">
        <v>1041</v>
      </c>
      <c r="E602" s="16" t="s">
        <v>184</v>
      </c>
      <c r="F602" s="16" t="s">
        <v>285</v>
      </c>
      <c r="G602" s="16" t="s">
        <v>186</v>
      </c>
      <c r="H602" s="16" t="s">
        <v>220</v>
      </c>
      <c r="I602" s="16" t="s">
        <v>220</v>
      </c>
    </row>
    <row r="603" ht="242.25" customHeight="1">
      <c r="A603" s="32" t="b">
        <v>0</v>
      </c>
      <c r="B603" s="32" t="str">
        <f>IMAGE("https://gymvisual.com/11962-catalog_default/barbell-sitted-alternate-leg-raise.jpg",4,500,500)</f>
        <v/>
      </c>
      <c r="C603" s="30">
        <v>602.0</v>
      </c>
      <c r="D603" s="16" t="s">
        <v>1042</v>
      </c>
      <c r="E603" s="16" t="s">
        <v>184</v>
      </c>
      <c r="F603" s="16" t="s">
        <v>254</v>
      </c>
      <c r="G603" s="16" t="s">
        <v>186</v>
      </c>
      <c r="H603" s="16" t="s">
        <v>220</v>
      </c>
      <c r="I603" s="16" t="s">
        <v>220</v>
      </c>
    </row>
    <row r="604" ht="242.25" customHeight="1">
      <c r="A604" s="32" t="b">
        <v>0</v>
      </c>
      <c r="B604" s="32" t="str">
        <f>IMAGE("https://gymvisual.com/11963-catalog_default/barbell-sitted-alternate-leg-raise-female.jpg",4,500,500)</f>
        <v/>
      </c>
      <c r="C604" s="30">
        <v>603.0</v>
      </c>
      <c r="D604" s="16" t="s">
        <v>1043</v>
      </c>
      <c r="E604" s="16" t="s">
        <v>184</v>
      </c>
      <c r="F604" s="16" t="s">
        <v>254</v>
      </c>
      <c r="G604" s="16" t="s">
        <v>186</v>
      </c>
      <c r="H604" s="16" t="s">
        <v>220</v>
      </c>
      <c r="I604" s="16" t="s">
        <v>220</v>
      </c>
    </row>
    <row r="605" ht="242.25" customHeight="1">
      <c r="A605" s="32" t="b">
        <v>0</v>
      </c>
      <c r="B605" s="32" t="str">
        <f>IMAGE("https://gymvisual.com/22393-catalog_default/barbell-sitting-on-floor-oblique-twist.jpg",4,500,500)</f>
        <v/>
      </c>
      <c r="C605" s="30">
        <v>604.0</v>
      </c>
      <c r="D605" s="16" t="s">
        <v>1044</v>
      </c>
      <c r="E605" s="16" t="s">
        <v>184</v>
      </c>
      <c r="F605" s="16" t="s">
        <v>254</v>
      </c>
      <c r="G605" s="16" t="s">
        <v>186</v>
      </c>
      <c r="H605" s="16" t="s">
        <v>220</v>
      </c>
      <c r="I605" s="16" t="s">
        <v>220</v>
      </c>
    </row>
    <row r="606" ht="242.25" customHeight="1">
      <c r="A606" s="32" t="b">
        <v>0</v>
      </c>
      <c r="B606" s="32" t="str">
        <f>IMAGE("https://gymvisual.com/326-catalog_default/barbell-skier.jpg",4,500,500)</f>
        <v/>
      </c>
      <c r="C606" s="30">
        <v>605.0</v>
      </c>
      <c r="D606" s="16" t="s">
        <v>1045</v>
      </c>
      <c r="E606" s="16" t="s">
        <v>184</v>
      </c>
      <c r="F606" s="16" t="s">
        <v>228</v>
      </c>
      <c r="G606" s="16" t="s">
        <v>186</v>
      </c>
      <c r="H606" s="16" t="s">
        <v>408</v>
      </c>
      <c r="I606" s="16" t="s">
        <v>1046</v>
      </c>
    </row>
    <row r="607" ht="242.25" customHeight="1">
      <c r="A607" s="32" t="b">
        <v>0</v>
      </c>
      <c r="B607" s="32" t="str">
        <f>IMAGE("https://gymvisual.com/12056-catalog_default/barbell-skier-female.jpg",4,500,500)</f>
        <v/>
      </c>
      <c r="C607" s="30">
        <v>606.0</v>
      </c>
      <c r="D607" s="16" t="s">
        <v>1047</v>
      </c>
      <c r="E607" s="16" t="s">
        <v>184</v>
      </c>
      <c r="F607" s="16" t="s">
        <v>228</v>
      </c>
      <c r="G607" s="16" t="s">
        <v>186</v>
      </c>
      <c r="H607" s="16" t="s">
        <v>220</v>
      </c>
      <c r="I607" s="16" t="s">
        <v>220</v>
      </c>
    </row>
    <row r="608" ht="242.25" customHeight="1">
      <c r="A608" s="32" t="b">
        <v>0</v>
      </c>
      <c r="B608" s="32" t="str">
        <f>IMAGE("https://gymvisual.com/20436-catalog_default/barbell-snatch.jpg",4,500,500)</f>
        <v/>
      </c>
      <c r="C608" s="30">
        <v>607.0</v>
      </c>
      <c r="D608" s="16" t="s">
        <v>1048</v>
      </c>
      <c r="E608" s="16" t="s">
        <v>184</v>
      </c>
      <c r="F608" s="16" t="s">
        <v>764</v>
      </c>
      <c r="G608" s="16" t="s">
        <v>186</v>
      </c>
      <c r="H608" s="16" t="s">
        <v>1049</v>
      </c>
      <c r="I608" s="16" t="s">
        <v>220</v>
      </c>
    </row>
    <row r="609" ht="242.25" customHeight="1">
      <c r="A609" s="32" t="b">
        <v>0</v>
      </c>
      <c r="B609" s="32" t="str">
        <f>IMAGE("https://gymvisual.com/6782-catalog_default/barbell-snatch-balance.jpg",4,500,500)</f>
        <v/>
      </c>
      <c r="C609" s="30">
        <v>608.0</v>
      </c>
      <c r="D609" s="16" t="s">
        <v>1050</v>
      </c>
      <c r="E609" s="16" t="s">
        <v>184</v>
      </c>
      <c r="F609" s="16" t="s">
        <v>764</v>
      </c>
      <c r="G609" s="16" t="s">
        <v>186</v>
      </c>
      <c r="H609" s="16" t="s">
        <v>1051</v>
      </c>
      <c r="I609" s="16" t="s">
        <v>220</v>
      </c>
    </row>
    <row r="610" ht="242.25" customHeight="1">
      <c r="A610" s="32" t="b">
        <v>0</v>
      </c>
      <c r="B610" s="32" t="str">
        <f>IMAGE("https://gymvisual.com/6783-catalog_default/barbell-snatch-deadlift.jpg",4,500,500)</f>
        <v/>
      </c>
      <c r="C610" s="30">
        <v>609.0</v>
      </c>
      <c r="D610" s="16" t="s">
        <v>1052</v>
      </c>
      <c r="E610" s="16" t="s">
        <v>184</v>
      </c>
      <c r="F610" s="16" t="s">
        <v>285</v>
      </c>
      <c r="G610" s="16" t="s">
        <v>186</v>
      </c>
      <c r="H610" s="16" t="s">
        <v>1053</v>
      </c>
      <c r="I610" s="16" t="s">
        <v>220</v>
      </c>
    </row>
    <row r="611" ht="242.25" customHeight="1">
      <c r="A611" s="32" t="b">
        <v>0</v>
      </c>
      <c r="B611" s="32" t="str">
        <f>IMAGE("https://gymvisual.com/6784-catalog_default/barbell-snatch-from-blocks.jpg",4,500,500)</f>
        <v/>
      </c>
      <c r="C611" s="30">
        <v>610.0</v>
      </c>
      <c r="D611" s="16" t="s">
        <v>1054</v>
      </c>
      <c r="E611" s="16" t="s">
        <v>184</v>
      </c>
      <c r="F611" s="16" t="s">
        <v>764</v>
      </c>
      <c r="G611" s="16" t="s">
        <v>186</v>
      </c>
      <c r="H611" s="16" t="s">
        <v>1055</v>
      </c>
      <c r="I611" s="16" t="s">
        <v>220</v>
      </c>
    </row>
    <row r="612" ht="242.25" customHeight="1">
      <c r="A612" s="32" t="b">
        <v>0</v>
      </c>
      <c r="B612" s="32" t="str">
        <f>IMAGE("https://gymvisual.com/329-catalog_default/barbell-speed-squat.jpg",4,500,500)</f>
        <v/>
      </c>
      <c r="C612" s="30">
        <v>611.0</v>
      </c>
      <c r="D612" s="16" t="s">
        <v>1056</v>
      </c>
      <c r="E612" s="16" t="s">
        <v>184</v>
      </c>
      <c r="F612" s="16" t="s">
        <v>285</v>
      </c>
      <c r="G612" s="16" t="s">
        <v>186</v>
      </c>
      <c r="H612" s="16" t="s">
        <v>189</v>
      </c>
      <c r="I612" s="16" t="s">
        <v>190</v>
      </c>
    </row>
    <row r="613" ht="242.25" customHeight="1">
      <c r="A613" s="32" t="b">
        <v>0</v>
      </c>
      <c r="B613" s="32" t="str">
        <f>IMAGE("https://gymvisual.com/18748-catalog_default/barbell-spider-curl.jpg",4,500,500)</f>
        <v/>
      </c>
      <c r="C613" s="30">
        <v>612.0</v>
      </c>
      <c r="D613" s="16" t="s">
        <v>1057</v>
      </c>
      <c r="E613" s="16" t="s">
        <v>184</v>
      </c>
      <c r="F613" s="16" t="s">
        <v>219</v>
      </c>
      <c r="G613" s="16" t="s">
        <v>186</v>
      </c>
      <c r="H613" s="16" t="s">
        <v>220</v>
      </c>
      <c r="I613" s="16" t="s">
        <v>220</v>
      </c>
    </row>
    <row r="614" ht="242.25" customHeight="1">
      <c r="A614" s="32" t="b">
        <v>0</v>
      </c>
      <c r="B614" s="32" t="str">
        <f>IMAGE("https://gymvisual.com/6785-catalog_default/barbell-split-clean.jpg",4,500,500)</f>
        <v/>
      </c>
      <c r="C614" s="30">
        <v>613.0</v>
      </c>
      <c r="D614" s="16" t="s">
        <v>1058</v>
      </c>
      <c r="E614" s="16" t="s">
        <v>184</v>
      </c>
      <c r="F614" s="16" t="s">
        <v>764</v>
      </c>
      <c r="G614" s="16" t="s">
        <v>186</v>
      </c>
      <c r="H614" s="16" t="s">
        <v>1059</v>
      </c>
      <c r="I614" s="16" t="s">
        <v>220</v>
      </c>
    </row>
    <row r="615" ht="242.25" customHeight="1">
      <c r="A615" s="32" t="b">
        <v>0</v>
      </c>
      <c r="B615" s="32" t="str">
        <f>IMAGE("https://gymvisual.com/6786-catalog_default/barbell-split-jerk.jpg",4,500,500)</f>
        <v/>
      </c>
      <c r="C615" s="30">
        <v>614.0</v>
      </c>
      <c r="D615" s="16" t="s">
        <v>1060</v>
      </c>
      <c r="E615" s="16" t="s">
        <v>184</v>
      </c>
      <c r="F615" s="16" t="s">
        <v>764</v>
      </c>
      <c r="G615" s="16" t="s">
        <v>186</v>
      </c>
      <c r="H615" s="16" t="s">
        <v>1061</v>
      </c>
      <c r="I615" s="16" t="s">
        <v>220</v>
      </c>
    </row>
    <row r="616" ht="242.25" customHeight="1">
      <c r="A616" s="32" t="b">
        <v>0</v>
      </c>
      <c r="B616" s="32" t="str">
        <f>IMAGE("https://gymvisual.com/13329-catalog_default/barbell-split-squat.jpg",4,500,500)</f>
        <v/>
      </c>
      <c r="C616" s="30">
        <v>615.0</v>
      </c>
      <c r="D616" s="16" t="s">
        <v>1062</v>
      </c>
      <c r="E616" s="16" t="s">
        <v>184</v>
      </c>
      <c r="F616" s="16" t="s">
        <v>294</v>
      </c>
      <c r="G616" s="16" t="s">
        <v>186</v>
      </c>
      <c r="H616" s="16" t="s">
        <v>189</v>
      </c>
      <c r="I616" s="16" t="s">
        <v>190</v>
      </c>
    </row>
    <row r="617" ht="242.25" customHeight="1">
      <c r="A617" s="32" t="b">
        <v>0</v>
      </c>
      <c r="B617" s="32" t="str">
        <f>IMAGE("https://gymvisual.com/10259-catalog_default/barbell-split-squat-female.jpg",4,500,500)</f>
        <v/>
      </c>
      <c r="C617" s="30">
        <v>616.0</v>
      </c>
      <c r="D617" s="16" t="s">
        <v>1063</v>
      </c>
      <c r="E617" s="16" t="s">
        <v>184</v>
      </c>
      <c r="F617" s="16" t="s">
        <v>294</v>
      </c>
      <c r="G617" s="16" t="s">
        <v>186</v>
      </c>
      <c r="H617" s="16" t="s">
        <v>189</v>
      </c>
      <c r="I617" s="16" t="s">
        <v>190</v>
      </c>
    </row>
    <row r="618" ht="242.25" customHeight="1">
      <c r="A618" s="32" t="b">
        <v>0</v>
      </c>
      <c r="B618" s="32" t="str">
        <f>IMAGE("https://gymvisual.com/11972-catalog_default/barbell-split-squat-version-2.jpg",4,500,500)</f>
        <v/>
      </c>
      <c r="C618" s="30">
        <v>617.0</v>
      </c>
      <c r="D618" s="16" t="s">
        <v>1064</v>
      </c>
      <c r="E618" s="16" t="s">
        <v>184</v>
      </c>
      <c r="F618" s="16" t="s">
        <v>185</v>
      </c>
      <c r="G618" s="16" t="s">
        <v>186</v>
      </c>
      <c r="H618" s="16" t="s">
        <v>189</v>
      </c>
      <c r="I618" s="16" t="s">
        <v>190</v>
      </c>
    </row>
    <row r="619" ht="242.25" customHeight="1">
      <c r="A619" s="32" t="b">
        <v>0</v>
      </c>
      <c r="B619" s="32" t="str">
        <f>IMAGE("https://gymvisual.com/11973-catalog_default/barbell-split-squat-version-2-female.jpg",4,500,500)</f>
        <v/>
      </c>
      <c r="C619" s="30">
        <v>618.0</v>
      </c>
      <c r="D619" s="16" t="s">
        <v>1065</v>
      </c>
      <c r="E619" s="16" t="s">
        <v>184</v>
      </c>
      <c r="F619" s="16" t="s">
        <v>185</v>
      </c>
      <c r="G619" s="16" t="s">
        <v>186</v>
      </c>
      <c r="H619" s="16" t="s">
        <v>220</v>
      </c>
      <c r="I619" s="16" t="s">
        <v>220</v>
      </c>
    </row>
    <row r="620" ht="242.25" customHeight="1">
      <c r="A620" s="32" t="b">
        <v>0</v>
      </c>
      <c r="B620" s="32" t="str">
        <f>IMAGE("https://gymvisual.com/14250-catalog_default/barbell-squat-female.jpg",4,500,500)</f>
        <v/>
      </c>
      <c r="C620" s="30">
        <v>619.0</v>
      </c>
      <c r="D620" s="16" t="s">
        <v>1066</v>
      </c>
      <c r="E620" s="16" t="s">
        <v>184</v>
      </c>
      <c r="F620" s="16" t="s">
        <v>294</v>
      </c>
      <c r="G620" s="16" t="s">
        <v>186</v>
      </c>
      <c r="H620" s="16" t="s">
        <v>189</v>
      </c>
      <c r="I620" s="16" t="s">
        <v>190</v>
      </c>
    </row>
    <row r="621" ht="242.25" customHeight="1">
      <c r="A621" s="32" t="b">
        <v>0</v>
      </c>
      <c r="B621" s="32" t="str">
        <f>IMAGE("https://gymvisual.com/332-catalog_default/barbell-squat-on-knees.jpg",4,500,500)</f>
        <v/>
      </c>
      <c r="C621" s="30">
        <v>620.0</v>
      </c>
      <c r="D621" s="16" t="s">
        <v>1067</v>
      </c>
      <c r="E621" s="16" t="s">
        <v>184</v>
      </c>
      <c r="F621" s="16" t="s">
        <v>285</v>
      </c>
      <c r="G621" s="16" t="s">
        <v>186</v>
      </c>
      <c r="H621" s="16" t="s">
        <v>552</v>
      </c>
      <c r="I621" s="16" t="s">
        <v>683</v>
      </c>
    </row>
    <row r="622" ht="242.25" customHeight="1">
      <c r="B622" s="32" t="str">
        <f>IMAGE("https://gymvisual.com/12830-catalog_default/barbell-squat-with-hanging-band-technique.jpg",4,500,500)</f>
        <v/>
      </c>
      <c r="C622" s="30">
        <v>621.0</v>
      </c>
      <c r="D622" s="16" t="s">
        <v>1068</v>
      </c>
      <c r="E622" s="16" t="s">
        <v>184</v>
      </c>
      <c r="F622" s="16" t="s">
        <v>285</v>
      </c>
      <c r="G622" s="16" t="s">
        <v>186</v>
      </c>
      <c r="H622" s="16" t="s">
        <v>189</v>
      </c>
      <c r="I622" s="16" t="s">
        <v>190</v>
      </c>
    </row>
    <row r="623" ht="242.25" customHeight="1">
      <c r="A623" s="32" t="b">
        <v>0</v>
      </c>
      <c r="B623" s="32" t="str">
        <f>IMAGE("https://gymvisual.com/10233-catalog_default/barbell-squat-hips-wrong-right.jpg",4,500,500)</f>
        <v/>
      </c>
      <c r="C623" s="30">
        <v>622.0</v>
      </c>
      <c r="D623" s="16" t="s">
        <v>1069</v>
      </c>
      <c r="E623" s="16" t="s">
        <v>184</v>
      </c>
      <c r="F623" s="16" t="s">
        <v>294</v>
      </c>
      <c r="G623" s="16" t="s">
        <v>186</v>
      </c>
      <c r="H623" s="16" t="s">
        <v>220</v>
      </c>
      <c r="I623" s="16" t="s">
        <v>220</v>
      </c>
    </row>
    <row r="624" ht="242.25" customHeight="1">
      <c r="A624" s="32" t="b">
        <v>0</v>
      </c>
      <c r="B624" s="32" t="str">
        <f>IMAGE("https://gymvisual.com/10229-catalog_default/barbell-squat-knees-end-position-wrong-right.jpg",4,500,500)</f>
        <v/>
      </c>
      <c r="C624" s="30">
        <v>623.0</v>
      </c>
      <c r="D624" s="16" t="s">
        <v>1070</v>
      </c>
      <c r="E624" s="16" t="s">
        <v>184</v>
      </c>
      <c r="F624" s="16" t="s">
        <v>285</v>
      </c>
      <c r="G624" s="16" t="s">
        <v>186</v>
      </c>
      <c r="H624" s="16" t="s">
        <v>220</v>
      </c>
      <c r="I624" s="16" t="s">
        <v>220</v>
      </c>
    </row>
    <row r="625" ht="242.25" customHeight="1">
      <c r="A625" s="32" t="b">
        <v>0</v>
      </c>
      <c r="B625" s="32" t="str">
        <f>IMAGE("https://gymvisual.com/10231-catalog_default/barbell-squat-knees-middle-position-wrong-right.jpg",4,500,500)</f>
        <v/>
      </c>
      <c r="C625" s="30">
        <v>624.0</v>
      </c>
      <c r="D625" s="16" t="s">
        <v>1071</v>
      </c>
      <c r="E625" s="16" t="s">
        <v>184</v>
      </c>
      <c r="F625" s="16" t="s">
        <v>294</v>
      </c>
      <c r="G625" s="16" t="s">
        <v>186</v>
      </c>
      <c r="H625" s="16" t="s">
        <v>220</v>
      </c>
      <c r="I625" s="16" t="s">
        <v>220</v>
      </c>
    </row>
    <row r="626" ht="242.25" customHeight="1">
      <c r="A626" s="32" t="b">
        <v>0</v>
      </c>
      <c r="B626" s="32" t="str">
        <f>IMAGE("https://gymvisual.com/19778-catalog_default/barbell-squat-2-sec-hold.jpg",4,500,500)</f>
        <v/>
      </c>
      <c r="C626" s="30">
        <v>625.0</v>
      </c>
      <c r="D626" s="16" t="s">
        <v>1072</v>
      </c>
      <c r="E626" s="16" t="s">
        <v>184</v>
      </c>
      <c r="F626" s="16" t="s">
        <v>285</v>
      </c>
      <c r="G626" s="16" t="s">
        <v>186</v>
      </c>
      <c r="H626" s="16" t="s">
        <v>189</v>
      </c>
      <c r="I626" s="16" t="s">
        <v>190</v>
      </c>
    </row>
    <row r="627" ht="242.25" customHeight="1">
      <c r="A627" s="32" t="b">
        <v>0</v>
      </c>
      <c r="B627" s="32" t="str">
        <f>IMAGE("https://gymvisual.com/6788-catalog_default/barbell-squat-to-shoulder-press.jpg",4,500,500)</f>
        <v/>
      </c>
      <c r="C627" s="30">
        <v>626.0</v>
      </c>
      <c r="D627" s="16" t="s">
        <v>1073</v>
      </c>
      <c r="E627" s="16" t="s">
        <v>184</v>
      </c>
      <c r="F627" s="16" t="s">
        <v>285</v>
      </c>
      <c r="G627" s="16" t="s">
        <v>186</v>
      </c>
      <c r="H627" s="16" t="s">
        <v>220</v>
      </c>
      <c r="I627" s="16" t="s">
        <v>220</v>
      </c>
    </row>
    <row r="628" ht="242.25" customHeight="1">
      <c r="A628" s="32" t="b">
        <v>0</v>
      </c>
      <c r="B628" s="32" t="str">
        <f>IMAGE("https://gymvisual.com/6789-catalog_default/barbell-squat-to-upright-row.jpg",4,500,500)</f>
        <v/>
      </c>
      <c r="C628" s="30">
        <v>627.0</v>
      </c>
      <c r="D628" s="16" t="s">
        <v>1074</v>
      </c>
      <c r="E628" s="16" t="s">
        <v>184</v>
      </c>
      <c r="F628" s="16" t="s">
        <v>285</v>
      </c>
      <c r="G628" s="16" t="s">
        <v>186</v>
      </c>
      <c r="H628" s="16" t="s">
        <v>220</v>
      </c>
      <c r="I628" s="16" t="s">
        <v>220</v>
      </c>
    </row>
    <row r="629" ht="242.25" customHeight="1">
      <c r="A629" s="32" t="b">
        <v>0</v>
      </c>
      <c r="B629" s="32" t="str">
        <f>IMAGE("https://gymvisual.com/17861-catalog_default/barbell-squat-with-chains.jpg",4,500,500)</f>
        <v/>
      </c>
      <c r="C629" s="30">
        <v>628.0</v>
      </c>
      <c r="D629" s="16" t="s">
        <v>1075</v>
      </c>
      <c r="E629" s="16" t="s">
        <v>184</v>
      </c>
      <c r="F629" s="16" t="s">
        <v>285</v>
      </c>
      <c r="G629" s="16" t="s">
        <v>186</v>
      </c>
      <c r="H629" s="16" t="s">
        <v>220</v>
      </c>
      <c r="I629" s="16" t="s">
        <v>220</v>
      </c>
    </row>
    <row r="630" ht="242.25" customHeight="1">
      <c r="A630" s="32" t="b">
        <v>0</v>
      </c>
      <c r="B630" s="32" t="str">
        <f>IMAGE("https://gymvisual.com/25017-catalog_default/barbell-srtict-curl.jpg",4,500,500)</f>
        <v/>
      </c>
      <c r="C630" s="30">
        <v>629.0</v>
      </c>
      <c r="D630" s="16" t="s">
        <v>1076</v>
      </c>
      <c r="E630" s="16" t="s">
        <v>184</v>
      </c>
      <c r="F630" s="16" t="s">
        <v>219</v>
      </c>
      <c r="G630" s="16" t="s">
        <v>186</v>
      </c>
      <c r="H630" s="16" t="s">
        <v>220</v>
      </c>
      <c r="I630" s="16" t="s">
        <v>220</v>
      </c>
    </row>
    <row r="631" ht="242.25" customHeight="1">
      <c r="A631" s="32" t="b">
        <v>0</v>
      </c>
      <c r="B631" s="32" t="str">
        <f>IMAGE("https://gymvisual.com/23857-catalog_default/barbell-staggered-stance-hip-thrust.jpg",4,500,500)</f>
        <v/>
      </c>
      <c r="C631" s="30">
        <v>630.0</v>
      </c>
      <c r="D631" s="16" t="s">
        <v>1077</v>
      </c>
      <c r="E631" s="16" t="s">
        <v>184</v>
      </c>
      <c r="F631" s="16" t="s">
        <v>185</v>
      </c>
      <c r="G631" s="16" t="s">
        <v>186</v>
      </c>
      <c r="H631" s="16" t="s">
        <v>220</v>
      </c>
      <c r="I631" s="16" t="s">
        <v>220</v>
      </c>
    </row>
    <row r="632" ht="242.25" customHeight="1">
      <c r="A632" s="32" t="b">
        <v>0</v>
      </c>
      <c r="B632" s="32" t="str">
        <f>IMAGE("https://gymvisual.com/335-catalog_default/barbell-standing-ab-rollout.jpg",4,500,500)</f>
        <v/>
      </c>
      <c r="C632" s="30">
        <v>631.0</v>
      </c>
      <c r="D632" s="16" t="s">
        <v>1078</v>
      </c>
      <c r="E632" s="16" t="s">
        <v>184</v>
      </c>
      <c r="F632" s="16" t="s">
        <v>254</v>
      </c>
      <c r="G632" s="16" t="s">
        <v>186</v>
      </c>
      <c r="H632" s="16" t="s">
        <v>305</v>
      </c>
      <c r="I632" s="16" t="s">
        <v>1079</v>
      </c>
    </row>
    <row r="633" ht="242.25" customHeight="1">
      <c r="A633" s="32" t="b">
        <v>0</v>
      </c>
      <c r="B633" s="32" t="str">
        <f>IMAGE("https://gymvisual.com/12065-catalog_default/barbell-standing-ab-rollout-female.jpg",4,500,500)</f>
        <v/>
      </c>
      <c r="C633" s="30">
        <v>632.0</v>
      </c>
      <c r="D633" s="16" t="s">
        <v>1080</v>
      </c>
      <c r="E633" s="16" t="s">
        <v>184</v>
      </c>
      <c r="F633" s="16" t="s">
        <v>254</v>
      </c>
      <c r="G633" s="16" t="s">
        <v>186</v>
      </c>
      <c r="H633" s="16" t="s">
        <v>220</v>
      </c>
      <c r="I633" s="16" t="s">
        <v>220</v>
      </c>
    </row>
    <row r="634" ht="242.25" customHeight="1">
      <c r="A634" s="32" t="b">
        <v>0</v>
      </c>
      <c r="B634" s="32" t="str">
        <f>IMAGE("https://gymvisual.com/338-catalog_default/barbell-standing-back-wrist-curl.jpg",4,500,500)</f>
        <v/>
      </c>
      <c r="C634" s="30">
        <v>633.0</v>
      </c>
      <c r="D634" s="16" t="s">
        <v>1081</v>
      </c>
      <c r="E634" s="16" t="s">
        <v>184</v>
      </c>
      <c r="F634" s="16" t="s">
        <v>214</v>
      </c>
      <c r="G634" s="16" t="s">
        <v>186</v>
      </c>
      <c r="H634" s="16" t="s">
        <v>720</v>
      </c>
      <c r="I634" s="16" t="s">
        <v>220</v>
      </c>
    </row>
    <row r="635" ht="242.25" customHeight="1">
      <c r="A635" s="32" t="b">
        <v>0</v>
      </c>
      <c r="B635" s="32" t="str">
        <f>IMAGE("https://gymvisual.com/11014-catalog_default/barbell-standing-back-wrist-curl-female.jpg",4,500,500)</f>
        <v/>
      </c>
      <c r="C635" s="30">
        <v>634.0</v>
      </c>
      <c r="D635" s="16" t="s">
        <v>1082</v>
      </c>
      <c r="E635" s="16" t="s">
        <v>184</v>
      </c>
      <c r="F635" s="16" t="s">
        <v>214</v>
      </c>
      <c r="G635" s="16" t="s">
        <v>186</v>
      </c>
      <c r="H635" s="16" t="s">
        <v>720</v>
      </c>
      <c r="I635" s="16" t="s">
        <v>220</v>
      </c>
    </row>
    <row r="636" ht="242.25" customHeight="1">
      <c r="A636" s="32" t="b">
        <v>0</v>
      </c>
      <c r="B636" s="32" t="str">
        <f>IMAGE("https://gymvisual.com/341-catalog_default/barbell-standing-bradford-press.jpg",4,500,500)</f>
        <v/>
      </c>
      <c r="C636" s="30">
        <v>635.0</v>
      </c>
      <c r="D636" s="16" t="s">
        <v>1083</v>
      </c>
      <c r="E636" s="16" t="s">
        <v>184</v>
      </c>
      <c r="F636" s="16" t="s">
        <v>228</v>
      </c>
      <c r="G636" s="16" t="s">
        <v>186</v>
      </c>
      <c r="H636" s="16" t="s">
        <v>229</v>
      </c>
      <c r="I636" s="16" t="s">
        <v>230</v>
      </c>
    </row>
    <row r="637" ht="242.25" customHeight="1">
      <c r="A637" s="32" t="b">
        <v>0</v>
      </c>
      <c r="B637" s="32" t="str">
        <f>IMAGE("https://gymvisual.com/6067-catalog_default/barbell-standing-calf-raise.jpg",4,500,500)</f>
        <v/>
      </c>
      <c r="C637" s="30">
        <v>636.0</v>
      </c>
      <c r="D637" s="16" t="s">
        <v>1084</v>
      </c>
      <c r="E637" s="16" t="s">
        <v>184</v>
      </c>
      <c r="F637" s="16" t="s">
        <v>325</v>
      </c>
      <c r="G637" s="16" t="s">
        <v>186</v>
      </c>
      <c r="H637" s="16" t="s">
        <v>368</v>
      </c>
      <c r="I637" s="16" t="s">
        <v>463</v>
      </c>
    </row>
    <row r="638" ht="242.25" customHeight="1">
      <c r="A638" s="32" t="b">
        <v>0</v>
      </c>
      <c r="B638" s="32" t="str">
        <f>IMAGE("https://gymvisual.com/11501-catalog_default/barbell-standing-calf-raise-female.jpg",4,500,500)</f>
        <v/>
      </c>
      <c r="C638" s="30">
        <v>637.0</v>
      </c>
      <c r="D638" s="16" t="s">
        <v>1085</v>
      </c>
      <c r="E638" s="16" t="s">
        <v>184</v>
      </c>
      <c r="F638" s="16" t="s">
        <v>325</v>
      </c>
      <c r="G638" s="16" t="s">
        <v>186</v>
      </c>
      <c r="H638" s="16" t="s">
        <v>220</v>
      </c>
      <c r="I638" s="16" t="s">
        <v>220</v>
      </c>
    </row>
    <row r="639" ht="242.25" customHeight="1">
      <c r="A639" s="32" t="b">
        <v>0</v>
      </c>
      <c r="B639" s="32" t="str">
        <f>IMAGE("https://gymvisual.com/2943-catalog_default/barbell-standing-close-grip-curl.jpg",4,500,500)</f>
        <v/>
      </c>
      <c r="C639" s="30">
        <v>638.0</v>
      </c>
      <c r="D639" s="16" t="s">
        <v>1086</v>
      </c>
      <c r="E639" s="16" t="s">
        <v>184</v>
      </c>
      <c r="F639" s="16" t="s">
        <v>219</v>
      </c>
      <c r="G639" s="16" t="s">
        <v>186</v>
      </c>
      <c r="H639" s="16" t="s">
        <v>241</v>
      </c>
      <c r="I639" s="16" t="s">
        <v>292</v>
      </c>
    </row>
    <row r="640" ht="242.25" customHeight="1">
      <c r="A640" s="32" t="b">
        <v>0</v>
      </c>
      <c r="B640" s="32" t="str">
        <f>IMAGE("https://gymvisual.com/11576-catalog_default/barbell-standing-close-grip-curl-female.jpg",4,500,500)</f>
        <v/>
      </c>
      <c r="C640" s="30">
        <v>639.0</v>
      </c>
      <c r="D640" s="16" t="s">
        <v>1087</v>
      </c>
      <c r="E640" s="16" t="s">
        <v>184</v>
      </c>
      <c r="F640" s="16" t="s">
        <v>219</v>
      </c>
      <c r="G640" s="16" t="s">
        <v>186</v>
      </c>
      <c r="H640" s="16" t="s">
        <v>220</v>
      </c>
      <c r="I640" s="16" t="s">
        <v>220</v>
      </c>
    </row>
    <row r="641" ht="242.25" customHeight="1">
      <c r="A641" s="32" t="b">
        <v>0</v>
      </c>
      <c r="B641" s="32" t="str">
        <f>IMAGE("https://gymvisual.com/6470-catalog_default/barbell-standing-close-grip-military-press.jpg",4,500,500)</f>
        <v/>
      </c>
      <c r="C641" s="30">
        <v>640.0</v>
      </c>
      <c r="D641" s="16" t="s">
        <v>1088</v>
      </c>
      <c r="E641" s="16" t="s">
        <v>184</v>
      </c>
      <c r="F641" s="16" t="s">
        <v>228</v>
      </c>
      <c r="G641" s="16" t="s">
        <v>186</v>
      </c>
      <c r="H641" s="16" t="s">
        <v>243</v>
      </c>
      <c r="I641" s="16" t="s">
        <v>244</v>
      </c>
    </row>
    <row r="642" ht="242.25" customHeight="1">
      <c r="A642" s="32" t="b">
        <v>0</v>
      </c>
      <c r="B642" s="32" t="str">
        <f>IMAGE("https://gymvisual.com/13331-catalog_default/barbell-standing-close-grip-military-press-female.jpg",4,500,500)</f>
        <v/>
      </c>
      <c r="C642" s="30">
        <v>641.0</v>
      </c>
      <c r="D642" s="16" t="s">
        <v>1089</v>
      </c>
      <c r="E642" s="16" t="s">
        <v>184</v>
      </c>
      <c r="F642" s="16" t="s">
        <v>228</v>
      </c>
      <c r="G642" s="16" t="s">
        <v>186</v>
      </c>
      <c r="H642" s="16" t="s">
        <v>220</v>
      </c>
      <c r="I642" s="16" t="s">
        <v>220</v>
      </c>
    </row>
    <row r="643" ht="242.25" customHeight="1">
      <c r="A643" s="32" t="b">
        <v>0</v>
      </c>
      <c r="B643" s="32" t="str">
        <f>IMAGE("https://gymvisual.com/10488-catalog_default/barbell-standing-concentration-curl.jpg",4,500,500)</f>
        <v/>
      </c>
      <c r="C643" s="30">
        <v>642.0</v>
      </c>
      <c r="D643" s="16" t="s">
        <v>1090</v>
      </c>
      <c r="E643" s="16" t="s">
        <v>184</v>
      </c>
      <c r="F643" s="16" t="s">
        <v>219</v>
      </c>
      <c r="G643" s="16" t="s">
        <v>186</v>
      </c>
      <c r="H643" s="16" t="s">
        <v>232</v>
      </c>
      <c r="I643" s="16" t="s">
        <v>233</v>
      </c>
    </row>
    <row r="644" ht="242.25" customHeight="1">
      <c r="A644" s="32" t="b">
        <v>0</v>
      </c>
      <c r="B644" s="32" t="str">
        <f>IMAGE("https://gymvisual.com/346-catalog_default/barbell-standing-front-raise-over-head.jpg",4,500,500)</f>
        <v/>
      </c>
      <c r="C644" s="30">
        <v>643.0</v>
      </c>
      <c r="D644" s="16" t="s">
        <v>1091</v>
      </c>
      <c r="E644" s="16" t="s">
        <v>184</v>
      </c>
      <c r="F644" s="16" t="s">
        <v>228</v>
      </c>
      <c r="G644" s="16" t="s">
        <v>186</v>
      </c>
      <c r="H644" s="16" t="s">
        <v>229</v>
      </c>
      <c r="I644" s="16" t="s">
        <v>626</v>
      </c>
    </row>
    <row r="645" ht="242.25" customHeight="1">
      <c r="A645" s="32" t="b">
        <v>0</v>
      </c>
      <c r="B645" s="32" t="str">
        <f>IMAGE("https://gymvisual.com/11561-catalog_default/barbell-standing-front-raise-over-head-female.jpg",4,500,500)</f>
        <v/>
      </c>
      <c r="C645" s="30">
        <v>644.0</v>
      </c>
      <c r="D645" s="16" t="s">
        <v>1092</v>
      </c>
      <c r="E645" s="16" t="s">
        <v>184</v>
      </c>
      <c r="F645" s="16" t="s">
        <v>228</v>
      </c>
      <c r="G645" s="16" t="s">
        <v>186</v>
      </c>
      <c r="H645" s="16" t="s">
        <v>220</v>
      </c>
      <c r="I645" s="16" t="s">
        <v>220</v>
      </c>
    </row>
    <row r="646" ht="242.25" customHeight="1">
      <c r="A646" s="32" t="b">
        <v>0</v>
      </c>
      <c r="B646" s="32" t="str">
        <f>IMAGE("https://gymvisual.com/349-catalog_default/barbell-standing-leg-calf-raise.jpg",4,500,500)</f>
        <v/>
      </c>
      <c r="C646" s="30">
        <v>645.0</v>
      </c>
      <c r="D646" s="16" t="s">
        <v>1093</v>
      </c>
      <c r="E646" s="16" t="s">
        <v>184</v>
      </c>
      <c r="F646" s="16" t="s">
        <v>325</v>
      </c>
      <c r="G646" s="16" t="s">
        <v>186</v>
      </c>
      <c r="H646" s="16" t="s">
        <v>368</v>
      </c>
      <c r="I646" s="16" t="s">
        <v>463</v>
      </c>
    </row>
    <row r="647" ht="242.25" customHeight="1">
      <c r="A647" s="32" t="b">
        <v>0</v>
      </c>
      <c r="B647" s="32" t="str">
        <f>IMAGE("https://gymvisual.com/4375-catalog_default/barbell-standing-military-press.jpg",4,500,500)</f>
        <v/>
      </c>
      <c r="C647" s="30">
        <v>646.0</v>
      </c>
      <c r="D647" s="16" t="s">
        <v>1094</v>
      </c>
      <c r="E647" s="16" t="s">
        <v>184</v>
      </c>
      <c r="F647" s="16" t="s">
        <v>228</v>
      </c>
      <c r="G647" s="16" t="s">
        <v>186</v>
      </c>
      <c r="H647" s="16" t="s">
        <v>229</v>
      </c>
      <c r="I647" s="16" t="s">
        <v>626</v>
      </c>
    </row>
    <row r="648" ht="242.25" customHeight="1">
      <c r="A648" s="32" t="b">
        <v>0</v>
      </c>
      <c r="B648" s="32" t="str">
        <f>IMAGE("https://gymvisual.com/20646-catalog_default/barbell-standing-military-press-without-rack.jpg",4,500,500)</f>
        <v/>
      </c>
      <c r="C648" s="30">
        <v>647.0</v>
      </c>
      <c r="D648" s="16" t="s">
        <v>1095</v>
      </c>
      <c r="E648" s="16" t="s">
        <v>184</v>
      </c>
      <c r="F648" s="16" t="s">
        <v>228</v>
      </c>
      <c r="G648" s="16" t="s">
        <v>186</v>
      </c>
      <c r="H648" s="16" t="s">
        <v>229</v>
      </c>
      <c r="I648" s="16" t="s">
        <v>626</v>
      </c>
    </row>
    <row r="649" ht="242.25" customHeight="1">
      <c r="A649" s="32" t="b">
        <v>0</v>
      </c>
      <c r="B649" s="32" t="str">
        <f>IMAGE("https://gymvisual.com/352-catalog_default/barbell-standing-overhead-triceps-extension.jpg",4,500,500)</f>
        <v/>
      </c>
      <c r="C649" s="30">
        <v>648.0</v>
      </c>
      <c r="D649" s="16" t="s">
        <v>1096</v>
      </c>
      <c r="E649" s="16" t="s">
        <v>184</v>
      </c>
      <c r="F649" s="16" t="s">
        <v>219</v>
      </c>
      <c r="G649" s="16" t="s">
        <v>186</v>
      </c>
      <c r="H649" s="16" t="s">
        <v>223</v>
      </c>
      <c r="I649" s="16" t="s">
        <v>220</v>
      </c>
    </row>
    <row r="650" ht="242.25" customHeight="1">
      <c r="A650" s="32" t="b">
        <v>0</v>
      </c>
      <c r="B650" s="32" t="str">
        <f>IMAGE("https://gymvisual.com/11363-catalog_default/barbell-standing-overhead-triceps-extension-female.jpg",4,500,500)</f>
        <v/>
      </c>
      <c r="C650" s="30">
        <v>649.0</v>
      </c>
      <c r="D650" s="16" t="s">
        <v>1097</v>
      </c>
      <c r="E650" s="16" t="s">
        <v>184</v>
      </c>
      <c r="F650" s="16" t="s">
        <v>219</v>
      </c>
      <c r="G650" s="16" t="s">
        <v>186</v>
      </c>
      <c r="H650" s="16" t="s">
        <v>223</v>
      </c>
      <c r="I650" s="16" t="s">
        <v>220</v>
      </c>
    </row>
    <row r="651" ht="242.25" customHeight="1">
      <c r="A651" s="32" t="b">
        <v>0</v>
      </c>
      <c r="B651" s="32" t="str">
        <f>IMAGE("https://gymvisual.com/355-catalog_default/barbell-standing-reverse-grip-curl.jpg",4,500,500)</f>
        <v/>
      </c>
      <c r="C651" s="30">
        <v>650.0</v>
      </c>
      <c r="D651" s="16" t="s">
        <v>1098</v>
      </c>
      <c r="E651" s="16" t="s">
        <v>184</v>
      </c>
      <c r="F651" s="16" t="s">
        <v>214</v>
      </c>
      <c r="G651" s="16" t="s">
        <v>186</v>
      </c>
      <c r="H651" s="16" t="s">
        <v>216</v>
      </c>
      <c r="I651" s="16" t="s">
        <v>217</v>
      </c>
    </row>
    <row r="652" ht="242.25" customHeight="1">
      <c r="A652" s="32" t="b">
        <v>0</v>
      </c>
      <c r="B652" s="32" t="str">
        <f>IMAGE("https://gymvisual.com/358-catalog_default/barbell-standing-rocking-leg-calf-raise.jpg",4,500,500)</f>
        <v/>
      </c>
      <c r="C652" s="30">
        <v>651.0</v>
      </c>
      <c r="D652" s="16" t="s">
        <v>1099</v>
      </c>
      <c r="E652" s="16" t="s">
        <v>184</v>
      </c>
      <c r="F652" s="16" t="s">
        <v>325</v>
      </c>
      <c r="G652" s="16" t="s">
        <v>186</v>
      </c>
      <c r="H652" s="16" t="s">
        <v>1100</v>
      </c>
      <c r="I652" s="16" t="s">
        <v>463</v>
      </c>
    </row>
    <row r="653" ht="242.25" customHeight="1">
      <c r="A653" s="32" t="b">
        <v>0</v>
      </c>
      <c r="B653" s="32" t="str">
        <f>IMAGE("https://gymvisual.com/25015-catalog_default/barbell-standing-shoulder-pin-press.jpg",4,500,500)</f>
        <v/>
      </c>
      <c r="C653" s="30">
        <v>652.0</v>
      </c>
      <c r="D653" s="16" t="s">
        <v>1101</v>
      </c>
      <c r="E653" s="16" t="s">
        <v>184</v>
      </c>
      <c r="F653" s="16" t="s">
        <v>228</v>
      </c>
      <c r="G653" s="16" t="s">
        <v>186</v>
      </c>
      <c r="H653" s="16" t="s">
        <v>220</v>
      </c>
      <c r="I653" s="16" t="s">
        <v>220</v>
      </c>
    </row>
    <row r="654" ht="242.25" customHeight="1">
      <c r="A654" s="32" t="b">
        <v>0</v>
      </c>
      <c r="B654" s="32" t="str">
        <f>IMAGE("https://gymvisual.com/24926-catalog_default/barbell-standing-shoulders-press.jpg",4,500,500)</f>
        <v/>
      </c>
      <c r="C654" s="30">
        <v>653.0</v>
      </c>
      <c r="D654" s="16" t="s">
        <v>1102</v>
      </c>
      <c r="E654" s="16" t="s">
        <v>184</v>
      </c>
      <c r="F654" s="16" t="s">
        <v>228</v>
      </c>
      <c r="G654" s="16" t="s">
        <v>186</v>
      </c>
      <c r="H654" s="16" t="s">
        <v>229</v>
      </c>
      <c r="I654" s="16" t="s">
        <v>230</v>
      </c>
    </row>
    <row r="655" ht="242.25" customHeight="1">
      <c r="A655" s="32" t="b">
        <v>0</v>
      </c>
      <c r="B655" s="32" t="str">
        <f>IMAGE("https://gymvisual.com/22408-catalog_default/barbell-standing-snatch-grip-shrug.jpg",4,500,500)</f>
        <v/>
      </c>
      <c r="C655" s="30">
        <v>654.0</v>
      </c>
      <c r="D655" s="16" t="s">
        <v>1103</v>
      </c>
      <c r="E655" s="16" t="s">
        <v>184</v>
      </c>
      <c r="F655" s="16" t="s">
        <v>192</v>
      </c>
      <c r="G655" s="16" t="s">
        <v>186</v>
      </c>
      <c r="H655" s="16" t="s">
        <v>220</v>
      </c>
      <c r="I655" s="16" t="s">
        <v>220</v>
      </c>
    </row>
    <row r="656" ht="242.25" customHeight="1">
      <c r="A656" s="32" t="b">
        <v>0</v>
      </c>
      <c r="B656" s="32" t="str">
        <f>IMAGE("https://gymvisual.com/361-catalog_default/barbell-standing-twist.jpg",4,500,500)</f>
        <v/>
      </c>
      <c r="C656" s="30">
        <v>655.0</v>
      </c>
      <c r="D656" s="16" t="s">
        <v>1104</v>
      </c>
      <c r="E656" s="16" t="s">
        <v>184</v>
      </c>
      <c r="F656" s="16" t="s">
        <v>254</v>
      </c>
      <c r="G656" s="16" t="s">
        <v>186</v>
      </c>
      <c r="H656" s="16" t="s">
        <v>257</v>
      </c>
      <c r="I656" s="16" t="s">
        <v>271</v>
      </c>
    </row>
    <row r="657" ht="242.25" customHeight="1">
      <c r="A657" s="32" t="b">
        <v>0</v>
      </c>
      <c r="B657" s="32" t="str">
        <f>IMAGE("https://gymvisual.com/9820-catalog_default/barbell-standing-twist-female.jpg",4,500,500)</f>
        <v/>
      </c>
      <c r="C657" s="30">
        <v>656.0</v>
      </c>
      <c r="D657" s="16" t="s">
        <v>1105</v>
      </c>
      <c r="E657" s="16" t="s">
        <v>184</v>
      </c>
      <c r="F657" s="16" t="s">
        <v>254</v>
      </c>
      <c r="G657" s="16" t="s">
        <v>186</v>
      </c>
      <c r="H657" s="16" t="s">
        <v>257</v>
      </c>
      <c r="I657" s="16" t="s">
        <v>271</v>
      </c>
    </row>
    <row r="658" ht="242.25" customHeight="1">
      <c r="A658" s="32" t="b">
        <v>0</v>
      </c>
      <c r="B658" s="32" t="str">
        <f>IMAGE("https://gymvisual.com/10025-catalog_default/barbell-standing-wide-grip-biceps-curl.jpg",4,500,500)</f>
        <v/>
      </c>
      <c r="C658" s="30">
        <v>657.0</v>
      </c>
      <c r="D658" s="16" t="s">
        <v>1106</v>
      </c>
      <c r="E658" s="16" t="s">
        <v>184</v>
      </c>
      <c r="F658" s="16" t="s">
        <v>219</v>
      </c>
      <c r="G658" s="16" t="s">
        <v>186</v>
      </c>
      <c r="H658" s="16" t="s">
        <v>241</v>
      </c>
      <c r="I658" s="16" t="s">
        <v>232</v>
      </c>
    </row>
    <row r="659" ht="242.25" customHeight="1">
      <c r="A659" s="32" t="b">
        <v>0</v>
      </c>
      <c r="B659" s="32" t="str">
        <f>IMAGE("https://gymvisual.com/6488-catalog_default/barbell-standing-wide-military-press.jpg",4,500,500)</f>
        <v/>
      </c>
      <c r="C659" s="30">
        <v>658.0</v>
      </c>
      <c r="D659" s="16" t="s">
        <v>1107</v>
      </c>
      <c r="E659" s="16" t="s">
        <v>184</v>
      </c>
      <c r="F659" s="16" t="s">
        <v>228</v>
      </c>
      <c r="G659" s="16" t="s">
        <v>186</v>
      </c>
      <c r="H659" s="16" t="s">
        <v>229</v>
      </c>
      <c r="I659" s="16" t="s">
        <v>230</v>
      </c>
    </row>
    <row r="660" ht="242.25" customHeight="1">
      <c r="A660" s="32" t="b">
        <v>0</v>
      </c>
      <c r="B660" s="32" t="str">
        <f>IMAGE("https://gymvisual.com/13333-catalog_default/barbell-standing-wide-military-press-female.jpg",4,500,500)</f>
        <v/>
      </c>
      <c r="C660" s="30">
        <v>659.0</v>
      </c>
      <c r="D660" s="16" t="s">
        <v>1108</v>
      </c>
      <c r="E660" s="16" t="s">
        <v>184</v>
      </c>
      <c r="F660" s="16" t="s">
        <v>228</v>
      </c>
      <c r="G660" s="16" t="s">
        <v>186</v>
      </c>
      <c r="H660" s="16" t="s">
        <v>220</v>
      </c>
      <c r="I660" s="16" t="s">
        <v>220</v>
      </c>
    </row>
    <row r="661" ht="242.25" customHeight="1">
      <c r="A661" s="32" t="b">
        <v>0</v>
      </c>
      <c r="B661" s="32" t="str">
        <f>IMAGE("https://gymvisual.com/364-catalog_default/barbell-standing-wide-grip-curl.jpg",4,500,500)</f>
        <v/>
      </c>
      <c r="C661" s="30">
        <v>660.0</v>
      </c>
      <c r="D661" s="16" t="s">
        <v>1109</v>
      </c>
      <c r="E661" s="16" t="s">
        <v>184</v>
      </c>
      <c r="F661" s="16" t="s">
        <v>219</v>
      </c>
      <c r="G661" s="16" t="s">
        <v>186</v>
      </c>
      <c r="H661" s="16" t="s">
        <v>217</v>
      </c>
      <c r="I661" s="16" t="s">
        <v>216</v>
      </c>
    </row>
    <row r="662" ht="242.25" customHeight="1">
      <c r="A662" s="32" t="b">
        <v>0</v>
      </c>
      <c r="B662" s="32" t="str">
        <f>IMAGE("https://gymvisual.com/11074-catalog_default/barbell-step-up-female.jpg",4,500,500)</f>
        <v/>
      </c>
      <c r="C662" s="30">
        <v>661.0</v>
      </c>
      <c r="D662" s="16" t="s">
        <v>1110</v>
      </c>
      <c r="E662" s="16" t="s">
        <v>184</v>
      </c>
      <c r="F662" s="16" t="s">
        <v>294</v>
      </c>
      <c r="G662" s="16" t="s">
        <v>186</v>
      </c>
      <c r="H662" s="16" t="s">
        <v>220</v>
      </c>
      <c r="I662" s="16" t="s">
        <v>220</v>
      </c>
    </row>
    <row r="663" ht="242.25" customHeight="1">
      <c r="A663" s="32" t="b">
        <v>0</v>
      </c>
      <c r="B663" s="32" t="str">
        <f>IMAGE("https://gymvisual.com/367-catalog_default/barbell-step-up.jpg",4,500,500)</f>
        <v/>
      </c>
      <c r="C663" s="30">
        <v>662.0</v>
      </c>
      <c r="D663" s="16" t="s">
        <v>1111</v>
      </c>
      <c r="E663" s="16" t="s">
        <v>184</v>
      </c>
      <c r="F663" s="16" t="s">
        <v>285</v>
      </c>
      <c r="G663" s="16" t="s">
        <v>186</v>
      </c>
      <c r="H663" s="16" t="s">
        <v>189</v>
      </c>
      <c r="I663" s="16" t="s">
        <v>190</v>
      </c>
    </row>
    <row r="664" ht="242.25" customHeight="1">
      <c r="A664" s="32" t="b">
        <v>0</v>
      </c>
      <c r="B664" s="32" t="str">
        <f>IMAGE("https://gymvisual.com/6790-catalog_default/barbell-stiff-leg-deadlift-on-bench.jpg",4,500,500)</f>
        <v/>
      </c>
      <c r="C664" s="30">
        <v>663.0</v>
      </c>
      <c r="D664" s="16" t="s">
        <v>1112</v>
      </c>
      <c r="E664" s="16" t="s">
        <v>184</v>
      </c>
      <c r="F664" s="16" t="s">
        <v>185</v>
      </c>
      <c r="G664" s="16" t="s">
        <v>186</v>
      </c>
      <c r="H664" s="16" t="s">
        <v>220</v>
      </c>
      <c r="I664" s="16" t="s">
        <v>220</v>
      </c>
    </row>
    <row r="665" ht="242.25" customHeight="1">
      <c r="A665" s="32" t="b">
        <v>0</v>
      </c>
      <c r="B665" s="32" t="str">
        <f>IMAGE("https://gymvisual.com/370-catalog_default/barbell-stiff-leg-good-morning.jpg",4,500,500)</f>
        <v/>
      </c>
      <c r="C665" s="30">
        <v>664.0</v>
      </c>
      <c r="D665" s="16" t="s">
        <v>1113</v>
      </c>
      <c r="E665" s="16" t="s">
        <v>184</v>
      </c>
      <c r="F665" s="16" t="s">
        <v>285</v>
      </c>
      <c r="G665" s="16" t="s">
        <v>186</v>
      </c>
      <c r="H665" s="16" t="s">
        <v>1114</v>
      </c>
      <c r="I665" s="16" t="s">
        <v>1115</v>
      </c>
    </row>
    <row r="666" ht="242.25" customHeight="1">
      <c r="A666" s="32" t="b">
        <v>0</v>
      </c>
      <c r="B666" s="32" t="str">
        <f>IMAGE("https://gymvisual.com/6791-catalog_default/barbell-stiff-legged-deadlift.jpg",4,500,500)</f>
        <v/>
      </c>
      <c r="C666" s="30">
        <v>665.0</v>
      </c>
      <c r="D666" s="16" t="s">
        <v>1116</v>
      </c>
      <c r="E666" s="16" t="s">
        <v>184</v>
      </c>
      <c r="F666" s="16" t="s">
        <v>185</v>
      </c>
      <c r="G666" s="16" t="s">
        <v>186</v>
      </c>
      <c r="H666" s="16" t="s">
        <v>267</v>
      </c>
      <c r="I666" s="16" t="s">
        <v>188</v>
      </c>
    </row>
    <row r="667" ht="242.25" customHeight="1">
      <c r="A667" s="32" t="b">
        <v>0</v>
      </c>
      <c r="B667" s="32" t="str">
        <f>IMAGE("https://gymvisual.com/15635-catalog_default/barbell-straight-leg-deadlift.jpg",4,500,500)</f>
        <v/>
      </c>
      <c r="C667" s="30">
        <v>666.0</v>
      </c>
      <c r="D667" s="16" t="s">
        <v>1117</v>
      </c>
      <c r="E667" s="16" t="s">
        <v>184</v>
      </c>
      <c r="F667" s="16" t="s">
        <v>285</v>
      </c>
      <c r="G667" s="16" t="s">
        <v>186</v>
      </c>
      <c r="H667" s="16" t="s">
        <v>227</v>
      </c>
      <c r="I667" s="16" t="s">
        <v>857</v>
      </c>
    </row>
    <row r="668" ht="242.25" customHeight="1">
      <c r="A668" s="32" t="b">
        <v>0</v>
      </c>
      <c r="B668" s="32" t="str">
        <f>IMAGE("https://gymvisual.com/14252-catalog_default/barbell-straight-leg-deadlift-female.jpg",4,500,500)</f>
        <v/>
      </c>
      <c r="C668" s="30">
        <v>667.0</v>
      </c>
      <c r="D668" s="16" t="s">
        <v>1118</v>
      </c>
      <c r="E668" s="16" t="s">
        <v>184</v>
      </c>
      <c r="F668" s="16" t="s">
        <v>185</v>
      </c>
      <c r="G668" s="16" t="s">
        <v>186</v>
      </c>
      <c r="H668" s="16" t="s">
        <v>267</v>
      </c>
      <c r="I668" s="16" t="s">
        <v>188</v>
      </c>
    </row>
    <row r="669" ht="242.25" customHeight="1">
      <c r="A669" s="32" t="b">
        <v>0</v>
      </c>
      <c r="B669" s="32" t="str">
        <f>IMAGE("https://gymvisual.com/12180-catalog_default/barbell-suitcase-carry.jpg",4,500,500)</f>
        <v/>
      </c>
      <c r="C669" s="30">
        <v>668.0</v>
      </c>
      <c r="D669" s="16" t="s">
        <v>1119</v>
      </c>
      <c r="E669" s="16" t="s">
        <v>184</v>
      </c>
      <c r="F669" s="16" t="s">
        <v>285</v>
      </c>
      <c r="G669" s="16" t="s">
        <v>186</v>
      </c>
      <c r="H669" s="16" t="s">
        <v>220</v>
      </c>
      <c r="I669" s="16" t="s">
        <v>220</v>
      </c>
    </row>
    <row r="670" ht="242.25" customHeight="1">
      <c r="A670" s="32" t="b">
        <v>0</v>
      </c>
      <c r="B670" s="32" t="str">
        <f>IMAGE("https://gymvisual.com/24726-catalog_default/barbell-sumo-deadlift.jpg",4,500,500)</f>
        <v/>
      </c>
      <c r="C670" s="30">
        <v>669.0</v>
      </c>
      <c r="D670" s="16" t="s">
        <v>1120</v>
      </c>
      <c r="E670" s="16" t="s">
        <v>184</v>
      </c>
      <c r="F670" s="16" t="s">
        <v>185</v>
      </c>
      <c r="G670" s="16" t="s">
        <v>186</v>
      </c>
      <c r="H670" s="16" t="s">
        <v>189</v>
      </c>
      <c r="I670" s="16" t="s">
        <v>1121</v>
      </c>
    </row>
    <row r="671" ht="242.25" customHeight="1">
      <c r="A671" s="32" t="b">
        <v>0</v>
      </c>
      <c r="B671" s="32" t="str">
        <f>IMAGE("https://gymvisual.com/11122-catalog_default/barbell-sumo-deadlift-female.jpg",4,500,500)</f>
        <v/>
      </c>
      <c r="C671" s="30">
        <v>670.0</v>
      </c>
      <c r="D671" s="16" t="s">
        <v>1122</v>
      </c>
      <c r="E671" s="16" t="s">
        <v>184</v>
      </c>
      <c r="F671" s="16" t="s">
        <v>294</v>
      </c>
      <c r="G671" s="16" t="s">
        <v>186</v>
      </c>
      <c r="H671" s="16" t="s">
        <v>189</v>
      </c>
      <c r="I671" s="16" t="s">
        <v>1121</v>
      </c>
    </row>
    <row r="672" ht="242.25" customHeight="1">
      <c r="A672" s="32" t="b">
        <v>0</v>
      </c>
      <c r="B672" s="32" t="str">
        <f>IMAGE("https://gymvisual.com/17915-catalog_default/barbell-sumo-deadlift-from-blocks-male.jpg",4,500,500)</f>
        <v/>
      </c>
      <c r="C672" s="30">
        <v>671.0</v>
      </c>
      <c r="D672" s="16" t="s">
        <v>1123</v>
      </c>
      <c r="E672" s="16" t="s">
        <v>184</v>
      </c>
      <c r="F672" s="16" t="s">
        <v>185</v>
      </c>
      <c r="G672" s="16" t="s">
        <v>186</v>
      </c>
      <c r="H672" s="16" t="s">
        <v>220</v>
      </c>
      <c r="I672" s="16" t="s">
        <v>220</v>
      </c>
    </row>
    <row r="673" ht="242.25" customHeight="1">
      <c r="A673" s="32" t="b">
        <v>0</v>
      </c>
      <c r="B673" s="32" t="str">
        <f>IMAGE("https://gymvisual.com/22412-catalog_default/barbell-sumo-deadlift-from-deficit.jpg",4,500,500)</f>
        <v/>
      </c>
      <c r="C673" s="30">
        <v>672.0</v>
      </c>
      <c r="D673" s="16" t="s">
        <v>1124</v>
      </c>
      <c r="E673" s="16" t="s">
        <v>184</v>
      </c>
      <c r="F673" s="16" t="s">
        <v>185</v>
      </c>
      <c r="G673" s="16" t="s">
        <v>186</v>
      </c>
      <c r="H673" s="16" t="s">
        <v>220</v>
      </c>
      <c r="I673" s="16" t="s">
        <v>220</v>
      </c>
    </row>
    <row r="674" ht="242.25" customHeight="1">
      <c r="A674" s="32" t="b">
        <v>0</v>
      </c>
      <c r="B674" s="32" t="str">
        <f>IMAGE("https://gymvisual.com/16394-catalog_default/barbell-sumo-romanian-deadlift.jpg",4,500,500)</f>
        <v/>
      </c>
      <c r="C674" s="30">
        <v>673.0</v>
      </c>
      <c r="D674" s="16" t="s">
        <v>1125</v>
      </c>
      <c r="E674" s="16" t="s">
        <v>184</v>
      </c>
      <c r="F674" s="16" t="s">
        <v>185</v>
      </c>
      <c r="G674" s="16" t="s">
        <v>186</v>
      </c>
      <c r="H674" s="16" t="s">
        <v>267</v>
      </c>
      <c r="I674" s="16" t="s">
        <v>975</v>
      </c>
    </row>
    <row r="675" ht="242.25" customHeight="1">
      <c r="A675" s="32" t="b">
        <v>0</v>
      </c>
      <c r="B675" s="32" t="str">
        <f>IMAGE("https://gymvisual.com/15659-catalog_default/barbell-sumo-squat.jpg",4,500,500)</f>
        <v/>
      </c>
      <c r="C675" s="30">
        <v>674.0</v>
      </c>
      <c r="D675" s="16" t="s">
        <v>1126</v>
      </c>
      <c r="E675" s="16" t="s">
        <v>184</v>
      </c>
      <c r="F675" s="16" t="s">
        <v>285</v>
      </c>
      <c r="G675" s="16" t="s">
        <v>186</v>
      </c>
      <c r="H675" s="16" t="s">
        <v>189</v>
      </c>
      <c r="I675" s="16" t="s">
        <v>1127</v>
      </c>
    </row>
    <row r="676" ht="242.25" customHeight="1">
      <c r="A676" s="32" t="b">
        <v>0</v>
      </c>
      <c r="B676" s="32" t="str">
        <f>IMAGE("https://gymvisual.com/13547-catalog_default/barbell-thruster.jpg",4,500,500)</f>
        <v/>
      </c>
      <c r="C676" s="30">
        <v>675.0</v>
      </c>
      <c r="D676" s="16" t="s">
        <v>1128</v>
      </c>
      <c r="E676" s="16" t="s">
        <v>184</v>
      </c>
      <c r="F676" s="16" t="s">
        <v>1129</v>
      </c>
      <c r="G676" s="16" t="s">
        <v>186</v>
      </c>
      <c r="H676" s="16" t="s">
        <v>793</v>
      </c>
      <c r="I676" s="16" t="s">
        <v>1130</v>
      </c>
    </row>
    <row r="677" ht="242.25" customHeight="1">
      <c r="A677" s="32" t="b">
        <v>0</v>
      </c>
      <c r="B677" s="32" t="str">
        <f>IMAGE("https://gymvisual.com/385-catalog_default/barbell-upright-row.jpg",4,500,500)</f>
        <v/>
      </c>
      <c r="C677" s="30">
        <v>676.0</v>
      </c>
      <c r="D677" s="16" t="s">
        <v>50</v>
      </c>
      <c r="E677" s="16" t="s">
        <v>184</v>
      </c>
      <c r="F677" s="16" t="s">
        <v>228</v>
      </c>
      <c r="G677" s="16" t="s">
        <v>186</v>
      </c>
      <c r="H677" s="16" t="s">
        <v>544</v>
      </c>
      <c r="I677" s="16" t="s">
        <v>713</v>
      </c>
    </row>
    <row r="678" ht="242.25" customHeight="1">
      <c r="A678" s="32" t="b">
        <v>0</v>
      </c>
      <c r="B678" s="32" t="str">
        <f>IMAGE("https://gymvisual.com/9601-catalog_default/barbell-upright-row-female.jpg",4,500,500)</f>
        <v/>
      </c>
      <c r="C678" s="30">
        <v>677.0</v>
      </c>
      <c r="D678" s="16" t="s">
        <v>1131</v>
      </c>
      <c r="E678" s="16" t="s">
        <v>184</v>
      </c>
      <c r="F678" s="16" t="s">
        <v>228</v>
      </c>
      <c r="G678" s="16" t="s">
        <v>186</v>
      </c>
      <c r="H678" s="16" t="s">
        <v>220</v>
      </c>
      <c r="I678" s="16" t="s">
        <v>220</v>
      </c>
    </row>
    <row r="679" ht="242.25" customHeight="1">
      <c r="A679" s="32" t="b">
        <v>0</v>
      </c>
      <c r="B679" s="32" t="str">
        <f>IMAGE("https://gymvisual.com/382-catalog_default/barbell-upright-row-version-2.jpg",4,500,500)</f>
        <v/>
      </c>
      <c r="C679" s="30">
        <v>678.0</v>
      </c>
      <c r="D679" s="16" t="s">
        <v>1132</v>
      </c>
      <c r="E679" s="16" t="s">
        <v>184</v>
      </c>
      <c r="F679" s="16" t="s">
        <v>228</v>
      </c>
      <c r="G679" s="16" t="s">
        <v>186</v>
      </c>
      <c r="H679" s="16" t="s">
        <v>544</v>
      </c>
      <c r="I679" s="16" t="s">
        <v>1133</v>
      </c>
    </row>
    <row r="680" ht="242.25" customHeight="1">
      <c r="A680" s="32" t="b">
        <v>0</v>
      </c>
      <c r="B680" s="32" t="str">
        <f>IMAGE("https://gymvisual.com/24788-catalog_default/barbell-upright-row-version-3.jpg",4,500,500)</f>
        <v/>
      </c>
      <c r="C680" s="30">
        <v>679.0</v>
      </c>
      <c r="D680" s="16" t="s">
        <v>1134</v>
      </c>
      <c r="E680" s="16" t="s">
        <v>184</v>
      </c>
      <c r="F680" s="16" t="s">
        <v>228</v>
      </c>
      <c r="G680" s="16" t="s">
        <v>186</v>
      </c>
      <c r="H680" s="16" t="s">
        <v>544</v>
      </c>
      <c r="I680" s="16" t="s">
        <v>713</v>
      </c>
    </row>
    <row r="681" ht="242.25" customHeight="1">
      <c r="A681" s="32" t="b">
        <v>0</v>
      </c>
      <c r="B681" s="32" t="str">
        <f>IMAGE("https://gymvisual.com/13161-catalog_default/barbell-weighted-bench-press.jpg",4,500,500)</f>
        <v/>
      </c>
      <c r="C681" s="30">
        <v>680.0</v>
      </c>
      <c r="D681" s="16" t="s">
        <v>1135</v>
      </c>
      <c r="E681" s="16" t="s">
        <v>184</v>
      </c>
      <c r="F681" s="16" t="s">
        <v>234</v>
      </c>
      <c r="G681" s="16" t="s">
        <v>186</v>
      </c>
      <c r="H681" s="16" t="s">
        <v>235</v>
      </c>
      <c r="I681" s="16" t="s">
        <v>243</v>
      </c>
    </row>
    <row r="682" ht="242.25" customHeight="1">
      <c r="A682" s="32" t="b">
        <v>0</v>
      </c>
      <c r="B682" s="32" t="str">
        <f>IMAGE("https://gymvisual.com/26128-catalog_default/barbell-weighted-chains-sumo-deadlift.jpg",4,500,500)</f>
        <v/>
      </c>
      <c r="C682" s="30">
        <v>681.0</v>
      </c>
      <c r="D682" s="16" t="s">
        <v>1136</v>
      </c>
      <c r="E682" s="16" t="s">
        <v>184</v>
      </c>
      <c r="F682" s="16" t="s">
        <v>185</v>
      </c>
      <c r="G682" s="16" t="s">
        <v>186</v>
      </c>
      <c r="H682" s="16" t="s">
        <v>220</v>
      </c>
      <c r="I682" s="16" t="s">
        <v>220</v>
      </c>
    </row>
    <row r="683" ht="242.25" customHeight="1">
      <c r="A683" s="32" t="b">
        <v>0</v>
      </c>
      <c r="B683" s="32" t="str">
        <f>IMAGE("https://gymvisual.com/13157-catalog_default/barbell-weighted-deadlift.jpg",4,500,500)</f>
        <v/>
      </c>
      <c r="C683" s="30">
        <v>682.0</v>
      </c>
      <c r="D683" s="16" t="s">
        <v>1137</v>
      </c>
      <c r="E683" s="16" t="s">
        <v>184</v>
      </c>
      <c r="F683" s="16" t="s">
        <v>185</v>
      </c>
      <c r="G683" s="16" t="s">
        <v>186</v>
      </c>
      <c r="H683" s="16" t="s">
        <v>189</v>
      </c>
      <c r="I683" s="16" t="s">
        <v>314</v>
      </c>
    </row>
    <row r="684" ht="242.25" customHeight="1">
      <c r="A684" s="32" t="b">
        <v>0</v>
      </c>
      <c r="B684" s="32" t="str">
        <f>IMAGE("https://gymvisual.com/13159-catalog_default/barbell-weighted-front-chest-squat.jpg",4,500,500)</f>
        <v/>
      </c>
      <c r="C684" s="30">
        <v>683.0</v>
      </c>
      <c r="D684" s="16" t="s">
        <v>1138</v>
      </c>
      <c r="E684" s="16" t="s">
        <v>184</v>
      </c>
      <c r="F684" s="16" t="s">
        <v>285</v>
      </c>
      <c r="G684" s="16" t="s">
        <v>186</v>
      </c>
      <c r="H684" s="16" t="s">
        <v>189</v>
      </c>
      <c r="I684" s="16" t="s">
        <v>314</v>
      </c>
    </row>
    <row r="685" ht="242.25" customHeight="1">
      <c r="A685" s="32" t="b">
        <v>0</v>
      </c>
      <c r="B685" s="32" t="str">
        <f>IMAGE("https://gymvisual.com/13561-catalog_default/barbell-weightlifting-complex.jpg",4,500,500)</f>
        <v/>
      </c>
      <c r="C685" s="30">
        <v>684.0</v>
      </c>
      <c r="D685" s="16" t="s">
        <v>1139</v>
      </c>
      <c r="E685" s="16" t="s">
        <v>184</v>
      </c>
      <c r="F685" s="16" t="s">
        <v>691</v>
      </c>
      <c r="G685" s="16" t="s">
        <v>186</v>
      </c>
      <c r="H685" s="16" t="s">
        <v>793</v>
      </c>
      <c r="I685" s="16" t="s">
        <v>1140</v>
      </c>
    </row>
    <row r="686" ht="242.25" customHeight="1">
      <c r="A686" s="32" t="b">
        <v>0</v>
      </c>
      <c r="B686" s="32" t="str">
        <f>IMAGE("https://gymvisual.com/391-catalog_default/barbell-wide-bench-press.jpg",4,500,500)</f>
        <v/>
      </c>
      <c r="C686" s="30">
        <v>685.0</v>
      </c>
      <c r="D686" s="16" t="s">
        <v>1141</v>
      </c>
      <c r="E686" s="16" t="s">
        <v>184</v>
      </c>
      <c r="F686" s="16" t="s">
        <v>234</v>
      </c>
      <c r="G686" s="16" t="s">
        <v>186</v>
      </c>
      <c r="H686" s="16" t="s">
        <v>347</v>
      </c>
      <c r="I686" s="16" t="s">
        <v>382</v>
      </c>
    </row>
    <row r="687" ht="242.25" customHeight="1">
      <c r="A687" s="32" t="b">
        <v>0</v>
      </c>
      <c r="B687" s="32" t="str">
        <f>IMAGE("https://gymvisual.com/14254-catalog_default/barbell-wide-grip-upright-row-female.jpg",4,500,500)</f>
        <v/>
      </c>
      <c r="C687" s="30">
        <v>686.0</v>
      </c>
      <c r="D687" s="16" t="s">
        <v>1142</v>
      </c>
      <c r="E687" s="16" t="s">
        <v>184</v>
      </c>
      <c r="F687" s="16" t="s">
        <v>228</v>
      </c>
      <c r="G687" s="16" t="s">
        <v>186</v>
      </c>
      <c r="H687" s="16" t="s">
        <v>544</v>
      </c>
      <c r="I687" s="16" t="s">
        <v>1143</v>
      </c>
    </row>
    <row r="688" ht="242.25" customHeight="1">
      <c r="A688" s="32" t="b">
        <v>0</v>
      </c>
      <c r="B688" s="32" t="str">
        <f>IMAGE("https://gymvisual.com/18752-catalog_default/barbell-wide-pullover.jpg",4,500,500)</f>
        <v/>
      </c>
      <c r="C688" s="30">
        <v>687.0</v>
      </c>
      <c r="D688" s="16" t="s">
        <v>1144</v>
      </c>
      <c r="E688" s="16" t="s">
        <v>184</v>
      </c>
      <c r="F688" s="16" t="s">
        <v>192</v>
      </c>
      <c r="G688" s="16" t="s">
        <v>186</v>
      </c>
      <c r="H688" s="16" t="s">
        <v>220</v>
      </c>
      <c r="I688" s="16" t="s">
        <v>220</v>
      </c>
    </row>
    <row r="689" ht="242.25" customHeight="1">
      <c r="A689" s="32" t="b">
        <v>0</v>
      </c>
      <c r="B689" s="32" t="str">
        <f>IMAGE("https://gymvisual.com/5947-catalog_default/barbell-wide-reverse-grip-bench-press.jpg",4,500,500)</f>
        <v/>
      </c>
      <c r="C689" s="30">
        <v>688.0</v>
      </c>
      <c r="D689" s="16" t="s">
        <v>823</v>
      </c>
      <c r="E689" s="16" t="s">
        <v>184</v>
      </c>
      <c r="F689" s="16" t="s">
        <v>234</v>
      </c>
      <c r="G689" s="16" t="s">
        <v>186</v>
      </c>
      <c r="H689" s="16" t="s">
        <v>347</v>
      </c>
      <c r="I689" s="16" t="s">
        <v>382</v>
      </c>
    </row>
    <row r="690" ht="242.25" customHeight="1">
      <c r="A690" s="32" t="b">
        <v>0</v>
      </c>
      <c r="B690" s="32" t="str">
        <f>IMAGE("https://gymvisual.com/20413-catalog_default/barbell-wide-shrug.jpg",4,500,500)</f>
        <v/>
      </c>
      <c r="C690" s="30">
        <v>689.0</v>
      </c>
      <c r="D690" s="16" t="s">
        <v>1145</v>
      </c>
      <c r="E690" s="16" t="s">
        <v>184</v>
      </c>
      <c r="F690" s="16" t="s">
        <v>192</v>
      </c>
      <c r="G690" s="16" t="s">
        <v>186</v>
      </c>
      <c r="H690" s="16" t="s">
        <v>238</v>
      </c>
      <c r="I690" s="16" t="s">
        <v>239</v>
      </c>
    </row>
    <row r="691" ht="242.25" customHeight="1">
      <c r="A691" s="32" t="b">
        <v>0</v>
      </c>
      <c r="B691" s="32" t="str">
        <f>IMAGE("https://gymvisual.com/24918-catalog_default/barbell-wide-squat.jpg",4,500,500)</f>
        <v/>
      </c>
      <c r="C691" s="30">
        <v>690.0</v>
      </c>
      <c r="D691" s="16" t="s">
        <v>1146</v>
      </c>
      <c r="E691" s="16" t="s">
        <v>184</v>
      </c>
      <c r="F691" s="16" t="s">
        <v>285</v>
      </c>
      <c r="G691" s="16" t="s">
        <v>186</v>
      </c>
      <c r="H691" s="16" t="s">
        <v>552</v>
      </c>
      <c r="I691" s="16" t="s">
        <v>553</v>
      </c>
    </row>
    <row r="692" ht="242.25" customHeight="1">
      <c r="A692" s="32" t="b">
        <v>0</v>
      </c>
      <c r="B692" s="32" t="str">
        <f>IMAGE("https://gymvisual.com/11125-catalog_default/barbell-wide-squat-female.jpg",4,500,500)</f>
        <v/>
      </c>
      <c r="C692" s="30">
        <v>691.0</v>
      </c>
      <c r="D692" s="16" t="s">
        <v>1147</v>
      </c>
      <c r="E692" s="16" t="s">
        <v>184</v>
      </c>
      <c r="F692" s="16" t="s">
        <v>294</v>
      </c>
      <c r="G692" s="16" t="s">
        <v>186</v>
      </c>
      <c r="H692" s="16" t="s">
        <v>220</v>
      </c>
      <c r="I692" s="16" t="s">
        <v>220</v>
      </c>
    </row>
    <row r="693" ht="242.25" customHeight="1">
      <c r="A693" s="32" t="b">
        <v>0</v>
      </c>
      <c r="B693" s="32" t="str">
        <f>IMAGE("https://gymvisual.com/6792-catalog_default/barbell-wide-stance-stiff-leg-deadlift.jpg",4,500,500)</f>
        <v/>
      </c>
      <c r="C693" s="30">
        <v>692.0</v>
      </c>
      <c r="D693" s="16" t="s">
        <v>1148</v>
      </c>
      <c r="E693" s="16" t="s">
        <v>184</v>
      </c>
      <c r="F693" s="16" t="s">
        <v>185</v>
      </c>
      <c r="G693" s="16" t="s">
        <v>186</v>
      </c>
      <c r="H693" s="16" t="s">
        <v>220</v>
      </c>
      <c r="I693" s="16" t="s">
        <v>220</v>
      </c>
    </row>
    <row r="694" ht="242.25" customHeight="1">
      <c r="A694" s="32" t="b">
        <v>0</v>
      </c>
      <c r="B694" s="32" t="str">
        <f>IMAGE("https://gymvisual.com/10533-catalog_default/barbell-wide-grip-drag-curl.jpg",4,500,500)</f>
        <v/>
      </c>
      <c r="C694" s="30">
        <v>693.0</v>
      </c>
      <c r="D694" s="16" t="s">
        <v>1149</v>
      </c>
      <c r="E694" s="16" t="s">
        <v>184</v>
      </c>
      <c r="F694" s="16" t="s">
        <v>219</v>
      </c>
      <c r="G694" s="16" t="s">
        <v>186</v>
      </c>
      <c r="H694" s="16" t="s">
        <v>241</v>
      </c>
      <c r="I694" s="16" t="s">
        <v>242</v>
      </c>
    </row>
    <row r="695" ht="242.25" customHeight="1">
      <c r="A695" s="32" t="b">
        <v>0</v>
      </c>
      <c r="B695" s="32" t="str">
        <f>IMAGE("https://gymvisual.com/394-catalog_default/barbell-wide-grip-upright-row.jpg",4,500,500)</f>
        <v/>
      </c>
      <c r="C695" s="30">
        <v>694.0</v>
      </c>
      <c r="D695" s="16" t="s">
        <v>1150</v>
      </c>
      <c r="E695" s="16" t="s">
        <v>184</v>
      </c>
      <c r="F695" s="16" t="s">
        <v>228</v>
      </c>
      <c r="G695" s="16" t="s">
        <v>186</v>
      </c>
      <c r="H695" s="16" t="s">
        <v>544</v>
      </c>
      <c r="I695" s="16" t="s">
        <v>1151</v>
      </c>
    </row>
    <row r="696" ht="242.25" customHeight="1">
      <c r="A696" s="32" t="b">
        <v>0</v>
      </c>
      <c r="B696" s="32" t="str">
        <f>IMAGE("https://gymvisual.com/403-catalog_default/barbell-wrist-curl.jpg",4,500,500)</f>
        <v/>
      </c>
      <c r="C696" s="30">
        <v>695.0</v>
      </c>
      <c r="D696" s="16" t="s">
        <v>1152</v>
      </c>
      <c r="E696" s="16" t="s">
        <v>184</v>
      </c>
      <c r="F696" s="16" t="s">
        <v>214</v>
      </c>
      <c r="G696" s="16" t="s">
        <v>186</v>
      </c>
      <c r="H696" s="16" t="s">
        <v>720</v>
      </c>
      <c r="I696" s="16" t="s">
        <v>220</v>
      </c>
    </row>
    <row r="697" ht="242.25" customHeight="1">
      <c r="A697" s="32" t="b">
        <v>0</v>
      </c>
      <c r="B697" s="32" t="str">
        <f>IMAGE("https://gymvisual.com/13335-catalog_default/barbell-wrist-curl-female.jpg",4,500,500)</f>
        <v/>
      </c>
      <c r="C697" s="30">
        <v>696.0</v>
      </c>
      <c r="D697" s="16" t="s">
        <v>1153</v>
      </c>
      <c r="E697" s="16" t="s">
        <v>184</v>
      </c>
      <c r="F697" s="16" t="s">
        <v>214</v>
      </c>
      <c r="G697" s="16" t="s">
        <v>186</v>
      </c>
      <c r="H697" s="16" t="s">
        <v>720</v>
      </c>
      <c r="I697" s="16" t="s">
        <v>220</v>
      </c>
    </row>
    <row r="698" ht="242.25" customHeight="1">
      <c r="A698" s="32" t="b">
        <v>0</v>
      </c>
      <c r="B698" s="32" t="str">
        <f>IMAGE("https://gymvisual.com/400-catalog_default/barbell-wrist-curl-version-2.jpg",4,500,500)</f>
        <v/>
      </c>
      <c r="C698" s="30">
        <v>697.0</v>
      </c>
      <c r="D698" s="16" t="s">
        <v>1154</v>
      </c>
      <c r="E698" s="16" t="s">
        <v>184</v>
      </c>
      <c r="F698" s="16" t="s">
        <v>214</v>
      </c>
      <c r="G698" s="16" t="s">
        <v>186</v>
      </c>
      <c r="H698" s="16" t="s">
        <v>720</v>
      </c>
      <c r="I698" s="16" t="s">
        <v>220</v>
      </c>
    </row>
    <row r="699" ht="242.25" customHeight="1">
      <c r="A699" s="32" t="b">
        <v>0</v>
      </c>
      <c r="B699" s="32" t="str">
        <f>IMAGE("https://gymvisual.com/22416-catalog_default/barbell-z-press.jpg",4,500,500)</f>
        <v/>
      </c>
      <c r="C699" s="30">
        <v>698.0</v>
      </c>
      <c r="D699" s="16" t="s">
        <v>1155</v>
      </c>
      <c r="E699" s="16" t="s">
        <v>184</v>
      </c>
      <c r="F699" s="16" t="s">
        <v>228</v>
      </c>
      <c r="G699" s="16" t="s">
        <v>186</v>
      </c>
      <c r="H699" s="16" t="s">
        <v>220</v>
      </c>
      <c r="I699" s="16" t="s">
        <v>220</v>
      </c>
    </row>
    <row r="700" ht="242.25" customHeight="1">
      <c r="A700" s="32" t="b">
        <v>0</v>
      </c>
      <c r="B700" s="32" t="str">
        <f>IMAGE("https://gymvisual.com/12177-catalog_default/barbell-zercher-carry.jpg",4,500,500)</f>
        <v/>
      </c>
      <c r="C700" s="30">
        <v>699.0</v>
      </c>
      <c r="D700" s="16" t="s">
        <v>1156</v>
      </c>
      <c r="E700" s="16" t="s">
        <v>184</v>
      </c>
      <c r="F700" s="16" t="s">
        <v>285</v>
      </c>
      <c r="G700" s="16" t="s">
        <v>186</v>
      </c>
      <c r="H700" s="16" t="s">
        <v>220</v>
      </c>
      <c r="I700" s="16" t="s">
        <v>220</v>
      </c>
    </row>
    <row r="701" ht="242.25" customHeight="1">
      <c r="A701" s="32" t="b">
        <v>0</v>
      </c>
      <c r="B701" s="32" t="str">
        <f>IMAGE("https://gymvisual.com/25019-catalog_default/barbell-zercher-deadlift.jpg",4,500,500)</f>
        <v/>
      </c>
      <c r="C701" s="30">
        <v>700.0</v>
      </c>
      <c r="D701" s="16" t="s">
        <v>1157</v>
      </c>
      <c r="E701" s="16" t="s">
        <v>184</v>
      </c>
      <c r="F701" s="16" t="s">
        <v>185</v>
      </c>
      <c r="G701" s="16" t="s">
        <v>186</v>
      </c>
      <c r="H701" s="16" t="s">
        <v>220</v>
      </c>
      <c r="I701" s="16" t="s">
        <v>220</v>
      </c>
    </row>
    <row r="702" ht="242.25" customHeight="1">
      <c r="A702" s="32" t="b">
        <v>0</v>
      </c>
      <c r="B702" s="32" t="str">
        <f>IMAGE("https://gymvisual.com/406-catalog_default/barbell-zercher-squat.jpg",4,500,500)</f>
        <v/>
      </c>
      <c r="C702" s="30">
        <v>701.0</v>
      </c>
      <c r="D702" s="16" t="s">
        <v>1158</v>
      </c>
      <c r="E702" s="16" t="s">
        <v>184</v>
      </c>
      <c r="F702" s="16" t="s">
        <v>185</v>
      </c>
      <c r="G702" s="16" t="s">
        <v>186</v>
      </c>
      <c r="H702" s="16" t="s">
        <v>189</v>
      </c>
      <c r="I702" s="16" t="s">
        <v>190</v>
      </c>
    </row>
    <row r="703" ht="242.25" customHeight="1">
      <c r="B703" s="32" t="str">
        <f>IMAGE("https://gymvisual.com/9415-catalog_default/battling-ropes.jpg",4,500,500)</f>
        <v/>
      </c>
      <c r="C703" s="30">
        <v>702.0</v>
      </c>
      <c r="D703" s="16" t="s">
        <v>1159</v>
      </c>
      <c r="E703" s="16" t="s">
        <v>184</v>
      </c>
      <c r="F703" s="16" t="s">
        <v>228</v>
      </c>
      <c r="G703" s="16" t="s">
        <v>1160</v>
      </c>
      <c r="H703" s="16" t="s">
        <v>408</v>
      </c>
      <c r="I703" s="16" t="s">
        <v>490</v>
      </c>
    </row>
    <row r="704" ht="242.25" customHeight="1">
      <c r="B704" s="32" t="str">
        <f>IMAGE("https://gymvisual.com/11254-catalog_default/battling-ropes-female.jpg",4,500,500)</f>
        <v/>
      </c>
      <c r="C704" s="30">
        <v>703.0</v>
      </c>
      <c r="D704" s="16" t="s">
        <v>1161</v>
      </c>
      <c r="E704" s="16" t="s">
        <v>184</v>
      </c>
      <c r="F704" s="16" t="s">
        <v>1162</v>
      </c>
      <c r="G704" s="16" t="s">
        <v>1163</v>
      </c>
      <c r="H704" s="16" t="s">
        <v>220</v>
      </c>
      <c r="I704" s="16" t="s">
        <v>220</v>
      </c>
    </row>
    <row r="705" ht="242.25" customHeight="1">
      <c r="B705" s="32" t="str">
        <f>IMAGE("https://gymvisual.com/13707-catalog_default/battling-ropes-alternate-arms-side-lunge.jpg",4,500,500)</f>
        <v/>
      </c>
      <c r="C705" s="30">
        <v>704.0</v>
      </c>
      <c r="D705" s="16" t="s">
        <v>1164</v>
      </c>
      <c r="E705" s="16" t="s">
        <v>184</v>
      </c>
      <c r="F705" s="16" t="s">
        <v>1165</v>
      </c>
      <c r="G705" s="16" t="s">
        <v>1163</v>
      </c>
      <c r="H705" s="16" t="s">
        <v>220</v>
      </c>
      <c r="I705" s="16" t="s">
        <v>220</v>
      </c>
    </row>
    <row r="706" ht="242.25" customHeight="1">
      <c r="B706" s="32" t="str">
        <f>IMAGE("https://gymvisual.com/13701-catalog_default/battling-ropes-alternate-arms-squat.jpg",4,500,500)</f>
        <v/>
      </c>
      <c r="C706" s="30">
        <v>705.0</v>
      </c>
      <c r="D706" s="16" t="s">
        <v>1166</v>
      </c>
      <c r="E706" s="16" t="s">
        <v>184</v>
      </c>
      <c r="F706" s="16" t="s">
        <v>1165</v>
      </c>
      <c r="G706" s="16" t="s">
        <v>1163</v>
      </c>
      <c r="H706" s="16" t="s">
        <v>220</v>
      </c>
      <c r="I706" s="16" t="s">
        <v>220</v>
      </c>
    </row>
    <row r="707" ht="242.25" customHeight="1">
      <c r="B707" s="32" t="str">
        <f>IMAGE("https://gymvisual.com/13713-catalog_default/battling-ropes-fly.jpg",4,500,500)</f>
        <v/>
      </c>
      <c r="C707" s="30">
        <v>706.0</v>
      </c>
      <c r="D707" s="16" t="s">
        <v>1167</v>
      </c>
      <c r="E707" s="16" t="s">
        <v>184</v>
      </c>
      <c r="F707" s="16" t="s">
        <v>1168</v>
      </c>
      <c r="G707" s="16" t="s">
        <v>1163</v>
      </c>
      <c r="H707" s="16" t="s">
        <v>220</v>
      </c>
      <c r="I707" s="16" t="s">
        <v>220</v>
      </c>
    </row>
    <row r="708" ht="242.25" customHeight="1">
      <c r="B708" s="32" t="str">
        <f>IMAGE("https://gymvisual.com/13721-catalog_default/battling-ropes-high-waves.jpg",4,500,500)</f>
        <v/>
      </c>
      <c r="C708" s="30">
        <v>707.0</v>
      </c>
      <c r="D708" s="16" t="s">
        <v>1169</v>
      </c>
      <c r="E708" s="16" t="s">
        <v>184</v>
      </c>
      <c r="F708" s="16" t="s">
        <v>1170</v>
      </c>
      <c r="G708" s="16" t="s">
        <v>1163</v>
      </c>
      <c r="H708" s="16" t="s">
        <v>220</v>
      </c>
      <c r="I708" s="16" t="s">
        <v>220</v>
      </c>
    </row>
    <row r="709" ht="242.25" customHeight="1">
      <c r="B709" s="32" t="str">
        <f>IMAGE("https://gymvisual.com/13709-catalog_default/battling-ropes-inside-circle.jpg",4,500,500)</f>
        <v/>
      </c>
      <c r="C709" s="30">
        <v>708.0</v>
      </c>
      <c r="D709" s="16" t="s">
        <v>1171</v>
      </c>
      <c r="E709" s="16" t="s">
        <v>184</v>
      </c>
      <c r="F709" s="16" t="s">
        <v>1172</v>
      </c>
      <c r="G709" s="16" t="s">
        <v>1163</v>
      </c>
      <c r="H709" s="16" t="s">
        <v>220</v>
      </c>
      <c r="I709" s="16" t="s">
        <v>220</v>
      </c>
    </row>
    <row r="710" ht="242.25" customHeight="1">
      <c r="B710" s="32" t="str">
        <f>IMAGE("https://gymvisual.com/13723-catalog_default/battling-ropes-low-waves.jpg",4,500,500)</f>
        <v/>
      </c>
      <c r="C710" s="30">
        <v>709.0</v>
      </c>
      <c r="D710" s="16" t="s">
        <v>1173</v>
      </c>
      <c r="E710" s="16" t="s">
        <v>184</v>
      </c>
      <c r="F710" s="16" t="s">
        <v>1174</v>
      </c>
      <c r="G710" s="16" t="s">
        <v>1163</v>
      </c>
      <c r="H710" s="16" t="s">
        <v>220</v>
      </c>
      <c r="I710" s="16" t="s">
        <v>220</v>
      </c>
    </row>
    <row r="711" ht="242.25" customHeight="1">
      <c r="B711" s="32" t="str">
        <f>IMAGE("https://gymvisual.com/13711-catalog_default/battling-ropes-outside-circle.jpg",4,500,500)</f>
        <v/>
      </c>
      <c r="C711" s="30">
        <v>710.0</v>
      </c>
      <c r="D711" s="16" t="s">
        <v>1175</v>
      </c>
      <c r="E711" s="16" t="s">
        <v>184</v>
      </c>
      <c r="F711" s="16" t="s">
        <v>1172</v>
      </c>
      <c r="G711" s="16" t="s">
        <v>1163</v>
      </c>
      <c r="H711" s="16" t="s">
        <v>220</v>
      </c>
      <c r="I711" s="16" t="s">
        <v>220</v>
      </c>
    </row>
    <row r="712" ht="242.25" customHeight="1">
      <c r="B712" s="32" t="str">
        <f>IMAGE("https://gymvisual.com/13731-catalog_default/battling-ropes-power-slam.jpg",4,500,500)</f>
        <v/>
      </c>
      <c r="C712" s="30">
        <v>711.0</v>
      </c>
      <c r="D712" s="16" t="s">
        <v>1176</v>
      </c>
      <c r="E712" s="16" t="s">
        <v>184</v>
      </c>
      <c r="F712" s="16" t="s">
        <v>1177</v>
      </c>
      <c r="G712" s="16" t="s">
        <v>1163</v>
      </c>
      <c r="H712" s="16" t="s">
        <v>220</v>
      </c>
      <c r="I712" s="16" t="s">
        <v>220</v>
      </c>
    </row>
    <row r="713" ht="242.25" customHeight="1">
      <c r="B713" s="32" t="str">
        <f>IMAGE("https://gymvisual.com/13717-catalog_default/battling-ropes-russian-twist.jpg",4,500,500)</f>
        <v/>
      </c>
      <c r="C713" s="30">
        <v>712.0</v>
      </c>
      <c r="D713" s="16" t="s">
        <v>1178</v>
      </c>
      <c r="E713" s="16" t="s">
        <v>184</v>
      </c>
      <c r="F713" s="16" t="s">
        <v>254</v>
      </c>
      <c r="G713" s="16" t="s">
        <v>1163</v>
      </c>
      <c r="H713" s="16" t="s">
        <v>220</v>
      </c>
      <c r="I713" s="16" t="s">
        <v>220</v>
      </c>
    </row>
    <row r="714" ht="242.25" customHeight="1">
      <c r="B714" s="32" t="str">
        <f>IMAGE("https://gymvisual.com/13705-catalog_default/battling-ropes-side-to-side-arms.jpg",4,500,500)</f>
        <v/>
      </c>
      <c r="C714" s="30">
        <v>713.0</v>
      </c>
      <c r="D714" s="16" t="s">
        <v>1179</v>
      </c>
      <c r="E714" s="16" t="s">
        <v>184</v>
      </c>
      <c r="F714" s="16" t="s">
        <v>1177</v>
      </c>
      <c r="G714" s="16" t="s">
        <v>1163</v>
      </c>
      <c r="H714" s="16" t="s">
        <v>220</v>
      </c>
      <c r="I714" s="16" t="s">
        <v>220</v>
      </c>
    </row>
    <row r="715" ht="242.25" hidden="1" customHeight="1">
      <c r="B715" s="32" t="str">
        <f>IMAGE("https://gymvisual.com/412-catalog_default/bench-dip-knees-bent.jpg",4,500,500)</f>
        <v/>
      </c>
      <c r="C715" s="30">
        <v>714.0</v>
      </c>
      <c r="D715" s="16" t="s">
        <v>1180</v>
      </c>
      <c r="E715" s="16" t="s">
        <v>184</v>
      </c>
      <c r="F715" s="16" t="s">
        <v>219</v>
      </c>
      <c r="G715" s="16" t="s">
        <v>255</v>
      </c>
      <c r="H715" s="16" t="s">
        <v>223</v>
      </c>
      <c r="I715" s="16" t="s">
        <v>1181</v>
      </c>
    </row>
    <row r="716" ht="242.25" hidden="1" customHeight="1">
      <c r="B716" s="32" t="str">
        <f>IMAGE("https://gymvisual.com/10303-catalog_default/bench-dip-knees-bent-female.jpg",4,500,500)</f>
        <v/>
      </c>
      <c r="C716" s="30">
        <v>715.0</v>
      </c>
      <c r="D716" s="16" t="s">
        <v>1182</v>
      </c>
      <c r="E716" s="16" t="s">
        <v>184</v>
      </c>
      <c r="F716" s="16" t="s">
        <v>219</v>
      </c>
      <c r="G716" s="16" t="s">
        <v>255</v>
      </c>
      <c r="H716" s="16" t="s">
        <v>223</v>
      </c>
      <c r="I716" s="16" t="s">
        <v>1183</v>
      </c>
    </row>
    <row r="717" ht="242.25" hidden="1" customHeight="1">
      <c r="B717" s="32" t="str">
        <f>IMAGE("https://gymvisual.com/10192-catalog_default/bench-dip-back-arms-wrong-right.jpg",4,500,500)</f>
        <v/>
      </c>
      <c r="C717" s="30">
        <v>716.0</v>
      </c>
      <c r="D717" s="16" t="s">
        <v>1184</v>
      </c>
      <c r="E717" s="16" t="s">
        <v>184</v>
      </c>
      <c r="F717" s="16" t="s">
        <v>219</v>
      </c>
      <c r="G717" s="16" t="s">
        <v>255</v>
      </c>
      <c r="H717" s="16" t="s">
        <v>220</v>
      </c>
      <c r="I717" s="16" t="s">
        <v>220</v>
      </c>
    </row>
    <row r="718" ht="242.25" hidden="1" customHeight="1">
      <c r="B718" s="32" t="str">
        <f>IMAGE("https://gymvisual.com/6240-catalog_default/bench-dip-on-floor.jpg",4,500,500)</f>
        <v/>
      </c>
      <c r="C718" s="30">
        <v>717.0</v>
      </c>
      <c r="D718" s="16" t="s">
        <v>1185</v>
      </c>
      <c r="E718" s="16" t="s">
        <v>184</v>
      </c>
      <c r="F718" s="16" t="s">
        <v>219</v>
      </c>
      <c r="G718" s="16" t="s">
        <v>255</v>
      </c>
      <c r="H718" s="16" t="s">
        <v>223</v>
      </c>
      <c r="I718" s="16" t="s">
        <v>394</v>
      </c>
    </row>
    <row r="719" ht="242.25" hidden="1" customHeight="1">
      <c r="B719" s="32" t="str">
        <f>IMAGE("https://gymvisual.com/20672-catalog_default/bench-dip-on-floor-female.jpg",4,500,500)</f>
        <v/>
      </c>
      <c r="C719" s="30">
        <v>718.0</v>
      </c>
      <c r="D719" s="16" t="s">
        <v>1186</v>
      </c>
      <c r="E719" s="16" t="s">
        <v>184</v>
      </c>
      <c r="F719" s="16" t="s">
        <v>219</v>
      </c>
      <c r="G719" s="16" t="s">
        <v>255</v>
      </c>
      <c r="H719" s="16" t="s">
        <v>223</v>
      </c>
      <c r="I719" s="16" t="s">
        <v>394</v>
      </c>
    </row>
    <row r="720" ht="242.25" hidden="1" customHeight="1">
      <c r="B720" s="32" t="str">
        <f>IMAGE("https://gymvisual.com/18779-catalog_default/bench-dip-on-floor-version-2.jpg",4,500,500)</f>
        <v/>
      </c>
      <c r="C720" s="30">
        <v>719.0</v>
      </c>
      <c r="D720" s="16" t="s">
        <v>1187</v>
      </c>
      <c r="E720" s="16" t="s">
        <v>184</v>
      </c>
      <c r="F720" s="16" t="s">
        <v>219</v>
      </c>
      <c r="G720" s="16" t="s">
        <v>255</v>
      </c>
      <c r="H720" s="16" t="s">
        <v>223</v>
      </c>
      <c r="I720" s="16" t="s">
        <v>1188</v>
      </c>
    </row>
    <row r="721" ht="242.25" hidden="1" customHeight="1">
      <c r="B721" s="32" t="str">
        <f>IMAGE("https://gymvisual.com/24286-catalog_default/bench-dip-on-stability-ball.jpg",4,500,500)</f>
        <v/>
      </c>
      <c r="C721" s="30">
        <v>720.0</v>
      </c>
      <c r="D721" s="16" t="s">
        <v>1189</v>
      </c>
      <c r="E721" s="16" t="s">
        <v>184</v>
      </c>
      <c r="F721" s="16" t="s">
        <v>219</v>
      </c>
      <c r="G721" s="16" t="s">
        <v>255</v>
      </c>
      <c r="H721" s="16" t="s">
        <v>223</v>
      </c>
      <c r="I721" s="16" t="s">
        <v>1190</v>
      </c>
    </row>
    <row r="722" ht="242.25" hidden="1" customHeight="1">
      <c r="B722" s="32" t="str">
        <f>IMAGE("https://gymvisual.com/18925-catalog_default/bench-dip-with-legs-on-bench.jpg",4,500,500)</f>
        <v/>
      </c>
      <c r="C722" s="30">
        <v>721.0</v>
      </c>
      <c r="D722" s="16" t="s">
        <v>1191</v>
      </c>
      <c r="E722" s="16" t="s">
        <v>184</v>
      </c>
      <c r="F722" s="16" t="s">
        <v>219</v>
      </c>
      <c r="G722" s="16" t="s">
        <v>255</v>
      </c>
      <c r="H722" s="16" t="s">
        <v>223</v>
      </c>
      <c r="I722" s="16" t="s">
        <v>1188</v>
      </c>
    </row>
    <row r="723" ht="242.25" hidden="1" customHeight="1">
      <c r="B723" s="32" t="str">
        <f>IMAGE("https://gymvisual.com/11239-catalog_default/bench-full-squat-female.jpg",4,500,500)</f>
        <v/>
      </c>
      <c r="C723" s="30">
        <v>722.0</v>
      </c>
      <c r="D723" s="16" t="s">
        <v>1192</v>
      </c>
      <c r="E723" s="16" t="s">
        <v>184</v>
      </c>
      <c r="F723" s="16" t="s">
        <v>294</v>
      </c>
      <c r="G723" s="16" t="s">
        <v>255</v>
      </c>
      <c r="H723" s="16" t="s">
        <v>220</v>
      </c>
      <c r="I723" s="16" t="s">
        <v>220</v>
      </c>
    </row>
    <row r="724" ht="242.25" hidden="1" customHeight="1">
      <c r="B724" s="32" t="str">
        <f>IMAGE("https://gymvisual.com/415-catalog_default/bench-hip-extension.jpg",4,500,500)</f>
        <v/>
      </c>
      <c r="C724" s="30">
        <v>723.0</v>
      </c>
      <c r="D724" s="16" t="s">
        <v>1193</v>
      </c>
      <c r="E724" s="16" t="s">
        <v>184</v>
      </c>
      <c r="F724" s="16" t="s">
        <v>185</v>
      </c>
      <c r="G724" s="16" t="s">
        <v>255</v>
      </c>
      <c r="H724" s="16" t="s">
        <v>187</v>
      </c>
      <c r="I724" s="16" t="s">
        <v>188</v>
      </c>
    </row>
    <row r="725" ht="242.25" hidden="1" customHeight="1">
      <c r="B725" s="32" t="str">
        <f>IMAGE("https://gymvisual.com/12424-catalog_default/bench-pull-ups.jpg",4,500,500)</f>
        <v/>
      </c>
      <c r="C725" s="30">
        <v>724.0</v>
      </c>
      <c r="D725" s="16" t="s">
        <v>1194</v>
      </c>
      <c r="E725" s="16" t="s">
        <v>184</v>
      </c>
      <c r="F725" s="16" t="s">
        <v>192</v>
      </c>
      <c r="G725" s="16" t="s">
        <v>255</v>
      </c>
      <c r="H725" s="16" t="s">
        <v>300</v>
      </c>
      <c r="I725" s="16" t="s">
        <v>387</v>
      </c>
    </row>
    <row r="726" ht="242.25" hidden="1" customHeight="1">
      <c r="B726" s="32" t="str">
        <f>IMAGE("https://gymvisual.com/12427-catalog_default/bench-pull-ups-female.jpg",4,500,500)</f>
        <v/>
      </c>
      <c r="C726" s="30">
        <v>725.0</v>
      </c>
      <c r="D726" s="16" t="s">
        <v>1195</v>
      </c>
      <c r="E726" s="16" t="s">
        <v>184</v>
      </c>
      <c r="F726" s="16" t="s">
        <v>192</v>
      </c>
      <c r="G726" s="16" t="s">
        <v>255</v>
      </c>
      <c r="H726" s="16" t="s">
        <v>300</v>
      </c>
      <c r="I726" s="16" t="s">
        <v>387</v>
      </c>
    </row>
    <row r="727" ht="242.25" hidden="1" customHeight="1">
      <c r="B727" s="32" t="str">
        <f>IMAGE("https://gymvisual.com/18256-catalog_default/bench-reverse-crunch-circle.jpg",4,500,500)</f>
        <v/>
      </c>
      <c r="C727" s="30">
        <v>726.0</v>
      </c>
      <c r="D727" s="16" t="s">
        <v>1196</v>
      </c>
      <c r="E727" s="16" t="s">
        <v>184</v>
      </c>
      <c r="F727" s="16" t="s">
        <v>310</v>
      </c>
      <c r="G727" s="16" t="s">
        <v>255</v>
      </c>
      <c r="H727" s="16" t="s">
        <v>1197</v>
      </c>
      <c r="I727" s="16" t="s">
        <v>1198</v>
      </c>
    </row>
    <row r="728" ht="242.25" hidden="1" customHeight="1">
      <c r="B728" s="32" t="str">
        <f>IMAGE("https://gymvisual.com/23949-catalog_default/bent-arms-chin-up.jpg",4,500,500)</f>
        <v/>
      </c>
      <c r="C728" s="30">
        <v>727.0</v>
      </c>
      <c r="D728" s="16" t="s">
        <v>1199</v>
      </c>
      <c r="E728" s="16" t="s">
        <v>184</v>
      </c>
      <c r="F728" s="16" t="s">
        <v>192</v>
      </c>
      <c r="G728" s="16" t="s">
        <v>255</v>
      </c>
      <c r="H728" s="16" t="s">
        <v>220</v>
      </c>
      <c r="I728" s="16" t="s">
        <v>220</v>
      </c>
    </row>
    <row r="729" ht="242.25" hidden="1" customHeight="1">
      <c r="B729" s="32" t="str">
        <f>IMAGE("https://gymvisual.com/23653-catalog_default/bent-knee-back-to-side-kick-female.jpg",4,500,500)</f>
        <v/>
      </c>
      <c r="C729" s="30">
        <v>728.0</v>
      </c>
      <c r="D729" s="16" t="s">
        <v>1200</v>
      </c>
      <c r="E729" s="16" t="s">
        <v>184</v>
      </c>
      <c r="F729" s="16" t="s">
        <v>185</v>
      </c>
      <c r="G729" s="16" t="s">
        <v>255</v>
      </c>
      <c r="H729" s="16" t="s">
        <v>1201</v>
      </c>
      <c r="I729" s="16" t="s">
        <v>1202</v>
      </c>
    </row>
    <row r="730" ht="242.25" hidden="1" customHeight="1">
      <c r="B730" s="32" t="str">
        <f>IMAGE("https://gymvisual.com/23659-catalog_default/bent-knee-back-to-side-kick-male.jpg",4,500,500)</f>
        <v/>
      </c>
      <c r="C730" s="30">
        <v>729.0</v>
      </c>
      <c r="D730" s="16" t="s">
        <v>1203</v>
      </c>
      <c r="E730" s="16" t="s">
        <v>184</v>
      </c>
      <c r="F730" s="16" t="s">
        <v>185</v>
      </c>
      <c r="G730" s="16" t="s">
        <v>255</v>
      </c>
      <c r="H730" s="16" t="s">
        <v>1201</v>
      </c>
      <c r="I730" s="16" t="s">
        <v>1204</v>
      </c>
    </row>
    <row r="731" ht="242.25" hidden="1" customHeight="1">
      <c r="B731" s="32" t="str">
        <f>IMAGE("https://gymvisual.com/14368-catalog_default/bent-knee-lying-twist-male.jpg",4,500,500)</f>
        <v/>
      </c>
      <c r="C731" s="30">
        <v>730.0</v>
      </c>
      <c r="D731" s="16" t="s">
        <v>1205</v>
      </c>
      <c r="E731" s="16" t="s">
        <v>184</v>
      </c>
      <c r="F731" s="16" t="s">
        <v>185</v>
      </c>
      <c r="G731" s="16" t="s">
        <v>255</v>
      </c>
      <c r="H731" s="16" t="s">
        <v>475</v>
      </c>
      <c r="I731" s="16" t="s">
        <v>1206</v>
      </c>
    </row>
    <row r="732" ht="242.25" hidden="1" customHeight="1">
      <c r="B732" s="32" t="str">
        <f>IMAGE("https://gymvisual.com/11265-catalog_default/bent-leg-circle-kick-kneeling-female.jpg",4,500,500)</f>
        <v/>
      </c>
      <c r="C732" s="30">
        <v>731.0</v>
      </c>
      <c r="D732" s="16" t="s">
        <v>1207</v>
      </c>
      <c r="E732" s="16" t="s">
        <v>184</v>
      </c>
      <c r="F732" s="16" t="s">
        <v>185</v>
      </c>
      <c r="G732" s="16" t="s">
        <v>255</v>
      </c>
      <c r="H732" s="16" t="s">
        <v>220</v>
      </c>
      <c r="I732" s="16" t="s">
        <v>220</v>
      </c>
    </row>
    <row r="733" ht="242.25" hidden="1" customHeight="1">
      <c r="B733" s="32" t="str">
        <f>IMAGE("https://gymvisual.com/6415-catalog_default/bent-leg-kickback-kneeling.jpg",4,500,500)</f>
        <v/>
      </c>
      <c r="C733" s="30">
        <v>732.0</v>
      </c>
      <c r="D733" s="16" t="s">
        <v>1208</v>
      </c>
      <c r="E733" s="16" t="s">
        <v>184</v>
      </c>
      <c r="F733" s="16" t="s">
        <v>185</v>
      </c>
      <c r="G733" s="16" t="s">
        <v>255</v>
      </c>
      <c r="H733" s="16" t="s">
        <v>187</v>
      </c>
      <c r="I733" s="16" t="s">
        <v>220</v>
      </c>
    </row>
    <row r="734" ht="242.25" hidden="1" customHeight="1">
      <c r="B734" s="32" t="str">
        <f>IMAGE("https://gymvisual.com/13337-catalog_default/bent-leg-kickback-kneeling-male.jpg",4,500,500)</f>
        <v/>
      </c>
      <c r="C734" s="30">
        <v>733.0</v>
      </c>
      <c r="D734" s="16" t="s">
        <v>1209</v>
      </c>
      <c r="E734" s="16" t="s">
        <v>184</v>
      </c>
      <c r="F734" s="16" t="s">
        <v>185</v>
      </c>
      <c r="G734" s="16" t="s">
        <v>255</v>
      </c>
      <c r="H734" s="16" t="s">
        <v>187</v>
      </c>
      <c r="I734" s="16" t="s">
        <v>220</v>
      </c>
    </row>
    <row r="735" ht="242.25" hidden="1" customHeight="1">
      <c r="B735" s="32" t="str">
        <f>IMAGE("https://gymvisual.com/6417-catalog_default/bent-leg-side-kick-kneeling.jpg",4,500,500)</f>
        <v/>
      </c>
      <c r="C735" s="30">
        <v>734.0</v>
      </c>
      <c r="D735" s="16" t="s">
        <v>1210</v>
      </c>
      <c r="E735" s="16" t="s">
        <v>184</v>
      </c>
      <c r="F735" s="16" t="s">
        <v>185</v>
      </c>
      <c r="G735" s="16" t="s">
        <v>255</v>
      </c>
      <c r="H735" s="16" t="s">
        <v>475</v>
      </c>
      <c r="I735" s="16" t="s">
        <v>476</v>
      </c>
    </row>
    <row r="736" ht="242.25" hidden="1" customHeight="1">
      <c r="B736" s="32" t="str">
        <f>IMAGE("https://gymvisual.com/13339-catalog_default/bent-leg-side-kick-kneeling-male.jpg",4,500,500)</f>
        <v/>
      </c>
      <c r="C736" s="30">
        <v>735.0</v>
      </c>
      <c r="D736" s="16" t="s">
        <v>1211</v>
      </c>
      <c r="E736" s="16" t="s">
        <v>184</v>
      </c>
      <c r="F736" s="16" t="s">
        <v>185</v>
      </c>
      <c r="G736" s="16" t="s">
        <v>255</v>
      </c>
      <c r="H736" s="16" t="s">
        <v>475</v>
      </c>
      <c r="I736" s="16" t="s">
        <v>476</v>
      </c>
    </row>
    <row r="737" ht="242.25" hidden="1" customHeight="1">
      <c r="B737" s="32" t="str">
        <f>IMAGE("https://gymvisual.com/427-catalog_default/bent-side-knee-push-up.jpg",4,500,500)</f>
        <v/>
      </c>
      <c r="C737" s="30">
        <v>736.0</v>
      </c>
      <c r="D737" s="16" t="s">
        <v>1212</v>
      </c>
      <c r="E737" s="16" t="s">
        <v>184</v>
      </c>
      <c r="F737" s="16" t="s">
        <v>185</v>
      </c>
      <c r="G737" s="16" t="s">
        <v>255</v>
      </c>
      <c r="H737" s="16" t="s">
        <v>1213</v>
      </c>
      <c r="I737" s="16" t="s">
        <v>1214</v>
      </c>
    </row>
    <row r="738" ht="242.25" hidden="1" customHeight="1">
      <c r="B738" s="32" t="str">
        <f>IMAGE("https://gymvisual.com/13109-catalog_default/bent-knee-lying-twist.jpg",4,500,500)</f>
        <v/>
      </c>
      <c r="C738" s="30">
        <v>737.0</v>
      </c>
      <c r="D738" s="16" t="s">
        <v>1215</v>
      </c>
      <c r="E738" s="16" t="s">
        <v>184</v>
      </c>
      <c r="F738" s="16" t="s">
        <v>254</v>
      </c>
      <c r="G738" s="16" t="s">
        <v>255</v>
      </c>
      <c r="H738" s="16" t="s">
        <v>257</v>
      </c>
      <c r="I738" s="16" t="s">
        <v>220</v>
      </c>
    </row>
    <row r="739" ht="242.25" customHeight="1">
      <c r="B739" s="32" t="str">
        <f>IMAGE("https://gymvisual.com/418-catalog_default/bent-knee-lying-twist-on-stability-ball.jpg",4,500,500)</f>
        <v/>
      </c>
      <c r="C739" s="30">
        <v>738.0</v>
      </c>
      <c r="D739" s="16" t="s">
        <v>1216</v>
      </c>
      <c r="E739" s="16" t="s">
        <v>184</v>
      </c>
      <c r="F739" s="16" t="s">
        <v>254</v>
      </c>
      <c r="G739" s="16" t="s">
        <v>399</v>
      </c>
      <c r="H739" s="16" t="s">
        <v>257</v>
      </c>
      <c r="I739" s="16" t="s">
        <v>220</v>
      </c>
    </row>
    <row r="740" ht="242.25" hidden="1" customHeight="1">
      <c r="B740" s="32" t="str">
        <f>IMAGE("https://gymvisual.com/424-catalog_default/bent-knee-side-plank.jpg",4,500,500)</f>
        <v/>
      </c>
      <c r="C740" s="30">
        <v>739.0</v>
      </c>
      <c r="D740" s="16" t="s">
        <v>1217</v>
      </c>
      <c r="E740" s="16" t="s">
        <v>184</v>
      </c>
      <c r="F740" s="16" t="s">
        <v>254</v>
      </c>
      <c r="G740" s="16" t="s">
        <v>255</v>
      </c>
      <c r="H740" s="16" t="s">
        <v>257</v>
      </c>
      <c r="I740" s="16" t="s">
        <v>220</v>
      </c>
    </row>
    <row r="741" ht="242.25" customHeight="1">
      <c r="A741" s="32" t="b">
        <v>0</v>
      </c>
      <c r="B741" s="32" t="str">
        <f>IMAGE("https://gymvisual.com/10186-catalog_default/bent-over-row-back-wrong-right.jpg",4,500,500)</f>
        <v/>
      </c>
      <c r="C741" s="30">
        <v>740.0</v>
      </c>
      <c r="D741" s="16" t="s">
        <v>1218</v>
      </c>
      <c r="E741" s="16" t="s">
        <v>184</v>
      </c>
      <c r="F741" s="16" t="s">
        <v>192</v>
      </c>
      <c r="G741" s="16" t="s">
        <v>222</v>
      </c>
      <c r="H741" s="16" t="s">
        <v>220</v>
      </c>
      <c r="I741" s="16" t="s">
        <v>220</v>
      </c>
    </row>
    <row r="742" ht="242.25" hidden="1" customHeight="1">
      <c r="B742" s="32" t="str">
        <f>IMAGE("https://gymvisual.com/19387-catalog_default/bent-over-row-with-towel.jpg",4,500,500)</f>
        <v/>
      </c>
      <c r="C742" s="30">
        <v>741.0</v>
      </c>
      <c r="D742" s="16" t="s">
        <v>1219</v>
      </c>
      <c r="E742" s="16" t="s">
        <v>184</v>
      </c>
      <c r="F742" s="16" t="s">
        <v>192</v>
      </c>
      <c r="G742" s="16" t="s">
        <v>255</v>
      </c>
      <c r="H742" s="16" t="s">
        <v>570</v>
      </c>
      <c r="I742" s="16" t="s">
        <v>447</v>
      </c>
    </row>
    <row r="743" ht="242.25" customHeight="1">
      <c r="A743" s="32" t="b">
        <v>0</v>
      </c>
      <c r="B743" s="32" t="str">
        <f>IMAGE("https://gymvisual.com/10207-catalog_default/biceps-curl-arms-body-wrong-right.jpg",4,500,500)</f>
        <v/>
      </c>
      <c r="C743" s="30">
        <v>742.0</v>
      </c>
      <c r="D743" s="16" t="s">
        <v>1220</v>
      </c>
      <c r="E743" s="16" t="s">
        <v>184</v>
      </c>
      <c r="F743" s="16" t="s">
        <v>219</v>
      </c>
      <c r="G743" s="16" t="s">
        <v>222</v>
      </c>
      <c r="H743" s="16" t="s">
        <v>220</v>
      </c>
      <c r="I743" s="16" t="s">
        <v>220</v>
      </c>
    </row>
    <row r="744" ht="242.25" hidden="1" customHeight="1">
      <c r="B744" s="32" t="str">
        <f>IMAGE("https://gymvisual.com/16538-catalog_default/biceps-curl-with-bed-sheet.jpg",4,500,500)</f>
        <v/>
      </c>
      <c r="C744" s="30">
        <v>743.0</v>
      </c>
      <c r="D744" s="16" t="s">
        <v>1221</v>
      </c>
      <c r="E744" s="16" t="s">
        <v>184</v>
      </c>
      <c r="F744" s="16" t="s">
        <v>219</v>
      </c>
      <c r="G744" s="16" t="s">
        <v>255</v>
      </c>
      <c r="H744" s="16" t="s">
        <v>241</v>
      </c>
      <c r="I744" s="16" t="s">
        <v>292</v>
      </c>
    </row>
    <row r="745" ht="242.25" hidden="1" customHeight="1">
      <c r="B745" s="32" t="str">
        <f>IMAGE("https://gymvisual.com/7619-catalog_default/biceps-leg-concentration-curl.jpg",4,500,500)</f>
        <v/>
      </c>
      <c r="C745" s="30">
        <v>744.0</v>
      </c>
      <c r="D745" s="16" t="s">
        <v>1222</v>
      </c>
      <c r="E745" s="16" t="s">
        <v>184</v>
      </c>
      <c r="F745" s="16" t="s">
        <v>219</v>
      </c>
      <c r="G745" s="16" t="s">
        <v>255</v>
      </c>
      <c r="H745" s="16" t="s">
        <v>241</v>
      </c>
      <c r="I745" s="16" t="s">
        <v>292</v>
      </c>
    </row>
    <row r="746" ht="242.25" hidden="1" customHeight="1">
      <c r="B746" s="32" t="str">
        <f>IMAGE("https://gymvisual.com/430-catalog_default/bird-dog.jpg",4,500,500)</f>
        <v/>
      </c>
      <c r="C746" s="30">
        <v>745.0</v>
      </c>
      <c r="D746" s="16" t="s">
        <v>1223</v>
      </c>
      <c r="E746" s="16" t="s">
        <v>184</v>
      </c>
      <c r="F746" s="16" t="s">
        <v>254</v>
      </c>
      <c r="G746" s="16" t="s">
        <v>255</v>
      </c>
      <c r="H746" s="16" t="s">
        <v>275</v>
      </c>
      <c r="I746" s="16" t="s">
        <v>1224</v>
      </c>
    </row>
    <row r="747" ht="242.25" hidden="1" customHeight="1">
      <c r="B747" s="32" t="str">
        <f>IMAGE("https://gymvisual.com/14187-catalog_default/bird-dog-female.jpg",4,500,500)</f>
        <v/>
      </c>
      <c r="C747" s="30">
        <v>746.0</v>
      </c>
      <c r="D747" s="16" t="s">
        <v>1225</v>
      </c>
      <c r="E747" s="16" t="s">
        <v>184</v>
      </c>
      <c r="F747" s="16" t="s">
        <v>185</v>
      </c>
      <c r="G747" s="16" t="s">
        <v>255</v>
      </c>
      <c r="H747" s="16" t="s">
        <v>220</v>
      </c>
      <c r="I747" s="16" t="s">
        <v>220</v>
      </c>
    </row>
    <row r="748" ht="242.25" hidden="1" customHeight="1">
      <c r="B748" s="32" t="str">
        <f>IMAGE("https://gymvisual.com/18921-catalog_default/bird-dog-male.jpg",4,500,500)</f>
        <v/>
      </c>
      <c r="C748" s="30">
        <v>747.0</v>
      </c>
      <c r="D748" s="16" t="s">
        <v>1226</v>
      </c>
      <c r="E748" s="16" t="s">
        <v>184</v>
      </c>
      <c r="F748" s="16" t="s">
        <v>192</v>
      </c>
      <c r="G748" s="16" t="s">
        <v>255</v>
      </c>
      <c r="H748" s="16" t="s">
        <v>267</v>
      </c>
      <c r="I748" s="16" t="s">
        <v>1227</v>
      </c>
    </row>
    <row r="749" ht="242.25" hidden="1" customHeight="1">
      <c r="B749" s="32" t="str">
        <f>IMAGE("https://gymvisual.com/17853-catalog_default/bird-dog-push-up.jpg",4,500,500)</f>
        <v/>
      </c>
      <c r="C749" s="30">
        <v>748.0</v>
      </c>
      <c r="D749" s="16" t="s">
        <v>1228</v>
      </c>
      <c r="E749" s="16" t="s">
        <v>184</v>
      </c>
      <c r="F749" s="16" t="s">
        <v>234</v>
      </c>
      <c r="G749" s="16" t="s">
        <v>255</v>
      </c>
      <c r="H749" s="16" t="s">
        <v>220</v>
      </c>
      <c r="I749" s="16" t="s">
        <v>220</v>
      </c>
    </row>
    <row r="750" ht="242.25" hidden="1" customHeight="1">
      <c r="B750" s="32" t="str">
        <f>IMAGE("https://gymvisual.com/19437-catalog_default/body-saw-plank.jpg",4,500,500)</f>
        <v/>
      </c>
      <c r="C750" s="30">
        <v>749.0</v>
      </c>
      <c r="D750" s="16" t="s">
        <v>1229</v>
      </c>
      <c r="E750" s="16" t="s">
        <v>184</v>
      </c>
      <c r="F750" s="16" t="s">
        <v>228</v>
      </c>
      <c r="G750" s="16" t="s">
        <v>255</v>
      </c>
      <c r="H750" s="16" t="s">
        <v>1230</v>
      </c>
      <c r="I750" s="16" t="s">
        <v>1231</v>
      </c>
    </row>
    <row r="751" ht="242.25" hidden="1" customHeight="1">
      <c r="B751" s="32" t="str">
        <f>IMAGE("https://gymvisual.com/20610-catalog_default/body-up.jpg",4,500,500)</f>
        <v/>
      </c>
      <c r="C751" s="30">
        <v>750.0</v>
      </c>
      <c r="D751" s="16" t="s">
        <v>1232</v>
      </c>
      <c r="E751" s="16" t="s">
        <v>184</v>
      </c>
      <c r="F751" s="16" t="s">
        <v>228</v>
      </c>
      <c r="G751" s="16" t="s">
        <v>255</v>
      </c>
      <c r="H751" s="16" t="s">
        <v>223</v>
      </c>
      <c r="I751" s="16" t="s">
        <v>472</v>
      </c>
    </row>
    <row r="752" ht="242.25" hidden="1" customHeight="1">
      <c r="B752" s="32" t="str">
        <f>IMAGE("https://gymvisual.com/25061-catalog_default/bodyweight-b-stance-good-morning.jpg",4,500,500)</f>
        <v/>
      </c>
      <c r="C752" s="30">
        <v>751.0</v>
      </c>
      <c r="D752" s="16" t="s">
        <v>1233</v>
      </c>
      <c r="E752" s="16" t="s">
        <v>184</v>
      </c>
      <c r="F752" s="16" t="s">
        <v>185</v>
      </c>
      <c r="G752" s="16" t="s">
        <v>255</v>
      </c>
      <c r="H752" s="16" t="s">
        <v>220</v>
      </c>
      <c r="I752" s="16" t="s">
        <v>220</v>
      </c>
    </row>
    <row r="753" ht="242.25" hidden="1" customHeight="1">
      <c r="B753" s="32" t="str">
        <f>IMAGE("https://gymvisual.com/17987-catalog_default/bodyweight-bent-over-rear-delt-fly.jpg",4,500,500)</f>
        <v/>
      </c>
      <c r="C753" s="30">
        <v>752.0</v>
      </c>
      <c r="D753" s="16" t="s">
        <v>1234</v>
      </c>
      <c r="E753" s="16" t="s">
        <v>184</v>
      </c>
      <c r="F753" s="16" t="s">
        <v>228</v>
      </c>
      <c r="G753" s="16" t="s">
        <v>255</v>
      </c>
      <c r="H753" s="16" t="s">
        <v>220</v>
      </c>
      <c r="I753" s="16" t="s">
        <v>220</v>
      </c>
    </row>
    <row r="754" ht="242.25" hidden="1" customHeight="1">
      <c r="B754" s="32" t="str">
        <f>IMAGE("https://gymvisual.com/19215-catalog_default/bodyweight-elevanted-heel-squat.jpg",4,500,500)</f>
        <v/>
      </c>
      <c r="C754" s="30">
        <v>753.0</v>
      </c>
      <c r="D754" s="16" t="s">
        <v>1235</v>
      </c>
      <c r="E754" s="16" t="s">
        <v>184</v>
      </c>
      <c r="F754" s="16" t="s">
        <v>1236</v>
      </c>
      <c r="G754" s="16" t="s">
        <v>255</v>
      </c>
      <c r="H754" s="16" t="s">
        <v>220</v>
      </c>
      <c r="I754" s="16" t="s">
        <v>220</v>
      </c>
    </row>
    <row r="755" ht="242.25" hidden="1" customHeight="1">
      <c r="B755" s="32" t="str">
        <f>IMAGE("https://gymvisual.com/20029-catalog_default/bodyweight-forward-lunge-hinge-at-hips.jpg",4,500,500)</f>
        <v/>
      </c>
      <c r="C755" s="30">
        <v>754.0</v>
      </c>
      <c r="D755" s="16" t="s">
        <v>1237</v>
      </c>
      <c r="E755" s="16" t="s">
        <v>184</v>
      </c>
      <c r="F755" s="16" t="s">
        <v>294</v>
      </c>
      <c r="G755" s="16" t="s">
        <v>255</v>
      </c>
      <c r="H755" s="16" t="s">
        <v>189</v>
      </c>
      <c r="I755" s="16" t="s">
        <v>190</v>
      </c>
    </row>
    <row r="756" ht="242.25" hidden="1" customHeight="1">
      <c r="B756" s="32" t="str">
        <f>IMAGE("https://gymvisual.com/20031-catalog_default/bodyweight-forward-lunge-smaller-stance-upright-torso.jpg",4,500,500)</f>
        <v/>
      </c>
      <c r="C756" s="30">
        <v>755.0</v>
      </c>
      <c r="D756" s="16" t="s">
        <v>1238</v>
      </c>
      <c r="E756" s="16" t="s">
        <v>184</v>
      </c>
      <c r="F756" s="16" t="s">
        <v>285</v>
      </c>
      <c r="G756" s="16" t="s">
        <v>255</v>
      </c>
      <c r="H756" s="16" t="s">
        <v>552</v>
      </c>
      <c r="I756" s="16" t="s">
        <v>553</v>
      </c>
    </row>
    <row r="757" ht="242.25" hidden="1" customHeight="1">
      <c r="B757" s="32" t="str">
        <f>IMAGE("https://gymvisual.com/12754-catalog_default/bodyweight-frog-pump.jpg",4,500,500)</f>
        <v/>
      </c>
      <c r="C757" s="30">
        <v>756.0</v>
      </c>
      <c r="D757" s="16" t="s">
        <v>1239</v>
      </c>
      <c r="E757" s="16" t="s">
        <v>184</v>
      </c>
      <c r="F757" s="16" t="s">
        <v>185</v>
      </c>
      <c r="G757" s="16" t="s">
        <v>255</v>
      </c>
      <c r="H757" s="16" t="s">
        <v>1240</v>
      </c>
      <c r="I757" s="16" t="s">
        <v>1241</v>
      </c>
    </row>
    <row r="758" ht="242.25" hidden="1" customHeight="1">
      <c r="B758" s="32" t="str">
        <f>IMAGE("https://gymvisual.com/23611-catalog_default/bodyweight-full-squat-with-overhead-press.jpg",4,500,500)</f>
        <v/>
      </c>
      <c r="C758" s="30">
        <v>757.0</v>
      </c>
      <c r="D758" s="16" t="s">
        <v>1242</v>
      </c>
      <c r="E758" s="16" t="s">
        <v>184</v>
      </c>
      <c r="F758" s="16" t="s">
        <v>321</v>
      </c>
      <c r="G758" s="16" t="s">
        <v>255</v>
      </c>
      <c r="H758" s="16" t="s">
        <v>220</v>
      </c>
      <c r="I758" s="16" t="s">
        <v>220</v>
      </c>
    </row>
    <row r="759" ht="242.25" hidden="1" customHeight="1">
      <c r="B759" s="32" t="str">
        <f>IMAGE("https://gymvisual.com/20547-catalog_default/bodyweight-glute-dominant-step-up.jpg",4,500,500)</f>
        <v/>
      </c>
      <c r="C759" s="30">
        <v>758.0</v>
      </c>
      <c r="D759" s="16" t="s">
        <v>1243</v>
      </c>
      <c r="E759" s="16" t="s">
        <v>184</v>
      </c>
      <c r="F759" s="16" t="s">
        <v>294</v>
      </c>
      <c r="G759" s="16" t="s">
        <v>255</v>
      </c>
      <c r="H759" s="16" t="s">
        <v>189</v>
      </c>
      <c r="I759" s="16" t="s">
        <v>190</v>
      </c>
    </row>
    <row r="760" ht="242.25" hidden="1" customHeight="1">
      <c r="B760" s="32" t="str">
        <f>IMAGE("https://gymvisual.com/24689-catalog_default/bodyweight-good-morning.jpg",4,500,500)</f>
        <v/>
      </c>
      <c r="C760" s="30">
        <v>759.0</v>
      </c>
      <c r="D760" s="16" t="s">
        <v>1244</v>
      </c>
      <c r="E760" s="16" t="s">
        <v>184</v>
      </c>
      <c r="F760" s="16" t="s">
        <v>185</v>
      </c>
      <c r="G760" s="16" t="s">
        <v>255</v>
      </c>
      <c r="H760" s="16" t="s">
        <v>220</v>
      </c>
      <c r="I760" s="16" t="s">
        <v>220</v>
      </c>
    </row>
    <row r="761" ht="242.25" hidden="1" customHeight="1">
      <c r="B761" s="32" t="str">
        <f>IMAGE("https://gymvisual.com/14100-catalog_default/bodyweight-incline-side-plank.jpg",4,500,500)</f>
        <v/>
      </c>
      <c r="C761" s="30">
        <v>760.0</v>
      </c>
      <c r="D761" s="16" t="s">
        <v>1245</v>
      </c>
      <c r="E761" s="16" t="s">
        <v>184</v>
      </c>
      <c r="F761" s="16" t="s">
        <v>254</v>
      </c>
      <c r="G761" s="16" t="s">
        <v>255</v>
      </c>
      <c r="H761" s="16" t="s">
        <v>257</v>
      </c>
      <c r="I761" s="16" t="s">
        <v>1246</v>
      </c>
    </row>
    <row r="762" ht="242.25" hidden="1" customHeight="1">
      <c r="B762" s="32" t="str">
        <f>IMAGE("https://gymvisual.com/23919-catalog_default/bodyweight-kneeling-hold-to-stand.jpg",4,500,500)</f>
        <v/>
      </c>
      <c r="C762" s="30">
        <v>761.0</v>
      </c>
      <c r="D762" s="16" t="s">
        <v>1247</v>
      </c>
      <c r="E762" s="16" t="s">
        <v>184</v>
      </c>
      <c r="F762" s="16" t="s">
        <v>285</v>
      </c>
      <c r="G762" s="16" t="s">
        <v>255</v>
      </c>
      <c r="H762" s="16" t="s">
        <v>189</v>
      </c>
      <c r="I762" s="16" t="s">
        <v>190</v>
      </c>
    </row>
    <row r="763" ht="242.25" hidden="1" customHeight="1">
      <c r="B763" s="32" t="str">
        <f>IMAGE("https://gymvisual.com/22716-catalog_default/bodyweight-kneeling-push-up-row.jpg",4,500,500)</f>
        <v/>
      </c>
      <c r="C763" s="30">
        <v>762.0</v>
      </c>
      <c r="D763" s="16" t="s">
        <v>1248</v>
      </c>
      <c r="E763" s="16" t="s">
        <v>184</v>
      </c>
      <c r="F763" s="16" t="s">
        <v>234</v>
      </c>
      <c r="G763" s="16" t="s">
        <v>255</v>
      </c>
      <c r="H763" s="16" t="s">
        <v>1249</v>
      </c>
      <c r="I763" s="16" t="s">
        <v>1250</v>
      </c>
    </row>
    <row r="764" ht="242.25" hidden="1" customHeight="1">
      <c r="B764" s="32" t="str">
        <f>IMAGE("https://gymvisual.com/20698-catalog_default/bodyweight-kneeling-sissy-squat.jpg",4,500,500)</f>
        <v/>
      </c>
      <c r="C764" s="30">
        <v>763.0</v>
      </c>
      <c r="D764" s="16" t="s">
        <v>1251</v>
      </c>
      <c r="E764" s="16" t="s">
        <v>184</v>
      </c>
      <c r="F764" s="16" t="s">
        <v>285</v>
      </c>
      <c r="G764" s="16" t="s">
        <v>255</v>
      </c>
      <c r="H764" s="16" t="s">
        <v>552</v>
      </c>
      <c r="I764" s="16" t="s">
        <v>220</v>
      </c>
    </row>
    <row r="765" ht="242.25" hidden="1" customHeight="1">
      <c r="B765" s="32" t="str">
        <f>IMAGE("https://gymvisual.com/7617-catalog_default/bodyweight-kneeling-triceps-extension.jpg",4,500,500)</f>
        <v/>
      </c>
      <c r="C765" s="30">
        <v>764.0</v>
      </c>
      <c r="D765" s="16" t="s">
        <v>1252</v>
      </c>
      <c r="E765" s="16" t="s">
        <v>184</v>
      </c>
      <c r="F765" s="16" t="s">
        <v>219</v>
      </c>
      <c r="G765" s="16" t="s">
        <v>255</v>
      </c>
      <c r="H765" s="16" t="s">
        <v>223</v>
      </c>
      <c r="I765" s="16" t="s">
        <v>220</v>
      </c>
    </row>
    <row r="766" ht="242.25" hidden="1" customHeight="1">
      <c r="B766" s="32" t="str">
        <f>IMAGE("https://gymvisual.com/13341-catalog_default/bodyweight-kneeling-triceps-extension-female.jpg",4,500,500)</f>
        <v/>
      </c>
      <c r="C766" s="30">
        <v>765.0</v>
      </c>
      <c r="D766" s="16" t="s">
        <v>1253</v>
      </c>
      <c r="E766" s="16" t="s">
        <v>184</v>
      </c>
      <c r="F766" s="16" t="s">
        <v>219</v>
      </c>
      <c r="G766" s="16" t="s">
        <v>255</v>
      </c>
      <c r="H766" s="16" t="s">
        <v>223</v>
      </c>
      <c r="I766" s="16" t="s">
        <v>220</v>
      </c>
    </row>
    <row r="767" ht="242.25" hidden="1" customHeight="1">
      <c r="B767" s="32" t="str">
        <f>IMAGE("https://gymvisual.com/25651-catalog_default/bodyweight-lying-prone-ys.jpg",4,500,500)</f>
        <v/>
      </c>
      <c r="C767" s="30">
        <v>766.0</v>
      </c>
      <c r="D767" s="16" t="s">
        <v>1254</v>
      </c>
      <c r="E767" s="16" t="s">
        <v>184</v>
      </c>
      <c r="F767" s="16" t="s">
        <v>192</v>
      </c>
      <c r="G767" s="16" t="s">
        <v>255</v>
      </c>
      <c r="H767" s="16" t="s">
        <v>220</v>
      </c>
      <c r="I767" s="16" t="s">
        <v>220</v>
      </c>
    </row>
    <row r="768" ht="242.25" hidden="1" customHeight="1">
      <c r="B768" s="32" t="str">
        <f>IMAGE("https://gymvisual.com/24808-catalog_default/bodyweight-narrow-stance-squat-male.jpg",4,500,500)</f>
        <v/>
      </c>
      <c r="C768" s="30">
        <v>767.0</v>
      </c>
      <c r="D768" s="16" t="s">
        <v>1255</v>
      </c>
      <c r="E768" s="16" t="s">
        <v>184</v>
      </c>
      <c r="F768" s="16" t="s">
        <v>285</v>
      </c>
      <c r="G768" s="16" t="s">
        <v>255</v>
      </c>
      <c r="H768" s="16" t="s">
        <v>189</v>
      </c>
      <c r="I768" s="16" t="s">
        <v>190</v>
      </c>
    </row>
    <row r="769" ht="242.25" hidden="1" customHeight="1">
      <c r="B769" s="32" t="str">
        <f>IMAGE("https://gymvisual.com/22762-catalog_default/bodyweight-overhead-squat.jpg",4,500,500)</f>
        <v/>
      </c>
      <c r="C769" s="30">
        <v>768.0</v>
      </c>
      <c r="D769" s="16" t="s">
        <v>1256</v>
      </c>
      <c r="E769" s="16" t="s">
        <v>184</v>
      </c>
      <c r="F769" s="16" t="s">
        <v>285</v>
      </c>
      <c r="G769" s="16" t="s">
        <v>255</v>
      </c>
      <c r="H769" s="16" t="s">
        <v>189</v>
      </c>
      <c r="I769" s="16" t="s">
        <v>190</v>
      </c>
    </row>
    <row r="770" ht="242.25" hidden="1" customHeight="1">
      <c r="B770" s="32" t="str">
        <f>IMAGE("https://gymvisual.com/23651-catalog_default/bodyweight-overhead-triceps-extension-female.jpg",4,500,500)</f>
        <v/>
      </c>
      <c r="C770" s="30">
        <v>769.0</v>
      </c>
      <c r="D770" s="16" t="s">
        <v>1257</v>
      </c>
      <c r="E770" s="16" t="s">
        <v>184</v>
      </c>
      <c r="F770" s="16" t="s">
        <v>219</v>
      </c>
      <c r="G770" s="16" t="s">
        <v>255</v>
      </c>
      <c r="H770" s="16" t="s">
        <v>223</v>
      </c>
      <c r="I770" s="16" t="s">
        <v>220</v>
      </c>
    </row>
    <row r="771" ht="242.25" hidden="1" customHeight="1">
      <c r="B771" s="32" t="str">
        <f>IMAGE("https://gymvisual.com/14082-catalog_default/bodyweight-pulse-squat.jpg",4,500,500)</f>
        <v/>
      </c>
      <c r="C771" s="30">
        <v>770.0</v>
      </c>
      <c r="D771" s="16" t="s">
        <v>1258</v>
      </c>
      <c r="E771" s="16" t="s">
        <v>184</v>
      </c>
      <c r="F771" s="16" t="s">
        <v>294</v>
      </c>
      <c r="G771" s="16" t="s">
        <v>255</v>
      </c>
      <c r="H771" s="16" t="s">
        <v>189</v>
      </c>
      <c r="I771" s="16" t="s">
        <v>190</v>
      </c>
    </row>
    <row r="772" ht="242.25" hidden="1" customHeight="1">
      <c r="B772" s="32" t="str">
        <f>IMAGE("https://gymvisual.com/22704-catalog_default/bodyweight-pulse-squat-female.jpg",4,500,500)</f>
        <v/>
      </c>
      <c r="C772" s="30">
        <v>771.0</v>
      </c>
      <c r="D772" s="16" t="s">
        <v>1259</v>
      </c>
      <c r="E772" s="16" t="s">
        <v>184</v>
      </c>
      <c r="F772" s="16" t="s">
        <v>285</v>
      </c>
      <c r="G772" s="16" t="s">
        <v>255</v>
      </c>
      <c r="H772" s="16" t="s">
        <v>189</v>
      </c>
      <c r="I772" s="16" t="s">
        <v>190</v>
      </c>
    </row>
    <row r="773" ht="242.25" hidden="1" customHeight="1">
      <c r="B773" s="32" t="str">
        <f>IMAGE("https://gymvisual.com/14060-catalog_default/bodyweight-rear-lunge.jpg",4,500,500)</f>
        <v/>
      </c>
      <c r="C773" s="30">
        <v>772.0</v>
      </c>
      <c r="D773" s="16" t="s">
        <v>1260</v>
      </c>
      <c r="E773" s="16" t="s">
        <v>184</v>
      </c>
      <c r="F773" s="16" t="s">
        <v>285</v>
      </c>
      <c r="G773" s="16" t="s">
        <v>255</v>
      </c>
      <c r="H773" s="16" t="s">
        <v>189</v>
      </c>
      <c r="I773" s="16" t="s">
        <v>190</v>
      </c>
    </row>
    <row r="774" ht="242.25" hidden="1" customHeight="1">
      <c r="B774" s="32" t="str">
        <f>IMAGE("https://gymvisual.com/13791-catalog_default/bodyweight-row-in-doorway.jpg",4,500,500)</f>
        <v/>
      </c>
      <c r="C774" s="30">
        <v>773.0</v>
      </c>
      <c r="D774" s="16" t="s">
        <v>1261</v>
      </c>
      <c r="E774" s="16" t="s">
        <v>184</v>
      </c>
      <c r="F774" s="16" t="s">
        <v>192</v>
      </c>
      <c r="G774" s="16" t="s">
        <v>255</v>
      </c>
      <c r="H774" s="16" t="s">
        <v>329</v>
      </c>
      <c r="I774" s="16" t="s">
        <v>447</v>
      </c>
    </row>
    <row r="775" ht="242.25" hidden="1" customHeight="1">
      <c r="B775" s="32" t="str">
        <f>IMAGE("https://gymvisual.com/18927-catalog_default/bodyweight-shrug.jpg",4,500,500)</f>
        <v/>
      </c>
      <c r="C775" s="30">
        <v>774.0</v>
      </c>
      <c r="D775" s="16" t="s">
        <v>1262</v>
      </c>
      <c r="E775" s="16" t="s">
        <v>184</v>
      </c>
      <c r="F775" s="16" t="s">
        <v>192</v>
      </c>
      <c r="G775" s="16" t="s">
        <v>255</v>
      </c>
      <c r="H775" s="16" t="s">
        <v>238</v>
      </c>
      <c r="I775" s="16" t="s">
        <v>239</v>
      </c>
    </row>
    <row r="776" ht="242.25" hidden="1" customHeight="1">
      <c r="B776" s="32" t="str">
        <f>IMAGE("https://gymvisual.com/7621-catalog_default/bodyweight-side-lying-biceps-curl.jpg",4,500,500)</f>
        <v/>
      </c>
      <c r="C776" s="30">
        <v>775.0</v>
      </c>
      <c r="D776" s="16" t="s">
        <v>1263</v>
      </c>
      <c r="E776" s="16" t="s">
        <v>184</v>
      </c>
      <c r="F776" s="16" t="s">
        <v>219</v>
      </c>
      <c r="G776" s="16" t="s">
        <v>255</v>
      </c>
      <c r="H776" s="16" t="s">
        <v>220</v>
      </c>
      <c r="I776" s="16" t="s">
        <v>220</v>
      </c>
    </row>
    <row r="777" ht="242.25" hidden="1" customHeight="1">
      <c r="B777" s="32" t="str">
        <f>IMAGE("https://gymvisual.com/22722-catalog_default/bodyweight-single-leg-deadlift.jpg",4,500,500)</f>
        <v/>
      </c>
      <c r="C777" s="30">
        <v>776.0</v>
      </c>
      <c r="D777" s="16" t="s">
        <v>1264</v>
      </c>
      <c r="E777" s="16" t="s">
        <v>184</v>
      </c>
      <c r="F777" s="16" t="s">
        <v>285</v>
      </c>
      <c r="G777" s="16" t="s">
        <v>255</v>
      </c>
      <c r="H777" s="16" t="s">
        <v>187</v>
      </c>
      <c r="I777" s="16" t="s">
        <v>482</v>
      </c>
    </row>
    <row r="778" ht="242.25" hidden="1" customHeight="1">
      <c r="B778" s="32" t="str">
        <f>IMAGE("https://gymvisual.com/25059-catalog_default/bodyweight-single-leg-kas-glute-bridge.jpg",4,500,500)</f>
        <v/>
      </c>
      <c r="C778" s="30">
        <v>777.0</v>
      </c>
      <c r="D778" s="16" t="s">
        <v>1265</v>
      </c>
      <c r="E778" s="16" t="s">
        <v>184</v>
      </c>
      <c r="F778" s="16" t="s">
        <v>185</v>
      </c>
      <c r="G778" s="16" t="s">
        <v>255</v>
      </c>
      <c r="H778" s="16" t="s">
        <v>220</v>
      </c>
      <c r="I778" s="16" t="s">
        <v>220</v>
      </c>
    </row>
    <row r="779" ht="242.25" hidden="1" customHeight="1">
      <c r="B779" s="32" t="str">
        <f>IMAGE("https://gymvisual.com/22496-catalog_default/bodyweight-single-leg-rdl.jpg",4,500,500)</f>
        <v/>
      </c>
      <c r="C779" s="30">
        <v>778.0</v>
      </c>
      <c r="D779" s="16" t="s">
        <v>1266</v>
      </c>
      <c r="E779" s="16" t="s">
        <v>184</v>
      </c>
      <c r="F779" s="16" t="s">
        <v>185</v>
      </c>
      <c r="G779" s="16" t="s">
        <v>255</v>
      </c>
      <c r="H779" s="16" t="s">
        <v>220</v>
      </c>
      <c r="I779" s="16" t="s">
        <v>220</v>
      </c>
    </row>
    <row r="780" ht="242.25" hidden="1" customHeight="1">
      <c r="B780" s="32" t="str">
        <f>IMAGE("https://gymvisual.com/17877-catalog_default/bodyweight-single-leg-wall-squat.jpg",4,500,500)</f>
        <v/>
      </c>
      <c r="C780" s="30">
        <v>779.0</v>
      </c>
      <c r="D780" s="16" t="s">
        <v>1267</v>
      </c>
      <c r="E780" s="16" t="s">
        <v>184</v>
      </c>
      <c r="F780" s="16" t="s">
        <v>285</v>
      </c>
      <c r="G780" s="16" t="s">
        <v>255</v>
      </c>
      <c r="H780" s="16" t="s">
        <v>220</v>
      </c>
      <c r="I780" s="16" t="s">
        <v>220</v>
      </c>
    </row>
    <row r="781" ht="242.25" hidden="1" customHeight="1">
      <c r="B781" s="32" t="str">
        <f>IMAGE("https://gymvisual.com/12723-catalog_default/bodyweight-squatting-row.jpg",4,500,500)</f>
        <v/>
      </c>
      <c r="C781" s="30">
        <v>780.0</v>
      </c>
      <c r="D781" s="16" t="s">
        <v>1268</v>
      </c>
      <c r="E781" s="16" t="s">
        <v>184</v>
      </c>
      <c r="F781" s="16" t="s">
        <v>192</v>
      </c>
      <c r="G781" s="16" t="s">
        <v>255</v>
      </c>
      <c r="H781" s="16" t="s">
        <v>329</v>
      </c>
      <c r="I781" s="16" t="s">
        <v>447</v>
      </c>
    </row>
    <row r="782" ht="242.25" hidden="1" customHeight="1">
      <c r="B782" s="32" t="str">
        <f>IMAGE("https://gymvisual.com/12725-catalog_default/bodyweight-squatting-row-female.jpg",4,500,500)</f>
        <v/>
      </c>
      <c r="C782" s="30">
        <v>781.0</v>
      </c>
      <c r="D782" s="16" t="s">
        <v>1269</v>
      </c>
      <c r="E782" s="16" t="s">
        <v>184</v>
      </c>
      <c r="F782" s="16" t="s">
        <v>192</v>
      </c>
      <c r="G782" s="16" t="s">
        <v>255</v>
      </c>
      <c r="H782" s="16" t="s">
        <v>329</v>
      </c>
      <c r="I782" s="16" t="s">
        <v>447</v>
      </c>
    </row>
    <row r="783" ht="242.25" hidden="1" customHeight="1">
      <c r="B783" s="32" t="str">
        <f>IMAGE("https://gymvisual.com/12722-catalog_default/bodyweight-squatting-row-with-towel.jpg",4,500,500)</f>
        <v/>
      </c>
      <c r="C783" s="30">
        <v>782.0</v>
      </c>
      <c r="D783" s="16" t="s">
        <v>1270</v>
      </c>
      <c r="E783" s="16" t="s">
        <v>184</v>
      </c>
      <c r="F783" s="16" t="s">
        <v>192</v>
      </c>
      <c r="G783" s="16" t="s">
        <v>255</v>
      </c>
      <c r="H783" s="16" t="s">
        <v>329</v>
      </c>
      <c r="I783" s="16" t="s">
        <v>447</v>
      </c>
    </row>
    <row r="784" ht="242.25" hidden="1" customHeight="1">
      <c r="B784" s="32" t="str">
        <f>IMAGE("https://gymvisual.com/12724-catalog_default/bodyweight-squatting-row-with-towel-female.jpg",4,500,500)</f>
        <v/>
      </c>
      <c r="C784" s="30">
        <v>783.0</v>
      </c>
      <c r="D784" s="16" t="s">
        <v>1271</v>
      </c>
      <c r="E784" s="16" t="s">
        <v>184</v>
      </c>
      <c r="F784" s="16" t="s">
        <v>192</v>
      </c>
      <c r="G784" s="16" t="s">
        <v>255</v>
      </c>
      <c r="H784" s="16" t="s">
        <v>329</v>
      </c>
      <c r="I784" s="16" t="s">
        <v>447</v>
      </c>
    </row>
    <row r="785" ht="242.25" hidden="1" customHeight="1">
      <c r="B785" s="32" t="str">
        <f>IMAGE("https://gymvisual.com/23627-catalog_default/bodyweight-standing-around-world-wall-supported.jpg",4,500,500)</f>
        <v/>
      </c>
      <c r="C785" s="30">
        <v>784.0</v>
      </c>
      <c r="D785" s="16" t="s">
        <v>1272</v>
      </c>
      <c r="E785" s="16" t="s">
        <v>184</v>
      </c>
      <c r="F785" s="16" t="s">
        <v>228</v>
      </c>
      <c r="G785" s="16" t="s">
        <v>255</v>
      </c>
      <c r="H785" s="16" t="s">
        <v>333</v>
      </c>
      <c r="I785" s="16" t="s">
        <v>1273</v>
      </c>
    </row>
    <row r="786" ht="242.25" hidden="1" customHeight="1">
      <c r="B786" s="32" t="str">
        <f>IMAGE("https://gymvisual.com/12187-catalog_default/bodyweight-standing-biceps-curl.jpg",4,500,500)</f>
        <v/>
      </c>
      <c r="C786" s="30">
        <v>785.0</v>
      </c>
      <c r="D786" s="16" t="s">
        <v>1274</v>
      </c>
      <c r="E786" s="16" t="s">
        <v>184</v>
      </c>
      <c r="F786" s="16" t="s">
        <v>219</v>
      </c>
      <c r="G786" s="16" t="s">
        <v>255</v>
      </c>
      <c r="H786" s="16" t="s">
        <v>220</v>
      </c>
      <c r="I786" s="16" t="s">
        <v>220</v>
      </c>
    </row>
    <row r="787" ht="242.25" hidden="1" customHeight="1">
      <c r="B787" s="32" t="str">
        <f>IMAGE("https://gymvisual.com/19407-catalog_default/bodyweight-standing-biceps-curl-version-2.jpg",4,500,500)</f>
        <v/>
      </c>
      <c r="C787" s="30">
        <v>786.0</v>
      </c>
      <c r="D787" s="16" t="s">
        <v>1275</v>
      </c>
      <c r="E787" s="16" t="s">
        <v>184</v>
      </c>
      <c r="F787" s="16" t="s">
        <v>219</v>
      </c>
      <c r="G787" s="16" t="s">
        <v>255</v>
      </c>
      <c r="H787" s="16" t="s">
        <v>220</v>
      </c>
      <c r="I787" s="16" t="s">
        <v>220</v>
      </c>
    </row>
    <row r="788" ht="242.25" hidden="1" customHeight="1">
      <c r="B788" s="32" t="str">
        <f>IMAGE("https://gymvisual.com/6068-catalog_default/bodyweight-standing-calf-raise.jpg",4,500,500)</f>
        <v/>
      </c>
      <c r="C788" s="30">
        <v>787.0</v>
      </c>
      <c r="D788" s="16" t="s">
        <v>1276</v>
      </c>
      <c r="E788" s="16" t="s">
        <v>184</v>
      </c>
      <c r="F788" s="16" t="s">
        <v>325</v>
      </c>
      <c r="G788" s="16" t="s">
        <v>255</v>
      </c>
      <c r="H788" s="16" t="s">
        <v>368</v>
      </c>
      <c r="I788" s="16" t="s">
        <v>463</v>
      </c>
    </row>
    <row r="789" ht="242.25" hidden="1" customHeight="1">
      <c r="B789" s="32" t="str">
        <f>IMAGE("https://gymvisual.com/12684-catalog_default/bodyweight-standing-close-grip-one-arm-row.jpg",4,500,500)</f>
        <v/>
      </c>
      <c r="C789" s="30">
        <v>788.0</v>
      </c>
      <c r="D789" s="16" t="s">
        <v>1277</v>
      </c>
      <c r="E789" s="16" t="s">
        <v>184</v>
      </c>
      <c r="F789" s="16" t="s">
        <v>192</v>
      </c>
      <c r="G789" s="16" t="s">
        <v>255</v>
      </c>
      <c r="H789" s="16" t="s">
        <v>329</v>
      </c>
      <c r="I789" s="16" t="s">
        <v>447</v>
      </c>
    </row>
    <row r="790" ht="242.25" hidden="1" customHeight="1">
      <c r="B790" s="32" t="str">
        <f>IMAGE("https://gymvisual.com/12683-catalog_default/bodyweight-standing-close-grip-one-arm-row-female.jpg",4,500,500)</f>
        <v/>
      </c>
      <c r="C790" s="30">
        <v>789.0</v>
      </c>
      <c r="D790" s="16" t="s">
        <v>1278</v>
      </c>
      <c r="E790" s="16" t="s">
        <v>184</v>
      </c>
      <c r="F790" s="16" t="s">
        <v>192</v>
      </c>
      <c r="G790" s="16" t="s">
        <v>255</v>
      </c>
      <c r="H790" s="16" t="s">
        <v>329</v>
      </c>
      <c r="I790" s="16" t="s">
        <v>447</v>
      </c>
    </row>
    <row r="791" ht="242.25" customHeight="1">
      <c r="A791" s="32" t="b">
        <v>0</v>
      </c>
      <c r="B791" s="32" t="str">
        <f>IMAGE("https://gymvisual.com/25212-catalog_default/cable-kneeling-crunch.jpg",4,500,500)</f>
        <v/>
      </c>
      <c r="C791" s="30">
        <v>790.0</v>
      </c>
      <c r="D791" s="16" t="s">
        <v>1279</v>
      </c>
      <c r="E791" s="16" t="s">
        <v>184</v>
      </c>
      <c r="F791" s="16" t="s">
        <v>254</v>
      </c>
      <c r="G791" s="16" t="s">
        <v>215</v>
      </c>
      <c r="H791" s="16" t="s">
        <v>256</v>
      </c>
      <c r="I791" s="16" t="s">
        <v>257</v>
      </c>
    </row>
    <row r="792" ht="242.25" hidden="1" customHeight="1">
      <c r="B792" s="32" t="str">
        <f>IMAGE("https://gymvisual.com/12685-catalog_default/bodyweight-standing-close-grip-row-female.jpg",4,500,500)</f>
        <v/>
      </c>
      <c r="C792" s="30">
        <v>791.0</v>
      </c>
      <c r="D792" s="16" t="s">
        <v>1280</v>
      </c>
      <c r="E792" s="16" t="s">
        <v>184</v>
      </c>
      <c r="F792" s="16" t="s">
        <v>192</v>
      </c>
      <c r="G792" s="16" t="s">
        <v>255</v>
      </c>
      <c r="H792" s="16" t="s">
        <v>329</v>
      </c>
      <c r="I792" s="16" t="s">
        <v>447</v>
      </c>
    </row>
    <row r="793" ht="242.25" hidden="1" customHeight="1">
      <c r="B793" s="32" t="str">
        <f>IMAGE("https://gymvisual.com/23941-catalog_default/bodyweight-standing-fly-male.jpg",4,500,500)</f>
        <v/>
      </c>
      <c r="C793" s="30">
        <v>792.0</v>
      </c>
      <c r="D793" s="16" t="s">
        <v>1281</v>
      </c>
      <c r="E793" s="16" t="s">
        <v>184</v>
      </c>
      <c r="F793" s="16" t="s">
        <v>234</v>
      </c>
      <c r="G793" s="16" t="s">
        <v>255</v>
      </c>
      <c r="H793" s="16" t="s">
        <v>235</v>
      </c>
      <c r="I793" s="16" t="s">
        <v>236</v>
      </c>
    </row>
    <row r="794" ht="242.25" hidden="1" customHeight="1">
      <c r="B794" s="32" t="str">
        <f>IMAGE("https://gymvisual.com/18764-catalog_default/bodyweight-standing-military-press.jpg",4,500,500)</f>
        <v/>
      </c>
      <c r="C794" s="30">
        <v>793.0</v>
      </c>
      <c r="D794" s="16" t="s">
        <v>1282</v>
      </c>
      <c r="E794" s="16" t="s">
        <v>184</v>
      </c>
      <c r="F794" s="16" t="s">
        <v>228</v>
      </c>
      <c r="G794" s="16" t="s">
        <v>255</v>
      </c>
      <c r="H794" s="16" t="s">
        <v>220</v>
      </c>
      <c r="I794" s="16" t="s">
        <v>220</v>
      </c>
    </row>
    <row r="795" ht="242.25" hidden="1" customHeight="1">
      <c r="B795" s="32" t="str">
        <f>IMAGE("https://gymvisual.com/22616-catalog_default/bodyweight-standing-military-press-wall-supported.jpg",4,500,500)</f>
        <v/>
      </c>
      <c r="C795" s="30">
        <v>794.0</v>
      </c>
      <c r="D795" s="16" t="s">
        <v>1283</v>
      </c>
      <c r="E795" s="16" t="s">
        <v>184</v>
      </c>
      <c r="F795" s="16" t="s">
        <v>228</v>
      </c>
      <c r="G795" s="16" t="s">
        <v>255</v>
      </c>
      <c r="H795" s="16" t="s">
        <v>229</v>
      </c>
      <c r="I795" s="16" t="s">
        <v>230</v>
      </c>
    </row>
    <row r="796" ht="242.25" hidden="1" customHeight="1">
      <c r="B796" s="32" t="str">
        <f>IMAGE("https://gymvisual.com/22395-catalog_default/bodyweight-standing-oblique-twist.jpg",4,500,500)</f>
        <v/>
      </c>
      <c r="C796" s="30">
        <v>795.0</v>
      </c>
      <c r="D796" s="16" t="s">
        <v>1284</v>
      </c>
      <c r="E796" s="16" t="s">
        <v>184</v>
      </c>
      <c r="F796" s="16" t="s">
        <v>254</v>
      </c>
      <c r="G796" s="16" t="s">
        <v>255</v>
      </c>
      <c r="H796" s="16" t="s">
        <v>220</v>
      </c>
      <c r="I796" s="16" t="s">
        <v>220</v>
      </c>
    </row>
    <row r="797" ht="242.25" hidden="1" customHeight="1">
      <c r="B797" s="32" t="str">
        <f>IMAGE("https://gymvisual.com/12688-catalog_default/bodyweight-standing-one-arm-row.jpg",4,500,500)</f>
        <v/>
      </c>
      <c r="C797" s="30">
        <v>796.0</v>
      </c>
      <c r="D797" s="16" t="s">
        <v>1285</v>
      </c>
      <c r="E797" s="16" t="s">
        <v>184</v>
      </c>
      <c r="F797" s="16" t="s">
        <v>192</v>
      </c>
      <c r="G797" s="16" t="s">
        <v>255</v>
      </c>
      <c r="H797" s="16" t="s">
        <v>329</v>
      </c>
      <c r="I797" s="16" t="s">
        <v>447</v>
      </c>
    </row>
    <row r="798" ht="242.25" hidden="1" customHeight="1">
      <c r="B798" s="32" t="str">
        <f>IMAGE("https://gymvisual.com/12687-catalog_default/bodyweight-standing-one-arm-row-female.jpg",4,500,500)</f>
        <v/>
      </c>
      <c r="C798" s="30">
        <v>797.0</v>
      </c>
      <c r="D798" s="16" t="s">
        <v>1286</v>
      </c>
      <c r="E798" s="16" t="s">
        <v>184</v>
      </c>
      <c r="F798" s="16" t="s">
        <v>192</v>
      </c>
      <c r="G798" s="16" t="s">
        <v>255</v>
      </c>
      <c r="H798" s="16" t="s">
        <v>329</v>
      </c>
      <c r="I798" s="16" t="s">
        <v>447</v>
      </c>
    </row>
    <row r="799" ht="242.25" hidden="1" customHeight="1">
      <c r="B799" s="32" t="str">
        <f>IMAGE("https://gymvisual.com/12690-catalog_default/bodyweight-standing-one-arm-row-with-towel.jpg",4,500,500)</f>
        <v/>
      </c>
      <c r="C799" s="30">
        <v>798.0</v>
      </c>
      <c r="D799" s="16" t="s">
        <v>1287</v>
      </c>
      <c r="E799" s="16" t="s">
        <v>184</v>
      </c>
      <c r="F799" s="16" t="s">
        <v>192</v>
      </c>
      <c r="G799" s="16" t="s">
        <v>255</v>
      </c>
      <c r="H799" s="16" t="s">
        <v>329</v>
      </c>
      <c r="I799" s="16" t="s">
        <v>447</v>
      </c>
    </row>
    <row r="800" ht="242.25" hidden="1" customHeight="1">
      <c r="B800" s="32" t="str">
        <f>IMAGE("https://gymvisual.com/12689-catalog_default/bodyweight-standing-one-arm-row-with-towel-female.jpg",4,500,500)</f>
        <v/>
      </c>
      <c r="C800" s="30">
        <v>799.0</v>
      </c>
      <c r="D800" s="16" t="s">
        <v>1288</v>
      </c>
      <c r="E800" s="16" t="s">
        <v>184</v>
      </c>
      <c r="F800" s="16" t="s">
        <v>192</v>
      </c>
      <c r="G800" s="16" t="s">
        <v>255</v>
      </c>
      <c r="H800" s="16" t="s">
        <v>329</v>
      </c>
      <c r="I800" s="16" t="s">
        <v>447</v>
      </c>
    </row>
    <row r="801" ht="242.25" hidden="1" customHeight="1">
      <c r="B801" s="32" t="str">
        <f>IMAGE("https://gymvisual.com/14080-catalog_default/bodyweight-standing-pulse-calf-raise.jpg",4,500,500)</f>
        <v/>
      </c>
      <c r="C801" s="30">
        <v>800.0</v>
      </c>
      <c r="D801" s="16" t="s">
        <v>1289</v>
      </c>
      <c r="E801" s="16" t="s">
        <v>184</v>
      </c>
      <c r="F801" s="16" t="s">
        <v>325</v>
      </c>
      <c r="G801" s="16" t="s">
        <v>255</v>
      </c>
      <c r="H801" s="16" t="s">
        <v>561</v>
      </c>
      <c r="I801" s="16" t="s">
        <v>220</v>
      </c>
    </row>
    <row r="802" ht="242.25" hidden="1" customHeight="1">
      <c r="B802" s="32" t="str">
        <f>IMAGE("https://gymvisual.com/12692-catalog_default/bodyweight-standing-row.jpg",4,500,500)</f>
        <v/>
      </c>
      <c r="C802" s="30">
        <v>801.0</v>
      </c>
      <c r="D802" s="16" t="s">
        <v>1290</v>
      </c>
      <c r="E802" s="16" t="s">
        <v>184</v>
      </c>
      <c r="F802" s="16" t="s">
        <v>192</v>
      </c>
      <c r="G802" s="16" t="s">
        <v>255</v>
      </c>
      <c r="H802" s="16" t="s">
        <v>329</v>
      </c>
      <c r="I802" s="16" t="s">
        <v>447</v>
      </c>
    </row>
    <row r="803" ht="242.25" hidden="1" customHeight="1">
      <c r="B803" s="32" t="str">
        <f>IMAGE("https://gymvisual.com/12691-catalog_default/bodyweight-standing-row-female.jpg",4,500,500)</f>
        <v/>
      </c>
      <c r="C803" s="30">
        <v>802.0</v>
      </c>
      <c r="D803" s="16" t="s">
        <v>1291</v>
      </c>
      <c r="E803" s="16" t="s">
        <v>184</v>
      </c>
      <c r="F803" s="16" t="s">
        <v>192</v>
      </c>
      <c r="G803" s="16" t="s">
        <v>255</v>
      </c>
      <c r="H803" s="16" t="s">
        <v>329</v>
      </c>
      <c r="I803" s="16" t="s">
        <v>447</v>
      </c>
    </row>
    <row r="804" ht="242.25" hidden="1" customHeight="1">
      <c r="B804" s="32" t="str">
        <f>IMAGE("https://gymvisual.com/12694-catalog_default/bodyweight-standing-row-with-towel.jpg",4,500,500)</f>
        <v/>
      </c>
      <c r="C804" s="30">
        <v>803.0</v>
      </c>
      <c r="D804" s="16" t="s">
        <v>1292</v>
      </c>
      <c r="E804" s="16" t="s">
        <v>184</v>
      </c>
      <c r="F804" s="16" t="s">
        <v>192</v>
      </c>
      <c r="G804" s="16" t="s">
        <v>255</v>
      </c>
      <c r="H804" s="16" t="s">
        <v>329</v>
      </c>
      <c r="I804" s="16" t="s">
        <v>447</v>
      </c>
    </row>
    <row r="805" ht="242.25" hidden="1" customHeight="1">
      <c r="B805" s="32" t="str">
        <f>IMAGE("https://gymvisual.com/12693-catalog_default/bodyweight-standing-row-with-towel-female.jpg",4,500,500)</f>
        <v/>
      </c>
      <c r="C805" s="30">
        <v>804.0</v>
      </c>
      <c r="D805" s="16" t="s">
        <v>1293</v>
      </c>
      <c r="E805" s="16" t="s">
        <v>184</v>
      </c>
      <c r="F805" s="16" t="s">
        <v>192</v>
      </c>
      <c r="G805" s="16" t="s">
        <v>255</v>
      </c>
      <c r="H805" s="16" t="s">
        <v>329</v>
      </c>
      <c r="I805" s="16" t="s">
        <v>447</v>
      </c>
    </row>
    <row r="806" ht="242.25" hidden="1" customHeight="1">
      <c r="B806" s="32" t="str">
        <f>IMAGE("https://gymvisual.com/22197-catalog_default/bodyweight-standing-sissy-squat.jpg",4,500,500)</f>
        <v/>
      </c>
      <c r="C806" s="30">
        <v>805.0</v>
      </c>
      <c r="D806" s="16" t="s">
        <v>1294</v>
      </c>
      <c r="E806" s="16" t="s">
        <v>184</v>
      </c>
      <c r="F806" s="16" t="s">
        <v>285</v>
      </c>
      <c r="G806" s="16" t="s">
        <v>255</v>
      </c>
      <c r="H806" s="16" t="s">
        <v>220</v>
      </c>
      <c r="I806" s="16" t="s">
        <v>220</v>
      </c>
    </row>
    <row r="807" ht="242.25" hidden="1" customHeight="1">
      <c r="B807" s="32" t="str">
        <f>IMAGE("https://gymvisual.com/22165-catalog_default/bodyweight-step-up-on-stepbox.jpg",4,500,500)</f>
        <v/>
      </c>
      <c r="C807" s="30">
        <v>806.0</v>
      </c>
      <c r="D807" s="16" t="s">
        <v>1295</v>
      </c>
      <c r="E807" s="16" t="s">
        <v>184</v>
      </c>
      <c r="F807" s="16" t="s">
        <v>285</v>
      </c>
      <c r="G807" s="16" t="s">
        <v>255</v>
      </c>
      <c r="H807" s="16" t="s">
        <v>189</v>
      </c>
      <c r="I807" s="16" t="s">
        <v>190</v>
      </c>
    </row>
    <row r="808" ht="242.25" hidden="1" customHeight="1">
      <c r="B808" s="32" t="str">
        <f>IMAGE("https://gymvisual.com/24117-catalog_default/bodyweight-svend-press.jpg",4,500,500)</f>
        <v/>
      </c>
      <c r="C808" s="30">
        <v>807.0</v>
      </c>
      <c r="D808" s="16" t="s">
        <v>1296</v>
      </c>
      <c r="E808" s="16" t="s">
        <v>184</v>
      </c>
      <c r="F808" s="16" t="s">
        <v>234</v>
      </c>
      <c r="G808" s="16" t="s">
        <v>255</v>
      </c>
      <c r="H808" s="16" t="s">
        <v>220</v>
      </c>
      <c r="I808" s="16" t="s">
        <v>220</v>
      </c>
    </row>
    <row r="809" ht="242.25" hidden="1" customHeight="1">
      <c r="B809" s="32" t="str">
        <f>IMAGE("https://gymvisual.com/26102-catalog_default/bodyweight-swing.jpg",4,500,500)</f>
        <v/>
      </c>
      <c r="C809" s="30">
        <v>808.0</v>
      </c>
      <c r="D809" s="16" t="s">
        <v>1297</v>
      </c>
      <c r="E809" s="16" t="s">
        <v>184</v>
      </c>
      <c r="F809" s="16" t="s">
        <v>185</v>
      </c>
      <c r="G809" s="16" t="s">
        <v>255</v>
      </c>
      <c r="H809" s="16" t="s">
        <v>220</v>
      </c>
      <c r="I809" s="16" t="s">
        <v>220</v>
      </c>
    </row>
    <row r="810" ht="242.25" hidden="1" customHeight="1">
      <c r="B810" s="32" t="str">
        <f>IMAGE("https://gymvisual.com/25071-catalog_default/bodyweight-walking-calf-raise.jpg",4,500,500)</f>
        <v/>
      </c>
      <c r="C810" s="30">
        <v>809.0</v>
      </c>
      <c r="D810" s="16" t="s">
        <v>1298</v>
      </c>
      <c r="E810" s="16" t="s">
        <v>184</v>
      </c>
      <c r="F810" s="16" t="s">
        <v>325</v>
      </c>
      <c r="G810" s="16" t="s">
        <v>255</v>
      </c>
      <c r="H810" s="16" t="s">
        <v>220</v>
      </c>
      <c r="I810" s="16" t="s">
        <v>220</v>
      </c>
    </row>
    <row r="811" ht="242.25" hidden="1" customHeight="1">
      <c r="B811" s="32" t="str">
        <f>IMAGE("https://gymvisual.com/6793-catalog_default/bodyweight-wall-squat.jpg",4,500,500)</f>
        <v/>
      </c>
      <c r="C811" s="30">
        <v>810.0</v>
      </c>
      <c r="D811" s="16" t="s">
        <v>1299</v>
      </c>
      <c r="E811" s="16" t="s">
        <v>184</v>
      </c>
      <c r="F811" s="16" t="s">
        <v>285</v>
      </c>
      <c r="G811" s="16" t="s">
        <v>255</v>
      </c>
      <c r="H811" s="16" t="s">
        <v>189</v>
      </c>
      <c r="I811" s="16" t="s">
        <v>190</v>
      </c>
    </row>
    <row r="812" ht="242.25" hidden="1" customHeight="1">
      <c r="B812" s="32" t="str">
        <f>IMAGE("https://gymvisual.com/22718-catalog_default/bodyweight-windmill.jpg",4,500,500)</f>
        <v/>
      </c>
      <c r="C812" s="30">
        <v>811.0</v>
      </c>
      <c r="D812" s="16" t="s">
        <v>1300</v>
      </c>
      <c r="E812" s="16" t="s">
        <v>184</v>
      </c>
      <c r="F812" s="16" t="s">
        <v>254</v>
      </c>
      <c r="G812" s="16" t="s">
        <v>255</v>
      </c>
      <c r="H812" s="16" t="s">
        <v>260</v>
      </c>
      <c r="I812" s="16" t="s">
        <v>271</v>
      </c>
    </row>
    <row r="813" ht="242.25" hidden="1" customHeight="1">
      <c r="B813" s="32" t="str">
        <f>IMAGE("https://gymvisual.com/17787-catalog_default/bodyweight-windmill-female.jpg",4,500,500)</f>
        <v/>
      </c>
      <c r="C813" s="30">
        <v>812.0</v>
      </c>
      <c r="D813" s="16" t="s">
        <v>1301</v>
      </c>
      <c r="E813" s="16" t="s">
        <v>184</v>
      </c>
      <c r="F813" s="16" t="s">
        <v>254</v>
      </c>
      <c r="G813" s="16" t="s">
        <v>255</v>
      </c>
      <c r="H813" s="16" t="s">
        <v>424</v>
      </c>
      <c r="I813" s="16" t="s">
        <v>1302</v>
      </c>
    </row>
    <row r="814" ht="242.25" hidden="1" customHeight="1">
      <c r="B814" s="32" t="str">
        <f>IMAGE("https://gymvisual.com/26114-catalog_default/bodyweight-wood-chop-squat.jpg",4,500,500)</f>
        <v/>
      </c>
      <c r="C814" s="30">
        <v>813.0</v>
      </c>
      <c r="D814" s="16" t="s">
        <v>1303</v>
      </c>
      <c r="E814" s="16" t="s">
        <v>184</v>
      </c>
      <c r="F814" s="16" t="s">
        <v>254</v>
      </c>
      <c r="G814" s="16" t="s">
        <v>255</v>
      </c>
      <c r="H814" s="16" t="s">
        <v>220</v>
      </c>
      <c r="I814" s="16" t="s">
        <v>220</v>
      </c>
    </row>
    <row r="815" ht="242.25" customHeight="1">
      <c r="B815" s="32" t="str">
        <f>IMAGE("https://gymvisual.com/14135-catalog_default/bottle-hammer-curl.jpg",4,500,500)</f>
        <v/>
      </c>
      <c r="C815" s="30">
        <v>814.0</v>
      </c>
      <c r="D815" s="16" t="s">
        <v>1304</v>
      </c>
      <c r="E815" s="16" t="s">
        <v>184</v>
      </c>
      <c r="F815" s="16" t="s">
        <v>219</v>
      </c>
      <c r="G815" s="16" t="s">
        <v>396</v>
      </c>
      <c r="H815" s="16" t="s">
        <v>232</v>
      </c>
      <c r="I815" s="16" t="s">
        <v>233</v>
      </c>
    </row>
    <row r="816" ht="242.25" hidden="1" customHeight="1">
      <c r="B816" s="32" t="str">
        <f>IMAGE("https://gymvisual.com/10933-catalog_default/bottoms-up-female.jpg",4,500,500)</f>
        <v/>
      </c>
      <c r="C816" s="30">
        <v>815.0</v>
      </c>
      <c r="D816" s="16" t="s">
        <v>1305</v>
      </c>
      <c r="E816" s="16" t="s">
        <v>184</v>
      </c>
      <c r="F816" s="16" t="s">
        <v>310</v>
      </c>
      <c r="G816" s="16" t="s">
        <v>255</v>
      </c>
      <c r="H816" s="16" t="s">
        <v>305</v>
      </c>
      <c r="I816" s="16" t="s">
        <v>1306</v>
      </c>
    </row>
    <row r="817" ht="242.25" hidden="1" customHeight="1">
      <c r="B817" s="32" t="str">
        <f>IMAGE("https://gymvisual.com/438-catalog_default/bottoms-up.jpg",4,500,500)</f>
        <v/>
      </c>
      <c r="C817" s="30">
        <v>816.0</v>
      </c>
      <c r="D817" s="16" t="s">
        <v>1307</v>
      </c>
      <c r="E817" s="16" t="s">
        <v>184</v>
      </c>
      <c r="F817" s="16" t="s">
        <v>254</v>
      </c>
      <c r="G817" s="16" t="s">
        <v>255</v>
      </c>
      <c r="H817" s="16" t="s">
        <v>256</v>
      </c>
      <c r="I817" s="16" t="s">
        <v>1308</v>
      </c>
    </row>
    <row r="818" ht="242.25" hidden="1" customHeight="1">
      <c r="B818" s="32" t="str">
        <f>IMAGE("https://gymvisual.com/11579-catalog_default/brachialis-narrow-pull-ups-female.jpg",4,500,500)</f>
        <v/>
      </c>
      <c r="C818" s="30">
        <v>817.0</v>
      </c>
      <c r="D818" s="16" t="s">
        <v>1309</v>
      </c>
      <c r="E818" s="16" t="s">
        <v>184</v>
      </c>
      <c r="F818" s="16" t="s">
        <v>192</v>
      </c>
      <c r="G818" s="16" t="s">
        <v>255</v>
      </c>
      <c r="H818" s="16" t="s">
        <v>220</v>
      </c>
      <c r="I818" s="16" t="s">
        <v>220</v>
      </c>
    </row>
    <row r="819" ht="242.25" hidden="1" customHeight="1">
      <c r="B819" s="32" t="str">
        <f>IMAGE("https://gymvisual.com/441-catalog_default/brachialis-narrow-pull-ups.jpg",4,500,500)</f>
        <v/>
      </c>
      <c r="C819" s="30">
        <v>818.0</v>
      </c>
      <c r="D819" s="16" t="s">
        <v>1310</v>
      </c>
      <c r="E819" s="16" t="s">
        <v>184</v>
      </c>
      <c r="F819" s="16" t="s">
        <v>219</v>
      </c>
      <c r="G819" s="16" t="s">
        <v>255</v>
      </c>
      <c r="H819" s="16" t="s">
        <v>216</v>
      </c>
      <c r="I819" s="16" t="s">
        <v>217</v>
      </c>
    </row>
    <row r="820" ht="242.25" hidden="1" customHeight="1">
      <c r="B820" s="32" t="str">
        <f>IMAGE("https://gymvisual.com/444-catalog_default/brachialis-pull-up.jpg",4,500,500)</f>
        <v/>
      </c>
      <c r="C820" s="30">
        <v>819.0</v>
      </c>
      <c r="D820" s="16" t="s">
        <v>1311</v>
      </c>
      <c r="E820" s="16" t="s">
        <v>184</v>
      </c>
      <c r="F820" s="16" t="s">
        <v>214</v>
      </c>
      <c r="G820" s="16" t="s">
        <v>255</v>
      </c>
      <c r="H820" s="16" t="s">
        <v>292</v>
      </c>
      <c r="I820" s="16" t="s">
        <v>1312</v>
      </c>
    </row>
    <row r="821" ht="242.25" hidden="1" customHeight="1">
      <c r="B821" s="32" t="str">
        <f>IMAGE("https://gymvisual.com/450-catalog_default/bridge-on-knees.jpg",4,500,500)</f>
        <v/>
      </c>
      <c r="C821" s="30">
        <v>820.0</v>
      </c>
      <c r="D821" s="16" t="s">
        <v>1313</v>
      </c>
      <c r="E821" s="16" t="s">
        <v>184</v>
      </c>
      <c r="F821" s="16" t="s">
        <v>254</v>
      </c>
      <c r="G821" s="16" t="s">
        <v>255</v>
      </c>
      <c r="H821" s="16" t="s">
        <v>256</v>
      </c>
      <c r="I821" s="16" t="s">
        <v>1314</v>
      </c>
    </row>
    <row r="822" ht="242.25" hidden="1" customHeight="1">
      <c r="B822" s="32" t="str">
        <f>IMAGE("https://gymvisual.com/452-catalog_default/bridge-straight-arm.jpg",4,500,500)</f>
        <v/>
      </c>
      <c r="C822" s="30">
        <v>821.0</v>
      </c>
      <c r="D822" s="16" t="s">
        <v>1315</v>
      </c>
      <c r="E822" s="16" t="s">
        <v>184</v>
      </c>
      <c r="F822" s="16" t="s">
        <v>254</v>
      </c>
      <c r="G822" s="16" t="s">
        <v>255</v>
      </c>
      <c r="H822" s="16" t="s">
        <v>256</v>
      </c>
      <c r="I822" s="16" t="s">
        <v>1316</v>
      </c>
    </row>
    <row r="823" ht="242.25" hidden="1" customHeight="1">
      <c r="B823" s="32" t="str">
        <f>IMAGE("https://gymvisual.com/10577-catalog_default/bridge-mountain-climber-cross-body.jpg",4,500,500)</f>
        <v/>
      </c>
      <c r="C823" s="30">
        <v>822.0</v>
      </c>
      <c r="D823" s="16" t="s">
        <v>1317</v>
      </c>
      <c r="E823" s="16" t="s">
        <v>184</v>
      </c>
      <c r="F823" s="16" t="s">
        <v>254</v>
      </c>
      <c r="G823" s="16" t="s">
        <v>255</v>
      </c>
      <c r="H823" s="16" t="s">
        <v>260</v>
      </c>
      <c r="I823" s="16" t="s">
        <v>220</v>
      </c>
    </row>
    <row r="824" ht="242.25" hidden="1" customHeight="1">
      <c r="B824" s="32" t="str">
        <f>IMAGE("https://gymvisual.com/10576-catalog_default/bridge-mountain-climber-cross-body-female.jpg",4,500,500)</f>
        <v/>
      </c>
      <c r="C824" s="30">
        <v>823.0</v>
      </c>
      <c r="D824" s="16" t="s">
        <v>1318</v>
      </c>
      <c r="E824" s="16" t="s">
        <v>184</v>
      </c>
      <c r="F824" s="16" t="s">
        <v>254</v>
      </c>
      <c r="G824" s="16" t="s">
        <v>255</v>
      </c>
      <c r="H824" s="16" t="s">
        <v>257</v>
      </c>
      <c r="I824" s="16" t="s">
        <v>1319</v>
      </c>
    </row>
    <row r="825" ht="242.25" hidden="1" customHeight="1">
      <c r="B825" s="32" t="str">
        <f>IMAGE("https://gymvisual.com/454-catalog_default/bridge-hip-abduction.jpg",4,500,500)</f>
        <v/>
      </c>
      <c r="C825" s="30">
        <v>824.0</v>
      </c>
      <c r="D825" s="16" t="s">
        <v>1320</v>
      </c>
      <c r="E825" s="16" t="s">
        <v>184</v>
      </c>
      <c r="F825" s="16" t="s">
        <v>185</v>
      </c>
      <c r="G825" s="16" t="s">
        <v>255</v>
      </c>
      <c r="H825" s="16" t="s">
        <v>508</v>
      </c>
      <c r="I825" s="16" t="s">
        <v>220</v>
      </c>
    </row>
    <row r="826" ht="242.25" hidden="1" customHeight="1">
      <c r="B826" s="32" t="str">
        <f>IMAGE("https://gymvisual.com/22805-catalog_default/bridge-hip-abduction-male.jpg",4,500,500)</f>
        <v/>
      </c>
      <c r="C826" s="30">
        <v>825.0</v>
      </c>
      <c r="D826" s="16" t="s">
        <v>1321</v>
      </c>
      <c r="E826" s="16" t="s">
        <v>184</v>
      </c>
      <c r="F826" s="16" t="s">
        <v>185</v>
      </c>
      <c r="G826" s="16" t="s">
        <v>255</v>
      </c>
      <c r="H826" s="16" t="s">
        <v>1322</v>
      </c>
      <c r="I826" s="16" t="s">
        <v>1323</v>
      </c>
    </row>
    <row r="827" ht="242.25" hidden="1" customHeight="1">
      <c r="B827" s="32" t="str">
        <f>IMAGE("https://gymvisual.com/14078-catalog_default/bulgarian-split-squat.jpg",4,500,500)</f>
        <v/>
      </c>
      <c r="C827" s="30">
        <v>826.0</v>
      </c>
      <c r="D827" s="16" t="s">
        <v>1324</v>
      </c>
      <c r="E827" s="16" t="s">
        <v>184</v>
      </c>
      <c r="F827" s="16" t="s">
        <v>294</v>
      </c>
      <c r="G827" s="16" t="s">
        <v>255</v>
      </c>
      <c r="H827" s="16" t="s">
        <v>189</v>
      </c>
      <c r="I827" s="16" t="s">
        <v>190</v>
      </c>
    </row>
    <row r="828" ht="242.25" hidden="1" customHeight="1">
      <c r="B828" s="32" t="str">
        <f>IMAGE("https://gymvisual.com/16524-catalog_default/bulgarian-split-squat-with-chair.jpg",4,500,500)</f>
        <v/>
      </c>
      <c r="C828" s="30">
        <v>827.0</v>
      </c>
      <c r="D828" s="16" t="s">
        <v>1325</v>
      </c>
      <c r="E828" s="16" t="s">
        <v>184</v>
      </c>
      <c r="F828" s="16" t="s">
        <v>285</v>
      </c>
      <c r="G828" s="16" t="s">
        <v>255</v>
      </c>
      <c r="H828" s="16" t="s">
        <v>189</v>
      </c>
      <c r="I828" s="16" t="s">
        <v>190</v>
      </c>
    </row>
    <row r="829" ht="242.25" hidden="1" customHeight="1">
      <c r="B829" s="32" t="str">
        <f>IMAGE("https://gymvisual.com/457-catalog_default/butt-bridge.jpg",4,500,500)</f>
        <v/>
      </c>
      <c r="C829" s="30">
        <v>828.0</v>
      </c>
      <c r="D829" s="16" t="s">
        <v>1326</v>
      </c>
      <c r="E829" s="16" t="s">
        <v>184</v>
      </c>
      <c r="F829" s="16" t="s">
        <v>254</v>
      </c>
      <c r="G829" s="16" t="s">
        <v>255</v>
      </c>
      <c r="H829" s="16" t="s">
        <v>1327</v>
      </c>
      <c r="I829" s="16" t="s">
        <v>1328</v>
      </c>
    </row>
    <row r="830" ht="242.25" hidden="1" customHeight="1">
      <c r="B830" s="32" t="str">
        <f>IMAGE("https://gymvisual.com/2648-catalog_default/butt-ups.jpg",4,500,500)</f>
        <v/>
      </c>
      <c r="C830" s="30">
        <v>829.0</v>
      </c>
      <c r="D830" s="16" t="s">
        <v>1329</v>
      </c>
      <c r="E830" s="16" t="s">
        <v>184</v>
      </c>
      <c r="F830" s="16" t="s">
        <v>254</v>
      </c>
      <c r="G830" s="16" t="s">
        <v>255</v>
      </c>
      <c r="H830" s="16" t="s">
        <v>305</v>
      </c>
      <c r="I830" s="16" t="s">
        <v>1330</v>
      </c>
    </row>
    <row r="831" ht="242.25" hidden="1" customHeight="1">
      <c r="B831" s="32" t="str">
        <f>IMAGE("https://gymvisual.com/463-catalog_default/bycicle-twisting-crunch.jpg",4,500,500)</f>
        <v/>
      </c>
      <c r="C831" s="30">
        <v>830.0</v>
      </c>
      <c r="D831" s="16" t="s">
        <v>1331</v>
      </c>
      <c r="E831" s="16" t="s">
        <v>184</v>
      </c>
      <c r="F831" s="16" t="s">
        <v>254</v>
      </c>
      <c r="G831" s="16" t="s">
        <v>255</v>
      </c>
      <c r="H831" s="16" t="s">
        <v>260</v>
      </c>
      <c r="I831" s="16" t="s">
        <v>1332</v>
      </c>
    </row>
    <row r="832" ht="242.25" customHeight="1">
      <c r="A832" s="32" t="b">
        <v>0</v>
      </c>
      <c r="B832" s="32" t="str">
        <f>IMAGE("https://gymvisual.com/466-catalog_default/cable-alternate-shoulder-press.jpg",4,500,500)</f>
        <v/>
      </c>
      <c r="C832" s="30">
        <v>831.0</v>
      </c>
      <c r="D832" s="16" t="s">
        <v>1333</v>
      </c>
      <c r="E832" s="16" t="s">
        <v>184</v>
      </c>
      <c r="F832" s="16" t="s">
        <v>228</v>
      </c>
      <c r="G832" s="16" t="s">
        <v>215</v>
      </c>
      <c r="H832" s="16" t="s">
        <v>229</v>
      </c>
      <c r="I832" s="16" t="s">
        <v>1334</v>
      </c>
    </row>
    <row r="833" ht="242.25" customHeight="1">
      <c r="A833" s="32" t="b">
        <v>0</v>
      </c>
      <c r="B833" s="32" t="str">
        <f>IMAGE("https://gymvisual.com/13345-catalog_default/cable-alternate-shoulder-press-female.jpg",4,500,500)</f>
        <v/>
      </c>
      <c r="C833" s="30">
        <v>832.0</v>
      </c>
      <c r="D833" s="16" t="s">
        <v>1335</v>
      </c>
      <c r="E833" s="16" t="s">
        <v>184</v>
      </c>
      <c r="F833" s="16" t="s">
        <v>228</v>
      </c>
      <c r="G833" s="16" t="s">
        <v>215</v>
      </c>
      <c r="H833" s="16" t="s">
        <v>220</v>
      </c>
      <c r="I833" s="16" t="s">
        <v>220</v>
      </c>
    </row>
    <row r="834" ht="242.25" customHeight="1">
      <c r="A834" s="32" t="b">
        <v>0</v>
      </c>
      <c r="B834" s="32" t="str">
        <f>IMAGE("https://gymvisual.com/469-catalog_default/cable-alternate-triceps-extension.jpg",4,500,500)</f>
        <v/>
      </c>
      <c r="C834" s="30">
        <v>833.0</v>
      </c>
      <c r="D834" s="16" t="s">
        <v>1336</v>
      </c>
      <c r="E834" s="16" t="s">
        <v>184</v>
      </c>
      <c r="F834" s="16" t="s">
        <v>219</v>
      </c>
      <c r="G834" s="16" t="s">
        <v>215</v>
      </c>
      <c r="H834" s="16" t="s">
        <v>223</v>
      </c>
      <c r="I834" s="16" t="s">
        <v>220</v>
      </c>
    </row>
    <row r="835" ht="242.25" customHeight="1">
      <c r="A835" s="32" t="b">
        <v>0</v>
      </c>
      <c r="B835" s="32" t="str">
        <f>IMAGE("https://gymvisual.com/13347-catalog_default/cable-alternate-triceps-extension-female.jpg",4,500,500)</f>
        <v/>
      </c>
      <c r="C835" s="30">
        <v>834.0</v>
      </c>
      <c r="D835" s="16" t="s">
        <v>1337</v>
      </c>
      <c r="E835" s="16" t="s">
        <v>184</v>
      </c>
      <c r="F835" s="16" t="s">
        <v>219</v>
      </c>
      <c r="G835" s="16" t="s">
        <v>215</v>
      </c>
      <c r="H835" s="16" t="s">
        <v>220</v>
      </c>
      <c r="I835" s="16" t="s">
        <v>220</v>
      </c>
    </row>
    <row r="836" ht="242.25" customHeight="1">
      <c r="A836" s="32" t="b">
        <v>0</v>
      </c>
      <c r="B836" s="32" t="str">
        <f>IMAGE("https://gymvisual.com/12982-catalog_default/cable-assisted-inverse-leg-curl.jpg",4,500,500)</f>
        <v/>
      </c>
      <c r="C836" s="30">
        <v>835.0</v>
      </c>
      <c r="D836" s="16" t="s">
        <v>1338</v>
      </c>
      <c r="E836" s="16" t="s">
        <v>184</v>
      </c>
      <c r="F836" s="16" t="s">
        <v>285</v>
      </c>
      <c r="G836" s="16" t="s">
        <v>215</v>
      </c>
      <c r="H836" s="16" t="s">
        <v>854</v>
      </c>
      <c r="I836" s="16" t="s">
        <v>1339</v>
      </c>
    </row>
    <row r="837" ht="242.25" customHeight="1">
      <c r="A837" s="32" t="b">
        <v>0</v>
      </c>
      <c r="B837" s="32" t="str">
        <f>IMAGE("https://gymvisual.com/13349-catalog_default/cable-bar-high-pulley-overhead-tricep-extension-female.jpg",4,500,500)</f>
        <v/>
      </c>
      <c r="C837" s="30">
        <v>836.0</v>
      </c>
      <c r="D837" s="16" t="s">
        <v>1340</v>
      </c>
      <c r="E837" s="16" t="s">
        <v>184</v>
      </c>
      <c r="F837" s="16" t="s">
        <v>219</v>
      </c>
      <c r="G837" s="16" t="s">
        <v>215</v>
      </c>
      <c r="H837" s="16" t="s">
        <v>220</v>
      </c>
      <c r="I837" s="16" t="s">
        <v>220</v>
      </c>
    </row>
    <row r="838" ht="242.25" customHeight="1">
      <c r="A838" s="32" t="b">
        <v>0</v>
      </c>
      <c r="B838" s="32" t="str">
        <f>IMAGE("https://gymvisual.com/472-catalog_default/cable-bar-lateral-pulldown.jpg",4,500,500)</f>
        <v/>
      </c>
      <c r="C838" s="30">
        <v>837.0</v>
      </c>
      <c r="D838" s="16" t="s">
        <v>1341</v>
      </c>
      <c r="E838" s="16" t="s">
        <v>184</v>
      </c>
      <c r="F838" s="16" t="s">
        <v>192</v>
      </c>
      <c r="G838" s="16" t="s">
        <v>215</v>
      </c>
      <c r="H838" s="16" t="s">
        <v>300</v>
      </c>
      <c r="I838" s="16" t="s">
        <v>387</v>
      </c>
    </row>
    <row r="839" ht="242.25" customHeight="1">
      <c r="A839" s="32" t="b">
        <v>0</v>
      </c>
      <c r="B839" s="32" t="str">
        <f>IMAGE("https://gymvisual.com/9655-catalog_default/cable-bar-lateral-pulldown-female.jpg",4,500,500)</f>
        <v/>
      </c>
      <c r="C839" s="30">
        <v>838.0</v>
      </c>
      <c r="D839" s="16" t="s">
        <v>1342</v>
      </c>
      <c r="E839" s="16" t="s">
        <v>184</v>
      </c>
      <c r="F839" s="16" t="s">
        <v>192</v>
      </c>
      <c r="G839" s="16" t="s">
        <v>215</v>
      </c>
      <c r="H839" s="16" t="s">
        <v>220</v>
      </c>
      <c r="I839" s="16" t="s">
        <v>220</v>
      </c>
    </row>
    <row r="840" ht="242.25" customHeight="1">
      <c r="A840" s="32" t="b">
        <v>0</v>
      </c>
      <c r="B840" s="32" t="str">
        <f>IMAGE("https://gymvisual.com/475-catalog_default/cable-bench-press.jpg",4,500,500)</f>
        <v/>
      </c>
      <c r="C840" s="30">
        <v>839.0</v>
      </c>
      <c r="D840" s="16" t="s">
        <v>113</v>
      </c>
      <c r="E840" s="16" t="s">
        <v>184</v>
      </c>
      <c r="F840" s="16" t="s">
        <v>234</v>
      </c>
      <c r="G840" s="16" t="s">
        <v>215</v>
      </c>
      <c r="H840" s="16" t="s">
        <v>235</v>
      </c>
      <c r="I840" s="16" t="s">
        <v>243</v>
      </c>
    </row>
    <row r="841" ht="242.25" customHeight="1">
      <c r="A841" s="32" t="b">
        <v>0</v>
      </c>
      <c r="B841" s="32" t="str">
        <f>IMAGE("https://gymvisual.com/11531-catalog_default/cable-bench-press-female.jpg",4,500,500)</f>
        <v/>
      </c>
      <c r="C841" s="30">
        <v>840.0</v>
      </c>
      <c r="D841" s="16" t="s">
        <v>1343</v>
      </c>
      <c r="E841" s="16" t="s">
        <v>184</v>
      </c>
      <c r="F841" s="16" t="s">
        <v>234</v>
      </c>
      <c r="G841" s="16" t="s">
        <v>215</v>
      </c>
      <c r="H841" s="16" t="s">
        <v>220</v>
      </c>
      <c r="I841" s="16" t="s">
        <v>220</v>
      </c>
    </row>
    <row r="842" ht="242.25" customHeight="1">
      <c r="A842" s="32" t="b">
        <v>0</v>
      </c>
      <c r="B842" s="32" t="str">
        <f>IMAGE("https://gymvisual.com/17717-catalog_default/cable-bent-over-row.jpg",4,500,500)</f>
        <v/>
      </c>
      <c r="C842" s="30">
        <v>841.0</v>
      </c>
      <c r="D842" s="16" t="s">
        <v>1344</v>
      </c>
      <c r="E842" s="16" t="s">
        <v>184</v>
      </c>
      <c r="F842" s="16" t="s">
        <v>192</v>
      </c>
      <c r="G842" s="16" t="s">
        <v>215</v>
      </c>
      <c r="H842" s="16" t="s">
        <v>220</v>
      </c>
      <c r="I842" s="16" t="s">
        <v>220</v>
      </c>
    </row>
    <row r="843" ht="242.25" customHeight="1">
      <c r="A843" s="32" t="b">
        <v>0</v>
      </c>
      <c r="B843" s="32" t="str">
        <f>IMAGE("https://gymvisual.com/17454-catalog_default/cable-bent-over-row-with-bar.jpg",4,500,500)</f>
        <v/>
      </c>
      <c r="C843" s="30">
        <v>842.0</v>
      </c>
      <c r="D843" s="16" t="s">
        <v>1345</v>
      </c>
      <c r="E843" s="16" t="s">
        <v>184</v>
      </c>
      <c r="F843" s="16" t="s">
        <v>192</v>
      </c>
      <c r="G843" s="16" t="s">
        <v>215</v>
      </c>
      <c r="H843" s="16" t="s">
        <v>329</v>
      </c>
      <c r="I843" s="16" t="s">
        <v>447</v>
      </c>
    </row>
    <row r="844" ht="242.25" customHeight="1">
      <c r="A844" s="32" t="b">
        <v>0</v>
      </c>
      <c r="B844" s="32" t="str">
        <f>IMAGE("https://gymvisual.com/19573-catalog_default/cable-bent-over-neutral-grip-kickback-with-rope-attachment.jpg",4,500,500)</f>
        <v/>
      </c>
      <c r="C844" s="30">
        <v>843.0</v>
      </c>
      <c r="D844" s="16" t="s">
        <v>1346</v>
      </c>
      <c r="E844" s="16" t="s">
        <v>184</v>
      </c>
      <c r="F844" s="16" t="s">
        <v>219</v>
      </c>
      <c r="G844" s="16" t="s">
        <v>215</v>
      </c>
      <c r="H844" s="16" t="s">
        <v>220</v>
      </c>
      <c r="I844" s="16" t="s">
        <v>220</v>
      </c>
    </row>
    <row r="845" ht="242.25" customHeight="1">
      <c r="A845" s="32" t="b">
        <v>0</v>
      </c>
      <c r="B845" s="32" t="str">
        <f>IMAGE("https://gymvisual.com/17175-catalog_default/cable-bent-over-one-arm-lateral-raise.jpg",4,500,500)</f>
        <v/>
      </c>
      <c r="C845" s="30">
        <v>844.0</v>
      </c>
      <c r="D845" s="16" t="s">
        <v>1347</v>
      </c>
      <c r="E845" s="16" t="s">
        <v>184</v>
      </c>
      <c r="F845" s="16" t="s">
        <v>228</v>
      </c>
      <c r="G845" s="16" t="s">
        <v>215</v>
      </c>
      <c r="H845" s="16" t="s">
        <v>408</v>
      </c>
      <c r="I845" s="16" t="s">
        <v>1348</v>
      </c>
    </row>
    <row r="846" ht="242.25" customHeight="1">
      <c r="A846" s="32" t="b">
        <v>0</v>
      </c>
      <c r="B846" s="32" t="str">
        <f>IMAGE("https://gymvisual.com/19403-catalog_default/cable-bent-over-reverse-grip-row.jpg",4,500,500)</f>
        <v/>
      </c>
      <c r="C846" s="30">
        <v>845.0</v>
      </c>
      <c r="D846" s="16" t="s">
        <v>1349</v>
      </c>
      <c r="E846" s="16" t="s">
        <v>184</v>
      </c>
      <c r="F846" s="16" t="s">
        <v>192</v>
      </c>
      <c r="G846" s="16" t="s">
        <v>215</v>
      </c>
      <c r="H846" s="16" t="s">
        <v>570</v>
      </c>
      <c r="I846" s="16" t="s">
        <v>447</v>
      </c>
    </row>
    <row r="847" ht="242.25" customHeight="1">
      <c r="A847" s="32" t="b">
        <v>0</v>
      </c>
      <c r="B847" s="32" t="str">
        <f>IMAGE("https://gymvisual.com/19405-catalog_default/cable-bent-over-row-with-rope-attachment.jpg",4,500,500)</f>
        <v/>
      </c>
      <c r="C847" s="30">
        <v>846.0</v>
      </c>
      <c r="D847" s="16" t="s">
        <v>1350</v>
      </c>
      <c r="E847" s="16" t="s">
        <v>184</v>
      </c>
      <c r="F847" s="16" t="s">
        <v>192</v>
      </c>
      <c r="G847" s="16" t="s">
        <v>215</v>
      </c>
      <c r="H847" s="16" t="s">
        <v>220</v>
      </c>
      <c r="I847" s="16" t="s">
        <v>220</v>
      </c>
    </row>
    <row r="848" ht="242.25" customHeight="1">
      <c r="A848" s="32" t="b">
        <v>0</v>
      </c>
      <c r="B848" s="32" t="str">
        <f>IMAGE("https://gymvisual.com/19567-catalog_default/cable-bent-over-single-arm-kickback.jpg",4,500,500)</f>
        <v/>
      </c>
      <c r="C848" s="30">
        <v>847.0</v>
      </c>
      <c r="D848" s="16" t="s">
        <v>1351</v>
      </c>
      <c r="E848" s="16" t="s">
        <v>184</v>
      </c>
      <c r="F848" s="16" t="s">
        <v>219</v>
      </c>
      <c r="G848" s="16" t="s">
        <v>215</v>
      </c>
      <c r="H848" s="16" t="s">
        <v>220</v>
      </c>
      <c r="I848" s="16" t="s">
        <v>220</v>
      </c>
    </row>
    <row r="849" ht="242.25" customHeight="1">
      <c r="A849" s="32" t="b">
        <v>0</v>
      </c>
      <c r="B849" s="32" t="str">
        <f>IMAGE("https://gymvisual.com/19571-catalog_default/cable-bent-over-single-arm-neutral-grip-kickback-with-rope-attachment.jpg",4,500,500)</f>
        <v/>
      </c>
      <c r="C849" s="30">
        <v>848.0</v>
      </c>
      <c r="D849" s="16" t="s">
        <v>1352</v>
      </c>
      <c r="E849" s="16" t="s">
        <v>184</v>
      </c>
      <c r="F849" s="16" t="s">
        <v>219</v>
      </c>
      <c r="G849" s="16" t="s">
        <v>215</v>
      </c>
      <c r="H849" s="16" t="s">
        <v>220</v>
      </c>
      <c r="I849" s="16" t="s">
        <v>220</v>
      </c>
    </row>
    <row r="850" ht="242.25" customHeight="1">
      <c r="A850" s="32" t="b">
        <v>0</v>
      </c>
      <c r="B850" s="32" t="str">
        <f>IMAGE("https://gymvisual.com/6950-catalog_default/cable-biceps-curl-sz-bar.jpg",4,500,500)</f>
        <v/>
      </c>
      <c r="C850" s="30">
        <v>849.0</v>
      </c>
      <c r="D850" s="16" t="s">
        <v>1353</v>
      </c>
      <c r="E850" s="16" t="s">
        <v>184</v>
      </c>
      <c r="F850" s="16" t="s">
        <v>219</v>
      </c>
      <c r="G850" s="16" t="s">
        <v>215</v>
      </c>
      <c r="H850" s="16" t="s">
        <v>241</v>
      </c>
      <c r="I850" s="16" t="s">
        <v>292</v>
      </c>
    </row>
    <row r="851" ht="242.25" customHeight="1">
      <c r="A851" s="32" t="b">
        <v>0</v>
      </c>
      <c r="B851" s="32" t="str">
        <f>IMAGE("https://gymvisual.com/7104-catalog_default/cable-close-grip-curl.jpg",4,500,500)</f>
        <v/>
      </c>
      <c r="C851" s="30">
        <v>850.0</v>
      </c>
      <c r="D851" s="16" t="s">
        <v>1354</v>
      </c>
      <c r="E851" s="16" t="s">
        <v>184</v>
      </c>
      <c r="F851" s="16" t="s">
        <v>219</v>
      </c>
      <c r="G851" s="16" t="s">
        <v>215</v>
      </c>
      <c r="H851" s="16" t="s">
        <v>220</v>
      </c>
      <c r="I851" s="16" t="s">
        <v>220</v>
      </c>
    </row>
    <row r="852" ht="242.25" customHeight="1">
      <c r="A852" s="32" t="b">
        <v>0</v>
      </c>
      <c r="B852" s="32" t="str">
        <f>IMAGE("https://gymvisual.com/13351-catalog_default/cable-close-grip-curl-female.jpg",4,500,500)</f>
        <v/>
      </c>
      <c r="C852" s="30">
        <v>851.0</v>
      </c>
      <c r="D852" s="16" t="s">
        <v>1355</v>
      </c>
      <c r="E852" s="16" t="s">
        <v>184</v>
      </c>
      <c r="F852" s="16" t="s">
        <v>219</v>
      </c>
      <c r="G852" s="16" t="s">
        <v>215</v>
      </c>
      <c r="H852" s="16" t="s">
        <v>220</v>
      </c>
      <c r="I852" s="16" t="s">
        <v>220</v>
      </c>
    </row>
    <row r="853" ht="242.25" customHeight="1">
      <c r="A853" s="32" t="b">
        <v>0</v>
      </c>
      <c r="B853" s="32" t="str">
        <f>IMAGE("https://gymvisual.com/2958-catalog_default/cable-close-grip-front-lat-pulldown.jpg",4,500,500)</f>
        <v/>
      </c>
      <c r="C853" s="30">
        <v>852.0</v>
      </c>
      <c r="D853" s="16" t="s">
        <v>1356</v>
      </c>
      <c r="E853" s="16" t="s">
        <v>184</v>
      </c>
      <c r="F853" s="16" t="s">
        <v>192</v>
      </c>
      <c r="G853" s="16" t="s">
        <v>215</v>
      </c>
      <c r="H853" s="16" t="s">
        <v>300</v>
      </c>
      <c r="I853" s="16" t="s">
        <v>1357</v>
      </c>
    </row>
    <row r="854" ht="242.25" customHeight="1">
      <c r="A854" s="32" t="b">
        <v>0</v>
      </c>
      <c r="B854" s="32" t="str">
        <f>IMAGE("https://gymvisual.com/16618-catalog_default/cable-close-grip-front-lat-pulldown-female.jpg",4,500,500)</f>
        <v/>
      </c>
      <c r="C854" s="30">
        <v>853.0</v>
      </c>
      <c r="D854" s="16" t="s">
        <v>1358</v>
      </c>
      <c r="E854" s="16" t="s">
        <v>184</v>
      </c>
      <c r="F854" s="16" t="s">
        <v>192</v>
      </c>
      <c r="G854" s="16" t="s">
        <v>215</v>
      </c>
      <c r="H854" s="16" t="s">
        <v>300</v>
      </c>
      <c r="I854" s="16" t="s">
        <v>445</v>
      </c>
    </row>
    <row r="855" ht="242.25" customHeight="1">
      <c r="A855" s="32" t="b">
        <v>0</v>
      </c>
      <c r="B855" s="32" t="str">
        <f>IMAGE("https://gymvisual.com/7105-catalog_default/cable-concentration-curl.jpg",4,500,500)</f>
        <v/>
      </c>
      <c r="C855" s="30">
        <v>854.0</v>
      </c>
      <c r="D855" s="16" t="s">
        <v>1359</v>
      </c>
      <c r="E855" s="16" t="s">
        <v>184</v>
      </c>
      <c r="F855" s="16" t="s">
        <v>219</v>
      </c>
      <c r="G855" s="16" t="s">
        <v>215</v>
      </c>
      <c r="H855" s="16" t="s">
        <v>220</v>
      </c>
      <c r="I855" s="16" t="s">
        <v>220</v>
      </c>
    </row>
    <row r="856" ht="242.25" customHeight="1">
      <c r="A856" s="32" t="b">
        <v>0</v>
      </c>
      <c r="B856" s="32" t="str">
        <f>IMAGE("https://gymvisual.com/13353-catalog_default/cable-concentration-curl-female.jpg",4,500,500)</f>
        <v/>
      </c>
      <c r="C856" s="30">
        <v>855.0</v>
      </c>
      <c r="D856" s="16" t="s">
        <v>1360</v>
      </c>
      <c r="E856" s="16" t="s">
        <v>184</v>
      </c>
      <c r="F856" s="16" t="s">
        <v>219</v>
      </c>
      <c r="G856" s="16" t="s">
        <v>215</v>
      </c>
      <c r="H856" s="16" t="s">
        <v>220</v>
      </c>
      <c r="I856" s="16" t="s">
        <v>220</v>
      </c>
    </row>
    <row r="857" ht="242.25" customHeight="1">
      <c r="A857" s="32" t="b">
        <v>0</v>
      </c>
      <c r="B857" s="32" t="str">
        <f>IMAGE("https://gymvisual.com/478-catalog_default/cable-concentration-extension-on-knee.jpg",4,500,500)</f>
        <v/>
      </c>
      <c r="C857" s="30">
        <v>856.0</v>
      </c>
      <c r="D857" s="16" t="s">
        <v>1361</v>
      </c>
      <c r="E857" s="16" t="s">
        <v>184</v>
      </c>
      <c r="F857" s="16" t="s">
        <v>219</v>
      </c>
      <c r="G857" s="16" t="s">
        <v>215</v>
      </c>
      <c r="H857" s="16" t="s">
        <v>223</v>
      </c>
      <c r="I857" s="16" t="s">
        <v>220</v>
      </c>
    </row>
    <row r="858" ht="242.25" customHeight="1">
      <c r="A858" s="32" t="b">
        <v>0</v>
      </c>
      <c r="B858" s="32" t="str">
        <f>IMAGE("https://gymvisual.com/13355-catalog_default/cable-concentration-extension-on-knee-female.jpg",4,500,500)</f>
        <v/>
      </c>
      <c r="C858" s="30">
        <v>857.0</v>
      </c>
      <c r="D858" s="16" t="s">
        <v>1362</v>
      </c>
      <c r="E858" s="16" t="s">
        <v>184</v>
      </c>
      <c r="F858" s="16" t="s">
        <v>219</v>
      </c>
      <c r="G858" s="16" t="s">
        <v>215</v>
      </c>
      <c r="H858" s="16" t="s">
        <v>220</v>
      </c>
      <c r="I858" s="16" t="s">
        <v>220</v>
      </c>
    </row>
    <row r="859" ht="242.25" customHeight="1">
      <c r="A859" s="32" t="b">
        <v>0</v>
      </c>
      <c r="B859" s="32" t="str">
        <f>IMAGE("https://gymvisual.com/13357-catalog_default/cable-cross-over-lateral-pulldown-female.jpg",4,500,500)</f>
        <v/>
      </c>
      <c r="C859" s="30">
        <v>858.0</v>
      </c>
      <c r="D859" s="16" t="s">
        <v>1363</v>
      </c>
      <c r="E859" s="16" t="s">
        <v>184</v>
      </c>
      <c r="F859" s="16" t="s">
        <v>192</v>
      </c>
      <c r="G859" s="16" t="s">
        <v>215</v>
      </c>
      <c r="H859" s="16" t="s">
        <v>220</v>
      </c>
      <c r="I859" s="16" t="s">
        <v>220</v>
      </c>
    </row>
    <row r="860" ht="242.25" customHeight="1">
      <c r="A860" s="32" t="b">
        <v>0</v>
      </c>
      <c r="B860" s="32" t="str">
        <f>IMAGE("https://gymvisual.com/11050-catalog_default/cable-cross-over-revers-fly-female.jpg",4,500,500)</f>
        <v/>
      </c>
      <c r="C860" s="30">
        <v>859.0</v>
      </c>
      <c r="D860" s="16" t="s">
        <v>1364</v>
      </c>
      <c r="E860" s="16" t="s">
        <v>184</v>
      </c>
      <c r="F860" s="16" t="s">
        <v>228</v>
      </c>
      <c r="G860" s="16" t="s">
        <v>215</v>
      </c>
      <c r="H860" s="16" t="s">
        <v>408</v>
      </c>
      <c r="I860" s="16" t="s">
        <v>452</v>
      </c>
    </row>
    <row r="861" ht="242.25" customHeight="1">
      <c r="A861" s="32" t="b">
        <v>0</v>
      </c>
      <c r="B861" s="32" t="str">
        <f>IMAGE("https://gymvisual.com/481-catalog_default/cable-cross-over-lateral-pulldown.jpg",4,500,500)</f>
        <v/>
      </c>
      <c r="C861" s="30">
        <v>860.0</v>
      </c>
      <c r="D861" s="16" t="s">
        <v>1365</v>
      </c>
      <c r="E861" s="16" t="s">
        <v>184</v>
      </c>
      <c r="F861" s="16" t="s">
        <v>192</v>
      </c>
      <c r="G861" s="16" t="s">
        <v>215</v>
      </c>
      <c r="H861" s="16" t="s">
        <v>300</v>
      </c>
      <c r="I861" s="16" t="s">
        <v>535</v>
      </c>
    </row>
    <row r="862" ht="242.25" customHeight="1">
      <c r="A862" s="32" t="b">
        <v>0</v>
      </c>
      <c r="B862" s="32" t="str">
        <f>IMAGE("https://gymvisual.com/484-catalog_default/cable-cross-over-revers-fly.jpg",4,500,500)</f>
        <v/>
      </c>
      <c r="C862" s="30">
        <v>861.0</v>
      </c>
      <c r="D862" s="16" t="s">
        <v>1366</v>
      </c>
      <c r="E862" s="16" t="s">
        <v>184</v>
      </c>
      <c r="F862" s="16" t="s">
        <v>228</v>
      </c>
      <c r="G862" s="16" t="s">
        <v>215</v>
      </c>
      <c r="H862" s="16" t="s">
        <v>408</v>
      </c>
      <c r="I862" s="16" t="s">
        <v>452</v>
      </c>
    </row>
    <row r="863" ht="242.25" customHeight="1">
      <c r="A863" s="32" t="b">
        <v>0</v>
      </c>
      <c r="B863" s="32" t="str">
        <f>IMAGE("https://gymvisual.com/487-catalog_default/cable-cross-over-variation.jpg",4,500,500)</f>
        <v/>
      </c>
      <c r="C863" s="30">
        <v>862.0</v>
      </c>
      <c r="D863" s="16" t="s">
        <v>1367</v>
      </c>
      <c r="E863" s="16" t="s">
        <v>184</v>
      </c>
      <c r="F863" s="16" t="s">
        <v>234</v>
      </c>
      <c r="G863" s="16" t="s">
        <v>215</v>
      </c>
      <c r="H863" s="16" t="s">
        <v>235</v>
      </c>
      <c r="I863" s="16" t="s">
        <v>229</v>
      </c>
    </row>
    <row r="864" ht="242.25" customHeight="1">
      <c r="A864" s="32" t="b">
        <v>0</v>
      </c>
      <c r="B864" s="32" t="str">
        <f>IMAGE("https://gymvisual.com/490-catalog_default/cable-curl.jpg",4,500,500)</f>
        <v/>
      </c>
      <c r="C864" s="30">
        <v>863.0</v>
      </c>
      <c r="D864" s="16" t="s">
        <v>1368</v>
      </c>
      <c r="E864" s="16" t="s">
        <v>184</v>
      </c>
      <c r="F864" s="16" t="s">
        <v>219</v>
      </c>
      <c r="G864" s="16" t="s">
        <v>215</v>
      </c>
      <c r="H864" s="16" t="s">
        <v>241</v>
      </c>
      <c r="I864" s="16" t="s">
        <v>292</v>
      </c>
    </row>
    <row r="865" ht="242.25" customHeight="1">
      <c r="A865" s="32" t="b">
        <v>0</v>
      </c>
      <c r="B865" s="32" t="str">
        <f>IMAGE("https://gymvisual.com/18896-catalog_default/cable-curl.jpg",4,500,500)</f>
        <v/>
      </c>
      <c r="C865" s="30">
        <v>864.0</v>
      </c>
      <c r="D865" s="16" t="s">
        <v>1368</v>
      </c>
      <c r="E865" s="16" t="s">
        <v>184</v>
      </c>
      <c r="F865" s="16" t="s">
        <v>219</v>
      </c>
      <c r="G865" s="16" t="s">
        <v>215</v>
      </c>
      <c r="H865" s="16" t="s">
        <v>241</v>
      </c>
      <c r="I865" s="16" t="s">
        <v>292</v>
      </c>
    </row>
    <row r="866" ht="242.25" customHeight="1">
      <c r="A866" s="32" t="b">
        <v>0</v>
      </c>
      <c r="B866" s="32" t="str">
        <f>IMAGE("https://gymvisual.com/7713-catalog_default/cable-curl-with-multipurpose-v-bar.jpg",4,500,500)</f>
        <v/>
      </c>
      <c r="C866" s="30">
        <v>865.0</v>
      </c>
      <c r="D866" s="16" t="s">
        <v>1369</v>
      </c>
      <c r="E866" s="16" t="s">
        <v>184</v>
      </c>
      <c r="F866" s="16" t="s">
        <v>214</v>
      </c>
      <c r="G866" s="16" t="s">
        <v>215</v>
      </c>
      <c r="H866" s="16" t="s">
        <v>220</v>
      </c>
      <c r="I866" s="16" t="s">
        <v>220</v>
      </c>
    </row>
    <row r="867" ht="242.25" customHeight="1">
      <c r="A867" s="32" t="b">
        <v>0</v>
      </c>
      <c r="B867" s="32" t="str">
        <f>IMAGE("https://gymvisual.com/493-catalog_default/cable-deadlift.jpg",4,500,500)</f>
        <v/>
      </c>
      <c r="C867" s="30">
        <v>866.0</v>
      </c>
      <c r="D867" s="16" t="s">
        <v>1370</v>
      </c>
      <c r="E867" s="16" t="s">
        <v>184</v>
      </c>
      <c r="F867" s="16" t="s">
        <v>285</v>
      </c>
      <c r="G867" s="16" t="s">
        <v>215</v>
      </c>
      <c r="H867" s="16" t="s">
        <v>189</v>
      </c>
      <c r="I867" s="16" t="s">
        <v>190</v>
      </c>
    </row>
    <row r="868" ht="242.25" customHeight="1">
      <c r="A868" s="32" t="b">
        <v>0</v>
      </c>
      <c r="B868" s="32" t="str">
        <f>IMAGE("https://gymvisual.com/13359-catalog_default/cable-deadlift-female.jpg",4,500,500)</f>
        <v/>
      </c>
      <c r="C868" s="30">
        <v>867.0</v>
      </c>
      <c r="D868" s="16" t="s">
        <v>1371</v>
      </c>
      <c r="E868" s="16" t="s">
        <v>184</v>
      </c>
      <c r="F868" s="16" t="s">
        <v>294</v>
      </c>
      <c r="G868" s="16" t="s">
        <v>215</v>
      </c>
      <c r="H868" s="16" t="s">
        <v>220</v>
      </c>
      <c r="I868" s="16" t="s">
        <v>220</v>
      </c>
    </row>
    <row r="869" ht="242.25" customHeight="1">
      <c r="A869" s="32" t="b">
        <v>0</v>
      </c>
      <c r="B869" s="32" t="str">
        <f>IMAGE("https://gymvisual.com/19317-catalog_default/cable-decline-fly.jpg",4,500,500)</f>
        <v/>
      </c>
      <c r="C869" s="30">
        <v>868.0</v>
      </c>
      <c r="D869" s="16" t="s">
        <v>1372</v>
      </c>
      <c r="E869" s="16" t="s">
        <v>184</v>
      </c>
      <c r="F869" s="16" t="s">
        <v>234</v>
      </c>
      <c r="G869" s="16" t="s">
        <v>215</v>
      </c>
      <c r="H869" s="16" t="s">
        <v>347</v>
      </c>
      <c r="I869" s="16" t="s">
        <v>420</v>
      </c>
    </row>
    <row r="870" ht="242.25" customHeight="1">
      <c r="A870" s="32" t="b">
        <v>0</v>
      </c>
      <c r="B870" s="32" t="str">
        <f>IMAGE("https://gymvisual.com/11107-catalog_default/cable-decline-fly-female.jpg",4,500,500)</f>
        <v/>
      </c>
      <c r="C870" s="30">
        <v>869.0</v>
      </c>
      <c r="D870" s="16" t="s">
        <v>1373</v>
      </c>
      <c r="E870" s="16" t="s">
        <v>184</v>
      </c>
      <c r="F870" s="16" t="s">
        <v>234</v>
      </c>
      <c r="G870" s="16" t="s">
        <v>215</v>
      </c>
      <c r="H870" s="16" t="s">
        <v>347</v>
      </c>
      <c r="I870" s="16" t="s">
        <v>420</v>
      </c>
    </row>
    <row r="871" ht="242.25" customHeight="1">
      <c r="A871" s="32" t="b">
        <v>0</v>
      </c>
      <c r="B871" s="32" t="str">
        <f>IMAGE("https://gymvisual.com/5949-catalog_default/cable-decline-one-arm-press.jpg",4,500,500)</f>
        <v/>
      </c>
      <c r="C871" s="30">
        <v>870.0</v>
      </c>
      <c r="D871" s="16" t="s">
        <v>823</v>
      </c>
      <c r="E871" s="16" t="s">
        <v>184</v>
      </c>
      <c r="F871" s="16" t="s">
        <v>234</v>
      </c>
      <c r="G871" s="16" t="s">
        <v>215</v>
      </c>
      <c r="H871" s="16" t="s">
        <v>347</v>
      </c>
      <c r="I871" s="16" t="s">
        <v>382</v>
      </c>
    </row>
    <row r="872" ht="242.25" customHeight="1">
      <c r="A872" s="32" t="b">
        <v>0</v>
      </c>
      <c r="B872" s="32" t="str">
        <f>IMAGE("https://gymvisual.com/5950-catalog_default/cable-decline-press.jpg",4,500,500)</f>
        <v/>
      </c>
      <c r="C872" s="30">
        <v>871.0</v>
      </c>
      <c r="D872" s="16" t="s">
        <v>823</v>
      </c>
      <c r="E872" s="16" t="s">
        <v>184</v>
      </c>
      <c r="F872" s="16" t="s">
        <v>234</v>
      </c>
      <c r="G872" s="16" t="s">
        <v>215</v>
      </c>
      <c r="H872" s="16" t="s">
        <v>347</v>
      </c>
      <c r="I872" s="16" t="s">
        <v>382</v>
      </c>
    </row>
    <row r="873" ht="242.25" customHeight="1">
      <c r="A873" s="32" t="b">
        <v>0</v>
      </c>
      <c r="B873" s="32" t="str">
        <f>IMAGE("https://gymvisual.com/13361-catalog_default/cable-decline-press-female.jpg",4,500,500)</f>
        <v/>
      </c>
      <c r="C873" s="30">
        <v>872.0</v>
      </c>
      <c r="D873" s="16" t="s">
        <v>1374</v>
      </c>
      <c r="E873" s="16" t="s">
        <v>184</v>
      </c>
      <c r="F873" s="16" t="s">
        <v>234</v>
      </c>
      <c r="G873" s="16" t="s">
        <v>215</v>
      </c>
      <c r="H873" s="16" t="s">
        <v>220</v>
      </c>
      <c r="I873" s="16" t="s">
        <v>220</v>
      </c>
    </row>
    <row r="874" ht="242.25" customHeight="1">
      <c r="A874" s="32" t="b">
        <v>0</v>
      </c>
      <c r="B874" s="32" t="str">
        <f>IMAGE("https://gymvisual.com/499-catalog_default/cable-decline-seated-wide-grip-row.jpg",4,500,500)</f>
        <v/>
      </c>
      <c r="C874" s="30">
        <v>873.0</v>
      </c>
      <c r="D874" s="16" t="s">
        <v>1375</v>
      </c>
      <c r="E874" s="16" t="s">
        <v>184</v>
      </c>
      <c r="F874" s="16" t="s">
        <v>192</v>
      </c>
      <c r="G874" s="16" t="s">
        <v>215</v>
      </c>
      <c r="H874" s="16" t="s">
        <v>329</v>
      </c>
      <c r="I874" s="16" t="s">
        <v>447</v>
      </c>
    </row>
    <row r="875" ht="242.25" customHeight="1">
      <c r="A875" s="32" t="b">
        <v>0</v>
      </c>
      <c r="B875" s="32" t="str">
        <f>IMAGE("https://gymvisual.com/18949-catalog_default/cable-donkey-kickback-female.jpg",4,500,500)</f>
        <v/>
      </c>
      <c r="C875" s="30">
        <v>874.0</v>
      </c>
      <c r="D875" s="16" t="s">
        <v>1376</v>
      </c>
      <c r="E875" s="16" t="s">
        <v>184</v>
      </c>
      <c r="F875" s="16" t="s">
        <v>185</v>
      </c>
      <c r="G875" s="16" t="s">
        <v>215</v>
      </c>
      <c r="H875" s="16" t="s">
        <v>187</v>
      </c>
      <c r="I875" s="16" t="s">
        <v>188</v>
      </c>
    </row>
    <row r="876" ht="242.25" customHeight="1">
      <c r="A876" s="32" t="b">
        <v>0</v>
      </c>
      <c r="B876" s="32" t="str">
        <f>IMAGE("https://gymvisual.com/7106-catalog_default/cable-drag-curl.jpg",4,500,500)</f>
        <v/>
      </c>
      <c r="C876" s="30">
        <v>875.0</v>
      </c>
      <c r="D876" s="16" t="s">
        <v>1377</v>
      </c>
      <c r="E876" s="16" t="s">
        <v>184</v>
      </c>
      <c r="F876" s="16" t="s">
        <v>219</v>
      </c>
      <c r="G876" s="16" t="s">
        <v>215</v>
      </c>
      <c r="H876" s="16" t="s">
        <v>220</v>
      </c>
      <c r="I876" s="16" t="s">
        <v>220</v>
      </c>
    </row>
    <row r="877" ht="242.25" customHeight="1">
      <c r="A877" s="32" t="b">
        <v>0</v>
      </c>
      <c r="B877" s="32" t="str">
        <f>IMAGE("https://gymvisual.com/2957-catalog_default/cable-elevated-row.jpg",4,500,500)</f>
        <v/>
      </c>
      <c r="C877" s="30">
        <v>876.0</v>
      </c>
      <c r="D877" s="16" t="s">
        <v>1378</v>
      </c>
      <c r="E877" s="16" t="s">
        <v>184</v>
      </c>
      <c r="F877" s="16" t="s">
        <v>192</v>
      </c>
      <c r="G877" s="16" t="s">
        <v>215</v>
      </c>
      <c r="H877" s="16" t="s">
        <v>300</v>
      </c>
      <c r="I877" s="16" t="s">
        <v>1379</v>
      </c>
    </row>
    <row r="878" ht="242.25" customHeight="1">
      <c r="A878" s="32" t="b">
        <v>0</v>
      </c>
      <c r="B878" s="32" t="str">
        <f>IMAGE("https://gymvisual.com/502-catalog_default/cable-floor-seated-wide-grip-row.jpg",4,500,500)</f>
        <v/>
      </c>
      <c r="C878" s="30">
        <v>877.0</v>
      </c>
      <c r="D878" s="16" t="s">
        <v>1380</v>
      </c>
      <c r="E878" s="16" t="s">
        <v>184</v>
      </c>
      <c r="F878" s="16" t="s">
        <v>192</v>
      </c>
      <c r="G878" s="16" t="s">
        <v>215</v>
      </c>
      <c r="H878" s="16" t="s">
        <v>329</v>
      </c>
      <c r="I878" s="16" t="s">
        <v>447</v>
      </c>
    </row>
    <row r="879" ht="242.25" customHeight="1">
      <c r="A879" s="32" t="b">
        <v>0</v>
      </c>
      <c r="B879" s="32" t="str">
        <f>IMAGE("https://gymvisual.com/17735-catalog_default/cable-fly-with-chest-supported.jpg",4,500,500)</f>
        <v/>
      </c>
      <c r="C879" s="30">
        <v>878.0</v>
      </c>
      <c r="D879" s="16" t="s">
        <v>1381</v>
      </c>
      <c r="E879" s="16" t="s">
        <v>184</v>
      </c>
      <c r="F879" s="16" t="s">
        <v>234</v>
      </c>
      <c r="G879" s="16" t="s">
        <v>215</v>
      </c>
      <c r="H879" s="16" t="s">
        <v>220</v>
      </c>
      <c r="I879" s="16" t="s">
        <v>220</v>
      </c>
    </row>
    <row r="880" ht="242.25" customHeight="1">
      <c r="A880" s="32" t="b">
        <v>0</v>
      </c>
      <c r="B880" s="32" t="str">
        <f>IMAGE("https://gymvisual.com/13661-catalog_default/cable-forward-lunge.jpg",4,500,500)</f>
        <v/>
      </c>
      <c r="C880" s="30">
        <v>879.0</v>
      </c>
      <c r="D880" s="16" t="s">
        <v>1382</v>
      </c>
      <c r="E880" s="16" t="s">
        <v>184</v>
      </c>
      <c r="F880" s="16" t="s">
        <v>285</v>
      </c>
      <c r="G880" s="16" t="s">
        <v>215</v>
      </c>
      <c r="H880" s="16" t="s">
        <v>189</v>
      </c>
      <c r="I880" s="16" t="s">
        <v>220</v>
      </c>
    </row>
    <row r="881" ht="242.25" customHeight="1">
      <c r="A881" s="32" t="b">
        <v>0</v>
      </c>
      <c r="B881" s="32" t="str">
        <f>IMAGE("https://gymvisual.com/505-catalog_default/cable-forward-raise.jpg",4,500,500)</f>
        <v/>
      </c>
      <c r="C881" s="30">
        <v>880.0</v>
      </c>
      <c r="D881" s="16" t="s">
        <v>1383</v>
      </c>
      <c r="E881" s="16" t="s">
        <v>184</v>
      </c>
      <c r="F881" s="16" t="s">
        <v>228</v>
      </c>
      <c r="G881" s="16" t="s">
        <v>215</v>
      </c>
      <c r="H881" s="16" t="s">
        <v>229</v>
      </c>
      <c r="I881" s="16" t="s">
        <v>244</v>
      </c>
    </row>
    <row r="882" ht="242.25" customHeight="1">
      <c r="A882" s="32" t="b">
        <v>0</v>
      </c>
      <c r="B882" s="32" t="str">
        <f>IMAGE("https://gymvisual.com/508-catalog_default/cable-front-raise.jpg",4,500,500)</f>
        <v/>
      </c>
      <c r="C882" s="30">
        <v>881.0</v>
      </c>
      <c r="D882" s="16" t="s">
        <v>57</v>
      </c>
      <c r="E882" s="16" t="s">
        <v>184</v>
      </c>
      <c r="F882" s="16" t="s">
        <v>228</v>
      </c>
      <c r="G882" s="16" t="s">
        <v>215</v>
      </c>
      <c r="H882" s="16" t="s">
        <v>229</v>
      </c>
      <c r="I882" s="16" t="s">
        <v>244</v>
      </c>
    </row>
    <row r="883" ht="242.25" customHeight="1">
      <c r="A883" s="32" t="b">
        <v>0</v>
      </c>
      <c r="B883" s="32" t="str">
        <f>IMAGE("https://gymvisual.com/9604-catalog_default/cable-front-raise-female.jpg",4,500,500)</f>
        <v/>
      </c>
      <c r="C883" s="30">
        <v>882.0</v>
      </c>
      <c r="D883" s="16" t="s">
        <v>1384</v>
      </c>
      <c r="E883" s="16" t="s">
        <v>184</v>
      </c>
      <c r="F883" s="16" t="s">
        <v>228</v>
      </c>
      <c r="G883" s="16" t="s">
        <v>215</v>
      </c>
      <c r="H883" s="16" t="s">
        <v>229</v>
      </c>
      <c r="I883" s="16" t="s">
        <v>244</v>
      </c>
    </row>
    <row r="884" ht="242.25" customHeight="1">
      <c r="A884" s="32" t="b">
        <v>0</v>
      </c>
      <c r="B884" s="32" t="str">
        <f>IMAGE("https://gymvisual.com/11116-catalog_default/cable-front-raise-female.jpg",4,500,500)</f>
        <v/>
      </c>
      <c r="C884" s="30">
        <v>883.0</v>
      </c>
      <c r="D884" s="16" t="s">
        <v>1384</v>
      </c>
      <c r="E884" s="16" t="s">
        <v>184</v>
      </c>
      <c r="F884" s="16" t="s">
        <v>234</v>
      </c>
      <c r="G884" s="16" t="s">
        <v>215</v>
      </c>
      <c r="H884" s="16" t="s">
        <v>220</v>
      </c>
      <c r="I884" s="16" t="s">
        <v>220</v>
      </c>
    </row>
    <row r="885" ht="242.25" customHeight="1">
      <c r="A885" s="32" t="b">
        <v>0</v>
      </c>
      <c r="B885" s="32" t="str">
        <f>IMAGE("https://gymvisual.com/511-catalog_default/cable-front-seated-row.jpg",4,500,500)</f>
        <v/>
      </c>
      <c r="C885" s="30">
        <v>884.0</v>
      </c>
      <c r="D885" s="16" t="s">
        <v>1385</v>
      </c>
      <c r="E885" s="16" t="s">
        <v>184</v>
      </c>
      <c r="F885" s="16" t="s">
        <v>192</v>
      </c>
      <c r="G885" s="16" t="s">
        <v>215</v>
      </c>
      <c r="H885" s="16" t="s">
        <v>329</v>
      </c>
      <c r="I885" s="16" t="s">
        <v>357</v>
      </c>
    </row>
    <row r="886" ht="242.25" customHeight="1">
      <c r="A886" s="32" t="b">
        <v>0</v>
      </c>
      <c r="B886" s="32" t="str">
        <f>IMAGE("https://gymvisual.com/514-catalog_default/cable-front-shoulder-raise.jpg",4,500,500)</f>
        <v/>
      </c>
      <c r="C886" s="30">
        <v>885.0</v>
      </c>
      <c r="D886" s="16" t="s">
        <v>1386</v>
      </c>
      <c r="E886" s="16" t="s">
        <v>184</v>
      </c>
      <c r="F886" s="16" t="s">
        <v>228</v>
      </c>
      <c r="G886" s="16" t="s">
        <v>215</v>
      </c>
      <c r="H886" s="16" t="s">
        <v>229</v>
      </c>
      <c r="I886" s="16" t="s">
        <v>244</v>
      </c>
    </row>
    <row r="887" ht="242.25" customHeight="1">
      <c r="A887" s="32" t="b">
        <v>0</v>
      </c>
      <c r="B887" s="32" t="str">
        <f>IMAGE("https://gymvisual.com/13652-catalog_default/cable-front-squat.jpg",4,500,500)</f>
        <v/>
      </c>
      <c r="C887" s="30">
        <v>886.0</v>
      </c>
      <c r="D887" s="16" t="s">
        <v>1387</v>
      </c>
      <c r="E887" s="16" t="s">
        <v>184</v>
      </c>
      <c r="F887" s="16" t="s">
        <v>285</v>
      </c>
      <c r="G887" s="16" t="s">
        <v>215</v>
      </c>
      <c r="H887" s="16" t="s">
        <v>189</v>
      </c>
      <c r="I887" s="16" t="s">
        <v>190</v>
      </c>
    </row>
    <row r="888" ht="242.25" customHeight="1">
      <c r="A888" s="32" t="b">
        <v>0</v>
      </c>
      <c r="B888" s="32" t="str">
        <f>IMAGE("https://gymvisual.com/13659-catalog_default/cable-front-squat-version-2.jpg",4,500,500)</f>
        <v/>
      </c>
      <c r="C888" s="30">
        <v>887.0</v>
      </c>
      <c r="D888" s="16" t="s">
        <v>1388</v>
      </c>
      <c r="E888" s="16" t="s">
        <v>184</v>
      </c>
      <c r="F888" s="16" t="s">
        <v>285</v>
      </c>
      <c r="G888" s="16" t="s">
        <v>215</v>
      </c>
      <c r="H888" s="16" t="s">
        <v>189</v>
      </c>
      <c r="I888" s="16" t="s">
        <v>220</v>
      </c>
    </row>
    <row r="889" ht="242.25" customHeight="1">
      <c r="A889" s="32" t="b">
        <v>0</v>
      </c>
      <c r="B889" s="32" t="str">
        <f>IMAGE("https://gymvisual.com/20992-catalog_default/cable-glute-dominant-step-up-female.jpg",4,500,500)</f>
        <v/>
      </c>
      <c r="C889" s="30">
        <v>888.0</v>
      </c>
      <c r="D889" s="16" t="s">
        <v>1389</v>
      </c>
      <c r="E889" s="16" t="s">
        <v>184</v>
      </c>
      <c r="F889" s="16" t="s">
        <v>294</v>
      </c>
      <c r="G889" s="16" t="s">
        <v>215</v>
      </c>
      <c r="H889" s="16" t="s">
        <v>189</v>
      </c>
      <c r="I889" s="16" t="s">
        <v>190</v>
      </c>
    </row>
    <row r="890" ht="242.25" customHeight="1">
      <c r="A890" s="32" t="b">
        <v>0</v>
      </c>
      <c r="B890" s="32" t="str">
        <f>IMAGE("https://gymvisual.com/18027-catalog_default/cable-half-kneeling-adductor-pallof-press.jpg",4,500,500)</f>
        <v/>
      </c>
      <c r="C890" s="30">
        <v>889.0</v>
      </c>
      <c r="D890" s="16" t="s">
        <v>1390</v>
      </c>
      <c r="E890" s="16" t="s">
        <v>184</v>
      </c>
      <c r="F890" s="16" t="s">
        <v>254</v>
      </c>
      <c r="G890" s="16" t="s">
        <v>215</v>
      </c>
      <c r="H890" s="16" t="s">
        <v>220</v>
      </c>
      <c r="I890" s="16" t="s">
        <v>220</v>
      </c>
    </row>
    <row r="891" ht="242.25" customHeight="1">
      <c r="A891" s="32" t="b">
        <v>0</v>
      </c>
      <c r="B891" s="32" t="str">
        <f>IMAGE("https://gymvisual.com/18023-catalog_default/cable-half-kneeling-external-rotation.jpg",4,500,500)</f>
        <v/>
      </c>
      <c r="C891" s="30">
        <v>890.0</v>
      </c>
      <c r="D891" s="16" t="s">
        <v>1391</v>
      </c>
      <c r="E891" s="16" t="s">
        <v>184</v>
      </c>
      <c r="F891" s="16" t="s">
        <v>192</v>
      </c>
      <c r="G891" s="16" t="s">
        <v>215</v>
      </c>
      <c r="H891" s="16" t="s">
        <v>220</v>
      </c>
      <c r="I891" s="16" t="s">
        <v>220</v>
      </c>
    </row>
    <row r="892" ht="242.25" customHeight="1">
      <c r="A892" s="32" t="b">
        <v>0</v>
      </c>
      <c r="B892" s="32" t="str">
        <f>IMAGE("https://gymvisual.com/18021-catalog_default/cable-half-kneeling-pallof-press.jpg",4,500,500)</f>
        <v/>
      </c>
      <c r="C892" s="30">
        <v>891.0</v>
      </c>
      <c r="D892" s="16" t="s">
        <v>1392</v>
      </c>
      <c r="E892" s="16" t="s">
        <v>184</v>
      </c>
      <c r="F892" s="16" t="s">
        <v>254</v>
      </c>
      <c r="G892" s="16" t="s">
        <v>215</v>
      </c>
      <c r="H892" s="16" t="s">
        <v>220</v>
      </c>
      <c r="I892" s="16" t="s">
        <v>220</v>
      </c>
    </row>
    <row r="893" ht="242.25" customHeight="1">
      <c r="A893" s="32" t="b">
        <v>0</v>
      </c>
      <c r="B893" s="32" t="str">
        <f>IMAGE("https://gymvisual.com/18089-catalog_default/cable-half-kneeling-push-pull.jpg",4,500,500)</f>
        <v/>
      </c>
      <c r="C893" s="30">
        <v>892.0</v>
      </c>
      <c r="D893" s="16" t="s">
        <v>1393</v>
      </c>
      <c r="E893" s="16" t="s">
        <v>184</v>
      </c>
      <c r="F893" s="16" t="s">
        <v>192</v>
      </c>
      <c r="G893" s="16" t="s">
        <v>215</v>
      </c>
      <c r="H893" s="16" t="s">
        <v>220</v>
      </c>
      <c r="I893" s="16" t="s">
        <v>220</v>
      </c>
    </row>
    <row r="894" ht="242.25" customHeight="1">
      <c r="A894" s="32" t="b">
        <v>0</v>
      </c>
      <c r="B894" s="32" t="str">
        <f>IMAGE("https://gymvisual.com/520-catalog_default/cable-hammer-curl.jpg",4,500,500)</f>
        <v/>
      </c>
      <c r="C894" s="30">
        <v>893.0</v>
      </c>
      <c r="D894" s="16" t="s">
        <v>1394</v>
      </c>
      <c r="E894" s="16" t="s">
        <v>184</v>
      </c>
      <c r="F894" s="16" t="s">
        <v>214</v>
      </c>
      <c r="G894" s="16" t="s">
        <v>215</v>
      </c>
      <c r="H894" s="16" t="s">
        <v>216</v>
      </c>
      <c r="I894" s="16" t="s">
        <v>217</v>
      </c>
    </row>
    <row r="895" ht="242.25" customHeight="1">
      <c r="A895" s="32" t="b">
        <v>0</v>
      </c>
      <c r="B895" s="32" t="str">
        <f>IMAGE("https://gymvisual.com/20978-catalog_default/cable-hammer-curl-with-rope.jpg",4,500,500)</f>
        <v/>
      </c>
      <c r="C895" s="30">
        <v>894.0</v>
      </c>
      <c r="D895" s="16" t="s">
        <v>213</v>
      </c>
      <c r="E895" s="16" t="s">
        <v>184</v>
      </c>
      <c r="F895" s="16" t="s">
        <v>214</v>
      </c>
      <c r="G895" s="16" t="s">
        <v>215</v>
      </c>
      <c r="H895" s="16" t="s">
        <v>216</v>
      </c>
      <c r="I895" s="16" t="s">
        <v>217</v>
      </c>
    </row>
    <row r="896" ht="242.25" customHeight="1">
      <c r="A896" s="32" t="b">
        <v>0</v>
      </c>
      <c r="B896" s="32" t="str">
        <f>IMAGE("https://gymvisual.com/12069-catalog_default/cable-hanging-leg-raise.jpg",4,500,500)</f>
        <v/>
      </c>
      <c r="C896" s="30">
        <v>895.0</v>
      </c>
      <c r="D896" s="16" t="s">
        <v>1395</v>
      </c>
      <c r="E896" s="16" t="s">
        <v>184</v>
      </c>
      <c r="F896" s="16" t="s">
        <v>254</v>
      </c>
      <c r="G896" s="16" t="s">
        <v>215</v>
      </c>
      <c r="H896" s="16" t="s">
        <v>305</v>
      </c>
      <c r="I896" s="16" t="s">
        <v>600</v>
      </c>
    </row>
    <row r="897" ht="242.25" customHeight="1">
      <c r="A897" s="32" t="b">
        <v>0</v>
      </c>
      <c r="B897" s="32" t="str">
        <f>IMAGE("https://gymvisual.com/12068-catalog_default/cable-hanging-leg-raise-female.jpg",4,500,500)</f>
        <v/>
      </c>
      <c r="C897" s="30">
        <v>896.0</v>
      </c>
      <c r="D897" s="16" t="s">
        <v>1396</v>
      </c>
      <c r="E897" s="16" t="s">
        <v>184</v>
      </c>
      <c r="F897" s="16" t="s">
        <v>254</v>
      </c>
      <c r="G897" s="16" t="s">
        <v>215</v>
      </c>
      <c r="H897" s="16" t="s">
        <v>305</v>
      </c>
      <c r="I897" s="16" t="s">
        <v>600</v>
      </c>
    </row>
    <row r="898" ht="242.25" customHeight="1">
      <c r="A898" s="32" t="b">
        <v>0</v>
      </c>
      <c r="B898" s="32" t="str">
        <f>IMAGE("https://gymvisual.com/9727-catalog_default/cable-high-pulley-overhead-tricep-extension.jpg",4,500,500)</f>
        <v/>
      </c>
      <c r="C898" s="30">
        <v>897.0</v>
      </c>
      <c r="D898" s="16" t="s">
        <v>1397</v>
      </c>
      <c r="E898" s="16" t="s">
        <v>184</v>
      </c>
      <c r="F898" s="16" t="s">
        <v>219</v>
      </c>
      <c r="G898" s="16" t="s">
        <v>215</v>
      </c>
      <c r="H898" s="16" t="s">
        <v>223</v>
      </c>
      <c r="I898" s="16" t="s">
        <v>220</v>
      </c>
    </row>
    <row r="899" ht="242.25" customHeight="1">
      <c r="A899" s="32" t="b">
        <v>0</v>
      </c>
      <c r="B899" s="32" t="str">
        <f>IMAGE("https://gymvisual.com/13363-catalog_default/cable-high-pulley-overhead-tricep-extension-female.jpg",4,500,500)</f>
        <v/>
      </c>
      <c r="C899" s="30">
        <v>898.0</v>
      </c>
      <c r="D899" s="16" t="s">
        <v>1398</v>
      </c>
      <c r="E899" s="16" t="s">
        <v>184</v>
      </c>
      <c r="F899" s="16" t="s">
        <v>219</v>
      </c>
      <c r="G899" s="16" t="s">
        <v>215</v>
      </c>
      <c r="H899" s="16" t="s">
        <v>223</v>
      </c>
      <c r="I899" s="16" t="s">
        <v>220</v>
      </c>
    </row>
    <row r="900" ht="242.25" customHeight="1">
      <c r="A900" s="32" t="b">
        <v>0</v>
      </c>
      <c r="B900" s="32" t="str">
        <f>IMAGE("https://gymvisual.com/9646-catalog_default/cable-high-row-kneeling-rope-attachment-female.jpg",4,500,500)</f>
        <v/>
      </c>
      <c r="C900" s="30">
        <v>899.0</v>
      </c>
      <c r="D900" s="16" t="s">
        <v>1399</v>
      </c>
      <c r="E900" s="16" t="s">
        <v>184</v>
      </c>
      <c r="F900" s="16" t="s">
        <v>228</v>
      </c>
      <c r="G900" s="16" t="s">
        <v>215</v>
      </c>
      <c r="H900" s="16" t="s">
        <v>220</v>
      </c>
      <c r="I900" s="16" t="s">
        <v>220</v>
      </c>
    </row>
    <row r="901" ht="242.25" customHeight="1">
      <c r="A901" s="32" t="b">
        <v>0</v>
      </c>
      <c r="B901" s="32" t="str">
        <f>IMAGE("https://gymvisual.com/523-catalog_default/cable-high-row-kneeling.jpg",4,500,500)</f>
        <v/>
      </c>
      <c r="C901" s="30">
        <v>900.0</v>
      </c>
      <c r="D901" s="16" t="s">
        <v>1400</v>
      </c>
      <c r="E901" s="16" t="s">
        <v>184</v>
      </c>
      <c r="F901" s="16" t="s">
        <v>192</v>
      </c>
      <c r="G901" s="16" t="s">
        <v>215</v>
      </c>
      <c r="H901" s="16" t="s">
        <v>329</v>
      </c>
      <c r="I901" s="16" t="s">
        <v>447</v>
      </c>
    </row>
    <row r="902" ht="242.25" customHeight="1">
      <c r="A902" s="32" t="b">
        <v>0</v>
      </c>
      <c r="B902" s="32" t="str">
        <f>IMAGE("https://gymvisual.com/20056-catalog_default/cable-high-triceps-extension.jpg",4,500,500)</f>
        <v/>
      </c>
      <c r="C902" s="30">
        <v>901.0</v>
      </c>
      <c r="D902" s="16" t="s">
        <v>1401</v>
      </c>
      <c r="E902" s="16" t="s">
        <v>184</v>
      </c>
      <c r="F902" s="16" t="s">
        <v>219</v>
      </c>
      <c r="G902" s="16" t="s">
        <v>215</v>
      </c>
      <c r="H902" s="16" t="s">
        <v>223</v>
      </c>
      <c r="I902" s="16" t="s">
        <v>220</v>
      </c>
    </row>
    <row r="903" ht="242.25" customHeight="1">
      <c r="A903" s="32" t="b">
        <v>0</v>
      </c>
      <c r="B903" s="32" t="str">
        <f>IMAGE("https://gymvisual.com/11833-catalog_default/cable-hip-abduction-toe-in-female.jpg",4,500,500)</f>
        <v/>
      </c>
      <c r="C903" s="30">
        <v>902.0</v>
      </c>
      <c r="D903" s="16" t="s">
        <v>1402</v>
      </c>
      <c r="E903" s="16" t="s">
        <v>184</v>
      </c>
      <c r="F903" s="16" t="s">
        <v>185</v>
      </c>
      <c r="G903" s="16" t="s">
        <v>215</v>
      </c>
      <c r="H903" s="16" t="s">
        <v>220</v>
      </c>
      <c r="I903" s="16" t="s">
        <v>220</v>
      </c>
    </row>
    <row r="904" ht="242.25" customHeight="1">
      <c r="A904" s="32" t="b">
        <v>0</v>
      </c>
      <c r="B904" s="32" t="str">
        <f>IMAGE("https://gymvisual.com/11832-catalog_default/cable-hip-abduction-toe-out-female.jpg",4,500,500)</f>
        <v/>
      </c>
      <c r="C904" s="30">
        <v>903.0</v>
      </c>
      <c r="D904" s="16" t="s">
        <v>1403</v>
      </c>
      <c r="E904" s="16" t="s">
        <v>184</v>
      </c>
      <c r="F904" s="16" t="s">
        <v>185</v>
      </c>
      <c r="G904" s="16" t="s">
        <v>215</v>
      </c>
      <c r="H904" s="16" t="s">
        <v>220</v>
      </c>
      <c r="I904" s="16" t="s">
        <v>220</v>
      </c>
    </row>
    <row r="905" ht="242.25" customHeight="1">
      <c r="A905" s="32" t="b">
        <v>0</v>
      </c>
      <c r="B905" s="32" t="str">
        <f>IMAGE("https://gymvisual.com/2769-catalog_default/cable-hip-abduction-version-2.jpg",4,500,500)</f>
        <v/>
      </c>
      <c r="C905" s="30">
        <v>904.0</v>
      </c>
      <c r="D905" s="16" t="s">
        <v>1404</v>
      </c>
      <c r="E905" s="16" t="s">
        <v>184</v>
      </c>
      <c r="F905" s="16" t="s">
        <v>185</v>
      </c>
      <c r="G905" s="16" t="s">
        <v>215</v>
      </c>
      <c r="H905" s="16" t="s">
        <v>508</v>
      </c>
      <c r="I905" s="16" t="s">
        <v>220</v>
      </c>
    </row>
    <row r="906" ht="242.25" customHeight="1">
      <c r="A906" s="32" t="b">
        <v>0</v>
      </c>
      <c r="B906" s="32" t="str">
        <f>IMAGE("https://gymvisual.com/13365-catalog_default/cable-hip-abduction-version-2-male.jpg",4,500,500)</f>
        <v/>
      </c>
      <c r="C906" s="30">
        <v>905.0</v>
      </c>
      <c r="D906" s="16" t="s">
        <v>1405</v>
      </c>
      <c r="E906" s="16" t="s">
        <v>184</v>
      </c>
      <c r="F906" s="16" t="s">
        <v>185</v>
      </c>
      <c r="G906" s="16" t="s">
        <v>215</v>
      </c>
      <c r="H906" s="16" t="s">
        <v>475</v>
      </c>
      <c r="I906" s="16" t="s">
        <v>476</v>
      </c>
    </row>
    <row r="907" ht="242.25" customHeight="1">
      <c r="A907" s="32" t="b">
        <v>0</v>
      </c>
      <c r="B907" s="32" t="str">
        <f>IMAGE("https://gymvisual.com/526-catalog_default/cable-hip-adduction.jpg",4,500,500)</f>
        <v/>
      </c>
      <c r="C907" s="30">
        <v>906.0</v>
      </c>
      <c r="D907" s="16" t="s">
        <v>1406</v>
      </c>
      <c r="E907" s="16" t="s">
        <v>184</v>
      </c>
      <c r="F907" s="16" t="s">
        <v>285</v>
      </c>
      <c r="G907" s="16" t="s">
        <v>215</v>
      </c>
      <c r="H907" s="16" t="s">
        <v>1407</v>
      </c>
      <c r="I907" s="16" t="s">
        <v>1408</v>
      </c>
    </row>
    <row r="908" ht="242.25" customHeight="1">
      <c r="A908" s="32" t="b">
        <v>0</v>
      </c>
      <c r="B908" s="32" t="str">
        <f>IMAGE("https://gymvisual.com/10135-catalog_default/cable-hip-adduction-female.jpg",4,500,500)</f>
        <v/>
      </c>
      <c r="C908" s="30">
        <v>907.0</v>
      </c>
      <c r="D908" s="16" t="s">
        <v>1409</v>
      </c>
      <c r="E908" s="16" t="s">
        <v>184</v>
      </c>
      <c r="F908" s="16" t="s">
        <v>185</v>
      </c>
      <c r="G908" s="16" t="s">
        <v>215</v>
      </c>
      <c r="H908" s="16" t="s">
        <v>1410</v>
      </c>
      <c r="I908" s="16" t="s">
        <v>515</v>
      </c>
    </row>
    <row r="909" ht="242.25" customHeight="1">
      <c r="A909" s="32" t="b">
        <v>0</v>
      </c>
      <c r="B909" s="32" t="str">
        <f>IMAGE("https://gymvisual.com/4570-catalog_default/cable-horizontal-pallof-press.jpg",4,500,500)</f>
        <v/>
      </c>
      <c r="C909" s="30">
        <v>908.0</v>
      </c>
      <c r="D909" s="16" t="s">
        <v>1411</v>
      </c>
      <c r="E909" s="16" t="s">
        <v>184</v>
      </c>
      <c r="F909" s="16" t="s">
        <v>254</v>
      </c>
      <c r="G909" s="16" t="s">
        <v>215</v>
      </c>
      <c r="H909" s="16" t="s">
        <v>257</v>
      </c>
      <c r="I909" s="16" t="s">
        <v>220</v>
      </c>
    </row>
    <row r="910" ht="242.25" customHeight="1">
      <c r="A910" s="32" t="b">
        <v>0</v>
      </c>
      <c r="B910" s="32" t="str">
        <f>IMAGE("https://gymvisual.com/19397-catalog_default/cable-horizontal-pallof-press-version-2.jpg",4,500,500)</f>
        <v/>
      </c>
      <c r="C910" s="30">
        <v>909.0</v>
      </c>
      <c r="D910" s="16" t="s">
        <v>1412</v>
      </c>
      <c r="E910" s="16" t="s">
        <v>184</v>
      </c>
      <c r="F910" s="16" t="s">
        <v>254</v>
      </c>
      <c r="G910" s="16" t="s">
        <v>215</v>
      </c>
      <c r="H910" s="16" t="s">
        <v>220</v>
      </c>
      <c r="I910" s="16" t="s">
        <v>220</v>
      </c>
    </row>
    <row r="911" ht="242.25" customHeight="1">
      <c r="A911" s="32" t="b">
        <v>0</v>
      </c>
      <c r="B911" s="32" t="str">
        <f>IMAGE("https://gymvisual.com/529-catalog_default/cable-incline-bench-press.jpg",4,500,500)</f>
        <v/>
      </c>
      <c r="C911" s="30">
        <v>910.0</v>
      </c>
      <c r="D911" s="16" t="s">
        <v>1413</v>
      </c>
      <c r="E911" s="16" t="s">
        <v>184</v>
      </c>
      <c r="F911" s="16" t="s">
        <v>234</v>
      </c>
      <c r="G911" s="16" t="s">
        <v>215</v>
      </c>
      <c r="H911" s="16" t="s">
        <v>415</v>
      </c>
      <c r="I911" s="16" t="s">
        <v>243</v>
      </c>
    </row>
    <row r="912" ht="242.25" customHeight="1">
      <c r="A912" s="32" t="b">
        <v>0</v>
      </c>
      <c r="B912" s="32" t="str">
        <f>IMAGE("https://gymvisual.com/13367-catalog_default/cable-incline-bench-press-female.jpg",4,500,500)</f>
        <v/>
      </c>
      <c r="C912" s="30">
        <v>911.0</v>
      </c>
      <c r="D912" s="16" t="s">
        <v>1414</v>
      </c>
      <c r="E912" s="16" t="s">
        <v>184</v>
      </c>
      <c r="F912" s="16" t="s">
        <v>234</v>
      </c>
      <c r="G912" s="16" t="s">
        <v>215</v>
      </c>
      <c r="H912" s="16" t="s">
        <v>415</v>
      </c>
      <c r="I912" s="16" t="s">
        <v>243</v>
      </c>
    </row>
    <row r="913" ht="242.25" customHeight="1">
      <c r="A913" s="32" t="b">
        <v>0</v>
      </c>
      <c r="B913" s="32" t="str">
        <f>IMAGE("https://gymvisual.com/6009-catalog_default/cable-incline-bench-row.jpg",4,500,500)</f>
        <v/>
      </c>
      <c r="C913" s="30">
        <v>912.0</v>
      </c>
      <c r="D913" s="16" t="s">
        <v>1415</v>
      </c>
      <c r="E913" s="16" t="s">
        <v>184</v>
      </c>
      <c r="F913" s="16" t="s">
        <v>192</v>
      </c>
      <c r="G913" s="16" t="s">
        <v>215</v>
      </c>
      <c r="H913" s="16" t="s">
        <v>329</v>
      </c>
      <c r="I913" s="16" t="s">
        <v>457</v>
      </c>
    </row>
    <row r="914" ht="242.25" customHeight="1">
      <c r="A914" s="32" t="b">
        <v>0</v>
      </c>
      <c r="B914" s="32" t="str">
        <f>IMAGE("https://gymvisual.com/25125-catalog_default/cable-incline-biceps-curl.jpg",4,500,500)</f>
        <v/>
      </c>
      <c r="C914" s="30">
        <v>913.0</v>
      </c>
      <c r="D914" s="16" t="s">
        <v>1416</v>
      </c>
      <c r="E914" s="16" t="s">
        <v>184</v>
      </c>
      <c r="F914" s="16" t="s">
        <v>219</v>
      </c>
      <c r="G914" s="16" t="s">
        <v>215</v>
      </c>
      <c r="H914" s="16" t="s">
        <v>220</v>
      </c>
      <c r="I914" s="16" t="s">
        <v>220</v>
      </c>
    </row>
    <row r="915" ht="242.25" customHeight="1">
      <c r="A915" s="32" t="b">
        <v>0</v>
      </c>
      <c r="B915" s="32" t="str">
        <f>IMAGE("https://gymvisual.com/18762-catalog_default/cable-incline-close-grip-curl.jpg",4,500,500)</f>
        <v/>
      </c>
      <c r="C915" s="30">
        <v>914.0</v>
      </c>
      <c r="D915" s="16" t="s">
        <v>1417</v>
      </c>
      <c r="E915" s="16" t="s">
        <v>184</v>
      </c>
      <c r="F915" s="16" t="s">
        <v>219</v>
      </c>
      <c r="G915" s="16" t="s">
        <v>215</v>
      </c>
      <c r="H915" s="16" t="s">
        <v>220</v>
      </c>
      <c r="I915" s="16" t="s">
        <v>220</v>
      </c>
    </row>
    <row r="916" ht="242.25" customHeight="1">
      <c r="A916" s="32" t="b">
        <v>0</v>
      </c>
      <c r="B916" s="32" t="str">
        <f>IMAGE("https://gymvisual.com/17456-catalog_default/cable-incline-cross-rear-fly.jpg",4,500,500)</f>
        <v/>
      </c>
      <c r="C916" s="30">
        <v>915.0</v>
      </c>
      <c r="D916" s="16" t="s">
        <v>1418</v>
      </c>
      <c r="E916" s="16" t="s">
        <v>184</v>
      </c>
      <c r="F916" s="16" t="s">
        <v>228</v>
      </c>
      <c r="G916" s="16" t="s">
        <v>215</v>
      </c>
      <c r="H916" s="16" t="s">
        <v>408</v>
      </c>
      <c r="I916" s="16" t="s">
        <v>731</v>
      </c>
    </row>
    <row r="917" ht="242.25" customHeight="1">
      <c r="A917" s="32" t="b">
        <v>0</v>
      </c>
      <c r="B917" s="32" t="str">
        <f>IMAGE("https://gymvisual.com/535-catalog_default/cable-incline-fly.jpg",4,500,500)</f>
        <v/>
      </c>
      <c r="C917" s="30">
        <v>916.0</v>
      </c>
      <c r="D917" s="16" t="s">
        <v>1419</v>
      </c>
      <c r="E917" s="16" t="s">
        <v>184</v>
      </c>
      <c r="F917" s="16" t="s">
        <v>234</v>
      </c>
      <c r="G917" s="16" t="s">
        <v>215</v>
      </c>
      <c r="H917" s="16" t="s">
        <v>415</v>
      </c>
      <c r="I917" s="16" t="s">
        <v>236</v>
      </c>
    </row>
    <row r="918" ht="242.25" customHeight="1">
      <c r="A918" s="32" t="b">
        <v>0</v>
      </c>
      <c r="B918" s="32" t="str">
        <f>IMAGE("https://gymvisual.com/13369-catalog_default/cable-incline-fly-female.jpg",4,500,500)</f>
        <v/>
      </c>
      <c r="C918" s="30">
        <v>917.0</v>
      </c>
      <c r="D918" s="16" t="s">
        <v>1420</v>
      </c>
      <c r="E918" s="16" t="s">
        <v>184</v>
      </c>
      <c r="F918" s="16" t="s">
        <v>234</v>
      </c>
      <c r="G918" s="16" t="s">
        <v>215</v>
      </c>
      <c r="H918" s="16" t="s">
        <v>415</v>
      </c>
      <c r="I918" s="16" t="s">
        <v>236</v>
      </c>
    </row>
    <row r="919" ht="242.25" customHeight="1">
      <c r="A919" s="32" t="b">
        <v>0</v>
      </c>
      <c r="B919" s="32" t="str">
        <f>IMAGE("https://gymvisual.com/2580-catalog_default/cable-incline-fly-on-stability-ball.jpg",4,500,500)</f>
        <v/>
      </c>
      <c r="C919" s="30">
        <v>918.0</v>
      </c>
      <c r="D919" s="16" t="s">
        <v>1421</v>
      </c>
      <c r="E919" s="16" t="s">
        <v>184</v>
      </c>
      <c r="F919" s="16" t="s">
        <v>234</v>
      </c>
      <c r="G919" s="16" t="s">
        <v>215</v>
      </c>
      <c r="H919" s="16" t="s">
        <v>415</v>
      </c>
      <c r="I919" s="16" t="s">
        <v>236</v>
      </c>
    </row>
    <row r="920" ht="242.25" customHeight="1">
      <c r="A920" s="32" t="b">
        <v>0</v>
      </c>
      <c r="B920" s="32" t="str">
        <f>IMAGE("https://gymvisual.com/538-catalog_default/cable-incline-pushdown.jpg",4,500,500)</f>
        <v/>
      </c>
      <c r="C920" s="30">
        <v>919.0</v>
      </c>
      <c r="D920" s="16" t="s">
        <v>1422</v>
      </c>
      <c r="E920" s="16" t="s">
        <v>184</v>
      </c>
      <c r="F920" s="16" t="s">
        <v>192</v>
      </c>
      <c r="G920" s="16" t="s">
        <v>215</v>
      </c>
      <c r="H920" s="16" t="s">
        <v>300</v>
      </c>
      <c r="I920" s="16" t="s">
        <v>1423</v>
      </c>
    </row>
    <row r="921" ht="242.25" customHeight="1">
      <c r="A921" s="32" t="b">
        <v>0</v>
      </c>
      <c r="B921" s="32" t="str">
        <f>IMAGE("https://gymvisual.com/13371-catalog_default/cable-incline-pushdown-female.jpg",4,500,500)</f>
        <v/>
      </c>
      <c r="C921" s="30">
        <v>920.0</v>
      </c>
      <c r="D921" s="16" t="s">
        <v>1424</v>
      </c>
      <c r="E921" s="16" t="s">
        <v>184</v>
      </c>
      <c r="F921" s="16" t="s">
        <v>192</v>
      </c>
      <c r="G921" s="16" t="s">
        <v>215</v>
      </c>
      <c r="H921" s="16" t="s">
        <v>300</v>
      </c>
      <c r="I921" s="16" t="s">
        <v>1423</v>
      </c>
    </row>
    <row r="922" ht="242.25" customHeight="1">
      <c r="A922" s="32" t="b">
        <v>0</v>
      </c>
      <c r="B922" s="32" t="str">
        <f>IMAGE("https://gymvisual.com/18777-catalog_default/cable-incline-skull-crusher.jpg",4,500,500)</f>
        <v/>
      </c>
      <c r="C922" s="30">
        <v>921.0</v>
      </c>
      <c r="D922" s="16" t="s">
        <v>1425</v>
      </c>
      <c r="E922" s="16" t="s">
        <v>184</v>
      </c>
      <c r="F922" s="16" t="s">
        <v>219</v>
      </c>
      <c r="G922" s="16" t="s">
        <v>215</v>
      </c>
      <c r="H922" s="16" t="s">
        <v>220</v>
      </c>
      <c r="I922" s="16" t="s">
        <v>220</v>
      </c>
    </row>
    <row r="923" ht="242.25" customHeight="1">
      <c r="A923" s="32" t="b">
        <v>0</v>
      </c>
      <c r="B923" s="32" t="str">
        <f>IMAGE("https://gymvisual.com/541-catalog_default/cable-incline-triceps-extension.jpg",4,500,500)</f>
        <v/>
      </c>
      <c r="C923" s="30">
        <v>922.0</v>
      </c>
      <c r="D923" s="16" t="s">
        <v>1426</v>
      </c>
      <c r="E923" s="16" t="s">
        <v>184</v>
      </c>
      <c r="F923" s="16" t="s">
        <v>219</v>
      </c>
      <c r="G923" s="16" t="s">
        <v>215</v>
      </c>
      <c r="H923" s="16" t="s">
        <v>223</v>
      </c>
      <c r="I923" s="16" t="s">
        <v>220</v>
      </c>
    </row>
    <row r="924" ht="242.25" customHeight="1">
      <c r="A924" s="32" t="b">
        <v>0</v>
      </c>
      <c r="B924" s="32" t="str">
        <f>IMAGE("https://gymvisual.com/13373-catalog_default/cable-incline-triceps-extension-female.jpg",4,500,500)</f>
        <v/>
      </c>
      <c r="C924" s="30">
        <v>923.0</v>
      </c>
      <c r="D924" s="16" t="s">
        <v>1427</v>
      </c>
      <c r="E924" s="16" t="s">
        <v>184</v>
      </c>
      <c r="F924" s="16" t="s">
        <v>219</v>
      </c>
      <c r="G924" s="16" t="s">
        <v>215</v>
      </c>
      <c r="H924" s="16" t="s">
        <v>223</v>
      </c>
      <c r="I924" s="16" t="s">
        <v>220</v>
      </c>
    </row>
    <row r="925" ht="242.25" customHeight="1">
      <c r="A925" s="32" t="b">
        <v>0</v>
      </c>
      <c r="B925" s="32" t="str">
        <f>IMAGE("https://gymvisual.com/544-catalog_default/cable-judo-flip.jpg",4,500,500)</f>
        <v/>
      </c>
      <c r="C925" s="30">
        <v>924.0</v>
      </c>
      <c r="D925" s="16" t="s">
        <v>1428</v>
      </c>
      <c r="E925" s="16" t="s">
        <v>184</v>
      </c>
      <c r="F925" s="16" t="s">
        <v>254</v>
      </c>
      <c r="G925" s="16" t="s">
        <v>215</v>
      </c>
      <c r="H925" s="16" t="s">
        <v>257</v>
      </c>
      <c r="I925" s="16" t="s">
        <v>256</v>
      </c>
    </row>
    <row r="926" ht="242.25" customHeight="1">
      <c r="A926" s="32" t="b">
        <v>0</v>
      </c>
      <c r="B926" s="32" t="str">
        <f>IMAGE("https://gymvisual.com/13375-catalog_default/cable-judo-flip-female.jpg",4,500,500)</f>
        <v/>
      </c>
      <c r="C926" s="30">
        <v>925.0</v>
      </c>
      <c r="D926" s="16" t="s">
        <v>1429</v>
      </c>
      <c r="E926" s="16" t="s">
        <v>184</v>
      </c>
      <c r="F926" s="16" t="s">
        <v>254</v>
      </c>
      <c r="G926" s="16" t="s">
        <v>215</v>
      </c>
      <c r="H926" s="16" t="s">
        <v>220</v>
      </c>
      <c r="I926" s="16" t="s">
        <v>220</v>
      </c>
    </row>
    <row r="927" ht="242.25" customHeight="1">
      <c r="A927" s="32" t="b">
        <v>0</v>
      </c>
      <c r="B927" s="32" t="str">
        <f>IMAGE("https://gymvisual.com/17179-catalog_default/cable-kickback.jpg",4,500,500)</f>
        <v/>
      </c>
      <c r="C927" s="30">
        <v>926.0</v>
      </c>
      <c r="D927" s="16" t="s">
        <v>1430</v>
      </c>
      <c r="E927" s="16" t="s">
        <v>184</v>
      </c>
      <c r="F927" s="16" t="s">
        <v>219</v>
      </c>
      <c r="G927" s="16" t="s">
        <v>215</v>
      </c>
      <c r="H927" s="16" t="s">
        <v>223</v>
      </c>
      <c r="I927" s="16" t="s">
        <v>220</v>
      </c>
    </row>
    <row r="928" ht="242.25" customHeight="1">
      <c r="A928" s="32" t="b">
        <v>0</v>
      </c>
      <c r="B928" s="32" t="str">
        <f>IMAGE("https://gymvisual.com/11450-catalog_default/cable-kickback-female.jpg",4,500,500)</f>
        <v/>
      </c>
      <c r="C928" s="30">
        <v>927.0</v>
      </c>
      <c r="D928" s="16" t="s">
        <v>1431</v>
      </c>
      <c r="E928" s="16" t="s">
        <v>184</v>
      </c>
      <c r="F928" s="16" t="s">
        <v>219</v>
      </c>
      <c r="G928" s="16" t="s">
        <v>215</v>
      </c>
      <c r="H928" s="16" t="s">
        <v>220</v>
      </c>
      <c r="I928" s="16" t="s">
        <v>220</v>
      </c>
    </row>
    <row r="929" ht="242.25" customHeight="1">
      <c r="A929" s="32" t="b">
        <v>0</v>
      </c>
      <c r="B929" s="32" t="str">
        <f>IMAGE("https://gymvisual.com/21115-catalog_default/cable-kickback-male.jpg",4,500,500)</f>
        <v/>
      </c>
      <c r="C929" s="30">
        <v>928.0</v>
      </c>
      <c r="D929" s="16" t="s">
        <v>1432</v>
      </c>
      <c r="E929" s="16" t="s">
        <v>184</v>
      </c>
      <c r="F929" s="16" t="s">
        <v>185</v>
      </c>
      <c r="G929" s="16" t="s">
        <v>215</v>
      </c>
      <c r="H929" s="16" t="s">
        <v>220</v>
      </c>
      <c r="I929" s="16" t="s">
        <v>220</v>
      </c>
    </row>
    <row r="930" ht="242.25" customHeight="1">
      <c r="A930" s="32" t="b">
        <v>0</v>
      </c>
      <c r="B930" s="32" t="str">
        <f>IMAGE("https://gymvisual.com/4097-catalog_default/cable-kickback-version-2.jpg",4,500,500)</f>
        <v/>
      </c>
      <c r="C930" s="30">
        <v>929.0</v>
      </c>
      <c r="D930" s="16" t="s">
        <v>1433</v>
      </c>
      <c r="E930" s="16" t="s">
        <v>184</v>
      </c>
      <c r="F930" s="16" t="s">
        <v>219</v>
      </c>
      <c r="G930" s="16" t="s">
        <v>215</v>
      </c>
      <c r="H930" s="16" t="s">
        <v>223</v>
      </c>
      <c r="I930" s="16" t="s">
        <v>220</v>
      </c>
    </row>
    <row r="931" ht="242.25" customHeight="1">
      <c r="A931" s="32" t="b">
        <v>0</v>
      </c>
      <c r="B931" s="32" t="str">
        <f>IMAGE("https://gymvisual.com/25212-catalog_default/cable-kneeling-crunch.jpg",4,500,500)</f>
        <v/>
      </c>
      <c r="C931" s="30">
        <v>930.0</v>
      </c>
      <c r="D931" s="16" t="s">
        <v>1279</v>
      </c>
      <c r="E931" s="16" t="s">
        <v>184</v>
      </c>
      <c r="F931" s="16" t="s">
        <v>254</v>
      </c>
      <c r="G931" s="16" t="s">
        <v>215</v>
      </c>
      <c r="H931" s="16" t="s">
        <v>256</v>
      </c>
      <c r="I931" s="16" t="s">
        <v>257</v>
      </c>
    </row>
    <row r="932" ht="242.25" customHeight="1">
      <c r="A932" s="32" t="b">
        <v>0</v>
      </c>
      <c r="B932" s="32" t="str">
        <f>IMAGE("https://gymvisual.com/10258-catalog_default/cable-kneeling-crunch-female.jpg",4,500,500)</f>
        <v/>
      </c>
      <c r="C932" s="30">
        <v>931.0</v>
      </c>
      <c r="D932" s="16" t="s">
        <v>1434</v>
      </c>
      <c r="E932" s="16" t="s">
        <v>184</v>
      </c>
      <c r="F932" s="16" t="s">
        <v>254</v>
      </c>
      <c r="G932" s="16" t="s">
        <v>215</v>
      </c>
      <c r="H932" s="16" t="s">
        <v>256</v>
      </c>
      <c r="I932" s="16" t="s">
        <v>257</v>
      </c>
    </row>
    <row r="933" ht="242.25" customHeight="1">
      <c r="A933" s="32" t="b">
        <v>0</v>
      </c>
      <c r="B933" s="32" t="str">
        <f>IMAGE("https://gymvisual.com/25210-catalog_default/cable-kneeling-crunch-version-2.jpg",4,500,500)</f>
        <v/>
      </c>
      <c r="C933" s="30">
        <v>932.0</v>
      </c>
      <c r="D933" s="16" t="s">
        <v>1435</v>
      </c>
      <c r="E933" s="16" t="s">
        <v>184</v>
      </c>
      <c r="F933" s="16" t="s">
        <v>254</v>
      </c>
      <c r="G933" s="16" t="s">
        <v>215</v>
      </c>
      <c r="H933" s="16" t="s">
        <v>305</v>
      </c>
      <c r="I933" s="16" t="s">
        <v>257</v>
      </c>
    </row>
    <row r="934" ht="242.25" customHeight="1">
      <c r="A934" s="32" t="b">
        <v>0</v>
      </c>
      <c r="B934" s="32" t="str">
        <f>IMAGE("https://gymvisual.com/24338-catalog_default/cable-kneeling-leaning-forward-one-arm-row.jpg",4,500,500)</f>
        <v/>
      </c>
      <c r="C934" s="30">
        <v>933.0</v>
      </c>
      <c r="D934" s="16" t="s">
        <v>1436</v>
      </c>
      <c r="E934" s="16" t="s">
        <v>184</v>
      </c>
      <c r="F934" s="16" t="s">
        <v>192</v>
      </c>
      <c r="G934" s="16" t="s">
        <v>215</v>
      </c>
      <c r="H934" s="16" t="s">
        <v>220</v>
      </c>
      <c r="I934" s="16" t="s">
        <v>220</v>
      </c>
    </row>
    <row r="935" ht="242.25" customHeight="1">
      <c r="A935" s="32" t="b">
        <v>0</v>
      </c>
      <c r="B935" s="32" t="str">
        <f>IMAGE("https://gymvisual.com/20027-catalog_default/cable-kneeling-one-arm-lat-pulldown.jpg",4,500,500)</f>
        <v/>
      </c>
      <c r="C935" s="30">
        <v>934.0</v>
      </c>
      <c r="D935" s="16" t="s">
        <v>1437</v>
      </c>
      <c r="E935" s="16" t="s">
        <v>184</v>
      </c>
      <c r="F935" s="16" t="s">
        <v>192</v>
      </c>
      <c r="G935" s="16" t="s">
        <v>215</v>
      </c>
      <c r="H935" s="16" t="s">
        <v>300</v>
      </c>
      <c r="I935" s="16" t="s">
        <v>535</v>
      </c>
    </row>
    <row r="936" ht="242.25" customHeight="1">
      <c r="A936" s="32" t="b">
        <v>0</v>
      </c>
      <c r="B936" s="32" t="str">
        <f>IMAGE("https://gymvisual.com/23044-catalog_default/cable-kneeling-one-arm-row.jpg",4,500,500)</f>
        <v/>
      </c>
      <c r="C936" s="30">
        <v>935.0</v>
      </c>
      <c r="D936" s="16" t="s">
        <v>1438</v>
      </c>
      <c r="E936" s="16" t="s">
        <v>184</v>
      </c>
      <c r="F936" s="16" t="s">
        <v>192</v>
      </c>
      <c r="G936" s="16" t="s">
        <v>215</v>
      </c>
      <c r="H936" s="16" t="s">
        <v>220</v>
      </c>
      <c r="I936" s="16" t="s">
        <v>220</v>
      </c>
    </row>
    <row r="937" ht="242.25" customHeight="1">
      <c r="A937" s="32" t="b">
        <v>0</v>
      </c>
      <c r="B937" s="32" t="str">
        <f>IMAGE("https://gymvisual.com/20590-catalog_default/cable-kneeling-preacher-curl-male.jpg",4,500,500)</f>
        <v/>
      </c>
      <c r="C937" s="30">
        <v>936.0</v>
      </c>
      <c r="D937" s="16" t="s">
        <v>1439</v>
      </c>
      <c r="E937" s="16" t="s">
        <v>184</v>
      </c>
      <c r="F937" s="16" t="s">
        <v>219</v>
      </c>
      <c r="G937" s="16" t="s">
        <v>215</v>
      </c>
      <c r="H937" s="16" t="s">
        <v>241</v>
      </c>
      <c r="I937" s="16" t="s">
        <v>292</v>
      </c>
    </row>
    <row r="938" ht="242.25" customHeight="1">
      <c r="A938" s="32" t="b">
        <v>0</v>
      </c>
      <c r="B938" s="32" t="str">
        <f>IMAGE("https://gymvisual.com/13655-catalog_default/cable-kneeling-pull-through.jpg",4,500,500)</f>
        <v/>
      </c>
      <c r="C938" s="30">
        <v>937.0</v>
      </c>
      <c r="D938" s="16" t="s">
        <v>1440</v>
      </c>
      <c r="E938" s="16" t="s">
        <v>184</v>
      </c>
      <c r="F938" s="16" t="s">
        <v>185</v>
      </c>
      <c r="G938" s="16" t="s">
        <v>215</v>
      </c>
      <c r="H938" s="16" t="s">
        <v>187</v>
      </c>
      <c r="I938" s="16" t="s">
        <v>188</v>
      </c>
    </row>
    <row r="939" ht="242.25" customHeight="1">
      <c r="A939" s="32" t="b">
        <v>0</v>
      </c>
      <c r="B939" s="32" t="str">
        <f>IMAGE("https://gymvisual.com/14695-catalog_default/cable-kneeling-rear-delt-row-with-rope-male.jpg",4,500,500)</f>
        <v/>
      </c>
      <c r="C939" s="30">
        <v>938.0</v>
      </c>
      <c r="D939" s="16" t="s">
        <v>1441</v>
      </c>
      <c r="E939" s="16" t="s">
        <v>184</v>
      </c>
      <c r="F939" s="16" t="s">
        <v>228</v>
      </c>
      <c r="G939" s="16" t="s">
        <v>215</v>
      </c>
      <c r="H939" s="16" t="s">
        <v>408</v>
      </c>
      <c r="I939" s="16" t="s">
        <v>490</v>
      </c>
    </row>
    <row r="940" ht="242.25" customHeight="1">
      <c r="A940" s="32" t="b">
        <v>0</v>
      </c>
      <c r="B940" s="32" t="str">
        <f>IMAGE("https://gymvisual.com/25669-catalog_default/cable-kneeling-shoulder-90-degrees-external-rotation-press.jpg",4,500,500)</f>
        <v/>
      </c>
      <c r="C940" s="30">
        <v>939.0</v>
      </c>
      <c r="D940" s="16" t="s">
        <v>1442</v>
      </c>
      <c r="E940" s="16" t="s">
        <v>184</v>
      </c>
      <c r="F940" s="16" t="s">
        <v>192</v>
      </c>
      <c r="G940" s="16" t="s">
        <v>215</v>
      </c>
      <c r="H940" s="16" t="s">
        <v>220</v>
      </c>
      <c r="I940" s="16" t="s">
        <v>220</v>
      </c>
    </row>
    <row r="941" ht="242.25" customHeight="1">
      <c r="A941" s="32" t="b">
        <v>0</v>
      </c>
      <c r="B941" s="32" t="str">
        <f>IMAGE("https://gymvisual.com/17452-catalog_default/cable-kneeling-shoulder-press.jpg",4,500,500)</f>
        <v/>
      </c>
      <c r="C941" s="30">
        <v>940.0</v>
      </c>
      <c r="D941" s="16" t="s">
        <v>1443</v>
      </c>
      <c r="E941" s="16" t="s">
        <v>184</v>
      </c>
      <c r="F941" s="16" t="s">
        <v>228</v>
      </c>
      <c r="G941" s="16" t="s">
        <v>215</v>
      </c>
      <c r="H941" s="16" t="s">
        <v>243</v>
      </c>
      <c r="I941" s="16" t="s">
        <v>1444</v>
      </c>
    </row>
    <row r="942" ht="242.25" customHeight="1">
      <c r="A942" s="32" t="b">
        <v>0</v>
      </c>
      <c r="B942" s="32" t="str">
        <f>IMAGE("https://gymvisual.com/24768-catalog_default/cable-kneeling-single-lat-pulldown.jpg",4,500,500)</f>
        <v/>
      </c>
      <c r="C942" s="30">
        <v>941.0</v>
      </c>
      <c r="D942" s="16" t="s">
        <v>1445</v>
      </c>
      <c r="E942" s="16" t="s">
        <v>184</v>
      </c>
      <c r="F942" s="16" t="s">
        <v>192</v>
      </c>
      <c r="G942" s="16" t="s">
        <v>215</v>
      </c>
      <c r="H942" s="16" t="s">
        <v>220</v>
      </c>
      <c r="I942" s="16" t="s">
        <v>220</v>
      </c>
    </row>
    <row r="943" ht="242.25" customHeight="1">
      <c r="A943" s="32" t="b">
        <v>0</v>
      </c>
      <c r="B943" s="32" t="str">
        <f>IMAGE("https://gymvisual.com/550-catalog_default/cable-kneeling-triceps-extension.jpg",4,500,500)</f>
        <v/>
      </c>
      <c r="C943" s="30">
        <v>942.0</v>
      </c>
      <c r="D943" s="16" t="s">
        <v>1446</v>
      </c>
      <c r="E943" s="16" t="s">
        <v>184</v>
      </c>
      <c r="F943" s="16" t="s">
        <v>219</v>
      </c>
      <c r="G943" s="16" t="s">
        <v>215</v>
      </c>
      <c r="H943" s="16" t="s">
        <v>223</v>
      </c>
      <c r="I943" s="16" t="s">
        <v>220</v>
      </c>
    </row>
    <row r="944" ht="242.25" customHeight="1">
      <c r="A944" s="32" t="b">
        <v>0</v>
      </c>
      <c r="B944" s="32" t="str">
        <f>IMAGE("https://gymvisual.com/7711-catalog_default/cable-kneeling-triceps-extension-version-2.jpg",4,500,500)</f>
        <v/>
      </c>
      <c r="C944" s="30">
        <v>943.0</v>
      </c>
      <c r="D944" s="16" t="s">
        <v>1447</v>
      </c>
      <c r="E944" s="16" t="s">
        <v>184</v>
      </c>
      <c r="F944" s="16" t="s">
        <v>219</v>
      </c>
      <c r="G944" s="16" t="s">
        <v>215</v>
      </c>
      <c r="H944" s="16" t="s">
        <v>223</v>
      </c>
      <c r="I944" s="16" t="s">
        <v>220</v>
      </c>
    </row>
    <row r="945" ht="242.25" customHeight="1">
      <c r="A945" s="32" t="b">
        <v>0</v>
      </c>
      <c r="B945" s="32" t="str">
        <f>IMAGE("https://gymvisual.com/10037-catalog_default/cable-lat-pulldown-full-range-of-motion.jpg",4,500,500)</f>
        <v/>
      </c>
      <c r="C945" s="30">
        <v>944.0</v>
      </c>
      <c r="D945" s="16" t="s">
        <v>1448</v>
      </c>
      <c r="E945" s="16" t="s">
        <v>184</v>
      </c>
      <c r="F945" s="16" t="s">
        <v>192</v>
      </c>
      <c r="G945" s="16" t="s">
        <v>215</v>
      </c>
      <c r="H945" s="16" t="s">
        <v>300</v>
      </c>
      <c r="I945" s="16" t="s">
        <v>1449</v>
      </c>
    </row>
    <row r="946" ht="242.25" customHeight="1">
      <c r="A946" s="32" t="b">
        <v>0</v>
      </c>
      <c r="B946" s="32" t="str">
        <f>IMAGE("https://gymvisual.com/13653-catalog_default/cable-lateral-lunge.jpg",4,500,500)</f>
        <v/>
      </c>
      <c r="C946" s="30">
        <v>945.0</v>
      </c>
      <c r="D946" s="16" t="s">
        <v>1450</v>
      </c>
      <c r="E946" s="16" t="s">
        <v>184</v>
      </c>
      <c r="F946" s="16" t="s">
        <v>285</v>
      </c>
      <c r="G946" s="16" t="s">
        <v>215</v>
      </c>
      <c r="H946" s="16" t="s">
        <v>295</v>
      </c>
      <c r="I946" s="16" t="s">
        <v>220</v>
      </c>
    </row>
    <row r="947" ht="242.25" customHeight="1">
      <c r="A947" s="32" t="b">
        <v>0</v>
      </c>
      <c r="B947" s="32" t="str">
        <f>IMAGE("https://gymvisual.com/13660-catalog_default/cable-lateral-lunge-version-2.jpg",4,500,500)</f>
        <v/>
      </c>
      <c r="C947" s="30">
        <v>946.0</v>
      </c>
      <c r="D947" s="16" t="s">
        <v>1451</v>
      </c>
      <c r="E947" s="16" t="s">
        <v>184</v>
      </c>
      <c r="F947" s="16" t="s">
        <v>285</v>
      </c>
      <c r="G947" s="16" t="s">
        <v>215</v>
      </c>
      <c r="H947" s="16" t="s">
        <v>295</v>
      </c>
      <c r="I947" s="16" t="s">
        <v>220</v>
      </c>
    </row>
    <row r="948" ht="242.25" customHeight="1">
      <c r="A948" s="32" t="b">
        <v>0</v>
      </c>
      <c r="B948" s="32" t="str">
        <f>IMAGE("https://gymvisual.com/553-catalog_default/cable-lateral-pulldown-with-rope-attachment.jpg",4,500,500)</f>
        <v/>
      </c>
      <c r="C948" s="30">
        <v>947.0</v>
      </c>
      <c r="D948" s="16" t="s">
        <v>1452</v>
      </c>
      <c r="E948" s="16" t="s">
        <v>184</v>
      </c>
      <c r="F948" s="16" t="s">
        <v>192</v>
      </c>
      <c r="G948" s="16" t="s">
        <v>215</v>
      </c>
      <c r="H948" s="16" t="s">
        <v>300</v>
      </c>
      <c r="I948" s="16" t="s">
        <v>1357</v>
      </c>
    </row>
    <row r="949" ht="242.25" customHeight="1">
      <c r="A949" s="32" t="b">
        <v>0</v>
      </c>
      <c r="B949" s="32" t="str">
        <f>IMAGE("https://gymvisual.com/10798-catalog_default/cable-lateral-pulldown-with-v-bar.jpg",4,500,500)</f>
        <v/>
      </c>
      <c r="C949" s="30">
        <v>948.0</v>
      </c>
      <c r="D949" s="16" t="s">
        <v>1453</v>
      </c>
      <c r="E949" s="16" t="s">
        <v>184</v>
      </c>
      <c r="F949" s="16" t="s">
        <v>192</v>
      </c>
      <c r="G949" s="16" t="s">
        <v>215</v>
      </c>
      <c r="H949" s="16" t="s">
        <v>300</v>
      </c>
      <c r="I949" s="16" t="s">
        <v>1357</v>
      </c>
    </row>
    <row r="950" ht="242.25" customHeight="1">
      <c r="A950" s="32" t="b">
        <v>0</v>
      </c>
      <c r="B950" s="32" t="str">
        <f>IMAGE("https://gymvisual.com/556-catalog_default/cable-lateral-raise.jpg",4,500,500)</f>
        <v/>
      </c>
      <c r="C950" s="30">
        <v>949.0</v>
      </c>
      <c r="D950" s="16" t="s">
        <v>54</v>
      </c>
      <c r="E950" s="16" t="s">
        <v>184</v>
      </c>
      <c r="F950" s="16" t="s">
        <v>228</v>
      </c>
      <c r="G950" s="16" t="s">
        <v>215</v>
      </c>
      <c r="H950" s="16" t="s">
        <v>544</v>
      </c>
      <c r="I950" s="16" t="s">
        <v>545</v>
      </c>
    </row>
    <row r="951" ht="242.25" customHeight="1">
      <c r="A951" s="32" t="b">
        <v>0</v>
      </c>
      <c r="B951" s="32" t="str">
        <f>IMAGE("https://gymvisual.com/13377-catalog_default/cable-lateral-raise-female.jpg",4,500,500)</f>
        <v/>
      </c>
      <c r="C951" s="30">
        <v>950.0</v>
      </c>
      <c r="D951" s="16" t="s">
        <v>1454</v>
      </c>
      <c r="E951" s="16" t="s">
        <v>184</v>
      </c>
      <c r="F951" s="16" t="s">
        <v>228</v>
      </c>
      <c r="G951" s="16" t="s">
        <v>215</v>
      </c>
      <c r="H951" s="16" t="s">
        <v>544</v>
      </c>
      <c r="I951" s="16" t="s">
        <v>545</v>
      </c>
    </row>
    <row r="952" ht="242.25" customHeight="1">
      <c r="A952" s="32" t="b">
        <v>0</v>
      </c>
      <c r="B952" s="32" t="str">
        <f>IMAGE("https://gymvisual.com/17759-catalog_default/cable-leaning-lateral-raise.jpg",4,500,500)</f>
        <v/>
      </c>
      <c r="C952" s="30">
        <v>951.0</v>
      </c>
      <c r="D952" s="16" t="s">
        <v>1455</v>
      </c>
      <c r="E952" s="16" t="s">
        <v>184</v>
      </c>
      <c r="F952" s="16" t="s">
        <v>228</v>
      </c>
      <c r="G952" s="16" t="s">
        <v>215</v>
      </c>
      <c r="H952" s="16" t="s">
        <v>220</v>
      </c>
      <c r="I952" s="16" t="s">
        <v>220</v>
      </c>
    </row>
    <row r="953" ht="242.25" customHeight="1">
      <c r="A953" s="32" t="b">
        <v>0</v>
      </c>
      <c r="B953" s="32" t="str">
        <f>IMAGE("https://gymvisual.com/25655-catalog_default/cable-low-chest-press-male.jpg",4,500,500)</f>
        <v/>
      </c>
      <c r="C953" s="30">
        <v>952.0</v>
      </c>
      <c r="D953" s="16" t="s">
        <v>1456</v>
      </c>
      <c r="E953" s="16" t="s">
        <v>184</v>
      </c>
      <c r="F953" s="16" t="s">
        <v>234</v>
      </c>
      <c r="G953" s="16" t="s">
        <v>215</v>
      </c>
      <c r="H953" s="16" t="s">
        <v>220</v>
      </c>
      <c r="I953" s="16" t="s">
        <v>220</v>
      </c>
    </row>
    <row r="954" ht="242.25" customHeight="1">
      <c r="A954" s="32" t="b">
        <v>0</v>
      </c>
      <c r="B954" s="32" t="str">
        <f>IMAGE("https://gymvisual.com/19319-catalog_default/cable-low-fly.jpg",4,500,500)</f>
        <v/>
      </c>
      <c r="C954" s="30">
        <v>953.0</v>
      </c>
      <c r="D954" s="16" t="s">
        <v>1457</v>
      </c>
      <c r="E954" s="16" t="s">
        <v>184</v>
      </c>
      <c r="F954" s="16" t="s">
        <v>234</v>
      </c>
      <c r="G954" s="16" t="s">
        <v>215</v>
      </c>
      <c r="H954" s="16" t="s">
        <v>415</v>
      </c>
      <c r="I954" s="16" t="s">
        <v>236</v>
      </c>
    </row>
    <row r="955" ht="242.25" customHeight="1">
      <c r="A955" s="32" t="b">
        <v>0</v>
      </c>
      <c r="B955" s="32" t="str">
        <f>IMAGE("https://gymvisual.com/9670-catalog_default/cable-low-fly-female.jpg",4,500,500)</f>
        <v/>
      </c>
      <c r="C955" s="30">
        <v>954.0</v>
      </c>
      <c r="D955" s="16" t="s">
        <v>1458</v>
      </c>
      <c r="E955" s="16" t="s">
        <v>184</v>
      </c>
      <c r="F955" s="16" t="s">
        <v>234</v>
      </c>
      <c r="G955" s="16" t="s">
        <v>215</v>
      </c>
      <c r="H955" s="16" t="s">
        <v>347</v>
      </c>
      <c r="I955" s="16" t="s">
        <v>420</v>
      </c>
    </row>
    <row r="956" ht="242.25" customHeight="1">
      <c r="A956" s="32" t="b">
        <v>0</v>
      </c>
      <c r="B956" s="32" t="str">
        <f>IMAGE("https://gymvisual.com/19451-catalog_default/cable-low-row-with-rope-attachment.jpg",4,500,500)</f>
        <v/>
      </c>
      <c r="C956" s="30">
        <v>955.0</v>
      </c>
      <c r="D956" s="16" t="s">
        <v>1459</v>
      </c>
      <c r="E956" s="16" t="s">
        <v>184</v>
      </c>
      <c r="F956" s="16" t="s">
        <v>192</v>
      </c>
      <c r="G956" s="16" t="s">
        <v>215</v>
      </c>
      <c r="H956" s="16" t="s">
        <v>220</v>
      </c>
      <c r="I956" s="16" t="s">
        <v>220</v>
      </c>
    </row>
    <row r="957" ht="242.25" customHeight="1">
      <c r="A957" s="32" t="b">
        <v>0</v>
      </c>
      <c r="B957" s="32" t="str">
        <f>IMAGE("https://gymvisual.com/562-catalog_default/cable-low-seated-row.jpg",4,500,500)</f>
        <v/>
      </c>
      <c r="C957" s="30">
        <v>956.0</v>
      </c>
      <c r="D957" s="16" t="s">
        <v>1460</v>
      </c>
      <c r="E957" s="16" t="s">
        <v>184</v>
      </c>
      <c r="F957" s="16" t="s">
        <v>192</v>
      </c>
      <c r="G957" s="16" t="s">
        <v>215</v>
      </c>
      <c r="H957" s="16" t="s">
        <v>329</v>
      </c>
      <c r="I957" s="16" t="s">
        <v>457</v>
      </c>
    </row>
    <row r="958" ht="242.25" customHeight="1">
      <c r="A958" s="32" t="b">
        <v>0</v>
      </c>
      <c r="B958" s="32" t="str">
        <f>IMAGE("https://gymvisual.com/26458-catalog_default/cable-low-seated-row-female.jpg",4,500,500)</f>
        <v/>
      </c>
      <c r="C958" s="30">
        <v>957.0</v>
      </c>
      <c r="D958" s="16" t="s">
        <v>1461</v>
      </c>
      <c r="E958" s="16" t="s">
        <v>184</v>
      </c>
      <c r="F958" s="16" t="s">
        <v>192</v>
      </c>
      <c r="G958" s="16" t="s">
        <v>215</v>
      </c>
      <c r="H958" s="16" t="s">
        <v>329</v>
      </c>
      <c r="I958" s="16" t="s">
        <v>447</v>
      </c>
    </row>
    <row r="959" ht="242.25" customHeight="1">
      <c r="A959" s="32" t="b">
        <v>0</v>
      </c>
      <c r="B959" s="32" t="str">
        <f>IMAGE("https://gymvisual.com/13654-catalog_default/cable-lunge.jpg",4,500,500)</f>
        <v/>
      </c>
      <c r="C959" s="30">
        <v>958.0</v>
      </c>
      <c r="D959" s="16" t="s">
        <v>1462</v>
      </c>
      <c r="E959" s="16" t="s">
        <v>184</v>
      </c>
      <c r="F959" s="16" t="s">
        <v>285</v>
      </c>
      <c r="G959" s="16" t="s">
        <v>215</v>
      </c>
      <c r="H959" s="16" t="s">
        <v>189</v>
      </c>
      <c r="I959" s="16" t="s">
        <v>220</v>
      </c>
    </row>
    <row r="960" ht="242.25" customHeight="1">
      <c r="A960" s="32" t="b">
        <v>0</v>
      </c>
      <c r="B960" s="32" t="str">
        <f>IMAGE("https://gymvisual.com/20467-catalog_default/cable-lying-bicep-curl.jpg",4,500,500)</f>
        <v/>
      </c>
      <c r="C960" s="30">
        <v>959.0</v>
      </c>
      <c r="D960" s="16" t="s">
        <v>1463</v>
      </c>
      <c r="E960" s="16" t="s">
        <v>184</v>
      </c>
      <c r="F960" s="16" t="s">
        <v>219</v>
      </c>
      <c r="G960" s="16" t="s">
        <v>215</v>
      </c>
      <c r="H960" s="16" t="s">
        <v>241</v>
      </c>
      <c r="I960" s="16" t="s">
        <v>292</v>
      </c>
    </row>
    <row r="961" ht="242.25" customHeight="1">
      <c r="A961" s="32" t="b">
        <v>0</v>
      </c>
      <c r="B961" s="32" t="str">
        <f>IMAGE("https://gymvisual.com/13379-catalog_default/cable-lying-bicep-curl-female.jpg",4,500,500)</f>
        <v/>
      </c>
      <c r="C961" s="30">
        <v>960.0</v>
      </c>
      <c r="D961" s="16" t="s">
        <v>1464</v>
      </c>
      <c r="E961" s="16" t="s">
        <v>184</v>
      </c>
      <c r="F961" s="16" t="s">
        <v>219</v>
      </c>
      <c r="G961" s="16" t="s">
        <v>215</v>
      </c>
      <c r="H961" s="16" t="s">
        <v>220</v>
      </c>
      <c r="I961" s="16" t="s">
        <v>220</v>
      </c>
    </row>
    <row r="962" ht="242.25" customHeight="1">
      <c r="A962" s="32" t="b">
        <v>0</v>
      </c>
      <c r="B962" s="32" t="str">
        <f>IMAGE("https://gymvisual.com/10374-catalog_default/cable-lying-biceps-curl-version-2.jpg",4,500,500)</f>
        <v/>
      </c>
      <c r="C962" s="30">
        <v>961.0</v>
      </c>
      <c r="D962" s="16" t="s">
        <v>1465</v>
      </c>
      <c r="E962" s="16" t="s">
        <v>184</v>
      </c>
      <c r="F962" s="16" t="s">
        <v>219</v>
      </c>
      <c r="G962" s="16" t="s">
        <v>215</v>
      </c>
      <c r="H962" s="16" t="s">
        <v>241</v>
      </c>
      <c r="I962" s="16" t="s">
        <v>292</v>
      </c>
    </row>
    <row r="963" ht="242.25" customHeight="1">
      <c r="A963" s="32" t="b">
        <v>0</v>
      </c>
      <c r="B963" s="32" t="str">
        <f>IMAGE("https://gymvisual.com/13680-catalog_default/cable-lying-close-press.jpg",4,500,500)</f>
        <v/>
      </c>
      <c r="C963" s="30">
        <v>962.0</v>
      </c>
      <c r="D963" s="16" t="s">
        <v>1466</v>
      </c>
      <c r="E963" s="16" t="s">
        <v>184</v>
      </c>
      <c r="F963" s="16" t="s">
        <v>219</v>
      </c>
      <c r="G963" s="16" t="s">
        <v>215</v>
      </c>
      <c r="H963" s="16" t="s">
        <v>223</v>
      </c>
      <c r="I963" s="16" t="s">
        <v>472</v>
      </c>
    </row>
    <row r="964" ht="242.25" customHeight="1">
      <c r="A964" s="32" t="b">
        <v>0</v>
      </c>
      <c r="B964" s="32" t="str">
        <f>IMAGE("https://gymvisual.com/19321-catalog_default/cable-lying-close-grip-curl.jpg",4,500,500)</f>
        <v/>
      </c>
      <c r="C964" s="30">
        <v>963.0</v>
      </c>
      <c r="D964" s="16" t="s">
        <v>1467</v>
      </c>
      <c r="E964" s="16" t="s">
        <v>184</v>
      </c>
      <c r="F964" s="16" t="s">
        <v>219</v>
      </c>
      <c r="G964" s="16" t="s">
        <v>215</v>
      </c>
      <c r="H964" s="16" t="s">
        <v>241</v>
      </c>
      <c r="I964" s="16" t="s">
        <v>292</v>
      </c>
    </row>
    <row r="965" ht="242.25" customHeight="1">
      <c r="A965" s="32" t="b">
        <v>0</v>
      </c>
      <c r="B965" s="32" t="str">
        <f>IMAGE("https://gymvisual.com/568-catalog_default/cable-lying-close-grip-curl.jpg",4,500,500)</f>
        <v/>
      </c>
      <c r="C965" s="30">
        <v>964.0</v>
      </c>
      <c r="D965" s="16" t="s">
        <v>1467</v>
      </c>
      <c r="E965" s="16" t="s">
        <v>184</v>
      </c>
      <c r="F965" s="16" t="s">
        <v>219</v>
      </c>
      <c r="G965" s="16" t="s">
        <v>215</v>
      </c>
      <c r="H965" s="16" t="s">
        <v>241</v>
      </c>
      <c r="I965" s="16" t="s">
        <v>292</v>
      </c>
    </row>
    <row r="966" ht="242.25" customHeight="1">
      <c r="A966" s="32" t="b">
        <v>0</v>
      </c>
      <c r="B966" s="32" t="str">
        <f>IMAGE("https://gymvisual.com/17458-catalog_default/cable-lying-cross-lateral-raise.jpg",4,500,500)</f>
        <v/>
      </c>
      <c r="C966" s="30">
        <v>965.0</v>
      </c>
      <c r="D966" s="16" t="s">
        <v>1468</v>
      </c>
      <c r="E966" s="16" t="s">
        <v>184</v>
      </c>
      <c r="F966" s="16" t="s">
        <v>228</v>
      </c>
      <c r="G966" s="16" t="s">
        <v>215</v>
      </c>
      <c r="H966" s="16" t="s">
        <v>544</v>
      </c>
      <c r="I966" s="16" t="s">
        <v>545</v>
      </c>
    </row>
    <row r="967" ht="242.25" customHeight="1">
      <c r="A967" s="32" t="b">
        <v>0</v>
      </c>
      <c r="B967" s="32" t="str">
        <f>IMAGE("https://gymvisual.com/571-catalog_default/cable-lying-curl.jpg",4,500,500)</f>
        <v/>
      </c>
      <c r="C967" s="30">
        <v>966.0</v>
      </c>
      <c r="D967" s="16" t="s">
        <v>1469</v>
      </c>
      <c r="E967" s="16" t="s">
        <v>184</v>
      </c>
      <c r="F967" s="16" t="s">
        <v>219</v>
      </c>
      <c r="G967" s="16" t="s">
        <v>215</v>
      </c>
      <c r="H967" s="16" t="s">
        <v>241</v>
      </c>
      <c r="I967" s="16" t="s">
        <v>292</v>
      </c>
    </row>
    <row r="968" ht="242.25" customHeight="1">
      <c r="A968" s="32" t="b">
        <v>0</v>
      </c>
      <c r="B968" s="32" t="str">
        <f>IMAGE("https://gymvisual.com/6002-catalog_default/cable-lying-extension-pullover-with-rope-attachment.jpg",4,500,500)</f>
        <v/>
      </c>
      <c r="C968" s="30">
        <v>967.0</v>
      </c>
      <c r="D968" s="16" t="s">
        <v>1470</v>
      </c>
      <c r="E968" s="16" t="s">
        <v>184</v>
      </c>
      <c r="F968" s="16" t="s">
        <v>192</v>
      </c>
      <c r="G968" s="16" t="s">
        <v>215</v>
      </c>
      <c r="H968" s="16" t="s">
        <v>300</v>
      </c>
      <c r="I968" s="16" t="s">
        <v>781</v>
      </c>
    </row>
    <row r="969" ht="242.25" customHeight="1">
      <c r="A969" s="32" t="b">
        <v>0</v>
      </c>
      <c r="B969" s="32" t="str">
        <f>IMAGE("https://gymvisual.com/13381-catalog_default/cable-lying-extension-pullover-with-rope-attachment-female.jpg",4,500,500)</f>
        <v/>
      </c>
      <c r="C969" s="30">
        <v>968.0</v>
      </c>
      <c r="D969" s="16" t="s">
        <v>1471</v>
      </c>
      <c r="E969" s="16" t="s">
        <v>184</v>
      </c>
      <c r="F969" s="16" t="s">
        <v>192</v>
      </c>
      <c r="G969" s="16" t="s">
        <v>215</v>
      </c>
      <c r="H969" s="16" t="s">
        <v>220</v>
      </c>
      <c r="I969" s="16" t="s">
        <v>220</v>
      </c>
    </row>
    <row r="970" ht="242.25" customHeight="1">
      <c r="A970" s="32" t="b">
        <v>0</v>
      </c>
      <c r="B970" s="32" t="str">
        <f>IMAGE("https://gymvisual.com/577-catalog_default/cable-lying-fly.jpg",4,500,500)</f>
        <v/>
      </c>
      <c r="C970" s="30">
        <v>969.0</v>
      </c>
      <c r="D970" s="16" t="s">
        <v>1472</v>
      </c>
      <c r="E970" s="16" t="s">
        <v>184</v>
      </c>
      <c r="F970" s="16" t="s">
        <v>234</v>
      </c>
      <c r="G970" s="16" t="s">
        <v>215</v>
      </c>
      <c r="H970" s="16" t="s">
        <v>235</v>
      </c>
      <c r="I970" s="16" t="s">
        <v>236</v>
      </c>
    </row>
    <row r="971" ht="242.25" customHeight="1">
      <c r="A971" s="32" t="b">
        <v>0</v>
      </c>
      <c r="B971" s="32" t="str">
        <f>IMAGE("https://gymvisual.com/10519-catalog_default/cable-lying-fly-female.jpg",4,500,500)</f>
        <v/>
      </c>
      <c r="C971" s="30">
        <v>970.0</v>
      </c>
      <c r="D971" s="16" t="s">
        <v>1473</v>
      </c>
      <c r="E971" s="16" t="s">
        <v>184</v>
      </c>
      <c r="F971" s="16" t="s">
        <v>234</v>
      </c>
      <c r="G971" s="16" t="s">
        <v>215</v>
      </c>
      <c r="H971" s="16" t="s">
        <v>235</v>
      </c>
      <c r="I971" s="16" t="s">
        <v>236</v>
      </c>
    </row>
    <row r="972" ht="242.25" customHeight="1">
      <c r="A972" s="32" t="b">
        <v>0</v>
      </c>
      <c r="B972" s="32" t="str">
        <f>IMAGE("https://gymvisual.com/18087-catalog_default/cable-lying-front-raise.jpg",4,500,500)</f>
        <v/>
      </c>
      <c r="C972" s="30">
        <v>971.0</v>
      </c>
      <c r="D972" s="16" t="s">
        <v>1474</v>
      </c>
      <c r="E972" s="16" t="s">
        <v>184</v>
      </c>
      <c r="F972" s="16" t="s">
        <v>228</v>
      </c>
      <c r="G972" s="16" t="s">
        <v>215</v>
      </c>
      <c r="H972" s="16" t="s">
        <v>220</v>
      </c>
      <c r="I972" s="16" t="s">
        <v>220</v>
      </c>
    </row>
    <row r="973" ht="242.25" customHeight="1">
      <c r="A973" s="32" t="b">
        <v>0</v>
      </c>
      <c r="B973" s="32" t="str">
        <f>IMAGE("https://gymvisual.com/18081-catalog_default/cable-lying-pallof-press.jpg",4,500,500)</f>
        <v/>
      </c>
      <c r="C973" s="30">
        <v>972.0</v>
      </c>
      <c r="D973" s="16" t="s">
        <v>1475</v>
      </c>
      <c r="E973" s="16" t="s">
        <v>184</v>
      </c>
      <c r="F973" s="16" t="s">
        <v>254</v>
      </c>
      <c r="G973" s="16" t="s">
        <v>215</v>
      </c>
      <c r="H973" s="16" t="s">
        <v>220</v>
      </c>
      <c r="I973" s="16" t="s">
        <v>220</v>
      </c>
    </row>
    <row r="974" ht="242.25" customHeight="1">
      <c r="A974" s="32" t="b">
        <v>0</v>
      </c>
      <c r="B974" s="32" t="str">
        <f>IMAGE("https://gymvisual.com/18772-catalog_default/cable-lying-regular-grip-curl-female.jpg",4,500,500)</f>
        <v/>
      </c>
      <c r="C974" s="30">
        <v>973.0</v>
      </c>
      <c r="D974" s="16" t="s">
        <v>1476</v>
      </c>
      <c r="E974" s="16" t="s">
        <v>184</v>
      </c>
      <c r="F974" s="16" t="s">
        <v>219</v>
      </c>
      <c r="G974" s="16" t="s">
        <v>215</v>
      </c>
      <c r="H974" s="16" t="s">
        <v>220</v>
      </c>
      <c r="I974" s="16" t="s">
        <v>220</v>
      </c>
    </row>
    <row r="975" ht="242.25" customHeight="1">
      <c r="A975" s="32" t="b">
        <v>0</v>
      </c>
      <c r="B975" s="32" t="str">
        <f>IMAGE("https://gymvisual.com/18085-catalog_default/cable-lying-shrug.jpg",4,500,500)</f>
        <v/>
      </c>
      <c r="C975" s="30">
        <v>974.0</v>
      </c>
      <c r="D975" s="16" t="s">
        <v>1477</v>
      </c>
      <c r="E975" s="16" t="s">
        <v>184</v>
      </c>
      <c r="F975" s="16" t="s">
        <v>192</v>
      </c>
      <c r="G975" s="16" t="s">
        <v>215</v>
      </c>
      <c r="H975" s="16" t="s">
        <v>220</v>
      </c>
      <c r="I975" s="16" t="s">
        <v>220</v>
      </c>
    </row>
    <row r="976" ht="242.25" customHeight="1">
      <c r="A976" s="32" t="b">
        <v>0</v>
      </c>
      <c r="B976" s="32" t="str">
        <f>IMAGE("https://gymvisual.com/20463-catalog_default/cable-lying-triceps-extension.jpg",4,500,500)</f>
        <v/>
      </c>
      <c r="C976" s="30">
        <v>975.0</v>
      </c>
      <c r="D976" s="16" t="s">
        <v>1478</v>
      </c>
      <c r="E976" s="16" t="s">
        <v>184</v>
      </c>
      <c r="F976" s="16" t="s">
        <v>219</v>
      </c>
      <c r="G976" s="16" t="s">
        <v>215</v>
      </c>
      <c r="H976" s="16" t="s">
        <v>223</v>
      </c>
      <c r="I976" s="16" t="s">
        <v>220</v>
      </c>
    </row>
    <row r="977" ht="242.25" customHeight="1">
      <c r="A977" s="32" t="b">
        <v>0</v>
      </c>
      <c r="B977" s="32" t="str">
        <f>IMAGE("https://gymvisual.com/20481-catalog_default/cable-lying-triceps-extension-low.jpg",4,500,500)</f>
        <v/>
      </c>
      <c r="C977" s="30">
        <v>976.0</v>
      </c>
      <c r="D977" s="16" t="s">
        <v>1479</v>
      </c>
      <c r="E977" s="16" t="s">
        <v>184</v>
      </c>
      <c r="F977" s="16" t="s">
        <v>219</v>
      </c>
      <c r="G977" s="16" t="s">
        <v>215</v>
      </c>
      <c r="H977" s="16" t="s">
        <v>223</v>
      </c>
      <c r="I977" s="16" t="s">
        <v>220</v>
      </c>
    </row>
    <row r="978" ht="242.25" customHeight="1">
      <c r="A978" s="32" t="b">
        <v>0</v>
      </c>
      <c r="B978" s="32" t="str">
        <f>IMAGE("https://gymvisual.com/20537-catalog_default/cable-lying-triceps-extension-low-female.jpg",4,500,500)</f>
        <v/>
      </c>
      <c r="C978" s="30">
        <v>977.0</v>
      </c>
      <c r="D978" s="16" t="s">
        <v>1480</v>
      </c>
      <c r="E978" s="16" t="s">
        <v>184</v>
      </c>
      <c r="F978" s="16" t="s">
        <v>219</v>
      </c>
      <c r="G978" s="16" t="s">
        <v>215</v>
      </c>
      <c r="H978" s="16" t="s">
        <v>223</v>
      </c>
      <c r="I978" s="16" t="s">
        <v>220</v>
      </c>
    </row>
    <row r="979" ht="242.25" customHeight="1">
      <c r="A979" s="32" t="b">
        <v>0</v>
      </c>
      <c r="B979" s="32" t="str">
        <f>IMAGE("https://gymvisual.com/580-catalog_default/cable-lying-triceps-extension-version-2.jpg",4,500,500)</f>
        <v/>
      </c>
      <c r="C979" s="30">
        <v>978.0</v>
      </c>
      <c r="D979" s="16" t="s">
        <v>1481</v>
      </c>
      <c r="E979" s="16" t="s">
        <v>184</v>
      </c>
      <c r="F979" s="16" t="s">
        <v>219</v>
      </c>
      <c r="G979" s="16" t="s">
        <v>215</v>
      </c>
      <c r="H979" s="16" t="s">
        <v>223</v>
      </c>
      <c r="I979" s="16" t="s">
        <v>220</v>
      </c>
    </row>
    <row r="980" ht="242.25" customHeight="1">
      <c r="A980" s="32" t="b">
        <v>0</v>
      </c>
      <c r="B980" s="32" t="str">
        <f>IMAGE("https://gymvisual.com/18871-catalog_default/cable-lying-triceps-extension-with-rope.jpg",4,500,500)</f>
        <v/>
      </c>
      <c r="C980" s="30">
        <v>979.0</v>
      </c>
      <c r="D980" s="16" t="s">
        <v>1482</v>
      </c>
      <c r="E980" s="16" t="s">
        <v>184</v>
      </c>
      <c r="F980" s="16" t="s">
        <v>219</v>
      </c>
      <c r="G980" s="16" t="s">
        <v>215</v>
      </c>
      <c r="H980" s="16" t="s">
        <v>223</v>
      </c>
      <c r="I980" s="16" t="s">
        <v>220</v>
      </c>
    </row>
    <row r="981" ht="242.25" customHeight="1">
      <c r="A981" s="32" t="b">
        <v>0</v>
      </c>
      <c r="B981" s="32" t="str">
        <f>IMAGE("https://gymvisual.com/18083-catalog_default/cable-lying-upright-row.jpg",4,500,500)</f>
        <v/>
      </c>
      <c r="C981" s="30">
        <v>980.0</v>
      </c>
      <c r="D981" s="16" t="s">
        <v>1483</v>
      </c>
      <c r="E981" s="16" t="s">
        <v>184</v>
      </c>
      <c r="F981" s="16" t="s">
        <v>228</v>
      </c>
      <c r="G981" s="16" t="s">
        <v>215</v>
      </c>
      <c r="H981" s="16" t="s">
        <v>220</v>
      </c>
      <c r="I981" s="16" t="s">
        <v>220</v>
      </c>
    </row>
    <row r="982" ht="242.25" customHeight="1">
      <c r="A982" s="32" t="b">
        <v>0</v>
      </c>
      <c r="B982" s="32" t="str">
        <f>IMAGE("https://gymvisual.com/23849-catalog_default/cable-medius-kickback.jpg",4,500,500)</f>
        <v/>
      </c>
      <c r="C982" s="30">
        <v>981.0</v>
      </c>
      <c r="D982" s="16" t="s">
        <v>1484</v>
      </c>
      <c r="E982" s="16" t="s">
        <v>184</v>
      </c>
      <c r="F982" s="16" t="s">
        <v>185</v>
      </c>
      <c r="G982" s="16" t="s">
        <v>215</v>
      </c>
      <c r="H982" s="16" t="s">
        <v>220</v>
      </c>
      <c r="I982" s="16" t="s">
        <v>220</v>
      </c>
    </row>
    <row r="983" ht="242.25" customHeight="1">
      <c r="A983" s="32" t="b">
        <v>0</v>
      </c>
      <c r="B983" s="32" t="str">
        <f>IMAGE("https://gymvisual.com/19323-catalog_default/cable-middle-fly.jpg",4,500,500)</f>
        <v/>
      </c>
      <c r="C983" s="30">
        <v>982.0</v>
      </c>
      <c r="D983" s="16" t="s">
        <v>1485</v>
      </c>
      <c r="E983" s="16" t="s">
        <v>184</v>
      </c>
      <c r="F983" s="16" t="s">
        <v>234</v>
      </c>
      <c r="G983" s="16" t="s">
        <v>215</v>
      </c>
      <c r="H983" s="16" t="s">
        <v>347</v>
      </c>
      <c r="I983" s="16" t="s">
        <v>568</v>
      </c>
    </row>
    <row r="984" ht="242.25" customHeight="1">
      <c r="A984" s="32" t="b">
        <v>0</v>
      </c>
      <c r="B984" s="32" t="str">
        <f>IMAGE("https://gymvisual.com/10942-catalog_default/cable-middle-fly-female.jpg",4,500,500)</f>
        <v/>
      </c>
      <c r="C984" s="30">
        <v>983.0</v>
      </c>
      <c r="D984" s="16" t="s">
        <v>1486</v>
      </c>
      <c r="E984" s="16" t="s">
        <v>184</v>
      </c>
      <c r="F984" s="16" t="s">
        <v>234</v>
      </c>
      <c r="G984" s="16" t="s">
        <v>215</v>
      </c>
      <c r="H984" s="16" t="s">
        <v>220</v>
      </c>
      <c r="I984" s="16" t="s">
        <v>220</v>
      </c>
    </row>
    <row r="985" ht="242.25" customHeight="1">
      <c r="A985" s="32" t="b">
        <v>0</v>
      </c>
      <c r="B985" s="32" t="str">
        <f>IMAGE("https://gymvisual.com/11996-catalog_default/cable-narrow-chair-stand-up.jpg",4,500,500)</f>
        <v/>
      </c>
      <c r="C985" s="30">
        <v>984.0</v>
      </c>
      <c r="D985" s="16" t="s">
        <v>1487</v>
      </c>
      <c r="E985" s="16" t="s">
        <v>184</v>
      </c>
      <c r="F985" s="16" t="s">
        <v>185</v>
      </c>
      <c r="G985" s="16" t="s">
        <v>215</v>
      </c>
      <c r="H985" s="16" t="s">
        <v>189</v>
      </c>
      <c r="I985" s="16" t="s">
        <v>190</v>
      </c>
    </row>
    <row r="986" ht="242.25" customHeight="1">
      <c r="A986" s="32" t="b">
        <v>0</v>
      </c>
      <c r="B986" s="32" t="str">
        <f>IMAGE("https://gymvisual.com/22163-catalog_default/cable-neutral-grip-kickback.jpg",4,500,500)</f>
        <v/>
      </c>
      <c r="C986" s="30">
        <v>985.0</v>
      </c>
      <c r="D986" s="16" t="s">
        <v>1488</v>
      </c>
      <c r="E986" s="16" t="s">
        <v>184</v>
      </c>
      <c r="F986" s="16" t="s">
        <v>219</v>
      </c>
      <c r="G986" s="16" t="s">
        <v>215</v>
      </c>
      <c r="H986" s="16" t="s">
        <v>223</v>
      </c>
      <c r="I986" s="16" t="s">
        <v>220</v>
      </c>
    </row>
    <row r="987" ht="242.25" customHeight="1">
      <c r="A987" s="32" t="b">
        <v>0</v>
      </c>
      <c r="B987" s="32" t="str">
        <f>IMAGE("https://gymvisual.com/13656-catalog_default/cable-one-arm-bent-over-row.jpg",4,500,500)</f>
        <v/>
      </c>
      <c r="C987" s="30">
        <v>986.0</v>
      </c>
      <c r="D987" s="16" t="s">
        <v>1489</v>
      </c>
      <c r="E987" s="16" t="s">
        <v>184</v>
      </c>
      <c r="F987" s="16" t="s">
        <v>192</v>
      </c>
      <c r="G987" s="16" t="s">
        <v>215</v>
      </c>
      <c r="H987" s="16" t="s">
        <v>329</v>
      </c>
      <c r="I987" s="16" t="s">
        <v>457</v>
      </c>
    </row>
    <row r="988" ht="242.25" customHeight="1">
      <c r="A988" s="32" t="b">
        <v>0</v>
      </c>
      <c r="B988" s="32" t="str">
        <f>IMAGE("https://gymvisual.com/10781-catalog_default/cable-one-arm-biceps-curl-version-2.jpg",4,500,500)</f>
        <v/>
      </c>
      <c r="C988" s="30">
        <v>987.0</v>
      </c>
      <c r="D988" s="16" t="s">
        <v>1490</v>
      </c>
      <c r="E988" s="16" t="s">
        <v>184</v>
      </c>
      <c r="F988" s="16" t="s">
        <v>219</v>
      </c>
      <c r="G988" s="16" t="s">
        <v>215</v>
      </c>
      <c r="H988" s="16" t="s">
        <v>241</v>
      </c>
      <c r="I988" s="16" t="s">
        <v>292</v>
      </c>
    </row>
    <row r="989" ht="242.25" customHeight="1">
      <c r="A989" s="32" t="b">
        <v>0</v>
      </c>
      <c r="B989" s="32" t="str">
        <f>IMAGE("https://gymvisual.com/10784-catalog_default/cable-one-arm-biceps-curl-version-2-female.jpg",4,500,500)</f>
        <v/>
      </c>
      <c r="C989" s="30">
        <v>988.0</v>
      </c>
      <c r="D989" s="16" t="s">
        <v>1491</v>
      </c>
      <c r="E989" s="16" t="s">
        <v>184</v>
      </c>
      <c r="F989" s="16" t="s">
        <v>219</v>
      </c>
      <c r="G989" s="16" t="s">
        <v>215</v>
      </c>
      <c r="H989" s="16" t="s">
        <v>241</v>
      </c>
      <c r="I989" s="16" t="s">
        <v>292</v>
      </c>
    </row>
    <row r="990" ht="242.25" customHeight="1">
      <c r="A990" s="32" t="b">
        <v>0</v>
      </c>
      <c r="B990" s="32" t="str">
        <f>IMAGE("https://gymvisual.com/592-catalog_default/cable-one-arm-curl.jpg",4,500,500)</f>
        <v/>
      </c>
      <c r="C990" s="30">
        <v>989.0</v>
      </c>
      <c r="D990" s="16" t="s">
        <v>1492</v>
      </c>
      <c r="E990" s="16" t="s">
        <v>184</v>
      </c>
      <c r="F990" s="16" t="s">
        <v>219</v>
      </c>
      <c r="G990" s="16" t="s">
        <v>215</v>
      </c>
      <c r="H990" s="16" t="s">
        <v>241</v>
      </c>
      <c r="I990" s="16" t="s">
        <v>292</v>
      </c>
    </row>
    <row r="991" ht="242.25" customHeight="1">
      <c r="A991" s="32" t="b">
        <v>0</v>
      </c>
      <c r="B991" s="32" t="str">
        <f>IMAGE("https://gymvisual.com/11297-catalog_default/cable-one-arm-curl-female.jpg",4,500,500)</f>
        <v/>
      </c>
      <c r="C991" s="30">
        <v>990.0</v>
      </c>
      <c r="D991" s="16" t="s">
        <v>1493</v>
      </c>
      <c r="E991" s="16" t="s">
        <v>184</v>
      </c>
      <c r="F991" s="16" t="s">
        <v>219</v>
      </c>
      <c r="G991" s="16" t="s">
        <v>215</v>
      </c>
      <c r="H991" s="16" t="s">
        <v>241</v>
      </c>
      <c r="I991" s="16" t="s">
        <v>292</v>
      </c>
    </row>
    <row r="992" ht="242.25" customHeight="1">
      <c r="A992" s="32" t="b">
        <v>0</v>
      </c>
      <c r="B992" s="32" t="str">
        <f>IMAGE("https://gymvisual.com/5951-catalog_default/cable-one-arm-decline-chest-fly.jpg",4,500,500)</f>
        <v/>
      </c>
      <c r="C992" s="30">
        <v>991.0</v>
      </c>
      <c r="D992" s="16" t="s">
        <v>823</v>
      </c>
      <c r="E992" s="16" t="s">
        <v>184</v>
      </c>
      <c r="F992" s="16" t="s">
        <v>234</v>
      </c>
      <c r="G992" s="16" t="s">
        <v>215</v>
      </c>
      <c r="H992" s="16" t="s">
        <v>347</v>
      </c>
      <c r="I992" s="16" t="s">
        <v>420</v>
      </c>
    </row>
    <row r="993" ht="242.25" customHeight="1">
      <c r="A993" s="32" t="b">
        <v>0</v>
      </c>
      <c r="B993" s="32" t="str">
        <f>IMAGE("https://gymvisual.com/5952-catalog_default/cable-one-arm-fly-on-exercise-ball.jpg",4,500,500)</f>
        <v/>
      </c>
      <c r="C993" s="30">
        <v>992.0</v>
      </c>
      <c r="D993" s="16" t="s">
        <v>823</v>
      </c>
      <c r="E993" s="16" t="s">
        <v>184</v>
      </c>
      <c r="F993" s="16" t="s">
        <v>234</v>
      </c>
      <c r="G993" s="16" t="s">
        <v>215</v>
      </c>
      <c r="H993" s="16" t="s">
        <v>347</v>
      </c>
      <c r="I993" s="16" t="s">
        <v>420</v>
      </c>
    </row>
    <row r="994" ht="242.25" customHeight="1">
      <c r="A994" s="32" t="b">
        <v>0</v>
      </c>
      <c r="B994" s="32" t="str">
        <f>IMAGE("https://gymvisual.com/11564-catalog_default/cable-one-arm-front-raise-female.jpg",4,500,500)</f>
        <v/>
      </c>
      <c r="C994" s="30">
        <v>993.0</v>
      </c>
      <c r="D994" s="16" t="s">
        <v>1494</v>
      </c>
      <c r="E994" s="16" t="s">
        <v>184</v>
      </c>
      <c r="F994" s="16" t="s">
        <v>228</v>
      </c>
      <c r="G994" s="16" t="s">
        <v>215</v>
      </c>
      <c r="H994" s="16" t="s">
        <v>229</v>
      </c>
      <c r="I994" s="16" t="s">
        <v>244</v>
      </c>
    </row>
    <row r="995" ht="242.25" customHeight="1">
      <c r="A995" s="32" t="b">
        <v>0</v>
      </c>
      <c r="B995" s="32" t="str">
        <f>IMAGE("https://gymvisual.com/13658-catalog_default/cable-one-arm-high-pulley-overhead-tricep-extension.jpg",4,500,500)</f>
        <v/>
      </c>
      <c r="C995" s="30">
        <v>994.0</v>
      </c>
      <c r="D995" s="16" t="s">
        <v>1495</v>
      </c>
      <c r="E995" s="16" t="s">
        <v>184</v>
      </c>
      <c r="F995" s="16" t="s">
        <v>219</v>
      </c>
      <c r="G995" s="16" t="s">
        <v>215</v>
      </c>
      <c r="H995" s="16" t="s">
        <v>223</v>
      </c>
      <c r="I995" s="16" t="s">
        <v>220</v>
      </c>
    </row>
    <row r="996" ht="242.25" customHeight="1">
      <c r="A996" s="32" t="b">
        <v>0</v>
      </c>
      <c r="B996" s="32" t="str">
        <f>IMAGE("https://gymvisual.com/5953-catalog_default/cable-one-arm-incline-fly-on-exercise-ball.jpg",4,500,500)</f>
        <v/>
      </c>
      <c r="C996" s="30">
        <v>995.0</v>
      </c>
      <c r="D996" s="16" t="s">
        <v>823</v>
      </c>
      <c r="E996" s="16" t="s">
        <v>184</v>
      </c>
      <c r="F996" s="16" t="s">
        <v>234</v>
      </c>
      <c r="G996" s="16" t="s">
        <v>215</v>
      </c>
      <c r="H996" s="16" t="s">
        <v>415</v>
      </c>
      <c r="I996" s="16" t="s">
        <v>236</v>
      </c>
    </row>
    <row r="997" ht="242.25" customHeight="1">
      <c r="A997" s="32" t="b">
        <v>0</v>
      </c>
      <c r="B997" s="32" t="str">
        <f>IMAGE("https://gymvisual.com/5954-catalog_default/cable-one-arm-incline-press.jpg",4,500,500)</f>
        <v/>
      </c>
      <c r="C997" s="30">
        <v>996.0</v>
      </c>
      <c r="D997" s="16" t="s">
        <v>823</v>
      </c>
      <c r="E997" s="16" t="s">
        <v>184</v>
      </c>
      <c r="F997" s="16" t="s">
        <v>234</v>
      </c>
      <c r="G997" s="16" t="s">
        <v>215</v>
      </c>
      <c r="H997" s="16" t="s">
        <v>415</v>
      </c>
      <c r="I997" s="16" t="s">
        <v>243</v>
      </c>
    </row>
    <row r="998" ht="242.25" customHeight="1">
      <c r="A998" s="32" t="b">
        <v>0</v>
      </c>
      <c r="B998" s="32" t="str">
        <f>IMAGE("https://gymvisual.com/5955-catalog_default/cable-one-arm-incline-press-on-exercise-ball.jpg",4,500,500)</f>
        <v/>
      </c>
      <c r="C998" s="30">
        <v>997.0</v>
      </c>
      <c r="D998" s="16" t="s">
        <v>823</v>
      </c>
      <c r="E998" s="16" t="s">
        <v>184</v>
      </c>
      <c r="F998" s="16" t="s">
        <v>234</v>
      </c>
      <c r="G998" s="16" t="s">
        <v>215</v>
      </c>
      <c r="H998" s="16" t="s">
        <v>415</v>
      </c>
      <c r="I998" s="16" t="s">
        <v>243</v>
      </c>
    </row>
    <row r="999" ht="242.25" customHeight="1">
      <c r="A999" s="32" t="b">
        <v>0</v>
      </c>
      <c r="B999" s="32" t="str">
        <f>IMAGE("https://gymvisual.com/4571-catalog_default/cable-one-arm-inner-biceps-curl.jpg",4,500,500)</f>
        <v/>
      </c>
      <c r="C999" s="30">
        <v>998.0</v>
      </c>
      <c r="D999" s="16" t="s">
        <v>1496</v>
      </c>
      <c r="E999" s="16" t="s">
        <v>184</v>
      </c>
      <c r="F999" s="16" t="s">
        <v>219</v>
      </c>
      <c r="G999" s="16" t="s">
        <v>215</v>
      </c>
      <c r="H999" s="16" t="s">
        <v>232</v>
      </c>
      <c r="I999" s="16" t="s">
        <v>233</v>
      </c>
    </row>
    <row r="1000" ht="242.25" customHeight="1">
      <c r="A1000" s="32" t="b">
        <v>0</v>
      </c>
      <c r="B1000" s="32" t="str">
        <f>IMAGE("https://gymvisual.com/4572-catalog_default/cable-one-arm-lat-pulldown.jpg",4,500,500)</f>
        <v/>
      </c>
      <c r="C1000" s="30">
        <v>999.0</v>
      </c>
      <c r="D1000" s="16" t="s">
        <v>1497</v>
      </c>
      <c r="E1000" s="16" t="s">
        <v>184</v>
      </c>
      <c r="F1000" s="16" t="s">
        <v>192</v>
      </c>
      <c r="G1000" s="16" t="s">
        <v>215</v>
      </c>
      <c r="H1000" s="16" t="s">
        <v>300</v>
      </c>
      <c r="I1000" s="16" t="s">
        <v>1498</v>
      </c>
    </row>
    <row r="1001" ht="242.25" customHeight="1">
      <c r="A1001" s="32" t="b">
        <v>0</v>
      </c>
      <c r="B1001" s="32" t="str">
        <f>IMAGE("https://gymvisual.com/14256-catalog_default/cable-one-arm-lat-pulldown-female.jpg",4,500,500)</f>
        <v/>
      </c>
      <c r="C1001" s="30">
        <v>1000.0</v>
      </c>
      <c r="D1001" s="16" t="s">
        <v>1499</v>
      </c>
      <c r="E1001" s="16" t="s">
        <v>184</v>
      </c>
      <c r="F1001" s="16" t="s">
        <v>192</v>
      </c>
      <c r="G1001" s="16" t="s">
        <v>215</v>
      </c>
      <c r="H1001" s="16" t="s">
        <v>300</v>
      </c>
      <c r="I1001" s="16" t="s">
        <v>1500</v>
      </c>
    </row>
    <row r="1002" ht="242.25" customHeight="1">
      <c r="A1002" s="32" t="b">
        <v>0</v>
      </c>
      <c r="B1002" s="32" t="str">
        <f>IMAGE("https://gymvisual.com/11110-catalog_default/cable-one-arm-lateral-bent-over-female.jpg",4,500,500)</f>
        <v/>
      </c>
      <c r="C1002" s="30">
        <v>1001.0</v>
      </c>
      <c r="D1002" s="16" t="s">
        <v>1501</v>
      </c>
      <c r="E1002" s="16" t="s">
        <v>184</v>
      </c>
      <c r="F1002" s="16" t="s">
        <v>234</v>
      </c>
      <c r="G1002" s="16" t="s">
        <v>215</v>
      </c>
      <c r="H1002" s="16" t="s">
        <v>220</v>
      </c>
      <c r="I1002" s="16" t="s">
        <v>220</v>
      </c>
    </row>
    <row r="1003" ht="242.25" customHeight="1">
      <c r="A1003" s="32" t="b">
        <v>0</v>
      </c>
      <c r="B1003" s="32" t="str">
        <f>IMAGE("https://gymvisual.com/595-catalog_default/cable-one-arm-lateral-bent-over.jpg",4,500,500)</f>
        <v/>
      </c>
      <c r="C1003" s="30">
        <v>1002.0</v>
      </c>
      <c r="D1003" s="16" t="s">
        <v>1502</v>
      </c>
      <c r="E1003" s="16" t="s">
        <v>184</v>
      </c>
      <c r="F1003" s="16" t="s">
        <v>234</v>
      </c>
      <c r="G1003" s="16" t="s">
        <v>215</v>
      </c>
      <c r="H1003" s="16" t="s">
        <v>347</v>
      </c>
      <c r="I1003" s="16" t="s">
        <v>505</v>
      </c>
    </row>
    <row r="1004" ht="242.25" customHeight="1">
      <c r="A1004" s="32" t="b">
        <v>0</v>
      </c>
      <c r="B1004" s="32" t="str">
        <f>IMAGE("https://gymvisual.com/598-catalog_default/cable-one-arm-lateral-raise.jpg",4,500,500)</f>
        <v/>
      </c>
      <c r="C1004" s="30">
        <v>1003.0</v>
      </c>
      <c r="D1004" s="16" t="s">
        <v>1503</v>
      </c>
      <c r="E1004" s="16" t="s">
        <v>184</v>
      </c>
      <c r="F1004" s="16" t="s">
        <v>228</v>
      </c>
      <c r="G1004" s="16" t="s">
        <v>215</v>
      </c>
      <c r="H1004" s="16" t="s">
        <v>544</v>
      </c>
      <c r="I1004" s="16" t="s">
        <v>545</v>
      </c>
    </row>
    <row r="1005" ht="242.25" customHeight="1">
      <c r="A1005" s="32" t="b">
        <v>0</v>
      </c>
      <c r="B1005" s="32" t="str">
        <f>IMAGE("https://gymvisual.com/9607-catalog_default/cable-one-arm-lateral-raise-female.jpg",4,500,500)</f>
        <v/>
      </c>
      <c r="C1005" s="30">
        <v>1004.0</v>
      </c>
      <c r="D1005" s="16" t="s">
        <v>1504</v>
      </c>
      <c r="E1005" s="16" t="s">
        <v>184</v>
      </c>
      <c r="F1005" s="16" t="s">
        <v>228</v>
      </c>
      <c r="G1005" s="16" t="s">
        <v>215</v>
      </c>
      <c r="H1005" s="16" t="s">
        <v>544</v>
      </c>
      <c r="I1005" s="16" t="s">
        <v>545</v>
      </c>
    </row>
    <row r="1006" ht="242.25" customHeight="1">
      <c r="A1006" s="32" t="b">
        <v>0</v>
      </c>
      <c r="B1006" s="32" t="str">
        <f>IMAGE("https://gymvisual.com/7107-catalog_default/cable-one-arm-preacher-curl.jpg",4,500,500)</f>
        <v/>
      </c>
      <c r="C1006" s="30">
        <v>1005.0</v>
      </c>
      <c r="D1006" s="16" t="s">
        <v>1505</v>
      </c>
      <c r="E1006" s="16" t="s">
        <v>184</v>
      </c>
      <c r="F1006" s="16" t="s">
        <v>219</v>
      </c>
      <c r="G1006" s="16" t="s">
        <v>215</v>
      </c>
      <c r="H1006" s="16" t="s">
        <v>220</v>
      </c>
      <c r="I1006" s="16" t="s">
        <v>220</v>
      </c>
    </row>
    <row r="1007" ht="242.25" customHeight="1">
      <c r="A1007" s="32" t="b">
        <v>0</v>
      </c>
      <c r="B1007" s="32" t="str">
        <f>IMAGE("https://gymvisual.com/5956-catalog_default/cable-one-arm-press-on-exercise-ball.jpg",4,500,500)</f>
        <v/>
      </c>
      <c r="C1007" s="30">
        <v>1006.0</v>
      </c>
      <c r="D1007" s="16" t="s">
        <v>823</v>
      </c>
      <c r="E1007" s="16" t="s">
        <v>184</v>
      </c>
      <c r="F1007" s="16" t="s">
        <v>234</v>
      </c>
      <c r="G1007" s="16" t="s">
        <v>215</v>
      </c>
      <c r="H1007" s="16" t="s">
        <v>347</v>
      </c>
      <c r="I1007" s="16" t="s">
        <v>382</v>
      </c>
    </row>
    <row r="1008" ht="242.25" customHeight="1">
      <c r="A1008" s="32" t="b">
        <v>0</v>
      </c>
      <c r="B1008" s="32" t="str">
        <f>IMAGE("https://gymvisual.com/14153-catalog_default/cable-one-arm-pulldown.jpg",4,500,500)</f>
        <v/>
      </c>
      <c r="C1008" s="30">
        <v>1007.0</v>
      </c>
      <c r="D1008" s="16" t="s">
        <v>1506</v>
      </c>
      <c r="E1008" s="16" t="s">
        <v>184</v>
      </c>
      <c r="F1008" s="16" t="s">
        <v>192</v>
      </c>
      <c r="G1008" s="16" t="s">
        <v>215</v>
      </c>
      <c r="H1008" s="16" t="s">
        <v>300</v>
      </c>
      <c r="I1008" s="16" t="s">
        <v>1507</v>
      </c>
    </row>
    <row r="1009" ht="242.25" customHeight="1">
      <c r="A1009" s="32" t="b">
        <v>0</v>
      </c>
      <c r="B1009" s="32" t="str">
        <f>IMAGE("https://gymvisual.com/17945-catalog_default/cable-one-arm-reverse-fly-male.jpg",4,500,500)</f>
        <v/>
      </c>
      <c r="C1009" s="30">
        <v>1008.0</v>
      </c>
      <c r="D1009" s="16" t="s">
        <v>1508</v>
      </c>
      <c r="E1009" s="16" t="s">
        <v>184</v>
      </c>
      <c r="F1009" s="16" t="s">
        <v>228</v>
      </c>
      <c r="G1009" s="16" t="s">
        <v>215</v>
      </c>
      <c r="H1009" s="16" t="s">
        <v>220</v>
      </c>
      <c r="I1009" s="16" t="s">
        <v>220</v>
      </c>
    </row>
    <row r="1010" ht="242.25" customHeight="1">
      <c r="A1010" s="32" t="b">
        <v>0</v>
      </c>
      <c r="B1010" s="32" t="str">
        <f>IMAGE("https://gymvisual.com/7109-catalog_default/cable-one-arm-reverse-preacher-curl.jpg",4,500,500)</f>
        <v/>
      </c>
      <c r="C1010" s="30">
        <v>1009.0</v>
      </c>
      <c r="D1010" s="16" t="s">
        <v>1509</v>
      </c>
      <c r="E1010" s="16" t="s">
        <v>184</v>
      </c>
      <c r="F1010" s="16" t="s">
        <v>219</v>
      </c>
      <c r="G1010" s="16" t="s">
        <v>215</v>
      </c>
      <c r="H1010" s="16" t="s">
        <v>220</v>
      </c>
      <c r="I1010" s="16" t="s">
        <v>220</v>
      </c>
    </row>
    <row r="1011" ht="242.25" customHeight="1">
      <c r="A1011" s="32" t="b">
        <v>0</v>
      </c>
      <c r="B1011" s="32" t="str">
        <f>IMAGE("https://gymvisual.com/6954-catalog_default/cable-one-arm-side-triceps-pushdown.jpg",4,500,500)</f>
        <v/>
      </c>
      <c r="C1011" s="30">
        <v>1010.0</v>
      </c>
      <c r="D1011" s="16" t="s">
        <v>1510</v>
      </c>
      <c r="E1011" s="16" t="s">
        <v>184</v>
      </c>
      <c r="F1011" s="16" t="s">
        <v>219</v>
      </c>
      <c r="G1011" s="16" t="s">
        <v>215</v>
      </c>
      <c r="H1011" s="16" t="s">
        <v>223</v>
      </c>
      <c r="I1011" s="16" t="s">
        <v>220</v>
      </c>
    </row>
    <row r="1012" ht="242.25" customHeight="1">
      <c r="A1012" s="32" t="b">
        <v>0</v>
      </c>
      <c r="B1012" s="32" t="str">
        <f>IMAGE("https://gymvisual.com/601-catalog_default/cable-one-arm-straight-back-high-row-kneeling.jpg",4,500,500)</f>
        <v/>
      </c>
      <c r="C1012" s="30">
        <v>1011.0</v>
      </c>
      <c r="D1012" s="16" t="s">
        <v>1511</v>
      </c>
      <c r="E1012" s="16" t="s">
        <v>184</v>
      </c>
      <c r="F1012" s="16" t="s">
        <v>192</v>
      </c>
      <c r="G1012" s="16" t="s">
        <v>215</v>
      </c>
      <c r="H1012" s="16" t="s">
        <v>329</v>
      </c>
      <c r="I1012" s="16" t="s">
        <v>457</v>
      </c>
    </row>
    <row r="1013" ht="242.25" customHeight="1">
      <c r="A1013" s="32" t="b">
        <v>0</v>
      </c>
      <c r="B1013" s="32" t="str">
        <f>IMAGE("https://gymvisual.com/7442-catalog_default/cable-one-arm-tricep-pushdown.jpg",4,500,500)</f>
        <v/>
      </c>
      <c r="C1013" s="30">
        <v>1012.0</v>
      </c>
      <c r="D1013" s="16" t="s">
        <v>1512</v>
      </c>
      <c r="E1013" s="16" t="s">
        <v>184</v>
      </c>
      <c r="F1013" s="16" t="s">
        <v>219</v>
      </c>
      <c r="G1013" s="16" t="s">
        <v>215</v>
      </c>
      <c r="H1013" s="16" t="s">
        <v>223</v>
      </c>
      <c r="I1013" s="16" t="s">
        <v>220</v>
      </c>
    </row>
    <row r="1014" ht="242.25" customHeight="1">
      <c r="A1014" s="32" t="b">
        <v>0</v>
      </c>
      <c r="B1014" s="32" t="str">
        <f>IMAGE("https://gymvisual.com/4573-catalog_default/cable-one-arm-twisting-seated-row.jpg",4,500,500)</f>
        <v/>
      </c>
      <c r="C1014" s="30">
        <v>1013.0</v>
      </c>
      <c r="D1014" s="16" t="s">
        <v>1513</v>
      </c>
      <c r="E1014" s="16" t="s">
        <v>184</v>
      </c>
      <c r="F1014" s="16" t="s">
        <v>192</v>
      </c>
      <c r="G1014" s="16" t="s">
        <v>215</v>
      </c>
      <c r="H1014" s="16" t="s">
        <v>329</v>
      </c>
      <c r="I1014" s="16" t="s">
        <v>1514</v>
      </c>
    </row>
    <row r="1015" ht="242.25" customHeight="1">
      <c r="A1015" s="32" t="b">
        <v>0</v>
      </c>
      <c r="B1015" s="32" t="str">
        <f>IMAGE("https://gymvisual.com/14258-catalog_default/cable-one-arm-twisting-seated-row-female.jpg",4,500,500)</f>
        <v/>
      </c>
      <c r="C1015" s="30">
        <v>1014.0</v>
      </c>
      <c r="D1015" s="16" t="s">
        <v>1515</v>
      </c>
      <c r="E1015" s="16" t="s">
        <v>184</v>
      </c>
      <c r="F1015" s="16" t="s">
        <v>192</v>
      </c>
      <c r="G1015" s="16" t="s">
        <v>215</v>
      </c>
      <c r="H1015" s="16" t="s">
        <v>300</v>
      </c>
      <c r="I1015" s="16" t="s">
        <v>1516</v>
      </c>
    </row>
    <row r="1016" ht="242.25" customHeight="1">
      <c r="A1016" s="32" t="b">
        <v>0</v>
      </c>
      <c r="B1016" s="32" t="str">
        <f>IMAGE("https://gymvisual.com/17587-catalog_default/cable-one-arm-wrist-curl.jpg",4,500,500)</f>
        <v/>
      </c>
      <c r="C1016" s="30">
        <v>1015.0</v>
      </c>
      <c r="D1016" s="16" t="s">
        <v>1517</v>
      </c>
      <c r="E1016" s="16" t="s">
        <v>184</v>
      </c>
      <c r="F1016" s="16" t="s">
        <v>214</v>
      </c>
      <c r="G1016" s="16" t="s">
        <v>215</v>
      </c>
      <c r="H1016" s="16" t="s">
        <v>720</v>
      </c>
      <c r="I1016" s="16" t="s">
        <v>220</v>
      </c>
    </row>
    <row r="1017" ht="242.25" customHeight="1">
      <c r="A1017" s="32" t="b">
        <v>0</v>
      </c>
      <c r="B1017" s="32" t="str">
        <f>IMAGE("https://gymvisual.com/7110-catalog_default/cable-overhead-curl.jpg",4,500,500)</f>
        <v/>
      </c>
      <c r="C1017" s="30">
        <v>1016.0</v>
      </c>
      <c r="D1017" s="16" t="s">
        <v>1518</v>
      </c>
      <c r="E1017" s="16" t="s">
        <v>184</v>
      </c>
      <c r="F1017" s="16" t="s">
        <v>219</v>
      </c>
      <c r="G1017" s="16" t="s">
        <v>215</v>
      </c>
      <c r="H1017" s="16" t="s">
        <v>241</v>
      </c>
      <c r="I1017" s="16" t="s">
        <v>292</v>
      </c>
    </row>
    <row r="1018" ht="242.25" customHeight="1">
      <c r="A1018" s="32" t="b">
        <v>0</v>
      </c>
      <c r="B1018" s="32" t="str">
        <f>IMAGE("https://gymvisual.com/7111-catalog_default/cable-overhead-curl-on-exercise-ball.jpg",4,500,500)</f>
        <v/>
      </c>
      <c r="C1018" s="30">
        <v>1017.0</v>
      </c>
      <c r="D1018" s="16" t="s">
        <v>1519</v>
      </c>
      <c r="E1018" s="16" t="s">
        <v>184</v>
      </c>
      <c r="F1018" s="16" t="s">
        <v>219</v>
      </c>
      <c r="G1018" s="16" t="s">
        <v>215</v>
      </c>
      <c r="H1018" s="16" t="s">
        <v>220</v>
      </c>
      <c r="I1018" s="16" t="s">
        <v>220</v>
      </c>
    </row>
    <row r="1019" ht="242.25" customHeight="1">
      <c r="A1019" s="32" t="b">
        <v>0</v>
      </c>
      <c r="B1019" s="32" t="str">
        <f>IMAGE("https://gymvisual.com/20054-catalog_default/cable-overhead-single-arm-triceps-extension-rope-attachment.jpg",4,500,500)</f>
        <v/>
      </c>
      <c r="C1019" s="30">
        <v>1018.0</v>
      </c>
      <c r="D1019" s="16" t="s">
        <v>1520</v>
      </c>
      <c r="E1019" s="16" t="s">
        <v>184</v>
      </c>
      <c r="F1019" s="16" t="s">
        <v>219</v>
      </c>
      <c r="G1019" s="16" t="s">
        <v>215</v>
      </c>
      <c r="H1019" s="16" t="s">
        <v>223</v>
      </c>
      <c r="I1019" s="16" t="s">
        <v>220</v>
      </c>
    </row>
    <row r="1020" ht="242.25" customHeight="1">
      <c r="A1020" s="32" t="b">
        <v>0</v>
      </c>
      <c r="B1020" s="32" t="str">
        <f>IMAGE("https://gymvisual.com/17931-catalog_default/cable-overhead-tricep-extension-straight-bar-male.jpg",4,500,500)</f>
        <v/>
      </c>
      <c r="C1020" s="30">
        <v>1019.0</v>
      </c>
      <c r="D1020" s="16" t="s">
        <v>1521</v>
      </c>
      <c r="E1020" s="16" t="s">
        <v>184</v>
      </c>
      <c r="F1020" s="16" t="s">
        <v>219</v>
      </c>
      <c r="G1020" s="16" t="s">
        <v>215</v>
      </c>
      <c r="H1020" s="16" t="s">
        <v>220</v>
      </c>
      <c r="I1020" s="16" t="s">
        <v>220</v>
      </c>
    </row>
    <row r="1021" ht="242.25" customHeight="1">
      <c r="A1021" s="32" t="b">
        <v>0</v>
      </c>
      <c r="B1021" s="32" t="str">
        <f>IMAGE("https://gymvisual.com/604-catalog_default/cable-overhead-triceps-extension-rope-attachment.jpg",4,500,500)</f>
        <v/>
      </c>
      <c r="C1021" s="30">
        <v>1020.0</v>
      </c>
      <c r="D1021" s="16" t="s">
        <v>225</v>
      </c>
      <c r="E1021" s="16" t="s">
        <v>184</v>
      </c>
      <c r="F1021" s="16" t="s">
        <v>219</v>
      </c>
      <c r="G1021" s="16" t="s">
        <v>215</v>
      </c>
      <c r="H1021" s="16" t="s">
        <v>223</v>
      </c>
      <c r="I1021" s="16" t="s">
        <v>220</v>
      </c>
    </row>
    <row r="1022" ht="242.25" customHeight="1">
      <c r="A1022" s="32" t="b">
        <v>0</v>
      </c>
      <c r="B1022" s="32" t="str">
        <f>IMAGE("https://gymvisual.com/9658-catalog_default/cable-overhead-triceps-extension-rope-attachment-female.jpg",4,500,500)</f>
        <v/>
      </c>
      <c r="C1022" s="30">
        <v>1021.0</v>
      </c>
      <c r="D1022" s="16" t="s">
        <v>1522</v>
      </c>
      <c r="E1022" s="16" t="s">
        <v>184</v>
      </c>
      <c r="F1022" s="16" t="s">
        <v>219</v>
      </c>
      <c r="G1022" s="16" t="s">
        <v>215</v>
      </c>
      <c r="H1022" s="16" t="s">
        <v>223</v>
      </c>
      <c r="I1022" s="16" t="s">
        <v>220</v>
      </c>
    </row>
    <row r="1023" ht="242.25" customHeight="1">
      <c r="A1023" s="32" t="b">
        <v>0</v>
      </c>
      <c r="B1023" s="32" t="str">
        <f>IMAGE("https://gymvisual.com/18029-catalog_default/cable-pallof-press-with-glute-bridge.jpg",4,500,500)</f>
        <v/>
      </c>
      <c r="C1023" s="30">
        <v>1022.0</v>
      </c>
      <c r="D1023" s="16" t="s">
        <v>224</v>
      </c>
      <c r="E1023" s="16" t="s">
        <v>184</v>
      </c>
      <c r="F1023" s="16" t="s">
        <v>254</v>
      </c>
      <c r="G1023" s="16" t="s">
        <v>215</v>
      </c>
      <c r="H1023" s="16" t="s">
        <v>220</v>
      </c>
      <c r="I1023" s="16" t="s">
        <v>220</v>
      </c>
    </row>
    <row r="1024" ht="242.25" customHeight="1">
      <c r="A1024" s="32" t="b">
        <v>0</v>
      </c>
      <c r="B1024" s="32" t="str">
        <f>IMAGE("https://gymvisual.com/6010-catalog_default/cable-palm-rotational-row.jpg",4,500,500)</f>
        <v/>
      </c>
      <c r="C1024" s="30">
        <v>1023.0</v>
      </c>
      <c r="D1024" s="16" t="s">
        <v>1523</v>
      </c>
      <c r="E1024" s="16" t="s">
        <v>184</v>
      </c>
      <c r="F1024" s="16" t="s">
        <v>192</v>
      </c>
      <c r="G1024" s="16" t="s">
        <v>215</v>
      </c>
      <c r="H1024" s="16" t="s">
        <v>329</v>
      </c>
      <c r="I1024" s="16" t="s">
        <v>457</v>
      </c>
    </row>
    <row r="1025" ht="242.25" customHeight="1">
      <c r="A1025" s="32" t="b">
        <v>0</v>
      </c>
      <c r="B1025" s="32" t="str">
        <f>IMAGE("https://gymvisual.com/13669-catalog_default/cable-parallel-grip-lat-pulldown-on-floor.jpg",4,500,500)</f>
        <v/>
      </c>
      <c r="C1025" s="30">
        <v>1024.0</v>
      </c>
      <c r="D1025" s="16" t="s">
        <v>1524</v>
      </c>
      <c r="E1025" s="16" t="s">
        <v>184</v>
      </c>
      <c r="F1025" s="16" t="s">
        <v>192</v>
      </c>
      <c r="G1025" s="16" t="s">
        <v>215</v>
      </c>
      <c r="H1025" s="16" t="s">
        <v>300</v>
      </c>
      <c r="I1025" s="16" t="s">
        <v>220</v>
      </c>
    </row>
    <row r="1026" ht="242.25" customHeight="1">
      <c r="A1026" s="32" t="b">
        <v>0</v>
      </c>
      <c r="B1026" s="32" t="str">
        <f>IMAGE("https://gymvisual.com/607-catalog_default/cable-preacher-curl.jpg",4,500,500)</f>
        <v/>
      </c>
      <c r="C1026" s="30">
        <v>1025.0</v>
      </c>
      <c r="D1026" s="16" t="s">
        <v>1525</v>
      </c>
      <c r="E1026" s="16" t="s">
        <v>184</v>
      </c>
      <c r="F1026" s="16" t="s">
        <v>219</v>
      </c>
      <c r="G1026" s="16" t="s">
        <v>215</v>
      </c>
      <c r="H1026" s="16" t="s">
        <v>232</v>
      </c>
      <c r="I1026" s="16" t="s">
        <v>233</v>
      </c>
    </row>
    <row r="1027" ht="242.25" customHeight="1">
      <c r="A1027" s="32" t="b">
        <v>0</v>
      </c>
      <c r="B1027" s="32" t="str">
        <f>IMAGE("https://gymvisual.com/5957-catalog_default/cable-press-on-exercise-ball.jpg",4,500,500)</f>
        <v/>
      </c>
      <c r="C1027" s="30">
        <v>1026.0</v>
      </c>
      <c r="D1027" s="16" t="s">
        <v>823</v>
      </c>
      <c r="E1027" s="16" t="s">
        <v>184</v>
      </c>
      <c r="F1027" s="16" t="s">
        <v>234</v>
      </c>
      <c r="G1027" s="16" t="s">
        <v>215</v>
      </c>
      <c r="H1027" s="16" t="s">
        <v>347</v>
      </c>
      <c r="I1027" s="16" t="s">
        <v>382</v>
      </c>
    </row>
    <row r="1028" ht="242.25" customHeight="1">
      <c r="A1028" s="32" t="b">
        <v>0</v>
      </c>
      <c r="B1028" s="32" t="str">
        <f>IMAGE("https://gymvisual.com/4574-catalog_default/cable-pull-through.jpg",4,500,500)</f>
        <v/>
      </c>
      <c r="C1028" s="30">
        <v>1027.0</v>
      </c>
      <c r="D1028" s="16" t="s">
        <v>226</v>
      </c>
      <c r="E1028" s="16" t="s">
        <v>184</v>
      </c>
      <c r="F1028" s="16" t="s">
        <v>185</v>
      </c>
      <c r="G1028" s="16" t="s">
        <v>215</v>
      </c>
      <c r="H1028" s="16" t="s">
        <v>187</v>
      </c>
      <c r="I1028" s="16" t="s">
        <v>227</v>
      </c>
    </row>
    <row r="1029" ht="242.25" customHeight="1">
      <c r="A1029" s="32" t="b">
        <v>0</v>
      </c>
      <c r="B1029" s="32" t="str">
        <f>IMAGE("https://gymvisual.com/2583-catalog_default/cable-pull-through-with-rope.jpg",4,500,500)</f>
        <v/>
      </c>
      <c r="C1029" s="30">
        <v>1028.0</v>
      </c>
      <c r="D1029" s="16" t="s">
        <v>1526</v>
      </c>
      <c r="E1029" s="16" t="s">
        <v>184</v>
      </c>
      <c r="F1029" s="16" t="s">
        <v>185</v>
      </c>
      <c r="G1029" s="16" t="s">
        <v>215</v>
      </c>
      <c r="H1029" s="16" t="s">
        <v>187</v>
      </c>
      <c r="I1029" s="16" t="s">
        <v>227</v>
      </c>
    </row>
    <row r="1030" ht="242.25" customHeight="1">
      <c r="A1030" s="32" t="b">
        <v>0</v>
      </c>
      <c r="B1030" s="32" t="str">
        <f>IMAGE("https://gymvisual.com/616-catalog_default/cable-pulldown.jpg",4,500,500)</f>
        <v/>
      </c>
      <c r="C1030" s="30">
        <v>1029.0</v>
      </c>
      <c r="D1030" s="16" t="s">
        <v>1527</v>
      </c>
      <c r="E1030" s="16" t="s">
        <v>184</v>
      </c>
      <c r="F1030" s="16" t="s">
        <v>192</v>
      </c>
      <c r="G1030" s="16" t="s">
        <v>215</v>
      </c>
      <c r="H1030" s="16" t="s">
        <v>300</v>
      </c>
      <c r="I1030" s="16" t="s">
        <v>387</v>
      </c>
    </row>
    <row r="1031" ht="242.25" customHeight="1">
      <c r="A1031" s="32" t="b">
        <v>0</v>
      </c>
      <c r="B1031" s="32" t="str">
        <f>IMAGE("https://gymvisual.com/9643-catalog_default/cable-pulldown-female.jpg",4,500,500)</f>
        <v/>
      </c>
      <c r="C1031" s="30">
        <v>1030.0</v>
      </c>
      <c r="D1031" s="16" t="s">
        <v>1528</v>
      </c>
      <c r="E1031" s="16" t="s">
        <v>184</v>
      </c>
      <c r="F1031" s="16" t="s">
        <v>192</v>
      </c>
      <c r="G1031" s="16" t="s">
        <v>215</v>
      </c>
      <c r="H1031" s="16" t="s">
        <v>220</v>
      </c>
      <c r="I1031" s="16" t="s">
        <v>220</v>
      </c>
    </row>
    <row r="1032" ht="242.25" customHeight="1">
      <c r="A1032" s="32" t="b">
        <v>0</v>
      </c>
      <c r="B1032" s="32" t="str">
        <f>IMAGE("https://gymvisual.com/7112-catalog_default/cable-pulldown-bicep-curl.jpg",4,500,500)</f>
        <v/>
      </c>
      <c r="C1032" s="30">
        <v>1031.0</v>
      </c>
      <c r="D1032" s="16" t="s">
        <v>1529</v>
      </c>
      <c r="E1032" s="16" t="s">
        <v>184</v>
      </c>
      <c r="F1032" s="16" t="s">
        <v>219</v>
      </c>
      <c r="G1032" s="16" t="s">
        <v>215</v>
      </c>
      <c r="H1032" s="16" t="s">
        <v>220</v>
      </c>
      <c r="I1032" s="16" t="s">
        <v>220</v>
      </c>
    </row>
    <row r="1033" ht="242.25" customHeight="1">
      <c r="A1033" s="32" t="b">
        <v>0</v>
      </c>
      <c r="B1033" s="32" t="str">
        <f>IMAGE("https://gymvisual.com/13383-catalog_default/cable-pulldown-bicep-curl-female.jpg",4,500,500)</f>
        <v/>
      </c>
      <c r="C1033" s="30">
        <v>1032.0</v>
      </c>
      <c r="D1033" s="16" t="s">
        <v>1530</v>
      </c>
      <c r="E1033" s="16" t="s">
        <v>184</v>
      </c>
      <c r="F1033" s="16" t="s">
        <v>219</v>
      </c>
      <c r="G1033" s="16" t="s">
        <v>215</v>
      </c>
      <c r="H1033" s="16" t="s">
        <v>220</v>
      </c>
      <c r="I1033" s="16" t="s">
        <v>220</v>
      </c>
    </row>
    <row r="1034" ht="242.25" customHeight="1">
      <c r="A1034" s="32" t="b">
        <v>0</v>
      </c>
      <c r="B1034" s="32" t="str">
        <f>IMAGE("https://gymvisual.com/625-catalog_default/cable-pushdown.jpg",4,500,500)</f>
        <v/>
      </c>
      <c r="C1034" s="30">
        <v>1033.0</v>
      </c>
      <c r="D1034" s="16" t="s">
        <v>1531</v>
      </c>
      <c r="E1034" s="16" t="s">
        <v>184</v>
      </c>
      <c r="F1034" s="16" t="s">
        <v>219</v>
      </c>
      <c r="G1034" s="16" t="s">
        <v>215</v>
      </c>
      <c r="H1034" s="16" t="s">
        <v>223</v>
      </c>
      <c r="I1034" s="16" t="s">
        <v>220</v>
      </c>
    </row>
    <row r="1035" ht="242.25" customHeight="1">
      <c r="A1035" s="32" t="b">
        <v>0</v>
      </c>
      <c r="B1035" s="32" t="str">
        <f>IMAGE("https://gymvisual.com/619-catalog_default/cable-pushdown-straight-arm-version-2.jpg",4,500,500)</f>
        <v/>
      </c>
      <c r="C1035" s="30">
        <v>1034.0</v>
      </c>
      <c r="D1035" s="16" t="s">
        <v>1532</v>
      </c>
      <c r="E1035" s="16" t="s">
        <v>184</v>
      </c>
      <c r="F1035" s="16" t="s">
        <v>192</v>
      </c>
      <c r="G1035" s="16" t="s">
        <v>215</v>
      </c>
      <c r="H1035" s="16" t="s">
        <v>300</v>
      </c>
      <c r="I1035" s="16" t="s">
        <v>1533</v>
      </c>
    </row>
    <row r="1036" ht="242.25" customHeight="1">
      <c r="A1036" s="32" t="b">
        <v>0</v>
      </c>
      <c r="B1036" s="32" t="str">
        <f>IMAGE("https://gymvisual.com/622-catalog_default/cable-pushdown-with-rope-attachment.jpg",4,500,500)</f>
        <v/>
      </c>
      <c r="C1036" s="30">
        <v>1035.0</v>
      </c>
      <c r="D1036" s="16" t="s">
        <v>1534</v>
      </c>
      <c r="E1036" s="16" t="s">
        <v>184</v>
      </c>
      <c r="F1036" s="16" t="s">
        <v>219</v>
      </c>
      <c r="G1036" s="16" t="s">
        <v>215</v>
      </c>
      <c r="H1036" s="16" t="s">
        <v>223</v>
      </c>
      <c r="I1036" s="16" t="s">
        <v>220</v>
      </c>
    </row>
    <row r="1037" ht="242.25" customHeight="1">
      <c r="A1037" s="32" t="b">
        <v>0</v>
      </c>
      <c r="B1037" s="32" t="str">
        <f>IMAGE("https://gymvisual.com/10939-catalog_default/cable-pushdown-with-rope-attachment-female.jpg",4,500,500)</f>
        <v/>
      </c>
      <c r="C1037" s="30">
        <v>1036.0</v>
      </c>
      <c r="D1037" s="16" t="s">
        <v>1535</v>
      </c>
      <c r="E1037" s="16" t="s">
        <v>184</v>
      </c>
      <c r="F1037" s="16" t="s">
        <v>219</v>
      </c>
      <c r="G1037" s="16" t="s">
        <v>215</v>
      </c>
      <c r="H1037" s="16" t="s">
        <v>223</v>
      </c>
      <c r="I1037" s="16" t="s">
        <v>220</v>
      </c>
    </row>
    <row r="1038" ht="242.25" customHeight="1">
      <c r="A1038" s="32" t="b">
        <v>0</v>
      </c>
      <c r="B1038" s="32" t="str">
        <f>IMAGE("https://gymvisual.com/17775-catalog_default/cable-rear-delt-row.jpg",4,500,500)</f>
        <v/>
      </c>
      <c r="C1038" s="30">
        <v>1037.0</v>
      </c>
      <c r="D1038" s="16" t="s">
        <v>1536</v>
      </c>
      <c r="E1038" s="16" t="s">
        <v>184</v>
      </c>
      <c r="F1038" s="16" t="s">
        <v>228</v>
      </c>
      <c r="G1038" s="16" t="s">
        <v>215</v>
      </c>
      <c r="H1038" s="16" t="s">
        <v>220</v>
      </c>
      <c r="I1038" s="16" t="s">
        <v>220</v>
      </c>
    </row>
    <row r="1039" ht="242.25" customHeight="1">
      <c r="A1039" s="32" t="b">
        <v>0</v>
      </c>
      <c r="B1039" s="32" t="str">
        <f>IMAGE("https://gymvisual.com/628-catalog_default/cable-rear-delt-row-stirrups.jpg",4,500,500)</f>
        <v/>
      </c>
      <c r="C1039" s="30">
        <v>1038.0</v>
      </c>
      <c r="D1039" s="16" t="s">
        <v>1537</v>
      </c>
      <c r="E1039" s="16" t="s">
        <v>184</v>
      </c>
      <c r="F1039" s="16" t="s">
        <v>228</v>
      </c>
      <c r="G1039" s="16" t="s">
        <v>215</v>
      </c>
      <c r="H1039" s="16" t="s">
        <v>408</v>
      </c>
      <c r="I1039" s="16" t="s">
        <v>490</v>
      </c>
    </row>
    <row r="1040" ht="242.25" customHeight="1">
      <c r="A1040" s="32" t="b">
        <v>0</v>
      </c>
      <c r="B1040" s="32" t="str">
        <f>IMAGE("https://gymvisual.com/13385-catalog_default/cable-rear-delt-row-stirrups-female.jpg",4,500,500)</f>
        <v/>
      </c>
      <c r="C1040" s="30">
        <v>1039.0</v>
      </c>
      <c r="D1040" s="16" t="s">
        <v>1538</v>
      </c>
      <c r="E1040" s="16" t="s">
        <v>184</v>
      </c>
      <c r="F1040" s="16" t="s">
        <v>228</v>
      </c>
      <c r="G1040" s="16" t="s">
        <v>215</v>
      </c>
      <c r="H1040" s="16" t="s">
        <v>220</v>
      </c>
      <c r="I1040" s="16" t="s">
        <v>220</v>
      </c>
    </row>
    <row r="1041" ht="242.25" customHeight="1">
      <c r="A1041" s="32" t="b">
        <v>0</v>
      </c>
      <c r="B1041" s="32" t="str">
        <f>IMAGE("https://gymvisual.com/631-catalog_default/cable-rear-delt-row-with-rope.jpg",4,500,500)</f>
        <v/>
      </c>
      <c r="C1041" s="30">
        <v>1040.0</v>
      </c>
      <c r="D1041" s="16" t="s">
        <v>1539</v>
      </c>
      <c r="E1041" s="16" t="s">
        <v>184</v>
      </c>
      <c r="F1041" s="16" t="s">
        <v>228</v>
      </c>
      <c r="G1041" s="16" t="s">
        <v>215</v>
      </c>
      <c r="H1041" s="16" t="s">
        <v>408</v>
      </c>
      <c r="I1041" s="16" t="s">
        <v>490</v>
      </c>
    </row>
    <row r="1042" ht="242.25" customHeight="1">
      <c r="A1042" s="32" t="b">
        <v>0</v>
      </c>
      <c r="B1042" s="32" t="str">
        <f>IMAGE("https://gymvisual.com/634-catalog_default/cable-rear-drive.jpg",4,500,500)</f>
        <v/>
      </c>
      <c r="C1042" s="30">
        <v>1041.0</v>
      </c>
      <c r="D1042" s="16" t="s">
        <v>1540</v>
      </c>
      <c r="E1042" s="16" t="s">
        <v>184</v>
      </c>
      <c r="F1042" s="16" t="s">
        <v>219</v>
      </c>
      <c r="G1042" s="16" t="s">
        <v>215</v>
      </c>
      <c r="H1042" s="16" t="s">
        <v>223</v>
      </c>
      <c r="I1042" s="16" t="s">
        <v>1541</v>
      </c>
    </row>
    <row r="1043" ht="242.25" customHeight="1">
      <c r="A1043" s="32" t="b">
        <v>0</v>
      </c>
      <c r="B1043" s="32" t="str">
        <f>IMAGE("https://gymvisual.com/13387-catalog_default/cable-rear-drive-female.jpg",4,500,500)</f>
        <v/>
      </c>
      <c r="C1043" s="30">
        <v>1042.0</v>
      </c>
      <c r="D1043" s="16" t="s">
        <v>1542</v>
      </c>
      <c r="E1043" s="16" t="s">
        <v>184</v>
      </c>
      <c r="F1043" s="16" t="s">
        <v>219</v>
      </c>
      <c r="G1043" s="16" t="s">
        <v>215</v>
      </c>
      <c r="H1043" s="16" t="s">
        <v>220</v>
      </c>
      <c r="I1043" s="16" t="s">
        <v>220</v>
      </c>
    </row>
    <row r="1044" ht="242.25" customHeight="1">
      <c r="A1044" s="32" t="b">
        <v>0</v>
      </c>
      <c r="B1044" s="32" t="str">
        <f>IMAGE("https://gymvisual.com/11998-catalog_default/cable-rear-lunge-from-stepbox.jpg",4,500,500)</f>
        <v/>
      </c>
      <c r="C1044" s="30">
        <v>1043.0</v>
      </c>
      <c r="D1044" s="16" t="s">
        <v>1543</v>
      </c>
      <c r="E1044" s="16" t="s">
        <v>184</v>
      </c>
      <c r="F1044" s="16" t="s">
        <v>285</v>
      </c>
      <c r="G1044" s="16" t="s">
        <v>215</v>
      </c>
      <c r="H1044" s="16" t="s">
        <v>220</v>
      </c>
      <c r="I1044" s="16" t="s">
        <v>220</v>
      </c>
    </row>
    <row r="1045" ht="242.25" customHeight="1">
      <c r="A1045" s="32" t="b">
        <v>0</v>
      </c>
      <c r="B1045" s="32" t="str">
        <f>IMAGE("https://gymvisual.com/637-catalog_default/cable-rear-pulldown.jpg",4,500,500)</f>
        <v/>
      </c>
      <c r="C1045" s="30">
        <v>1044.0</v>
      </c>
      <c r="D1045" s="16" t="s">
        <v>1544</v>
      </c>
      <c r="E1045" s="16" t="s">
        <v>184</v>
      </c>
      <c r="F1045" s="16" t="s">
        <v>192</v>
      </c>
      <c r="G1045" s="16" t="s">
        <v>215</v>
      </c>
      <c r="H1045" s="16" t="s">
        <v>300</v>
      </c>
      <c r="I1045" s="16" t="s">
        <v>1545</v>
      </c>
    </row>
    <row r="1046" ht="242.25" customHeight="1">
      <c r="A1046" s="32" t="b">
        <v>0</v>
      </c>
      <c r="B1046" s="32" t="str">
        <f>IMAGE("https://gymvisual.com/2657-catalog_default/cable-reverse-crunch.jpg",4,500,500)</f>
        <v/>
      </c>
      <c r="C1046" s="30">
        <v>1045.0</v>
      </c>
      <c r="D1046" s="16" t="s">
        <v>1546</v>
      </c>
      <c r="E1046" s="16" t="s">
        <v>184</v>
      </c>
      <c r="F1046" s="16" t="s">
        <v>254</v>
      </c>
      <c r="G1046" s="16" t="s">
        <v>215</v>
      </c>
      <c r="H1046" s="16" t="s">
        <v>256</v>
      </c>
      <c r="I1046" s="16" t="s">
        <v>257</v>
      </c>
    </row>
    <row r="1047" ht="242.25" customHeight="1">
      <c r="A1047" s="32" t="b">
        <v>0</v>
      </c>
      <c r="B1047" s="32" t="str">
        <f>IMAGE("https://gymvisual.com/11480-catalog_default/cable-reverse-crunch-female.jpg",4,500,500)</f>
        <v/>
      </c>
      <c r="C1047" s="30">
        <v>1046.0</v>
      </c>
      <c r="D1047" s="16" t="s">
        <v>1547</v>
      </c>
      <c r="E1047" s="16" t="s">
        <v>184</v>
      </c>
      <c r="F1047" s="16" t="s">
        <v>254</v>
      </c>
      <c r="G1047" s="16" t="s">
        <v>215</v>
      </c>
      <c r="H1047" s="16" t="s">
        <v>220</v>
      </c>
      <c r="I1047" s="16" t="s">
        <v>220</v>
      </c>
    </row>
    <row r="1048" ht="242.25" customHeight="1">
      <c r="A1048" s="32" t="b">
        <v>0</v>
      </c>
      <c r="B1048" s="32" t="str">
        <f>IMAGE("https://gymvisual.com/640-catalog_default/cable-reverse-curl.jpg",4,500,500)</f>
        <v/>
      </c>
      <c r="C1048" s="30">
        <v>1047.0</v>
      </c>
      <c r="D1048" s="16" t="s">
        <v>1548</v>
      </c>
      <c r="E1048" s="16" t="s">
        <v>184</v>
      </c>
      <c r="F1048" s="16" t="s">
        <v>214</v>
      </c>
      <c r="G1048" s="16" t="s">
        <v>215</v>
      </c>
      <c r="H1048" s="16" t="s">
        <v>216</v>
      </c>
      <c r="I1048" s="16" t="s">
        <v>217</v>
      </c>
    </row>
    <row r="1049" ht="242.25" customHeight="1">
      <c r="A1049" s="32" t="b">
        <v>0</v>
      </c>
      <c r="B1049" s="32" t="str">
        <f>IMAGE("https://gymvisual.com/6952-catalog_default/cable-reverse-grip-biceps-curl-sz-bar.jpg",4,500,500)</f>
        <v/>
      </c>
      <c r="C1049" s="30">
        <v>1048.0</v>
      </c>
      <c r="D1049" s="16" t="s">
        <v>1549</v>
      </c>
      <c r="E1049" s="16" t="s">
        <v>184</v>
      </c>
      <c r="F1049" s="16" t="s">
        <v>219</v>
      </c>
      <c r="G1049" s="16" t="s">
        <v>215</v>
      </c>
      <c r="H1049" s="16" t="s">
        <v>220</v>
      </c>
      <c r="I1049" s="16" t="s">
        <v>220</v>
      </c>
    </row>
    <row r="1050" ht="242.25" customHeight="1">
      <c r="A1050" s="32" t="b">
        <v>0</v>
      </c>
      <c r="B1050" s="32" t="str">
        <f>IMAGE("https://gymvisual.com/21022-catalog_default/cable-reverse-grip-pulldown.jpg",4,500,500)</f>
        <v/>
      </c>
      <c r="C1050" s="30">
        <v>1049.0</v>
      </c>
      <c r="D1050" s="16" t="s">
        <v>1550</v>
      </c>
      <c r="E1050" s="16" t="s">
        <v>184</v>
      </c>
      <c r="F1050" s="16" t="s">
        <v>192</v>
      </c>
      <c r="G1050" s="16" t="s">
        <v>215</v>
      </c>
      <c r="H1050" s="16" t="s">
        <v>220</v>
      </c>
      <c r="I1050" s="16" t="s">
        <v>220</v>
      </c>
    </row>
    <row r="1051" ht="242.25" customHeight="1">
      <c r="A1051" s="32" t="b">
        <v>0</v>
      </c>
      <c r="B1051" s="32" t="str">
        <f>IMAGE("https://gymvisual.com/11047-catalog_default/cable-reverse-grip-pulldown-female.jpg",4,500,500)</f>
        <v/>
      </c>
      <c r="C1051" s="30">
        <v>1050.0</v>
      </c>
      <c r="D1051" s="16" t="s">
        <v>1551</v>
      </c>
      <c r="E1051" s="16" t="s">
        <v>184</v>
      </c>
      <c r="F1051" s="16" t="s">
        <v>192</v>
      </c>
      <c r="G1051" s="16" t="s">
        <v>215</v>
      </c>
      <c r="H1051" s="16" t="s">
        <v>329</v>
      </c>
      <c r="I1051" s="16" t="s">
        <v>447</v>
      </c>
    </row>
    <row r="1052" ht="242.25" customHeight="1">
      <c r="A1052" s="32" t="b">
        <v>0</v>
      </c>
      <c r="B1052" s="32" t="str">
        <f>IMAGE("https://gymvisual.com/11131-catalog_default/cable-reverse-grip-pushdown-female.jpg",4,500,500)</f>
        <v/>
      </c>
      <c r="C1052" s="30">
        <v>1051.0</v>
      </c>
      <c r="D1052" s="16" t="s">
        <v>1552</v>
      </c>
      <c r="E1052" s="16" t="s">
        <v>184</v>
      </c>
      <c r="F1052" s="16" t="s">
        <v>219</v>
      </c>
      <c r="G1052" s="16" t="s">
        <v>215</v>
      </c>
      <c r="H1052" s="16" t="s">
        <v>223</v>
      </c>
      <c r="I1052" s="16" t="s">
        <v>220</v>
      </c>
    </row>
    <row r="1053" ht="242.25" customHeight="1">
      <c r="A1053" s="32" t="b">
        <v>0</v>
      </c>
      <c r="B1053" s="32" t="str">
        <f>IMAGE("https://gymvisual.com/6948-catalog_default/cable-reverse-grip-triceps-pushdown-sz-bar.jpg",4,500,500)</f>
        <v/>
      </c>
      <c r="C1053" s="30">
        <v>1052.0</v>
      </c>
      <c r="D1053" s="16" t="s">
        <v>1553</v>
      </c>
      <c r="E1053" s="16" t="s">
        <v>184</v>
      </c>
      <c r="F1053" s="16" t="s">
        <v>219</v>
      </c>
      <c r="G1053" s="16" t="s">
        <v>215</v>
      </c>
      <c r="H1053" s="16" t="s">
        <v>223</v>
      </c>
      <c r="I1053" s="16" t="s">
        <v>220</v>
      </c>
    </row>
    <row r="1054" ht="242.25" customHeight="1">
      <c r="A1054" s="32" t="b">
        <v>0</v>
      </c>
      <c r="B1054" s="32" t="str">
        <f>IMAGE("https://gymvisual.com/10459-catalog_default/cable-reverse-grip-triceps-pushdown-sz-bar-with-arm-blaster.jpg",4,500,500)</f>
        <v/>
      </c>
      <c r="C1054" s="30">
        <v>1053.0</v>
      </c>
      <c r="D1054" s="16" t="s">
        <v>1554</v>
      </c>
      <c r="E1054" s="16" t="s">
        <v>184</v>
      </c>
      <c r="F1054" s="16" t="s">
        <v>219</v>
      </c>
      <c r="G1054" s="16" t="s">
        <v>215</v>
      </c>
      <c r="H1054" s="16" t="s">
        <v>223</v>
      </c>
      <c r="I1054" s="16" t="s">
        <v>220</v>
      </c>
    </row>
    <row r="1055" ht="242.25" customHeight="1">
      <c r="A1055" s="32" t="b">
        <v>0</v>
      </c>
      <c r="B1055" s="32" t="str">
        <f>IMAGE("https://gymvisual.com/6265-catalog_default/cable-reverse-one-arm-curl.jpg",4,500,500)</f>
        <v/>
      </c>
      <c r="C1055" s="30">
        <v>1054.0</v>
      </c>
      <c r="D1055" s="16" t="s">
        <v>1555</v>
      </c>
      <c r="E1055" s="16" t="s">
        <v>184</v>
      </c>
      <c r="F1055" s="16" t="s">
        <v>214</v>
      </c>
      <c r="G1055" s="16" t="s">
        <v>215</v>
      </c>
      <c r="H1055" s="16" t="s">
        <v>216</v>
      </c>
      <c r="I1055" s="16" t="s">
        <v>217</v>
      </c>
    </row>
    <row r="1056" ht="242.25" customHeight="1">
      <c r="A1056" s="32" t="b">
        <v>0</v>
      </c>
      <c r="B1056" s="32" t="str">
        <f>IMAGE("https://gymvisual.com/11582-catalog_default/cable-reverse-one-arm-curl-female.jpg",4,500,500)</f>
        <v/>
      </c>
      <c r="C1056" s="30">
        <v>1055.0</v>
      </c>
      <c r="D1056" s="16" t="s">
        <v>1556</v>
      </c>
      <c r="E1056" s="16" t="s">
        <v>184</v>
      </c>
      <c r="F1056" s="16" t="s">
        <v>219</v>
      </c>
      <c r="G1056" s="16" t="s">
        <v>215</v>
      </c>
      <c r="H1056" s="16" t="s">
        <v>220</v>
      </c>
      <c r="I1056" s="16" t="s">
        <v>220</v>
      </c>
    </row>
    <row r="1057" ht="242.25" customHeight="1">
      <c r="A1057" s="32" t="b">
        <v>0</v>
      </c>
      <c r="B1057" s="32" t="str">
        <f>IMAGE("https://gymvisual.com/25838-catalog_default/cable-reverse-preacher-curl.jpg",4,500,500)</f>
        <v/>
      </c>
      <c r="C1057" s="30">
        <v>1056.0</v>
      </c>
      <c r="D1057" s="16" t="s">
        <v>1557</v>
      </c>
      <c r="E1057" s="16" t="s">
        <v>184</v>
      </c>
      <c r="F1057" s="16" t="s">
        <v>214</v>
      </c>
      <c r="G1057" s="16" t="s">
        <v>215</v>
      </c>
      <c r="H1057" s="16" t="s">
        <v>216</v>
      </c>
      <c r="I1057" s="16" t="s">
        <v>217</v>
      </c>
    </row>
    <row r="1058" ht="242.25" customHeight="1">
      <c r="A1058" s="32" t="b">
        <v>0</v>
      </c>
      <c r="B1058" s="32" t="str">
        <f>IMAGE("https://gymvisual.com/652-catalog_default/cable-reverse-wrist-curl.jpg",4,500,500)</f>
        <v/>
      </c>
      <c r="C1058" s="30">
        <v>1057.0</v>
      </c>
      <c r="D1058" s="16" t="s">
        <v>1558</v>
      </c>
      <c r="E1058" s="16" t="s">
        <v>184</v>
      </c>
      <c r="F1058" s="16" t="s">
        <v>214</v>
      </c>
      <c r="G1058" s="16" t="s">
        <v>215</v>
      </c>
      <c r="H1058" s="16" t="s">
        <v>604</v>
      </c>
      <c r="I1058" s="16" t="s">
        <v>220</v>
      </c>
    </row>
    <row r="1059" ht="242.25" customHeight="1">
      <c r="A1059" s="32" t="b">
        <v>0</v>
      </c>
      <c r="B1059" s="32" t="str">
        <f>IMAGE("https://gymvisual.com/24784-catalog_default/cable-reverse-grip-pushdown.jpg",4,500,500)</f>
        <v/>
      </c>
      <c r="C1059" s="30">
        <v>1058.0</v>
      </c>
      <c r="D1059" s="16" t="s">
        <v>1559</v>
      </c>
      <c r="E1059" s="16" t="s">
        <v>184</v>
      </c>
      <c r="F1059" s="16" t="s">
        <v>219</v>
      </c>
      <c r="G1059" s="16" t="s">
        <v>215</v>
      </c>
      <c r="H1059" s="16" t="s">
        <v>223</v>
      </c>
      <c r="I1059" s="16" t="s">
        <v>220</v>
      </c>
    </row>
    <row r="1060" ht="242.25" customHeight="1">
      <c r="A1060" s="32" t="b">
        <v>0</v>
      </c>
      <c r="B1060" s="32" t="str">
        <f>IMAGE("https://gymvisual.com/15641-catalog_default/cable-reverse-grip-straight-back-seated-high-row.jpg",4,500,500)</f>
        <v/>
      </c>
      <c r="C1060" s="30">
        <v>1059.0</v>
      </c>
      <c r="D1060" s="16" t="s">
        <v>1560</v>
      </c>
      <c r="E1060" s="16" t="s">
        <v>184</v>
      </c>
      <c r="F1060" s="16" t="s">
        <v>192</v>
      </c>
      <c r="G1060" s="16" t="s">
        <v>215</v>
      </c>
      <c r="H1060" s="16" t="s">
        <v>329</v>
      </c>
      <c r="I1060" s="16" t="s">
        <v>447</v>
      </c>
    </row>
    <row r="1061" ht="242.25" customHeight="1">
      <c r="A1061" s="32" t="b">
        <v>0</v>
      </c>
      <c r="B1061" s="32" t="str">
        <f>IMAGE("https://gymvisual.com/6011-catalog_default/cable-rope-crossover-seated-row.jpg",4,500,500)</f>
        <v/>
      </c>
      <c r="C1061" s="30">
        <v>1060.0</v>
      </c>
      <c r="D1061" s="16" t="s">
        <v>1561</v>
      </c>
      <c r="E1061" s="16" t="s">
        <v>184</v>
      </c>
      <c r="F1061" s="16" t="s">
        <v>192</v>
      </c>
      <c r="G1061" s="16" t="s">
        <v>215</v>
      </c>
      <c r="H1061" s="16" t="s">
        <v>404</v>
      </c>
      <c r="I1061" s="16" t="s">
        <v>457</v>
      </c>
    </row>
    <row r="1062" ht="242.25" customHeight="1">
      <c r="A1062" s="32" t="b">
        <v>0</v>
      </c>
      <c r="B1062" s="32" t="str">
        <f>IMAGE("https://gymvisual.com/6012-catalog_default/cable-rope-elevated-seated-row.jpg",4,500,500)</f>
        <v/>
      </c>
      <c r="C1062" s="30">
        <v>1061.0</v>
      </c>
      <c r="D1062" s="16" t="s">
        <v>1562</v>
      </c>
      <c r="E1062" s="16" t="s">
        <v>184</v>
      </c>
      <c r="F1062" s="16" t="s">
        <v>192</v>
      </c>
      <c r="G1062" s="16" t="s">
        <v>215</v>
      </c>
      <c r="H1062" s="16" t="s">
        <v>329</v>
      </c>
      <c r="I1062" s="16" t="s">
        <v>457</v>
      </c>
    </row>
    <row r="1063" ht="242.25" customHeight="1">
      <c r="A1063" s="32" t="b">
        <v>0</v>
      </c>
      <c r="B1063" s="32" t="str">
        <f>IMAGE("https://gymvisual.com/6013-catalog_default/cable-rope-extension-incline-bench-row.jpg",4,500,500)</f>
        <v/>
      </c>
      <c r="C1063" s="30">
        <v>1062.0</v>
      </c>
      <c r="D1063" s="16" t="s">
        <v>1563</v>
      </c>
      <c r="E1063" s="16" t="s">
        <v>184</v>
      </c>
      <c r="F1063" s="16" t="s">
        <v>192</v>
      </c>
      <c r="G1063" s="16" t="s">
        <v>215</v>
      </c>
      <c r="H1063" s="16" t="s">
        <v>570</v>
      </c>
      <c r="I1063" s="16" t="s">
        <v>457</v>
      </c>
    </row>
    <row r="1064" ht="242.25" customHeight="1">
      <c r="A1064" s="32" t="b">
        <v>0</v>
      </c>
      <c r="B1064" s="32" t="str">
        <f>IMAGE("https://gymvisual.com/7113-catalog_default/cable-rope-hammer-preacher-curl.jpg",4,500,500)</f>
        <v/>
      </c>
      <c r="C1064" s="30">
        <v>1063.0</v>
      </c>
      <c r="D1064" s="16" t="s">
        <v>1564</v>
      </c>
      <c r="E1064" s="16" t="s">
        <v>184</v>
      </c>
      <c r="F1064" s="16" t="s">
        <v>219</v>
      </c>
      <c r="G1064" s="16" t="s">
        <v>215</v>
      </c>
      <c r="H1064" s="16" t="s">
        <v>220</v>
      </c>
      <c r="I1064" s="16" t="s">
        <v>220</v>
      </c>
    </row>
    <row r="1065" ht="242.25" customHeight="1">
      <c r="A1065" s="32" t="b">
        <v>0</v>
      </c>
      <c r="B1065" s="32" t="str">
        <f>IMAGE("https://gymvisual.com/7443-catalog_default/cable-rope-high-pulley-overhead-tricep-extension.jpg",4,500,500)</f>
        <v/>
      </c>
      <c r="C1065" s="30">
        <v>1064.0</v>
      </c>
      <c r="D1065" s="16" t="s">
        <v>1565</v>
      </c>
      <c r="E1065" s="16" t="s">
        <v>184</v>
      </c>
      <c r="F1065" s="16" t="s">
        <v>219</v>
      </c>
      <c r="G1065" s="16" t="s">
        <v>215</v>
      </c>
      <c r="H1065" s="16" t="s">
        <v>223</v>
      </c>
      <c r="I1065" s="16" t="s">
        <v>220</v>
      </c>
    </row>
    <row r="1066" ht="242.25" customHeight="1">
      <c r="A1066" s="32" t="b">
        <v>0</v>
      </c>
      <c r="B1066" s="32" t="str">
        <f>IMAGE("https://gymvisual.com/7444-catalog_default/cable-rope-incline-tricep-extension.jpg",4,500,500)</f>
        <v/>
      </c>
      <c r="C1066" s="30">
        <v>1065.0</v>
      </c>
      <c r="D1066" s="16" t="s">
        <v>1566</v>
      </c>
      <c r="E1066" s="16" t="s">
        <v>184</v>
      </c>
      <c r="F1066" s="16" t="s">
        <v>219</v>
      </c>
      <c r="G1066" s="16" t="s">
        <v>215</v>
      </c>
      <c r="H1066" s="16" t="s">
        <v>220</v>
      </c>
      <c r="I1066" s="16" t="s">
        <v>220</v>
      </c>
    </row>
    <row r="1067" ht="242.25" customHeight="1">
      <c r="A1067" s="32" t="b">
        <v>0</v>
      </c>
      <c r="B1067" s="32" t="str">
        <f>IMAGE("https://gymvisual.com/7445-catalog_default/cable-rope-lying-on-floor-tricep-extension.jpg",4,500,500)</f>
        <v/>
      </c>
      <c r="C1067" s="30">
        <v>1066.0</v>
      </c>
      <c r="D1067" s="16" t="s">
        <v>1567</v>
      </c>
      <c r="E1067" s="16" t="s">
        <v>184</v>
      </c>
      <c r="F1067" s="16" t="s">
        <v>219</v>
      </c>
      <c r="G1067" s="16" t="s">
        <v>215</v>
      </c>
      <c r="H1067" s="16" t="s">
        <v>220</v>
      </c>
      <c r="I1067" s="16" t="s">
        <v>220</v>
      </c>
    </row>
    <row r="1068" ht="242.25" customHeight="1">
      <c r="A1068" s="32" t="b">
        <v>0</v>
      </c>
      <c r="B1068" s="32" t="str">
        <f>IMAGE("https://gymvisual.com/7114-catalog_default/cable-rope-one-arm-hammer-preacher-curl.jpg",4,500,500)</f>
        <v/>
      </c>
      <c r="C1068" s="30">
        <v>1067.0</v>
      </c>
      <c r="D1068" s="16" t="s">
        <v>1568</v>
      </c>
      <c r="E1068" s="16" t="s">
        <v>184</v>
      </c>
      <c r="F1068" s="16" t="s">
        <v>219</v>
      </c>
      <c r="G1068" s="16" t="s">
        <v>215</v>
      </c>
      <c r="H1068" s="16" t="s">
        <v>220</v>
      </c>
      <c r="I1068" s="16" t="s">
        <v>220</v>
      </c>
    </row>
    <row r="1069" ht="242.25" customHeight="1">
      <c r="A1069" s="32" t="b">
        <v>0</v>
      </c>
      <c r="B1069" s="32" t="str">
        <f>IMAGE("https://gymvisual.com/6014-catalog_default/cable-rope-seated-row.jpg",4,500,500)</f>
        <v/>
      </c>
      <c r="C1069" s="30">
        <v>1068.0</v>
      </c>
      <c r="D1069" s="16" t="s">
        <v>1569</v>
      </c>
      <c r="E1069" s="16" t="s">
        <v>184</v>
      </c>
      <c r="F1069" s="16" t="s">
        <v>192</v>
      </c>
      <c r="G1069" s="16" t="s">
        <v>215</v>
      </c>
      <c r="H1069" s="16" t="s">
        <v>329</v>
      </c>
      <c r="I1069" s="16" t="s">
        <v>457</v>
      </c>
    </row>
    <row r="1070" ht="242.25" customHeight="1">
      <c r="A1070" s="32" t="b">
        <v>0</v>
      </c>
      <c r="B1070" s="32" t="str">
        <f>IMAGE("https://gymvisual.com/655-catalog_default/cable-russian-twists-on-stability-ball.jpg",4,500,500)</f>
        <v/>
      </c>
      <c r="C1070" s="30">
        <v>1069.0</v>
      </c>
      <c r="D1070" s="16" t="s">
        <v>1570</v>
      </c>
      <c r="E1070" s="16" t="s">
        <v>184</v>
      </c>
      <c r="F1070" s="16" t="s">
        <v>254</v>
      </c>
      <c r="G1070" s="16" t="s">
        <v>215</v>
      </c>
      <c r="H1070" s="16" t="s">
        <v>257</v>
      </c>
      <c r="I1070" s="16" t="s">
        <v>220</v>
      </c>
    </row>
    <row r="1071" ht="242.25" customHeight="1">
      <c r="B1071" s="32" t="str">
        <f>IMAGE("https://gymvisual.com/13389-catalog_default/cable-russian-twists-on-stability-ball-female.jpg",4,500,500)</f>
        <v/>
      </c>
      <c r="C1071" s="30">
        <v>1070.0</v>
      </c>
      <c r="D1071" s="16" t="s">
        <v>1571</v>
      </c>
      <c r="E1071" s="16" t="s">
        <v>184</v>
      </c>
      <c r="F1071" s="16" t="s">
        <v>254</v>
      </c>
      <c r="G1071" s="16" t="s">
        <v>1572</v>
      </c>
      <c r="H1071" s="16" t="s">
        <v>220</v>
      </c>
      <c r="I1071" s="16" t="s">
        <v>220</v>
      </c>
    </row>
    <row r="1072" ht="242.25" customHeight="1">
      <c r="A1072" s="32" t="b">
        <v>0</v>
      </c>
      <c r="B1072" s="32" t="str">
        <f>IMAGE("https://gymvisual.com/17737-catalog_default/cable-seated-chest-fly.jpg",4,500,500)</f>
        <v/>
      </c>
      <c r="C1072" s="30">
        <v>1071.0</v>
      </c>
      <c r="D1072" s="16" t="s">
        <v>1573</v>
      </c>
      <c r="E1072" s="16" t="s">
        <v>184</v>
      </c>
      <c r="F1072" s="16" t="s">
        <v>234</v>
      </c>
      <c r="G1072" s="16" t="s">
        <v>215</v>
      </c>
      <c r="H1072" s="16" t="s">
        <v>220</v>
      </c>
      <c r="I1072" s="16" t="s">
        <v>220</v>
      </c>
    </row>
    <row r="1073" ht="242.25" customHeight="1">
      <c r="A1073" s="32" t="b">
        <v>0</v>
      </c>
      <c r="B1073" s="32" t="str">
        <f>IMAGE("https://gymvisual.com/8767-catalog_default/cable-seated-chest-press.jpg",4,500,500)</f>
        <v/>
      </c>
      <c r="C1073" s="30">
        <v>1072.0</v>
      </c>
      <c r="D1073" s="16" t="s">
        <v>1574</v>
      </c>
      <c r="E1073" s="16" t="s">
        <v>184</v>
      </c>
      <c r="F1073" s="16" t="s">
        <v>234</v>
      </c>
      <c r="G1073" s="16" t="s">
        <v>215</v>
      </c>
      <c r="H1073" s="16" t="s">
        <v>220</v>
      </c>
      <c r="I1073" s="16" t="s">
        <v>220</v>
      </c>
    </row>
    <row r="1074" ht="242.25" customHeight="1">
      <c r="A1074" s="32" t="b">
        <v>0</v>
      </c>
      <c r="B1074" s="32" t="str">
        <f>IMAGE("https://gymvisual.com/13391-catalog_default/cable-seated-chest-press-female.jpg",4,500,500)</f>
        <v/>
      </c>
      <c r="C1074" s="30">
        <v>1073.0</v>
      </c>
      <c r="D1074" s="16" t="s">
        <v>1575</v>
      </c>
      <c r="E1074" s="16" t="s">
        <v>184</v>
      </c>
      <c r="F1074" s="16" t="s">
        <v>234</v>
      </c>
      <c r="G1074" s="16" t="s">
        <v>215</v>
      </c>
      <c r="H1074" s="16" t="s">
        <v>220</v>
      </c>
      <c r="I1074" s="16" t="s">
        <v>220</v>
      </c>
    </row>
    <row r="1075" ht="242.25" customHeight="1">
      <c r="A1075" s="32" t="b">
        <v>0</v>
      </c>
      <c r="B1075" s="32" t="str">
        <f>IMAGE("https://gymvisual.com/17817-catalog_default/cable-seated-cross-arm-twist.jpg",4,500,500)</f>
        <v/>
      </c>
      <c r="C1075" s="30">
        <v>1074.0</v>
      </c>
      <c r="D1075" s="16" t="s">
        <v>1576</v>
      </c>
      <c r="E1075" s="16" t="s">
        <v>184</v>
      </c>
      <c r="F1075" s="16" t="s">
        <v>254</v>
      </c>
      <c r="G1075" s="16" t="s">
        <v>215</v>
      </c>
      <c r="H1075" s="16" t="s">
        <v>220</v>
      </c>
      <c r="I1075" s="16" t="s">
        <v>220</v>
      </c>
    </row>
    <row r="1076" ht="242.25" customHeight="1">
      <c r="A1076" s="32" t="b">
        <v>0</v>
      </c>
      <c r="B1076" s="32" t="str">
        <f>IMAGE("https://gymvisual.com/25214-catalog_default/cable-seated-crunch.jpg",4,500,500)</f>
        <v/>
      </c>
      <c r="C1076" s="30">
        <v>1075.0</v>
      </c>
      <c r="D1076" s="16" t="s">
        <v>1577</v>
      </c>
      <c r="E1076" s="16" t="s">
        <v>184</v>
      </c>
      <c r="F1076" s="16" t="s">
        <v>254</v>
      </c>
      <c r="G1076" s="16" t="s">
        <v>215</v>
      </c>
      <c r="H1076" s="16" t="s">
        <v>256</v>
      </c>
      <c r="I1076" s="16" t="s">
        <v>257</v>
      </c>
    </row>
    <row r="1077" ht="242.25" customHeight="1">
      <c r="A1077" s="32" t="b">
        <v>0</v>
      </c>
      <c r="B1077" s="32" t="str">
        <f>IMAGE("https://gymvisual.com/11601-catalog_default/cable-seated-crunch-female.jpg",4,500,500)</f>
        <v/>
      </c>
      <c r="C1077" s="30">
        <v>1076.0</v>
      </c>
      <c r="D1077" s="16" t="s">
        <v>1578</v>
      </c>
      <c r="E1077" s="16" t="s">
        <v>184</v>
      </c>
      <c r="F1077" s="16" t="s">
        <v>254</v>
      </c>
      <c r="G1077" s="16" t="s">
        <v>215</v>
      </c>
      <c r="H1077" s="16" t="s">
        <v>220</v>
      </c>
      <c r="I1077" s="16" t="s">
        <v>220</v>
      </c>
    </row>
    <row r="1078" ht="242.25" customHeight="1">
      <c r="A1078" s="32" t="b">
        <v>0</v>
      </c>
      <c r="B1078" s="32" t="str">
        <f>IMAGE("https://gymvisual.com/7115-catalog_default/cable-seated-curl.jpg",4,500,500)</f>
        <v/>
      </c>
      <c r="C1078" s="30">
        <v>1077.0</v>
      </c>
      <c r="D1078" s="16" t="s">
        <v>1579</v>
      </c>
      <c r="E1078" s="16" t="s">
        <v>184</v>
      </c>
      <c r="F1078" s="16" t="s">
        <v>219</v>
      </c>
      <c r="G1078" s="16" t="s">
        <v>215</v>
      </c>
      <c r="H1078" s="16" t="s">
        <v>220</v>
      </c>
      <c r="I1078" s="16" t="s">
        <v>220</v>
      </c>
    </row>
    <row r="1079" ht="242.25" customHeight="1">
      <c r="A1079" s="32" t="b">
        <v>0</v>
      </c>
      <c r="B1079" s="32" t="str">
        <f>IMAGE("https://gymvisual.com/13393-catalog_default/cable-seated-curl-female.jpg",4,500,500)</f>
        <v/>
      </c>
      <c r="C1079" s="30">
        <v>1078.0</v>
      </c>
      <c r="D1079" s="16" t="s">
        <v>1580</v>
      </c>
      <c r="E1079" s="16" t="s">
        <v>184</v>
      </c>
      <c r="F1079" s="16" t="s">
        <v>219</v>
      </c>
      <c r="G1079" s="16" t="s">
        <v>215</v>
      </c>
      <c r="H1079" s="16" t="s">
        <v>220</v>
      </c>
      <c r="I1079" s="16" t="s">
        <v>220</v>
      </c>
    </row>
    <row r="1080" ht="242.25" customHeight="1">
      <c r="A1080" s="32" t="b">
        <v>0</v>
      </c>
      <c r="B1080" s="32" t="str">
        <f>IMAGE("https://gymvisual.com/24995-catalog_default/cable-seated-face-pull-with-rope-male.jpg",4,500,500)</f>
        <v/>
      </c>
      <c r="C1080" s="30">
        <v>1079.0</v>
      </c>
      <c r="D1080" s="16" t="s">
        <v>1581</v>
      </c>
      <c r="E1080" s="16" t="s">
        <v>184</v>
      </c>
      <c r="F1080" s="16" t="s">
        <v>228</v>
      </c>
      <c r="G1080" s="16" t="s">
        <v>215</v>
      </c>
      <c r="H1080" s="16" t="s">
        <v>220</v>
      </c>
      <c r="I1080" s="16" t="s">
        <v>220</v>
      </c>
    </row>
    <row r="1081" ht="242.25" customHeight="1">
      <c r="A1081" s="32" t="b">
        <v>0</v>
      </c>
      <c r="B1081" s="32" t="str">
        <f>IMAGE("https://gymvisual.com/17197-catalog_default/cable-seated-floor-one-arm-concentration-curl.jpg",4,500,500)</f>
        <v/>
      </c>
      <c r="C1081" s="30">
        <v>1080.0</v>
      </c>
      <c r="D1081" s="16" t="s">
        <v>1582</v>
      </c>
      <c r="E1081" s="16" t="s">
        <v>184</v>
      </c>
      <c r="F1081" s="16" t="s">
        <v>219</v>
      </c>
      <c r="G1081" s="16" t="s">
        <v>215</v>
      </c>
      <c r="H1081" s="16" t="s">
        <v>241</v>
      </c>
      <c r="I1081" s="16" t="s">
        <v>292</v>
      </c>
    </row>
    <row r="1082" ht="242.25" customHeight="1">
      <c r="A1082" s="32" t="b">
        <v>0</v>
      </c>
      <c r="B1082" s="32" t="str">
        <f>IMAGE("https://gymvisual.com/25964-catalog_default/cable-seated-high-pulley-overhead-triceps-extension.jpg",4,500,500)</f>
        <v/>
      </c>
      <c r="C1082" s="30">
        <v>1081.0</v>
      </c>
      <c r="D1082" s="16" t="s">
        <v>1583</v>
      </c>
      <c r="E1082" s="16" t="s">
        <v>184</v>
      </c>
      <c r="F1082" s="16" t="s">
        <v>219</v>
      </c>
      <c r="G1082" s="16" t="s">
        <v>215</v>
      </c>
      <c r="H1082" s="16" t="s">
        <v>223</v>
      </c>
      <c r="I1082" s="16" t="s">
        <v>220</v>
      </c>
    </row>
    <row r="1083" ht="242.25" customHeight="1">
      <c r="A1083" s="32" t="b">
        <v>0</v>
      </c>
      <c r="B1083" s="32" t="str">
        <f>IMAGE("https://gymvisual.com/13395-catalog_default/cable-seated-high-row-v-bar-female.jpg",4,500,500)</f>
        <v/>
      </c>
      <c r="C1083" s="30">
        <v>1082.0</v>
      </c>
      <c r="D1083" s="16" t="s">
        <v>1584</v>
      </c>
      <c r="E1083" s="16" t="s">
        <v>184</v>
      </c>
      <c r="F1083" s="16" t="s">
        <v>192</v>
      </c>
      <c r="G1083" s="16" t="s">
        <v>215</v>
      </c>
      <c r="H1083" s="16" t="s">
        <v>570</v>
      </c>
      <c r="I1083" s="16" t="s">
        <v>447</v>
      </c>
    </row>
    <row r="1084" ht="242.25" customHeight="1">
      <c r="A1084" s="32" t="b">
        <v>0</v>
      </c>
      <c r="B1084" s="32" t="str">
        <f>IMAGE("https://gymvisual.com/661-catalog_default/cable-seated-high-row-v-bar.jpg",4,500,500)</f>
        <v/>
      </c>
      <c r="C1084" s="30">
        <v>1083.0</v>
      </c>
      <c r="D1084" s="16" t="s">
        <v>1585</v>
      </c>
      <c r="E1084" s="16" t="s">
        <v>184</v>
      </c>
      <c r="F1084" s="16" t="s">
        <v>192</v>
      </c>
      <c r="G1084" s="16" t="s">
        <v>215</v>
      </c>
      <c r="H1084" s="16" t="s">
        <v>300</v>
      </c>
      <c r="I1084" s="16" t="s">
        <v>1357</v>
      </c>
    </row>
    <row r="1085" ht="242.25" customHeight="1">
      <c r="A1085" s="32" t="b">
        <v>0</v>
      </c>
      <c r="B1085" s="32" t="str">
        <f>IMAGE("https://gymvisual.com/17923-catalog_default/cable-seated-horizontal-shrug-male.jpg",4,500,500)</f>
        <v/>
      </c>
      <c r="C1085" s="30">
        <v>1084.0</v>
      </c>
      <c r="D1085" s="16" t="s">
        <v>1586</v>
      </c>
      <c r="E1085" s="16" t="s">
        <v>184</v>
      </c>
      <c r="F1085" s="16" t="s">
        <v>192</v>
      </c>
      <c r="G1085" s="16" t="s">
        <v>215</v>
      </c>
      <c r="H1085" s="16" t="s">
        <v>220</v>
      </c>
      <c r="I1085" s="16" t="s">
        <v>220</v>
      </c>
    </row>
    <row r="1086" ht="242.25" customHeight="1">
      <c r="A1086" s="32" t="b">
        <v>0</v>
      </c>
      <c r="B1086" s="32" t="str">
        <f>IMAGE("https://gymvisual.com/24462-catalog_default/cable-seated-lats-focused-row.jpg",4,500,500)</f>
        <v/>
      </c>
      <c r="C1086" s="30">
        <v>1085.0</v>
      </c>
      <c r="D1086" s="16" t="s">
        <v>1587</v>
      </c>
      <c r="E1086" s="16" t="s">
        <v>184</v>
      </c>
      <c r="F1086" s="16" t="s">
        <v>192</v>
      </c>
      <c r="G1086" s="16" t="s">
        <v>215</v>
      </c>
      <c r="H1086" s="16" t="s">
        <v>300</v>
      </c>
      <c r="I1086" s="16" t="s">
        <v>387</v>
      </c>
    </row>
    <row r="1087" ht="242.25" customHeight="1">
      <c r="A1087" s="32" t="b">
        <v>0</v>
      </c>
      <c r="B1087" s="32" t="str">
        <f>IMAGE("https://gymvisual.com/25007-catalog_default/cable-seated-leg-extension.jpg",4,500,500)</f>
        <v/>
      </c>
      <c r="C1087" s="30">
        <v>1086.0</v>
      </c>
      <c r="D1087" s="16" t="s">
        <v>1588</v>
      </c>
      <c r="E1087" s="16" t="s">
        <v>184</v>
      </c>
      <c r="F1087" s="16" t="s">
        <v>285</v>
      </c>
      <c r="G1087" s="16" t="s">
        <v>215</v>
      </c>
      <c r="H1087" s="16" t="s">
        <v>220</v>
      </c>
      <c r="I1087" s="16" t="s">
        <v>220</v>
      </c>
    </row>
    <row r="1088" ht="242.25" customHeight="1">
      <c r="A1088" s="32" t="b">
        <v>0</v>
      </c>
      <c r="B1088" s="32" t="str">
        <f>IMAGE("https://gymvisual.com/10489-catalog_default/cable-seated-neck-extension-with-head-harness.jpg",4,500,500)</f>
        <v/>
      </c>
      <c r="C1088" s="30">
        <v>1087.0</v>
      </c>
      <c r="D1088" s="16" t="s">
        <v>1589</v>
      </c>
      <c r="E1088" s="16" t="s">
        <v>184</v>
      </c>
      <c r="F1088" s="16" t="s">
        <v>351</v>
      </c>
      <c r="G1088" s="16" t="s">
        <v>215</v>
      </c>
      <c r="H1088" s="16" t="s">
        <v>1590</v>
      </c>
      <c r="I1088" s="16" t="s">
        <v>220</v>
      </c>
    </row>
    <row r="1089" ht="242.25" customHeight="1">
      <c r="A1089" s="32" t="b">
        <v>0</v>
      </c>
      <c r="B1089" s="32" t="str">
        <f>IMAGE("https://gymvisual.com/10490-catalog_default/cable-seated-neck-flexion-with-head-harness.jpg",4,500,500)</f>
        <v/>
      </c>
      <c r="C1089" s="30">
        <v>1088.0</v>
      </c>
      <c r="D1089" s="16" t="s">
        <v>1591</v>
      </c>
      <c r="E1089" s="16" t="s">
        <v>184</v>
      </c>
      <c r="F1089" s="16" t="s">
        <v>351</v>
      </c>
      <c r="G1089" s="16" t="s">
        <v>215</v>
      </c>
      <c r="H1089" s="16" t="s">
        <v>220</v>
      </c>
      <c r="I1089" s="16" t="s">
        <v>220</v>
      </c>
    </row>
    <row r="1090" ht="242.25" customHeight="1">
      <c r="A1090" s="32" t="b">
        <v>0</v>
      </c>
      <c r="B1090" s="32" t="str">
        <f>IMAGE("https://gymvisual.com/13662-catalog_default/cable-seated-on-floor-row-with-rope.jpg",4,500,500)</f>
        <v/>
      </c>
      <c r="C1090" s="30">
        <v>1089.0</v>
      </c>
      <c r="D1090" s="16" t="s">
        <v>1592</v>
      </c>
      <c r="E1090" s="16" t="s">
        <v>184</v>
      </c>
      <c r="F1090" s="16" t="s">
        <v>192</v>
      </c>
      <c r="G1090" s="16" t="s">
        <v>215</v>
      </c>
      <c r="H1090" s="16" t="s">
        <v>329</v>
      </c>
      <c r="I1090" s="16" t="s">
        <v>220</v>
      </c>
    </row>
    <row r="1091" ht="242.25" customHeight="1">
      <c r="A1091" s="32" t="b">
        <v>0</v>
      </c>
      <c r="B1091" s="32" t="str">
        <f>IMAGE("https://gymvisual.com/664-catalog_default/cable-seated-one-arm-alternate-row.jpg",4,500,500)</f>
        <v/>
      </c>
      <c r="C1091" s="30">
        <v>1090.0</v>
      </c>
      <c r="D1091" s="16" t="s">
        <v>1593</v>
      </c>
      <c r="E1091" s="16" t="s">
        <v>184</v>
      </c>
      <c r="F1091" s="16" t="s">
        <v>192</v>
      </c>
      <c r="G1091" s="16" t="s">
        <v>215</v>
      </c>
      <c r="H1091" s="16" t="s">
        <v>329</v>
      </c>
      <c r="I1091" s="16" t="s">
        <v>330</v>
      </c>
    </row>
    <row r="1092" ht="242.25" customHeight="1">
      <c r="A1092" s="32" t="b">
        <v>0</v>
      </c>
      <c r="B1092" s="32" t="str">
        <f>IMAGE("https://gymvisual.com/7116-catalog_default/cable-seated-one-arm-concentration-curl.jpg",4,500,500)</f>
        <v/>
      </c>
      <c r="C1092" s="30">
        <v>1091.0</v>
      </c>
      <c r="D1092" s="16" t="s">
        <v>1594</v>
      </c>
      <c r="E1092" s="16" t="s">
        <v>184</v>
      </c>
      <c r="F1092" s="16" t="s">
        <v>219</v>
      </c>
      <c r="G1092" s="16" t="s">
        <v>215</v>
      </c>
      <c r="H1092" s="16" t="s">
        <v>220</v>
      </c>
      <c r="I1092" s="16" t="s">
        <v>220</v>
      </c>
    </row>
    <row r="1093" ht="242.25" customHeight="1">
      <c r="A1093" s="32" t="b">
        <v>0</v>
      </c>
      <c r="B1093" s="32" t="str">
        <f>IMAGE("https://gymvisual.com/13397-catalog_default/cable-seated-one-arm-concentration-curl-female.jpg",4,500,500)</f>
        <v/>
      </c>
      <c r="C1093" s="30">
        <v>1092.0</v>
      </c>
      <c r="D1093" s="16" t="s">
        <v>1595</v>
      </c>
      <c r="E1093" s="16" t="s">
        <v>184</v>
      </c>
      <c r="F1093" s="16" t="s">
        <v>219</v>
      </c>
      <c r="G1093" s="16" t="s">
        <v>215</v>
      </c>
      <c r="H1093" s="16" t="s">
        <v>220</v>
      </c>
      <c r="I1093" s="16" t="s">
        <v>220</v>
      </c>
    </row>
    <row r="1094" ht="242.25" customHeight="1">
      <c r="A1094" s="32" t="b">
        <v>0</v>
      </c>
      <c r="B1094" s="32" t="str">
        <f>IMAGE("https://gymvisual.com/7117-catalog_default/cable-seated-overhead-curl.jpg",4,500,500)</f>
        <v/>
      </c>
      <c r="C1094" s="30">
        <v>1093.0</v>
      </c>
      <c r="D1094" s="16" t="s">
        <v>1596</v>
      </c>
      <c r="E1094" s="16" t="s">
        <v>184</v>
      </c>
      <c r="F1094" s="16" t="s">
        <v>219</v>
      </c>
      <c r="G1094" s="16" t="s">
        <v>215</v>
      </c>
      <c r="H1094" s="16" t="s">
        <v>220</v>
      </c>
      <c r="I1094" s="16" t="s">
        <v>220</v>
      </c>
    </row>
    <row r="1095" ht="242.25" customHeight="1">
      <c r="A1095" s="32" t="b">
        <v>0</v>
      </c>
      <c r="B1095" s="32" t="str">
        <f>IMAGE("https://gymvisual.com/13399-catalog_default/cable-seated-overhead-curl-female.jpg",4,500,500)</f>
        <v/>
      </c>
      <c r="C1095" s="30">
        <v>1094.0</v>
      </c>
      <c r="D1095" s="16" t="s">
        <v>1597</v>
      </c>
      <c r="E1095" s="16" t="s">
        <v>184</v>
      </c>
      <c r="F1095" s="16" t="s">
        <v>219</v>
      </c>
      <c r="G1095" s="16" t="s">
        <v>215</v>
      </c>
      <c r="H1095" s="16" t="s">
        <v>220</v>
      </c>
      <c r="I1095" s="16" t="s">
        <v>220</v>
      </c>
    </row>
    <row r="1096" ht="242.25" customHeight="1">
      <c r="A1096" s="32" t="b">
        <v>0</v>
      </c>
      <c r="B1096" s="32" t="str">
        <f>IMAGE("https://gymvisual.com/18003-catalog_default/cable-seated-pullover.jpg",4,500,500)</f>
        <v/>
      </c>
      <c r="C1096" s="30">
        <v>1095.0</v>
      </c>
      <c r="D1096" s="16" t="s">
        <v>1598</v>
      </c>
      <c r="E1096" s="16" t="s">
        <v>184</v>
      </c>
      <c r="F1096" s="16" t="s">
        <v>192</v>
      </c>
      <c r="G1096" s="16" t="s">
        <v>215</v>
      </c>
      <c r="H1096" s="16" t="s">
        <v>220</v>
      </c>
      <c r="I1096" s="16" t="s">
        <v>220</v>
      </c>
    </row>
    <row r="1097" ht="242.25" customHeight="1">
      <c r="A1097" s="32" t="b">
        <v>0</v>
      </c>
      <c r="B1097" s="32" t="str">
        <f>IMAGE("https://gymvisual.com/17292-catalog_default/cable-seated-rear-delt-fly-with-chest-support.jpg",4,500,500)</f>
        <v/>
      </c>
      <c r="C1097" s="30">
        <v>1096.0</v>
      </c>
      <c r="D1097" s="16" t="s">
        <v>1599</v>
      </c>
      <c r="E1097" s="16" t="s">
        <v>184</v>
      </c>
      <c r="F1097" s="16" t="s">
        <v>228</v>
      </c>
      <c r="G1097" s="16" t="s">
        <v>215</v>
      </c>
      <c r="H1097" s="16" t="s">
        <v>408</v>
      </c>
      <c r="I1097" s="16" t="s">
        <v>452</v>
      </c>
    </row>
    <row r="1098" ht="242.25" customHeight="1">
      <c r="A1098" s="32" t="b">
        <v>0</v>
      </c>
      <c r="B1098" s="32" t="str">
        <f>IMAGE("https://gymvisual.com/2946-catalog_default/cable-seated-rear-lateral-raise.jpg",4,500,500)</f>
        <v/>
      </c>
      <c r="C1098" s="30">
        <v>1097.0</v>
      </c>
      <c r="D1098" s="16" t="s">
        <v>1600</v>
      </c>
      <c r="E1098" s="16" t="s">
        <v>184</v>
      </c>
      <c r="F1098" s="16" t="s">
        <v>228</v>
      </c>
      <c r="G1098" s="16" t="s">
        <v>215</v>
      </c>
      <c r="H1098" s="16" t="s">
        <v>408</v>
      </c>
      <c r="I1098" s="16" t="s">
        <v>1601</v>
      </c>
    </row>
    <row r="1099" ht="242.25" customHeight="1">
      <c r="A1099" s="32" t="b">
        <v>0</v>
      </c>
      <c r="B1099" s="32" t="str">
        <f>IMAGE("https://gymvisual.com/7320-catalog_default/cable-seated-row.jpg",4,500,500)</f>
        <v/>
      </c>
      <c r="C1099" s="30">
        <v>1098.0</v>
      </c>
      <c r="D1099" s="16" t="s">
        <v>1602</v>
      </c>
      <c r="E1099" s="16" t="s">
        <v>184</v>
      </c>
      <c r="F1099" s="16" t="s">
        <v>192</v>
      </c>
      <c r="G1099" s="16" t="s">
        <v>215</v>
      </c>
      <c r="H1099" s="16" t="s">
        <v>329</v>
      </c>
      <c r="I1099" s="16" t="s">
        <v>457</v>
      </c>
    </row>
    <row r="1100" ht="242.25" customHeight="1">
      <c r="A1100" s="32" t="b">
        <v>0</v>
      </c>
      <c r="B1100" s="32" t="str">
        <f>IMAGE("https://gymvisual.com/4609-catalog_default/cable-seated-row-bent-bar.jpg",4,500,500)</f>
        <v/>
      </c>
      <c r="C1100" s="30">
        <v>1099.0</v>
      </c>
      <c r="D1100" s="16" t="s">
        <v>1603</v>
      </c>
      <c r="E1100" s="16" t="s">
        <v>184</v>
      </c>
      <c r="F1100" s="16" t="s">
        <v>192</v>
      </c>
      <c r="G1100" s="16" t="s">
        <v>215</v>
      </c>
      <c r="H1100" s="16" t="s">
        <v>329</v>
      </c>
      <c r="I1100" s="16" t="s">
        <v>457</v>
      </c>
    </row>
    <row r="1101" ht="242.25" customHeight="1">
      <c r="A1101" s="32" t="b">
        <v>0</v>
      </c>
      <c r="B1101" s="32" t="str">
        <f>IMAGE("https://gymvisual.com/9649-catalog_default/cable-seated-row-female.jpg",4,500,500)</f>
        <v/>
      </c>
      <c r="C1101" s="30">
        <v>1100.0</v>
      </c>
      <c r="D1101" s="16" t="s">
        <v>1604</v>
      </c>
      <c r="E1101" s="16" t="s">
        <v>184</v>
      </c>
      <c r="F1101" s="16" t="s">
        <v>192</v>
      </c>
      <c r="G1101" s="16" t="s">
        <v>215</v>
      </c>
      <c r="H1101" s="16" t="s">
        <v>220</v>
      </c>
      <c r="I1101" s="16" t="s">
        <v>220</v>
      </c>
    </row>
    <row r="1102" ht="242.25" customHeight="1">
      <c r="A1102" s="32" t="b">
        <v>0</v>
      </c>
      <c r="B1102" s="32" t="str">
        <f>IMAGE("https://gymvisual.com/12224-catalog_default/cable-seated-row-with-v-bar.jpg",4,500,500)</f>
        <v/>
      </c>
      <c r="C1102" s="30">
        <v>1101.0</v>
      </c>
      <c r="D1102" s="16" t="s">
        <v>1605</v>
      </c>
      <c r="E1102" s="16" t="s">
        <v>184</v>
      </c>
      <c r="F1102" s="16" t="s">
        <v>192</v>
      </c>
      <c r="G1102" s="16" t="s">
        <v>215</v>
      </c>
      <c r="H1102" s="16" t="s">
        <v>329</v>
      </c>
      <c r="I1102" s="16" t="s">
        <v>447</v>
      </c>
    </row>
    <row r="1103" ht="242.25" customHeight="1">
      <c r="A1103" s="32" t="b">
        <v>0</v>
      </c>
      <c r="B1103" s="32" t="str">
        <f>IMAGE("https://gymvisual.com/670-catalog_default/cable-seated-shoulder-internal-rotation.jpg",4,500,500)</f>
        <v/>
      </c>
      <c r="C1103" s="30">
        <v>1102.0</v>
      </c>
      <c r="D1103" s="16" t="s">
        <v>1606</v>
      </c>
      <c r="E1103" s="16" t="s">
        <v>184</v>
      </c>
      <c r="F1103" s="16" t="s">
        <v>192</v>
      </c>
      <c r="G1103" s="16" t="s">
        <v>215</v>
      </c>
      <c r="H1103" s="16" t="s">
        <v>1607</v>
      </c>
      <c r="I1103" s="16" t="s">
        <v>662</v>
      </c>
    </row>
    <row r="1104" ht="242.25" customHeight="1">
      <c r="A1104" s="32" t="b">
        <v>0</v>
      </c>
      <c r="B1104" s="32" t="str">
        <f>IMAGE("https://gymvisual.com/673-catalog_default/cable-seated-supine-grip-row.jpg",4,500,500)</f>
        <v/>
      </c>
      <c r="C1104" s="30">
        <v>1103.0</v>
      </c>
      <c r="D1104" s="16" t="s">
        <v>1608</v>
      </c>
      <c r="E1104" s="16" t="s">
        <v>184</v>
      </c>
      <c r="F1104" s="16" t="s">
        <v>192</v>
      </c>
      <c r="G1104" s="16" t="s">
        <v>215</v>
      </c>
      <c r="H1104" s="16" t="s">
        <v>329</v>
      </c>
      <c r="I1104" s="16" t="s">
        <v>357</v>
      </c>
    </row>
    <row r="1105" ht="242.25" customHeight="1">
      <c r="A1105" s="32" t="b">
        <v>0</v>
      </c>
      <c r="B1105" s="32" t="str">
        <f>IMAGE("https://gymvisual.com/12979-catalog_default/cable-seated-supine-grip-row-male.jpg",4,500,500)</f>
        <v/>
      </c>
      <c r="C1105" s="30">
        <v>1104.0</v>
      </c>
      <c r="D1105" s="16" t="s">
        <v>1609</v>
      </c>
      <c r="E1105" s="16" t="s">
        <v>184</v>
      </c>
      <c r="F1105" s="16" t="s">
        <v>192</v>
      </c>
      <c r="G1105" s="16" t="s">
        <v>215</v>
      </c>
      <c r="H1105" s="16" t="s">
        <v>329</v>
      </c>
      <c r="I1105" s="16" t="s">
        <v>357</v>
      </c>
    </row>
    <row r="1106" ht="242.25" customHeight="1">
      <c r="A1106" s="32" t="b">
        <v>0</v>
      </c>
      <c r="B1106" s="32" t="str">
        <f>IMAGE("https://gymvisual.com/10412-catalog_default/cable-seated-twist.jpg",4,500,500)</f>
        <v/>
      </c>
      <c r="C1106" s="30">
        <v>1105.0</v>
      </c>
      <c r="D1106" s="16" t="s">
        <v>1610</v>
      </c>
      <c r="E1106" s="16" t="s">
        <v>184</v>
      </c>
      <c r="F1106" s="16" t="s">
        <v>254</v>
      </c>
      <c r="G1106" s="16" t="s">
        <v>215</v>
      </c>
      <c r="H1106" s="16" t="s">
        <v>257</v>
      </c>
      <c r="I1106" s="16" t="s">
        <v>271</v>
      </c>
    </row>
    <row r="1107" ht="242.25" customHeight="1">
      <c r="A1107" s="32" t="b">
        <v>0</v>
      </c>
      <c r="B1107" s="32" t="str">
        <f>IMAGE("https://gymvisual.com/10551-catalog_default/cable-seated-twist-on-floor-female.jpg",4,500,500)</f>
        <v/>
      </c>
      <c r="C1107" s="30">
        <v>1106.0</v>
      </c>
      <c r="D1107" s="16" t="s">
        <v>1611</v>
      </c>
      <c r="E1107" s="16" t="s">
        <v>184</v>
      </c>
      <c r="F1107" s="16" t="s">
        <v>254</v>
      </c>
      <c r="G1107" s="16" t="s">
        <v>215</v>
      </c>
      <c r="H1107" s="16" t="s">
        <v>257</v>
      </c>
      <c r="I1107" s="16" t="s">
        <v>271</v>
      </c>
    </row>
    <row r="1108" ht="242.25" customHeight="1">
      <c r="A1108" s="32" t="b">
        <v>0</v>
      </c>
      <c r="B1108" s="32" t="str">
        <f>IMAGE("https://gymvisual.com/14260-catalog_default/cable-seated-wide-grip-row-female.jpg",4,500,500)</f>
        <v/>
      </c>
      <c r="C1108" s="30">
        <v>1107.0</v>
      </c>
      <c r="D1108" s="16" t="s">
        <v>1612</v>
      </c>
      <c r="E1108" s="16" t="s">
        <v>184</v>
      </c>
      <c r="F1108" s="16" t="s">
        <v>192</v>
      </c>
      <c r="G1108" s="16" t="s">
        <v>215</v>
      </c>
      <c r="H1108" s="16" t="s">
        <v>329</v>
      </c>
      <c r="I1108" s="16" t="s">
        <v>357</v>
      </c>
    </row>
    <row r="1109" ht="242.25" customHeight="1">
      <c r="A1109" s="32" t="b">
        <v>0</v>
      </c>
      <c r="B1109" s="32" t="str">
        <f>IMAGE("https://gymvisual.com/676-catalog_default/cable-seated-wide-grip-row.jpg",4,500,500)</f>
        <v/>
      </c>
      <c r="C1109" s="30">
        <v>1108.0</v>
      </c>
      <c r="D1109" s="16" t="s">
        <v>1613</v>
      </c>
      <c r="E1109" s="16" t="s">
        <v>184</v>
      </c>
      <c r="F1109" s="16" t="s">
        <v>192</v>
      </c>
      <c r="G1109" s="16" t="s">
        <v>215</v>
      </c>
      <c r="H1109" s="16" t="s">
        <v>329</v>
      </c>
      <c r="I1109" s="16" t="s">
        <v>447</v>
      </c>
    </row>
    <row r="1110" ht="242.25" customHeight="1">
      <c r="A1110" s="32" t="b">
        <v>0</v>
      </c>
      <c r="B1110" s="32" t="str">
        <f>IMAGE("https://gymvisual.com/13682-catalog_default/cable-seating-close-press.jpg",4,500,500)</f>
        <v/>
      </c>
      <c r="C1110" s="30">
        <v>1109.0</v>
      </c>
      <c r="D1110" s="16" t="s">
        <v>1614</v>
      </c>
      <c r="E1110" s="16" t="s">
        <v>184</v>
      </c>
      <c r="F1110" s="16" t="s">
        <v>219</v>
      </c>
      <c r="G1110" s="16" t="s">
        <v>215</v>
      </c>
      <c r="H1110" s="16" t="s">
        <v>223</v>
      </c>
      <c r="I1110" s="16" t="s">
        <v>472</v>
      </c>
    </row>
    <row r="1111" ht="242.25" customHeight="1">
      <c r="A1111" s="32" t="b">
        <v>0</v>
      </c>
      <c r="B1111" s="32" t="str">
        <f>IMAGE("https://gymvisual.com/23885-catalog_default/cable-shoulder-90-degrees-external-rotation.jpg",4,500,500)</f>
        <v/>
      </c>
      <c r="C1111" s="30">
        <v>1110.0</v>
      </c>
      <c r="D1111" s="16" t="s">
        <v>1615</v>
      </c>
      <c r="E1111" s="16" t="s">
        <v>184</v>
      </c>
      <c r="F1111" s="16" t="s">
        <v>192</v>
      </c>
      <c r="G1111" s="16" t="s">
        <v>215</v>
      </c>
      <c r="H1111" s="16" t="s">
        <v>1607</v>
      </c>
      <c r="I1111" s="16" t="s">
        <v>408</v>
      </c>
    </row>
    <row r="1112" ht="242.25" customHeight="1">
      <c r="A1112" s="32" t="b">
        <v>0</v>
      </c>
      <c r="B1112" s="32" t="str">
        <f>IMAGE("https://gymvisual.com/23889-catalog_default/cable-shoulder-90-degrees-internal-rotation.jpg",4,500,500)</f>
        <v/>
      </c>
      <c r="C1112" s="30">
        <v>1111.0</v>
      </c>
      <c r="D1112" s="16" t="s">
        <v>1616</v>
      </c>
      <c r="E1112" s="16" t="s">
        <v>184</v>
      </c>
      <c r="F1112" s="16" t="s">
        <v>192</v>
      </c>
      <c r="G1112" s="16" t="s">
        <v>215</v>
      </c>
      <c r="H1112" s="16" t="s">
        <v>347</v>
      </c>
      <c r="I1112" s="16" t="s">
        <v>882</v>
      </c>
    </row>
    <row r="1113" ht="242.25" customHeight="1">
      <c r="A1113" s="32" t="b">
        <v>0</v>
      </c>
      <c r="B1113" s="32" t="str">
        <f>IMAGE("https://gymvisual.com/23887-catalog_default/cable-shoulder-internal-rotation.jpg",4,500,500)</f>
        <v/>
      </c>
      <c r="C1113" s="30">
        <v>1112.0</v>
      </c>
      <c r="D1113" s="16" t="s">
        <v>1617</v>
      </c>
      <c r="E1113" s="16" t="s">
        <v>184</v>
      </c>
      <c r="F1113" s="16" t="s">
        <v>228</v>
      </c>
      <c r="G1113" s="16" t="s">
        <v>215</v>
      </c>
      <c r="H1113" s="16" t="s">
        <v>472</v>
      </c>
      <c r="I1113" s="16" t="s">
        <v>220</v>
      </c>
    </row>
    <row r="1114" ht="242.25" customHeight="1">
      <c r="A1114" s="32" t="b">
        <v>0</v>
      </c>
      <c r="B1114" s="32" t="str">
        <f>IMAGE("https://gymvisual.com/679-catalog_default/cable-shoulder-press.jpg",4,500,500)</f>
        <v/>
      </c>
      <c r="C1114" s="30">
        <v>1113.0</v>
      </c>
      <c r="D1114" s="16" t="s">
        <v>1618</v>
      </c>
      <c r="E1114" s="16" t="s">
        <v>184</v>
      </c>
      <c r="F1114" s="16" t="s">
        <v>228</v>
      </c>
      <c r="G1114" s="16" t="s">
        <v>215</v>
      </c>
      <c r="H1114" s="16" t="s">
        <v>229</v>
      </c>
      <c r="I1114" s="16" t="s">
        <v>230</v>
      </c>
    </row>
    <row r="1115" ht="242.25" customHeight="1">
      <c r="A1115" s="32" t="b">
        <v>0</v>
      </c>
      <c r="B1115" s="32" t="str">
        <f>IMAGE("https://gymvisual.com/13401-catalog_default/cable-shoulder-press-female.jpg",4,500,500)</f>
        <v/>
      </c>
      <c r="C1115" s="30">
        <v>1114.0</v>
      </c>
      <c r="D1115" s="16" t="s">
        <v>1619</v>
      </c>
      <c r="E1115" s="16" t="s">
        <v>184</v>
      </c>
      <c r="F1115" s="16" t="s">
        <v>228</v>
      </c>
      <c r="G1115" s="16" t="s">
        <v>215</v>
      </c>
      <c r="H1115" s="16" t="s">
        <v>220</v>
      </c>
      <c r="I1115" s="16" t="s">
        <v>220</v>
      </c>
    </row>
    <row r="1116" ht="242.25" customHeight="1">
      <c r="A1116" s="32" t="b">
        <v>0</v>
      </c>
      <c r="B1116" s="32" t="str">
        <f>IMAGE("https://gymvisual.com/682-catalog_default/cable-shrug.jpg",4,500,500)</f>
        <v/>
      </c>
      <c r="C1116" s="30">
        <v>1115.0</v>
      </c>
      <c r="D1116" s="16" t="s">
        <v>1620</v>
      </c>
      <c r="E1116" s="16" t="s">
        <v>184</v>
      </c>
      <c r="F1116" s="16" t="s">
        <v>192</v>
      </c>
      <c r="G1116" s="16" t="s">
        <v>215</v>
      </c>
      <c r="H1116" s="16" t="s">
        <v>238</v>
      </c>
      <c r="I1116" s="16" t="s">
        <v>1621</v>
      </c>
    </row>
    <row r="1117" ht="242.25" customHeight="1">
      <c r="A1117" s="32" t="b">
        <v>0</v>
      </c>
      <c r="B1117" s="32" t="str">
        <f>IMAGE("https://gymvisual.com/11291-catalog_default/cable-shrug-female.jpg",4,500,500)</f>
        <v/>
      </c>
      <c r="C1117" s="30">
        <v>1116.0</v>
      </c>
      <c r="D1117" s="16" t="s">
        <v>1622</v>
      </c>
      <c r="E1117" s="16" t="s">
        <v>184</v>
      </c>
      <c r="F1117" s="16" t="s">
        <v>192</v>
      </c>
      <c r="G1117" s="16" t="s">
        <v>215</v>
      </c>
      <c r="H1117" s="16" t="s">
        <v>220</v>
      </c>
      <c r="I1117" s="16" t="s">
        <v>220</v>
      </c>
    </row>
    <row r="1118" ht="242.25" customHeight="1">
      <c r="A1118" s="32" t="b">
        <v>0</v>
      </c>
      <c r="B1118" s="32" t="str">
        <f>IMAGE("https://gymvisual.com/13112-catalog_default/cable-side-bend.jpg",4,500,500)</f>
        <v/>
      </c>
      <c r="C1118" s="30">
        <v>1117.0</v>
      </c>
      <c r="D1118" s="16" t="s">
        <v>1623</v>
      </c>
      <c r="E1118" s="16" t="s">
        <v>184</v>
      </c>
      <c r="F1118" s="16" t="s">
        <v>254</v>
      </c>
      <c r="G1118" s="16" t="s">
        <v>215</v>
      </c>
      <c r="H1118" s="16" t="s">
        <v>257</v>
      </c>
      <c r="I1118" s="16" t="s">
        <v>220</v>
      </c>
    </row>
    <row r="1119" ht="242.25" customHeight="1">
      <c r="A1119" s="32" t="b">
        <v>0</v>
      </c>
      <c r="B1119" s="32" t="str">
        <f>IMAGE("https://gymvisual.com/11282-catalog_default/cable-side-bend-female.jpg",4,500,500)</f>
        <v/>
      </c>
      <c r="C1119" s="30">
        <v>1118.0</v>
      </c>
      <c r="D1119" s="16" t="s">
        <v>1624</v>
      </c>
      <c r="E1119" s="16" t="s">
        <v>184</v>
      </c>
      <c r="F1119" s="16" t="s">
        <v>254</v>
      </c>
      <c r="G1119" s="16" t="s">
        <v>215</v>
      </c>
      <c r="H1119" s="16" t="s">
        <v>220</v>
      </c>
      <c r="I1119" s="16" t="s">
        <v>220</v>
      </c>
    </row>
    <row r="1120" ht="242.25" customHeight="1">
      <c r="A1120" s="32" t="b">
        <v>0</v>
      </c>
      <c r="B1120" s="32" t="str">
        <f>IMAGE("https://gymvisual.com/24930-catalog_default/cable-side-bend-version-2.jpg",4,500,500)</f>
        <v/>
      </c>
      <c r="C1120" s="30">
        <v>1119.0</v>
      </c>
      <c r="D1120" s="16" t="s">
        <v>1625</v>
      </c>
      <c r="E1120" s="16" t="s">
        <v>184</v>
      </c>
      <c r="F1120" s="16" t="s">
        <v>254</v>
      </c>
      <c r="G1120" s="16" t="s">
        <v>215</v>
      </c>
      <c r="H1120" s="16" t="s">
        <v>257</v>
      </c>
      <c r="I1120" s="16" t="s">
        <v>271</v>
      </c>
    </row>
    <row r="1121" ht="242.25" customHeight="1">
      <c r="A1121" s="32" t="b">
        <v>0</v>
      </c>
      <c r="B1121" s="32" t="str">
        <f>IMAGE("https://gymvisual.com/685-catalog_default/cable-side-bend-crunch-bosu-ball.jpg",4,500,500)</f>
        <v/>
      </c>
      <c r="C1121" s="30">
        <v>1120.0</v>
      </c>
      <c r="D1121" s="16" t="s">
        <v>1626</v>
      </c>
      <c r="E1121" s="16" t="s">
        <v>184</v>
      </c>
      <c r="F1121" s="16" t="s">
        <v>254</v>
      </c>
      <c r="G1121" s="16" t="s">
        <v>215</v>
      </c>
      <c r="H1121" s="16" t="s">
        <v>257</v>
      </c>
      <c r="I1121" s="16" t="s">
        <v>256</v>
      </c>
    </row>
    <row r="1122" ht="242.25" customHeight="1">
      <c r="A1122" s="32" t="b">
        <v>0</v>
      </c>
      <c r="B1122" s="32" t="str">
        <f>IMAGE("https://gymvisual.com/691-catalog_default/cable-side-crunch.jpg",4,500,500)</f>
        <v/>
      </c>
      <c r="C1122" s="30">
        <v>1121.0</v>
      </c>
      <c r="D1122" s="16" t="s">
        <v>1627</v>
      </c>
      <c r="E1122" s="16" t="s">
        <v>184</v>
      </c>
      <c r="F1122" s="16" t="s">
        <v>254</v>
      </c>
      <c r="G1122" s="16" t="s">
        <v>215</v>
      </c>
      <c r="H1122" s="16" t="s">
        <v>257</v>
      </c>
      <c r="I1122" s="16" t="s">
        <v>220</v>
      </c>
    </row>
    <row r="1123" ht="242.25" customHeight="1">
      <c r="A1123" s="32" t="b">
        <v>0</v>
      </c>
      <c r="B1123" s="32" t="str">
        <f>IMAGE("https://gymvisual.com/11285-catalog_default/cable-side-crunch-female.jpg",4,500,500)</f>
        <v/>
      </c>
      <c r="C1123" s="30">
        <v>1122.0</v>
      </c>
      <c r="D1123" s="16" t="s">
        <v>1628</v>
      </c>
      <c r="E1123" s="16" t="s">
        <v>184</v>
      </c>
      <c r="F1123" s="16" t="s">
        <v>254</v>
      </c>
      <c r="G1123" s="16" t="s">
        <v>215</v>
      </c>
      <c r="H1123" s="16" t="s">
        <v>220</v>
      </c>
      <c r="I1123" s="16" t="s">
        <v>220</v>
      </c>
    </row>
    <row r="1124" ht="242.25" customHeight="1">
      <c r="A1124" s="32" t="b">
        <v>0</v>
      </c>
      <c r="B1124" s="32" t="str">
        <f>IMAGE("https://gymvisual.com/12189-catalog_default/cable-side-lying-lateral-raise.jpg",4,500,500)</f>
        <v/>
      </c>
      <c r="C1124" s="30">
        <v>1123.0</v>
      </c>
      <c r="D1124" s="16" t="s">
        <v>1629</v>
      </c>
      <c r="E1124" s="16" t="s">
        <v>184</v>
      </c>
      <c r="F1124" s="16" t="s">
        <v>228</v>
      </c>
      <c r="G1124" s="16" t="s">
        <v>215</v>
      </c>
      <c r="H1124" s="16" t="s">
        <v>220</v>
      </c>
      <c r="I1124" s="16" t="s">
        <v>220</v>
      </c>
    </row>
    <row r="1125" ht="242.25" customHeight="1">
      <c r="A1125" s="32" t="b">
        <v>0</v>
      </c>
      <c r="B1125" s="32" t="str">
        <f>IMAGE("https://gymvisual.com/26371-catalog_default/cable-single-arm-neutral-grip-front-raise.jpg",4,500,500)</f>
        <v/>
      </c>
      <c r="C1125" s="30">
        <v>1124.0</v>
      </c>
      <c r="D1125" s="16" t="s">
        <v>1630</v>
      </c>
      <c r="E1125" s="16" t="s">
        <v>184</v>
      </c>
      <c r="F1125" s="16" t="s">
        <v>228</v>
      </c>
      <c r="G1125" s="16" t="s">
        <v>215</v>
      </c>
      <c r="H1125" s="16" t="s">
        <v>220</v>
      </c>
      <c r="I1125" s="16" t="s">
        <v>220</v>
      </c>
    </row>
    <row r="1126" ht="242.25" customHeight="1">
      <c r="A1126" s="32" t="b">
        <v>0</v>
      </c>
      <c r="B1126" s="32" t="str">
        <f>IMAGE("https://gymvisual.com/22841-catalog_default/cable-single-arm-triceps-pushdown-rope-attachment.jpg",4,500,500)</f>
        <v/>
      </c>
      <c r="C1126" s="30">
        <v>1125.0</v>
      </c>
      <c r="D1126" s="16" t="s">
        <v>1631</v>
      </c>
      <c r="E1126" s="16" t="s">
        <v>184</v>
      </c>
      <c r="F1126" s="16" t="s">
        <v>219</v>
      </c>
      <c r="G1126" s="16" t="s">
        <v>215</v>
      </c>
      <c r="H1126" s="16" t="s">
        <v>223</v>
      </c>
      <c r="I1126" s="16" t="s">
        <v>220</v>
      </c>
    </row>
    <row r="1127" ht="242.25" customHeight="1">
      <c r="A1127" s="32" t="b">
        <v>0</v>
      </c>
      <c r="B1127" s="32" t="str">
        <f>IMAGE("https://gymvisual.com/17913-catalog_default/cable-split-stance-horizontal-pallof-press-male.jpg",4,500,500)</f>
        <v/>
      </c>
      <c r="C1127" s="30">
        <v>1126.0</v>
      </c>
      <c r="D1127" s="16" t="s">
        <v>1632</v>
      </c>
      <c r="E1127" s="16" t="s">
        <v>184</v>
      </c>
      <c r="F1127" s="16" t="s">
        <v>254</v>
      </c>
      <c r="G1127" s="16" t="s">
        <v>215</v>
      </c>
      <c r="H1127" s="16" t="s">
        <v>220</v>
      </c>
      <c r="I1127" s="16" t="s">
        <v>220</v>
      </c>
    </row>
    <row r="1128" ht="242.25" customHeight="1">
      <c r="A1128" s="32" t="b">
        <v>0</v>
      </c>
      <c r="B1128" s="32" t="str">
        <f>IMAGE("https://gymvisual.com/7431-catalog_default/cable-squat-row-with-rope-attachment.jpg",4,500,500)</f>
        <v/>
      </c>
      <c r="C1128" s="30">
        <v>1127.0</v>
      </c>
      <c r="D1128" s="16" t="s">
        <v>1633</v>
      </c>
      <c r="E1128" s="16" t="s">
        <v>184</v>
      </c>
      <c r="F1128" s="16" t="s">
        <v>192</v>
      </c>
      <c r="G1128" s="16" t="s">
        <v>215</v>
      </c>
      <c r="H1128" s="16" t="s">
        <v>1634</v>
      </c>
      <c r="I1128" s="16" t="s">
        <v>1635</v>
      </c>
    </row>
    <row r="1129" ht="242.25" customHeight="1">
      <c r="A1129" s="32" t="b">
        <v>0</v>
      </c>
      <c r="B1129" s="32" t="str">
        <f>IMAGE("https://gymvisual.com/11209-catalog_default/cable-squat-row-with-rope-attachment-female.jpg",4,500,500)</f>
        <v/>
      </c>
      <c r="C1129" s="30">
        <v>1128.0</v>
      </c>
      <c r="D1129" s="16" t="s">
        <v>1636</v>
      </c>
      <c r="E1129" s="16" t="s">
        <v>184</v>
      </c>
      <c r="F1129" s="16" t="s">
        <v>484</v>
      </c>
      <c r="G1129" s="16" t="s">
        <v>215</v>
      </c>
      <c r="H1129" s="16" t="s">
        <v>220</v>
      </c>
      <c r="I1129" s="16" t="s">
        <v>220</v>
      </c>
    </row>
    <row r="1130" ht="242.25" customHeight="1">
      <c r="A1130" s="32" t="b">
        <v>0</v>
      </c>
      <c r="B1130" s="32" t="str">
        <f>IMAGE("https://gymvisual.com/7118-catalog_default/cable-squatting-curl.jpg",4,500,500)</f>
        <v/>
      </c>
      <c r="C1130" s="30">
        <v>1129.0</v>
      </c>
      <c r="D1130" s="16" t="s">
        <v>1637</v>
      </c>
      <c r="E1130" s="16" t="s">
        <v>184</v>
      </c>
      <c r="F1130" s="16" t="s">
        <v>219</v>
      </c>
      <c r="G1130" s="16" t="s">
        <v>215</v>
      </c>
      <c r="H1130" s="16" t="s">
        <v>232</v>
      </c>
      <c r="I1130" s="16" t="s">
        <v>233</v>
      </c>
    </row>
    <row r="1131" ht="242.25" customHeight="1">
      <c r="A1131" s="32" t="b">
        <v>0</v>
      </c>
      <c r="B1131" s="32" t="str">
        <f>IMAGE("https://gymvisual.com/13403-catalog_default/cable-squatting-curl-female.jpg",4,500,500)</f>
        <v/>
      </c>
      <c r="C1131" s="30">
        <v>1130.0</v>
      </c>
      <c r="D1131" s="16" t="s">
        <v>1638</v>
      </c>
      <c r="E1131" s="16" t="s">
        <v>184</v>
      </c>
      <c r="F1131" s="16" t="s">
        <v>219</v>
      </c>
      <c r="G1131" s="16" t="s">
        <v>215</v>
      </c>
      <c r="H1131" s="16" t="s">
        <v>220</v>
      </c>
      <c r="I1131" s="16" t="s">
        <v>220</v>
      </c>
    </row>
    <row r="1132" ht="242.25" customHeight="1">
      <c r="A1132" s="32" t="b">
        <v>0</v>
      </c>
      <c r="B1132" s="32" t="str">
        <f>IMAGE("https://gymvisual.com/11835-catalog_default/cable-stand-up-female.jpg",4,500,500)</f>
        <v/>
      </c>
      <c r="C1132" s="30">
        <v>1131.0</v>
      </c>
      <c r="D1132" s="16" t="s">
        <v>1639</v>
      </c>
      <c r="E1132" s="16" t="s">
        <v>184</v>
      </c>
      <c r="F1132" s="16" t="s">
        <v>185</v>
      </c>
      <c r="G1132" s="16" t="s">
        <v>215</v>
      </c>
      <c r="H1132" s="16" t="s">
        <v>189</v>
      </c>
      <c r="I1132" s="16" t="s">
        <v>190</v>
      </c>
    </row>
    <row r="1133" ht="242.25" customHeight="1">
      <c r="A1133" s="32" t="b">
        <v>0</v>
      </c>
      <c r="B1133" s="32" t="str">
        <f>IMAGE("https://gymvisual.com/19417-catalog_default/cable-standing-alternate-low-fly.jpg",4,500,500)</f>
        <v/>
      </c>
      <c r="C1133" s="30">
        <v>1132.0</v>
      </c>
      <c r="D1133" s="16" t="s">
        <v>1640</v>
      </c>
      <c r="E1133" s="16" t="s">
        <v>184</v>
      </c>
      <c r="F1133" s="16" t="s">
        <v>234</v>
      </c>
      <c r="G1133" s="16" t="s">
        <v>215</v>
      </c>
      <c r="H1133" s="16" t="s">
        <v>220</v>
      </c>
      <c r="I1133" s="16" t="s">
        <v>220</v>
      </c>
    </row>
    <row r="1134" ht="242.25" customHeight="1">
      <c r="A1134" s="32" t="b">
        <v>0</v>
      </c>
      <c r="B1134" s="32" t="str">
        <f>IMAGE("https://gymvisual.com/694-catalog_default/cable-standing-back-wrist-curl.jpg",4,500,500)</f>
        <v/>
      </c>
      <c r="C1134" s="30">
        <v>1133.0</v>
      </c>
      <c r="D1134" s="16" t="s">
        <v>1641</v>
      </c>
      <c r="E1134" s="16" t="s">
        <v>184</v>
      </c>
      <c r="F1134" s="16" t="s">
        <v>214</v>
      </c>
      <c r="G1134" s="16" t="s">
        <v>215</v>
      </c>
      <c r="H1134" s="16" t="s">
        <v>720</v>
      </c>
      <c r="I1134" s="16" t="s">
        <v>220</v>
      </c>
    </row>
    <row r="1135" ht="242.25" customHeight="1">
      <c r="A1135" s="32" t="b">
        <v>0</v>
      </c>
      <c r="B1135" s="32" t="str">
        <f>IMAGE("https://gymvisual.com/13405-catalog_default/cable-standing-biceps-curl-with-rope-female.jpg",4,500,500)</f>
        <v/>
      </c>
      <c r="C1135" s="30">
        <v>1134.0</v>
      </c>
      <c r="D1135" s="16" t="s">
        <v>1642</v>
      </c>
      <c r="E1135" s="16" t="s">
        <v>184</v>
      </c>
      <c r="F1135" s="16" t="s">
        <v>219</v>
      </c>
      <c r="G1135" s="16" t="s">
        <v>215</v>
      </c>
      <c r="H1135" s="16" t="s">
        <v>220</v>
      </c>
      <c r="I1135" s="16" t="s">
        <v>220</v>
      </c>
    </row>
    <row r="1136" ht="242.25" customHeight="1">
      <c r="A1136" s="32" t="b">
        <v>0</v>
      </c>
      <c r="B1136" s="32" t="str">
        <f>IMAGE("https://gymvisual.com/6070-catalog_default/cable-standing-calf-raise.jpg",4,500,500)</f>
        <v/>
      </c>
      <c r="C1136" s="30">
        <v>1135.0</v>
      </c>
      <c r="D1136" s="16" t="s">
        <v>1643</v>
      </c>
      <c r="E1136" s="16" t="s">
        <v>184</v>
      </c>
      <c r="F1136" s="16" t="s">
        <v>325</v>
      </c>
      <c r="G1136" s="16" t="s">
        <v>215</v>
      </c>
      <c r="H1136" s="16" t="s">
        <v>368</v>
      </c>
      <c r="I1136" s="16" t="s">
        <v>463</v>
      </c>
    </row>
    <row r="1137" ht="242.25" customHeight="1">
      <c r="A1137" s="32" t="b">
        <v>0</v>
      </c>
      <c r="B1137" s="32" t="str">
        <f>IMAGE("https://gymvisual.com/20557-catalog_default/cable-standing-chest-press.jpg",4,500,500)</f>
        <v/>
      </c>
      <c r="C1137" s="30">
        <v>1136.0</v>
      </c>
      <c r="D1137" s="16" t="s">
        <v>1644</v>
      </c>
      <c r="E1137" s="16" t="s">
        <v>184</v>
      </c>
      <c r="F1137" s="16" t="s">
        <v>234</v>
      </c>
      <c r="G1137" s="16" t="s">
        <v>215</v>
      </c>
      <c r="H1137" s="16" t="s">
        <v>347</v>
      </c>
      <c r="I1137" s="16" t="s">
        <v>382</v>
      </c>
    </row>
    <row r="1138" ht="242.25" customHeight="1">
      <c r="A1138" s="32" t="b">
        <v>0</v>
      </c>
      <c r="B1138" s="32" t="str">
        <f>IMAGE("https://gymvisual.com/13670-catalog_default/cable-standing-chest-press.jpg",4,500,500)</f>
        <v/>
      </c>
      <c r="C1138" s="30">
        <v>1137.0</v>
      </c>
      <c r="D1138" s="16" t="s">
        <v>1644</v>
      </c>
      <c r="E1138" s="16" t="s">
        <v>184</v>
      </c>
      <c r="F1138" s="16" t="s">
        <v>234</v>
      </c>
      <c r="G1138" s="16" t="s">
        <v>215</v>
      </c>
      <c r="H1138" s="16" t="s">
        <v>235</v>
      </c>
      <c r="I1138" s="16" t="s">
        <v>220</v>
      </c>
    </row>
    <row r="1139" ht="242.25" customHeight="1">
      <c r="A1139" s="32" t="b">
        <v>0</v>
      </c>
      <c r="B1139" s="32" t="str">
        <f>IMAGE("https://gymvisual.com/23947-catalog_default/cable-standing-close-grip-row.jpg",4,500,500)</f>
        <v/>
      </c>
      <c r="C1139" s="30">
        <v>1138.0</v>
      </c>
      <c r="D1139" s="16" t="s">
        <v>1645</v>
      </c>
      <c r="E1139" s="16" t="s">
        <v>184</v>
      </c>
      <c r="F1139" s="16" t="s">
        <v>192</v>
      </c>
      <c r="G1139" s="16" t="s">
        <v>215</v>
      </c>
      <c r="H1139" s="16" t="s">
        <v>570</v>
      </c>
      <c r="I1139" s="16" t="s">
        <v>447</v>
      </c>
    </row>
    <row r="1140" ht="242.25" customHeight="1">
      <c r="A1140" s="32" t="b">
        <v>0</v>
      </c>
      <c r="B1140" s="32" t="str">
        <f>IMAGE("https://gymvisual.com/13681-catalog_default/cable-standing-close-press.jpg",4,500,500)</f>
        <v/>
      </c>
      <c r="C1140" s="30">
        <v>1139.0</v>
      </c>
      <c r="D1140" s="16" t="s">
        <v>1646</v>
      </c>
      <c r="E1140" s="16" t="s">
        <v>184</v>
      </c>
      <c r="F1140" s="16" t="s">
        <v>219</v>
      </c>
      <c r="G1140" s="16" t="s">
        <v>215</v>
      </c>
      <c r="H1140" s="16" t="s">
        <v>223</v>
      </c>
      <c r="I1140" s="16" t="s">
        <v>472</v>
      </c>
    </row>
    <row r="1141" ht="242.25" customHeight="1">
      <c r="A1141" s="32" t="b">
        <v>0</v>
      </c>
      <c r="B1141" s="32" t="str">
        <f>IMAGE("https://gymvisual.com/697-catalog_default/cable-standing-cross-over-high-reverse-fly.jpg",4,500,500)</f>
        <v/>
      </c>
      <c r="C1141" s="30">
        <v>1140.0</v>
      </c>
      <c r="D1141" s="16" t="s">
        <v>1647</v>
      </c>
      <c r="E1141" s="16" t="s">
        <v>184</v>
      </c>
      <c r="F1141" s="16" t="s">
        <v>228</v>
      </c>
      <c r="G1141" s="16" t="s">
        <v>215</v>
      </c>
      <c r="H1141" s="16" t="s">
        <v>408</v>
      </c>
      <c r="I1141" s="16" t="s">
        <v>452</v>
      </c>
    </row>
    <row r="1142" ht="242.25" customHeight="1">
      <c r="A1142" s="32" t="b">
        <v>0</v>
      </c>
      <c r="B1142" s="32" t="str">
        <f>IMAGE("https://gymvisual.com/24454-catalog_default/cable-standing-crossover-overhead-tricep-extension.jpg",4,500,500)</f>
        <v/>
      </c>
      <c r="C1142" s="30">
        <v>1141.0</v>
      </c>
      <c r="D1142" s="16" t="s">
        <v>1648</v>
      </c>
      <c r="E1142" s="16" t="s">
        <v>184</v>
      </c>
      <c r="F1142" s="16" t="s">
        <v>219</v>
      </c>
      <c r="G1142" s="16" t="s">
        <v>215</v>
      </c>
      <c r="H1142" s="16" t="s">
        <v>223</v>
      </c>
      <c r="I1142" s="16" t="s">
        <v>220</v>
      </c>
    </row>
    <row r="1143" ht="242.25" customHeight="1">
      <c r="A1143" s="32" t="b">
        <v>0</v>
      </c>
      <c r="B1143" s="32" t="str">
        <f>IMAGE("https://gymvisual.com/700-catalog_default/cable-standing-crunch.jpg",4,500,500)</f>
        <v/>
      </c>
      <c r="C1143" s="30">
        <v>1142.0</v>
      </c>
      <c r="D1143" s="16" t="s">
        <v>1649</v>
      </c>
      <c r="E1143" s="16" t="s">
        <v>184</v>
      </c>
      <c r="F1143" s="16" t="s">
        <v>254</v>
      </c>
      <c r="G1143" s="16" t="s">
        <v>215</v>
      </c>
      <c r="H1143" s="16" t="s">
        <v>256</v>
      </c>
      <c r="I1143" s="16" t="s">
        <v>257</v>
      </c>
    </row>
    <row r="1144" ht="242.25" customHeight="1">
      <c r="A1144" s="32" t="b">
        <v>0</v>
      </c>
      <c r="B1144" s="32" t="str">
        <f>IMAGE("https://gymvisual.com/11288-catalog_default/cable-standing-crunch-female.jpg",4,500,500)</f>
        <v/>
      </c>
      <c r="C1144" s="30">
        <v>1143.0</v>
      </c>
      <c r="D1144" s="16" t="s">
        <v>1650</v>
      </c>
      <c r="E1144" s="16" t="s">
        <v>184</v>
      </c>
      <c r="F1144" s="16" t="s">
        <v>254</v>
      </c>
      <c r="G1144" s="16" t="s">
        <v>215</v>
      </c>
      <c r="H1144" s="16" t="s">
        <v>220</v>
      </c>
      <c r="I1144" s="16" t="s">
        <v>220</v>
      </c>
    </row>
    <row r="1145" ht="242.25" customHeight="1">
      <c r="A1145" s="32" t="b">
        <v>0</v>
      </c>
      <c r="B1145" s="32" t="str">
        <f>IMAGE("https://gymvisual.com/25216-catalog_default/cable-standing-crunch-with-rope-attachment.jpg",4,500,500)</f>
        <v/>
      </c>
      <c r="C1145" s="30">
        <v>1144.0</v>
      </c>
      <c r="D1145" s="16" t="s">
        <v>1651</v>
      </c>
      <c r="E1145" s="16" t="s">
        <v>184</v>
      </c>
      <c r="F1145" s="16" t="s">
        <v>254</v>
      </c>
      <c r="G1145" s="16" t="s">
        <v>215</v>
      </c>
      <c r="H1145" s="16" t="s">
        <v>256</v>
      </c>
      <c r="I1145" s="16" t="s">
        <v>257</v>
      </c>
    </row>
    <row r="1146" ht="242.25" customHeight="1">
      <c r="A1146" s="32" t="b">
        <v>0</v>
      </c>
      <c r="B1146" s="32" t="str">
        <f>IMAGE("https://gymvisual.com/11519-catalog_default/cable-standing-crunch-with-rope-attachment-female.jpg",4,500,500)</f>
        <v/>
      </c>
      <c r="C1146" s="30">
        <v>1145.0</v>
      </c>
      <c r="D1146" s="16" t="s">
        <v>1652</v>
      </c>
      <c r="E1146" s="16" t="s">
        <v>184</v>
      </c>
      <c r="F1146" s="16" t="s">
        <v>254</v>
      </c>
      <c r="G1146" s="16" t="s">
        <v>215</v>
      </c>
      <c r="H1146" s="16" t="s">
        <v>256</v>
      </c>
      <c r="I1146" s="16" t="s">
        <v>257</v>
      </c>
    </row>
    <row r="1147" ht="242.25" customHeight="1">
      <c r="A1147" s="32" t="b">
        <v>0</v>
      </c>
      <c r="B1147" s="32" t="str">
        <f>IMAGE("https://gymvisual.com/24801-catalog_default/cable-standing-face-pull.jpg",4,500,500)</f>
        <v/>
      </c>
      <c r="C1147" s="30">
        <v>1146.0</v>
      </c>
      <c r="D1147" s="16" t="s">
        <v>1653</v>
      </c>
      <c r="E1147" s="16" t="s">
        <v>184</v>
      </c>
      <c r="F1147" s="16" t="s">
        <v>228</v>
      </c>
      <c r="G1147" s="16" t="s">
        <v>215</v>
      </c>
      <c r="H1147" s="16" t="s">
        <v>408</v>
      </c>
      <c r="I1147" s="16" t="s">
        <v>490</v>
      </c>
    </row>
    <row r="1148" ht="242.25" customHeight="1">
      <c r="A1148" s="32" t="b">
        <v>0</v>
      </c>
      <c r="B1148" s="32" t="str">
        <f>IMAGE("https://gymvisual.com/24928-catalog_default/cable-standing-face-pull-with-rope.jpg",4,500,500)</f>
        <v/>
      </c>
      <c r="C1148" s="30">
        <v>1147.0</v>
      </c>
      <c r="D1148" s="16" t="s">
        <v>1654</v>
      </c>
      <c r="E1148" s="16" t="s">
        <v>184</v>
      </c>
      <c r="F1148" s="16" t="s">
        <v>228</v>
      </c>
      <c r="G1148" s="16" t="s">
        <v>215</v>
      </c>
      <c r="H1148" s="16" t="s">
        <v>408</v>
      </c>
      <c r="I1148" s="16" t="s">
        <v>490</v>
      </c>
    </row>
    <row r="1149" ht="242.25" customHeight="1">
      <c r="A1149" s="32" t="b">
        <v>0</v>
      </c>
      <c r="B1149" s="32" t="str">
        <f>IMAGE("https://gymvisual.com/19325-catalog_default/cable-standing-fly.jpg",4,500,500)</f>
        <v/>
      </c>
      <c r="C1149" s="30">
        <v>1148.0</v>
      </c>
      <c r="D1149" s="16" t="s">
        <v>1655</v>
      </c>
      <c r="E1149" s="16" t="s">
        <v>184</v>
      </c>
      <c r="F1149" s="16" t="s">
        <v>234</v>
      </c>
      <c r="G1149" s="16" t="s">
        <v>215</v>
      </c>
      <c r="H1149" s="16" t="s">
        <v>347</v>
      </c>
      <c r="I1149" s="16" t="s">
        <v>882</v>
      </c>
    </row>
    <row r="1150" ht="242.25" customHeight="1">
      <c r="A1150" s="32" t="b">
        <v>0</v>
      </c>
      <c r="B1150" s="32" t="str">
        <f>IMAGE("https://gymvisual.com/17460-catalog_default/cable-standing-front-raise-variation.jpg",4,500,500)</f>
        <v/>
      </c>
      <c r="C1150" s="30">
        <v>1149.0</v>
      </c>
      <c r="D1150" s="16" t="s">
        <v>1656</v>
      </c>
      <c r="E1150" s="16" t="s">
        <v>184</v>
      </c>
      <c r="F1150" s="16" t="s">
        <v>228</v>
      </c>
      <c r="G1150" s="16" t="s">
        <v>215</v>
      </c>
      <c r="H1150" s="16" t="s">
        <v>229</v>
      </c>
      <c r="I1150" s="16" t="s">
        <v>1657</v>
      </c>
    </row>
    <row r="1151" ht="242.25" customHeight="1">
      <c r="A1151" s="32" t="b">
        <v>0</v>
      </c>
      <c r="B1151" s="32" t="str">
        <f>IMAGE("https://gymvisual.com/20050-catalog_default/cable-standing-high-cross-triceps-extension.jpg",4,500,500)</f>
        <v/>
      </c>
      <c r="C1151" s="30">
        <v>1150.0</v>
      </c>
      <c r="D1151" s="16" t="s">
        <v>1658</v>
      </c>
      <c r="E1151" s="16" t="s">
        <v>184</v>
      </c>
      <c r="F1151" s="16" t="s">
        <v>219</v>
      </c>
      <c r="G1151" s="16" t="s">
        <v>215</v>
      </c>
      <c r="H1151" s="16" t="s">
        <v>223</v>
      </c>
      <c r="I1151" s="16" t="s">
        <v>220</v>
      </c>
    </row>
    <row r="1152" ht="242.25" customHeight="1">
      <c r="A1152" s="32" t="b">
        <v>0</v>
      </c>
      <c r="B1152" s="32" t="str">
        <f>IMAGE("https://gymvisual.com/706-catalog_default/cable-standing-hip-extension.jpg",4,500,500)</f>
        <v/>
      </c>
      <c r="C1152" s="30">
        <v>1151.0</v>
      </c>
      <c r="D1152" s="16" t="s">
        <v>1659</v>
      </c>
      <c r="E1152" s="16" t="s">
        <v>184</v>
      </c>
      <c r="F1152" s="16" t="s">
        <v>185</v>
      </c>
      <c r="G1152" s="16" t="s">
        <v>215</v>
      </c>
      <c r="H1152" s="16" t="s">
        <v>187</v>
      </c>
      <c r="I1152" s="16" t="s">
        <v>188</v>
      </c>
    </row>
    <row r="1153" ht="242.25" customHeight="1">
      <c r="A1153" s="32" t="b">
        <v>0</v>
      </c>
      <c r="B1153" s="32" t="str">
        <f>IMAGE("https://gymvisual.com/2770-catalog_default/cable-standing-hip-extension-version-2.jpg",4,500,500)</f>
        <v/>
      </c>
      <c r="C1153" s="30">
        <v>1152.0</v>
      </c>
      <c r="D1153" s="16" t="s">
        <v>1660</v>
      </c>
      <c r="E1153" s="16" t="s">
        <v>184</v>
      </c>
      <c r="F1153" s="16" t="s">
        <v>185</v>
      </c>
      <c r="G1153" s="16" t="s">
        <v>215</v>
      </c>
      <c r="H1153" s="16" t="s">
        <v>187</v>
      </c>
      <c r="I1153" s="16" t="s">
        <v>188</v>
      </c>
    </row>
    <row r="1154" ht="242.25" hidden="1" customHeight="1">
      <c r="B1154" s="32" t="str">
        <f>IMAGE("https://gymvisual.com/11801-catalog_default/cable-standing-hip-thrust-female.jpg",4,500,500)</f>
        <v/>
      </c>
      <c r="C1154" s="30">
        <v>1153.0</v>
      </c>
      <c r="D1154" s="16" t="s">
        <v>1661</v>
      </c>
      <c r="E1154" s="16" t="s">
        <v>184</v>
      </c>
      <c r="F1154" s="16" t="s">
        <v>185</v>
      </c>
      <c r="G1154" s="16" t="s">
        <v>346</v>
      </c>
      <c r="H1154" s="16" t="s">
        <v>220</v>
      </c>
      <c r="I1154" s="16" t="s">
        <v>220</v>
      </c>
    </row>
    <row r="1155" ht="242.25" customHeight="1">
      <c r="A1155" s="32" t="b">
        <v>0</v>
      </c>
      <c r="B1155" s="32" t="str">
        <f>IMAGE("https://gymvisual.com/709-catalog_default/cable-standing-inner-curl.jpg",4,500,500)</f>
        <v/>
      </c>
      <c r="C1155" s="30">
        <v>1154.0</v>
      </c>
      <c r="D1155" s="16" t="s">
        <v>1662</v>
      </c>
      <c r="E1155" s="16" t="s">
        <v>184</v>
      </c>
      <c r="F1155" s="16" t="s">
        <v>219</v>
      </c>
      <c r="G1155" s="16" t="s">
        <v>215</v>
      </c>
      <c r="H1155" s="16" t="s">
        <v>241</v>
      </c>
      <c r="I1155" s="16" t="s">
        <v>232</v>
      </c>
    </row>
    <row r="1156" ht="242.25" customHeight="1">
      <c r="A1156" s="32" t="b">
        <v>0</v>
      </c>
      <c r="B1156" s="32" t="str">
        <f>IMAGE("https://gymvisual.com/11294-catalog_default/cable-standing-inner-curl-female.jpg",4,500,500)</f>
        <v/>
      </c>
      <c r="C1156" s="30">
        <v>1155.0</v>
      </c>
      <c r="D1156" s="16" t="s">
        <v>1663</v>
      </c>
      <c r="E1156" s="16" t="s">
        <v>184</v>
      </c>
      <c r="F1156" s="16" t="s">
        <v>219</v>
      </c>
      <c r="G1156" s="16" t="s">
        <v>215</v>
      </c>
      <c r="H1156" s="16" t="s">
        <v>241</v>
      </c>
      <c r="I1156" s="16" t="s">
        <v>292</v>
      </c>
    </row>
    <row r="1157" ht="242.25" customHeight="1">
      <c r="A1157" s="32" t="b">
        <v>0</v>
      </c>
      <c r="B1157" s="32" t="str">
        <f>IMAGE("https://gymvisual.com/4600-catalog_default/cable-standing-lat-pushdown-rope-equipment.jpg",4,500,500)</f>
        <v/>
      </c>
      <c r="C1157" s="30">
        <v>1156.0</v>
      </c>
      <c r="D1157" s="16" t="s">
        <v>1664</v>
      </c>
      <c r="E1157" s="16" t="s">
        <v>184</v>
      </c>
      <c r="F1157" s="16" t="s">
        <v>192</v>
      </c>
      <c r="G1157" s="16" t="s">
        <v>215</v>
      </c>
      <c r="H1157" s="16" t="s">
        <v>300</v>
      </c>
      <c r="I1157" s="16" t="s">
        <v>781</v>
      </c>
    </row>
    <row r="1158" ht="242.25" customHeight="1">
      <c r="A1158" s="32" t="b">
        <v>0</v>
      </c>
      <c r="B1158" s="32" t="str">
        <f>IMAGE("https://gymvisual.com/6794-catalog_default/cable-standing-leg-curl.jpg",4,500,500)</f>
        <v/>
      </c>
      <c r="C1158" s="30">
        <v>1157.0</v>
      </c>
      <c r="D1158" s="16" t="s">
        <v>1665</v>
      </c>
      <c r="E1158" s="16" t="s">
        <v>184</v>
      </c>
      <c r="F1158" s="16" t="s">
        <v>285</v>
      </c>
      <c r="G1158" s="16" t="s">
        <v>215</v>
      </c>
      <c r="H1158" s="16" t="s">
        <v>220</v>
      </c>
      <c r="I1158" s="16" t="s">
        <v>220</v>
      </c>
    </row>
    <row r="1159" ht="242.25" customHeight="1">
      <c r="A1159" s="32" t="b">
        <v>0</v>
      </c>
      <c r="B1159" s="32" t="str">
        <f>IMAGE("https://gymvisual.com/712-catalog_default/cable-standing-lift.jpg",4,500,500)</f>
        <v/>
      </c>
      <c r="C1159" s="30">
        <v>1158.0</v>
      </c>
      <c r="D1159" s="16" t="s">
        <v>1666</v>
      </c>
      <c r="E1159" s="16" t="s">
        <v>184</v>
      </c>
      <c r="F1159" s="16" t="s">
        <v>254</v>
      </c>
      <c r="G1159" s="16" t="s">
        <v>215</v>
      </c>
      <c r="H1159" s="16" t="s">
        <v>257</v>
      </c>
      <c r="I1159" s="16" t="s">
        <v>1667</v>
      </c>
    </row>
    <row r="1160" ht="242.25" customHeight="1">
      <c r="A1160" s="32" t="b">
        <v>0</v>
      </c>
      <c r="B1160" s="32" t="str">
        <f>IMAGE("https://gymvisual.com/23041-catalog_default/cable-standing-one-arm-hammer-curl-with-rope-attachment.jpg",4,500,500)</f>
        <v/>
      </c>
      <c r="C1160" s="30">
        <v>1159.0</v>
      </c>
      <c r="D1160" s="16" t="s">
        <v>1668</v>
      </c>
      <c r="E1160" s="16" t="s">
        <v>184</v>
      </c>
      <c r="F1160" s="16" t="s">
        <v>219</v>
      </c>
      <c r="G1160" s="16" t="s">
        <v>215</v>
      </c>
      <c r="H1160" s="16" t="s">
        <v>220</v>
      </c>
      <c r="I1160" s="16" t="s">
        <v>220</v>
      </c>
    </row>
    <row r="1161" ht="242.25" customHeight="1">
      <c r="A1161" s="32" t="b">
        <v>0</v>
      </c>
      <c r="B1161" s="32" t="str">
        <f>IMAGE("https://gymvisual.com/4598-catalog_default/cable-standing-one-arm-tricep-pushdown-overhand-grip.jpg",4,500,500)</f>
        <v/>
      </c>
      <c r="C1161" s="30">
        <v>1160.0</v>
      </c>
      <c r="D1161" s="16" t="s">
        <v>1669</v>
      </c>
      <c r="E1161" s="16" t="s">
        <v>184</v>
      </c>
      <c r="F1161" s="16" t="s">
        <v>219</v>
      </c>
      <c r="G1161" s="16" t="s">
        <v>215</v>
      </c>
      <c r="H1161" s="16" t="s">
        <v>223</v>
      </c>
      <c r="I1161" s="16" t="s">
        <v>220</v>
      </c>
    </row>
    <row r="1162" ht="242.25" customHeight="1">
      <c r="A1162" s="32" t="b">
        <v>0</v>
      </c>
      <c r="B1162" s="32" t="str">
        <f>IMAGE("https://gymvisual.com/25649-catalog_default/cable-standing-one-arm-triceps-extension.jpg",4,500,500)</f>
        <v/>
      </c>
      <c r="C1162" s="30">
        <v>1161.0</v>
      </c>
      <c r="D1162" s="16" t="s">
        <v>1670</v>
      </c>
      <c r="E1162" s="16" t="s">
        <v>184</v>
      </c>
      <c r="F1162" s="16" t="s">
        <v>219</v>
      </c>
      <c r="G1162" s="16" t="s">
        <v>215</v>
      </c>
      <c r="H1162" s="16" t="s">
        <v>223</v>
      </c>
      <c r="I1162" s="16" t="s">
        <v>220</v>
      </c>
    </row>
    <row r="1163" ht="242.25" customHeight="1">
      <c r="A1163" s="32" t="b">
        <v>0</v>
      </c>
      <c r="B1163" s="32" t="str">
        <f>IMAGE("https://gymvisual.com/11585-catalog_default/cable-standing-one-arm-triceps-extension-female.jpg",4,500,500)</f>
        <v/>
      </c>
      <c r="C1163" s="30">
        <v>1162.0</v>
      </c>
      <c r="D1163" s="16" t="s">
        <v>1671</v>
      </c>
      <c r="E1163" s="16" t="s">
        <v>184</v>
      </c>
      <c r="F1163" s="16" t="s">
        <v>219</v>
      </c>
      <c r="G1163" s="16" t="s">
        <v>215</v>
      </c>
      <c r="H1163" s="16" t="s">
        <v>223</v>
      </c>
      <c r="I1163" s="16" t="s">
        <v>220</v>
      </c>
    </row>
    <row r="1164" ht="242.25" customHeight="1">
      <c r="A1164" s="32" t="b">
        <v>0</v>
      </c>
      <c r="B1164" s="32" t="str">
        <f>IMAGE("https://gymvisual.com/6071-catalog_default/cable-standing-one-leg-calf-raise.jpg",4,500,500)</f>
        <v/>
      </c>
      <c r="C1164" s="30">
        <v>1163.0</v>
      </c>
      <c r="D1164" s="16" t="s">
        <v>1672</v>
      </c>
      <c r="E1164" s="16" t="s">
        <v>184</v>
      </c>
      <c r="F1164" s="16" t="s">
        <v>325</v>
      </c>
      <c r="G1164" s="16" t="s">
        <v>215</v>
      </c>
      <c r="H1164" s="16" t="s">
        <v>368</v>
      </c>
      <c r="I1164" s="16" t="s">
        <v>463</v>
      </c>
    </row>
    <row r="1165" ht="242.25" customHeight="1">
      <c r="A1165" s="32" t="b">
        <v>0</v>
      </c>
      <c r="B1165" s="32" t="str">
        <f>IMAGE("https://gymvisual.com/718-catalog_default/cable-standing-pulldown-with-rope.jpg",4,500,500)</f>
        <v/>
      </c>
      <c r="C1165" s="30">
        <v>1164.0</v>
      </c>
      <c r="D1165" s="16" t="s">
        <v>1673</v>
      </c>
      <c r="E1165" s="16" t="s">
        <v>184</v>
      </c>
      <c r="F1165" s="16" t="s">
        <v>214</v>
      </c>
      <c r="G1165" s="16" t="s">
        <v>215</v>
      </c>
      <c r="H1165" s="16" t="s">
        <v>216</v>
      </c>
      <c r="I1165" s="16" t="s">
        <v>217</v>
      </c>
    </row>
    <row r="1166" ht="242.25" customHeight="1">
      <c r="A1166" s="32" t="b">
        <v>0</v>
      </c>
      <c r="B1166" s="32" t="str">
        <f>IMAGE("https://gymvisual.com/12978-catalog_default/cable-standing-rear-delt-horizontal-row-with-rope.jpg",4,500,500)</f>
        <v/>
      </c>
      <c r="C1166" s="30">
        <v>1165.0</v>
      </c>
      <c r="D1166" s="16" t="s">
        <v>1674</v>
      </c>
      <c r="E1166" s="16" t="s">
        <v>184</v>
      </c>
      <c r="F1166" s="16" t="s">
        <v>228</v>
      </c>
      <c r="G1166" s="16" t="s">
        <v>215</v>
      </c>
      <c r="H1166" s="16" t="s">
        <v>408</v>
      </c>
      <c r="I1166" s="16" t="s">
        <v>731</v>
      </c>
    </row>
    <row r="1167" ht="242.25" customHeight="1">
      <c r="A1167" s="32" t="b">
        <v>0</v>
      </c>
      <c r="B1167" s="32" t="str">
        <f>IMAGE("https://gymvisual.com/24816-catalog_default/cable-standing-rear-delt-row-with-rope.jpg",4,500,500)</f>
        <v/>
      </c>
      <c r="C1167" s="30">
        <v>1166.0</v>
      </c>
      <c r="D1167" s="16" t="s">
        <v>1675</v>
      </c>
      <c r="E1167" s="16" t="s">
        <v>184</v>
      </c>
      <c r="F1167" s="16" t="s">
        <v>228</v>
      </c>
      <c r="G1167" s="16" t="s">
        <v>215</v>
      </c>
      <c r="H1167" s="16" t="s">
        <v>408</v>
      </c>
      <c r="I1167" s="16" t="s">
        <v>490</v>
      </c>
    </row>
    <row r="1168" ht="242.25" customHeight="1">
      <c r="A1168" s="32" t="b">
        <v>0</v>
      </c>
      <c r="B1168" s="32" t="str">
        <f>IMAGE("https://gymvisual.com/12052-catalog_default/cable-standing-rear-delt-row-with-rope-female.jpg",4,500,500)</f>
        <v/>
      </c>
      <c r="C1168" s="30">
        <v>1167.0</v>
      </c>
      <c r="D1168" s="16" t="s">
        <v>1676</v>
      </c>
      <c r="E1168" s="16" t="s">
        <v>184</v>
      </c>
      <c r="F1168" s="16" t="s">
        <v>228</v>
      </c>
      <c r="G1168" s="16" t="s">
        <v>215</v>
      </c>
      <c r="H1168" s="16" t="s">
        <v>408</v>
      </c>
      <c r="I1168" s="16" t="s">
        <v>452</v>
      </c>
    </row>
    <row r="1169" ht="242.25" customHeight="1">
      <c r="A1169" s="32" t="b">
        <v>0</v>
      </c>
      <c r="B1169" s="32" t="str">
        <f>IMAGE("https://gymvisual.com/12240-catalog_default/cable-standing-reverse-grip-curl-straight-bar.jpg",4,500,500)</f>
        <v/>
      </c>
      <c r="C1169" s="30">
        <v>1168.0</v>
      </c>
      <c r="D1169" s="16" t="s">
        <v>1677</v>
      </c>
      <c r="E1169" s="16" t="s">
        <v>184</v>
      </c>
      <c r="F1169" s="16" t="s">
        <v>214</v>
      </c>
      <c r="G1169" s="16" t="s">
        <v>215</v>
      </c>
      <c r="H1169" s="16" t="s">
        <v>216</v>
      </c>
      <c r="I1169" s="16" t="s">
        <v>217</v>
      </c>
    </row>
    <row r="1170" ht="242.25" customHeight="1">
      <c r="A1170" s="32" t="b">
        <v>0</v>
      </c>
      <c r="B1170" s="32" t="str">
        <f>IMAGE("https://gymvisual.com/12239-catalog_default/cable-standing-reverse-grip-curl-straight-bar-female.jpg",4,500,500)</f>
        <v/>
      </c>
      <c r="C1170" s="30">
        <v>1169.0</v>
      </c>
      <c r="D1170" s="16" t="s">
        <v>1678</v>
      </c>
      <c r="E1170" s="16" t="s">
        <v>184</v>
      </c>
      <c r="F1170" s="16" t="s">
        <v>214</v>
      </c>
      <c r="G1170" s="16" t="s">
        <v>215</v>
      </c>
      <c r="H1170" s="16" t="s">
        <v>216</v>
      </c>
      <c r="I1170" s="16" t="s">
        <v>217</v>
      </c>
    </row>
    <row r="1171" ht="242.25" customHeight="1">
      <c r="A1171" s="32" t="b">
        <v>0</v>
      </c>
      <c r="B1171" s="32" t="str">
        <f>IMAGE("https://gymvisual.com/7446-catalog_default/cable-standing-reverse-grip-one-arm-overhead-tricep-extension.jpg",4,500,500)</f>
        <v/>
      </c>
      <c r="C1171" s="30">
        <v>1170.0</v>
      </c>
      <c r="D1171" s="16" t="s">
        <v>1679</v>
      </c>
      <c r="E1171" s="16" t="s">
        <v>184</v>
      </c>
      <c r="F1171" s="16" t="s">
        <v>219</v>
      </c>
      <c r="G1171" s="16" t="s">
        <v>215</v>
      </c>
      <c r="H1171" s="16" t="s">
        <v>220</v>
      </c>
      <c r="I1171" s="16" t="s">
        <v>220</v>
      </c>
    </row>
    <row r="1172" ht="242.25" customHeight="1">
      <c r="A1172" s="32" t="b">
        <v>0</v>
      </c>
      <c r="B1172" s="32" t="str">
        <f>IMAGE("https://gymvisual.com/21050-catalog_default/cable-standing-row.jpg",4,500,500)</f>
        <v/>
      </c>
      <c r="C1172" s="30">
        <v>1171.0</v>
      </c>
      <c r="D1172" s="16" t="s">
        <v>1680</v>
      </c>
      <c r="E1172" s="16" t="s">
        <v>184</v>
      </c>
      <c r="F1172" s="16" t="s">
        <v>192</v>
      </c>
      <c r="G1172" s="16" t="s">
        <v>215</v>
      </c>
      <c r="H1172" s="16" t="s">
        <v>570</v>
      </c>
      <c r="I1172" s="16" t="s">
        <v>447</v>
      </c>
    </row>
    <row r="1173" ht="242.25" customHeight="1">
      <c r="A1173" s="32" t="b">
        <v>0</v>
      </c>
      <c r="B1173" s="32" t="str">
        <f>IMAGE("https://gymvisual.com/724-catalog_default/cable-standing-row-v-bar.jpg",4,500,500)</f>
        <v/>
      </c>
      <c r="C1173" s="30">
        <v>1172.0</v>
      </c>
      <c r="D1173" s="16" t="s">
        <v>1681</v>
      </c>
      <c r="E1173" s="16" t="s">
        <v>184</v>
      </c>
      <c r="F1173" s="16" t="s">
        <v>192</v>
      </c>
      <c r="G1173" s="16" t="s">
        <v>215</v>
      </c>
      <c r="H1173" s="16" t="s">
        <v>329</v>
      </c>
      <c r="I1173" s="16" t="s">
        <v>457</v>
      </c>
    </row>
    <row r="1174" ht="242.25" customHeight="1">
      <c r="A1174" s="32" t="b">
        <v>0</v>
      </c>
      <c r="B1174" s="32" t="str">
        <f>IMAGE("https://gymvisual.com/26418-catalog_default/cable-standing-shoulder-external-rotation.jpg",4,500,500)</f>
        <v/>
      </c>
      <c r="C1174" s="30">
        <v>1173.0</v>
      </c>
      <c r="D1174" s="16" t="s">
        <v>1682</v>
      </c>
      <c r="E1174" s="16" t="s">
        <v>184</v>
      </c>
      <c r="F1174" s="16" t="s">
        <v>192</v>
      </c>
      <c r="G1174" s="16" t="s">
        <v>215</v>
      </c>
      <c r="H1174" s="16" t="s">
        <v>1607</v>
      </c>
      <c r="I1174" s="16" t="s">
        <v>408</v>
      </c>
    </row>
    <row r="1175" ht="242.25" customHeight="1">
      <c r="A1175" s="32" t="b">
        <v>0</v>
      </c>
      <c r="B1175" s="32" t="str">
        <f>IMAGE("https://gymvisual.com/11522-catalog_default/cable-standing-shoulder-external-rotation-female.jpg",4,500,500)</f>
        <v/>
      </c>
      <c r="C1175" s="30">
        <v>1174.0</v>
      </c>
      <c r="D1175" s="16" t="s">
        <v>1683</v>
      </c>
      <c r="E1175" s="16" t="s">
        <v>184</v>
      </c>
      <c r="F1175" s="16" t="s">
        <v>192</v>
      </c>
      <c r="G1175" s="16" t="s">
        <v>215</v>
      </c>
      <c r="H1175" s="16" t="s">
        <v>220</v>
      </c>
      <c r="I1175" s="16" t="s">
        <v>220</v>
      </c>
    </row>
    <row r="1176" ht="242.25" customHeight="1">
      <c r="A1176" s="32" t="b">
        <v>0</v>
      </c>
      <c r="B1176" s="32" t="str">
        <f>IMAGE("https://gymvisual.com/730-catalog_default/cable-standing-twist-row-v-bar.jpg",4,500,500)</f>
        <v/>
      </c>
      <c r="C1176" s="30">
        <v>1175.0</v>
      </c>
      <c r="D1176" s="16" t="s">
        <v>1684</v>
      </c>
      <c r="E1176" s="16" t="s">
        <v>184</v>
      </c>
      <c r="F1176" s="16" t="s">
        <v>192</v>
      </c>
      <c r="G1176" s="16" t="s">
        <v>215</v>
      </c>
      <c r="H1176" s="16" t="s">
        <v>329</v>
      </c>
      <c r="I1176" s="16" t="s">
        <v>579</v>
      </c>
    </row>
    <row r="1177" ht="242.25" customHeight="1">
      <c r="A1177" s="32" t="b">
        <v>0</v>
      </c>
      <c r="B1177" s="32" t="str">
        <f>IMAGE("https://gymvisual.com/5958-catalog_default/cable-standing-up-straight-crossovers.jpg",4,500,500)</f>
        <v/>
      </c>
      <c r="C1177" s="30">
        <v>1176.0</v>
      </c>
      <c r="D1177" s="16" t="s">
        <v>1685</v>
      </c>
      <c r="E1177" s="16" t="s">
        <v>184</v>
      </c>
      <c r="F1177" s="16" t="s">
        <v>234</v>
      </c>
      <c r="G1177" s="16" t="s">
        <v>215</v>
      </c>
      <c r="H1177" s="16" t="s">
        <v>347</v>
      </c>
      <c r="I1177" s="16" t="s">
        <v>420</v>
      </c>
    </row>
    <row r="1178" ht="242.25" customHeight="1">
      <c r="A1178" s="32" t="b">
        <v>0</v>
      </c>
      <c r="B1178" s="32" t="str">
        <f>IMAGE("https://gymvisual.com/10365-catalog_default/cable-standing-up-straight-crossovers-female.jpg",4,500,500)</f>
        <v/>
      </c>
      <c r="C1178" s="30">
        <v>1177.0</v>
      </c>
      <c r="D1178" s="16" t="s">
        <v>1686</v>
      </c>
      <c r="E1178" s="16" t="s">
        <v>184</v>
      </c>
      <c r="F1178" s="16" t="s">
        <v>234</v>
      </c>
      <c r="G1178" s="16" t="s">
        <v>215</v>
      </c>
      <c r="H1178" s="16" t="s">
        <v>347</v>
      </c>
      <c r="I1178" s="16" t="s">
        <v>420</v>
      </c>
    </row>
    <row r="1179" ht="242.25" customHeight="1">
      <c r="A1179" s="32" t="b">
        <v>0</v>
      </c>
      <c r="B1179" s="32" t="str">
        <f>IMAGE("https://gymvisual.com/11997-catalog_default/cable-stiff-leg-deadlift-from-stepbox.jpg",4,500,500)</f>
        <v/>
      </c>
      <c r="C1179" s="30">
        <v>1178.0</v>
      </c>
      <c r="D1179" s="16" t="s">
        <v>1687</v>
      </c>
      <c r="E1179" s="16" t="s">
        <v>184</v>
      </c>
      <c r="F1179" s="16" t="s">
        <v>185</v>
      </c>
      <c r="G1179" s="16" t="s">
        <v>215</v>
      </c>
      <c r="H1179" s="16" t="s">
        <v>267</v>
      </c>
      <c r="I1179" s="16" t="s">
        <v>188</v>
      </c>
    </row>
    <row r="1180" ht="242.25" customHeight="1">
      <c r="A1180" s="32" t="b">
        <v>0</v>
      </c>
      <c r="B1180" s="32" t="str">
        <f>IMAGE("https://gymvisual.com/736-catalog_default/cable-straight-arm-pulldown.jpg",4,500,500)</f>
        <v/>
      </c>
      <c r="C1180" s="30">
        <v>1179.0</v>
      </c>
      <c r="D1180" s="16" t="s">
        <v>1688</v>
      </c>
      <c r="E1180" s="16" t="s">
        <v>184</v>
      </c>
      <c r="F1180" s="16" t="s">
        <v>192</v>
      </c>
      <c r="G1180" s="16" t="s">
        <v>215</v>
      </c>
      <c r="H1180" s="16" t="s">
        <v>300</v>
      </c>
      <c r="I1180" s="16" t="s">
        <v>1507</v>
      </c>
    </row>
    <row r="1181" ht="242.25" customHeight="1">
      <c r="A1181" s="32" t="b">
        <v>0</v>
      </c>
      <c r="B1181" s="32" t="str">
        <f>IMAGE("https://gymvisual.com/4094-catalog_default/cable-straight-arm-pulldown-version-2.jpg",4,500,500)</f>
        <v/>
      </c>
      <c r="C1181" s="30">
        <v>1180.0</v>
      </c>
      <c r="D1181" s="16" t="s">
        <v>1689</v>
      </c>
      <c r="E1181" s="16" t="s">
        <v>184</v>
      </c>
      <c r="F1181" s="16" t="s">
        <v>192</v>
      </c>
      <c r="G1181" s="16" t="s">
        <v>215</v>
      </c>
      <c r="H1181" s="16" t="s">
        <v>300</v>
      </c>
      <c r="I1181" s="16" t="s">
        <v>687</v>
      </c>
    </row>
    <row r="1182" ht="242.25" customHeight="1">
      <c r="A1182" s="32" t="b">
        <v>0</v>
      </c>
      <c r="B1182" s="32" t="str">
        <f>IMAGE("https://gymvisual.com/16054-catalog_default/cable-straight-arm-pulldown-with-rope.jpg",4,500,500)</f>
        <v/>
      </c>
      <c r="C1182" s="30">
        <v>1181.0</v>
      </c>
      <c r="D1182" s="16" t="s">
        <v>1690</v>
      </c>
      <c r="E1182" s="16" t="s">
        <v>184</v>
      </c>
      <c r="F1182" s="16" t="s">
        <v>192</v>
      </c>
      <c r="G1182" s="16" t="s">
        <v>215</v>
      </c>
      <c r="H1182" s="16" t="s">
        <v>300</v>
      </c>
      <c r="I1182" s="16" t="s">
        <v>1507</v>
      </c>
    </row>
    <row r="1183" ht="242.25" customHeight="1">
      <c r="A1183" s="32" t="b">
        <v>0</v>
      </c>
      <c r="B1183" s="32" t="str">
        <f>IMAGE("https://gymvisual.com/7321-catalog_default/cable-straight-back-seated-row.jpg",4,500,500)</f>
        <v/>
      </c>
      <c r="C1183" s="30">
        <v>1182.0</v>
      </c>
      <c r="D1183" s="16" t="s">
        <v>1691</v>
      </c>
      <c r="E1183" s="16" t="s">
        <v>184</v>
      </c>
      <c r="F1183" s="16" t="s">
        <v>192</v>
      </c>
      <c r="G1183" s="16" t="s">
        <v>215</v>
      </c>
      <c r="H1183" s="16" t="s">
        <v>329</v>
      </c>
      <c r="I1183" s="16" t="s">
        <v>457</v>
      </c>
    </row>
    <row r="1184" ht="242.25" customHeight="1">
      <c r="A1184" s="32" t="b">
        <v>0</v>
      </c>
      <c r="B1184" s="32" t="str">
        <f>IMAGE("https://gymvisual.com/13407-catalog_default/cable-straight-back-seated-row-female.jpg",4,500,500)</f>
        <v/>
      </c>
      <c r="C1184" s="30">
        <v>1183.0</v>
      </c>
      <c r="D1184" s="16" t="s">
        <v>1692</v>
      </c>
      <c r="E1184" s="16" t="s">
        <v>184</v>
      </c>
      <c r="F1184" s="16" t="s">
        <v>192</v>
      </c>
      <c r="G1184" s="16" t="s">
        <v>215</v>
      </c>
      <c r="H1184" s="16" t="s">
        <v>570</v>
      </c>
      <c r="I1184" s="16" t="s">
        <v>447</v>
      </c>
    </row>
    <row r="1185" ht="242.25" customHeight="1">
      <c r="A1185" s="32" t="b">
        <v>0</v>
      </c>
      <c r="B1185" s="32" t="str">
        <f>IMAGE("https://gymvisual.com/10151-catalog_default/cable-straight-legs-pull-through-with-rope-female.jpg",4,500,500)</f>
        <v/>
      </c>
      <c r="C1185" s="30">
        <v>1184.0</v>
      </c>
      <c r="D1185" s="16" t="s">
        <v>1693</v>
      </c>
      <c r="E1185" s="16" t="s">
        <v>184</v>
      </c>
      <c r="F1185" s="16" t="s">
        <v>185</v>
      </c>
      <c r="G1185" s="16" t="s">
        <v>215</v>
      </c>
      <c r="H1185" s="16" t="s">
        <v>187</v>
      </c>
      <c r="I1185" s="16" t="s">
        <v>188</v>
      </c>
    </row>
    <row r="1186" ht="242.25" customHeight="1">
      <c r="A1186" s="32" t="b">
        <v>0</v>
      </c>
      <c r="B1186" s="32" t="str">
        <f>IMAGE("https://gymvisual.com/18892-catalog_default/cable-supine-reverse-fly.jpg",4,500,500)</f>
        <v/>
      </c>
      <c r="C1186" s="30">
        <v>1185.0</v>
      </c>
      <c r="D1186" s="16" t="s">
        <v>1694</v>
      </c>
      <c r="E1186" s="16" t="s">
        <v>184</v>
      </c>
      <c r="F1186" s="16" t="s">
        <v>228</v>
      </c>
      <c r="G1186" s="16" t="s">
        <v>215</v>
      </c>
      <c r="H1186" s="16" t="s">
        <v>408</v>
      </c>
      <c r="I1186" s="16" t="s">
        <v>1695</v>
      </c>
    </row>
    <row r="1187" ht="242.25" customHeight="1">
      <c r="A1187" s="32" t="b">
        <v>0</v>
      </c>
      <c r="B1187" s="32" t="str">
        <f>IMAGE("https://gymvisual.com/10571-catalog_default/cable-thibaudeau-kayak-row.jpg",4,500,500)</f>
        <v/>
      </c>
      <c r="C1187" s="30">
        <v>1186.0</v>
      </c>
      <c r="D1187" s="16" t="s">
        <v>1696</v>
      </c>
      <c r="E1187" s="16" t="s">
        <v>184</v>
      </c>
      <c r="F1187" s="16" t="s">
        <v>361</v>
      </c>
      <c r="G1187" s="16" t="s">
        <v>215</v>
      </c>
      <c r="H1187" s="16" t="s">
        <v>1697</v>
      </c>
      <c r="I1187" s="16" t="s">
        <v>1698</v>
      </c>
    </row>
    <row r="1188" ht="242.25" customHeight="1">
      <c r="A1188" s="32" t="b">
        <v>0</v>
      </c>
      <c r="B1188" s="32" t="str">
        <f>IMAGE("https://gymvisual.com/6946-catalog_default/cable-triceps-pushdown-sz-bar.jpg",4,500,500)</f>
        <v/>
      </c>
      <c r="C1188" s="30">
        <v>1187.0</v>
      </c>
      <c r="D1188" s="16" t="s">
        <v>1699</v>
      </c>
      <c r="E1188" s="16" t="s">
        <v>184</v>
      </c>
      <c r="F1188" s="16" t="s">
        <v>219</v>
      </c>
      <c r="G1188" s="16" t="s">
        <v>215</v>
      </c>
      <c r="H1188" s="16" t="s">
        <v>223</v>
      </c>
      <c r="I1188" s="16" t="s">
        <v>220</v>
      </c>
    </row>
    <row r="1189" ht="242.25" customHeight="1">
      <c r="A1189" s="32" t="b">
        <v>0</v>
      </c>
      <c r="B1189" s="32" t="str">
        <f>IMAGE("https://gymvisual.com/9661-catalog_default/cable-triceps-pushdown-v-bar-female.jpg",4,500,500)</f>
        <v/>
      </c>
      <c r="C1189" s="30">
        <v>1188.0</v>
      </c>
      <c r="D1189" s="16" t="s">
        <v>1700</v>
      </c>
      <c r="E1189" s="16" t="s">
        <v>184</v>
      </c>
      <c r="F1189" s="16" t="s">
        <v>219</v>
      </c>
      <c r="G1189" s="16" t="s">
        <v>215</v>
      </c>
      <c r="H1189" s="16" t="s">
        <v>223</v>
      </c>
      <c r="I1189" s="16" t="s">
        <v>220</v>
      </c>
    </row>
    <row r="1190" ht="242.25" customHeight="1">
      <c r="A1190" s="32" t="b">
        <v>0</v>
      </c>
      <c r="B1190" s="32" t="str">
        <f>IMAGE("https://gymvisual.com/745-catalog_default/cable-triceps-pushdown-v-bar.jpg",4,500,500)</f>
        <v/>
      </c>
      <c r="C1190" s="30">
        <v>1189.0</v>
      </c>
      <c r="D1190" s="16" t="s">
        <v>1701</v>
      </c>
      <c r="E1190" s="16" t="s">
        <v>184</v>
      </c>
      <c r="F1190" s="16" t="s">
        <v>219</v>
      </c>
      <c r="G1190" s="16" t="s">
        <v>215</v>
      </c>
      <c r="H1190" s="16" t="s">
        <v>223</v>
      </c>
      <c r="I1190" s="16" t="s">
        <v>220</v>
      </c>
    </row>
    <row r="1191" ht="242.25" customHeight="1">
      <c r="A1191" s="32" t="b">
        <v>0</v>
      </c>
      <c r="B1191" s="32" t="str">
        <f>IMAGE("https://gymvisual.com/18876-catalog_default/cable-triceps-pushdown-v-bar-version-2.jpg",4,500,500)</f>
        <v/>
      </c>
      <c r="C1191" s="30">
        <v>1190.0</v>
      </c>
      <c r="D1191" s="16" t="s">
        <v>1702</v>
      </c>
      <c r="E1191" s="16" t="s">
        <v>184</v>
      </c>
      <c r="F1191" s="16" t="s">
        <v>219</v>
      </c>
      <c r="G1191" s="16" t="s">
        <v>215</v>
      </c>
      <c r="H1191" s="16" t="s">
        <v>223</v>
      </c>
      <c r="I1191" s="16" t="s">
        <v>220</v>
      </c>
    </row>
    <row r="1192" ht="242.25" customHeight="1">
      <c r="A1192" s="32" t="b">
        <v>0</v>
      </c>
      <c r="B1192" s="32" t="str">
        <f>IMAGE("https://gymvisual.com/10458-catalog_default/cable-triceps-pushdown-v-bar-with-arm-blaster.jpg",4,500,500)</f>
        <v/>
      </c>
      <c r="C1192" s="30">
        <v>1191.0</v>
      </c>
      <c r="D1192" s="16" t="s">
        <v>1703</v>
      </c>
      <c r="E1192" s="16" t="s">
        <v>184</v>
      </c>
      <c r="F1192" s="16" t="s">
        <v>219</v>
      </c>
      <c r="G1192" s="16" t="s">
        <v>215</v>
      </c>
      <c r="H1192" s="16" t="s">
        <v>223</v>
      </c>
      <c r="I1192" s="16" t="s">
        <v>220</v>
      </c>
    </row>
    <row r="1193" ht="242.25" customHeight="1">
      <c r="A1193" s="32" t="b">
        <v>0</v>
      </c>
      <c r="B1193" s="32" t="str">
        <f>IMAGE("https://gymvisual.com/17187-catalog_default/cable-triceps-pushdown-on-floor.jpg",4,500,500)</f>
        <v/>
      </c>
      <c r="C1193" s="30">
        <v>1192.0</v>
      </c>
      <c r="D1193" s="16" t="s">
        <v>1704</v>
      </c>
      <c r="E1193" s="16" t="s">
        <v>184</v>
      </c>
      <c r="F1193" s="16" t="s">
        <v>219</v>
      </c>
      <c r="G1193" s="16" t="s">
        <v>215</v>
      </c>
      <c r="H1193" s="16" t="s">
        <v>223</v>
      </c>
      <c r="I1193" s="16" t="s">
        <v>220</v>
      </c>
    </row>
    <row r="1194" ht="242.25" customHeight="1">
      <c r="A1194" s="32" t="b">
        <v>0</v>
      </c>
      <c r="B1194" s="32" t="str">
        <f>IMAGE("https://gymvisual.com/748-catalog_default/cable-tuck-reverse-crunch.jpg",4,500,500)</f>
        <v/>
      </c>
      <c r="C1194" s="30">
        <v>1193.0</v>
      </c>
      <c r="D1194" s="16" t="s">
        <v>1705</v>
      </c>
      <c r="E1194" s="16" t="s">
        <v>184</v>
      </c>
      <c r="F1194" s="16" t="s">
        <v>254</v>
      </c>
      <c r="G1194" s="16" t="s">
        <v>215</v>
      </c>
      <c r="H1194" s="16" t="s">
        <v>305</v>
      </c>
      <c r="I1194" s="16" t="s">
        <v>524</v>
      </c>
    </row>
    <row r="1195" ht="242.25" customHeight="1">
      <c r="A1195" s="32" t="b">
        <v>0</v>
      </c>
      <c r="B1195" s="32" t="str">
        <f>IMAGE("https://gymvisual.com/751-catalog_default/cable-twist.jpg",4,500,500)</f>
        <v/>
      </c>
      <c r="C1195" s="30">
        <v>1194.0</v>
      </c>
      <c r="D1195" s="16" t="s">
        <v>1706</v>
      </c>
      <c r="E1195" s="16" t="s">
        <v>184</v>
      </c>
      <c r="F1195" s="16" t="s">
        <v>254</v>
      </c>
      <c r="G1195" s="16" t="s">
        <v>215</v>
      </c>
      <c r="H1195" s="16" t="s">
        <v>257</v>
      </c>
      <c r="I1195" s="16" t="s">
        <v>1707</v>
      </c>
    </row>
    <row r="1196" ht="242.25" customHeight="1">
      <c r="A1196" s="32" t="b">
        <v>0</v>
      </c>
      <c r="B1196" s="32" t="str">
        <f>IMAGE("https://gymvisual.com/4575-catalog_default/cable-twist-down-up.jpg",4,500,500)</f>
        <v/>
      </c>
      <c r="C1196" s="30">
        <v>1195.0</v>
      </c>
      <c r="D1196" s="16" t="s">
        <v>1708</v>
      </c>
      <c r="E1196" s="16" t="s">
        <v>184</v>
      </c>
      <c r="F1196" s="16" t="s">
        <v>254</v>
      </c>
      <c r="G1196" s="16" t="s">
        <v>215</v>
      </c>
      <c r="H1196" s="16" t="s">
        <v>257</v>
      </c>
      <c r="I1196" s="16" t="s">
        <v>1709</v>
      </c>
    </row>
    <row r="1197" ht="242.25" customHeight="1">
      <c r="A1197" s="32" t="b">
        <v>0</v>
      </c>
      <c r="B1197" s="32" t="str">
        <f>IMAGE("https://gymvisual.com/10978-catalog_default/cable-twist-female.jpg",4,500,500)</f>
        <v/>
      </c>
      <c r="C1197" s="30">
        <v>1196.0</v>
      </c>
      <c r="D1197" s="16" t="s">
        <v>1710</v>
      </c>
      <c r="E1197" s="16" t="s">
        <v>184</v>
      </c>
      <c r="F1197" s="16" t="s">
        <v>254</v>
      </c>
      <c r="G1197" s="16" t="s">
        <v>215</v>
      </c>
      <c r="H1197" s="16" t="s">
        <v>257</v>
      </c>
      <c r="I1197" s="16" t="s">
        <v>271</v>
      </c>
    </row>
    <row r="1198" ht="242.25" customHeight="1">
      <c r="A1198" s="32" t="b">
        <v>0</v>
      </c>
      <c r="B1198" s="32" t="str">
        <f>IMAGE("https://gymvisual.com/4576-catalog_default/cable-twist-up-down-version-2.jpg",4,500,500)</f>
        <v/>
      </c>
      <c r="C1198" s="30">
        <v>1197.0</v>
      </c>
      <c r="D1198" s="16" t="s">
        <v>1711</v>
      </c>
      <c r="E1198" s="16" t="s">
        <v>184</v>
      </c>
      <c r="F1198" s="16" t="s">
        <v>254</v>
      </c>
      <c r="G1198" s="16" t="s">
        <v>215</v>
      </c>
      <c r="H1198" s="16" t="s">
        <v>257</v>
      </c>
      <c r="I1198" s="16" t="s">
        <v>695</v>
      </c>
    </row>
    <row r="1199" ht="242.25" customHeight="1">
      <c r="A1199" s="32" t="b">
        <v>0</v>
      </c>
      <c r="B1199" s="32" t="str">
        <f>IMAGE("https://gymvisual.com/2625-catalog_default/cable-twist-up-down.jpg",4,500,500)</f>
        <v/>
      </c>
      <c r="C1199" s="30">
        <v>1198.0</v>
      </c>
      <c r="D1199" s="16" t="s">
        <v>1712</v>
      </c>
      <c r="E1199" s="16" t="s">
        <v>184</v>
      </c>
      <c r="F1199" s="16" t="s">
        <v>254</v>
      </c>
      <c r="G1199" s="16" t="s">
        <v>215</v>
      </c>
      <c r="H1199" s="16" t="s">
        <v>257</v>
      </c>
      <c r="I1199" s="16" t="s">
        <v>1713</v>
      </c>
    </row>
    <row r="1200" ht="242.25" customHeight="1">
      <c r="A1200" s="32" t="b">
        <v>0</v>
      </c>
      <c r="B1200" s="32" t="str">
        <f>IMAGE("https://gymvisual.com/4100-catalog_default/cable-twist-version-2.jpg",4,500,500)</f>
        <v/>
      </c>
      <c r="C1200" s="30">
        <v>1199.0</v>
      </c>
      <c r="D1200" s="16" t="s">
        <v>1714</v>
      </c>
      <c r="E1200" s="16" t="s">
        <v>184</v>
      </c>
      <c r="F1200" s="16" t="s">
        <v>254</v>
      </c>
      <c r="G1200" s="16" t="s">
        <v>215</v>
      </c>
      <c r="H1200" s="16" t="s">
        <v>257</v>
      </c>
      <c r="I1200" s="16" t="s">
        <v>1715</v>
      </c>
    </row>
    <row r="1201" ht="242.25" customHeight="1">
      <c r="A1201" s="32" t="b">
        <v>0</v>
      </c>
      <c r="B1201" s="32" t="str">
        <f>IMAGE("https://gymvisual.com/22536-catalog_default/cable-twist-version-2-male.jpg",4,500,500)</f>
        <v/>
      </c>
      <c r="C1201" s="30">
        <v>1200.0</v>
      </c>
      <c r="D1201" s="16" t="s">
        <v>1716</v>
      </c>
      <c r="E1201" s="16" t="s">
        <v>184</v>
      </c>
      <c r="F1201" s="16" t="s">
        <v>254</v>
      </c>
      <c r="G1201" s="16" t="s">
        <v>215</v>
      </c>
      <c r="H1201" s="16" t="s">
        <v>220</v>
      </c>
      <c r="I1201" s="16" t="s">
        <v>220</v>
      </c>
    </row>
    <row r="1202" ht="242.25" customHeight="1">
      <c r="A1202" s="32" t="b">
        <v>0</v>
      </c>
      <c r="B1202" s="32" t="str">
        <f>IMAGE("https://gymvisual.com/4577-catalog_default/cable-twisting-overhead-press.jpg",4,500,500)</f>
        <v/>
      </c>
      <c r="C1202" s="30">
        <v>1201.0</v>
      </c>
      <c r="D1202" s="16" t="s">
        <v>1717</v>
      </c>
      <c r="E1202" s="16" t="s">
        <v>184</v>
      </c>
      <c r="F1202" s="16" t="s">
        <v>228</v>
      </c>
      <c r="G1202" s="16" t="s">
        <v>215</v>
      </c>
      <c r="H1202" s="16" t="s">
        <v>229</v>
      </c>
      <c r="I1202" s="16" t="s">
        <v>1718</v>
      </c>
    </row>
    <row r="1203" ht="242.25" customHeight="1">
      <c r="A1203" s="32" t="b">
        <v>0</v>
      </c>
      <c r="B1203" s="32" t="str">
        <f>IMAGE("https://gymvisual.com/11185-catalog_default/cable-twisting-overhead-press-female.jpg",4,500,500)</f>
        <v/>
      </c>
      <c r="C1203" s="30">
        <v>1202.0</v>
      </c>
      <c r="D1203" s="16" t="s">
        <v>1719</v>
      </c>
      <c r="E1203" s="16" t="s">
        <v>184</v>
      </c>
      <c r="F1203" s="16" t="s">
        <v>1720</v>
      </c>
      <c r="G1203" s="16" t="s">
        <v>215</v>
      </c>
      <c r="H1203" s="16" t="s">
        <v>220</v>
      </c>
      <c r="I1203" s="16" t="s">
        <v>220</v>
      </c>
    </row>
    <row r="1204" ht="242.25" customHeight="1">
      <c r="A1204" s="32" t="b">
        <v>0</v>
      </c>
      <c r="B1204" s="32" t="str">
        <f>IMAGE("https://gymvisual.com/754-catalog_default/cable-twisting-pull.jpg",4,500,500)</f>
        <v/>
      </c>
      <c r="C1204" s="30">
        <v>1203.0</v>
      </c>
      <c r="D1204" s="16" t="s">
        <v>1721</v>
      </c>
      <c r="E1204" s="16" t="s">
        <v>184</v>
      </c>
      <c r="F1204" s="16" t="s">
        <v>192</v>
      </c>
      <c r="G1204" s="16" t="s">
        <v>215</v>
      </c>
      <c r="H1204" s="16" t="s">
        <v>300</v>
      </c>
      <c r="I1204" s="16" t="s">
        <v>1722</v>
      </c>
    </row>
    <row r="1205" ht="242.25" customHeight="1">
      <c r="A1205" s="32" t="b">
        <v>0</v>
      </c>
      <c r="B1205" s="32" t="str">
        <f>IMAGE("https://gymvisual.com/4578-catalog_default/cable-twisting-standing-high-row.jpg",4,500,500)</f>
        <v/>
      </c>
      <c r="C1205" s="30">
        <v>1204.0</v>
      </c>
      <c r="D1205" s="16" t="s">
        <v>1723</v>
      </c>
      <c r="E1205" s="16" t="s">
        <v>184</v>
      </c>
      <c r="F1205" s="16" t="s">
        <v>192</v>
      </c>
      <c r="G1205" s="16" t="s">
        <v>215</v>
      </c>
      <c r="H1205" s="16" t="s">
        <v>329</v>
      </c>
      <c r="I1205" s="16" t="s">
        <v>1724</v>
      </c>
    </row>
    <row r="1206" ht="242.25" customHeight="1">
      <c r="A1206" s="32" t="b">
        <v>0</v>
      </c>
      <c r="B1206" s="32" t="str">
        <f>IMAGE("https://gymvisual.com/4579-catalog_default/cable-twisting-standing-one-arm-chest-press.jpg",4,500,500)</f>
        <v/>
      </c>
      <c r="C1206" s="30">
        <v>1205.0</v>
      </c>
      <c r="D1206" s="16" t="s">
        <v>1725</v>
      </c>
      <c r="E1206" s="16" t="s">
        <v>184</v>
      </c>
      <c r="F1206" s="16" t="s">
        <v>234</v>
      </c>
      <c r="G1206" s="16" t="s">
        <v>215</v>
      </c>
      <c r="H1206" s="16" t="s">
        <v>347</v>
      </c>
      <c r="I1206" s="16" t="s">
        <v>1726</v>
      </c>
    </row>
    <row r="1207" ht="242.25" customHeight="1">
      <c r="A1207" s="32" t="b">
        <v>0</v>
      </c>
      <c r="B1207" s="32" t="str">
        <f>IMAGE("https://gymvisual.com/4580-catalog_default/cable-twisting-standing-row.jpg",4,500,500)</f>
        <v/>
      </c>
      <c r="C1207" s="30">
        <v>1206.0</v>
      </c>
      <c r="D1207" s="16" t="s">
        <v>1727</v>
      </c>
      <c r="E1207" s="16" t="s">
        <v>184</v>
      </c>
      <c r="F1207" s="16" t="s">
        <v>192</v>
      </c>
      <c r="G1207" s="16" t="s">
        <v>215</v>
      </c>
      <c r="H1207" s="16" t="s">
        <v>329</v>
      </c>
      <c r="I1207" s="16" t="s">
        <v>1728</v>
      </c>
    </row>
    <row r="1208" ht="242.25" customHeight="1">
      <c r="A1208" s="32" t="b">
        <v>0</v>
      </c>
      <c r="B1208" s="32" t="str">
        <f>IMAGE("https://gymvisual.com/7119-catalog_default/cable-two-arm-curl-on-incline-bench.jpg",4,500,500)</f>
        <v/>
      </c>
      <c r="C1208" s="30">
        <v>1207.0</v>
      </c>
      <c r="D1208" s="16" t="s">
        <v>1729</v>
      </c>
      <c r="E1208" s="16" t="s">
        <v>184</v>
      </c>
      <c r="F1208" s="16" t="s">
        <v>219</v>
      </c>
      <c r="G1208" s="16" t="s">
        <v>215</v>
      </c>
      <c r="H1208" s="16" t="s">
        <v>220</v>
      </c>
      <c r="I1208" s="16" t="s">
        <v>220</v>
      </c>
    </row>
    <row r="1209" ht="242.25" customHeight="1">
      <c r="A1209" s="32" t="b">
        <v>0</v>
      </c>
      <c r="B1209" s="32" t="str">
        <f>IMAGE("https://gymvisual.com/7447-catalog_default/cable-two-arm-tricep-kickback.jpg",4,500,500)</f>
        <v/>
      </c>
      <c r="C1209" s="30">
        <v>1208.0</v>
      </c>
      <c r="D1209" s="16" t="s">
        <v>1730</v>
      </c>
      <c r="E1209" s="16" t="s">
        <v>184</v>
      </c>
      <c r="F1209" s="16" t="s">
        <v>219</v>
      </c>
      <c r="G1209" s="16" t="s">
        <v>215</v>
      </c>
      <c r="H1209" s="16" t="s">
        <v>220</v>
      </c>
      <c r="I1209" s="16" t="s">
        <v>220</v>
      </c>
    </row>
    <row r="1210" ht="242.25" customHeight="1">
      <c r="A1210" s="32" t="b">
        <v>0</v>
      </c>
      <c r="B1210" s="32" t="str">
        <f>IMAGE("https://gymvisual.com/13409-catalog_default/cable-two-arm-tricep-kickback-female.jpg",4,500,500)</f>
        <v/>
      </c>
      <c r="C1210" s="30">
        <v>1209.0</v>
      </c>
      <c r="D1210" s="16" t="s">
        <v>1731</v>
      </c>
      <c r="E1210" s="16" t="s">
        <v>184</v>
      </c>
      <c r="F1210" s="16" t="s">
        <v>219</v>
      </c>
      <c r="G1210" s="16" t="s">
        <v>215</v>
      </c>
      <c r="H1210" s="16" t="s">
        <v>220</v>
      </c>
      <c r="I1210" s="16" t="s">
        <v>220</v>
      </c>
    </row>
    <row r="1211" ht="242.25" customHeight="1">
      <c r="A1211" s="32" t="b">
        <v>0</v>
      </c>
      <c r="B1211" s="32" t="str">
        <f>IMAGE("https://gymvisual.com/2586-catalog_default/cable-underhand-pulldown.jpg",4,500,500)</f>
        <v/>
      </c>
      <c r="C1211" s="30">
        <v>1210.0</v>
      </c>
      <c r="D1211" s="16" t="s">
        <v>1732</v>
      </c>
      <c r="E1211" s="16" t="s">
        <v>184</v>
      </c>
      <c r="F1211" s="16" t="s">
        <v>192</v>
      </c>
      <c r="G1211" s="16" t="s">
        <v>215</v>
      </c>
      <c r="H1211" s="16" t="s">
        <v>300</v>
      </c>
      <c r="I1211" s="16" t="s">
        <v>1733</v>
      </c>
    </row>
    <row r="1212" ht="242.25" customHeight="1">
      <c r="A1212" s="32" t="b">
        <v>0</v>
      </c>
      <c r="B1212" s="32" t="str">
        <f>IMAGE("https://gymvisual.com/22361-catalog_default/cable-unilateral-bicep-curl.jpg",4,500,500)</f>
        <v/>
      </c>
      <c r="C1212" s="30">
        <v>1211.0</v>
      </c>
      <c r="D1212" s="16" t="s">
        <v>1734</v>
      </c>
      <c r="E1212" s="16" t="s">
        <v>184</v>
      </c>
      <c r="F1212" s="16" t="s">
        <v>219</v>
      </c>
      <c r="G1212" s="16" t="s">
        <v>215</v>
      </c>
      <c r="H1212" s="16" t="s">
        <v>220</v>
      </c>
      <c r="I1212" s="16" t="s">
        <v>220</v>
      </c>
    </row>
    <row r="1213" ht="242.25" customHeight="1">
      <c r="A1213" s="32" t="b">
        <v>0</v>
      </c>
      <c r="B1213" s="32" t="str">
        <f>IMAGE("https://gymvisual.com/5959-catalog_default/cable-upper-chest-crossovers.jpg",4,500,500)</f>
        <v/>
      </c>
      <c r="C1213" s="30">
        <v>1212.0</v>
      </c>
      <c r="D1213" s="16" t="s">
        <v>1735</v>
      </c>
      <c r="E1213" s="16" t="s">
        <v>184</v>
      </c>
      <c r="F1213" s="16" t="s">
        <v>234</v>
      </c>
      <c r="G1213" s="16" t="s">
        <v>215</v>
      </c>
      <c r="H1213" s="16" t="s">
        <v>415</v>
      </c>
      <c r="I1213" s="16" t="s">
        <v>236</v>
      </c>
    </row>
    <row r="1214" ht="242.25" customHeight="1">
      <c r="A1214" s="32" t="b">
        <v>0</v>
      </c>
      <c r="B1214" s="32" t="str">
        <f>IMAGE("https://gymvisual.com/10951-catalog_default/cable-upper-chest-crossovers-female.jpg",4,500,500)</f>
        <v/>
      </c>
      <c r="C1214" s="30">
        <v>1213.0</v>
      </c>
      <c r="D1214" s="16" t="s">
        <v>1736</v>
      </c>
      <c r="E1214" s="16" t="s">
        <v>184</v>
      </c>
      <c r="F1214" s="16" t="s">
        <v>234</v>
      </c>
      <c r="G1214" s="16" t="s">
        <v>215</v>
      </c>
      <c r="H1214" s="16" t="s">
        <v>220</v>
      </c>
      <c r="I1214" s="16" t="s">
        <v>220</v>
      </c>
    </row>
    <row r="1215" ht="242.25" customHeight="1">
      <c r="A1215" s="32" t="b">
        <v>0</v>
      </c>
      <c r="B1215" s="32" t="str">
        <f>IMAGE("https://gymvisual.com/6015-catalog_default/cable-upper-row.jpg",4,500,500)</f>
        <v/>
      </c>
      <c r="C1215" s="30">
        <v>1214.0</v>
      </c>
      <c r="D1215" s="16" t="s">
        <v>1737</v>
      </c>
      <c r="E1215" s="16" t="s">
        <v>184</v>
      </c>
      <c r="F1215" s="16" t="s">
        <v>192</v>
      </c>
      <c r="G1215" s="16" t="s">
        <v>215</v>
      </c>
      <c r="H1215" s="16" t="s">
        <v>329</v>
      </c>
      <c r="I1215" s="16" t="s">
        <v>457</v>
      </c>
    </row>
    <row r="1216" ht="242.25" customHeight="1">
      <c r="A1216" s="32" t="b">
        <v>0</v>
      </c>
      <c r="B1216" s="32" t="str">
        <f>IMAGE("https://gymvisual.com/24818-catalog_default/cable-upright-row.jpg",4,500,500)</f>
        <v/>
      </c>
      <c r="C1216" s="30">
        <v>1215.0</v>
      </c>
      <c r="D1216" s="16" t="s">
        <v>1738</v>
      </c>
      <c r="E1216" s="16" t="s">
        <v>184</v>
      </c>
      <c r="F1216" s="16" t="s">
        <v>228</v>
      </c>
      <c r="G1216" s="16" t="s">
        <v>215</v>
      </c>
      <c r="H1216" s="16" t="s">
        <v>544</v>
      </c>
      <c r="I1216" s="16" t="s">
        <v>1151</v>
      </c>
    </row>
    <row r="1217" ht="242.25" customHeight="1">
      <c r="A1217" s="32" t="b">
        <v>0</v>
      </c>
      <c r="B1217" s="32" t="str">
        <f>IMAGE("https://gymvisual.com/22552-catalog_default/cable-upright-row-female.jpg",4,500,500)</f>
        <v/>
      </c>
      <c r="C1217" s="30">
        <v>1216.0</v>
      </c>
      <c r="D1217" s="16" t="s">
        <v>1739</v>
      </c>
      <c r="E1217" s="16" t="s">
        <v>184</v>
      </c>
      <c r="F1217" s="16" t="s">
        <v>228</v>
      </c>
      <c r="G1217" s="16" t="s">
        <v>215</v>
      </c>
      <c r="H1217" s="16" t="s">
        <v>544</v>
      </c>
      <c r="I1217" s="16" t="s">
        <v>713</v>
      </c>
    </row>
    <row r="1218" ht="242.25" customHeight="1">
      <c r="A1218" s="32" t="b">
        <v>0</v>
      </c>
      <c r="B1218" s="32" t="str">
        <f>IMAGE("https://gymvisual.com/4581-catalog_default/cable-vertical-pallof-press.jpg",4,500,500)</f>
        <v/>
      </c>
      <c r="C1218" s="30">
        <v>1217.0</v>
      </c>
      <c r="D1218" s="16" t="s">
        <v>1740</v>
      </c>
      <c r="E1218" s="16" t="s">
        <v>184</v>
      </c>
      <c r="F1218" s="16" t="s">
        <v>254</v>
      </c>
      <c r="G1218" s="16" t="s">
        <v>215</v>
      </c>
      <c r="H1218" s="16" t="s">
        <v>257</v>
      </c>
      <c r="I1218" s="16" t="s">
        <v>220</v>
      </c>
    </row>
    <row r="1219" ht="242.25" customHeight="1">
      <c r="A1219" s="32" t="b">
        <v>0</v>
      </c>
      <c r="B1219" s="32" t="str">
        <f>IMAGE("https://gymvisual.com/24519-catalog_default/cable-wide-grip-behind-neck-pulldown.jpg",4,500,500)</f>
        <v/>
      </c>
      <c r="C1219" s="30">
        <v>1218.0</v>
      </c>
      <c r="D1219" s="16" t="s">
        <v>1741</v>
      </c>
      <c r="E1219" s="16" t="s">
        <v>184</v>
      </c>
      <c r="F1219" s="16" t="s">
        <v>192</v>
      </c>
      <c r="G1219" s="16" t="s">
        <v>215</v>
      </c>
      <c r="H1219" s="16" t="s">
        <v>300</v>
      </c>
      <c r="I1219" s="16" t="s">
        <v>1742</v>
      </c>
    </row>
    <row r="1220" ht="242.25" customHeight="1">
      <c r="A1220" s="32" t="b">
        <v>0</v>
      </c>
      <c r="B1220" s="32" t="str">
        <f>IMAGE("https://gymvisual.com/11191-catalog_default/cable-wide-grip-rear-pulldown-behind-neck-female.jpg",4,500,500)</f>
        <v/>
      </c>
      <c r="C1220" s="30">
        <v>1219.0</v>
      </c>
      <c r="D1220" s="16" t="s">
        <v>1743</v>
      </c>
      <c r="E1220" s="16" t="s">
        <v>184</v>
      </c>
      <c r="F1220" s="16" t="s">
        <v>192</v>
      </c>
      <c r="G1220" s="16" t="s">
        <v>215</v>
      </c>
      <c r="H1220" s="16" t="s">
        <v>220</v>
      </c>
      <c r="I1220" s="16" t="s">
        <v>220</v>
      </c>
    </row>
    <row r="1221" ht="242.25" customHeight="1">
      <c r="A1221" s="32" t="b">
        <v>0</v>
      </c>
      <c r="B1221" s="32" t="str">
        <f>IMAGE("https://gymvisual.com/18067-catalog_default/cable-wide-neutral-grip-pulldown.jpg",4,500,500)</f>
        <v/>
      </c>
      <c r="C1221" s="30">
        <v>1220.0</v>
      </c>
      <c r="D1221" s="16" t="s">
        <v>1744</v>
      </c>
      <c r="E1221" s="16" t="s">
        <v>184</v>
      </c>
      <c r="F1221" s="16" t="s">
        <v>192</v>
      </c>
      <c r="G1221" s="16" t="s">
        <v>215</v>
      </c>
      <c r="H1221" s="16" t="s">
        <v>220</v>
      </c>
      <c r="I1221" s="16" t="s">
        <v>220</v>
      </c>
    </row>
    <row r="1222" ht="242.25" customHeight="1">
      <c r="A1222" s="32" t="b">
        <v>0</v>
      </c>
      <c r="B1222" s="32" t="str">
        <f>IMAGE("https://gymvisual.com/24471-catalog_default/cable-wide-pulldown.jpg",4,500,500)</f>
        <v/>
      </c>
      <c r="C1222" s="30">
        <v>1221.0</v>
      </c>
      <c r="D1222" s="16" t="s">
        <v>1745</v>
      </c>
      <c r="E1222" s="16" t="s">
        <v>184</v>
      </c>
      <c r="F1222" s="16" t="s">
        <v>192</v>
      </c>
      <c r="G1222" s="16" t="s">
        <v>215</v>
      </c>
      <c r="H1222" s="16" t="s">
        <v>300</v>
      </c>
      <c r="I1222" s="16" t="s">
        <v>387</v>
      </c>
    </row>
    <row r="1223" ht="242.25" customHeight="1">
      <c r="A1223" s="32" t="b">
        <v>0</v>
      </c>
      <c r="B1223" s="32" t="str">
        <f>IMAGE("https://gymvisual.com/9733-catalog_default/cable-wide-grip-lat-pulldown-female.jpg",4,500,500)</f>
        <v/>
      </c>
      <c r="C1223" s="30">
        <v>1222.0</v>
      </c>
      <c r="D1223" s="16" t="s">
        <v>1746</v>
      </c>
      <c r="E1223" s="16" t="s">
        <v>184</v>
      </c>
      <c r="F1223" s="16" t="s">
        <v>192</v>
      </c>
      <c r="G1223" s="16" t="s">
        <v>215</v>
      </c>
      <c r="H1223" s="16" t="s">
        <v>300</v>
      </c>
      <c r="I1223" s="16" t="s">
        <v>1747</v>
      </c>
    </row>
    <row r="1224" ht="242.25" customHeight="1">
      <c r="A1224" s="32" t="b">
        <v>0</v>
      </c>
      <c r="B1224" s="32" t="str">
        <f>IMAGE("https://gymvisual.com/763-catalog_default/cable-wrist-curl.jpg",4,500,500)</f>
        <v/>
      </c>
      <c r="C1224" s="30">
        <v>1223.0</v>
      </c>
      <c r="D1224" s="16" t="s">
        <v>1748</v>
      </c>
      <c r="E1224" s="16" t="s">
        <v>184</v>
      </c>
      <c r="F1224" s="16" t="s">
        <v>214</v>
      </c>
      <c r="G1224" s="16" t="s">
        <v>215</v>
      </c>
      <c r="H1224" s="16" t="s">
        <v>720</v>
      </c>
      <c r="I1224" s="16" t="s">
        <v>220</v>
      </c>
    </row>
    <row r="1225" ht="242.25" customHeight="1">
      <c r="A1225" s="32" t="b">
        <v>0</v>
      </c>
      <c r="B1225" s="32" t="str">
        <f>IMAGE("https://gymvisual.com/19381-catalog_default/cable-y-raise.jpg",4,500,500)</f>
        <v/>
      </c>
      <c r="C1225" s="30">
        <v>1224.0</v>
      </c>
      <c r="D1225" s="16" t="s">
        <v>1749</v>
      </c>
      <c r="E1225" s="16" t="s">
        <v>184</v>
      </c>
      <c r="F1225" s="16" t="s">
        <v>228</v>
      </c>
      <c r="G1225" s="16" t="s">
        <v>215</v>
      </c>
      <c r="H1225" s="16" t="s">
        <v>544</v>
      </c>
      <c r="I1225" s="16" t="s">
        <v>220</v>
      </c>
    </row>
    <row r="1226" ht="242.25" hidden="1" customHeight="1">
      <c r="B1226" s="32" t="str">
        <f>IMAGE("https://gymvisual.com/13743-catalog_default/calf-raise-from-deficit-with-chair-supported.jpg",4,500,500)</f>
        <v/>
      </c>
      <c r="C1226" s="30">
        <v>1225.0</v>
      </c>
      <c r="D1226" s="16" t="s">
        <v>1750</v>
      </c>
      <c r="E1226" s="16" t="s">
        <v>184</v>
      </c>
      <c r="F1226" s="16" t="s">
        <v>325</v>
      </c>
      <c r="G1226" s="16" t="s">
        <v>255</v>
      </c>
      <c r="H1226" s="16" t="s">
        <v>368</v>
      </c>
      <c r="I1226" s="16" t="s">
        <v>463</v>
      </c>
    </row>
    <row r="1227" ht="242.25" customHeight="1">
      <c r="A1227" s="32" t="b">
        <v>0</v>
      </c>
      <c r="B1227" s="32" t="str">
        <f>IMAGE("https://gymvisual.com/766-catalog_default/cambered-bar-lying-row.jpg",4,500,500)</f>
        <v/>
      </c>
      <c r="C1227" s="30">
        <v>1226.0</v>
      </c>
      <c r="D1227" s="16" t="s">
        <v>1751</v>
      </c>
      <c r="E1227" s="16" t="s">
        <v>184</v>
      </c>
      <c r="F1227" s="16" t="s">
        <v>192</v>
      </c>
      <c r="G1227" s="16" t="s">
        <v>186</v>
      </c>
      <c r="H1227" s="16" t="s">
        <v>329</v>
      </c>
      <c r="I1227" s="16" t="s">
        <v>457</v>
      </c>
    </row>
    <row r="1228" ht="242.25" customHeight="1">
      <c r="A1228" s="32" t="b">
        <v>0</v>
      </c>
      <c r="B1228" s="32" t="str">
        <f>IMAGE("https://gymvisual.com/20517-catalog_default/cambered-bar-lying-row-female.jpg",4,500,500)</f>
        <v/>
      </c>
      <c r="C1228" s="30">
        <v>1227.0</v>
      </c>
      <c r="D1228" s="16" t="s">
        <v>1752</v>
      </c>
      <c r="E1228" s="16" t="s">
        <v>184</v>
      </c>
      <c r="F1228" s="16" t="s">
        <v>192</v>
      </c>
      <c r="G1228" s="16" t="s">
        <v>186</v>
      </c>
      <c r="H1228" s="16" t="s">
        <v>329</v>
      </c>
      <c r="I1228" s="16" t="s">
        <v>447</v>
      </c>
    </row>
    <row r="1229" ht="242.25" hidden="1" customHeight="1">
      <c r="B1229" s="32" t="str">
        <f>IMAGE("https://gymvisual.com/22534-catalog_default/captains-chair-leg-raise.jpg",4,500,500)</f>
        <v/>
      </c>
      <c r="C1229" s="30">
        <v>1228.0</v>
      </c>
      <c r="D1229" s="16" t="s">
        <v>1753</v>
      </c>
      <c r="E1229" s="16" t="s">
        <v>184</v>
      </c>
      <c r="F1229" s="16" t="s">
        <v>185</v>
      </c>
      <c r="G1229" s="16" t="s">
        <v>255</v>
      </c>
      <c r="H1229" s="16" t="s">
        <v>220</v>
      </c>
      <c r="I1229" s="16" t="s">
        <v>220</v>
      </c>
    </row>
    <row r="1230" ht="242.25" hidden="1" customHeight="1">
      <c r="B1230" s="32" t="str">
        <f>IMAGE("https://gymvisual.com/12286-catalog_default/captains-chair-straight-leg-raise.jpg",4,500,500)</f>
        <v/>
      </c>
      <c r="C1230" s="30">
        <v>1229.0</v>
      </c>
      <c r="D1230" s="16" t="s">
        <v>1754</v>
      </c>
      <c r="E1230" s="16" t="s">
        <v>184</v>
      </c>
      <c r="F1230" s="16" t="s">
        <v>254</v>
      </c>
      <c r="G1230" s="16" t="s">
        <v>255</v>
      </c>
      <c r="H1230" s="16" t="s">
        <v>305</v>
      </c>
      <c r="I1230" s="16" t="s">
        <v>319</v>
      </c>
    </row>
    <row r="1231" ht="242.25" hidden="1" customHeight="1">
      <c r="B1231" s="32" t="str">
        <f>IMAGE("https://gymvisual.com/22177-catalog_default/captains-chair-straight-leg-raise-female.jpg",4,500,500)</f>
        <v/>
      </c>
      <c r="C1231" s="30">
        <v>1230.0</v>
      </c>
      <c r="D1231" s="16" t="s">
        <v>1755</v>
      </c>
      <c r="E1231" s="16" t="s">
        <v>184</v>
      </c>
      <c r="F1231" s="16" t="s">
        <v>254</v>
      </c>
      <c r="G1231" s="16" t="s">
        <v>255</v>
      </c>
      <c r="H1231" s="16" t="s">
        <v>305</v>
      </c>
      <c r="I1231" s="16" t="s">
        <v>1306</v>
      </c>
    </row>
    <row r="1232" ht="242.25" hidden="1" customHeight="1">
      <c r="B1232" s="32" t="str">
        <f>IMAGE("https://gymvisual.com/25063-catalog_default/cheat-curl.jpg",4,500,500)</f>
        <v/>
      </c>
      <c r="C1232" s="30">
        <v>1231.0</v>
      </c>
      <c r="D1232" s="16" t="s">
        <v>1756</v>
      </c>
      <c r="E1232" s="16" t="s">
        <v>184</v>
      </c>
      <c r="F1232" s="16" t="s">
        <v>219</v>
      </c>
      <c r="G1232" s="16" t="s">
        <v>255</v>
      </c>
      <c r="H1232" s="16" t="s">
        <v>220</v>
      </c>
      <c r="I1232" s="16" t="s">
        <v>220</v>
      </c>
    </row>
    <row r="1233" ht="242.25" customHeight="1">
      <c r="A1233" s="32" t="b">
        <v>0</v>
      </c>
      <c r="B1233" s="32" t="str">
        <f>IMAGE("https://gymvisual.com/10182-catalog_default/chest-bench-press-arms-wrong-right.jpg",4,500,500)</f>
        <v/>
      </c>
      <c r="C1233" s="30">
        <v>1232.0</v>
      </c>
      <c r="D1233" s="16" t="s">
        <v>1757</v>
      </c>
      <c r="E1233" s="16" t="s">
        <v>184</v>
      </c>
      <c r="F1233" s="16" t="s">
        <v>234</v>
      </c>
      <c r="G1233" s="16" t="s">
        <v>186</v>
      </c>
      <c r="H1233" s="16" t="s">
        <v>220</v>
      </c>
      <c r="I1233" s="16" t="s">
        <v>220</v>
      </c>
    </row>
    <row r="1234" ht="242.25" customHeight="1">
      <c r="A1234" s="32" t="b">
        <v>0</v>
      </c>
      <c r="B1234" s="32" t="str">
        <f>IMAGE("https://gymvisual.com/10176-catalog_default/chest-bench-press-butt-wrong-right.jpg",4,500,500)</f>
        <v/>
      </c>
      <c r="C1234" s="30">
        <v>1233.0</v>
      </c>
      <c r="D1234" s="16" t="s">
        <v>1758</v>
      </c>
      <c r="E1234" s="16" t="s">
        <v>184</v>
      </c>
      <c r="F1234" s="16" t="s">
        <v>234</v>
      </c>
      <c r="G1234" s="16" t="s">
        <v>186</v>
      </c>
      <c r="H1234" s="16" t="s">
        <v>220</v>
      </c>
      <c r="I1234" s="16" t="s">
        <v>220</v>
      </c>
    </row>
    <row r="1235" ht="242.25" customHeight="1">
      <c r="A1235" s="32" t="b">
        <v>0</v>
      </c>
      <c r="B1235" s="32" t="str">
        <f>IMAGE("https://gymvisual.com/10184-catalog_default/chest-bench-press-elbows-wrong-right.jpg",4,500,500)</f>
        <v/>
      </c>
      <c r="C1235" s="30">
        <v>1234.0</v>
      </c>
      <c r="D1235" s="16" t="s">
        <v>1759</v>
      </c>
      <c r="E1235" s="16" t="s">
        <v>184</v>
      </c>
      <c r="F1235" s="16" t="s">
        <v>234</v>
      </c>
      <c r="G1235" s="16" t="s">
        <v>186</v>
      </c>
      <c r="H1235" s="16" t="s">
        <v>220</v>
      </c>
      <c r="I1235" s="16" t="s">
        <v>220</v>
      </c>
    </row>
    <row r="1236" ht="242.25" customHeight="1">
      <c r="A1236" s="32" t="b">
        <v>0</v>
      </c>
      <c r="B1236" s="32" t="str">
        <f>IMAGE("https://gymvisual.com/10172-catalog_default/chest-bench-press-forearms-wrong-right.jpg",4,500,500)</f>
        <v/>
      </c>
      <c r="C1236" s="30">
        <v>1235.0</v>
      </c>
      <c r="D1236" s="16" t="s">
        <v>1760</v>
      </c>
      <c r="E1236" s="16" t="s">
        <v>184</v>
      </c>
      <c r="F1236" s="16" t="s">
        <v>234</v>
      </c>
      <c r="G1236" s="16" t="s">
        <v>186</v>
      </c>
      <c r="H1236" s="16" t="s">
        <v>220</v>
      </c>
      <c r="I1236" s="16" t="s">
        <v>220</v>
      </c>
    </row>
    <row r="1237" ht="242.25" customHeight="1">
      <c r="A1237" s="32" t="b">
        <v>0</v>
      </c>
      <c r="B1237" s="32" t="str">
        <f>IMAGE("https://gymvisual.com/10178-catalog_default/chest-bench-press-grip-width-wrong-right.jpg",4,500,500)</f>
        <v/>
      </c>
      <c r="C1237" s="30">
        <v>1236.0</v>
      </c>
      <c r="D1237" s="16" t="s">
        <v>1761</v>
      </c>
      <c r="E1237" s="16" t="s">
        <v>184</v>
      </c>
      <c r="F1237" s="16" t="s">
        <v>234</v>
      </c>
      <c r="G1237" s="16" t="s">
        <v>186</v>
      </c>
      <c r="H1237" s="16" t="s">
        <v>220</v>
      </c>
      <c r="I1237" s="16" t="s">
        <v>220</v>
      </c>
    </row>
    <row r="1238" ht="242.25" customHeight="1">
      <c r="A1238" s="32" t="b">
        <v>0</v>
      </c>
      <c r="B1238" s="32" t="str">
        <f>IMAGE("https://gymvisual.com/10180-catalog_default/chest-bench-press-shoulders-wrong-right.jpg",4,500,500)</f>
        <v/>
      </c>
      <c r="C1238" s="30">
        <v>1237.0</v>
      </c>
      <c r="D1238" s="16" t="s">
        <v>1762</v>
      </c>
      <c r="E1238" s="16" t="s">
        <v>184</v>
      </c>
      <c r="F1238" s="16" t="s">
        <v>234</v>
      </c>
      <c r="G1238" s="16" t="s">
        <v>186</v>
      </c>
      <c r="H1238" s="16" t="s">
        <v>220</v>
      </c>
      <c r="I1238" s="16" t="s">
        <v>220</v>
      </c>
    </row>
    <row r="1239" ht="242.25" hidden="1" customHeight="1">
      <c r="B1239" s="32" t="str">
        <f>IMAGE("https://gymvisual.com/4493-catalog_default/chest-dip.jpg",4,500,500)</f>
        <v/>
      </c>
      <c r="C1239" s="30">
        <v>1238.0</v>
      </c>
      <c r="D1239" s="16" t="s">
        <v>1763</v>
      </c>
      <c r="E1239" s="16" t="s">
        <v>184</v>
      </c>
      <c r="F1239" s="16" t="s">
        <v>234</v>
      </c>
      <c r="G1239" s="16" t="s">
        <v>255</v>
      </c>
      <c r="H1239" s="16" t="s">
        <v>347</v>
      </c>
      <c r="I1239" s="16" t="s">
        <v>1764</v>
      </c>
    </row>
    <row r="1240" ht="242.25" hidden="1" customHeight="1">
      <c r="B1240" s="32" t="str">
        <f>IMAGE("https://gymvisual.com/19383-catalog_default/chest-dip-female.jpg",4,500,500)</f>
        <v/>
      </c>
      <c r="C1240" s="30">
        <v>1239.0</v>
      </c>
      <c r="D1240" s="16" t="s">
        <v>1765</v>
      </c>
      <c r="E1240" s="16" t="s">
        <v>184</v>
      </c>
      <c r="F1240" s="16" t="s">
        <v>234</v>
      </c>
      <c r="G1240" s="16" t="s">
        <v>255</v>
      </c>
      <c r="H1240" s="16" t="s">
        <v>347</v>
      </c>
      <c r="I1240" s="16" t="s">
        <v>1764</v>
      </c>
    </row>
    <row r="1241" ht="242.25" hidden="1" customHeight="1">
      <c r="B1241" s="32" t="str">
        <f>IMAGE("https://gymvisual.com/6436-catalog_default/chest-dip-on-dip-pull-up-cage.jpg",4,500,500)</f>
        <v/>
      </c>
      <c r="C1241" s="30">
        <v>1240.0</v>
      </c>
      <c r="D1241" s="16" t="s">
        <v>1766</v>
      </c>
      <c r="E1241" s="16" t="s">
        <v>184</v>
      </c>
      <c r="F1241" s="16" t="s">
        <v>234</v>
      </c>
      <c r="G1241" s="16" t="s">
        <v>255</v>
      </c>
      <c r="H1241" s="16" t="s">
        <v>347</v>
      </c>
      <c r="I1241" s="16" t="s">
        <v>1764</v>
      </c>
    </row>
    <row r="1242" ht="242.25" hidden="1" customHeight="1">
      <c r="B1242" s="32" t="str">
        <f>IMAGE("https://gymvisual.com/20666-catalog_default/chest-dip-on-straight-bar.jpg",4,500,500)</f>
        <v/>
      </c>
      <c r="C1242" s="30">
        <v>1241.0</v>
      </c>
      <c r="D1242" s="16" t="s">
        <v>1767</v>
      </c>
      <c r="E1242" s="16" t="s">
        <v>184</v>
      </c>
      <c r="F1242" s="16" t="s">
        <v>234</v>
      </c>
      <c r="G1242" s="16" t="s">
        <v>255</v>
      </c>
      <c r="H1242" s="16" t="s">
        <v>235</v>
      </c>
      <c r="I1242" s="16" t="s">
        <v>243</v>
      </c>
    </row>
    <row r="1243" ht="242.25" customHeight="1">
      <c r="A1243" s="32" t="b">
        <v>0</v>
      </c>
      <c r="B1243" s="32" t="str">
        <f>IMAGE("https://gymvisual.com/10237-catalog_default/chest-fly-arms-wrong-right.jpg",4,500,500)</f>
        <v/>
      </c>
      <c r="C1243" s="30">
        <v>1242.0</v>
      </c>
      <c r="D1243" s="16" t="s">
        <v>1768</v>
      </c>
      <c r="E1243" s="16" t="s">
        <v>184</v>
      </c>
      <c r="F1243" s="16" t="s">
        <v>234</v>
      </c>
      <c r="G1243" s="16" t="s">
        <v>222</v>
      </c>
      <c r="H1243" s="16" t="s">
        <v>220</v>
      </c>
      <c r="I1243" s="16" t="s">
        <v>220</v>
      </c>
    </row>
    <row r="1244" ht="242.25" hidden="1" customHeight="1">
      <c r="B1244" s="32" t="str">
        <f>IMAGE("https://gymvisual.com/23687-catalog_default/chest-out-hands-behind-hold-female.jpg",4,500,500)</f>
        <v/>
      </c>
      <c r="C1244" s="30">
        <v>1243.0</v>
      </c>
      <c r="D1244" s="16" t="s">
        <v>1769</v>
      </c>
      <c r="E1244" s="16" t="s">
        <v>184</v>
      </c>
      <c r="F1244" s="16" t="s">
        <v>234</v>
      </c>
      <c r="G1244" s="16" t="s">
        <v>255</v>
      </c>
      <c r="H1244" s="16" t="s">
        <v>472</v>
      </c>
      <c r="I1244" s="16" t="s">
        <v>220</v>
      </c>
    </row>
    <row r="1245" ht="242.25" hidden="1" customHeight="1">
      <c r="B1245" s="32" t="str">
        <f>IMAGE("https://gymvisual.com/12907-catalog_default/chest-tap-push-up-male.jpg",4,500,500)</f>
        <v/>
      </c>
      <c r="C1245" s="30">
        <v>1244.0</v>
      </c>
      <c r="D1245" s="16" t="s">
        <v>1770</v>
      </c>
      <c r="E1245" s="16" t="s">
        <v>184</v>
      </c>
      <c r="F1245" s="16" t="s">
        <v>234</v>
      </c>
      <c r="G1245" s="16" t="s">
        <v>255</v>
      </c>
      <c r="H1245" s="16" t="s">
        <v>235</v>
      </c>
      <c r="I1245" s="16" t="s">
        <v>1771</v>
      </c>
    </row>
    <row r="1246" ht="242.25" hidden="1" customHeight="1">
      <c r="B1246" s="32" t="str">
        <f>IMAGE("https://gymvisual.com/12555-catalog_default/chin-tuck.jpg",4,500,500)</f>
        <v/>
      </c>
      <c r="C1246" s="30">
        <v>1245.0</v>
      </c>
      <c r="D1246" s="16" t="s">
        <v>1772</v>
      </c>
      <c r="E1246" s="16" t="s">
        <v>184</v>
      </c>
      <c r="F1246" s="16" t="s">
        <v>351</v>
      </c>
      <c r="G1246" s="16" t="s">
        <v>255</v>
      </c>
      <c r="H1246" s="16" t="s">
        <v>220</v>
      </c>
      <c r="I1246" s="16" t="s">
        <v>220</v>
      </c>
    </row>
    <row r="1247" ht="242.25" hidden="1" customHeight="1">
      <c r="B1247" s="32" t="str">
        <f>IMAGE("https://gymvisual.com/12557-catalog_default/chin-tuck-female.jpg",4,500,500)</f>
        <v/>
      </c>
      <c r="C1247" s="30">
        <v>1246.0</v>
      </c>
      <c r="D1247" s="16" t="s">
        <v>1773</v>
      </c>
      <c r="E1247" s="16" t="s">
        <v>184</v>
      </c>
      <c r="F1247" s="16" t="s">
        <v>351</v>
      </c>
      <c r="G1247" s="16" t="s">
        <v>255</v>
      </c>
      <c r="H1247" s="16" t="s">
        <v>220</v>
      </c>
      <c r="I1247" s="16" t="s">
        <v>220</v>
      </c>
    </row>
    <row r="1248" ht="242.25" hidden="1" customHeight="1">
      <c r="B1248" s="32" t="str">
        <f>IMAGE("https://gymvisual.com/14264-catalog_default/chin-ups-narrow-parallel-grip-female.jpg",4,500,500)</f>
        <v/>
      </c>
      <c r="C1248" s="30">
        <v>1247.0</v>
      </c>
      <c r="D1248" s="16" t="s">
        <v>1774</v>
      </c>
      <c r="E1248" s="16" t="s">
        <v>184</v>
      </c>
      <c r="F1248" s="16" t="s">
        <v>192</v>
      </c>
      <c r="G1248" s="16" t="s">
        <v>255</v>
      </c>
      <c r="H1248" s="16" t="s">
        <v>329</v>
      </c>
      <c r="I1248" s="16" t="s">
        <v>447</v>
      </c>
    </row>
    <row r="1249" ht="242.25" hidden="1" customHeight="1">
      <c r="B1249" s="32" t="str">
        <f>IMAGE("https://gymvisual.com/19361-catalog_default/chin-up.jpg",4,500,500)</f>
        <v/>
      </c>
      <c r="C1249" s="30">
        <v>1248.0</v>
      </c>
      <c r="D1249" s="16" t="s">
        <v>1775</v>
      </c>
      <c r="E1249" s="16" t="s">
        <v>184</v>
      </c>
      <c r="F1249" s="16" t="s">
        <v>192</v>
      </c>
      <c r="G1249" s="16" t="s">
        <v>255</v>
      </c>
      <c r="H1249" s="16" t="s">
        <v>300</v>
      </c>
      <c r="I1249" s="16" t="s">
        <v>1357</v>
      </c>
    </row>
    <row r="1250" ht="242.25" hidden="1" customHeight="1">
      <c r="B1250" s="32" t="str">
        <f>IMAGE("https://gymvisual.com/10306-catalog_default/chin-up-female.jpg",4,500,500)</f>
        <v/>
      </c>
      <c r="C1250" s="30">
        <v>1249.0</v>
      </c>
      <c r="D1250" s="16" t="s">
        <v>1776</v>
      </c>
      <c r="E1250" s="16" t="s">
        <v>184</v>
      </c>
      <c r="F1250" s="16" t="s">
        <v>192</v>
      </c>
      <c r="G1250" s="16" t="s">
        <v>255</v>
      </c>
      <c r="H1250" s="16" t="s">
        <v>300</v>
      </c>
      <c r="I1250" s="16" t="s">
        <v>1777</v>
      </c>
    </row>
    <row r="1251" ht="242.25" hidden="1" customHeight="1">
      <c r="B1251" s="32" t="str">
        <f>IMAGE("https://gymvisual.com/22199-catalog_default/chin-up-in-squatting-position.jpg",4,500,500)</f>
        <v/>
      </c>
      <c r="C1251" s="30">
        <v>1250.0</v>
      </c>
      <c r="D1251" s="16" t="s">
        <v>1778</v>
      </c>
      <c r="E1251" s="16" t="s">
        <v>184</v>
      </c>
      <c r="F1251" s="16" t="s">
        <v>192</v>
      </c>
      <c r="G1251" s="16" t="s">
        <v>255</v>
      </c>
      <c r="H1251" s="16" t="s">
        <v>220</v>
      </c>
      <c r="I1251" s="16" t="s">
        <v>220</v>
      </c>
    </row>
    <row r="1252" ht="242.25" hidden="1" customHeight="1">
      <c r="B1252" s="32" t="str">
        <f>IMAGE("https://gymvisual.com/22201-catalog_default/chin-up-izometric-and-negative.jpg",4,500,500)</f>
        <v/>
      </c>
      <c r="C1252" s="30">
        <v>1251.0</v>
      </c>
      <c r="D1252" s="16" t="s">
        <v>1779</v>
      </c>
      <c r="E1252" s="16" t="s">
        <v>184</v>
      </c>
      <c r="F1252" s="16" t="s">
        <v>192</v>
      </c>
      <c r="G1252" s="16" t="s">
        <v>255</v>
      </c>
      <c r="H1252" s="16" t="s">
        <v>329</v>
      </c>
      <c r="I1252" s="16" t="s">
        <v>447</v>
      </c>
    </row>
    <row r="1253" ht="242.25" hidden="1" customHeight="1">
      <c r="B1253" s="32" t="str">
        <f>IMAGE("https://gymvisual.com/18049-catalog_default/chin-up-around-the-bar.jpg",4,500,500)</f>
        <v/>
      </c>
      <c r="C1253" s="30">
        <v>1252.0</v>
      </c>
      <c r="D1253" s="16" t="s">
        <v>1780</v>
      </c>
      <c r="E1253" s="16" t="s">
        <v>184</v>
      </c>
      <c r="F1253" s="16" t="s">
        <v>192</v>
      </c>
      <c r="G1253" s="16" t="s">
        <v>255</v>
      </c>
      <c r="H1253" s="16" t="s">
        <v>220</v>
      </c>
      <c r="I1253" s="16" t="s">
        <v>220</v>
      </c>
    </row>
    <row r="1254" ht="242.25" hidden="1" customHeight="1">
      <c r="B1254" s="32" t="str">
        <f>IMAGE("https://gymvisual.com/781-catalog_default/chin-ups-narrow-parallel-grip.jpg",4,500,500)</f>
        <v/>
      </c>
      <c r="C1254" s="30">
        <v>1253.0</v>
      </c>
      <c r="D1254" s="16" t="s">
        <v>1781</v>
      </c>
      <c r="E1254" s="16" t="s">
        <v>184</v>
      </c>
      <c r="F1254" s="16" t="s">
        <v>192</v>
      </c>
      <c r="G1254" s="16" t="s">
        <v>255</v>
      </c>
      <c r="H1254" s="16" t="s">
        <v>329</v>
      </c>
      <c r="I1254" s="16" t="s">
        <v>457</v>
      </c>
    </row>
    <row r="1255" ht="242.25" hidden="1" customHeight="1">
      <c r="B1255" s="32" t="str">
        <f>IMAGE("https://gymvisual.com/784-catalog_default/circles-arm.jpg",4,500,500)</f>
        <v/>
      </c>
      <c r="C1255" s="30">
        <v>1254.0</v>
      </c>
      <c r="D1255" s="16" t="s">
        <v>1782</v>
      </c>
      <c r="E1255" s="16" t="s">
        <v>184</v>
      </c>
      <c r="F1255" s="16" t="s">
        <v>228</v>
      </c>
      <c r="G1255" s="16" t="s">
        <v>255</v>
      </c>
      <c r="H1255" s="16" t="s">
        <v>333</v>
      </c>
      <c r="I1255" s="16" t="s">
        <v>220</v>
      </c>
    </row>
    <row r="1256" ht="242.25" hidden="1" customHeight="1">
      <c r="B1256" s="32" t="str">
        <f>IMAGE("https://gymvisual.com/23581-catalog_default/circles-arm-male.jpg",4,500,500)</f>
        <v/>
      </c>
      <c r="C1256" s="30">
        <v>1255.0</v>
      </c>
      <c r="D1256" s="16" t="s">
        <v>1783</v>
      </c>
      <c r="E1256" s="16" t="s">
        <v>184</v>
      </c>
      <c r="F1256" s="16" t="s">
        <v>228</v>
      </c>
      <c r="G1256" s="16" t="s">
        <v>255</v>
      </c>
      <c r="H1256" s="16" t="s">
        <v>333</v>
      </c>
      <c r="I1256" s="16" t="s">
        <v>334</v>
      </c>
    </row>
    <row r="1257" ht="242.25" customHeight="1">
      <c r="B1257" s="32" t="str">
        <f>IMAGE("https://gymvisual.com/787-catalog_default/circles-ball-wall.jpg",4,500,500)</f>
        <v/>
      </c>
      <c r="C1257" s="30">
        <v>1256.0</v>
      </c>
      <c r="D1257" s="16" t="s">
        <v>1784</v>
      </c>
      <c r="E1257" s="16" t="s">
        <v>184</v>
      </c>
      <c r="F1257" s="16" t="s">
        <v>228</v>
      </c>
      <c r="G1257" s="16" t="s">
        <v>399</v>
      </c>
      <c r="H1257" s="16" t="s">
        <v>1785</v>
      </c>
      <c r="I1257" s="16" t="s">
        <v>220</v>
      </c>
    </row>
    <row r="1258" ht="242.25" hidden="1" customHeight="1">
      <c r="B1258" s="32" t="str">
        <f>IMAGE("https://gymvisual.com/790-catalog_default/circles-elbow-arm.jpg",4,500,500)</f>
        <v/>
      </c>
      <c r="C1258" s="30">
        <v>1257.0</v>
      </c>
      <c r="D1258" s="16" t="s">
        <v>1786</v>
      </c>
      <c r="E1258" s="16" t="s">
        <v>184</v>
      </c>
      <c r="F1258" s="16" t="s">
        <v>228</v>
      </c>
      <c r="G1258" s="16" t="s">
        <v>255</v>
      </c>
      <c r="H1258" s="16" t="s">
        <v>333</v>
      </c>
      <c r="I1258" s="16" t="s">
        <v>220</v>
      </c>
    </row>
    <row r="1259" ht="242.25" hidden="1" customHeight="1">
      <c r="B1259" s="32" t="str">
        <f>IMAGE("https://gymvisual.com/796-catalog_default/clock-push-up.jpg",4,500,500)</f>
        <v/>
      </c>
      <c r="C1259" s="30">
        <v>1258.0</v>
      </c>
      <c r="D1259" s="16" t="s">
        <v>1787</v>
      </c>
      <c r="E1259" s="16" t="s">
        <v>184</v>
      </c>
      <c r="F1259" s="16" t="s">
        <v>234</v>
      </c>
      <c r="G1259" s="16" t="s">
        <v>255</v>
      </c>
      <c r="H1259" s="16" t="s">
        <v>347</v>
      </c>
      <c r="I1259" s="16" t="s">
        <v>382</v>
      </c>
    </row>
    <row r="1260" ht="242.25" hidden="1" customHeight="1">
      <c r="B1260" s="32" t="str">
        <f>IMAGE("https://gymvisual.com/6018-catalog_default/close-grip-chin-up.jpg",4,500,500)</f>
        <v/>
      </c>
      <c r="C1260" s="30">
        <v>1259.0</v>
      </c>
      <c r="D1260" s="16" t="s">
        <v>1788</v>
      </c>
      <c r="E1260" s="16" t="s">
        <v>184</v>
      </c>
      <c r="F1260" s="16" t="s">
        <v>192</v>
      </c>
      <c r="G1260" s="16" t="s">
        <v>255</v>
      </c>
      <c r="H1260" s="16" t="s">
        <v>300</v>
      </c>
      <c r="I1260" s="16" t="s">
        <v>1789</v>
      </c>
    </row>
    <row r="1261" ht="242.25" hidden="1" customHeight="1">
      <c r="B1261" s="32" t="str">
        <f>IMAGE("https://gymvisual.com/23871-catalog_default/close-grip-pull-up.jpg",4,500,500)</f>
        <v/>
      </c>
      <c r="C1261" s="30">
        <v>1260.0</v>
      </c>
      <c r="D1261" s="16" t="s">
        <v>1790</v>
      </c>
      <c r="E1261" s="16" t="s">
        <v>184</v>
      </c>
      <c r="F1261" s="16" t="s">
        <v>192</v>
      </c>
      <c r="G1261" s="16" t="s">
        <v>255</v>
      </c>
      <c r="H1261" s="16" t="s">
        <v>220</v>
      </c>
      <c r="I1261" s="16" t="s">
        <v>220</v>
      </c>
    </row>
    <row r="1262" ht="242.25" hidden="1" customHeight="1">
      <c r="B1262" s="32" t="str">
        <f>IMAGE("https://gymvisual.com/20662-catalog_default/close-grip-chin-up-female.jpg",4,500,500)</f>
        <v/>
      </c>
      <c r="C1262" s="30">
        <v>1261.0</v>
      </c>
      <c r="D1262" s="16" t="s">
        <v>1791</v>
      </c>
      <c r="E1262" s="16" t="s">
        <v>184</v>
      </c>
      <c r="F1262" s="16" t="s">
        <v>192</v>
      </c>
      <c r="G1262" s="16" t="s">
        <v>255</v>
      </c>
      <c r="H1262" s="16" t="s">
        <v>300</v>
      </c>
      <c r="I1262" s="16" t="s">
        <v>1792</v>
      </c>
    </row>
    <row r="1263" ht="242.25" hidden="1" customHeight="1">
      <c r="B1263" s="32" t="str">
        <f>IMAGE("https://gymvisual.com/26452-catalog_default/close-grip-push-up.jpg",4,500,500)</f>
        <v/>
      </c>
      <c r="C1263" s="30">
        <v>1262.0</v>
      </c>
      <c r="D1263" s="16" t="s">
        <v>1793</v>
      </c>
      <c r="E1263" s="16" t="s">
        <v>184</v>
      </c>
      <c r="F1263" s="16" t="s">
        <v>219</v>
      </c>
      <c r="G1263" s="16" t="s">
        <v>255</v>
      </c>
      <c r="H1263" s="16" t="s">
        <v>223</v>
      </c>
      <c r="I1263" s="16" t="s">
        <v>472</v>
      </c>
    </row>
    <row r="1264" ht="242.25" hidden="1" customHeight="1">
      <c r="B1264" s="32" t="str">
        <f>IMAGE("https://gymvisual.com/10773-catalog_default/close-grip-push-up-female.jpg",4,500,500)</f>
        <v/>
      </c>
      <c r="C1264" s="30">
        <v>1263.0</v>
      </c>
      <c r="D1264" s="16" t="s">
        <v>1794</v>
      </c>
      <c r="E1264" s="16" t="s">
        <v>184</v>
      </c>
      <c r="F1264" s="16" t="s">
        <v>219</v>
      </c>
      <c r="G1264" s="16" t="s">
        <v>255</v>
      </c>
      <c r="H1264" s="16" t="s">
        <v>223</v>
      </c>
      <c r="I1264" s="16" t="s">
        <v>472</v>
      </c>
    </row>
    <row r="1265" ht="242.25" hidden="1" customHeight="1">
      <c r="B1265" s="32" t="str">
        <f>IMAGE("https://gymvisual.com/10408-catalog_default/close-grip-push-up-on-knees.jpg",4,500,500)</f>
        <v/>
      </c>
      <c r="C1265" s="30">
        <v>1264.0</v>
      </c>
      <c r="D1265" s="16" t="s">
        <v>1795</v>
      </c>
      <c r="E1265" s="16" t="s">
        <v>184</v>
      </c>
      <c r="F1265" s="16" t="s">
        <v>219</v>
      </c>
      <c r="G1265" s="16" t="s">
        <v>255</v>
      </c>
      <c r="H1265" s="16" t="s">
        <v>223</v>
      </c>
      <c r="I1265" s="16" t="s">
        <v>472</v>
      </c>
    </row>
    <row r="1266" ht="242.25" hidden="1" customHeight="1">
      <c r="B1266" s="32" t="str">
        <f>IMAGE("https://gymvisual.com/10765-catalog_default/close-grip-push-up-on-knees-female.jpg",4,500,500)</f>
        <v/>
      </c>
      <c r="C1266" s="30">
        <v>1265.0</v>
      </c>
      <c r="D1266" s="16" t="s">
        <v>1796</v>
      </c>
      <c r="E1266" s="16" t="s">
        <v>184</v>
      </c>
      <c r="F1266" s="16" t="s">
        <v>219</v>
      </c>
      <c r="G1266" s="16" t="s">
        <v>255</v>
      </c>
      <c r="H1266" s="16" t="s">
        <v>223</v>
      </c>
      <c r="I1266" s="16" t="s">
        <v>472</v>
      </c>
    </row>
    <row r="1267" ht="242.25" hidden="1" customHeight="1">
      <c r="B1267" s="32" t="str">
        <f>IMAGE("https://gymvisual.com/13992-catalog_default/cobra-push-up.jpg",4,500,500)</f>
        <v/>
      </c>
      <c r="C1267" s="30">
        <v>1266.0</v>
      </c>
      <c r="D1267" s="16" t="s">
        <v>1797</v>
      </c>
      <c r="E1267" s="16" t="s">
        <v>184</v>
      </c>
      <c r="F1267" s="16" t="s">
        <v>1798</v>
      </c>
      <c r="G1267" s="16" t="s">
        <v>255</v>
      </c>
      <c r="H1267" s="16" t="s">
        <v>1799</v>
      </c>
      <c r="I1267" s="16" t="s">
        <v>1800</v>
      </c>
    </row>
    <row r="1268" ht="242.25" hidden="1" customHeight="1">
      <c r="B1268" s="32" t="str">
        <f>IMAGE("https://gymvisual.com/802-catalog_default/cocoons.jpg",4,500,500)</f>
        <v/>
      </c>
      <c r="C1268" s="30">
        <v>1267.0</v>
      </c>
      <c r="D1268" s="16" t="s">
        <v>1801</v>
      </c>
      <c r="E1268" s="16" t="s">
        <v>184</v>
      </c>
      <c r="F1268" s="16" t="s">
        <v>254</v>
      </c>
      <c r="G1268" s="16" t="s">
        <v>255</v>
      </c>
      <c r="H1268" s="16" t="s">
        <v>305</v>
      </c>
      <c r="I1268" s="16" t="s">
        <v>189</v>
      </c>
    </row>
    <row r="1269" ht="242.25" hidden="1" customHeight="1">
      <c r="B1269" s="32" t="str">
        <f>IMAGE("https://gymvisual.com/11300-catalog_default/cocoons-female.jpg",4,500,500)</f>
        <v/>
      </c>
      <c r="C1269" s="30">
        <v>1268.0</v>
      </c>
      <c r="D1269" s="16" t="s">
        <v>1802</v>
      </c>
      <c r="E1269" s="16" t="s">
        <v>184</v>
      </c>
      <c r="F1269" s="16" t="s">
        <v>254</v>
      </c>
      <c r="G1269" s="16" t="s">
        <v>255</v>
      </c>
      <c r="H1269" s="16" t="s">
        <v>305</v>
      </c>
      <c r="I1269" s="16" t="s">
        <v>319</v>
      </c>
    </row>
    <row r="1270" ht="242.25" hidden="1" customHeight="1">
      <c r="B1270" s="32" t="str">
        <f>IMAGE("https://gymvisual.com/20503-catalog_default/commando-pull-up.jpg",4,500,500)</f>
        <v/>
      </c>
      <c r="C1270" s="30">
        <v>1269.0</v>
      </c>
      <c r="D1270" s="16" t="s">
        <v>1803</v>
      </c>
      <c r="E1270" s="16" t="s">
        <v>184</v>
      </c>
      <c r="F1270" s="16" t="s">
        <v>361</v>
      </c>
      <c r="G1270" s="16" t="s">
        <v>255</v>
      </c>
      <c r="H1270" s="16" t="s">
        <v>362</v>
      </c>
      <c r="I1270" s="16" t="s">
        <v>357</v>
      </c>
    </row>
    <row r="1271" ht="242.25" hidden="1" customHeight="1">
      <c r="B1271" s="32" t="str">
        <f>IMAGE("https://gymvisual.com/20523-catalog_default/commando-pull-up-female.jpg",4,500,500)</f>
        <v/>
      </c>
      <c r="C1271" s="30">
        <v>1270.0</v>
      </c>
      <c r="D1271" s="16" t="s">
        <v>1804</v>
      </c>
      <c r="E1271" s="16" t="s">
        <v>184</v>
      </c>
      <c r="F1271" s="16" t="s">
        <v>361</v>
      </c>
      <c r="G1271" s="16" t="s">
        <v>255</v>
      </c>
      <c r="H1271" s="16" t="s">
        <v>362</v>
      </c>
      <c r="I1271" s="16" t="s">
        <v>357</v>
      </c>
    </row>
    <row r="1272" ht="242.25" customHeight="1">
      <c r="A1272" s="32" t="b">
        <v>0</v>
      </c>
      <c r="B1272" s="32" t="str">
        <f>IMAGE("https://gymvisual.com/10209-catalog_default/concentration-curl-arms-wrong-right.jpg",4,500,500)</f>
        <v/>
      </c>
      <c r="C1272" s="30">
        <v>1271.0</v>
      </c>
      <c r="D1272" s="16" t="s">
        <v>1805</v>
      </c>
      <c r="E1272" s="16" t="s">
        <v>184</v>
      </c>
      <c r="F1272" s="16" t="s">
        <v>219</v>
      </c>
      <c r="G1272" s="16" t="s">
        <v>222</v>
      </c>
      <c r="H1272" s="16" t="s">
        <v>220</v>
      </c>
      <c r="I1272" s="16" t="s">
        <v>220</v>
      </c>
    </row>
    <row r="1273" ht="242.25" hidden="1" customHeight="1">
      <c r="B1273" s="32" t="str">
        <f>IMAGE("https://gymvisual.com/805-catalog_default/corkscrew-push-up.jpg",4,500,500)</f>
        <v/>
      </c>
      <c r="C1273" s="30">
        <v>1272.0</v>
      </c>
      <c r="D1273" s="16" t="s">
        <v>1806</v>
      </c>
      <c r="E1273" s="16" t="s">
        <v>184</v>
      </c>
      <c r="F1273" s="16" t="s">
        <v>254</v>
      </c>
      <c r="G1273" s="16" t="s">
        <v>255</v>
      </c>
      <c r="H1273" s="16" t="s">
        <v>1807</v>
      </c>
      <c r="I1273" s="16" t="s">
        <v>382</v>
      </c>
    </row>
    <row r="1274" ht="242.25" hidden="1" customHeight="1">
      <c r="B1274" s="32" t="str">
        <f>IMAGE("https://gymvisual.com/19371-catalog_default/cossack-squats-female.jpg",4,500,500)</f>
        <v/>
      </c>
      <c r="C1274" s="30">
        <v>1273.0</v>
      </c>
      <c r="D1274" s="16" t="s">
        <v>1808</v>
      </c>
      <c r="E1274" s="16" t="s">
        <v>184</v>
      </c>
      <c r="F1274" s="16" t="s">
        <v>294</v>
      </c>
      <c r="G1274" s="16" t="s">
        <v>255</v>
      </c>
      <c r="H1274" s="16" t="s">
        <v>189</v>
      </c>
      <c r="I1274" s="16" t="s">
        <v>902</v>
      </c>
    </row>
    <row r="1275" ht="242.25" hidden="1" customHeight="1">
      <c r="B1275" s="32" t="str">
        <f>IMAGE("https://gymvisual.com/22604-catalog_default/counterbalanced-skater-squat-male.jpg",4,500,500)</f>
        <v/>
      </c>
      <c r="C1275" s="30">
        <v>1274.0</v>
      </c>
      <c r="D1275" s="16" t="s">
        <v>1809</v>
      </c>
      <c r="E1275" s="16" t="s">
        <v>184</v>
      </c>
      <c r="F1275" s="16" t="s">
        <v>285</v>
      </c>
      <c r="G1275" s="16" t="s">
        <v>255</v>
      </c>
      <c r="H1275" s="16" t="s">
        <v>189</v>
      </c>
      <c r="I1275" s="16" t="s">
        <v>190</v>
      </c>
    </row>
    <row r="1276" ht="242.25" hidden="1" customHeight="1">
      <c r="B1276" s="32" t="str">
        <f>IMAGE("https://gymvisual.com/6403-catalog_default/crab-twist-toe-touch.jpg",4,500,500)</f>
        <v/>
      </c>
      <c r="C1276" s="30">
        <v>1275.0</v>
      </c>
      <c r="D1276" s="16" t="s">
        <v>1810</v>
      </c>
      <c r="E1276" s="16" t="s">
        <v>184</v>
      </c>
      <c r="F1276" s="16" t="s">
        <v>254</v>
      </c>
      <c r="G1276" s="16" t="s">
        <v>255</v>
      </c>
      <c r="H1276" s="16" t="s">
        <v>1811</v>
      </c>
      <c r="I1276" s="16" t="s">
        <v>1812</v>
      </c>
    </row>
    <row r="1277" ht="242.25" hidden="1" customHeight="1">
      <c r="B1277" s="32" t="str">
        <f>IMAGE("https://gymvisual.com/22740-catalog_default/criss-cross-leg-raises.jpg",4,500,500)</f>
        <v/>
      </c>
      <c r="C1277" s="30">
        <v>1276.0</v>
      </c>
      <c r="D1277" s="16" t="s">
        <v>1813</v>
      </c>
      <c r="E1277" s="16" t="s">
        <v>184</v>
      </c>
      <c r="F1277" s="16" t="s">
        <v>185</v>
      </c>
      <c r="G1277" s="16" t="s">
        <v>255</v>
      </c>
      <c r="H1277" s="16" t="s">
        <v>1814</v>
      </c>
      <c r="I1277" s="16" t="s">
        <v>1815</v>
      </c>
    </row>
    <row r="1278" ht="242.25" hidden="1" customHeight="1">
      <c r="B1278" s="32" t="str">
        <f>IMAGE("https://gymvisual.com/16773-catalog_default/cross-arms-push-up.jpg",4,500,500)</f>
        <v/>
      </c>
      <c r="C1278" s="30">
        <v>1277.0</v>
      </c>
      <c r="D1278" s="16" t="s">
        <v>1816</v>
      </c>
      <c r="E1278" s="16" t="s">
        <v>184</v>
      </c>
      <c r="F1278" s="16" t="s">
        <v>219</v>
      </c>
      <c r="G1278" s="16" t="s">
        <v>255</v>
      </c>
      <c r="H1278" s="16" t="s">
        <v>223</v>
      </c>
      <c r="I1278" s="16" t="s">
        <v>1817</v>
      </c>
    </row>
    <row r="1279" ht="242.25" hidden="1" customHeight="1">
      <c r="B1279" s="32" t="str">
        <f>IMAGE("https://gymvisual.com/808-catalog_default/cross-body-crunch.jpg",4,500,500)</f>
        <v/>
      </c>
      <c r="C1279" s="30">
        <v>1278.0</v>
      </c>
      <c r="D1279" s="16" t="s">
        <v>1818</v>
      </c>
      <c r="E1279" s="16" t="s">
        <v>184</v>
      </c>
      <c r="F1279" s="16" t="s">
        <v>254</v>
      </c>
      <c r="G1279" s="16" t="s">
        <v>255</v>
      </c>
      <c r="H1279" s="16" t="s">
        <v>260</v>
      </c>
      <c r="I1279" s="16" t="s">
        <v>189</v>
      </c>
    </row>
    <row r="1280" ht="242.25" hidden="1" customHeight="1">
      <c r="B1280" s="32" t="str">
        <f>IMAGE("https://gymvisual.com/21030-catalog_default/cross-body-punch-in-squat-position.jpg",4,500,500)</f>
        <v/>
      </c>
      <c r="C1280" s="30">
        <v>1279.0</v>
      </c>
      <c r="D1280" s="16" t="s">
        <v>1819</v>
      </c>
      <c r="E1280" s="16" t="s">
        <v>184</v>
      </c>
      <c r="F1280" s="16" t="s">
        <v>234</v>
      </c>
      <c r="G1280" s="16" t="s">
        <v>255</v>
      </c>
      <c r="H1280" s="16" t="s">
        <v>220</v>
      </c>
      <c r="I1280" s="16" t="s">
        <v>220</v>
      </c>
    </row>
    <row r="1281" ht="242.25" hidden="1" customHeight="1">
      <c r="B1281" s="32" t="str">
        <f>IMAGE("https://gymvisual.com/811-catalog_default/cross-body-twisting-crunch.jpg",4,500,500)</f>
        <v/>
      </c>
      <c r="C1281" s="30">
        <v>1280.0</v>
      </c>
      <c r="D1281" s="16" t="s">
        <v>1820</v>
      </c>
      <c r="E1281" s="16" t="s">
        <v>184</v>
      </c>
      <c r="F1281" s="16" t="s">
        <v>254</v>
      </c>
      <c r="G1281" s="16" t="s">
        <v>255</v>
      </c>
      <c r="H1281" s="16" t="s">
        <v>260</v>
      </c>
      <c r="I1281" s="16" t="s">
        <v>189</v>
      </c>
    </row>
    <row r="1282" ht="242.25" hidden="1" customHeight="1">
      <c r="B1282" s="32" t="str">
        <f>IMAGE("https://gymvisual.com/17791-catalog_default/cross-twisting-sit-up-female.jpg",4,500,500)</f>
        <v/>
      </c>
      <c r="C1282" s="30">
        <v>1281.0</v>
      </c>
      <c r="D1282" s="16" t="s">
        <v>1821</v>
      </c>
      <c r="E1282" s="16" t="s">
        <v>184</v>
      </c>
      <c r="F1282" s="16" t="s">
        <v>254</v>
      </c>
      <c r="G1282" s="16" t="s">
        <v>255</v>
      </c>
      <c r="H1282" s="16" t="s">
        <v>220</v>
      </c>
      <c r="I1282" s="16" t="s">
        <v>220</v>
      </c>
    </row>
    <row r="1283" ht="242.25" hidden="1" customHeight="1">
      <c r="B1283" s="32" t="str">
        <f>IMAGE("https://gymvisual.com/23060-catalog_default/cross-twisting-sit-up-version-2-female.jpg",4,500,500)</f>
        <v/>
      </c>
      <c r="C1283" s="30">
        <v>1282.0</v>
      </c>
      <c r="D1283" s="16" t="s">
        <v>1822</v>
      </c>
      <c r="E1283" s="16" t="s">
        <v>184</v>
      </c>
      <c r="F1283" s="16" t="s">
        <v>254</v>
      </c>
      <c r="G1283" s="16" t="s">
        <v>255</v>
      </c>
      <c r="H1283" s="16" t="s">
        <v>220</v>
      </c>
      <c r="I1283" s="16" t="s">
        <v>220</v>
      </c>
    </row>
    <row r="1284" ht="242.25" hidden="1" customHeight="1">
      <c r="B1284" s="32" t="str">
        <f>IMAGE("https://gymvisual.com/22203-catalog_default/crunch-arms-on-chest-female.jpg",4,500,500)</f>
        <v/>
      </c>
      <c r="C1284" s="30">
        <v>1283.0</v>
      </c>
      <c r="D1284" s="16" t="s">
        <v>1823</v>
      </c>
      <c r="E1284" s="16" t="s">
        <v>184</v>
      </c>
      <c r="F1284" s="16" t="s">
        <v>254</v>
      </c>
      <c r="G1284" s="16" t="s">
        <v>255</v>
      </c>
      <c r="H1284" s="16" t="s">
        <v>220</v>
      </c>
      <c r="I1284" s="16" t="s">
        <v>220</v>
      </c>
    </row>
    <row r="1285" ht="242.25" hidden="1" customHeight="1">
      <c r="B1285" s="32" t="str">
        <f>IMAGE("https://gymvisual.com/820-catalog_default/crunch-arms-straight.jpg",4,500,500)</f>
        <v/>
      </c>
      <c r="C1285" s="30">
        <v>1284.0</v>
      </c>
      <c r="D1285" s="16" t="s">
        <v>1824</v>
      </c>
      <c r="E1285" s="16" t="s">
        <v>184</v>
      </c>
      <c r="F1285" s="16" t="s">
        <v>254</v>
      </c>
      <c r="G1285" s="16" t="s">
        <v>255</v>
      </c>
      <c r="H1285" s="16" t="s">
        <v>256</v>
      </c>
      <c r="I1285" s="16" t="s">
        <v>257</v>
      </c>
    </row>
    <row r="1286" ht="242.25" hidden="1" customHeight="1">
      <c r="B1286" s="32" t="str">
        <f>IMAGE("https://gymvisual.com/18706-catalog_default/crunch-arms-straight-male.jpg",4,500,500)</f>
        <v/>
      </c>
      <c r="C1286" s="30">
        <v>1285.0</v>
      </c>
      <c r="D1286" s="16" t="s">
        <v>1825</v>
      </c>
      <c r="E1286" s="16" t="s">
        <v>184</v>
      </c>
      <c r="F1286" s="16" t="s">
        <v>254</v>
      </c>
      <c r="G1286" s="16" t="s">
        <v>255</v>
      </c>
      <c r="H1286" s="16" t="s">
        <v>256</v>
      </c>
      <c r="I1286" s="16" t="s">
        <v>257</v>
      </c>
    </row>
    <row r="1287" ht="242.25" hidden="1" customHeight="1">
      <c r="B1287" s="32" t="str">
        <f>IMAGE("https://gymvisual.com/823-catalog_default/crunch-hands-overhead.jpg",4,500,500)</f>
        <v/>
      </c>
      <c r="C1287" s="30">
        <v>1286.0</v>
      </c>
      <c r="D1287" s="16" t="s">
        <v>1826</v>
      </c>
      <c r="E1287" s="16" t="s">
        <v>184</v>
      </c>
      <c r="F1287" s="16" t="s">
        <v>254</v>
      </c>
      <c r="G1287" s="16" t="s">
        <v>255</v>
      </c>
      <c r="H1287" s="16" t="s">
        <v>256</v>
      </c>
      <c r="I1287" s="16" t="s">
        <v>257</v>
      </c>
    </row>
    <row r="1288" ht="242.25" hidden="1" customHeight="1">
      <c r="B1288" s="32" t="str">
        <f>IMAGE("https://gymvisual.com/826-catalog_default/crunch-leg-raise.jpg",4,500,500)</f>
        <v/>
      </c>
      <c r="C1288" s="30">
        <v>1287.0</v>
      </c>
      <c r="D1288" s="16" t="s">
        <v>1827</v>
      </c>
      <c r="E1288" s="16" t="s">
        <v>184</v>
      </c>
      <c r="F1288" s="16" t="s">
        <v>254</v>
      </c>
      <c r="G1288" s="16" t="s">
        <v>255</v>
      </c>
      <c r="H1288" s="16" t="s">
        <v>256</v>
      </c>
      <c r="I1288" s="16" t="s">
        <v>524</v>
      </c>
    </row>
    <row r="1289" ht="242.25" customHeight="1">
      <c r="B1289" s="32" t="str">
        <f>IMAGE("https://gymvisual.com/829-catalog_default/crunch-legs-on-stability-ball.jpg",4,500,500)</f>
        <v/>
      </c>
      <c r="C1289" s="30">
        <v>1288.0</v>
      </c>
      <c r="D1289" s="16" t="s">
        <v>1828</v>
      </c>
      <c r="E1289" s="16" t="s">
        <v>184</v>
      </c>
      <c r="F1289" s="16" t="s">
        <v>254</v>
      </c>
      <c r="G1289" s="16" t="s">
        <v>399</v>
      </c>
      <c r="H1289" s="16" t="s">
        <v>256</v>
      </c>
      <c r="I1289" s="16" t="s">
        <v>257</v>
      </c>
    </row>
    <row r="1290" ht="242.25" hidden="1" customHeight="1">
      <c r="B1290" s="32" t="str">
        <f>IMAGE("https://gymvisual.com/832-catalog_default/crunch-on-bench.jpg",4,500,500)</f>
        <v/>
      </c>
      <c r="C1290" s="30">
        <v>1289.0</v>
      </c>
      <c r="D1290" s="16" t="s">
        <v>1829</v>
      </c>
      <c r="E1290" s="16" t="s">
        <v>184</v>
      </c>
      <c r="F1290" s="16" t="s">
        <v>254</v>
      </c>
      <c r="G1290" s="16" t="s">
        <v>255</v>
      </c>
      <c r="H1290" s="16" t="s">
        <v>256</v>
      </c>
      <c r="I1290" s="16" t="s">
        <v>257</v>
      </c>
    </row>
    <row r="1291" ht="242.25" hidden="1" customHeight="1">
      <c r="B1291" s="32" t="str">
        <f>IMAGE("https://gymvisual.com/17069-catalog_default/crunch-on-bench-male.jpg",4,500,500)</f>
        <v/>
      </c>
      <c r="C1291" s="30">
        <v>1290.0</v>
      </c>
      <c r="D1291" s="16" t="s">
        <v>1830</v>
      </c>
      <c r="E1291" s="16" t="s">
        <v>184</v>
      </c>
      <c r="F1291" s="16" t="s">
        <v>254</v>
      </c>
      <c r="G1291" s="16" t="s">
        <v>255</v>
      </c>
      <c r="H1291" s="16" t="s">
        <v>256</v>
      </c>
      <c r="I1291" s="16" t="s">
        <v>257</v>
      </c>
    </row>
    <row r="1292" ht="242.25" customHeight="1">
      <c r="B1292" s="32" t="str">
        <f>IMAGE("https://gymvisual.com/4618-catalog_default/crunch-on-bosu-ball.jpg",4,500,500)</f>
        <v/>
      </c>
      <c r="C1292" s="30">
        <v>1291.0</v>
      </c>
      <c r="D1292" s="16" t="s">
        <v>1831</v>
      </c>
      <c r="E1292" s="16" t="s">
        <v>184</v>
      </c>
      <c r="F1292" s="16" t="s">
        <v>254</v>
      </c>
      <c r="G1292" s="16" t="s">
        <v>316</v>
      </c>
      <c r="H1292" s="16" t="s">
        <v>256</v>
      </c>
      <c r="I1292" s="16" t="s">
        <v>257</v>
      </c>
    </row>
    <row r="1293" ht="242.25" customHeight="1">
      <c r="B1293" s="32" t="str">
        <f>IMAGE("https://gymvisual.com/835-catalog_default/crunch-on-stability-ball.jpg",4,500,500)</f>
        <v/>
      </c>
      <c r="C1293" s="30">
        <v>1292.0</v>
      </c>
      <c r="D1293" s="16" t="s">
        <v>1832</v>
      </c>
      <c r="E1293" s="16" t="s">
        <v>184</v>
      </c>
      <c r="F1293" s="16" t="s">
        <v>254</v>
      </c>
      <c r="G1293" s="16" t="s">
        <v>399</v>
      </c>
      <c r="H1293" s="16" t="s">
        <v>256</v>
      </c>
      <c r="I1293" s="16" t="s">
        <v>257</v>
      </c>
    </row>
    <row r="1294" ht="242.25" customHeight="1">
      <c r="B1294" s="32" t="str">
        <f>IMAGE("https://gymvisual.com/11604-catalog_default/crunch-on-stability-ball-female.jpg",4,500,500)</f>
        <v/>
      </c>
      <c r="C1294" s="30">
        <v>1293.0</v>
      </c>
      <c r="D1294" s="16" t="s">
        <v>1833</v>
      </c>
      <c r="E1294" s="16" t="s">
        <v>184</v>
      </c>
      <c r="F1294" s="16" t="s">
        <v>254</v>
      </c>
      <c r="G1294" s="16" t="s">
        <v>399</v>
      </c>
      <c r="H1294" s="16" t="s">
        <v>220</v>
      </c>
      <c r="I1294" s="16" t="s">
        <v>220</v>
      </c>
    </row>
    <row r="1295" ht="242.25" customHeight="1">
      <c r="B1295" s="32" t="str">
        <f>IMAGE("https://gymvisual.com/838-catalog_default/crunch-on-stability-ball-arms-straight.jpg",4,500,500)</f>
        <v/>
      </c>
      <c r="C1295" s="30">
        <v>1294.0</v>
      </c>
      <c r="D1295" s="16" t="s">
        <v>1834</v>
      </c>
      <c r="E1295" s="16" t="s">
        <v>184</v>
      </c>
      <c r="F1295" s="16" t="s">
        <v>254</v>
      </c>
      <c r="G1295" s="16" t="s">
        <v>399</v>
      </c>
      <c r="H1295" s="16" t="s">
        <v>256</v>
      </c>
      <c r="I1295" s="16" t="s">
        <v>257</v>
      </c>
    </row>
    <row r="1296" ht="242.25" hidden="1" customHeight="1">
      <c r="B1296" s="32" t="str">
        <f>IMAGE("https://gymvisual.com/841-catalog_default/crunch-straight-leg-up.jpg",4,500,500)</f>
        <v/>
      </c>
      <c r="C1296" s="30">
        <v>1295.0</v>
      </c>
      <c r="D1296" s="16" t="s">
        <v>1835</v>
      </c>
      <c r="E1296" s="16" t="s">
        <v>184</v>
      </c>
      <c r="F1296" s="16" t="s">
        <v>254</v>
      </c>
      <c r="G1296" s="16" t="s">
        <v>255</v>
      </c>
      <c r="H1296" s="16" t="s">
        <v>256</v>
      </c>
      <c r="I1296" s="16" t="s">
        <v>424</v>
      </c>
    </row>
    <row r="1297" ht="242.25" hidden="1" customHeight="1">
      <c r="B1297" s="32" t="str">
        <f>IMAGE("https://gymvisual.com/10188-catalog_default/crunch-back-wrong-right.jpg",4,500,500)</f>
        <v/>
      </c>
      <c r="C1297" s="30">
        <v>1296.0</v>
      </c>
      <c r="D1297" s="16" t="s">
        <v>1836</v>
      </c>
      <c r="E1297" s="16" t="s">
        <v>184</v>
      </c>
      <c r="F1297" s="16" t="s">
        <v>254</v>
      </c>
      <c r="G1297" s="16" t="s">
        <v>255</v>
      </c>
      <c r="H1297" s="16" t="s">
        <v>220</v>
      </c>
      <c r="I1297" s="16" t="s">
        <v>220</v>
      </c>
    </row>
    <row r="1298" ht="242.25" hidden="1" customHeight="1">
      <c r="B1298" s="32" t="str">
        <f>IMAGE("https://gymvisual.com/844-catalog_default/crunch-floor.jpg",4,500,500)</f>
        <v/>
      </c>
      <c r="C1298" s="30">
        <v>1297.0</v>
      </c>
      <c r="D1298" s="16" t="s">
        <v>1837</v>
      </c>
      <c r="E1298" s="16" t="s">
        <v>184</v>
      </c>
      <c r="F1298" s="16" t="s">
        <v>254</v>
      </c>
      <c r="G1298" s="16" t="s">
        <v>255</v>
      </c>
      <c r="H1298" s="16" t="s">
        <v>256</v>
      </c>
      <c r="I1298" s="16" t="s">
        <v>257</v>
      </c>
    </row>
    <row r="1299" ht="242.25" hidden="1" customHeight="1">
      <c r="B1299" s="32" t="str">
        <f>IMAGE("https://gymvisual.com/847-catalog_default/crunch-floor.jpg",4,500,500)</f>
        <v/>
      </c>
      <c r="C1299" s="30">
        <v>1298.0</v>
      </c>
      <c r="D1299" s="16" t="s">
        <v>1837</v>
      </c>
      <c r="E1299" s="16" t="s">
        <v>184</v>
      </c>
      <c r="F1299" s="16" t="s">
        <v>254</v>
      </c>
      <c r="G1299" s="16" t="s">
        <v>255</v>
      </c>
      <c r="H1299" s="16" t="s">
        <v>256</v>
      </c>
      <c r="I1299" s="16" t="s">
        <v>257</v>
      </c>
    </row>
    <row r="1300" ht="242.25" hidden="1" customHeight="1">
      <c r="B1300" s="32" t="str">
        <f>IMAGE("https://gymvisual.com/18254-catalog_default/crunch-hold.jpg",4,500,500)</f>
        <v/>
      </c>
      <c r="C1300" s="30">
        <v>1299.0</v>
      </c>
      <c r="D1300" s="16" t="s">
        <v>1838</v>
      </c>
      <c r="E1300" s="16" t="s">
        <v>184</v>
      </c>
      <c r="F1300" s="16" t="s">
        <v>254</v>
      </c>
      <c r="G1300" s="16" t="s">
        <v>255</v>
      </c>
      <c r="H1300" s="16" t="s">
        <v>256</v>
      </c>
      <c r="I1300" s="16" t="s">
        <v>257</v>
      </c>
    </row>
    <row r="1301" ht="242.25" hidden="1" customHeight="1">
      <c r="B1301" s="32" t="str">
        <f>IMAGE("https://gymvisual.com/18252-catalog_default/crunch-single-leg-lift.jpg",4,500,500)</f>
        <v/>
      </c>
      <c r="C1301" s="30">
        <v>1300.0</v>
      </c>
      <c r="D1301" s="16" t="s">
        <v>1839</v>
      </c>
      <c r="E1301" s="16" t="s">
        <v>184</v>
      </c>
      <c r="F1301" s="16" t="s">
        <v>254</v>
      </c>
      <c r="G1301" s="16" t="s">
        <v>255</v>
      </c>
      <c r="H1301" s="16" t="s">
        <v>305</v>
      </c>
      <c r="I1301" s="16" t="s">
        <v>1840</v>
      </c>
    </row>
    <row r="1302" ht="242.25" hidden="1" customHeight="1">
      <c r="B1302" s="32" t="str">
        <f>IMAGE("https://gymvisual.com/17891-catalog_default/crunch-with-leg-lift-male.jpg",4,500,500)</f>
        <v/>
      </c>
      <c r="C1302" s="30">
        <v>1301.0</v>
      </c>
      <c r="D1302" s="16" t="s">
        <v>1841</v>
      </c>
      <c r="E1302" s="16" t="s">
        <v>184</v>
      </c>
      <c r="F1302" s="16" t="s">
        <v>254</v>
      </c>
      <c r="G1302" s="16" t="s">
        <v>255</v>
      </c>
      <c r="H1302" s="16" t="s">
        <v>220</v>
      </c>
      <c r="I1302" s="16" t="s">
        <v>220</v>
      </c>
    </row>
    <row r="1303" ht="242.25" customHeight="1">
      <c r="B1303" s="32" t="str">
        <f>IMAGE("https://gymvisual.com/13836-catalog_default/crunch-with-medicine-ball.jpg",4,500,500)</f>
        <v/>
      </c>
      <c r="C1303" s="30">
        <v>1302.0</v>
      </c>
      <c r="D1303" s="16" t="s">
        <v>1842</v>
      </c>
      <c r="E1303" s="16" t="s">
        <v>184</v>
      </c>
      <c r="F1303" s="16" t="s">
        <v>254</v>
      </c>
      <c r="G1303" s="16" t="s">
        <v>373</v>
      </c>
      <c r="H1303" s="16" t="s">
        <v>256</v>
      </c>
      <c r="I1303" s="16" t="s">
        <v>257</v>
      </c>
    </row>
    <row r="1304" ht="242.25" customHeight="1">
      <c r="B1304" s="32" t="str">
        <f>IMAGE("https://gymvisual.com/13838-catalog_default/crunch-with-medicine-ball-female.jpg",4,500,500)</f>
        <v/>
      </c>
      <c r="C1304" s="30">
        <v>1303.0</v>
      </c>
      <c r="D1304" s="16" t="s">
        <v>1843</v>
      </c>
      <c r="E1304" s="16" t="s">
        <v>184</v>
      </c>
      <c r="F1304" s="16" t="s">
        <v>254</v>
      </c>
      <c r="G1304" s="16" t="s">
        <v>373</v>
      </c>
      <c r="H1304" s="16" t="s">
        <v>256</v>
      </c>
      <c r="I1304" s="16" t="s">
        <v>257</v>
      </c>
    </row>
    <row r="1305" ht="242.25" hidden="1" customHeight="1">
      <c r="B1305" s="32" t="str">
        <f>IMAGE("https://gymvisual.com/14030-catalog_default/crunchy-frog-on-floor.jpg",4,500,500)</f>
        <v/>
      </c>
      <c r="C1305" s="30">
        <v>1304.0</v>
      </c>
      <c r="D1305" s="16" t="s">
        <v>1844</v>
      </c>
      <c r="E1305" s="16" t="s">
        <v>184</v>
      </c>
      <c r="F1305" s="16" t="s">
        <v>1845</v>
      </c>
      <c r="G1305" s="16" t="s">
        <v>255</v>
      </c>
      <c r="H1305" s="16" t="s">
        <v>1846</v>
      </c>
      <c r="I1305" s="16" t="s">
        <v>1847</v>
      </c>
    </row>
    <row r="1306" ht="242.25" hidden="1" customHeight="1">
      <c r="B1306" s="32" t="str">
        <f>IMAGE("https://gymvisual.com/12480-catalog_default/curl-up.jpg",4,500,500)</f>
        <v/>
      </c>
      <c r="C1306" s="30">
        <v>1305.0</v>
      </c>
      <c r="D1306" s="16" t="s">
        <v>1848</v>
      </c>
      <c r="E1306" s="16" t="s">
        <v>184</v>
      </c>
      <c r="F1306" s="16" t="s">
        <v>254</v>
      </c>
      <c r="G1306" s="16" t="s">
        <v>255</v>
      </c>
      <c r="H1306" s="16" t="s">
        <v>256</v>
      </c>
      <c r="I1306" s="16" t="s">
        <v>257</v>
      </c>
    </row>
    <row r="1307" ht="242.25" hidden="1" customHeight="1">
      <c r="B1307" s="32" t="str">
        <f>IMAGE("https://gymvisual.com/12477-catalog_default/curl-up-female.jpg",4,500,500)</f>
        <v/>
      </c>
      <c r="C1307" s="30">
        <v>1306.0</v>
      </c>
      <c r="D1307" s="16" t="s">
        <v>1849</v>
      </c>
      <c r="E1307" s="16" t="s">
        <v>184</v>
      </c>
      <c r="F1307" s="16" t="s">
        <v>254</v>
      </c>
      <c r="G1307" s="16" t="s">
        <v>255</v>
      </c>
      <c r="H1307" s="16" t="s">
        <v>256</v>
      </c>
      <c r="I1307" s="16" t="s">
        <v>257</v>
      </c>
    </row>
    <row r="1308" ht="242.25" hidden="1" customHeight="1">
      <c r="B1308" s="32" t="str">
        <f>IMAGE("https://gymvisual.com/16737-catalog_default/curtsey-squat.jpg",4,500,500)</f>
        <v/>
      </c>
      <c r="C1308" s="30">
        <v>1307.0</v>
      </c>
      <c r="D1308" s="16" t="s">
        <v>1850</v>
      </c>
      <c r="E1308" s="16" t="s">
        <v>184</v>
      </c>
      <c r="F1308" s="16" t="s">
        <v>294</v>
      </c>
      <c r="G1308" s="16" t="s">
        <v>255</v>
      </c>
      <c r="H1308" s="16" t="s">
        <v>1851</v>
      </c>
      <c r="I1308" s="16" t="s">
        <v>1852</v>
      </c>
    </row>
    <row r="1309" ht="242.25" hidden="1" customHeight="1">
      <c r="B1309" s="32" t="str">
        <f>IMAGE("https://gymvisual.com/20612-catalog_default/dead-bug.jpg",4,500,500)</f>
        <v/>
      </c>
      <c r="C1309" s="30">
        <v>1308.0</v>
      </c>
      <c r="D1309" s="16" t="s">
        <v>1853</v>
      </c>
      <c r="E1309" s="16" t="s">
        <v>184</v>
      </c>
      <c r="F1309" s="16" t="s">
        <v>254</v>
      </c>
      <c r="G1309" s="16" t="s">
        <v>255</v>
      </c>
      <c r="H1309" s="16" t="s">
        <v>256</v>
      </c>
      <c r="I1309" s="16" t="s">
        <v>189</v>
      </c>
    </row>
    <row r="1310" ht="242.25" hidden="1" customHeight="1">
      <c r="B1310" s="32" t="str">
        <f>IMAGE("https://gymvisual.com/13411-catalog_default/dead-bug-female.jpg",4,500,500)</f>
        <v/>
      </c>
      <c r="C1310" s="30">
        <v>1309.0</v>
      </c>
      <c r="D1310" s="16" t="s">
        <v>1854</v>
      </c>
      <c r="E1310" s="16" t="s">
        <v>184</v>
      </c>
      <c r="F1310" s="16" t="s">
        <v>522</v>
      </c>
      <c r="G1310" s="16" t="s">
        <v>255</v>
      </c>
      <c r="H1310" s="16" t="s">
        <v>256</v>
      </c>
      <c r="I1310" s="16" t="s">
        <v>189</v>
      </c>
    </row>
    <row r="1311" ht="242.25" hidden="1" customHeight="1">
      <c r="B1311" s="32" t="str">
        <f>IMAGE("https://gymvisual.com/4619-catalog_default/dead-bug-version-2.jpg",4,500,500)</f>
        <v/>
      </c>
      <c r="C1311" s="30">
        <v>1310.0</v>
      </c>
      <c r="D1311" s="16" t="s">
        <v>1855</v>
      </c>
      <c r="E1311" s="16" t="s">
        <v>184</v>
      </c>
      <c r="F1311" s="16" t="s">
        <v>254</v>
      </c>
      <c r="G1311" s="16" t="s">
        <v>255</v>
      </c>
      <c r="H1311" s="16" t="s">
        <v>305</v>
      </c>
      <c r="I1311" s="16" t="s">
        <v>189</v>
      </c>
    </row>
    <row r="1312" ht="242.25" hidden="1" customHeight="1">
      <c r="B1312" s="32" t="str">
        <f>IMAGE("https://gymvisual.com/23559-catalog_default/dead-bug-version-2-female.jpg",4,500,500)</f>
        <v/>
      </c>
      <c r="C1312" s="30">
        <v>1311.0</v>
      </c>
      <c r="D1312" s="16" t="s">
        <v>1856</v>
      </c>
      <c r="E1312" s="16" t="s">
        <v>184</v>
      </c>
      <c r="F1312" s="16" t="s">
        <v>254</v>
      </c>
      <c r="G1312" s="16" t="s">
        <v>255</v>
      </c>
      <c r="H1312" s="16" t="s">
        <v>256</v>
      </c>
      <c r="I1312" s="16" t="s">
        <v>189</v>
      </c>
    </row>
    <row r="1313" ht="242.25" customHeight="1">
      <c r="B1313" s="32" t="str">
        <f>IMAGE("https://gymvisual.com/17949-catalog_default/dead-bug-with-medicine-ball-male.jpg",4,500,500)</f>
        <v/>
      </c>
      <c r="C1313" s="30">
        <v>1312.0</v>
      </c>
      <c r="D1313" s="16" t="s">
        <v>1857</v>
      </c>
      <c r="E1313" s="16" t="s">
        <v>184</v>
      </c>
      <c r="F1313" s="16" t="s">
        <v>254</v>
      </c>
      <c r="G1313" s="16" t="s">
        <v>373</v>
      </c>
      <c r="H1313" s="16" t="s">
        <v>220</v>
      </c>
      <c r="I1313" s="16" t="s">
        <v>220</v>
      </c>
    </row>
    <row r="1314" ht="242.25" customHeight="1">
      <c r="B1314" s="32" t="str">
        <f>IMAGE("https://gymvisual.com/17845-catalog_default/dead-bug-with-stability-ball.jpg",4,500,500)</f>
        <v/>
      </c>
      <c r="C1314" s="30">
        <v>1313.0</v>
      </c>
      <c r="D1314" s="16" t="s">
        <v>1858</v>
      </c>
      <c r="E1314" s="16" t="s">
        <v>184</v>
      </c>
      <c r="F1314" s="16" t="s">
        <v>254</v>
      </c>
      <c r="G1314" s="16" t="s">
        <v>399</v>
      </c>
      <c r="H1314" s="16" t="s">
        <v>220</v>
      </c>
      <c r="I1314" s="16" t="s">
        <v>220</v>
      </c>
    </row>
    <row r="1315" ht="242.25" customHeight="1">
      <c r="A1315" s="32" t="b">
        <v>0</v>
      </c>
      <c r="B1315" s="32" t="str">
        <f>IMAGE("https://gymvisual.com/10211-catalog_default/deadlift-back-wrong-right.jpg",4,500,500)</f>
        <v/>
      </c>
      <c r="C1315" s="30">
        <v>1314.0</v>
      </c>
      <c r="D1315" s="16" t="s">
        <v>1859</v>
      </c>
      <c r="E1315" s="16" t="s">
        <v>184</v>
      </c>
      <c r="F1315" s="16" t="s">
        <v>285</v>
      </c>
      <c r="G1315" s="16" t="s">
        <v>186</v>
      </c>
      <c r="H1315" s="16" t="s">
        <v>220</v>
      </c>
      <c r="I1315" s="16" t="s">
        <v>220</v>
      </c>
    </row>
    <row r="1316" ht="242.25" customHeight="1">
      <c r="A1316" s="32" t="b">
        <v>0</v>
      </c>
      <c r="B1316" s="32" t="str">
        <f>IMAGE("https://gymvisual.com/10225-catalog_default/deadlift-hips-wrong-right.jpg",4,500,500)</f>
        <v/>
      </c>
      <c r="C1316" s="30">
        <v>1315.0</v>
      </c>
      <c r="D1316" s="16" t="s">
        <v>1860</v>
      </c>
      <c r="E1316" s="16" t="s">
        <v>184</v>
      </c>
      <c r="F1316" s="16" t="s">
        <v>294</v>
      </c>
      <c r="G1316" s="16" t="s">
        <v>186</v>
      </c>
      <c r="H1316" s="16" t="s">
        <v>220</v>
      </c>
      <c r="I1316" s="16" t="s">
        <v>220</v>
      </c>
    </row>
    <row r="1317" ht="242.25" hidden="1" customHeight="1">
      <c r="B1317" s="32" t="str">
        <f>IMAGE("https://gymvisual.com/7643-catalog_default/decline-bent-leg-reverse-crunch.jpg",4,500,500)</f>
        <v/>
      </c>
      <c r="C1317" s="30">
        <v>1316.0</v>
      </c>
      <c r="D1317" s="16" t="s">
        <v>1861</v>
      </c>
      <c r="E1317" s="16" t="s">
        <v>184</v>
      </c>
      <c r="F1317" s="16" t="s">
        <v>254</v>
      </c>
      <c r="G1317" s="16" t="s">
        <v>255</v>
      </c>
      <c r="H1317" s="16" t="s">
        <v>220</v>
      </c>
      <c r="I1317" s="16" t="s">
        <v>220</v>
      </c>
    </row>
    <row r="1318" ht="242.25" hidden="1" customHeight="1">
      <c r="B1318" s="32" t="str">
        <f>IMAGE("https://gymvisual.com/13413-catalog_default/decline-bent-leg-reverse-crunch-female.jpg",4,500,500)</f>
        <v/>
      </c>
      <c r="C1318" s="30">
        <v>1317.0</v>
      </c>
      <c r="D1318" s="16" t="s">
        <v>1862</v>
      </c>
      <c r="E1318" s="16" t="s">
        <v>184</v>
      </c>
      <c r="F1318" s="16" t="s">
        <v>254</v>
      </c>
      <c r="G1318" s="16" t="s">
        <v>255</v>
      </c>
      <c r="H1318" s="16" t="s">
        <v>256</v>
      </c>
      <c r="I1318" s="16" t="s">
        <v>257</v>
      </c>
    </row>
    <row r="1319" ht="242.25" hidden="1" customHeight="1">
      <c r="B1319" s="32" t="str">
        <f>IMAGE("https://gymvisual.com/853-catalog_default/decline-crunch.jpg",4,500,500)</f>
        <v/>
      </c>
      <c r="C1319" s="30">
        <v>1318.0</v>
      </c>
      <c r="D1319" s="16" t="s">
        <v>1863</v>
      </c>
      <c r="E1319" s="16" t="s">
        <v>184</v>
      </c>
      <c r="F1319" s="16" t="s">
        <v>254</v>
      </c>
      <c r="G1319" s="16" t="s">
        <v>255</v>
      </c>
      <c r="H1319" s="16" t="s">
        <v>256</v>
      </c>
      <c r="I1319" s="16" t="s">
        <v>257</v>
      </c>
    </row>
    <row r="1320" ht="242.25" hidden="1" customHeight="1">
      <c r="B1320" s="32" t="str">
        <f>IMAGE("https://gymvisual.com/10975-catalog_default/decline-crunch-female.jpg",4,500,500)</f>
        <v/>
      </c>
      <c r="C1320" s="30">
        <v>1319.0</v>
      </c>
      <c r="D1320" s="16" t="s">
        <v>1864</v>
      </c>
      <c r="E1320" s="16" t="s">
        <v>184</v>
      </c>
      <c r="F1320" s="16" t="s">
        <v>254</v>
      </c>
      <c r="G1320" s="16" t="s">
        <v>255</v>
      </c>
      <c r="H1320" s="16" t="s">
        <v>220</v>
      </c>
      <c r="I1320" s="16" t="s">
        <v>220</v>
      </c>
    </row>
    <row r="1321" ht="242.25" hidden="1" customHeight="1">
      <c r="B1321" s="32" t="str">
        <f>IMAGE("https://gymvisual.com/26106-catalog_default/decline-diamond-push-up.jpg",4,500,500)</f>
        <v/>
      </c>
      <c r="C1321" s="30">
        <v>1320.0</v>
      </c>
      <c r="D1321" s="16" t="s">
        <v>1865</v>
      </c>
      <c r="E1321" s="16" t="s">
        <v>184</v>
      </c>
      <c r="F1321" s="16" t="s">
        <v>234</v>
      </c>
      <c r="G1321" s="16" t="s">
        <v>255</v>
      </c>
      <c r="H1321" s="16" t="s">
        <v>220</v>
      </c>
      <c r="I1321" s="16" t="s">
        <v>220</v>
      </c>
    </row>
    <row r="1322" ht="242.25" hidden="1" customHeight="1">
      <c r="B1322" s="32" t="str">
        <f>IMAGE("https://gymvisual.com/13996-catalog_default/decline-kneeling-push-up-on-box.jpg",4,500,500)</f>
        <v/>
      </c>
      <c r="C1322" s="30">
        <v>1321.0</v>
      </c>
      <c r="D1322" s="16" t="s">
        <v>1866</v>
      </c>
      <c r="E1322" s="16" t="s">
        <v>184</v>
      </c>
      <c r="F1322" s="16" t="s">
        <v>234</v>
      </c>
      <c r="G1322" s="16" t="s">
        <v>255</v>
      </c>
      <c r="H1322" s="16" t="s">
        <v>235</v>
      </c>
      <c r="I1322" s="16" t="s">
        <v>243</v>
      </c>
    </row>
    <row r="1323" ht="242.25" hidden="1" customHeight="1">
      <c r="B1323" s="32" t="str">
        <f>IMAGE("https://gymvisual.com/13902-catalog_default/decline-leg-hip-raise.jpg",4,500,500)</f>
        <v/>
      </c>
      <c r="C1323" s="30">
        <v>1322.0</v>
      </c>
      <c r="D1323" s="16" t="s">
        <v>1867</v>
      </c>
      <c r="E1323" s="16" t="s">
        <v>184</v>
      </c>
      <c r="F1323" s="16" t="s">
        <v>310</v>
      </c>
      <c r="G1323" s="16" t="s">
        <v>255</v>
      </c>
      <c r="H1323" s="16" t="s">
        <v>305</v>
      </c>
      <c r="I1323" s="16" t="s">
        <v>600</v>
      </c>
    </row>
    <row r="1324" ht="242.25" hidden="1" customHeight="1">
      <c r="B1324" s="32" t="str">
        <f>IMAGE("https://gymvisual.com/17777-catalog_default/decline-pike-press-between-benches.jpg",4,500,500)</f>
        <v/>
      </c>
      <c r="C1324" s="30">
        <v>1323.0</v>
      </c>
      <c r="D1324" s="16" t="s">
        <v>1868</v>
      </c>
      <c r="E1324" s="16" t="s">
        <v>184</v>
      </c>
      <c r="F1324" s="16" t="s">
        <v>228</v>
      </c>
      <c r="G1324" s="16" t="s">
        <v>255</v>
      </c>
      <c r="H1324" s="16" t="s">
        <v>220</v>
      </c>
      <c r="I1324" s="16" t="s">
        <v>220</v>
      </c>
    </row>
    <row r="1325" ht="242.25" hidden="1" customHeight="1">
      <c r="B1325" s="32" t="str">
        <f>IMAGE("https://gymvisual.com/859-catalog_default/decline-push-up.jpg",4,500,500)</f>
        <v/>
      </c>
      <c r="C1325" s="30">
        <v>1324.0</v>
      </c>
      <c r="D1325" s="16" t="s">
        <v>1869</v>
      </c>
      <c r="E1325" s="16" t="s">
        <v>184</v>
      </c>
      <c r="F1325" s="16" t="s">
        <v>234</v>
      </c>
      <c r="G1325" s="16" t="s">
        <v>255</v>
      </c>
      <c r="H1325" s="16" t="s">
        <v>235</v>
      </c>
      <c r="I1325" s="16" t="s">
        <v>243</v>
      </c>
    </row>
    <row r="1326" ht="242.25" hidden="1" customHeight="1">
      <c r="B1326" s="32" t="str">
        <f>IMAGE("https://gymvisual.com/862-catalog_default/decline-push-up.jpg",4,500,500)</f>
        <v/>
      </c>
      <c r="C1326" s="30">
        <v>1325.0</v>
      </c>
      <c r="D1326" s="16" t="s">
        <v>1869</v>
      </c>
      <c r="E1326" s="16" t="s">
        <v>184</v>
      </c>
      <c r="F1326" s="16" t="s">
        <v>234</v>
      </c>
      <c r="G1326" s="16" t="s">
        <v>255</v>
      </c>
      <c r="H1326" s="16" t="s">
        <v>235</v>
      </c>
      <c r="I1326" s="16" t="s">
        <v>243</v>
      </c>
    </row>
    <row r="1327" ht="242.25" hidden="1" customHeight="1">
      <c r="B1327" s="32" t="str">
        <f>IMAGE("https://gymvisual.com/22107-catalog_default/decline-push-up-kneeling-female.jpg",4,500,500)</f>
        <v/>
      </c>
      <c r="C1327" s="30">
        <v>1326.0</v>
      </c>
      <c r="D1327" s="16" t="s">
        <v>1870</v>
      </c>
      <c r="E1327" s="16" t="s">
        <v>184</v>
      </c>
      <c r="F1327" s="16" t="s">
        <v>234</v>
      </c>
      <c r="G1327" s="16" t="s">
        <v>255</v>
      </c>
      <c r="H1327" s="16" t="s">
        <v>235</v>
      </c>
      <c r="I1327" s="16" t="s">
        <v>243</v>
      </c>
    </row>
    <row r="1328" ht="242.25" customHeight="1">
      <c r="B1328" s="32" t="str">
        <f>IMAGE("https://gymvisual.com/2589-catalog_default/decline-push-up-on-stability-ball.jpg",4,500,500)</f>
        <v/>
      </c>
      <c r="C1328" s="30">
        <v>1327.0</v>
      </c>
      <c r="D1328" s="16" t="s">
        <v>1871</v>
      </c>
      <c r="E1328" s="16" t="s">
        <v>184</v>
      </c>
      <c r="F1328" s="16" t="s">
        <v>234</v>
      </c>
      <c r="G1328" s="16" t="s">
        <v>399</v>
      </c>
      <c r="H1328" s="16" t="s">
        <v>235</v>
      </c>
      <c r="I1328" s="16" t="s">
        <v>243</v>
      </c>
    </row>
    <row r="1329" ht="242.25" hidden="1" customHeight="1">
      <c r="B1329" s="32" t="str">
        <f>IMAGE("https://gymvisual.com/13998-catalog_default/decline-push-up-against-wall.jpg",4,500,500)</f>
        <v/>
      </c>
      <c r="C1329" s="30">
        <v>1328.0</v>
      </c>
      <c r="D1329" s="16" t="s">
        <v>1872</v>
      </c>
      <c r="E1329" s="16" t="s">
        <v>184</v>
      </c>
      <c r="F1329" s="16" t="s">
        <v>234</v>
      </c>
      <c r="G1329" s="16" t="s">
        <v>255</v>
      </c>
      <c r="H1329" s="16" t="s">
        <v>235</v>
      </c>
      <c r="I1329" s="16" t="s">
        <v>243</v>
      </c>
    </row>
    <row r="1330" ht="242.25" hidden="1" customHeight="1">
      <c r="B1330" s="32" t="str">
        <f>IMAGE("https://gymvisual.com/22708-catalog_default/decline-shoulder-tap.jpg",4,500,500)</f>
        <v/>
      </c>
      <c r="C1330" s="30">
        <v>1329.0</v>
      </c>
      <c r="D1330" s="16" t="s">
        <v>1873</v>
      </c>
      <c r="E1330" s="16" t="s">
        <v>184</v>
      </c>
      <c r="F1330" s="16" t="s">
        <v>234</v>
      </c>
      <c r="G1330" s="16" t="s">
        <v>255</v>
      </c>
      <c r="H1330" s="16" t="s">
        <v>1874</v>
      </c>
      <c r="I1330" s="16" t="s">
        <v>1875</v>
      </c>
    </row>
    <row r="1331" ht="242.25" hidden="1" customHeight="1">
      <c r="B1331" s="32" t="str">
        <f>IMAGE("https://gymvisual.com/10972-catalog_default/decline-sit-up-female.jpg",4,500,500)</f>
        <v/>
      </c>
      <c r="C1331" s="30">
        <v>1330.0</v>
      </c>
      <c r="D1331" s="16" t="s">
        <v>1876</v>
      </c>
      <c r="E1331" s="16" t="s">
        <v>184</v>
      </c>
      <c r="F1331" s="16" t="s">
        <v>254</v>
      </c>
      <c r="G1331" s="16" t="s">
        <v>255</v>
      </c>
      <c r="H1331" s="16" t="s">
        <v>220</v>
      </c>
      <c r="I1331" s="16" t="s">
        <v>220</v>
      </c>
    </row>
    <row r="1332" ht="242.25" hidden="1" customHeight="1">
      <c r="B1332" s="32" t="str">
        <f>IMAGE("https://gymvisual.com/20614-catalog_default/decline-sit-up.jpg",4,500,500)</f>
        <v/>
      </c>
      <c r="C1332" s="30">
        <v>1331.0</v>
      </c>
      <c r="D1332" s="16" t="s">
        <v>1877</v>
      </c>
      <c r="E1332" s="16" t="s">
        <v>184</v>
      </c>
      <c r="F1332" s="16" t="s">
        <v>185</v>
      </c>
      <c r="G1332" s="16" t="s">
        <v>255</v>
      </c>
      <c r="H1332" s="16" t="s">
        <v>271</v>
      </c>
      <c r="I1332" s="16" t="s">
        <v>1878</v>
      </c>
    </row>
    <row r="1333" ht="242.25" hidden="1" customHeight="1">
      <c r="B1333" s="32" t="str">
        <f>IMAGE("https://gymvisual.com/865-catalog_default/decline-sit-up-arms-straight.jpg",4,500,500)</f>
        <v/>
      </c>
      <c r="C1333" s="30">
        <v>1332.0</v>
      </c>
      <c r="D1333" s="16" t="s">
        <v>1879</v>
      </c>
      <c r="E1333" s="16" t="s">
        <v>184</v>
      </c>
      <c r="F1333" s="16" t="s">
        <v>254</v>
      </c>
      <c r="G1333" s="16" t="s">
        <v>255</v>
      </c>
      <c r="H1333" s="16" t="s">
        <v>256</v>
      </c>
      <c r="I1333" s="16" t="s">
        <v>600</v>
      </c>
    </row>
    <row r="1334" ht="242.25" hidden="1" customHeight="1">
      <c r="B1334" s="32" t="str">
        <f>IMAGE("https://gymvisual.com/24313-catalog_default/decline-sit-up-version-3.jpg",4,500,500)</f>
        <v/>
      </c>
      <c r="C1334" s="30">
        <v>1333.0</v>
      </c>
      <c r="D1334" s="16" t="s">
        <v>1880</v>
      </c>
      <c r="E1334" s="16" t="s">
        <v>184</v>
      </c>
      <c r="F1334" s="16" t="s">
        <v>254</v>
      </c>
      <c r="G1334" s="16" t="s">
        <v>255</v>
      </c>
      <c r="H1334" s="16" t="s">
        <v>220</v>
      </c>
      <c r="I1334" s="16" t="s">
        <v>220</v>
      </c>
    </row>
    <row r="1335" ht="242.25" hidden="1" customHeight="1">
      <c r="B1335" s="32" t="str">
        <f>IMAGE("https://gymvisual.com/22498-catalog_default/decline-sit-up-and-russian-twist.jpg",4,500,500)</f>
        <v/>
      </c>
      <c r="C1335" s="30">
        <v>1334.0</v>
      </c>
      <c r="D1335" s="16" t="s">
        <v>1881</v>
      </c>
      <c r="E1335" s="16" t="s">
        <v>184</v>
      </c>
      <c r="F1335" s="16" t="s">
        <v>254</v>
      </c>
      <c r="G1335" s="16" t="s">
        <v>255</v>
      </c>
      <c r="H1335" s="16" t="s">
        <v>220</v>
      </c>
      <c r="I1335" s="16" t="s">
        <v>220</v>
      </c>
    </row>
    <row r="1336" ht="242.25" hidden="1" customHeight="1">
      <c r="B1336" s="32" t="str">
        <f>IMAGE("https://gymvisual.com/11140-catalog_default/decline-twisting-sit-up-female.jpg",4,500,500)</f>
        <v/>
      </c>
      <c r="C1336" s="30">
        <v>1335.0</v>
      </c>
      <c r="D1336" s="16" t="s">
        <v>1882</v>
      </c>
      <c r="E1336" s="16" t="s">
        <v>184</v>
      </c>
      <c r="F1336" s="16" t="s">
        <v>254</v>
      </c>
      <c r="G1336" s="16" t="s">
        <v>255</v>
      </c>
      <c r="H1336" s="16" t="s">
        <v>220</v>
      </c>
      <c r="I1336" s="16" t="s">
        <v>220</v>
      </c>
    </row>
    <row r="1337" ht="242.25" customHeight="1">
      <c r="A1337" s="32" t="b">
        <v>0</v>
      </c>
      <c r="B1337" s="32" t="str">
        <f>IMAGE("https://gymvisual.com/20650-catalog_default/deep-push-up.jpg",4,500,500)</f>
        <v/>
      </c>
      <c r="C1337" s="30">
        <v>1336.0</v>
      </c>
      <c r="D1337" s="16" t="s">
        <v>1883</v>
      </c>
      <c r="E1337" s="16" t="s">
        <v>184</v>
      </c>
      <c r="F1337" s="16" t="s">
        <v>234</v>
      </c>
      <c r="G1337" s="16" t="s">
        <v>222</v>
      </c>
      <c r="H1337" s="16" t="s">
        <v>347</v>
      </c>
      <c r="I1337" s="16" t="s">
        <v>1884</v>
      </c>
    </row>
    <row r="1338" ht="242.25" customHeight="1">
      <c r="A1338" s="32" t="b">
        <v>0</v>
      </c>
      <c r="B1338" s="32" t="str">
        <f>IMAGE("https://gymvisual.com/12062-catalog_default/deep-push-up-female.jpg",4,500,500)</f>
        <v/>
      </c>
      <c r="C1338" s="30">
        <v>1337.0</v>
      </c>
      <c r="D1338" s="16" t="s">
        <v>1885</v>
      </c>
      <c r="E1338" s="16" t="s">
        <v>184</v>
      </c>
      <c r="F1338" s="16" t="s">
        <v>234</v>
      </c>
      <c r="G1338" s="16" t="s">
        <v>222</v>
      </c>
      <c r="H1338" s="16" t="s">
        <v>235</v>
      </c>
      <c r="I1338" s="16" t="s">
        <v>243</v>
      </c>
    </row>
    <row r="1339" ht="242.25" hidden="1" customHeight="1">
      <c r="B1339" s="32" t="str">
        <f>IMAGE("https://gymvisual.com/23613-catalog_default/diagonal-lunge.jpg",4,500,500)</f>
        <v/>
      </c>
      <c r="C1339" s="30">
        <v>1338.0</v>
      </c>
      <c r="D1339" s="16" t="s">
        <v>1886</v>
      </c>
      <c r="E1339" s="16" t="s">
        <v>184</v>
      </c>
      <c r="F1339" s="16" t="s">
        <v>321</v>
      </c>
      <c r="G1339" s="16" t="s">
        <v>255</v>
      </c>
      <c r="H1339" s="16" t="s">
        <v>220</v>
      </c>
      <c r="I1339" s="16" t="s">
        <v>220</v>
      </c>
    </row>
    <row r="1340" ht="242.25" hidden="1" customHeight="1">
      <c r="B1340" s="32" t="str">
        <f>IMAGE("https://gymvisual.com/19177-catalog_default/diamond-press.jpg",4,500,500)</f>
        <v/>
      </c>
      <c r="C1340" s="30">
        <v>1339.0</v>
      </c>
      <c r="D1340" s="16" t="s">
        <v>1887</v>
      </c>
      <c r="E1340" s="16" t="s">
        <v>184</v>
      </c>
      <c r="F1340" s="16" t="s">
        <v>1888</v>
      </c>
      <c r="G1340" s="16" t="s">
        <v>255</v>
      </c>
      <c r="H1340" s="16" t="s">
        <v>1889</v>
      </c>
      <c r="I1340" s="16" t="s">
        <v>229</v>
      </c>
    </row>
    <row r="1341" ht="242.25" hidden="1" customHeight="1">
      <c r="B1341" s="32" t="str">
        <f>IMAGE("https://gymvisual.com/11588-catalog_default/diamond-push-up-female.jpg",4,500,500)</f>
        <v/>
      </c>
      <c r="C1341" s="30">
        <v>1340.0</v>
      </c>
      <c r="D1341" s="16" t="s">
        <v>1890</v>
      </c>
      <c r="E1341" s="16" t="s">
        <v>184</v>
      </c>
      <c r="F1341" s="16" t="s">
        <v>219</v>
      </c>
      <c r="G1341" s="16" t="s">
        <v>255</v>
      </c>
      <c r="H1341" s="16" t="s">
        <v>223</v>
      </c>
      <c r="I1341" s="16" t="s">
        <v>472</v>
      </c>
    </row>
    <row r="1342" ht="242.25" hidden="1" customHeight="1">
      <c r="B1342" s="32" t="str">
        <f>IMAGE("https://gymvisual.com/20616-catalog_default/diamond-push-up.jpg",4,500,500)</f>
        <v/>
      </c>
      <c r="C1342" s="30">
        <v>1341.0</v>
      </c>
      <c r="D1342" s="16" t="s">
        <v>1891</v>
      </c>
      <c r="E1342" s="16" t="s">
        <v>184</v>
      </c>
      <c r="F1342" s="16" t="s">
        <v>219</v>
      </c>
      <c r="G1342" s="16" t="s">
        <v>255</v>
      </c>
      <c r="H1342" s="16" t="s">
        <v>223</v>
      </c>
      <c r="I1342" s="16" t="s">
        <v>472</v>
      </c>
    </row>
    <row r="1343" ht="242.25" hidden="1" customHeight="1">
      <c r="B1343" s="32" t="str">
        <f>IMAGE("https://gymvisual.com/4422-catalog_default/diamond-push-up-on-knees.jpg",4,500,500)</f>
        <v/>
      </c>
      <c r="C1343" s="30">
        <v>1342.0</v>
      </c>
      <c r="D1343" s="16" t="s">
        <v>1892</v>
      </c>
      <c r="E1343" s="16" t="s">
        <v>184</v>
      </c>
      <c r="F1343" s="16" t="s">
        <v>219</v>
      </c>
      <c r="G1343" s="16" t="s">
        <v>255</v>
      </c>
      <c r="H1343" s="16" t="s">
        <v>223</v>
      </c>
      <c r="I1343" s="16" t="s">
        <v>420</v>
      </c>
    </row>
    <row r="1344" ht="242.25" hidden="1" customHeight="1">
      <c r="B1344" s="32" t="str">
        <f>IMAGE("https://gymvisual.com/13908-catalog_default/dip-on-floor-with-chair.jpg",4,500,500)</f>
        <v/>
      </c>
      <c r="C1344" s="30">
        <v>1343.0</v>
      </c>
      <c r="D1344" s="16" t="s">
        <v>1893</v>
      </c>
      <c r="E1344" s="16" t="s">
        <v>184</v>
      </c>
      <c r="F1344" s="16" t="s">
        <v>1894</v>
      </c>
      <c r="G1344" s="16" t="s">
        <v>255</v>
      </c>
      <c r="H1344" s="16" t="s">
        <v>1895</v>
      </c>
      <c r="I1344" s="16" t="s">
        <v>1896</v>
      </c>
    </row>
    <row r="1345" ht="242.25" hidden="1" customHeight="1">
      <c r="B1345" s="32" t="str">
        <f>IMAGE("https://gymvisual.com/22629-catalog_default/dip-on-floor-with-chair-female.jpg",4,500,500)</f>
        <v/>
      </c>
      <c r="C1345" s="30">
        <v>1344.0</v>
      </c>
      <c r="D1345" s="16" t="s">
        <v>1897</v>
      </c>
      <c r="E1345" s="16" t="s">
        <v>184</v>
      </c>
      <c r="F1345" s="16" t="s">
        <v>234</v>
      </c>
      <c r="G1345" s="16" t="s">
        <v>255</v>
      </c>
      <c r="H1345" s="16" t="s">
        <v>347</v>
      </c>
      <c r="I1345" s="16" t="s">
        <v>1764</v>
      </c>
    </row>
    <row r="1346" ht="242.25" hidden="1" customHeight="1">
      <c r="B1346" s="32" t="str">
        <f>IMAGE("https://gymvisual.com/13737-catalog_default/dips-between-chairs.jpg",4,500,500)</f>
        <v/>
      </c>
      <c r="C1346" s="30">
        <v>1345.0</v>
      </c>
      <c r="D1346" s="16" t="s">
        <v>1898</v>
      </c>
      <c r="E1346" s="16" t="s">
        <v>184</v>
      </c>
      <c r="F1346" s="16" t="s">
        <v>1894</v>
      </c>
      <c r="G1346" s="16" t="s">
        <v>255</v>
      </c>
      <c r="H1346" s="16" t="s">
        <v>1895</v>
      </c>
      <c r="I1346" s="16" t="s">
        <v>505</v>
      </c>
    </row>
    <row r="1347" ht="242.25" hidden="1" customHeight="1">
      <c r="B1347" s="32" t="str">
        <f>IMAGE("https://gymvisual.com/874-catalog_default/donkey-calf-raise.jpg",4,500,500)</f>
        <v/>
      </c>
      <c r="C1347" s="30">
        <v>1346.0</v>
      </c>
      <c r="D1347" s="16" t="s">
        <v>1899</v>
      </c>
      <c r="E1347" s="16" t="s">
        <v>184</v>
      </c>
      <c r="F1347" s="16" t="s">
        <v>325</v>
      </c>
      <c r="G1347" s="16" t="s">
        <v>255</v>
      </c>
      <c r="H1347" s="16" t="s">
        <v>368</v>
      </c>
      <c r="I1347" s="16" t="s">
        <v>463</v>
      </c>
    </row>
    <row r="1348" ht="242.25" hidden="1" customHeight="1">
      <c r="B1348" s="32" t="str">
        <f>IMAGE("https://gymvisual.com/11528-catalog_default/donkey-calf-raise-female.jpg",4,500,500)</f>
        <v/>
      </c>
      <c r="C1348" s="30">
        <v>1347.0</v>
      </c>
      <c r="D1348" s="16" t="s">
        <v>1900</v>
      </c>
      <c r="E1348" s="16" t="s">
        <v>184</v>
      </c>
      <c r="F1348" s="16" t="s">
        <v>325</v>
      </c>
      <c r="G1348" s="16" t="s">
        <v>255</v>
      </c>
      <c r="H1348" s="16" t="s">
        <v>368</v>
      </c>
      <c r="I1348" s="16" t="s">
        <v>463</v>
      </c>
    </row>
    <row r="1349" ht="242.25" hidden="1" customHeight="1">
      <c r="B1349" s="32" t="str">
        <f>IMAGE("https://gymvisual.com/5964-catalog_default/drop-push-up.jpg",4,500,500)</f>
        <v/>
      </c>
      <c r="C1349" s="30">
        <v>1348.0</v>
      </c>
      <c r="D1349" s="16" t="s">
        <v>1901</v>
      </c>
      <c r="E1349" s="16" t="s">
        <v>184</v>
      </c>
      <c r="F1349" s="16" t="s">
        <v>234</v>
      </c>
      <c r="G1349" s="16" t="s">
        <v>255</v>
      </c>
      <c r="H1349" s="16" t="s">
        <v>347</v>
      </c>
      <c r="I1349" s="16" t="s">
        <v>1902</v>
      </c>
    </row>
    <row r="1350" ht="242.25" customHeight="1">
      <c r="A1350" s="32" t="b">
        <v>0</v>
      </c>
      <c r="B1350" s="32" t="str">
        <f>IMAGE("https://gymvisual.com/18057-catalog_default/dumbbell-4-ways-lateral-raise.jpg",4,500,500)</f>
        <v/>
      </c>
      <c r="C1350" s="30">
        <v>1349.0</v>
      </c>
      <c r="D1350" s="16" t="s">
        <v>1903</v>
      </c>
      <c r="E1350" s="16" t="s">
        <v>184</v>
      </c>
      <c r="F1350" s="16" t="s">
        <v>228</v>
      </c>
      <c r="G1350" s="16" t="s">
        <v>222</v>
      </c>
      <c r="H1350" s="16" t="s">
        <v>220</v>
      </c>
      <c r="I1350" s="16" t="s">
        <v>220</v>
      </c>
    </row>
    <row r="1351" ht="242.25" customHeight="1">
      <c r="A1351" s="32" t="b">
        <v>0</v>
      </c>
      <c r="B1351" s="32" t="str">
        <f>IMAGE("https://gymvisual.com/22418-catalog_default/dumbbell-6-ways-raise.jpg",4,500,500)</f>
        <v/>
      </c>
      <c r="C1351" s="30">
        <v>1350.0</v>
      </c>
      <c r="D1351" s="16" t="s">
        <v>1904</v>
      </c>
      <c r="E1351" s="16" t="s">
        <v>184</v>
      </c>
      <c r="F1351" s="16" t="s">
        <v>228</v>
      </c>
      <c r="G1351" s="16" t="s">
        <v>222</v>
      </c>
      <c r="H1351" s="16" t="s">
        <v>220</v>
      </c>
      <c r="I1351" s="16" t="s">
        <v>220</v>
      </c>
    </row>
    <row r="1352" ht="242.25" customHeight="1">
      <c r="A1352" s="32" t="b">
        <v>0</v>
      </c>
      <c r="B1352" s="32" t="str">
        <f>IMAGE("https://gymvisual.com/17867-catalog_default/dumbbell-alternate-arnold-press.jpg",4,500,500)</f>
        <v/>
      </c>
      <c r="C1352" s="30">
        <v>1351.0</v>
      </c>
      <c r="D1352" s="16" t="s">
        <v>1905</v>
      </c>
      <c r="E1352" s="16" t="s">
        <v>184</v>
      </c>
      <c r="F1352" s="16" t="s">
        <v>228</v>
      </c>
      <c r="G1352" s="16" t="s">
        <v>222</v>
      </c>
      <c r="H1352" s="16" t="s">
        <v>220</v>
      </c>
      <c r="I1352" s="16" t="s">
        <v>220</v>
      </c>
    </row>
    <row r="1353" ht="242.25" customHeight="1">
      <c r="A1353" s="32" t="b">
        <v>0</v>
      </c>
      <c r="B1353" s="32" t="str">
        <f>IMAGE("https://gymvisual.com/14786-catalog_default/dumbbell-alternate-bench-press-high-start.jpg",4,500,500)</f>
        <v/>
      </c>
      <c r="C1353" s="30">
        <v>1352.0</v>
      </c>
      <c r="D1353" s="16" t="s">
        <v>1906</v>
      </c>
      <c r="E1353" s="16" t="s">
        <v>184</v>
      </c>
      <c r="F1353" s="16" t="s">
        <v>234</v>
      </c>
      <c r="G1353" s="16" t="s">
        <v>222</v>
      </c>
      <c r="H1353" s="16" t="s">
        <v>235</v>
      </c>
      <c r="I1353" s="16" t="s">
        <v>1907</v>
      </c>
    </row>
    <row r="1354" ht="242.25" customHeight="1">
      <c r="A1354" s="32" t="b">
        <v>0</v>
      </c>
      <c r="B1354" s="32" t="str">
        <f>IMAGE("https://gymvisual.com/15644-catalog_default/dumbbell-alternate-biceps-curl.jpg",4,500,500)</f>
        <v/>
      </c>
      <c r="C1354" s="30">
        <v>1353.0</v>
      </c>
      <c r="D1354" s="16" t="s">
        <v>1908</v>
      </c>
      <c r="E1354" s="16" t="s">
        <v>184</v>
      </c>
      <c r="F1354" s="16" t="s">
        <v>219</v>
      </c>
      <c r="G1354" s="16" t="s">
        <v>222</v>
      </c>
      <c r="H1354" s="16" t="s">
        <v>241</v>
      </c>
      <c r="I1354" s="16" t="s">
        <v>292</v>
      </c>
    </row>
    <row r="1355" ht="242.25" customHeight="1">
      <c r="A1355" s="32" t="b">
        <v>0</v>
      </c>
      <c r="B1355" s="32" t="str">
        <f>IMAGE("https://gymvisual.com/4526-catalog_default/dumbbell-alternate-biceps-curl.jpg",4,500,500)</f>
        <v/>
      </c>
      <c r="C1355" s="30">
        <v>1354.0</v>
      </c>
      <c r="D1355" s="16" t="s">
        <v>1908</v>
      </c>
      <c r="E1355" s="16" t="s">
        <v>184</v>
      </c>
      <c r="F1355" s="16" t="s">
        <v>219</v>
      </c>
      <c r="G1355" s="16" t="s">
        <v>222</v>
      </c>
      <c r="H1355" s="16" t="s">
        <v>241</v>
      </c>
      <c r="I1355" s="16" t="s">
        <v>292</v>
      </c>
    </row>
    <row r="1356" ht="242.25" customHeight="1">
      <c r="A1356" s="32" t="b">
        <v>0</v>
      </c>
      <c r="B1356" s="32" t="str">
        <f>IMAGE("https://gymvisual.com/11306-catalog_default/dumbbell-alternate-biceps-curl-female.jpg",4,500,500)</f>
        <v/>
      </c>
      <c r="C1356" s="30">
        <v>1355.0</v>
      </c>
      <c r="D1356" s="16" t="s">
        <v>1909</v>
      </c>
      <c r="E1356" s="16" t="s">
        <v>184</v>
      </c>
      <c r="F1356" s="16" t="s">
        <v>219</v>
      </c>
      <c r="G1356" s="16" t="s">
        <v>222</v>
      </c>
      <c r="H1356" s="16" t="s">
        <v>241</v>
      </c>
      <c r="I1356" s="16" t="s">
        <v>292</v>
      </c>
    </row>
    <row r="1357" ht="242.25" customHeight="1">
      <c r="A1357" s="32" t="b">
        <v>0</v>
      </c>
      <c r="B1357" s="32" t="str">
        <f>IMAGE("https://gymvisual.com/10456-catalog_default/dumbbell-alternate-biceps-curl-with-arm-blaster.jpg",4,500,500)</f>
        <v/>
      </c>
      <c r="C1357" s="30">
        <v>1356.0</v>
      </c>
      <c r="D1357" s="16" t="s">
        <v>1910</v>
      </c>
      <c r="E1357" s="16" t="s">
        <v>184</v>
      </c>
      <c r="F1357" s="16" t="s">
        <v>219</v>
      </c>
      <c r="G1357" s="16" t="s">
        <v>222</v>
      </c>
      <c r="H1357" s="16" t="s">
        <v>241</v>
      </c>
      <c r="I1357" s="16" t="s">
        <v>292</v>
      </c>
    </row>
    <row r="1358" ht="242.25" customHeight="1">
      <c r="A1358" s="32" t="b">
        <v>0</v>
      </c>
      <c r="B1358" s="32" t="str">
        <f>IMAGE("https://gymvisual.com/22353-catalog_default/dumbbell-alternate-chest-press-on-stability-ball.jpg",4,500,500)</f>
        <v/>
      </c>
      <c r="C1358" s="30">
        <v>1357.0</v>
      </c>
      <c r="D1358" s="16" t="s">
        <v>1911</v>
      </c>
      <c r="E1358" s="16" t="s">
        <v>184</v>
      </c>
      <c r="F1358" s="16" t="s">
        <v>234</v>
      </c>
      <c r="G1358" s="16" t="s">
        <v>222</v>
      </c>
      <c r="H1358" s="16" t="s">
        <v>220</v>
      </c>
      <c r="I1358" s="16" t="s">
        <v>220</v>
      </c>
    </row>
    <row r="1359" ht="242.25" customHeight="1">
      <c r="A1359" s="32" t="b">
        <v>0</v>
      </c>
      <c r="B1359" s="32" t="str">
        <f>IMAGE("https://gymvisual.com/18754-catalog_default/dumbbell-alternate-front-raise-female.jpg",4,500,500)</f>
        <v/>
      </c>
      <c r="C1359" s="30">
        <v>1358.0</v>
      </c>
      <c r="D1359" s="16" t="s">
        <v>1912</v>
      </c>
      <c r="E1359" s="16" t="s">
        <v>184</v>
      </c>
      <c r="F1359" s="16" t="s">
        <v>228</v>
      </c>
      <c r="G1359" s="16" t="s">
        <v>222</v>
      </c>
      <c r="H1359" s="16" t="s">
        <v>220</v>
      </c>
      <c r="I1359" s="16" t="s">
        <v>220</v>
      </c>
    </row>
    <row r="1360" ht="242.25" customHeight="1">
      <c r="A1360" s="32" t="b">
        <v>0</v>
      </c>
      <c r="B1360" s="32" t="str">
        <f>IMAGE("https://gymvisual.com/7120-catalog_default/dumbbell-alternate-hammer-preacher-curl.jpg",4,500,500)</f>
        <v/>
      </c>
      <c r="C1360" s="30">
        <v>1359.0</v>
      </c>
      <c r="D1360" s="16" t="s">
        <v>1913</v>
      </c>
      <c r="E1360" s="16" t="s">
        <v>184</v>
      </c>
      <c r="F1360" s="16" t="s">
        <v>219</v>
      </c>
      <c r="G1360" s="16" t="s">
        <v>222</v>
      </c>
      <c r="H1360" s="16" t="s">
        <v>220</v>
      </c>
      <c r="I1360" s="16" t="s">
        <v>220</v>
      </c>
    </row>
    <row r="1361" ht="242.25" customHeight="1">
      <c r="A1361" s="32" t="b">
        <v>0</v>
      </c>
      <c r="B1361" s="32" t="str">
        <f>IMAGE("https://gymvisual.com/11453-catalog_default/dumbbell-alternate-hammer-preacher-curl-female.jpg",4,500,500)</f>
        <v/>
      </c>
      <c r="C1361" s="30">
        <v>1360.0</v>
      </c>
      <c r="D1361" s="16" t="s">
        <v>1914</v>
      </c>
      <c r="E1361" s="16" t="s">
        <v>184</v>
      </c>
      <c r="F1361" s="16" t="s">
        <v>219</v>
      </c>
      <c r="G1361" s="16" t="s">
        <v>222</v>
      </c>
      <c r="H1361" s="16" t="s">
        <v>220</v>
      </c>
      <c r="I1361" s="16" t="s">
        <v>220</v>
      </c>
    </row>
    <row r="1362" ht="242.25" customHeight="1">
      <c r="A1362" s="32" t="b">
        <v>0</v>
      </c>
      <c r="B1362" s="32" t="str">
        <f>IMAGE("https://gymvisual.com/22389-catalog_default/dumbbell-alternate-lateral-raise.jpg",4,500,500)</f>
        <v/>
      </c>
      <c r="C1362" s="30">
        <v>1361.0</v>
      </c>
      <c r="D1362" s="16" t="s">
        <v>1915</v>
      </c>
      <c r="E1362" s="16" t="s">
        <v>184</v>
      </c>
      <c r="F1362" s="16" t="s">
        <v>228</v>
      </c>
      <c r="G1362" s="16" t="s">
        <v>222</v>
      </c>
      <c r="H1362" s="16" t="s">
        <v>220</v>
      </c>
      <c r="I1362" s="16" t="s">
        <v>220</v>
      </c>
    </row>
    <row r="1363" ht="242.25" customHeight="1">
      <c r="A1363" s="32" t="b">
        <v>0</v>
      </c>
      <c r="B1363" s="32" t="str">
        <f>IMAGE("https://gymvisual.com/7121-catalog_default/dumbbell-alternate-preacher-curl.jpg",4,500,500)</f>
        <v/>
      </c>
      <c r="C1363" s="30">
        <v>1362.0</v>
      </c>
      <c r="D1363" s="16" t="s">
        <v>1916</v>
      </c>
      <c r="E1363" s="16" t="s">
        <v>184</v>
      </c>
      <c r="F1363" s="16" t="s">
        <v>219</v>
      </c>
      <c r="G1363" s="16" t="s">
        <v>222</v>
      </c>
      <c r="H1363" s="16" t="s">
        <v>220</v>
      </c>
      <c r="I1363" s="16" t="s">
        <v>220</v>
      </c>
    </row>
    <row r="1364" ht="242.25" customHeight="1">
      <c r="A1364" s="32" t="b">
        <v>0</v>
      </c>
      <c r="B1364" s="32" t="str">
        <f>IMAGE("https://gymvisual.com/11456-catalog_default/dumbbell-alternate-preacher-curl-female.jpg",4,500,500)</f>
        <v/>
      </c>
      <c r="C1364" s="30">
        <v>1363.0</v>
      </c>
      <c r="D1364" s="16" t="s">
        <v>1917</v>
      </c>
      <c r="E1364" s="16" t="s">
        <v>184</v>
      </c>
      <c r="F1364" s="16" t="s">
        <v>219</v>
      </c>
      <c r="G1364" s="16" t="s">
        <v>222</v>
      </c>
      <c r="H1364" s="16" t="s">
        <v>220</v>
      </c>
      <c r="I1364" s="16" t="s">
        <v>220</v>
      </c>
    </row>
    <row r="1365" ht="242.25" customHeight="1">
      <c r="A1365" s="32" t="b">
        <v>0</v>
      </c>
      <c r="B1365" s="32" t="str">
        <f>IMAGE("https://gymvisual.com/7122-catalog_default/dumbbell-alternate-seated-hammer-curl.jpg",4,500,500)</f>
        <v/>
      </c>
      <c r="C1365" s="30">
        <v>1364.0</v>
      </c>
      <c r="D1365" s="16" t="s">
        <v>1918</v>
      </c>
      <c r="E1365" s="16" t="s">
        <v>184</v>
      </c>
      <c r="F1365" s="16" t="s">
        <v>219</v>
      </c>
      <c r="G1365" s="16" t="s">
        <v>222</v>
      </c>
      <c r="H1365" s="16" t="s">
        <v>220</v>
      </c>
      <c r="I1365" s="16" t="s">
        <v>220</v>
      </c>
    </row>
    <row r="1366" ht="242.25" customHeight="1">
      <c r="A1366" s="32" t="b">
        <v>0</v>
      </c>
      <c r="B1366" s="32" t="str">
        <f>IMAGE("https://gymvisual.com/11459-catalog_default/dumbbell-alternate-seated-hammer-curl-female.jpg",4,500,500)</f>
        <v/>
      </c>
      <c r="C1366" s="30">
        <v>1365.0</v>
      </c>
      <c r="D1366" s="16" t="s">
        <v>1919</v>
      </c>
      <c r="E1366" s="16" t="s">
        <v>184</v>
      </c>
      <c r="F1366" s="16" t="s">
        <v>214</v>
      </c>
      <c r="G1366" s="16" t="s">
        <v>222</v>
      </c>
      <c r="H1366" s="16" t="s">
        <v>220</v>
      </c>
      <c r="I1366" s="16" t="s">
        <v>220</v>
      </c>
    </row>
    <row r="1367" ht="242.25" customHeight="1">
      <c r="A1367" s="32" t="b">
        <v>0</v>
      </c>
      <c r="B1367" s="32" t="str">
        <f>IMAGE("https://gymvisual.com/13415-catalog_default/dumbbell-alternate-shoulder-press-female.jpg",4,500,500)</f>
        <v/>
      </c>
      <c r="C1367" s="30">
        <v>1366.0</v>
      </c>
      <c r="D1367" s="16" t="s">
        <v>1920</v>
      </c>
      <c r="E1367" s="16" t="s">
        <v>184</v>
      </c>
      <c r="F1367" s="16" t="s">
        <v>228</v>
      </c>
      <c r="G1367" s="16" t="s">
        <v>222</v>
      </c>
      <c r="H1367" s="16" t="s">
        <v>229</v>
      </c>
      <c r="I1367" s="16" t="s">
        <v>230</v>
      </c>
    </row>
    <row r="1368" ht="242.25" customHeight="1">
      <c r="A1368" s="32" t="b">
        <v>0</v>
      </c>
      <c r="B1368" s="32" t="str">
        <f>IMAGE("https://gymvisual.com/17366-catalog_default/dumbbell-alternate-shoulder-press-male.jpg",4,500,500)</f>
        <v/>
      </c>
      <c r="C1368" s="30">
        <v>1367.0</v>
      </c>
      <c r="D1368" s="16" t="s">
        <v>1921</v>
      </c>
      <c r="E1368" s="16" t="s">
        <v>184</v>
      </c>
      <c r="F1368" s="16" t="s">
        <v>228</v>
      </c>
      <c r="G1368" s="16" t="s">
        <v>222</v>
      </c>
      <c r="H1368" s="16" t="s">
        <v>229</v>
      </c>
      <c r="I1368" s="16" t="s">
        <v>626</v>
      </c>
    </row>
    <row r="1369" ht="242.25" customHeight="1">
      <c r="A1369" s="32" t="b">
        <v>0</v>
      </c>
      <c r="B1369" s="32" t="str">
        <f>IMAGE("https://gymvisual.com/880-catalog_default/dumbbell-alternate-side-press.jpg",4,500,500)</f>
        <v/>
      </c>
      <c r="C1369" s="30">
        <v>1368.0</v>
      </c>
      <c r="D1369" s="16" t="s">
        <v>1922</v>
      </c>
      <c r="E1369" s="16" t="s">
        <v>184</v>
      </c>
      <c r="F1369" s="16" t="s">
        <v>228</v>
      </c>
      <c r="G1369" s="16" t="s">
        <v>222</v>
      </c>
      <c r="H1369" s="16" t="s">
        <v>229</v>
      </c>
      <c r="I1369" s="16" t="s">
        <v>1334</v>
      </c>
    </row>
    <row r="1370" ht="242.25" customHeight="1">
      <c r="A1370" s="32" t="b">
        <v>0</v>
      </c>
      <c r="B1370" s="32" t="str">
        <f>IMAGE("https://gymvisual.com/11327-catalog_default/dumbbell-alternate-side-press-female.jpg",4,500,500)</f>
        <v/>
      </c>
      <c r="C1370" s="30">
        <v>1369.0</v>
      </c>
      <c r="D1370" s="16" t="s">
        <v>1923</v>
      </c>
      <c r="E1370" s="16" t="s">
        <v>184</v>
      </c>
      <c r="F1370" s="16" t="s">
        <v>228</v>
      </c>
      <c r="G1370" s="16" t="s">
        <v>222</v>
      </c>
      <c r="H1370" s="16" t="s">
        <v>220</v>
      </c>
      <c r="I1370" s="16" t="s">
        <v>220</v>
      </c>
    </row>
    <row r="1371" ht="242.25" customHeight="1">
      <c r="A1371" s="32" t="b">
        <v>0</v>
      </c>
      <c r="B1371" s="32" t="str">
        <f>IMAGE("https://gymvisual.com/7123-catalog_default/dumbbell-alternating-bicep-curl-with-leg-raised-on-exercise-ball.jpg",4,500,500)</f>
        <v/>
      </c>
      <c r="C1371" s="30">
        <v>1370.0</v>
      </c>
      <c r="D1371" s="16" t="s">
        <v>1924</v>
      </c>
      <c r="E1371" s="16" t="s">
        <v>184</v>
      </c>
      <c r="F1371" s="16" t="s">
        <v>219</v>
      </c>
      <c r="G1371" s="16" t="s">
        <v>222</v>
      </c>
      <c r="H1371" s="16" t="s">
        <v>220</v>
      </c>
      <c r="I1371" s="16" t="s">
        <v>220</v>
      </c>
    </row>
    <row r="1372" ht="242.25" customHeight="1">
      <c r="A1372" s="32" t="b">
        <v>0</v>
      </c>
      <c r="B1372" s="32" t="str">
        <f>IMAGE("https://gymvisual.com/13305-catalog_default/dumbbell-alternating-floor-press.jpg",4,500,500)</f>
        <v/>
      </c>
      <c r="C1372" s="30">
        <v>1371.0</v>
      </c>
      <c r="D1372" s="16" t="s">
        <v>1925</v>
      </c>
      <c r="E1372" s="16" t="s">
        <v>184</v>
      </c>
      <c r="F1372" s="16" t="s">
        <v>234</v>
      </c>
      <c r="G1372" s="16" t="s">
        <v>222</v>
      </c>
      <c r="H1372" s="16" t="s">
        <v>220</v>
      </c>
      <c r="I1372" s="16" t="s">
        <v>220</v>
      </c>
    </row>
    <row r="1373" ht="242.25" customHeight="1">
      <c r="A1373" s="32" t="b">
        <v>0</v>
      </c>
      <c r="B1373" s="32" t="str">
        <f>IMAGE("https://gymvisual.com/13307-catalog_default/dumbbell-alternating-floor-press-female.jpg",4,500,500)</f>
        <v/>
      </c>
      <c r="C1373" s="30">
        <v>1372.0</v>
      </c>
      <c r="D1373" s="16" t="s">
        <v>1926</v>
      </c>
      <c r="E1373" s="16" t="s">
        <v>184</v>
      </c>
      <c r="F1373" s="16" t="s">
        <v>234</v>
      </c>
      <c r="G1373" s="16" t="s">
        <v>222</v>
      </c>
      <c r="H1373" s="16" t="s">
        <v>220</v>
      </c>
      <c r="I1373" s="16" t="s">
        <v>220</v>
      </c>
    </row>
    <row r="1374" ht="242.25" customHeight="1">
      <c r="A1374" s="32" t="b">
        <v>0</v>
      </c>
      <c r="B1374" s="32" t="str">
        <f>IMAGE("https://gymvisual.com/7124-catalog_default/dumbbell-alternating-seated-bicep-curl-on-exercise-ball.jpg",4,500,500)</f>
        <v/>
      </c>
      <c r="C1374" s="30">
        <v>1373.0</v>
      </c>
      <c r="D1374" s="16" t="s">
        <v>1927</v>
      </c>
      <c r="E1374" s="16" t="s">
        <v>184</v>
      </c>
      <c r="F1374" s="16" t="s">
        <v>219</v>
      </c>
      <c r="G1374" s="16" t="s">
        <v>222</v>
      </c>
      <c r="H1374" s="16" t="s">
        <v>220</v>
      </c>
      <c r="I1374" s="16" t="s">
        <v>220</v>
      </c>
    </row>
    <row r="1375" ht="242.25" customHeight="1">
      <c r="B1375" s="32" t="str">
        <f>IMAGE("https://gymvisual.com/11591-catalog_default/dumbbell-alternating-seated-bicep-curl-on-exercise-ball-female.jpg",4,500,500)</f>
        <v/>
      </c>
      <c r="C1375" s="30">
        <v>1374.0</v>
      </c>
      <c r="D1375" s="16" t="s">
        <v>1928</v>
      </c>
      <c r="E1375" s="16" t="s">
        <v>184</v>
      </c>
      <c r="F1375" s="16" t="s">
        <v>219</v>
      </c>
      <c r="G1375" s="16" t="s">
        <v>1929</v>
      </c>
      <c r="H1375" s="16" t="s">
        <v>220</v>
      </c>
      <c r="I1375" s="16" t="s">
        <v>220</v>
      </c>
    </row>
    <row r="1376" ht="242.25" customHeight="1">
      <c r="A1376" s="32" t="b">
        <v>0</v>
      </c>
      <c r="B1376" s="32" t="str">
        <f>IMAGE("https://gymvisual.com/16771-catalog_default/dumbbell-archer.jpg",4,500,500)</f>
        <v/>
      </c>
      <c r="C1376" s="30">
        <v>1375.0</v>
      </c>
      <c r="D1376" s="16" t="s">
        <v>156</v>
      </c>
      <c r="E1376" s="16" t="s">
        <v>184</v>
      </c>
      <c r="F1376" s="16" t="s">
        <v>228</v>
      </c>
      <c r="G1376" s="16" t="s">
        <v>222</v>
      </c>
      <c r="H1376" s="16" t="s">
        <v>220</v>
      </c>
      <c r="I1376" s="16" t="s">
        <v>220</v>
      </c>
    </row>
    <row r="1377" ht="242.25" customHeight="1">
      <c r="A1377" s="32" t="b">
        <v>0</v>
      </c>
      <c r="B1377" s="32" t="str">
        <f>IMAGE("https://gymvisual.com/8736-catalog_default/dumbbell-arnold-press.jpg",4,500,500)</f>
        <v/>
      </c>
      <c r="C1377" s="30">
        <v>1376.0</v>
      </c>
      <c r="D1377" s="16" t="s">
        <v>158</v>
      </c>
      <c r="E1377" s="16" t="s">
        <v>184</v>
      </c>
      <c r="F1377" s="16" t="s">
        <v>228</v>
      </c>
      <c r="G1377" s="16" t="s">
        <v>222</v>
      </c>
      <c r="H1377" s="16" t="s">
        <v>229</v>
      </c>
      <c r="I1377" s="16" t="s">
        <v>230</v>
      </c>
    </row>
    <row r="1378" ht="242.25" customHeight="1">
      <c r="A1378" s="32" t="b">
        <v>0</v>
      </c>
      <c r="B1378" s="32" t="str">
        <f>IMAGE("https://gymvisual.com/10364-catalog_default/dumbbell-arnold-press-female.jpg",4,500,500)</f>
        <v/>
      </c>
      <c r="C1378" s="30">
        <v>1377.0</v>
      </c>
      <c r="D1378" s="16" t="s">
        <v>1930</v>
      </c>
      <c r="E1378" s="16" t="s">
        <v>184</v>
      </c>
      <c r="F1378" s="16" t="s">
        <v>228</v>
      </c>
      <c r="G1378" s="16" t="s">
        <v>222</v>
      </c>
      <c r="H1378" s="16" t="s">
        <v>229</v>
      </c>
      <c r="I1378" s="16" t="s">
        <v>1931</v>
      </c>
    </row>
    <row r="1379" ht="242.25" customHeight="1">
      <c r="A1379" s="32" t="b">
        <v>0</v>
      </c>
      <c r="B1379" s="32" t="str">
        <f>IMAGE("https://gymvisual.com/883-catalog_default/dumbbell-arnold-press-version-2.jpg",4,500,500)</f>
        <v/>
      </c>
      <c r="C1379" s="30">
        <v>1378.0</v>
      </c>
      <c r="D1379" s="16" t="s">
        <v>1932</v>
      </c>
      <c r="E1379" s="16" t="s">
        <v>184</v>
      </c>
      <c r="F1379" s="16" t="s">
        <v>228</v>
      </c>
      <c r="G1379" s="16" t="s">
        <v>222</v>
      </c>
      <c r="H1379" s="16" t="s">
        <v>229</v>
      </c>
      <c r="I1379" s="16" t="s">
        <v>230</v>
      </c>
    </row>
    <row r="1380" ht="242.25" customHeight="1">
      <c r="A1380" s="32" t="b">
        <v>0</v>
      </c>
      <c r="B1380" s="32" t="str">
        <f>IMAGE("https://gymvisual.com/886-catalog_default/dumbbell-around-pullover.jpg",4,500,500)</f>
        <v/>
      </c>
      <c r="C1380" s="30">
        <v>1379.0</v>
      </c>
      <c r="D1380" s="16" t="s">
        <v>1933</v>
      </c>
      <c r="E1380" s="16" t="s">
        <v>184</v>
      </c>
      <c r="F1380" s="16" t="s">
        <v>234</v>
      </c>
      <c r="G1380" s="16" t="s">
        <v>222</v>
      </c>
      <c r="H1380" s="16" t="s">
        <v>347</v>
      </c>
      <c r="I1380" s="16" t="s">
        <v>1934</v>
      </c>
    </row>
    <row r="1381" ht="242.25" customHeight="1">
      <c r="A1381" s="32" t="b">
        <v>0</v>
      </c>
      <c r="B1381" s="32" t="str">
        <f>IMAGE("https://gymvisual.com/19507-catalog_default/dumbbell-assisted-bulgarian-split-squat.jpg",4,500,500)</f>
        <v/>
      </c>
      <c r="C1381" s="30">
        <v>1380.0</v>
      </c>
      <c r="D1381" s="16" t="s">
        <v>1935</v>
      </c>
      <c r="E1381" s="16" t="s">
        <v>184</v>
      </c>
      <c r="F1381" s="16" t="s">
        <v>285</v>
      </c>
      <c r="G1381" s="16" t="s">
        <v>222</v>
      </c>
      <c r="H1381" s="16" t="s">
        <v>220</v>
      </c>
      <c r="I1381" s="16" t="s">
        <v>220</v>
      </c>
    </row>
    <row r="1382" ht="242.25" customHeight="1">
      <c r="B1382" s="32" t="str">
        <f>IMAGE("https://gymvisual.com/18011-catalog_default/dumbbell-banded-bench-press.jpg",4,500,500)</f>
        <v/>
      </c>
      <c r="C1382" s="30">
        <v>1381.0</v>
      </c>
      <c r="D1382" s="16" t="s">
        <v>1936</v>
      </c>
      <c r="E1382" s="16" t="s">
        <v>184</v>
      </c>
      <c r="F1382" s="16" t="s">
        <v>234</v>
      </c>
      <c r="G1382" s="16" t="s">
        <v>222</v>
      </c>
      <c r="H1382" s="16" t="s">
        <v>220</v>
      </c>
      <c r="I1382" s="16" t="s">
        <v>220</v>
      </c>
    </row>
    <row r="1383" ht="242.25" customHeight="1">
      <c r="A1383" s="32" t="b">
        <v>0</v>
      </c>
      <c r="B1383" s="32" t="str">
        <f>IMAGE("https://gymvisual.com/10536-catalog_default/dumbbell-bar-grip-sumo-squat-female.jpg",4,500,500)</f>
        <v/>
      </c>
      <c r="C1383" s="30">
        <v>1382.0</v>
      </c>
      <c r="D1383" s="16" t="s">
        <v>1937</v>
      </c>
      <c r="E1383" s="16" t="s">
        <v>184</v>
      </c>
      <c r="F1383" s="16" t="s">
        <v>185</v>
      </c>
      <c r="G1383" s="16" t="s">
        <v>222</v>
      </c>
      <c r="H1383" s="16" t="s">
        <v>189</v>
      </c>
      <c r="I1383" s="16" t="s">
        <v>1121</v>
      </c>
    </row>
    <row r="1384" ht="242.25" customHeight="1">
      <c r="A1384" s="32" t="b">
        <v>0</v>
      </c>
      <c r="B1384" s="32" t="str">
        <f>IMAGE("https://gymvisual.com/17507-catalog_default/dumbbell-bar-grip-sumo-squat-male.jpg",4,500,500)</f>
        <v/>
      </c>
      <c r="C1384" s="30">
        <v>1383.0</v>
      </c>
      <c r="D1384" s="16" t="s">
        <v>1938</v>
      </c>
      <c r="E1384" s="16" t="s">
        <v>184</v>
      </c>
      <c r="F1384" s="16" t="s">
        <v>294</v>
      </c>
      <c r="G1384" s="16" t="s">
        <v>222</v>
      </c>
      <c r="H1384" s="16" t="s">
        <v>1851</v>
      </c>
      <c r="I1384" s="16" t="s">
        <v>1939</v>
      </c>
    </row>
    <row r="1385" ht="242.25" customHeight="1">
      <c r="A1385" s="32" t="b">
        <v>0</v>
      </c>
      <c r="B1385" s="32" t="str">
        <f>IMAGE("https://gymvisual.com/6958-catalog_default/dumbbell-behind-back-finger-curl.jpg",4,500,500)</f>
        <v/>
      </c>
      <c r="C1385" s="30">
        <v>1384.0</v>
      </c>
      <c r="D1385" s="16" t="s">
        <v>1940</v>
      </c>
      <c r="E1385" s="16" t="s">
        <v>184</v>
      </c>
      <c r="F1385" s="16" t="s">
        <v>214</v>
      </c>
      <c r="G1385" s="16" t="s">
        <v>222</v>
      </c>
      <c r="H1385" s="16" t="s">
        <v>720</v>
      </c>
      <c r="I1385" s="16" t="s">
        <v>220</v>
      </c>
    </row>
    <row r="1386" ht="242.25" customHeight="1">
      <c r="A1386" s="32" t="b">
        <v>0</v>
      </c>
      <c r="B1386" s="32" t="str">
        <f>IMAGE("https://gymvisual.com/16622-catalog_default/dumbbell-behind-back-finger-curl-female.jpg",4,500,500)</f>
        <v/>
      </c>
      <c r="C1386" s="30">
        <v>1385.0</v>
      </c>
      <c r="D1386" s="16" t="s">
        <v>1941</v>
      </c>
      <c r="E1386" s="16" t="s">
        <v>184</v>
      </c>
      <c r="F1386" s="16" t="s">
        <v>214</v>
      </c>
      <c r="G1386" s="16" t="s">
        <v>222</v>
      </c>
      <c r="H1386" s="16" t="s">
        <v>720</v>
      </c>
      <c r="I1386" s="16" t="s">
        <v>220</v>
      </c>
    </row>
    <row r="1387" ht="242.25" customHeight="1">
      <c r="A1387" s="32" t="b">
        <v>0</v>
      </c>
      <c r="B1387" s="32" t="str">
        <f>IMAGE("https://gymvisual.com/22205-catalog_default/dumbbell-bench-dip.jpg",4,500,500)</f>
        <v/>
      </c>
      <c r="C1387" s="30">
        <v>1386.0</v>
      </c>
      <c r="D1387" s="16" t="s">
        <v>1942</v>
      </c>
      <c r="E1387" s="16" t="s">
        <v>184</v>
      </c>
      <c r="F1387" s="16" t="s">
        <v>219</v>
      </c>
      <c r="G1387" s="16" t="s">
        <v>222</v>
      </c>
      <c r="H1387" s="16" t="s">
        <v>220</v>
      </c>
      <c r="I1387" s="16" t="s">
        <v>220</v>
      </c>
    </row>
    <row r="1388" ht="242.25" customHeight="1">
      <c r="A1388" s="32" t="b">
        <v>0</v>
      </c>
      <c r="B1388" s="32" t="str">
        <f>IMAGE("https://gymvisual.com/22207-catalog_default/dumbbell-bench-dip-with-legs-elevated.jpg",4,500,500)</f>
        <v/>
      </c>
      <c r="C1388" s="30">
        <v>1387.0</v>
      </c>
      <c r="D1388" s="16" t="s">
        <v>1943</v>
      </c>
      <c r="E1388" s="16" t="s">
        <v>184</v>
      </c>
      <c r="F1388" s="16" t="s">
        <v>219</v>
      </c>
      <c r="G1388" s="16" t="s">
        <v>222</v>
      </c>
      <c r="H1388" s="16" t="s">
        <v>220</v>
      </c>
      <c r="I1388" s="16" t="s">
        <v>220</v>
      </c>
    </row>
    <row r="1389" ht="242.25" customHeight="1">
      <c r="A1389" s="32" t="b">
        <v>0</v>
      </c>
      <c r="B1389" s="32" t="str">
        <f>IMAGE("https://gymvisual.com/6797-catalog_default/dumbbell-bench-one-leg-squat.jpg",4,500,500)</f>
        <v/>
      </c>
      <c r="C1389" s="30">
        <v>1388.0</v>
      </c>
      <c r="D1389" s="16" t="s">
        <v>1944</v>
      </c>
      <c r="E1389" s="16" t="s">
        <v>184</v>
      </c>
      <c r="F1389" s="16" t="s">
        <v>285</v>
      </c>
      <c r="G1389" s="16" t="s">
        <v>222</v>
      </c>
      <c r="H1389" s="16" t="s">
        <v>220</v>
      </c>
      <c r="I1389" s="16" t="s">
        <v>220</v>
      </c>
    </row>
    <row r="1390" ht="242.25" customHeight="1">
      <c r="A1390" s="32" t="b">
        <v>0</v>
      </c>
      <c r="B1390" s="32" t="str">
        <f>IMAGE("https://gymvisual.com/19327-catalog_default/dumbbell-bench-press.jpg",4,500,500)</f>
        <v/>
      </c>
      <c r="C1390" s="30">
        <v>1389.0</v>
      </c>
      <c r="D1390" s="16" t="s">
        <v>115</v>
      </c>
      <c r="E1390" s="16" t="s">
        <v>184</v>
      </c>
      <c r="F1390" s="16" t="s">
        <v>234</v>
      </c>
      <c r="G1390" s="16" t="s">
        <v>222</v>
      </c>
      <c r="H1390" s="16" t="s">
        <v>235</v>
      </c>
      <c r="I1390" s="16" t="s">
        <v>243</v>
      </c>
    </row>
    <row r="1391" ht="242.25" customHeight="1">
      <c r="A1391" s="32" t="b">
        <v>0</v>
      </c>
      <c r="B1391" s="32" t="str">
        <f>IMAGE("https://gymvisual.com/9676-catalog_default/dumbbell-bench-press-female.jpg",4,500,500)</f>
        <v/>
      </c>
      <c r="C1391" s="30">
        <v>1390.0</v>
      </c>
      <c r="D1391" s="16" t="s">
        <v>1945</v>
      </c>
      <c r="E1391" s="16" t="s">
        <v>184</v>
      </c>
      <c r="F1391" s="16" t="s">
        <v>234</v>
      </c>
      <c r="G1391" s="16" t="s">
        <v>222</v>
      </c>
      <c r="H1391" s="16" t="s">
        <v>347</v>
      </c>
      <c r="I1391" s="16" t="s">
        <v>382</v>
      </c>
    </row>
    <row r="1392" ht="242.25" customHeight="1">
      <c r="A1392" s="32" t="b">
        <v>0</v>
      </c>
      <c r="B1392" s="32" t="str">
        <f>IMAGE("https://gymvisual.com/24820-catalog_default/dumbbell-bench-seated-press.jpg",4,500,500)</f>
        <v/>
      </c>
      <c r="C1392" s="30">
        <v>1391.0</v>
      </c>
      <c r="D1392" s="16" t="s">
        <v>1946</v>
      </c>
      <c r="E1392" s="16" t="s">
        <v>184</v>
      </c>
      <c r="F1392" s="16" t="s">
        <v>228</v>
      </c>
      <c r="G1392" s="16" t="s">
        <v>222</v>
      </c>
      <c r="H1392" s="16" t="s">
        <v>229</v>
      </c>
      <c r="I1392" s="16" t="s">
        <v>244</v>
      </c>
    </row>
    <row r="1393" ht="242.25" customHeight="1">
      <c r="A1393" s="32" t="b">
        <v>0</v>
      </c>
      <c r="B1393" s="32" t="str">
        <f>IMAGE("https://gymvisual.com/895-catalog_default/dumbbell-bench-squat.jpg",4,500,500)</f>
        <v/>
      </c>
      <c r="C1393" s="30">
        <v>1392.0</v>
      </c>
      <c r="D1393" s="16" t="s">
        <v>1947</v>
      </c>
      <c r="E1393" s="16" t="s">
        <v>184</v>
      </c>
      <c r="F1393" s="16" t="s">
        <v>285</v>
      </c>
      <c r="G1393" s="16" t="s">
        <v>222</v>
      </c>
      <c r="H1393" s="16" t="s">
        <v>189</v>
      </c>
      <c r="I1393" s="16" t="s">
        <v>190</v>
      </c>
    </row>
    <row r="1394" ht="242.25" customHeight="1">
      <c r="A1394" s="32" t="b">
        <v>0</v>
      </c>
      <c r="B1394" s="32" t="str">
        <f>IMAGE("https://gymvisual.com/9565-catalog_default/dumbbell-bench-squat-female.jpg",4,500,500)</f>
        <v/>
      </c>
      <c r="C1394" s="30">
        <v>1393.0</v>
      </c>
      <c r="D1394" s="16" t="s">
        <v>1948</v>
      </c>
      <c r="E1394" s="16" t="s">
        <v>184</v>
      </c>
      <c r="F1394" s="16" t="s">
        <v>294</v>
      </c>
      <c r="G1394" s="16" t="s">
        <v>222</v>
      </c>
      <c r="H1394" s="16" t="s">
        <v>220</v>
      </c>
      <c r="I1394" s="16" t="s">
        <v>220</v>
      </c>
    </row>
    <row r="1395" ht="242.25" customHeight="1">
      <c r="A1395" s="32" t="b">
        <v>0</v>
      </c>
      <c r="B1395" s="32" t="str">
        <f>IMAGE("https://gymvisual.com/14782-catalog_default/dumbbell-bench-supported-external-rotation.jpg",4,500,500)</f>
        <v/>
      </c>
      <c r="C1395" s="30">
        <v>1394.0</v>
      </c>
      <c r="D1395" s="16" t="s">
        <v>1949</v>
      </c>
      <c r="E1395" s="16" t="s">
        <v>184</v>
      </c>
      <c r="F1395" s="16" t="s">
        <v>192</v>
      </c>
      <c r="G1395" s="16" t="s">
        <v>222</v>
      </c>
      <c r="H1395" s="16" t="s">
        <v>1607</v>
      </c>
      <c r="I1395" s="16" t="s">
        <v>408</v>
      </c>
    </row>
    <row r="1396" ht="242.25" customHeight="1">
      <c r="A1396" s="32" t="b">
        <v>0</v>
      </c>
      <c r="B1396" s="32" t="str">
        <f>IMAGE("https://gymvisual.com/22466-catalog_default/dumbbell-bent-arm-iso-hold.jpg",4,500,500)</f>
        <v/>
      </c>
      <c r="C1396" s="30">
        <v>1395.0</v>
      </c>
      <c r="D1396" s="16" t="s">
        <v>1950</v>
      </c>
      <c r="E1396" s="16" t="s">
        <v>184</v>
      </c>
      <c r="F1396" s="16" t="s">
        <v>219</v>
      </c>
      <c r="G1396" s="16" t="s">
        <v>222</v>
      </c>
      <c r="H1396" s="16" t="s">
        <v>220</v>
      </c>
      <c r="I1396" s="16" t="s">
        <v>220</v>
      </c>
    </row>
    <row r="1397" ht="242.25" customHeight="1">
      <c r="A1397" s="32" t="b">
        <v>0</v>
      </c>
      <c r="B1397" s="32" t="str">
        <f>IMAGE("https://gymvisual.com/19667-catalog_default/dumbbell-bent-arm-lateral-raise-female.jpg",4,500,500)</f>
        <v/>
      </c>
      <c r="C1397" s="30">
        <v>1396.0</v>
      </c>
      <c r="D1397" s="16" t="s">
        <v>1951</v>
      </c>
      <c r="E1397" s="16" t="s">
        <v>184</v>
      </c>
      <c r="F1397" s="16" t="s">
        <v>228</v>
      </c>
      <c r="G1397" s="16" t="s">
        <v>222</v>
      </c>
      <c r="H1397" s="16" t="s">
        <v>544</v>
      </c>
      <c r="I1397" s="16" t="s">
        <v>545</v>
      </c>
    </row>
    <row r="1398" ht="242.25" customHeight="1">
      <c r="A1398" s="32" t="b">
        <v>0</v>
      </c>
      <c r="B1398" s="32" t="str">
        <f>IMAGE("https://gymvisual.com/24832-catalog_default/dumbbell-bent-arm-lateral-raise-male.jpg",4,500,500)</f>
        <v/>
      </c>
      <c r="C1398" s="30">
        <v>1397.0</v>
      </c>
      <c r="D1398" s="16" t="s">
        <v>1952</v>
      </c>
      <c r="E1398" s="16" t="s">
        <v>184</v>
      </c>
      <c r="F1398" s="16" t="s">
        <v>228</v>
      </c>
      <c r="G1398" s="16" t="s">
        <v>222</v>
      </c>
      <c r="H1398" s="16" t="s">
        <v>544</v>
      </c>
      <c r="I1398" s="16" t="s">
        <v>545</v>
      </c>
    </row>
    <row r="1399" ht="242.25" customHeight="1">
      <c r="A1399" s="32" t="b">
        <v>0</v>
      </c>
      <c r="B1399" s="32" t="str">
        <f>IMAGE("https://gymvisual.com/18734-catalog_default/dumbbell-bent-arm-pullover-female.jpg",4,500,500)</f>
        <v/>
      </c>
      <c r="C1399" s="30">
        <v>1398.0</v>
      </c>
      <c r="D1399" s="16" t="s">
        <v>1953</v>
      </c>
      <c r="E1399" s="16" t="s">
        <v>184</v>
      </c>
      <c r="F1399" s="16" t="s">
        <v>234</v>
      </c>
      <c r="G1399" s="16" t="s">
        <v>222</v>
      </c>
      <c r="H1399" s="16" t="s">
        <v>220</v>
      </c>
      <c r="I1399" s="16" t="s">
        <v>220</v>
      </c>
    </row>
    <row r="1400" ht="242.25" customHeight="1">
      <c r="A1400" s="32" t="b">
        <v>0</v>
      </c>
      <c r="B1400" s="32" t="str">
        <f>IMAGE("https://gymvisual.com/10740-catalog_default/dumbbell-bent-arm-pullover-with-knees-bent-female.jpg",4,500,500)</f>
        <v/>
      </c>
      <c r="C1400" s="30">
        <v>1399.0</v>
      </c>
      <c r="D1400" s="16" t="s">
        <v>1954</v>
      </c>
      <c r="E1400" s="16" t="s">
        <v>184</v>
      </c>
      <c r="F1400" s="16" t="s">
        <v>234</v>
      </c>
      <c r="G1400" s="16" t="s">
        <v>222</v>
      </c>
      <c r="H1400" s="16" t="s">
        <v>347</v>
      </c>
      <c r="I1400" s="16" t="s">
        <v>824</v>
      </c>
    </row>
    <row r="1401" ht="242.25" customHeight="1">
      <c r="A1401" s="32" t="b">
        <v>0</v>
      </c>
      <c r="B1401" s="32" t="str">
        <f>IMAGE("https://gymvisual.com/14788-catalog_default/dumbbell-bent-over-alternate-rear-delt-fly.jpg",4,500,500)</f>
        <v/>
      </c>
      <c r="C1401" s="30">
        <v>1400.0</v>
      </c>
      <c r="D1401" s="16" t="s">
        <v>1955</v>
      </c>
      <c r="E1401" s="16" t="s">
        <v>184</v>
      </c>
      <c r="F1401" s="16" t="s">
        <v>228</v>
      </c>
      <c r="G1401" s="16" t="s">
        <v>222</v>
      </c>
      <c r="H1401" s="16" t="s">
        <v>408</v>
      </c>
      <c r="I1401" s="16" t="s">
        <v>452</v>
      </c>
    </row>
    <row r="1402" ht="242.25" customHeight="1">
      <c r="A1402" s="32" t="b">
        <v>0</v>
      </c>
      <c r="B1402" s="32" t="str">
        <f>IMAGE("https://gymvisual.com/25009-catalog_default/dumbbell-bent-over-face-pull.jpg",4,500,500)</f>
        <v/>
      </c>
      <c r="C1402" s="30">
        <v>1401.0</v>
      </c>
      <c r="D1402" s="16" t="s">
        <v>1956</v>
      </c>
      <c r="E1402" s="16" t="s">
        <v>184</v>
      </c>
      <c r="F1402" s="16" t="s">
        <v>228</v>
      </c>
      <c r="G1402" s="16" t="s">
        <v>222</v>
      </c>
      <c r="H1402" s="16" t="s">
        <v>220</v>
      </c>
      <c r="I1402" s="16" t="s">
        <v>220</v>
      </c>
    </row>
    <row r="1403" ht="242.25" customHeight="1">
      <c r="A1403" s="32" t="b">
        <v>0</v>
      </c>
      <c r="B1403" s="32" t="str">
        <f>IMAGE("https://gymvisual.com/17065-catalog_default/dumbbell-bent-over-reverse-row.jpg",4,500,500)</f>
        <v/>
      </c>
      <c r="C1403" s="30">
        <v>1402.0</v>
      </c>
      <c r="D1403" s="16" t="s">
        <v>1957</v>
      </c>
      <c r="E1403" s="16" t="s">
        <v>184</v>
      </c>
      <c r="F1403" s="16" t="s">
        <v>192</v>
      </c>
      <c r="G1403" s="16" t="s">
        <v>222</v>
      </c>
      <c r="H1403" s="16" t="s">
        <v>329</v>
      </c>
      <c r="I1403" s="16" t="s">
        <v>447</v>
      </c>
    </row>
    <row r="1404" ht="242.25" customHeight="1">
      <c r="A1404" s="32" t="b">
        <v>0</v>
      </c>
      <c r="B1404" s="32" t="str">
        <f>IMAGE("https://gymvisual.com/10066-catalog_default/dumbbell-bent-over-row.jpg",4,500,500)</f>
        <v/>
      </c>
      <c r="C1404" s="30">
        <v>1403.0</v>
      </c>
      <c r="D1404" s="16" t="s">
        <v>1958</v>
      </c>
      <c r="E1404" s="16" t="s">
        <v>184</v>
      </c>
      <c r="F1404" s="16" t="s">
        <v>192</v>
      </c>
      <c r="G1404" s="16" t="s">
        <v>222</v>
      </c>
      <c r="H1404" s="16" t="s">
        <v>329</v>
      </c>
      <c r="I1404" s="16" t="s">
        <v>457</v>
      </c>
    </row>
    <row r="1405" ht="242.25" customHeight="1">
      <c r="A1405" s="32" t="b">
        <v>0</v>
      </c>
      <c r="B1405" s="32" t="str">
        <f>IMAGE("https://gymvisual.com/11017-catalog_default/dumbbell-bent-over-row-female.jpg",4,500,500)</f>
        <v/>
      </c>
      <c r="C1405" s="30">
        <v>1404.0</v>
      </c>
      <c r="D1405" s="16" t="s">
        <v>1959</v>
      </c>
      <c r="E1405" s="16" t="s">
        <v>184</v>
      </c>
      <c r="F1405" s="16" t="s">
        <v>192</v>
      </c>
      <c r="G1405" s="16" t="s">
        <v>222</v>
      </c>
      <c r="H1405" s="16" t="s">
        <v>570</v>
      </c>
      <c r="I1405" s="16" t="s">
        <v>447</v>
      </c>
    </row>
    <row r="1406" ht="242.25" customHeight="1">
      <c r="A1406" s="32" t="b">
        <v>0</v>
      </c>
      <c r="B1406" s="32" t="str">
        <f>IMAGE("https://gymvisual.com/25001-catalog_default/dumbbell-bent-over-row-with-chest-support.jpg",4,500,500)</f>
        <v/>
      </c>
      <c r="C1406" s="30">
        <v>1405.0</v>
      </c>
      <c r="D1406" s="16" t="s">
        <v>1960</v>
      </c>
      <c r="E1406" s="16" t="s">
        <v>184</v>
      </c>
      <c r="F1406" s="16" t="s">
        <v>192</v>
      </c>
      <c r="G1406" s="16" t="s">
        <v>222</v>
      </c>
      <c r="H1406" s="16" t="s">
        <v>220</v>
      </c>
      <c r="I1406" s="16" t="s">
        <v>220</v>
      </c>
    </row>
    <row r="1407" ht="242.25" customHeight="1">
      <c r="A1407" s="32" t="b">
        <v>0</v>
      </c>
      <c r="B1407" s="32" t="str">
        <f>IMAGE("https://gymvisual.com/22209-catalog_default/dumbbell-bent-over-single-arm-row-version-2.jpg",4,500,500)</f>
        <v/>
      </c>
      <c r="C1407" s="30">
        <v>1406.0</v>
      </c>
      <c r="D1407" s="16" t="s">
        <v>1961</v>
      </c>
      <c r="E1407" s="16" t="s">
        <v>184</v>
      </c>
      <c r="F1407" s="16" t="s">
        <v>192</v>
      </c>
      <c r="G1407" s="16" t="s">
        <v>222</v>
      </c>
      <c r="H1407" s="16" t="s">
        <v>220</v>
      </c>
      <c r="I1407" s="16" t="s">
        <v>220</v>
      </c>
    </row>
    <row r="1408" ht="242.25" customHeight="1">
      <c r="A1408" s="32" t="b">
        <v>0</v>
      </c>
      <c r="B1408" s="32" t="str">
        <f>IMAGE("https://gymvisual.com/7125-catalog_default/dumbbell-bicep-curl-lunge-with-bowling-motion.jpg",4,500,500)</f>
        <v/>
      </c>
      <c r="C1408" s="30">
        <v>1407.0</v>
      </c>
      <c r="D1408" s="16" t="s">
        <v>1962</v>
      </c>
      <c r="E1408" s="16" t="s">
        <v>184</v>
      </c>
      <c r="F1408" s="16" t="s">
        <v>219</v>
      </c>
      <c r="G1408" s="16" t="s">
        <v>222</v>
      </c>
      <c r="H1408" s="16" t="s">
        <v>220</v>
      </c>
      <c r="I1408" s="16" t="s">
        <v>220</v>
      </c>
    </row>
    <row r="1409" ht="242.25" customHeight="1">
      <c r="A1409" s="32" t="b">
        <v>0</v>
      </c>
      <c r="B1409" s="32" t="str">
        <f>IMAGE("https://gymvisual.com/7126-catalog_default/dumbbell-bicep-curl-on-exercise-ball-with-leg-raised.jpg",4,500,500)</f>
        <v/>
      </c>
      <c r="C1409" s="30">
        <v>1408.0</v>
      </c>
      <c r="D1409" s="16" t="s">
        <v>1963</v>
      </c>
      <c r="E1409" s="16" t="s">
        <v>184</v>
      </c>
      <c r="F1409" s="16" t="s">
        <v>219</v>
      </c>
      <c r="G1409" s="16" t="s">
        <v>222</v>
      </c>
      <c r="H1409" s="16" t="s">
        <v>220</v>
      </c>
      <c r="I1409" s="16" t="s">
        <v>220</v>
      </c>
    </row>
    <row r="1410" ht="242.25" customHeight="1">
      <c r="A1410" s="32" t="b">
        <v>0</v>
      </c>
      <c r="B1410" s="32" t="str">
        <f>IMAGE("https://gymvisual.com/7127-catalog_default/dumbbell-bicep-curl-with-stork-stance.jpg",4,500,500)</f>
        <v/>
      </c>
      <c r="C1410" s="30">
        <v>1409.0</v>
      </c>
      <c r="D1410" s="16" t="s">
        <v>1964</v>
      </c>
      <c r="E1410" s="16" t="s">
        <v>184</v>
      </c>
      <c r="F1410" s="16" t="s">
        <v>219</v>
      </c>
      <c r="G1410" s="16" t="s">
        <v>222</v>
      </c>
      <c r="H1410" s="16" t="s">
        <v>220</v>
      </c>
      <c r="I1410" s="16" t="s">
        <v>220</v>
      </c>
    </row>
    <row r="1411" ht="242.25" customHeight="1">
      <c r="A1411" s="32" t="b">
        <v>0</v>
      </c>
      <c r="B1411" s="32" t="str">
        <f>IMAGE("https://gymvisual.com/904-catalog_default/dumbbell-biceps-curl.jpg",4,500,500)</f>
        <v/>
      </c>
      <c r="C1411" s="30">
        <v>1410.0</v>
      </c>
      <c r="D1411" s="16" t="s">
        <v>1965</v>
      </c>
      <c r="E1411" s="16" t="s">
        <v>184</v>
      </c>
      <c r="F1411" s="16" t="s">
        <v>219</v>
      </c>
      <c r="G1411" s="16" t="s">
        <v>222</v>
      </c>
      <c r="H1411" s="16" t="s">
        <v>241</v>
      </c>
      <c r="I1411" s="16" t="s">
        <v>292</v>
      </c>
    </row>
    <row r="1412" ht="242.25" customHeight="1">
      <c r="A1412" s="32" t="b">
        <v>0</v>
      </c>
      <c r="B1412" s="32" t="str">
        <f>IMAGE("https://gymvisual.com/11020-catalog_default/dumbbell-biceps-curl-female.jpg",4,500,500)</f>
        <v/>
      </c>
      <c r="C1412" s="30">
        <v>1411.0</v>
      </c>
      <c r="D1412" s="16" t="s">
        <v>1966</v>
      </c>
      <c r="E1412" s="16" t="s">
        <v>184</v>
      </c>
      <c r="F1412" s="16" t="s">
        <v>219</v>
      </c>
      <c r="G1412" s="16" t="s">
        <v>222</v>
      </c>
      <c r="H1412" s="16" t="s">
        <v>241</v>
      </c>
      <c r="I1412" s="16" t="s">
        <v>292</v>
      </c>
    </row>
    <row r="1413" ht="242.25" customHeight="1">
      <c r="A1413" s="32" t="b">
        <v>0</v>
      </c>
      <c r="B1413" s="32" t="str">
        <f>IMAGE("https://gymvisual.com/10454-catalog_default/dumbbell-biceps-curl-with-arm-blaster.jpg",4,500,500)</f>
        <v/>
      </c>
      <c r="C1413" s="30">
        <v>1412.0</v>
      </c>
      <c r="D1413" s="16" t="s">
        <v>1967</v>
      </c>
      <c r="E1413" s="16" t="s">
        <v>184</v>
      </c>
      <c r="F1413" s="16" t="s">
        <v>219</v>
      </c>
      <c r="G1413" s="16" t="s">
        <v>222</v>
      </c>
      <c r="H1413" s="16" t="s">
        <v>241</v>
      </c>
      <c r="I1413" s="16" t="s">
        <v>292</v>
      </c>
    </row>
    <row r="1414" ht="242.25" customHeight="1">
      <c r="A1414" s="32" t="b">
        <v>0</v>
      </c>
      <c r="B1414" s="32" t="str">
        <f>IMAGE("https://gymvisual.com/13417-catalog_default/dumbbell-biceps-curl-with-arm-blaster-female.jpg",4,500,500)</f>
        <v/>
      </c>
      <c r="C1414" s="30">
        <v>1413.0</v>
      </c>
      <c r="D1414" s="16" t="s">
        <v>1968</v>
      </c>
      <c r="E1414" s="16" t="s">
        <v>184</v>
      </c>
      <c r="F1414" s="16" t="s">
        <v>219</v>
      </c>
      <c r="G1414" s="16" t="s">
        <v>222</v>
      </c>
      <c r="H1414" s="16" t="s">
        <v>220</v>
      </c>
      <c r="I1414" s="16" t="s">
        <v>220</v>
      </c>
    </row>
    <row r="1415" ht="242.25" customHeight="1">
      <c r="A1415" s="32" t="b">
        <v>0</v>
      </c>
      <c r="B1415" s="32" t="str">
        <f>IMAGE("https://gymvisual.com/7128-catalog_default/dumbbell-biceps-curl-reverse.jpg",4,500,500)</f>
        <v/>
      </c>
      <c r="C1415" s="30">
        <v>1414.0</v>
      </c>
      <c r="D1415" s="16" t="s">
        <v>1969</v>
      </c>
      <c r="E1415" s="16" t="s">
        <v>184</v>
      </c>
      <c r="F1415" s="16" t="s">
        <v>219</v>
      </c>
      <c r="G1415" s="16" t="s">
        <v>222</v>
      </c>
      <c r="H1415" s="16" t="s">
        <v>220</v>
      </c>
      <c r="I1415" s="16" t="s">
        <v>220</v>
      </c>
    </row>
    <row r="1416" ht="242.25" customHeight="1">
      <c r="A1416" s="32" t="b">
        <v>0</v>
      </c>
      <c r="B1416" s="32" t="str">
        <f>IMAGE("https://gymvisual.com/11462-catalog_default/dumbbell-biceps-curl-reverse-female.jpg",4,500,500)</f>
        <v/>
      </c>
      <c r="C1416" s="30">
        <v>1415.0</v>
      </c>
      <c r="D1416" s="16" t="s">
        <v>1970</v>
      </c>
      <c r="E1416" s="16" t="s">
        <v>184</v>
      </c>
      <c r="F1416" s="16" t="s">
        <v>214</v>
      </c>
      <c r="G1416" s="16" t="s">
        <v>222</v>
      </c>
      <c r="H1416" s="16" t="s">
        <v>220</v>
      </c>
      <c r="I1416" s="16" t="s">
        <v>220</v>
      </c>
    </row>
    <row r="1417" ht="242.25" customHeight="1">
      <c r="A1417" s="32" t="b">
        <v>0</v>
      </c>
      <c r="B1417" s="32" t="str">
        <f>IMAGE("https://gymvisual.com/7129-catalog_default/dumbbell-biceps-curl-squat.jpg",4,500,500)</f>
        <v/>
      </c>
      <c r="C1417" s="30">
        <v>1416.0</v>
      </c>
      <c r="D1417" s="16" t="s">
        <v>1971</v>
      </c>
      <c r="E1417" s="16" t="s">
        <v>184</v>
      </c>
      <c r="F1417" s="16" t="s">
        <v>219</v>
      </c>
      <c r="G1417" s="16" t="s">
        <v>222</v>
      </c>
      <c r="H1417" s="16" t="s">
        <v>220</v>
      </c>
      <c r="I1417" s="16" t="s">
        <v>220</v>
      </c>
    </row>
    <row r="1418" ht="242.25" customHeight="1">
      <c r="A1418" s="32" t="b">
        <v>0</v>
      </c>
      <c r="B1418" s="32" t="str">
        <f>IMAGE("https://gymvisual.com/7130-catalog_default/dumbbell-biceps-curl-v-sit-on-bosu-ball.jpg",4,500,500)</f>
        <v/>
      </c>
      <c r="C1418" s="30">
        <v>1417.0</v>
      </c>
      <c r="D1418" s="16" t="s">
        <v>1972</v>
      </c>
      <c r="E1418" s="16" t="s">
        <v>184</v>
      </c>
      <c r="F1418" s="16" t="s">
        <v>219</v>
      </c>
      <c r="G1418" s="16" t="s">
        <v>222</v>
      </c>
      <c r="H1418" s="16" t="s">
        <v>220</v>
      </c>
      <c r="I1418" s="16" t="s">
        <v>220</v>
      </c>
    </row>
    <row r="1419" ht="242.25" customHeight="1">
      <c r="A1419" s="32" t="b">
        <v>0</v>
      </c>
      <c r="B1419" s="32" t="str">
        <f>IMAGE("https://gymvisual.com/20473-catalog_default/dumbbell-biceps-curl-with-overhead-extension-on-stability-ball.jpg",4,500,500)</f>
        <v/>
      </c>
      <c r="C1419" s="30">
        <v>1418.0</v>
      </c>
      <c r="D1419" s="16" t="s">
        <v>1973</v>
      </c>
      <c r="E1419" s="16" t="s">
        <v>184</v>
      </c>
      <c r="F1419" s="16" t="s">
        <v>219</v>
      </c>
      <c r="G1419" s="16" t="s">
        <v>222</v>
      </c>
      <c r="H1419" s="16" t="s">
        <v>1974</v>
      </c>
      <c r="I1419" s="16" t="s">
        <v>292</v>
      </c>
    </row>
    <row r="1420" ht="242.25" customHeight="1">
      <c r="A1420" s="32" t="b">
        <v>0</v>
      </c>
      <c r="B1420" s="32" t="str">
        <f>IMAGE("https://gymvisual.com/22211-catalog_default/dumbbell-bridge-bench-press.jpg",4,500,500)</f>
        <v/>
      </c>
      <c r="C1420" s="30">
        <v>1419.0</v>
      </c>
      <c r="D1420" s="16" t="s">
        <v>1975</v>
      </c>
      <c r="E1420" s="16" t="s">
        <v>184</v>
      </c>
      <c r="F1420" s="16" t="s">
        <v>234</v>
      </c>
      <c r="G1420" s="16" t="s">
        <v>222</v>
      </c>
      <c r="H1420" s="16" t="s">
        <v>220</v>
      </c>
      <c r="I1420" s="16" t="s">
        <v>220</v>
      </c>
    </row>
    <row r="1421" ht="242.25" customHeight="1">
      <c r="A1421" s="32" t="b">
        <v>0</v>
      </c>
      <c r="B1421" s="32" t="str">
        <f>IMAGE("https://gymvisual.com/9730-catalog_default/dumbbell-bulgarian-split-squat-female.jpg",4,500,500)</f>
        <v/>
      </c>
      <c r="C1421" s="30">
        <v>1420.0</v>
      </c>
      <c r="D1421" s="16" t="s">
        <v>1976</v>
      </c>
      <c r="E1421" s="16" t="s">
        <v>184</v>
      </c>
      <c r="F1421" s="16" t="s">
        <v>294</v>
      </c>
      <c r="G1421" s="16" t="s">
        <v>222</v>
      </c>
      <c r="H1421" s="16" t="s">
        <v>189</v>
      </c>
      <c r="I1421" s="16" t="s">
        <v>190</v>
      </c>
    </row>
    <row r="1422" ht="242.25" customHeight="1">
      <c r="A1422" s="32" t="b">
        <v>0</v>
      </c>
      <c r="B1422" s="32" t="str">
        <f>IMAGE("https://gymvisual.com/14765-catalog_default/dumbbell-chest-supported-lateral-raises.jpg",4,500,500)</f>
        <v/>
      </c>
      <c r="C1422" s="30">
        <v>1421.0</v>
      </c>
      <c r="D1422" s="16" t="s">
        <v>1977</v>
      </c>
      <c r="E1422" s="16" t="s">
        <v>184</v>
      </c>
      <c r="F1422" s="16" t="s">
        <v>228</v>
      </c>
      <c r="G1422" s="16" t="s">
        <v>222</v>
      </c>
      <c r="H1422" s="16" t="s">
        <v>408</v>
      </c>
      <c r="I1422" s="16" t="s">
        <v>1978</v>
      </c>
    </row>
    <row r="1423" ht="242.25" customHeight="1">
      <c r="A1423" s="32" t="b">
        <v>0</v>
      </c>
      <c r="B1423" s="32" t="str">
        <f>IMAGE("https://gymvisual.com/20618-catalog_default/dumbbell-clean.jpg",4,500,500)</f>
        <v/>
      </c>
      <c r="C1423" s="30">
        <v>1422.0</v>
      </c>
      <c r="D1423" s="16" t="s">
        <v>1979</v>
      </c>
      <c r="E1423" s="16" t="s">
        <v>184</v>
      </c>
      <c r="F1423" s="16" t="s">
        <v>285</v>
      </c>
      <c r="G1423" s="16" t="s">
        <v>222</v>
      </c>
      <c r="H1423" s="16" t="s">
        <v>793</v>
      </c>
      <c r="I1423" s="16" t="s">
        <v>220</v>
      </c>
    </row>
    <row r="1424" ht="242.25" customHeight="1">
      <c r="A1424" s="32" t="b">
        <v>0</v>
      </c>
      <c r="B1424" s="32" t="str">
        <f>IMAGE("https://gymvisual.com/22568-catalog_default/dumbbell-clean-and-press.jpg",4,500,500)</f>
        <v/>
      </c>
      <c r="C1424" s="30">
        <v>1423.0</v>
      </c>
      <c r="D1424" s="16" t="s">
        <v>1980</v>
      </c>
      <c r="E1424" s="16" t="s">
        <v>184</v>
      </c>
      <c r="F1424" s="16" t="s">
        <v>764</v>
      </c>
      <c r="G1424" s="16" t="s">
        <v>222</v>
      </c>
      <c r="H1424" s="16" t="s">
        <v>1981</v>
      </c>
      <c r="I1424" s="16" t="s">
        <v>220</v>
      </c>
    </row>
    <row r="1425" ht="242.25" customHeight="1">
      <c r="A1425" s="32" t="b">
        <v>0</v>
      </c>
      <c r="B1425" s="32" t="str">
        <f>IMAGE("https://gymvisual.com/18716-catalog_default/dumbbell-close-grip-curl.jpg",4,500,500)</f>
        <v/>
      </c>
      <c r="C1425" s="30">
        <v>1424.0</v>
      </c>
      <c r="D1425" s="16" t="s">
        <v>1982</v>
      </c>
      <c r="E1425" s="16" t="s">
        <v>184</v>
      </c>
      <c r="F1425" s="16" t="s">
        <v>219</v>
      </c>
      <c r="G1425" s="16" t="s">
        <v>222</v>
      </c>
      <c r="H1425" s="16" t="s">
        <v>241</v>
      </c>
      <c r="I1425" s="16" t="s">
        <v>292</v>
      </c>
    </row>
    <row r="1426" ht="242.25" customHeight="1">
      <c r="A1426" s="32" t="b">
        <v>0</v>
      </c>
      <c r="B1426" s="32" t="str">
        <f>IMAGE("https://gymvisual.com/7450-catalog_default/dumbbell-close-grip-press.jpg",4,500,500)</f>
        <v/>
      </c>
      <c r="C1426" s="30">
        <v>1425.0</v>
      </c>
      <c r="D1426" s="16" t="s">
        <v>1983</v>
      </c>
      <c r="E1426" s="16" t="s">
        <v>184</v>
      </c>
      <c r="F1426" s="16" t="s">
        <v>219</v>
      </c>
      <c r="G1426" s="16" t="s">
        <v>222</v>
      </c>
      <c r="H1426" s="16" t="s">
        <v>223</v>
      </c>
      <c r="I1426" s="16" t="s">
        <v>472</v>
      </c>
    </row>
    <row r="1427" ht="242.25" customHeight="1">
      <c r="A1427" s="32" t="b">
        <v>0</v>
      </c>
      <c r="B1427" s="32" t="str">
        <f>IMAGE("https://gymvisual.com/11465-catalog_default/dumbbell-close-grip-press-female.jpg",4,500,500)</f>
        <v/>
      </c>
      <c r="C1427" s="30">
        <v>1426.0</v>
      </c>
      <c r="D1427" s="16" t="s">
        <v>1984</v>
      </c>
      <c r="E1427" s="16" t="s">
        <v>184</v>
      </c>
      <c r="F1427" s="16" t="s">
        <v>1894</v>
      </c>
      <c r="G1427" s="16" t="s">
        <v>222</v>
      </c>
      <c r="H1427" s="16" t="s">
        <v>223</v>
      </c>
      <c r="I1427" s="16" t="s">
        <v>472</v>
      </c>
    </row>
    <row r="1428" ht="242.25" customHeight="1">
      <c r="A1428" s="32" t="b">
        <v>0</v>
      </c>
      <c r="B1428" s="32" t="str">
        <f>IMAGE("https://gymvisual.com/13419-catalog_default/dumbbell-close-grip-press-female.jpg",4,500,500)</f>
        <v/>
      </c>
      <c r="C1428" s="30">
        <v>1427.0</v>
      </c>
      <c r="D1428" s="16" t="s">
        <v>1985</v>
      </c>
      <c r="E1428" s="16" t="s">
        <v>184</v>
      </c>
      <c r="F1428" s="16" t="s">
        <v>234</v>
      </c>
      <c r="G1428" s="16" t="s">
        <v>222</v>
      </c>
      <c r="H1428" s="16" t="s">
        <v>220</v>
      </c>
      <c r="I1428" s="16" t="s">
        <v>220</v>
      </c>
    </row>
    <row r="1429" ht="242.25" customHeight="1">
      <c r="A1429" s="32" t="b">
        <v>0</v>
      </c>
      <c r="B1429" s="32" t="str">
        <f>IMAGE("https://gymvisual.com/19588-catalog_default/dumbbell-close-grip-shoulder-press-sit-up.jpg",4,500,500)</f>
        <v/>
      </c>
      <c r="C1429" s="30">
        <v>1428.0</v>
      </c>
      <c r="D1429" s="16" t="s">
        <v>1986</v>
      </c>
      <c r="E1429" s="16" t="s">
        <v>184</v>
      </c>
      <c r="F1429" s="16" t="s">
        <v>254</v>
      </c>
      <c r="G1429" s="16" t="s">
        <v>222</v>
      </c>
      <c r="H1429" s="16" t="s">
        <v>220</v>
      </c>
      <c r="I1429" s="16" t="s">
        <v>220</v>
      </c>
    </row>
    <row r="1430" ht="242.25" customHeight="1">
      <c r="A1430" s="32" t="b">
        <v>0</v>
      </c>
      <c r="B1430" s="32" t="str">
        <f>IMAGE("https://gymvisual.com/909-catalog_default/dumbbell-close-grip-press.jpg",4,500,500)</f>
        <v/>
      </c>
      <c r="C1430" s="30">
        <v>1429.0</v>
      </c>
      <c r="D1430" s="16" t="s">
        <v>1987</v>
      </c>
      <c r="E1430" s="16" t="s">
        <v>184</v>
      </c>
      <c r="F1430" s="16" t="s">
        <v>219</v>
      </c>
      <c r="G1430" s="16" t="s">
        <v>222</v>
      </c>
      <c r="H1430" s="16" t="s">
        <v>223</v>
      </c>
      <c r="I1430" s="16" t="s">
        <v>896</v>
      </c>
    </row>
    <row r="1431" ht="242.25" customHeight="1">
      <c r="A1431" s="32" t="b">
        <v>0</v>
      </c>
      <c r="B1431" s="32" t="str">
        <f>IMAGE("https://gymvisual.com/17771-catalog_default/dumbbell-complex-push-up-row-clean-and-press.jpg",4,500,500)</f>
        <v/>
      </c>
      <c r="C1431" s="30">
        <v>1430.0</v>
      </c>
      <c r="D1431" s="16" t="s">
        <v>1988</v>
      </c>
      <c r="E1431" s="16" t="s">
        <v>184</v>
      </c>
      <c r="F1431" s="16" t="s">
        <v>321</v>
      </c>
      <c r="G1431" s="16" t="s">
        <v>222</v>
      </c>
      <c r="H1431" s="16" t="s">
        <v>220</v>
      </c>
      <c r="I1431" s="16" t="s">
        <v>220</v>
      </c>
    </row>
    <row r="1432" ht="242.25" customHeight="1">
      <c r="A1432" s="32" t="b">
        <v>0</v>
      </c>
      <c r="B1432" s="32" t="str">
        <f>IMAGE("https://gymvisual.com/912-catalog_default/dumbbell-concentration-curl.jpg",4,500,500)</f>
        <v/>
      </c>
      <c r="C1432" s="30">
        <v>1431.0</v>
      </c>
      <c r="D1432" s="16" t="s">
        <v>141</v>
      </c>
      <c r="E1432" s="16" t="s">
        <v>184</v>
      </c>
      <c r="F1432" s="16" t="s">
        <v>219</v>
      </c>
      <c r="G1432" s="16" t="s">
        <v>222</v>
      </c>
      <c r="H1432" s="16" t="s">
        <v>232</v>
      </c>
      <c r="I1432" s="16" t="s">
        <v>233</v>
      </c>
    </row>
    <row r="1433" ht="242.25" customHeight="1">
      <c r="A1433" s="32" t="b">
        <v>0</v>
      </c>
      <c r="B1433" s="32" t="str">
        <f>IMAGE("https://gymvisual.com/10299-catalog_default/dumbbell-concentration-curl-female.jpg",4,500,500)</f>
        <v/>
      </c>
      <c r="C1433" s="30">
        <v>1432.0</v>
      </c>
      <c r="D1433" s="16" t="s">
        <v>231</v>
      </c>
      <c r="E1433" s="16" t="s">
        <v>184</v>
      </c>
      <c r="F1433" s="16" t="s">
        <v>219</v>
      </c>
      <c r="G1433" s="16" t="s">
        <v>222</v>
      </c>
      <c r="H1433" s="16" t="s">
        <v>232</v>
      </c>
      <c r="I1433" s="16" t="s">
        <v>233</v>
      </c>
    </row>
    <row r="1434" ht="242.25" customHeight="1">
      <c r="A1434" s="32" t="b">
        <v>0</v>
      </c>
      <c r="B1434" s="32" t="str">
        <f>IMAGE("https://gymvisual.com/14340-catalog_default/dumbbell-contralateral-forward-lunge.jpg",4,500,500)</f>
        <v/>
      </c>
      <c r="C1434" s="30">
        <v>1433.0</v>
      </c>
      <c r="D1434" s="16" t="s">
        <v>1989</v>
      </c>
      <c r="E1434" s="16" t="s">
        <v>184</v>
      </c>
      <c r="F1434" s="16" t="s">
        <v>285</v>
      </c>
      <c r="G1434" s="16" t="s">
        <v>222</v>
      </c>
      <c r="H1434" s="16" t="s">
        <v>189</v>
      </c>
      <c r="I1434" s="16" t="s">
        <v>190</v>
      </c>
    </row>
    <row r="1435" ht="242.25" customHeight="1">
      <c r="A1435" s="32" t="b">
        <v>0</v>
      </c>
      <c r="B1435" s="32" t="str">
        <f>IMAGE("https://gymvisual.com/19217-catalog_default/dumbbell-cossack-squats-male.jpg",4,500,500)</f>
        <v/>
      </c>
      <c r="C1435" s="30">
        <v>1434.0</v>
      </c>
      <c r="D1435" s="16" t="s">
        <v>1990</v>
      </c>
      <c r="E1435" s="16" t="s">
        <v>184</v>
      </c>
      <c r="F1435" s="16" t="s">
        <v>294</v>
      </c>
      <c r="G1435" s="16" t="s">
        <v>222</v>
      </c>
      <c r="H1435" s="16" t="s">
        <v>220</v>
      </c>
      <c r="I1435" s="16" t="s">
        <v>220</v>
      </c>
    </row>
    <row r="1436" ht="242.25" customHeight="1">
      <c r="A1436" s="32" t="b">
        <v>0</v>
      </c>
      <c r="B1436" s="32" t="str">
        <f>IMAGE("https://gymvisual.com/22213-catalog_default/dumbbell-cossack-squats-version-2-male.jpg",4,500,500)</f>
        <v/>
      </c>
      <c r="C1436" s="30">
        <v>1435.0</v>
      </c>
      <c r="D1436" s="16" t="s">
        <v>1991</v>
      </c>
      <c r="E1436" s="16" t="s">
        <v>184</v>
      </c>
      <c r="F1436" s="16" t="s">
        <v>285</v>
      </c>
      <c r="G1436" s="16" t="s">
        <v>222</v>
      </c>
      <c r="H1436" s="16" t="s">
        <v>220</v>
      </c>
      <c r="I1436" s="16" t="s">
        <v>220</v>
      </c>
    </row>
    <row r="1437" ht="242.25" customHeight="1">
      <c r="A1437" s="32" t="b">
        <v>0</v>
      </c>
      <c r="B1437" s="32" t="str">
        <f>IMAGE("https://gymvisual.com/915-catalog_default/dumbbell-cross-body-hammer-curl.jpg",4,500,500)</f>
        <v/>
      </c>
      <c r="C1437" s="30">
        <v>1436.0</v>
      </c>
      <c r="D1437" s="16" t="s">
        <v>1992</v>
      </c>
      <c r="E1437" s="16" t="s">
        <v>184</v>
      </c>
      <c r="F1437" s="16" t="s">
        <v>214</v>
      </c>
      <c r="G1437" s="16" t="s">
        <v>222</v>
      </c>
      <c r="H1437" s="16" t="s">
        <v>216</v>
      </c>
      <c r="I1437" s="16" t="s">
        <v>217</v>
      </c>
    </row>
    <row r="1438" ht="242.25" customHeight="1">
      <c r="A1438" s="32" t="b">
        <v>0</v>
      </c>
      <c r="B1438" s="32" t="str">
        <f>IMAGE("https://gymvisual.com/7131-catalog_default/dumbbell-cross-body-hammer-curl-version-2.jpg",4,500,500)</f>
        <v/>
      </c>
      <c r="C1438" s="30">
        <v>1437.0</v>
      </c>
      <c r="D1438" s="16" t="s">
        <v>1993</v>
      </c>
      <c r="E1438" s="16" t="s">
        <v>184</v>
      </c>
      <c r="F1438" s="16" t="s">
        <v>219</v>
      </c>
      <c r="G1438" s="16" t="s">
        <v>222</v>
      </c>
      <c r="H1438" s="16" t="s">
        <v>216</v>
      </c>
      <c r="I1438" s="16" t="s">
        <v>217</v>
      </c>
    </row>
    <row r="1439" ht="242.25" customHeight="1">
      <c r="A1439" s="32" t="b">
        <v>0</v>
      </c>
      <c r="B1439" s="32" t="str">
        <f>IMAGE("https://gymvisual.com/11468-catalog_default/dumbbell-cross-body-hammer-curl-version-2-female.jpg",4,500,500)</f>
        <v/>
      </c>
      <c r="C1439" s="30">
        <v>1438.0</v>
      </c>
      <c r="D1439" s="16" t="s">
        <v>1994</v>
      </c>
      <c r="E1439" s="16" t="s">
        <v>184</v>
      </c>
      <c r="F1439" s="16" t="s">
        <v>219</v>
      </c>
      <c r="G1439" s="16" t="s">
        <v>222</v>
      </c>
      <c r="H1439" s="16" t="s">
        <v>216</v>
      </c>
      <c r="I1439" s="16" t="s">
        <v>217</v>
      </c>
    </row>
    <row r="1440" ht="242.25" customHeight="1">
      <c r="A1440" s="32" t="b">
        <v>0</v>
      </c>
      <c r="B1440" s="32" t="str">
        <f>IMAGE("https://gymvisual.com/19594-catalog_default/dumbbell-crunch-up.jpg",4,500,500)</f>
        <v/>
      </c>
      <c r="C1440" s="30">
        <v>1439.0</v>
      </c>
      <c r="D1440" s="16" t="s">
        <v>1995</v>
      </c>
      <c r="E1440" s="16" t="s">
        <v>184</v>
      </c>
      <c r="F1440" s="16" t="s">
        <v>254</v>
      </c>
      <c r="G1440" s="16" t="s">
        <v>222</v>
      </c>
      <c r="H1440" s="16" t="s">
        <v>220</v>
      </c>
      <c r="I1440" s="16" t="s">
        <v>220</v>
      </c>
    </row>
    <row r="1441" ht="242.25" customHeight="1">
      <c r="A1441" s="32" t="b">
        <v>0</v>
      </c>
      <c r="B1441" s="32" t="str">
        <f>IMAGE("https://gymvisual.com/918-catalog_default/dumbbell-cuban-press.jpg",4,500,500)</f>
        <v/>
      </c>
      <c r="C1441" s="30">
        <v>1440.0</v>
      </c>
      <c r="D1441" s="16" t="s">
        <v>1996</v>
      </c>
      <c r="E1441" s="16" t="s">
        <v>184</v>
      </c>
      <c r="F1441" s="16" t="s">
        <v>228</v>
      </c>
      <c r="G1441" s="16" t="s">
        <v>222</v>
      </c>
      <c r="H1441" s="16" t="s">
        <v>1997</v>
      </c>
      <c r="I1441" s="16" t="s">
        <v>1998</v>
      </c>
    </row>
    <row r="1442" ht="242.25" customHeight="1">
      <c r="A1442" s="32" t="b">
        <v>0</v>
      </c>
      <c r="B1442" s="32" t="str">
        <f>IMAGE("https://gymvisual.com/8732-catalog_default/dumbbell-cuban-press-version-2.jpg",4,500,500)</f>
        <v/>
      </c>
      <c r="C1442" s="30">
        <v>1441.0</v>
      </c>
      <c r="D1442" s="16" t="s">
        <v>1999</v>
      </c>
      <c r="E1442" s="16" t="s">
        <v>184</v>
      </c>
      <c r="F1442" s="16" t="s">
        <v>228</v>
      </c>
      <c r="G1442" s="16" t="s">
        <v>222</v>
      </c>
      <c r="H1442" s="16" t="s">
        <v>454</v>
      </c>
      <c r="I1442" s="16" t="s">
        <v>2000</v>
      </c>
    </row>
    <row r="1443" ht="242.25" customHeight="1">
      <c r="A1443" s="32" t="b">
        <v>0</v>
      </c>
      <c r="B1443" s="32" t="str">
        <f>IMAGE("https://gymvisual.com/26118-catalog_default/dumbbell-curl-press-extension-male.jpg",4,500,500)</f>
        <v/>
      </c>
      <c r="C1443" s="30">
        <v>1442.0</v>
      </c>
      <c r="D1443" s="16" t="s">
        <v>2001</v>
      </c>
      <c r="E1443" s="16" t="s">
        <v>184</v>
      </c>
      <c r="F1443" s="16" t="s">
        <v>219</v>
      </c>
      <c r="G1443" s="16" t="s">
        <v>222</v>
      </c>
      <c r="H1443" s="16" t="s">
        <v>220</v>
      </c>
      <c r="I1443" s="16" t="s">
        <v>220</v>
      </c>
    </row>
    <row r="1444" ht="242.25" customHeight="1">
      <c r="A1444" s="32" t="b">
        <v>0</v>
      </c>
      <c r="B1444" s="32" t="str">
        <f>IMAGE("https://gymvisual.com/22087-catalog_default/dumbbell-curl-to-press-female.jpg",4,500,500)</f>
        <v/>
      </c>
      <c r="C1444" s="30">
        <v>1443.0</v>
      </c>
      <c r="D1444" s="16" t="s">
        <v>2002</v>
      </c>
      <c r="E1444" s="16" t="s">
        <v>184</v>
      </c>
      <c r="F1444" s="16" t="s">
        <v>228</v>
      </c>
      <c r="G1444" s="16" t="s">
        <v>222</v>
      </c>
      <c r="H1444" s="16" t="s">
        <v>2003</v>
      </c>
      <c r="I1444" s="16" t="s">
        <v>2004</v>
      </c>
    </row>
    <row r="1445" ht="242.25" customHeight="1">
      <c r="A1445" s="32" t="b">
        <v>0</v>
      </c>
      <c r="B1445" s="32" t="str">
        <f>IMAGE("https://gymvisual.com/2771-catalog_default/dumbbell-curtsey-lunge.jpg",4,500,500)</f>
        <v/>
      </c>
      <c r="C1445" s="30">
        <v>1444.0</v>
      </c>
      <c r="D1445" s="16" t="s">
        <v>2005</v>
      </c>
      <c r="E1445" s="16" t="s">
        <v>184</v>
      </c>
      <c r="F1445" s="16" t="s">
        <v>285</v>
      </c>
      <c r="G1445" s="16" t="s">
        <v>222</v>
      </c>
      <c r="H1445" s="16" t="s">
        <v>189</v>
      </c>
      <c r="I1445" s="16" t="s">
        <v>2006</v>
      </c>
    </row>
    <row r="1446" ht="242.25" customHeight="1">
      <c r="A1446" s="32" t="b">
        <v>0</v>
      </c>
      <c r="B1446" s="32" t="str">
        <f>IMAGE("https://gymvisual.com/19331-catalog_default/dumbbell-deadlift.jpg",4,500,500)</f>
        <v/>
      </c>
      <c r="C1446" s="30">
        <v>1445.0</v>
      </c>
      <c r="D1446" s="16" t="s">
        <v>2007</v>
      </c>
      <c r="E1446" s="16" t="s">
        <v>184</v>
      </c>
      <c r="F1446" s="16" t="s">
        <v>192</v>
      </c>
      <c r="G1446" s="16" t="s">
        <v>222</v>
      </c>
      <c r="H1446" s="16" t="s">
        <v>189</v>
      </c>
      <c r="I1446" s="16" t="s">
        <v>190</v>
      </c>
    </row>
    <row r="1447" ht="242.25" customHeight="1">
      <c r="A1447" s="32" t="b">
        <v>0</v>
      </c>
      <c r="B1447" s="32" t="str">
        <f>IMAGE("https://gymvisual.com/11023-catalog_default/dumbbell-deadlift-female.jpg",4,500,500)</f>
        <v/>
      </c>
      <c r="C1447" s="30">
        <v>1446.0</v>
      </c>
      <c r="D1447" s="16" t="s">
        <v>2008</v>
      </c>
      <c r="E1447" s="16" t="s">
        <v>184</v>
      </c>
      <c r="F1447" s="16" t="s">
        <v>294</v>
      </c>
      <c r="G1447" s="16" t="s">
        <v>222</v>
      </c>
      <c r="H1447" s="16" t="s">
        <v>187</v>
      </c>
      <c r="I1447" s="16" t="s">
        <v>482</v>
      </c>
    </row>
    <row r="1448" ht="242.25" customHeight="1">
      <c r="A1448" s="32" t="b">
        <v>0</v>
      </c>
      <c r="B1448" s="32" t="str">
        <f>IMAGE("https://gymvisual.com/20724-catalog_default/dumbbell-deadlift-neutral-grip.jpg",4,500,500)</f>
        <v/>
      </c>
      <c r="C1448" s="30">
        <v>1447.0</v>
      </c>
      <c r="D1448" s="16" t="s">
        <v>2009</v>
      </c>
      <c r="E1448" s="16" t="s">
        <v>184</v>
      </c>
      <c r="F1448" s="16" t="s">
        <v>294</v>
      </c>
      <c r="G1448" s="16" t="s">
        <v>222</v>
      </c>
      <c r="H1448" s="16" t="s">
        <v>2010</v>
      </c>
      <c r="I1448" s="16" t="s">
        <v>314</v>
      </c>
    </row>
    <row r="1449" ht="242.25" customHeight="1">
      <c r="A1449" s="32" t="b">
        <v>0</v>
      </c>
      <c r="B1449" s="32" t="str">
        <f>IMAGE("https://gymvisual.com/22538-catalog_default/dumbbell-deadlift-version-2-male.jpg",4,500,500)</f>
        <v/>
      </c>
      <c r="C1449" s="30">
        <v>1448.0</v>
      </c>
      <c r="D1449" s="16" t="s">
        <v>2011</v>
      </c>
      <c r="E1449" s="16" t="s">
        <v>184</v>
      </c>
      <c r="F1449" s="16" t="s">
        <v>185</v>
      </c>
      <c r="G1449" s="16" t="s">
        <v>222</v>
      </c>
      <c r="H1449" s="16" t="s">
        <v>220</v>
      </c>
      <c r="I1449" s="16" t="s">
        <v>220</v>
      </c>
    </row>
    <row r="1450" ht="242.25" customHeight="1">
      <c r="A1450" s="32" t="b">
        <v>0</v>
      </c>
      <c r="B1450" s="32" t="str">
        <f>IMAGE("https://gymvisual.com/21028-catalog_default/dumbbell-deadlift-bent-over-row.jpg",4,500,500)</f>
        <v/>
      </c>
      <c r="C1450" s="30">
        <v>1449.0</v>
      </c>
      <c r="D1450" s="16" t="s">
        <v>2012</v>
      </c>
      <c r="E1450" s="16" t="s">
        <v>184</v>
      </c>
      <c r="F1450" s="16" t="s">
        <v>192</v>
      </c>
      <c r="G1450" s="16" t="s">
        <v>222</v>
      </c>
      <c r="H1450" s="16" t="s">
        <v>220</v>
      </c>
      <c r="I1450" s="16" t="s">
        <v>220</v>
      </c>
    </row>
    <row r="1451" ht="242.25" customHeight="1">
      <c r="A1451" s="32" t="b">
        <v>0</v>
      </c>
      <c r="B1451" s="32" t="str">
        <f>IMAGE("https://gymvisual.com/6798-catalog_default/dumbbell-decline-bench-lunge.jpg",4,500,500)</f>
        <v/>
      </c>
      <c r="C1451" s="30">
        <v>1450.0</v>
      </c>
      <c r="D1451" s="16" t="s">
        <v>2013</v>
      </c>
      <c r="E1451" s="16" t="s">
        <v>184</v>
      </c>
      <c r="F1451" s="16" t="s">
        <v>285</v>
      </c>
      <c r="G1451" s="16" t="s">
        <v>222</v>
      </c>
      <c r="H1451" s="16" t="s">
        <v>220</v>
      </c>
      <c r="I1451" s="16" t="s">
        <v>220</v>
      </c>
    </row>
    <row r="1452" ht="242.25" customHeight="1">
      <c r="A1452" s="32" t="b">
        <v>0</v>
      </c>
      <c r="B1452" s="32" t="str">
        <f>IMAGE("https://gymvisual.com/19333-catalog_default/3-4-sit-up.jpg",4,500,500)</f>
        <v/>
      </c>
      <c r="C1452" s="30">
        <v>1451.0</v>
      </c>
      <c r="D1452" s="16" t="s">
        <v>2014</v>
      </c>
      <c r="E1452" s="16" t="s">
        <v>184</v>
      </c>
      <c r="F1452" s="16" t="s">
        <v>234</v>
      </c>
      <c r="G1452" s="16" t="s">
        <v>222</v>
      </c>
      <c r="H1452" s="16" t="s">
        <v>347</v>
      </c>
      <c r="I1452" s="16" t="s">
        <v>382</v>
      </c>
    </row>
    <row r="1453" ht="242.25" customHeight="1">
      <c r="A1453" s="32" t="b">
        <v>0</v>
      </c>
      <c r="B1453" s="32" t="str">
        <f>IMAGE("https://gymvisual.com/10981-catalog_default/dumbbell-decline-bench-press-female.jpg",4,500,500)</f>
        <v/>
      </c>
      <c r="C1453" s="30">
        <v>1452.0</v>
      </c>
      <c r="D1453" s="16" t="s">
        <v>2015</v>
      </c>
      <c r="E1453" s="16" t="s">
        <v>184</v>
      </c>
      <c r="F1453" s="16" t="s">
        <v>234</v>
      </c>
      <c r="G1453" s="16" t="s">
        <v>222</v>
      </c>
      <c r="H1453" s="16" t="s">
        <v>347</v>
      </c>
      <c r="I1453" s="16" t="s">
        <v>382</v>
      </c>
    </row>
    <row r="1454" ht="242.25" customHeight="1">
      <c r="A1454" s="32" t="b">
        <v>0</v>
      </c>
      <c r="B1454" s="32" t="str">
        <f>IMAGE("https://gymvisual.com/20736-catalog_default/3-4-sit-up.jpg",4,500,500)</f>
        <v/>
      </c>
      <c r="C1454" s="30">
        <v>1453.0</v>
      </c>
      <c r="D1454" s="16" t="s">
        <v>2016</v>
      </c>
      <c r="E1454" s="16" t="s">
        <v>184</v>
      </c>
      <c r="F1454" s="16" t="s">
        <v>234</v>
      </c>
      <c r="G1454" s="16" t="s">
        <v>222</v>
      </c>
      <c r="H1454" s="16" t="s">
        <v>347</v>
      </c>
      <c r="I1454" s="16" t="s">
        <v>420</v>
      </c>
    </row>
    <row r="1455" ht="242.25" customHeight="1">
      <c r="A1455" s="32" t="b">
        <v>0</v>
      </c>
      <c r="B1455" s="32" t="str">
        <f>IMAGE("https://gymvisual.com/929-catalog_default/3-4-sit-up.jpg",4,500,500)</f>
        <v/>
      </c>
      <c r="C1455" s="30">
        <v>1454.0</v>
      </c>
      <c r="D1455" s="16" t="s">
        <v>2017</v>
      </c>
      <c r="E1455" s="16" t="s">
        <v>184</v>
      </c>
      <c r="F1455" s="16" t="s">
        <v>234</v>
      </c>
      <c r="G1455" s="16" t="s">
        <v>222</v>
      </c>
      <c r="H1455" s="16" t="s">
        <v>347</v>
      </c>
      <c r="I1455" s="16" t="s">
        <v>382</v>
      </c>
    </row>
    <row r="1456" ht="242.25" customHeight="1">
      <c r="A1456" s="32" t="b">
        <v>0</v>
      </c>
      <c r="B1456" s="32" t="str">
        <f>IMAGE("https://gymvisual.com/22215-catalog_default/dumbbell-decline-lying-leg-curl.jpg",4,500,500)</f>
        <v/>
      </c>
      <c r="C1456" s="30">
        <v>1455.0</v>
      </c>
      <c r="D1456" s="16" t="s">
        <v>2018</v>
      </c>
      <c r="E1456" s="16" t="s">
        <v>184</v>
      </c>
      <c r="F1456" s="16" t="s">
        <v>285</v>
      </c>
      <c r="G1456" s="16" t="s">
        <v>222</v>
      </c>
      <c r="H1456" s="16" t="s">
        <v>220</v>
      </c>
      <c r="I1456" s="16" t="s">
        <v>220</v>
      </c>
    </row>
    <row r="1457" ht="242.25" customHeight="1">
      <c r="A1457" s="32" t="b">
        <v>0</v>
      </c>
      <c r="B1457" s="32" t="str">
        <f>IMAGE("https://gymvisual.com/5965-catalog_default/dumbbell-decline-one-arm-fly.jpg",4,500,500)</f>
        <v/>
      </c>
      <c r="C1457" s="30">
        <v>1456.0</v>
      </c>
      <c r="D1457" s="16" t="s">
        <v>2019</v>
      </c>
      <c r="E1457" s="16" t="s">
        <v>184</v>
      </c>
      <c r="F1457" s="16" t="s">
        <v>234</v>
      </c>
      <c r="G1457" s="16" t="s">
        <v>222</v>
      </c>
      <c r="H1457" s="16" t="s">
        <v>347</v>
      </c>
      <c r="I1457" s="16" t="s">
        <v>420</v>
      </c>
    </row>
    <row r="1458" ht="242.25" customHeight="1">
      <c r="A1458" s="32" t="b">
        <v>0</v>
      </c>
      <c r="B1458" s="32" t="str">
        <f>IMAGE("https://gymvisual.com/7092-catalog_default/dumbbell-decline-one-arm-hammer-press.jpg",4,500,500)</f>
        <v/>
      </c>
      <c r="C1458" s="30">
        <v>1457.0</v>
      </c>
      <c r="D1458" s="16" t="s">
        <v>2020</v>
      </c>
      <c r="E1458" s="16" t="s">
        <v>184</v>
      </c>
      <c r="F1458" s="16" t="s">
        <v>219</v>
      </c>
      <c r="G1458" s="16" t="s">
        <v>222</v>
      </c>
      <c r="H1458" s="16" t="s">
        <v>220</v>
      </c>
      <c r="I1458" s="16" t="s">
        <v>220</v>
      </c>
    </row>
    <row r="1459" ht="242.25" customHeight="1">
      <c r="A1459" s="32" t="b">
        <v>0</v>
      </c>
      <c r="B1459" s="32" t="str">
        <f>IMAGE("https://gymvisual.com/22217-catalog_default/dumbbell-decline-overhead-sit-up.jpg",4,500,500)</f>
        <v/>
      </c>
      <c r="C1459" s="30">
        <v>1458.0</v>
      </c>
      <c r="D1459" s="16" t="s">
        <v>2021</v>
      </c>
      <c r="E1459" s="16" t="s">
        <v>184</v>
      </c>
      <c r="F1459" s="16" t="s">
        <v>254</v>
      </c>
      <c r="G1459" s="16" t="s">
        <v>222</v>
      </c>
      <c r="H1459" s="16" t="s">
        <v>220</v>
      </c>
      <c r="I1459" s="16" t="s">
        <v>220</v>
      </c>
    </row>
    <row r="1460" ht="242.25" customHeight="1">
      <c r="A1460" s="32" t="b">
        <v>0</v>
      </c>
      <c r="B1460" s="32" t="str">
        <f>IMAGE("https://gymvisual.com/935-catalog_default/3-4-sit-up.jpg",4,500,500)</f>
        <v/>
      </c>
      <c r="C1460" s="30">
        <v>1459.0</v>
      </c>
      <c r="D1460" s="16" t="s">
        <v>2022</v>
      </c>
      <c r="E1460" s="16" t="s">
        <v>184</v>
      </c>
      <c r="F1460" s="16" t="s">
        <v>192</v>
      </c>
      <c r="G1460" s="16" t="s">
        <v>222</v>
      </c>
      <c r="H1460" s="16" t="s">
        <v>238</v>
      </c>
      <c r="I1460" s="16" t="s">
        <v>239</v>
      </c>
    </row>
    <row r="1461" ht="242.25" customHeight="1">
      <c r="A1461" s="32" t="b">
        <v>0</v>
      </c>
      <c r="B1461" s="32" t="str">
        <f>IMAGE("https://gymvisual.com/20620-catalog_default/3-4-sit-up.jpg",4,500,500)</f>
        <v/>
      </c>
      <c r="C1461" s="30">
        <v>1460.0</v>
      </c>
      <c r="D1461" s="16" t="s">
        <v>2023</v>
      </c>
      <c r="E1461" s="16" t="s">
        <v>184</v>
      </c>
      <c r="F1461" s="16" t="s">
        <v>192</v>
      </c>
      <c r="G1461" s="16" t="s">
        <v>222</v>
      </c>
      <c r="H1461" s="16" t="s">
        <v>238</v>
      </c>
      <c r="I1461" s="16" t="s">
        <v>1621</v>
      </c>
    </row>
    <row r="1462" ht="242.25" customHeight="1">
      <c r="A1462" s="32" t="b">
        <v>0</v>
      </c>
      <c r="B1462" s="32" t="str">
        <f>IMAGE("https://gymvisual.com/22219-catalog_default/dumbbell-decline-sit-up.jpg",4,500,500)</f>
        <v/>
      </c>
      <c r="C1462" s="30">
        <v>1461.0</v>
      </c>
      <c r="D1462" s="16" t="s">
        <v>2024</v>
      </c>
      <c r="E1462" s="16" t="s">
        <v>184</v>
      </c>
      <c r="F1462" s="16" t="s">
        <v>254</v>
      </c>
      <c r="G1462" s="16" t="s">
        <v>222</v>
      </c>
      <c r="H1462" s="16" t="s">
        <v>220</v>
      </c>
      <c r="I1462" s="16" t="s">
        <v>220</v>
      </c>
    </row>
    <row r="1463" ht="242.25" customHeight="1">
      <c r="A1463" s="32" t="b">
        <v>0</v>
      </c>
      <c r="B1463" s="32" t="str">
        <f>IMAGE("https://gymvisual.com/938-catalog_default/3-4-sit-up.jpg",4,500,500)</f>
        <v/>
      </c>
      <c r="C1463" s="30">
        <v>1462.0</v>
      </c>
      <c r="D1463" s="16" t="s">
        <v>2025</v>
      </c>
      <c r="E1463" s="16" t="s">
        <v>184</v>
      </c>
      <c r="F1463" s="16" t="s">
        <v>219</v>
      </c>
      <c r="G1463" s="16" t="s">
        <v>222</v>
      </c>
      <c r="H1463" s="16" t="s">
        <v>223</v>
      </c>
      <c r="I1463" s="16" t="s">
        <v>220</v>
      </c>
    </row>
    <row r="1464" ht="242.25" customHeight="1">
      <c r="A1464" s="32" t="b">
        <v>0</v>
      </c>
      <c r="B1464" s="32" t="str">
        <f>IMAGE("https://gymvisual.com/11516-catalog_default/dumbbell-decline-triceps-extension-female.jpg",4,500,500)</f>
        <v/>
      </c>
      <c r="C1464" s="30">
        <v>1463.0</v>
      </c>
      <c r="D1464" s="16" t="s">
        <v>2026</v>
      </c>
      <c r="E1464" s="16" t="s">
        <v>184</v>
      </c>
      <c r="F1464" s="16" t="s">
        <v>219</v>
      </c>
      <c r="G1464" s="16" t="s">
        <v>222</v>
      </c>
      <c r="H1464" s="16" t="s">
        <v>220</v>
      </c>
      <c r="I1464" s="16" t="s">
        <v>220</v>
      </c>
    </row>
    <row r="1465" ht="242.25" customHeight="1">
      <c r="A1465" s="32" t="b">
        <v>0</v>
      </c>
      <c r="B1465" s="32" t="str">
        <f>IMAGE("https://gymvisual.com/941-catalog_default/3-4-sit-up.jpg",4,500,500)</f>
        <v/>
      </c>
      <c r="C1465" s="30">
        <v>1464.0</v>
      </c>
      <c r="D1465" s="16" t="s">
        <v>2027</v>
      </c>
      <c r="E1465" s="16" t="s">
        <v>184</v>
      </c>
      <c r="F1465" s="16" t="s">
        <v>234</v>
      </c>
      <c r="G1465" s="16" t="s">
        <v>222</v>
      </c>
      <c r="H1465" s="16" t="s">
        <v>347</v>
      </c>
      <c r="I1465" s="16" t="s">
        <v>420</v>
      </c>
    </row>
    <row r="1466" ht="242.25" customHeight="1">
      <c r="A1466" s="32" t="b">
        <v>0</v>
      </c>
      <c r="B1466" s="32" t="str">
        <f>IMAGE("https://gymvisual.com/11309-catalog_default/dumbbell-decline-twist-fly-female.jpg",4,500,500)</f>
        <v/>
      </c>
      <c r="C1466" s="30">
        <v>1465.0</v>
      </c>
      <c r="D1466" s="16" t="s">
        <v>2028</v>
      </c>
      <c r="E1466" s="16" t="s">
        <v>184</v>
      </c>
      <c r="F1466" s="16" t="s">
        <v>234</v>
      </c>
      <c r="G1466" s="16" t="s">
        <v>222</v>
      </c>
      <c r="H1466" s="16" t="s">
        <v>347</v>
      </c>
      <c r="I1466" s="16" t="s">
        <v>420</v>
      </c>
    </row>
    <row r="1467" ht="242.25" customHeight="1">
      <c r="A1467" s="32" t="b">
        <v>0</v>
      </c>
      <c r="B1467" s="32" t="str">
        <f>IMAGE("https://gymvisual.com/22221-catalog_default/dumbbell-deep-push-up-and-renegade-row.jpg",4,500,500)</f>
        <v/>
      </c>
      <c r="C1467" s="30">
        <v>1466.0</v>
      </c>
      <c r="D1467" s="16" t="s">
        <v>2029</v>
      </c>
      <c r="E1467" s="16" t="s">
        <v>184</v>
      </c>
      <c r="F1467" s="16" t="s">
        <v>234</v>
      </c>
      <c r="G1467" s="16" t="s">
        <v>222</v>
      </c>
      <c r="H1467" s="16" t="s">
        <v>220</v>
      </c>
      <c r="I1467" s="16" t="s">
        <v>220</v>
      </c>
    </row>
    <row r="1468" ht="242.25" customHeight="1">
      <c r="A1468" s="32" t="b">
        <v>0</v>
      </c>
      <c r="B1468" s="32" t="str">
        <f>IMAGE("https://gymvisual.com/14769-catalog_default/dumbbell-drag-bicep-curl.jpg",4,500,500)</f>
        <v/>
      </c>
      <c r="C1468" s="30">
        <v>1467.0</v>
      </c>
      <c r="D1468" s="16" t="s">
        <v>2030</v>
      </c>
      <c r="E1468" s="16" t="s">
        <v>184</v>
      </c>
      <c r="F1468" s="16" t="s">
        <v>829</v>
      </c>
      <c r="G1468" s="16" t="s">
        <v>222</v>
      </c>
      <c r="H1468" s="16" t="s">
        <v>236</v>
      </c>
      <c r="I1468" s="16" t="s">
        <v>292</v>
      </c>
    </row>
    <row r="1469" ht="242.25" customHeight="1">
      <c r="A1469" s="32" t="b">
        <v>0</v>
      </c>
      <c r="B1469" s="32" t="str">
        <f>IMAGE("https://gymvisual.com/25665-catalog_default/dumbbell-empty-can-exercise-male.jpg",4,500,500)</f>
        <v/>
      </c>
      <c r="C1469" s="30">
        <v>1468.0</v>
      </c>
      <c r="D1469" s="16" t="s">
        <v>2031</v>
      </c>
      <c r="E1469" s="16" t="s">
        <v>184</v>
      </c>
      <c r="F1469" s="16" t="s">
        <v>228</v>
      </c>
      <c r="G1469" s="16" t="s">
        <v>222</v>
      </c>
      <c r="H1469" s="16" t="s">
        <v>220</v>
      </c>
      <c r="I1469" s="16" t="s">
        <v>220</v>
      </c>
    </row>
    <row r="1470" ht="242.25" customHeight="1">
      <c r="A1470" s="32" t="b">
        <v>0</v>
      </c>
      <c r="B1470" s="32" t="str">
        <f>IMAGE("https://gymvisual.com/14763-catalog_default/dumbbell-external-rotation.jpg",4,500,500)</f>
        <v/>
      </c>
      <c r="C1470" s="30">
        <v>1469.0</v>
      </c>
      <c r="D1470" s="16" t="s">
        <v>2032</v>
      </c>
      <c r="E1470" s="16" t="s">
        <v>184</v>
      </c>
      <c r="F1470" s="16" t="s">
        <v>192</v>
      </c>
      <c r="G1470" s="16" t="s">
        <v>222</v>
      </c>
      <c r="H1470" s="16" t="s">
        <v>1607</v>
      </c>
      <c r="I1470" s="16" t="s">
        <v>408</v>
      </c>
    </row>
    <row r="1471" ht="242.25" customHeight="1">
      <c r="A1471" s="32" t="b">
        <v>0</v>
      </c>
      <c r="B1471" s="32" t="str">
        <f>IMAGE("https://gymvisual.com/17951-catalog_default/dumbbell-face-down-lying-shoulder-press-male.jpg",4,500,500)</f>
        <v/>
      </c>
      <c r="C1471" s="30">
        <v>1470.0</v>
      </c>
      <c r="D1471" s="16" t="s">
        <v>2033</v>
      </c>
      <c r="E1471" s="16" t="s">
        <v>184</v>
      </c>
      <c r="F1471" s="16" t="s">
        <v>228</v>
      </c>
      <c r="G1471" s="16" t="s">
        <v>222</v>
      </c>
      <c r="H1471" s="16" t="s">
        <v>220</v>
      </c>
      <c r="I1471" s="16" t="s">
        <v>220</v>
      </c>
    </row>
    <row r="1472" ht="242.25" customHeight="1">
      <c r="A1472" s="32" t="b">
        <v>0</v>
      </c>
      <c r="B1472" s="32" t="str">
        <f>IMAGE("https://gymvisual.com/12179-catalog_default/dumbbell-farmers-carry.jpg",4,500,500)</f>
        <v/>
      </c>
      <c r="C1472" s="30">
        <v>1471.0</v>
      </c>
      <c r="D1472" s="16" t="s">
        <v>2034</v>
      </c>
      <c r="E1472" s="16" t="s">
        <v>184</v>
      </c>
      <c r="F1472" s="16" t="s">
        <v>285</v>
      </c>
      <c r="G1472" s="16" t="s">
        <v>222</v>
      </c>
      <c r="H1472" s="16" t="s">
        <v>220</v>
      </c>
      <c r="I1472" s="16" t="s">
        <v>220</v>
      </c>
    </row>
    <row r="1473" ht="242.25" customHeight="1">
      <c r="A1473" s="32" t="b">
        <v>0</v>
      </c>
      <c r="B1473" s="32" t="str">
        <f>IMAGE("https://gymvisual.com/6450-catalog_default/dumbbell-finger-curls.jpg",4,500,500)</f>
        <v/>
      </c>
      <c r="C1473" s="30">
        <v>1472.0</v>
      </c>
      <c r="D1473" s="16" t="s">
        <v>2035</v>
      </c>
      <c r="E1473" s="16" t="s">
        <v>184</v>
      </c>
      <c r="F1473" s="16" t="s">
        <v>214</v>
      </c>
      <c r="G1473" s="16" t="s">
        <v>222</v>
      </c>
      <c r="H1473" s="16" t="s">
        <v>220</v>
      </c>
      <c r="I1473" s="16" t="s">
        <v>220</v>
      </c>
    </row>
    <row r="1474" ht="242.25" customHeight="1">
      <c r="A1474" s="32" t="b">
        <v>0</v>
      </c>
      <c r="B1474" s="32" t="str">
        <f>IMAGE("https://gymvisual.com/13421-catalog_default/dumbbell-finger-curls-female.jpg",4,500,500)</f>
        <v/>
      </c>
      <c r="C1474" s="30">
        <v>1473.0</v>
      </c>
      <c r="D1474" s="16" t="s">
        <v>2036</v>
      </c>
      <c r="E1474" s="16" t="s">
        <v>184</v>
      </c>
      <c r="F1474" s="16" t="s">
        <v>214</v>
      </c>
      <c r="G1474" s="16" t="s">
        <v>222</v>
      </c>
      <c r="H1474" s="16" t="s">
        <v>220</v>
      </c>
      <c r="I1474" s="16" t="s">
        <v>220</v>
      </c>
    </row>
    <row r="1475" ht="242.25" customHeight="1">
      <c r="A1475" s="32" t="b">
        <v>0</v>
      </c>
      <c r="B1475" s="32" t="str">
        <f>IMAGE("https://gymvisual.com/17331-catalog_default/dumbbell-flat-around-the-world.jpg",4,500,500)</f>
        <v/>
      </c>
      <c r="C1475" s="30">
        <v>1474.0</v>
      </c>
      <c r="D1475" s="16" t="s">
        <v>2037</v>
      </c>
      <c r="E1475" s="16" t="s">
        <v>184</v>
      </c>
      <c r="F1475" s="16" t="s">
        <v>1168</v>
      </c>
      <c r="G1475" s="16" t="s">
        <v>222</v>
      </c>
      <c r="H1475" s="16" t="s">
        <v>472</v>
      </c>
      <c r="I1475" s="16" t="s">
        <v>2038</v>
      </c>
    </row>
    <row r="1476" ht="242.25" customHeight="1">
      <c r="A1476" s="32" t="b">
        <v>0</v>
      </c>
      <c r="B1476" s="32" t="str">
        <f>IMAGE("https://gymvisual.com/18712-catalog_default/dumbbell-floor-fly.jpg",4,500,500)</f>
        <v/>
      </c>
      <c r="C1476" s="30">
        <v>1475.0</v>
      </c>
      <c r="D1476" s="16" t="s">
        <v>2039</v>
      </c>
      <c r="E1476" s="16" t="s">
        <v>184</v>
      </c>
      <c r="F1476" s="16" t="s">
        <v>234</v>
      </c>
      <c r="G1476" s="16" t="s">
        <v>222</v>
      </c>
      <c r="H1476" s="16" t="s">
        <v>235</v>
      </c>
      <c r="I1476" s="16" t="s">
        <v>236</v>
      </c>
    </row>
    <row r="1477" ht="242.25" customHeight="1">
      <c r="A1477" s="32" t="b">
        <v>0</v>
      </c>
      <c r="B1477" s="32" t="str">
        <f>IMAGE("https://gymvisual.com/22223-catalog_default/dumbbell-floor-wiper.jpg",4,500,500)</f>
        <v/>
      </c>
      <c r="C1477" s="30">
        <v>1476.0</v>
      </c>
      <c r="D1477" s="16" t="s">
        <v>2040</v>
      </c>
      <c r="E1477" s="16" t="s">
        <v>184</v>
      </c>
      <c r="F1477" s="16" t="s">
        <v>254</v>
      </c>
      <c r="G1477" s="16" t="s">
        <v>222</v>
      </c>
      <c r="H1477" s="16" t="s">
        <v>220</v>
      </c>
      <c r="I1477" s="16" t="s">
        <v>220</v>
      </c>
    </row>
    <row r="1478" ht="242.25" customHeight="1">
      <c r="A1478" s="32" t="b">
        <v>0</v>
      </c>
      <c r="B1478" s="32" t="str">
        <f>IMAGE("https://gymvisual.com/10248-catalog_default/3-4-sit-up.jpg",4,500,500)</f>
        <v/>
      </c>
      <c r="C1478" s="30">
        <v>1477.0</v>
      </c>
      <c r="D1478" s="16" t="s">
        <v>178</v>
      </c>
      <c r="E1478" s="16" t="s">
        <v>184</v>
      </c>
      <c r="F1478" s="16" t="s">
        <v>234</v>
      </c>
      <c r="G1478" s="16" t="s">
        <v>222</v>
      </c>
      <c r="H1478" s="16" t="s">
        <v>235</v>
      </c>
      <c r="I1478" s="16" t="s">
        <v>236</v>
      </c>
    </row>
    <row r="1479" ht="242.25" customHeight="1">
      <c r="A1479" s="32" t="b">
        <v>0</v>
      </c>
      <c r="B1479" s="32" t="str">
        <f>IMAGE("https://gymvisual.com/9673-catalog_default/dumbbell-fly-female.jpg",4,500,500)</f>
        <v/>
      </c>
      <c r="C1479" s="30">
        <v>1478.0</v>
      </c>
      <c r="D1479" s="16" t="s">
        <v>2041</v>
      </c>
      <c r="E1479" s="16" t="s">
        <v>184</v>
      </c>
      <c r="F1479" s="16" t="s">
        <v>234</v>
      </c>
      <c r="G1479" s="16" t="s">
        <v>222</v>
      </c>
      <c r="H1479" s="16" t="s">
        <v>235</v>
      </c>
      <c r="I1479" s="16" t="s">
        <v>236</v>
      </c>
    </row>
    <row r="1480" ht="242.25" customHeight="1">
      <c r="A1480" s="32" t="b">
        <v>0</v>
      </c>
      <c r="B1480" s="32" t="str">
        <f>IMAGE("https://gymvisual.com/12747-catalog_default/dumbbell-fly-knees-at-90-degrees.jpg",4,500,500)</f>
        <v/>
      </c>
      <c r="C1480" s="30">
        <v>1479.0</v>
      </c>
      <c r="D1480" s="16" t="s">
        <v>2042</v>
      </c>
      <c r="E1480" s="16" t="s">
        <v>184</v>
      </c>
      <c r="F1480" s="16" t="s">
        <v>234</v>
      </c>
      <c r="G1480" s="16" t="s">
        <v>222</v>
      </c>
      <c r="H1480" s="16" t="s">
        <v>235</v>
      </c>
      <c r="I1480" s="16" t="s">
        <v>236</v>
      </c>
    </row>
    <row r="1481" ht="242.25" customHeight="1">
      <c r="A1481" s="32" t="b">
        <v>0</v>
      </c>
      <c r="B1481" s="32" t="str">
        <f>IMAGE("https://gymvisual.com/5966-catalog_default/dumbbell-fly-on-exercise-ball.jpg",4,500,500)</f>
        <v/>
      </c>
      <c r="C1481" s="30">
        <v>1480.0</v>
      </c>
      <c r="D1481" s="16" t="s">
        <v>2043</v>
      </c>
      <c r="E1481" s="16" t="s">
        <v>184</v>
      </c>
      <c r="F1481" s="16" t="s">
        <v>234</v>
      </c>
      <c r="G1481" s="16" t="s">
        <v>222</v>
      </c>
      <c r="H1481" s="16" t="s">
        <v>347</v>
      </c>
      <c r="I1481" s="16" t="s">
        <v>420</v>
      </c>
    </row>
    <row r="1482" ht="242.25" customHeight="1">
      <c r="B1482" s="32" t="str">
        <f>IMAGE("https://gymvisual.com/11390-catalog_default/dumbbell-fly-on-exercise-ball-female.jpg",4,500,500)</f>
        <v/>
      </c>
      <c r="C1482" s="30">
        <v>1481.0</v>
      </c>
      <c r="D1482" s="16" t="s">
        <v>2044</v>
      </c>
      <c r="E1482" s="16" t="s">
        <v>184</v>
      </c>
      <c r="F1482" s="16" t="s">
        <v>234</v>
      </c>
      <c r="G1482" s="16" t="s">
        <v>1929</v>
      </c>
      <c r="H1482" s="16" t="s">
        <v>235</v>
      </c>
      <c r="I1482" s="16" t="s">
        <v>236</v>
      </c>
    </row>
    <row r="1483" ht="242.25" customHeight="1">
      <c r="A1483" s="32" t="b">
        <v>0</v>
      </c>
      <c r="B1483" s="32" t="str">
        <f>IMAGE("https://gymvisual.com/4425-catalog_default/dumbbell-forward-leaning-lunge.jpg",4,500,500)</f>
        <v/>
      </c>
      <c r="C1483" s="30">
        <v>1482.0</v>
      </c>
      <c r="D1483" s="16" t="s">
        <v>2045</v>
      </c>
      <c r="E1483" s="16" t="s">
        <v>184</v>
      </c>
      <c r="F1483" s="16" t="s">
        <v>285</v>
      </c>
      <c r="G1483" s="16" t="s">
        <v>222</v>
      </c>
      <c r="H1483" s="16" t="s">
        <v>189</v>
      </c>
      <c r="I1483" s="16" t="s">
        <v>2046</v>
      </c>
    </row>
    <row r="1484" ht="242.25" customHeight="1">
      <c r="A1484" s="32" t="b">
        <v>0</v>
      </c>
      <c r="B1484" s="32" t="str">
        <f>IMAGE("https://gymvisual.com/7451-catalog_default/dumbbell-forward-lunge-triceps-extension.jpg",4,500,500)</f>
        <v/>
      </c>
      <c r="C1484" s="30">
        <v>1483.0</v>
      </c>
      <c r="D1484" s="16" t="s">
        <v>2047</v>
      </c>
      <c r="E1484" s="16" t="s">
        <v>184</v>
      </c>
      <c r="F1484" s="16" t="s">
        <v>219</v>
      </c>
      <c r="G1484" s="16" t="s">
        <v>222</v>
      </c>
      <c r="H1484" s="16" t="s">
        <v>220</v>
      </c>
      <c r="I1484" s="16" t="s">
        <v>220</v>
      </c>
    </row>
    <row r="1485" ht="242.25" customHeight="1">
      <c r="A1485" s="32" t="b">
        <v>0</v>
      </c>
      <c r="B1485" s="32" t="str">
        <f>IMAGE("https://gymvisual.com/19600-catalog_default/dumbbell-front-plank-arm-leg-raise.jpg",4,500,500)</f>
        <v/>
      </c>
      <c r="C1485" s="30">
        <v>1484.0</v>
      </c>
      <c r="D1485" s="16" t="s">
        <v>2048</v>
      </c>
      <c r="E1485" s="16" t="s">
        <v>184</v>
      </c>
      <c r="F1485" s="16" t="s">
        <v>254</v>
      </c>
      <c r="G1485" s="16" t="s">
        <v>222</v>
      </c>
      <c r="H1485" s="16" t="s">
        <v>220</v>
      </c>
      <c r="I1485" s="16" t="s">
        <v>220</v>
      </c>
    </row>
    <row r="1486" ht="242.25" customHeight="1">
      <c r="A1486" s="32" t="b">
        <v>0</v>
      </c>
      <c r="B1486" s="32" t="str">
        <f>IMAGE("https://gymvisual.com/19590-catalog_default/dumbbell-front-plank-arm-raise.jpg",4,500,500)</f>
        <v/>
      </c>
      <c r="C1486" s="30">
        <v>1485.0</v>
      </c>
      <c r="D1486" s="16" t="s">
        <v>2049</v>
      </c>
      <c r="E1486" s="16" t="s">
        <v>184</v>
      </c>
      <c r="F1486" s="16" t="s">
        <v>254</v>
      </c>
      <c r="G1486" s="16" t="s">
        <v>222</v>
      </c>
      <c r="H1486" s="16" t="s">
        <v>220</v>
      </c>
      <c r="I1486" s="16" t="s">
        <v>220</v>
      </c>
    </row>
    <row r="1487" ht="242.25" customHeight="1">
      <c r="A1487" s="32" t="b">
        <v>0</v>
      </c>
      <c r="B1487" s="32" t="str">
        <f>IMAGE("https://gymvisual.com/22091-catalog_default/dumbbell-front-rack-lunge.jpg",4,500,500)</f>
        <v/>
      </c>
      <c r="C1487" s="30">
        <v>1486.0</v>
      </c>
      <c r="D1487" s="16" t="s">
        <v>2050</v>
      </c>
      <c r="E1487" s="16" t="s">
        <v>184</v>
      </c>
      <c r="F1487" s="16" t="s">
        <v>285</v>
      </c>
      <c r="G1487" s="16" t="s">
        <v>222</v>
      </c>
      <c r="H1487" s="16" t="s">
        <v>189</v>
      </c>
      <c r="I1487" s="16" t="s">
        <v>190</v>
      </c>
    </row>
    <row r="1488" ht="242.25" customHeight="1">
      <c r="A1488" s="32" t="b">
        <v>0</v>
      </c>
      <c r="B1488" s="32" t="str">
        <f>IMAGE("https://gymvisual.com/24920-catalog_default/3-4-sit-up.jpg",4,500,500)</f>
        <v/>
      </c>
      <c r="C1488" s="30">
        <v>1487.0</v>
      </c>
      <c r="D1488" s="16" t="s">
        <v>2051</v>
      </c>
      <c r="E1488" s="16" t="s">
        <v>184</v>
      </c>
      <c r="F1488" s="16" t="s">
        <v>228</v>
      </c>
      <c r="G1488" s="16" t="s">
        <v>222</v>
      </c>
      <c r="H1488" s="16" t="s">
        <v>229</v>
      </c>
      <c r="I1488" s="16" t="s">
        <v>244</v>
      </c>
    </row>
    <row r="1489" ht="242.25" customHeight="1">
      <c r="A1489" s="32" t="b">
        <v>0</v>
      </c>
      <c r="B1489" s="32" t="str">
        <f>IMAGE("https://gymvisual.com/9613-catalog_default/dumbbell-front-raise-female.jpg",4,500,500)</f>
        <v/>
      </c>
      <c r="C1489" s="30">
        <v>1488.0</v>
      </c>
      <c r="D1489" s="16" t="s">
        <v>2052</v>
      </c>
      <c r="E1489" s="16" t="s">
        <v>184</v>
      </c>
      <c r="F1489" s="16" t="s">
        <v>228</v>
      </c>
      <c r="G1489" s="16" t="s">
        <v>222</v>
      </c>
      <c r="H1489" s="16" t="s">
        <v>229</v>
      </c>
      <c r="I1489" s="16" t="s">
        <v>244</v>
      </c>
    </row>
    <row r="1490" ht="242.25" customHeight="1">
      <c r="A1490" s="32" t="b">
        <v>0</v>
      </c>
      <c r="B1490" s="32" t="str">
        <f>IMAGE("https://gymvisual.com/947-catalog_default/3-4-sit-up.jpg",4,500,500)</f>
        <v/>
      </c>
      <c r="C1490" s="30">
        <v>1489.0</v>
      </c>
      <c r="D1490" s="16" t="s">
        <v>2053</v>
      </c>
      <c r="E1490" s="16" t="s">
        <v>184</v>
      </c>
      <c r="F1490" s="16" t="s">
        <v>228</v>
      </c>
      <c r="G1490" s="16" t="s">
        <v>222</v>
      </c>
      <c r="H1490" s="16" t="s">
        <v>229</v>
      </c>
      <c r="I1490" s="16" t="s">
        <v>244</v>
      </c>
    </row>
    <row r="1491" ht="242.25" customHeight="1">
      <c r="A1491" s="32" t="b">
        <v>0</v>
      </c>
      <c r="B1491" s="32" t="str">
        <f>IMAGE("https://gymvisual.com/13892-catalog_default/dumbbell-front-raise-version-2-female.jpg",4,500,500)</f>
        <v/>
      </c>
      <c r="C1491" s="30">
        <v>1490.0</v>
      </c>
      <c r="D1491" s="16" t="s">
        <v>2054</v>
      </c>
      <c r="E1491" s="16" t="s">
        <v>184</v>
      </c>
      <c r="F1491" s="16" t="s">
        <v>228</v>
      </c>
      <c r="G1491" s="16" t="s">
        <v>222</v>
      </c>
      <c r="H1491" s="16" t="s">
        <v>220</v>
      </c>
      <c r="I1491" s="16" t="s">
        <v>220</v>
      </c>
    </row>
    <row r="1492" ht="242.25" customHeight="1">
      <c r="A1492" s="32" t="b">
        <v>0</v>
      </c>
      <c r="B1492" s="32" t="str">
        <f>IMAGE("https://gymvisual.com/13213-catalog_default/dumbbell-front-squat.jpg",4,500,500)</f>
        <v/>
      </c>
      <c r="C1492" s="30">
        <v>1491.0</v>
      </c>
      <c r="D1492" s="16" t="s">
        <v>2055</v>
      </c>
      <c r="E1492" s="16" t="s">
        <v>184</v>
      </c>
      <c r="F1492" s="16" t="s">
        <v>294</v>
      </c>
      <c r="G1492" s="16" t="s">
        <v>222</v>
      </c>
      <c r="H1492" s="16" t="s">
        <v>189</v>
      </c>
      <c r="I1492" s="16" t="s">
        <v>190</v>
      </c>
    </row>
    <row r="1493" ht="242.25" customHeight="1">
      <c r="A1493" s="32" t="b">
        <v>0</v>
      </c>
      <c r="B1493" s="32" t="str">
        <f>IMAGE("https://gymvisual.com/13277-catalog_default/dumbbell-front-squat-female.jpg",4,500,500)</f>
        <v/>
      </c>
      <c r="C1493" s="30">
        <v>1492.0</v>
      </c>
      <c r="D1493" s="16" t="s">
        <v>2056</v>
      </c>
      <c r="E1493" s="16" t="s">
        <v>184</v>
      </c>
      <c r="F1493" s="16" t="s">
        <v>294</v>
      </c>
      <c r="G1493" s="16" t="s">
        <v>222</v>
      </c>
      <c r="H1493" s="16" t="s">
        <v>189</v>
      </c>
      <c r="I1493" s="16" t="s">
        <v>190</v>
      </c>
    </row>
    <row r="1494" ht="242.25" customHeight="1">
      <c r="A1494" s="32" t="b">
        <v>0</v>
      </c>
      <c r="B1494" s="32" t="str">
        <f>IMAGE("https://gymvisual.com/953-catalog_default/3-4-sit-up.jpg",4,500,500)</f>
        <v/>
      </c>
      <c r="C1494" s="30">
        <v>1493.0</v>
      </c>
      <c r="D1494" s="16" t="s">
        <v>2057</v>
      </c>
      <c r="E1494" s="16" t="s">
        <v>184</v>
      </c>
      <c r="F1494" s="16" t="s">
        <v>228</v>
      </c>
      <c r="G1494" s="16" t="s">
        <v>222</v>
      </c>
      <c r="H1494" s="16" t="s">
        <v>454</v>
      </c>
      <c r="I1494" s="16" t="s">
        <v>885</v>
      </c>
    </row>
    <row r="1495" ht="242.25" customHeight="1">
      <c r="A1495" s="32" t="b">
        <v>0</v>
      </c>
      <c r="B1495" s="32" t="str">
        <f>IMAGE("https://gymvisual.com/11303-catalog_default/dumbbell-full-can-lateral-raise-female.jpg",4,500,500)</f>
        <v/>
      </c>
      <c r="C1495" s="30">
        <v>1494.0</v>
      </c>
      <c r="D1495" s="16" t="s">
        <v>2058</v>
      </c>
      <c r="E1495" s="16" t="s">
        <v>184</v>
      </c>
      <c r="F1495" s="16" t="s">
        <v>228</v>
      </c>
      <c r="G1495" s="16" t="s">
        <v>222</v>
      </c>
      <c r="H1495" s="16" t="s">
        <v>220</v>
      </c>
      <c r="I1495" s="16" t="s">
        <v>220</v>
      </c>
    </row>
    <row r="1496" ht="242.25" customHeight="1">
      <c r="A1496" s="32" t="b">
        <v>0</v>
      </c>
      <c r="B1496" s="32" t="str">
        <f>IMAGE("https://gymvisual.com/22628-catalog_default/dumbbell-full-swing.jpg",4,500,500)</f>
        <v/>
      </c>
      <c r="C1496" s="30">
        <v>1495.0</v>
      </c>
      <c r="D1496" s="16" t="s">
        <v>2059</v>
      </c>
      <c r="E1496" s="16" t="s">
        <v>184</v>
      </c>
      <c r="F1496" s="16" t="s">
        <v>185</v>
      </c>
      <c r="G1496" s="16" t="s">
        <v>222</v>
      </c>
      <c r="H1496" s="16" t="s">
        <v>2060</v>
      </c>
      <c r="I1496" s="16" t="s">
        <v>2061</v>
      </c>
    </row>
    <row r="1497" ht="242.25" customHeight="1">
      <c r="A1497" s="32" t="b">
        <v>0</v>
      </c>
      <c r="B1497" s="32" t="str">
        <f>IMAGE("https://gymvisual.com/13618-catalog_default/dumbbell-glute-bridge.jpg",4,500,500)</f>
        <v/>
      </c>
      <c r="C1497" s="30">
        <v>1496.0</v>
      </c>
      <c r="D1497" s="16" t="s">
        <v>2062</v>
      </c>
      <c r="E1497" s="16" t="s">
        <v>184</v>
      </c>
      <c r="F1497" s="16" t="s">
        <v>185</v>
      </c>
      <c r="G1497" s="16" t="s">
        <v>222</v>
      </c>
      <c r="H1497" s="16" t="s">
        <v>187</v>
      </c>
      <c r="I1497" s="16" t="s">
        <v>188</v>
      </c>
    </row>
    <row r="1498" ht="242.25" customHeight="1">
      <c r="A1498" s="32" t="b">
        <v>0</v>
      </c>
      <c r="B1498" s="32" t="str">
        <f>IMAGE("https://gymvisual.com/13890-catalog_default/dumbbell-glute-bridge-female.jpg",4,500,500)</f>
        <v/>
      </c>
      <c r="C1498" s="30">
        <v>1497.0</v>
      </c>
      <c r="D1498" s="16" t="s">
        <v>2063</v>
      </c>
      <c r="E1498" s="16" t="s">
        <v>184</v>
      </c>
      <c r="F1498" s="16" t="s">
        <v>185</v>
      </c>
      <c r="G1498" s="16" t="s">
        <v>222</v>
      </c>
      <c r="H1498" s="16" t="s">
        <v>187</v>
      </c>
      <c r="I1498" s="16" t="s">
        <v>854</v>
      </c>
    </row>
    <row r="1499" ht="242.25" customHeight="1">
      <c r="A1499" s="32" t="b">
        <v>0</v>
      </c>
      <c r="B1499" s="32" t="str">
        <f>IMAGE("https://gymvisual.com/20990-catalog_default/dumbbell-glute-dominant-step-up-female.jpg",4,500,500)</f>
        <v/>
      </c>
      <c r="C1499" s="30">
        <v>1498.0</v>
      </c>
      <c r="D1499" s="16" t="s">
        <v>2064</v>
      </c>
      <c r="E1499" s="16" t="s">
        <v>184</v>
      </c>
      <c r="F1499" s="16" t="s">
        <v>294</v>
      </c>
      <c r="G1499" s="16" t="s">
        <v>222</v>
      </c>
      <c r="H1499" s="16" t="s">
        <v>189</v>
      </c>
      <c r="I1499" s="16" t="s">
        <v>190</v>
      </c>
    </row>
    <row r="1500" ht="242.25" customHeight="1">
      <c r="A1500" s="32" t="b">
        <v>0</v>
      </c>
      <c r="B1500" s="32" t="str">
        <f>IMAGE("https://gymvisual.com/14761-catalog_default/dumbbell-gobelt-curtsey-lunge.jpg",4,500,500)</f>
        <v/>
      </c>
      <c r="C1500" s="30">
        <v>1499.0</v>
      </c>
      <c r="D1500" s="16" t="s">
        <v>2065</v>
      </c>
      <c r="E1500" s="16" t="s">
        <v>184</v>
      </c>
      <c r="F1500" s="16" t="s">
        <v>294</v>
      </c>
      <c r="G1500" s="16" t="s">
        <v>222</v>
      </c>
      <c r="H1500" s="16" t="s">
        <v>189</v>
      </c>
      <c r="I1500" s="16" t="s">
        <v>2066</v>
      </c>
    </row>
    <row r="1501" ht="242.25" customHeight="1">
      <c r="A1501" s="32" t="b">
        <v>0</v>
      </c>
      <c r="B1501" s="32" t="str">
        <f>IMAGE("https://gymvisual.com/23667-catalog_default/dumbbell-goblet-2-sec-hold-squat.jpg",4,500,500)</f>
        <v/>
      </c>
      <c r="C1501" s="30">
        <v>1500.0</v>
      </c>
      <c r="D1501" s="16" t="s">
        <v>2067</v>
      </c>
      <c r="E1501" s="16" t="s">
        <v>184</v>
      </c>
      <c r="F1501" s="16" t="s">
        <v>285</v>
      </c>
      <c r="G1501" s="16" t="s">
        <v>222</v>
      </c>
      <c r="H1501" s="16" t="s">
        <v>189</v>
      </c>
      <c r="I1501" s="16" t="s">
        <v>902</v>
      </c>
    </row>
    <row r="1502" ht="242.25" customHeight="1">
      <c r="A1502" s="32" t="b">
        <v>0</v>
      </c>
      <c r="B1502" s="32" t="str">
        <f>IMAGE("https://gymvisual.com/14779-catalog_default/dumbbell-goblet-box-squat.jpg",4,500,500)</f>
        <v/>
      </c>
      <c r="C1502" s="30">
        <v>1501.0</v>
      </c>
      <c r="D1502" s="16" t="s">
        <v>2068</v>
      </c>
      <c r="E1502" s="16" t="s">
        <v>184</v>
      </c>
      <c r="F1502" s="16" t="s">
        <v>294</v>
      </c>
      <c r="G1502" s="16" t="s">
        <v>222</v>
      </c>
      <c r="H1502" s="16" t="s">
        <v>189</v>
      </c>
      <c r="I1502" s="16" t="s">
        <v>190</v>
      </c>
    </row>
    <row r="1503" ht="242.25" customHeight="1">
      <c r="A1503" s="32" t="b">
        <v>0</v>
      </c>
      <c r="B1503" s="32" t="str">
        <f>IMAGE("https://gymvisual.com/14777-catalog_default/dumbbell-goblet-split-squat.jpg",4,500,500)</f>
        <v/>
      </c>
      <c r="C1503" s="30">
        <v>1502.0</v>
      </c>
      <c r="D1503" s="16" t="s">
        <v>2069</v>
      </c>
      <c r="E1503" s="16" t="s">
        <v>184</v>
      </c>
      <c r="F1503" s="16" t="s">
        <v>294</v>
      </c>
      <c r="G1503" s="16" t="s">
        <v>222</v>
      </c>
      <c r="H1503" s="16" t="s">
        <v>189</v>
      </c>
      <c r="I1503" s="16" t="s">
        <v>190</v>
      </c>
    </row>
    <row r="1504" ht="242.25" customHeight="1">
      <c r="A1504" s="32" t="b">
        <v>0</v>
      </c>
      <c r="B1504" s="32" t="str">
        <f>IMAGE("https://gymvisual.com/22835-catalog_default/dumbbell-goblet-split-squat.jpg",4,500,500)</f>
        <v/>
      </c>
      <c r="C1504" s="30">
        <v>1503.0</v>
      </c>
      <c r="D1504" s="16" t="s">
        <v>2069</v>
      </c>
      <c r="E1504" s="16" t="s">
        <v>184</v>
      </c>
      <c r="F1504" s="16" t="s">
        <v>285</v>
      </c>
      <c r="G1504" s="16" t="s">
        <v>222</v>
      </c>
      <c r="H1504" s="16" t="s">
        <v>189</v>
      </c>
      <c r="I1504" s="16" t="s">
        <v>902</v>
      </c>
    </row>
    <row r="1505" ht="242.25" customHeight="1">
      <c r="A1505" s="32" t="b">
        <v>0</v>
      </c>
      <c r="B1505" s="32" t="str">
        <f>IMAGE("https://gymvisual.com/12257-catalog_default/dumbbell-goblet-split-squat-front-foot-elevanted.jpg",4,500,500)</f>
        <v/>
      </c>
      <c r="C1505" s="30">
        <v>1504.0</v>
      </c>
      <c r="D1505" s="16" t="s">
        <v>2070</v>
      </c>
      <c r="E1505" s="16" t="s">
        <v>184</v>
      </c>
      <c r="F1505" s="16" t="s">
        <v>285</v>
      </c>
      <c r="G1505" s="16" t="s">
        <v>222</v>
      </c>
      <c r="H1505" s="16" t="s">
        <v>189</v>
      </c>
      <c r="I1505" s="16" t="s">
        <v>190</v>
      </c>
    </row>
    <row r="1506" ht="242.25" customHeight="1">
      <c r="A1506" s="32" t="b">
        <v>0</v>
      </c>
      <c r="B1506" s="32" t="str">
        <f>IMAGE("https://gymvisual.com/12254-catalog_default/dumbbell-goblet-split-squat-front-foot-elevanted-female.jpg",4,500,500)</f>
        <v/>
      </c>
      <c r="C1506" s="30">
        <v>1505.0</v>
      </c>
      <c r="D1506" s="16" t="s">
        <v>2071</v>
      </c>
      <c r="E1506" s="16" t="s">
        <v>184</v>
      </c>
      <c r="F1506" s="16" t="s">
        <v>285</v>
      </c>
      <c r="G1506" s="16" t="s">
        <v>222</v>
      </c>
      <c r="H1506" s="16" t="s">
        <v>189</v>
      </c>
      <c r="I1506" s="16" t="s">
        <v>190</v>
      </c>
    </row>
    <row r="1507" ht="242.25" customHeight="1">
      <c r="A1507" s="32" t="b">
        <v>0</v>
      </c>
      <c r="B1507" s="32" t="str">
        <f>IMAGE("https://gymvisual.com/7570-catalog_default/dumbbell-goblet-squat.jpg",4,500,500)</f>
        <v/>
      </c>
      <c r="C1507" s="30">
        <v>1506.0</v>
      </c>
      <c r="D1507" s="16" t="s">
        <v>2072</v>
      </c>
      <c r="E1507" s="16" t="s">
        <v>184</v>
      </c>
      <c r="F1507" s="16" t="s">
        <v>285</v>
      </c>
      <c r="G1507" s="16" t="s">
        <v>222</v>
      </c>
      <c r="H1507" s="16" t="s">
        <v>189</v>
      </c>
      <c r="I1507" s="16" t="s">
        <v>902</v>
      </c>
    </row>
    <row r="1508" ht="242.25" customHeight="1">
      <c r="A1508" s="32" t="b">
        <v>0</v>
      </c>
      <c r="B1508" s="32" t="str">
        <f>IMAGE("https://gymvisual.com/9712-catalog_default/dumbbell-goblet-squat-female.jpg",4,500,500)</f>
        <v/>
      </c>
      <c r="C1508" s="30">
        <v>1507.0</v>
      </c>
      <c r="D1508" s="16" t="s">
        <v>2073</v>
      </c>
      <c r="E1508" s="16" t="s">
        <v>184</v>
      </c>
      <c r="F1508" s="16" t="s">
        <v>294</v>
      </c>
      <c r="G1508" s="16" t="s">
        <v>222</v>
      </c>
      <c r="H1508" s="16" t="s">
        <v>295</v>
      </c>
      <c r="I1508" s="16" t="s">
        <v>1121</v>
      </c>
    </row>
    <row r="1509" ht="242.25" customHeight="1">
      <c r="A1509" s="32" t="b">
        <v>0</v>
      </c>
      <c r="B1509" s="32" t="str">
        <f>IMAGE("https://gymvisual.com/22225-catalog_default/dumbbell-goblet-squat-and-biceps-curl.jpg",4,500,500)</f>
        <v/>
      </c>
      <c r="C1509" s="30">
        <v>1508.0</v>
      </c>
      <c r="D1509" s="16" t="s">
        <v>2074</v>
      </c>
      <c r="E1509" s="16" t="s">
        <v>184</v>
      </c>
      <c r="F1509" s="16" t="s">
        <v>285</v>
      </c>
      <c r="G1509" s="16" t="s">
        <v>222</v>
      </c>
      <c r="H1509" s="16" t="s">
        <v>220</v>
      </c>
      <c r="I1509" s="16" t="s">
        <v>220</v>
      </c>
    </row>
    <row r="1510" ht="242.25" customHeight="1">
      <c r="A1510" s="32" t="b">
        <v>0</v>
      </c>
      <c r="B1510" s="32" t="str">
        <f>IMAGE("https://gymvisual.com/20988-catalog_default/dumbbell-good-morning-squat.jpg",4,500,500)</f>
        <v/>
      </c>
      <c r="C1510" s="30">
        <v>1509.0</v>
      </c>
      <c r="D1510" s="16" t="s">
        <v>2075</v>
      </c>
      <c r="E1510" s="16" t="s">
        <v>184</v>
      </c>
      <c r="F1510" s="16" t="s">
        <v>294</v>
      </c>
      <c r="G1510" s="16" t="s">
        <v>222</v>
      </c>
      <c r="H1510" s="16" t="s">
        <v>2010</v>
      </c>
      <c r="I1510" s="16" t="s">
        <v>2076</v>
      </c>
    </row>
    <row r="1511" ht="242.25" customHeight="1">
      <c r="A1511" s="32" t="b">
        <v>0</v>
      </c>
      <c r="B1511" s="32" t="str">
        <f>IMAGE("https://gymvisual.com/19235-catalog_default/dumbbell-half-kneeling-lift-and-chop.jpg",4,500,500)</f>
        <v/>
      </c>
      <c r="C1511" s="30">
        <v>1510.0</v>
      </c>
      <c r="D1511" s="16" t="s">
        <v>2077</v>
      </c>
      <c r="E1511" s="16" t="s">
        <v>184</v>
      </c>
      <c r="F1511" s="16" t="s">
        <v>254</v>
      </c>
      <c r="G1511" s="16" t="s">
        <v>222</v>
      </c>
      <c r="H1511" s="16" t="s">
        <v>220</v>
      </c>
      <c r="I1511" s="16" t="s">
        <v>220</v>
      </c>
    </row>
    <row r="1512" ht="242.25" customHeight="1">
      <c r="A1512" s="32" t="b">
        <v>0</v>
      </c>
      <c r="B1512" s="32" t="str">
        <f>IMAGE("https://gymvisual.com/19245-catalog_default/dumbbell-half-kneeling-military-press.jpg",4,500,500)</f>
        <v/>
      </c>
      <c r="C1512" s="30">
        <v>1511.0</v>
      </c>
      <c r="D1512" s="16" t="s">
        <v>2078</v>
      </c>
      <c r="E1512" s="16" t="s">
        <v>184</v>
      </c>
      <c r="F1512" s="16" t="s">
        <v>228</v>
      </c>
      <c r="G1512" s="16" t="s">
        <v>222</v>
      </c>
      <c r="H1512" s="16" t="s">
        <v>220</v>
      </c>
      <c r="I1512" s="16" t="s">
        <v>220</v>
      </c>
    </row>
    <row r="1513" ht="242.25" customHeight="1">
      <c r="A1513" s="32" t="b">
        <v>0</v>
      </c>
      <c r="B1513" s="32" t="str">
        <f>IMAGE("https://gymvisual.com/959-catalog_default/3-4-sit-up.jpg",4,500,500)</f>
        <v/>
      </c>
      <c r="C1513" s="30">
        <v>1512.0</v>
      </c>
      <c r="D1513" s="16" t="s">
        <v>2079</v>
      </c>
      <c r="E1513" s="16" t="s">
        <v>184</v>
      </c>
      <c r="F1513" s="16" t="s">
        <v>219</v>
      </c>
      <c r="G1513" s="16" t="s">
        <v>222</v>
      </c>
      <c r="H1513" s="16" t="s">
        <v>216</v>
      </c>
      <c r="I1513" s="16" t="s">
        <v>217</v>
      </c>
    </row>
    <row r="1514" ht="242.25" customHeight="1">
      <c r="A1514" s="32" t="b">
        <v>0</v>
      </c>
      <c r="B1514" s="32" t="str">
        <f>IMAGE("https://gymvisual.com/9631-catalog_default/dumbbell-hammer-curl-female.jpg",4,500,500)</f>
        <v/>
      </c>
      <c r="C1514" s="30">
        <v>1513.0</v>
      </c>
      <c r="D1514" s="16" t="s">
        <v>2080</v>
      </c>
      <c r="E1514" s="16" t="s">
        <v>184</v>
      </c>
      <c r="F1514" s="16" t="s">
        <v>219</v>
      </c>
      <c r="G1514" s="16" t="s">
        <v>222</v>
      </c>
      <c r="H1514" s="16" t="s">
        <v>216</v>
      </c>
      <c r="I1514" s="16" t="s">
        <v>217</v>
      </c>
    </row>
    <row r="1515" ht="242.25" customHeight="1">
      <c r="A1515" s="32" t="b">
        <v>0</v>
      </c>
      <c r="B1515" s="32" t="str">
        <f>IMAGE("https://gymvisual.com/20668-catalog_default/dumbbell-hammer-curl-female.jpg",4,500,500)</f>
        <v/>
      </c>
      <c r="C1515" s="30">
        <v>1514.0</v>
      </c>
      <c r="D1515" s="16" t="s">
        <v>2080</v>
      </c>
      <c r="E1515" s="16" t="s">
        <v>184</v>
      </c>
      <c r="F1515" s="16" t="s">
        <v>219</v>
      </c>
      <c r="G1515" s="16" t="s">
        <v>222</v>
      </c>
      <c r="H1515" s="16" t="s">
        <v>216</v>
      </c>
      <c r="I1515" s="16" t="s">
        <v>217</v>
      </c>
    </row>
    <row r="1516" ht="242.25" customHeight="1">
      <c r="A1516" s="32" t="b">
        <v>0</v>
      </c>
      <c r="B1516" s="32" t="str">
        <f>IMAGE("https://gymvisual.com/956-catalog_default/3-4-sit-up.jpg",4,500,500)</f>
        <v/>
      </c>
      <c r="C1516" s="30">
        <v>1515.0</v>
      </c>
      <c r="D1516" s="16" t="s">
        <v>2081</v>
      </c>
      <c r="E1516" s="16" t="s">
        <v>184</v>
      </c>
      <c r="F1516" s="16" t="s">
        <v>219</v>
      </c>
      <c r="G1516" s="16" t="s">
        <v>222</v>
      </c>
      <c r="H1516" s="16" t="s">
        <v>216</v>
      </c>
      <c r="I1516" s="16" t="s">
        <v>217</v>
      </c>
    </row>
    <row r="1517" ht="242.25" customHeight="1">
      <c r="A1517" s="32" t="b">
        <v>0</v>
      </c>
      <c r="B1517" s="32" t="str">
        <f>IMAGE("https://gymvisual.com/7133-catalog_default/dumbbell-hammer-curl-on-exercise-ball.jpg",4,500,500)</f>
        <v/>
      </c>
      <c r="C1517" s="30">
        <v>1516.0</v>
      </c>
      <c r="D1517" s="16" t="s">
        <v>2082</v>
      </c>
      <c r="E1517" s="16" t="s">
        <v>184</v>
      </c>
      <c r="F1517" s="16" t="s">
        <v>219</v>
      </c>
      <c r="G1517" s="16" t="s">
        <v>222</v>
      </c>
      <c r="H1517" s="16" t="s">
        <v>220</v>
      </c>
      <c r="I1517" s="16" t="s">
        <v>220</v>
      </c>
    </row>
    <row r="1518" ht="242.25" customHeight="1">
      <c r="B1518" s="32" t="str">
        <f>IMAGE("https://gymvisual.com/11471-catalog_default/dumbbell-hammer-curl-on-exercise-ball-female.jpg",4,500,500)</f>
        <v/>
      </c>
      <c r="C1518" s="30">
        <v>1517.0</v>
      </c>
      <c r="D1518" s="16" t="s">
        <v>2083</v>
      </c>
      <c r="E1518" s="16" t="s">
        <v>184</v>
      </c>
      <c r="F1518" s="16" t="s">
        <v>219</v>
      </c>
      <c r="G1518" s="16" t="s">
        <v>1929</v>
      </c>
      <c r="H1518" s="16" t="s">
        <v>220</v>
      </c>
      <c r="I1518" s="16" t="s">
        <v>220</v>
      </c>
    </row>
    <row r="1519" ht="242.25" customHeight="1">
      <c r="A1519" s="32" t="b">
        <v>0</v>
      </c>
      <c r="B1519" s="32" t="str">
        <f>IMAGE("https://gymvisual.com/10455-catalog_default/dumbbell-hammer-curls-with-arm-blaster.jpg",4,500,500)</f>
        <v/>
      </c>
      <c r="C1519" s="30">
        <v>1518.0</v>
      </c>
      <c r="D1519" s="16" t="s">
        <v>2084</v>
      </c>
      <c r="E1519" s="16" t="s">
        <v>184</v>
      </c>
      <c r="F1519" s="16" t="s">
        <v>214</v>
      </c>
      <c r="G1519" s="16" t="s">
        <v>222</v>
      </c>
      <c r="H1519" s="16" t="s">
        <v>216</v>
      </c>
      <c r="I1519" s="16" t="s">
        <v>217</v>
      </c>
    </row>
    <row r="1520" ht="242.25" customHeight="1">
      <c r="A1520" s="32" t="b">
        <v>0</v>
      </c>
      <c r="B1520" s="32" t="str">
        <f>IMAGE("https://gymvisual.com/13423-catalog_default/dumbbell-hammer-curls-with-arm-blaster-female.jpg",4,500,500)</f>
        <v/>
      </c>
      <c r="C1520" s="30">
        <v>1519.0</v>
      </c>
      <c r="D1520" s="16" t="s">
        <v>2085</v>
      </c>
      <c r="E1520" s="16" t="s">
        <v>184</v>
      </c>
      <c r="F1520" s="16" t="s">
        <v>214</v>
      </c>
      <c r="G1520" s="16" t="s">
        <v>222</v>
      </c>
      <c r="H1520" s="16" t="s">
        <v>220</v>
      </c>
      <c r="I1520" s="16" t="s">
        <v>220</v>
      </c>
    </row>
    <row r="1521" ht="242.25" customHeight="1">
      <c r="A1521" s="32" t="b">
        <v>0</v>
      </c>
      <c r="B1521" s="32" t="str">
        <f>IMAGE("https://gymvisual.com/13209-catalog_default/dumbbell-hammer-grip-incline-bench-two-arm-row.jpg",4,500,500)</f>
        <v/>
      </c>
      <c r="C1521" s="30">
        <v>1520.0</v>
      </c>
      <c r="D1521" s="16" t="s">
        <v>2086</v>
      </c>
      <c r="E1521" s="16" t="s">
        <v>184</v>
      </c>
      <c r="F1521" s="16" t="s">
        <v>192</v>
      </c>
      <c r="G1521" s="16" t="s">
        <v>222</v>
      </c>
      <c r="H1521" s="16" t="s">
        <v>329</v>
      </c>
      <c r="I1521" s="16" t="s">
        <v>457</v>
      </c>
    </row>
    <row r="1522" ht="242.25" customHeight="1">
      <c r="A1522" s="32" t="b">
        <v>0</v>
      </c>
      <c r="B1522" s="32" t="str">
        <f>IMAGE("https://gymvisual.com/17146-catalog_default/dumbbell-hammer-grip-incline-bench-two-arm-row-female.jpg",4,500,500)</f>
        <v/>
      </c>
      <c r="C1522" s="30">
        <v>1521.0</v>
      </c>
      <c r="D1522" s="16" t="s">
        <v>2087</v>
      </c>
      <c r="E1522" s="16" t="s">
        <v>184</v>
      </c>
      <c r="F1522" s="16" t="s">
        <v>192</v>
      </c>
      <c r="G1522" s="16" t="s">
        <v>222</v>
      </c>
      <c r="H1522" s="16" t="s">
        <v>329</v>
      </c>
      <c r="I1522" s="16" t="s">
        <v>447</v>
      </c>
    </row>
    <row r="1523" ht="242.25" customHeight="1">
      <c r="A1523" s="32" t="b">
        <v>0</v>
      </c>
      <c r="B1523" s="32" t="str">
        <f>IMAGE("https://gymvisual.com/18746-catalog_default/dumbbell-hammer-preacher-curl-female.jpg",4,500,500)</f>
        <v/>
      </c>
      <c r="C1523" s="30">
        <v>1522.0</v>
      </c>
      <c r="D1523" s="16" t="s">
        <v>2088</v>
      </c>
      <c r="E1523" s="16" t="s">
        <v>184</v>
      </c>
      <c r="F1523" s="16" t="s">
        <v>214</v>
      </c>
      <c r="G1523" s="16" t="s">
        <v>222</v>
      </c>
      <c r="H1523" s="16" t="s">
        <v>220</v>
      </c>
      <c r="I1523" s="16" t="s">
        <v>220</v>
      </c>
    </row>
    <row r="1524" ht="242.25" customHeight="1">
      <c r="A1524" s="32" t="b">
        <v>0</v>
      </c>
      <c r="B1524" s="32" t="str">
        <f>IMAGE("https://gymvisual.com/19519-catalog_default/dumbbell-hang-clean.jpg",4,500,500)</f>
        <v/>
      </c>
      <c r="C1524" s="30">
        <v>1523.0</v>
      </c>
      <c r="D1524" s="16" t="s">
        <v>2089</v>
      </c>
      <c r="E1524" s="16" t="s">
        <v>184</v>
      </c>
      <c r="F1524" s="16" t="s">
        <v>764</v>
      </c>
      <c r="G1524" s="16" t="s">
        <v>222</v>
      </c>
      <c r="H1524" s="16" t="s">
        <v>220</v>
      </c>
      <c r="I1524" s="16" t="s">
        <v>220</v>
      </c>
    </row>
    <row r="1525" ht="242.25" customHeight="1">
      <c r="A1525" s="32" t="b">
        <v>0</v>
      </c>
      <c r="B1525" s="32" t="str">
        <f>IMAGE("https://gymvisual.com/19423-catalog_default/dumbbell-hang-clean-and-jerk.jpg",4,500,500)</f>
        <v/>
      </c>
      <c r="C1525" s="30">
        <v>1524.0</v>
      </c>
      <c r="D1525" s="16" t="s">
        <v>2090</v>
      </c>
      <c r="E1525" s="16" t="s">
        <v>184</v>
      </c>
      <c r="F1525" s="16" t="s">
        <v>764</v>
      </c>
      <c r="G1525" s="16" t="s">
        <v>222</v>
      </c>
      <c r="H1525" s="16" t="s">
        <v>220</v>
      </c>
      <c r="I1525" s="16" t="s">
        <v>220</v>
      </c>
    </row>
    <row r="1526" ht="242.25" customHeight="1">
      <c r="A1526" s="32" t="b">
        <v>0</v>
      </c>
      <c r="B1526" s="32" t="str">
        <f>IMAGE("https://gymvisual.com/22227-catalog_default/dumbbell-hang-power-clean.jpg",4,500,500)</f>
        <v/>
      </c>
      <c r="C1526" s="30">
        <v>1525.0</v>
      </c>
      <c r="D1526" s="16" t="s">
        <v>2091</v>
      </c>
      <c r="E1526" s="16" t="s">
        <v>184</v>
      </c>
      <c r="F1526" s="16" t="s">
        <v>764</v>
      </c>
      <c r="G1526" s="16" t="s">
        <v>222</v>
      </c>
      <c r="H1526" s="16" t="s">
        <v>954</v>
      </c>
      <c r="I1526" s="16" t="s">
        <v>220</v>
      </c>
    </row>
    <row r="1527" ht="242.25" customHeight="1">
      <c r="A1527" s="32" t="b">
        <v>0</v>
      </c>
      <c r="B1527" s="32" t="str">
        <f>IMAGE("https://gymvisual.com/22229-catalog_default/dumbbell-hang-power-clean-and-jerk.jpg",4,500,500)</f>
        <v/>
      </c>
      <c r="C1527" s="30">
        <v>1526.0</v>
      </c>
      <c r="D1527" s="16" t="s">
        <v>2092</v>
      </c>
      <c r="E1527" s="16" t="s">
        <v>184</v>
      </c>
      <c r="F1527" s="16" t="s">
        <v>764</v>
      </c>
      <c r="G1527" s="16" t="s">
        <v>222</v>
      </c>
      <c r="H1527" s="16" t="s">
        <v>220</v>
      </c>
      <c r="I1527" s="16" t="s">
        <v>220</v>
      </c>
    </row>
    <row r="1528" ht="242.25" customHeight="1">
      <c r="A1528" s="32" t="b">
        <v>0</v>
      </c>
      <c r="B1528" s="32" t="str">
        <f>IMAGE("https://gymvisual.com/22231-catalog_default/dumbbell-head-supported-row.jpg",4,500,500)</f>
        <v/>
      </c>
      <c r="C1528" s="30">
        <v>1527.0</v>
      </c>
      <c r="D1528" s="16" t="s">
        <v>2093</v>
      </c>
      <c r="E1528" s="16" t="s">
        <v>184</v>
      </c>
      <c r="F1528" s="16" t="s">
        <v>192</v>
      </c>
      <c r="G1528" s="16" t="s">
        <v>222</v>
      </c>
      <c r="H1528" s="16" t="s">
        <v>220</v>
      </c>
      <c r="I1528" s="16" t="s">
        <v>220</v>
      </c>
    </row>
    <row r="1529" ht="242.25" customHeight="1">
      <c r="A1529" s="32" t="b">
        <v>0</v>
      </c>
      <c r="B1529" s="32" t="str">
        <f>IMAGE("https://gymvisual.com/7138-catalog_default/dumbbell-high-curl.jpg",4,500,500)</f>
        <v/>
      </c>
      <c r="C1529" s="30">
        <v>1528.0</v>
      </c>
      <c r="D1529" s="16" t="s">
        <v>2094</v>
      </c>
      <c r="E1529" s="16" t="s">
        <v>184</v>
      </c>
      <c r="F1529" s="16" t="s">
        <v>219</v>
      </c>
      <c r="G1529" s="16" t="s">
        <v>222</v>
      </c>
      <c r="H1529" s="16" t="s">
        <v>220</v>
      </c>
      <c r="I1529" s="16" t="s">
        <v>220</v>
      </c>
    </row>
    <row r="1530" ht="242.25" customHeight="1">
      <c r="A1530" s="32" t="b">
        <v>0</v>
      </c>
      <c r="B1530" s="32" t="str">
        <f>IMAGE("https://gymvisual.com/12173-catalog_default/dumbbell-high-low-carry.jpg",4,500,500)</f>
        <v/>
      </c>
      <c r="C1530" s="30">
        <v>1529.0</v>
      </c>
      <c r="D1530" s="16" t="s">
        <v>2095</v>
      </c>
      <c r="E1530" s="16" t="s">
        <v>184</v>
      </c>
      <c r="F1530" s="16" t="s">
        <v>285</v>
      </c>
      <c r="G1530" s="16" t="s">
        <v>222</v>
      </c>
      <c r="H1530" s="16" t="s">
        <v>220</v>
      </c>
      <c r="I1530" s="16" t="s">
        <v>220</v>
      </c>
    </row>
    <row r="1531" ht="242.25" customHeight="1">
      <c r="A1531" s="32" t="b">
        <v>0</v>
      </c>
      <c r="B1531" s="32" t="str">
        <f>IMAGE("https://gymvisual.com/25011-catalog_default/dumbbell-high-pull.jpg",4,500,500)</f>
        <v/>
      </c>
      <c r="C1531" s="30">
        <v>1530.0</v>
      </c>
      <c r="D1531" s="16" t="s">
        <v>2096</v>
      </c>
      <c r="E1531" s="16" t="s">
        <v>184</v>
      </c>
      <c r="F1531" s="16" t="s">
        <v>764</v>
      </c>
      <c r="G1531" s="16" t="s">
        <v>222</v>
      </c>
      <c r="H1531" s="16" t="s">
        <v>220</v>
      </c>
      <c r="I1531" s="16" t="s">
        <v>220</v>
      </c>
    </row>
    <row r="1532" ht="242.25" customHeight="1">
      <c r="A1532" s="32" t="b">
        <v>0</v>
      </c>
      <c r="B1532" s="32" t="str">
        <f>IMAGE("https://gymvisual.com/22233-catalog_default/dumbbell-hip-thrust.jpg",4,500,500)</f>
        <v/>
      </c>
      <c r="C1532" s="30">
        <v>1531.0</v>
      </c>
      <c r="D1532" s="16" t="s">
        <v>2097</v>
      </c>
      <c r="E1532" s="16" t="s">
        <v>184</v>
      </c>
      <c r="F1532" s="16" t="s">
        <v>185</v>
      </c>
      <c r="G1532" s="16" t="s">
        <v>222</v>
      </c>
      <c r="H1532" s="16" t="s">
        <v>220</v>
      </c>
      <c r="I1532" s="16" t="s">
        <v>220</v>
      </c>
    </row>
    <row r="1533" ht="242.25" customHeight="1">
      <c r="A1533" s="32" t="b">
        <v>0</v>
      </c>
      <c r="B1533" s="32" t="str">
        <f>IMAGE("https://gymvisual.com/14759-catalog_default/dumbbell-incline-alternate-bicep-curl.jpg",4,500,500)</f>
        <v/>
      </c>
      <c r="C1533" s="30">
        <v>1532.0</v>
      </c>
      <c r="D1533" s="16" t="s">
        <v>2098</v>
      </c>
      <c r="E1533" s="16" t="s">
        <v>184</v>
      </c>
      <c r="F1533" s="16" t="s">
        <v>219</v>
      </c>
      <c r="G1533" s="16" t="s">
        <v>222</v>
      </c>
      <c r="H1533" s="16" t="s">
        <v>217</v>
      </c>
      <c r="I1533" s="16" t="s">
        <v>216</v>
      </c>
    </row>
    <row r="1534" ht="242.25" customHeight="1">
      <c r="A1534" s="32" t="b">
        <v>0</v>
      </c>
      <c r="B1534" s="32" t="str">
        <f>IMAGE("https://gymvisual.com/4604-catalog_default/dumbbell-incline-alternate-hammer-curl.jpg",4,500,500)</f>
        <v/>
      </c>
      <c r="C1534" s="30">
        <v>1533.0</v>
      </c>
      <c r="D1534" s="16" t="s">
        <v>2099</v>
      </c>
      <c r="E1534" s="16" t="s">
        <v>184</v>
      </c>
      <c r="F1534" s="16" t="s">
        <v>219</v>
      </c>
      <c r="G1534" s="16" t="s">
        <v>222</v>
      </c>
      <c r="H1534" s="16" t="s">
        <v>216</v>
      </c>
      <c r="I1534" s="16" t="s">
        <v>217</v>
      </c>
    </row>
    <row r="1535" ht="242.25" customHeight="1">
      <c r="A1535" s="32" t="b">
        <v>0</v>
      </c>
      <c r="B1535" s="32" t="str">
        <f>IMAGE("https://gymvisual.com/14102-catalog_default/dumbbell-incline-alternate-press.jpg",4,500,500)</f>
        <v/>
      </c>
      <c r="C1535" s="30">
        <v>1534.0</v>
      </c>
      <c r="D1535" s="16" t="s">
        <v>2100</v>
      </c>
      <c r="E1535" s="16" t="s">
        <v>184</v>
      </c>
      <c r="F1535" s="16" t="s">
        <v>234</v>
      </c>
      <c r="G1535" s="16" t="s">
        <v>222</v>
      </c>
      <c r="H1535" s="16" t="s">
        <v>415</v>
      </c>
      <c r="I1535" s="16" t="s">
        <v>243</v>
      </c>
    </row>
    <row r="1536" ht="242.25" customHeight="1">
      <c r="A1536" s="32" t="b">
        <v>0</v>
      </c>
      <c r="B1536" s="32" t="str">
        <f>IMAGE("https://gymvisual.com/14784-catalog_default/dumbbell-incline-alternate-reverse-fly.jpg",4,500,500)</f>
        <v/>
      </c>
      <c r="C1536" s="30">
        <v>1535.0</v>
      </c>
      <c r="D1536" s="16" t="s">
        <v>2101</v>
      </c>
      <c r="E1536" s="16" t="s">
        <v>184</v>
      </c>
      <c r="F1536" s="16" t="s">
        <v>228</v>
      </c>
      <c r="G1536" s="16" t="s">
        <v>222</v>
      </c>
      <c r="H1536" s="16" t="s">
        <v>408</v>
      </c>
      <c r="I1536" s="16" t="s">
        <v>452</v>
      </c>
    </row>
    <row r="1537" ht="242.25" customHeight="1">
      <c r="A1537" s="32" t="b">
        <v>0</v>
      </c>
      <c r="B1537" s="32" t="str">
        <f>IMAGE("https://gymvisual.com/17329-catalog_default/dumbbell-incline-around-the-world.jpg",4,500,500)</f>
        <v/>
      </c>
      <c r="C1537" s="30">
        <v>1536.0</v>
      </c>
      <c r="D1537" s="16" t="s">
        <v>2102</v>
      </c>
      <c r="E1537" s="16" t="s">
        <v>184</v>
      </c>
      <c r="F1537" s="16" t="s">
        <v>1168</v>
      </c>
      <c r="G1537" s="16" t="s">
        <v>222</v>
      </c>
      <c r="H1537" s="16" t="s">
        <v>882</v>
      </c>
      <c r="I1537" s="16" t="s">
        <v>2103</v>
      </c>
    </row>
    <row r="1538" ht="242.25" customHeight="1">
      <c r="A1538" s="32" t="b">
        <v>0</v>
      </c>
      <c r="B1538" s="32" t="str">
        <f>IMAGE("https://gymvisual.com/19335-catalog_default/3-4-sit-up.jpg",4,500,500)</f>
        <v/>
      </c>
      <c r="C1538" s="30">
        <v>1537.0</v>
      </c>
      <c r="D1538" s="16" t="s">
        <v>2104</v>
      </c>
      <c r="E1538" s="16" t="s">
        <v>184</v>
      </c>
      <c r="F1538" s="16" t="s">
        <v>234</v>
      </c>
      <c r="G1538" s="16" t="s">
        <v>222</v>
      </c>
      <c r="H1538" s="16" t="s">
        <v>415</v>
      </c>
      <c r="I1538" s="16" t="s">
        <v>243</v>
      </c>
    </row>
    <row r="1539" ht="242.25" customHeight="1">
      <c r="A1539" s="32" t="b">
        <v>0</v>
      </c>
      <c r="B1539" s="32" t="str">
        <f>IMAGE("https://gymvisual.com/10948-catalog_default/dumbbell-incline-bench-press-female.jpg",4,500,500)</f>
        <v/>
      </c>
      <c r="C1539" s="30">
        <v>1538.0</v>
      </c>
      <c r="D1539" s="16" t="s">
        <v>2105</v>
      </c>
      <c r="E1539" s="16" t="s">
        <v>184</v>
      </c>
      <c r="F1539" s="16" t="s">
        <v>234</v>
      </c>
      <c r="G1539" s="16" t="s">
        <v>222</v>
      </c>
      <c r="H1539" s="16" t="s">
        <v>415</v>
      </c>
      <c r="I1539" s="16" t="s">
        <v>243</v>
      </c>
    </row>
    <row r="1540" ht="242.25" customHeight="1">
      <c r="A1540" s="32" t="b">
        <v>0</v>
      </c>
      <c r="B1540" s="32" t="str">
        <f>IMAGE("https://gymvisual.com/965-catalog_default/3-4-sit-up.jpg",4,500,500)</f>
        <v/>
      </c>
      <c r="C1540" s="30">
        <v>1539.0</v>
      </c>
      <c r="D1540" s="16" t="s">
        <v>2106</v>
      </c>
      <c r="E1540" s="16" t="s">
        <v>184</v>
      </c>
      <c r="F1540" s="16" t="s">
        <v>219</v>
      </c>
      <c r="G1540" s="16" t="s">
        <v>222</v>
      </c>
      <c r="H1540" s="16" t="s">
        <v>241</v>
      </c>
      <c r="I1540" s="16" t="s">
        <v>292</v>
      </c>
    </row>
    <row r="1541" ht="242.25" customHeight="1">
      <c r="A1541" s="32" t="b">
        <v>0</v>
      </c>
      <c r="B1541" s="32" t="str">
        <f>IMAGE("https://gymvisual.com/22500-catalog_default/dumbbell-incline-biceps-curl-70-degrees-female.jpg",4,500,500)</f>
        <v/>
      </c>
      <c r="C1541" s="30">
        <v>1540.0</v>
      </c>
      <c r="D1541" s="16" t="s">
        <v>2107</v>
      </c>
      <c r="E1541" s="16" t="s">
        <v>184</v>
      </c>
      <c r="F1541" s="16" t="s">
        <v>219</v>
      </c>
      <c r="G1541" s="16" t="s">
        <v>222</v>
      </c>
      <c r="H1541" s="16" t="s">
        <v>220</v>
      </c>
      <c r="I1541" s="16" t="s">
        <v>220</v>
      </c>
    </row>
    <row r="1542" ht="242.25" customHeight="1">
      <c r="A1542" s="32" t="b">
        <v>0</v>
      </c>
      <c r="B1542" s="32" t="str">
        <f>IMAGE("https://gymvisual.com/11044-catalog_default/dumbbell-incline-biceps-curl-female.jpg",4,500,500)</f>
        <v/>
      </c>
      <c r="C1542" s="30">
        <v>1541.0</v>
      </c>
      <c r="D1542" s="16" t="s">
        <v>2108</v>
      </c>
      <c r="E1542" s="16" t="s">
        <v>184</v>
      </c>
      <c r="F1542" s="16" t="s">
        <v>219</v>
      </c>
      <c r="G1542" s="16" t="s">
        <v>222</v>
      </c>
      <c r="H1542" s="16" t="s">
        <v>241</v>
      </c>
      <c r="I1542" s="16" t="s">
        <v>292</v>
      </c>
    </row>
    <row r="1543" ht="242.25" customHeight="1">
      <c r="A1543" s="32" t="b">
        <v>0</v>
      </c>
      <c r="B1543" s="32" t="str">
        <f>IMAGE("https://gymvisual.com/16708-catalog_default/dumbbell-incline-biceps-curl-female.jpg",4,500,500)</f>
        <v/>
      </c>
      <c r="C1543" s="30">
        <v>1542.0</v>
      </c>
      <c r="D1543" s="16" t="s">
        <v>2108</v>
      </c>
      <c r="E1543" s="16" t="s">
        <v>184</v>
      </c>
      <c r="F1543" s="16" t="s">
        <v>219</v>
      </c>
      <c r="G1543" s="16" t="s">
        <v>222</v>
      </c>
      <c r="H1543" s="16" t="s">
        <v>241</v>
      </c>
      <c r="I1543" s="16" t="s">
        <v>292</v>
      </c>
    </row>
    <row r="1544" ht="242.25" customHeight="1">
      <c r="A1544" s="32" t="b">
        <v>0</v>
      </c>
      <c r="B1544" s="32" t="str">
        <f>IMAGE("https://gymvisual.com/22235-catalog_default/dumbbell-incline-biceps-curl-version-2-female.jpg",4,500,500)</f>
        <v/>
      </c>
      <c r="C1544" s="30">
        <v>1543.0</v>
      </c>
      <c r="D1544" s="16" t="s">
        <v>2109</v>
      </c>
      <c r="E1544" s="16" t="s">
        <v>184</v>
      </c>
      <c r="F1544" s="16" t="s">
        <v>219</v>
      </c>
      <c r="G1544" s="16" t="s">
        <v>222</v>
      </c>
      <c r="H1544" s="16" t="s">
        <v>220</v>
      </c>
      <c r="I1544" s="16" t="s">
        <v>220</v>
      </c>
    </row>
    <row r="1545" ht="242.25" customHeight="1">
      <c r="A1545" s="32" t="b">
        <v>0</v>
      </c>
      <c r="B1545" s="32" t="str">
        <f>IMAGE("https://gymvisual.com/968-catalog_default/3-4-sit-up.jpg",4,500,500)</f>
        <v/>
      </c>
      <c r="C1545" s="30">
        <v>1544.0</v>
      </c>
      <c r="D1545" s="16" t="s">
        <v>2110</v>
      </c>
      <c r="E1545" s="16" t="s">
        <v>184</v>
      </c>
      <c r="F1545" s="16" t="s">
        <v>234</v>
      </c>
      <c r="G1545" s="16" t="s">
        <v>222</v>
      </c>
      <c r="H1545" s="16" t="s">
        <v>415</v>
      </c>
      <c r="I1545" s="16" t="s">
        <v>2003</v>
      </c>
    </row>
    <row r="1546" ht="242.25" customHeight="1">
      <c r="A1546" s="32" t="b">
        <v>0</v>
      </c>
      <c r="B1546" s="32" t="str">
        <f>IMAGE("https://gymvisual.com/17462-catalog_default/dumbbell-incline-close-grip-press-variation.jpg",4,500,500)</f>
        <v/>
      </c>
      <c r="C1546" s="30">
        <v>1545.0</v>
      </c>
      <c r="D1546" s="16" t="s">
        <v>2111</v>
      </c>
      <c r="E1546" s="16" t="s">
        <v>184</v>
      </c>
      <c r="F1546" s="16" t="s">
        <v>219</v>
      </c>
      <c r="G1546" s="16" t="s">
        <v>222</v>
      </c>
      <c r="H1546" s="16" t="s">
        <v>2112</v>
      </c>
      <c r="I1546" s="16" t="s">
        <v>896</v>
      </c>
    </row>
    <row r="1547" ht="242.25" customHeight="1">
      <c r="A1547" s="32" t="b">
        <v>0</v>
      </c>
      <c r="B1547" s="32" t="str">
        <f>IMAGE("https://gymvisual.com/974-catalog_default/3-4-sit-up.jpg",4,500,500)</f>
        <v/>
      </c>
      <c r="C1547" s="30">
        <v>1546.0</v>
      </c>
      <c r="D1547" s="16" t="s">
        <v>2113</v>
      </c>
      <c r="E1547" s="16" t="s">
        <v>184</v>
      </c>
      <c r="F1547" s="16" t="s">
        <v>219</v>
      </c>
      <c r="G1547" s="16" t="s">
        <v>222</v>
      </c>
      <c r="H1547" s="16" t="s">
        <v>241</v>
      </c>
      <c r="I1547" s="16" t="s">
        <v>292</v>
      </c>
    </row>
    <row r="1548" ht="242.25" customHeight="1">
      <c r="A1548" s="32" t="b">
        <v>0</v>
      </c>
      <c r="B1548" s="32" t="str">
        <f>IMAGE("https://gymvisual.com/971-catalog_default/3-4-sit-up.jpg",4,500,500)</f>
        <v/>
      </c>
      <c r="C1548" s="30">
        <v>1547.0</v>
      </c>
      <c r="D1548" s="16" t="s">
        <v>2114</v>
      </c>
      <c r="E1548" s="16" t="s">
        <v>184</v>
      </c>
      <c r="F1548" s="16" t="s">
        <v>219</v>
      </c>
      <c r="G1548" s="16" t="s">
        <v>222</v>
      </c>
      <c r="H1548" s="16" t="s">
        <v>232</v>
      </c>
      <c r="I1548" s="16" t="s">
        <v>233</v>
      </c>
    </row>
    <row r="1549" ht="242.25" customHeight="1">
      <c r="A1549" s="32" t="b">
        <v>0</v>
      </c>
      <c r="B1549" s="32" t="str">
        <f>IMAGE("https://gymvisual.com/10273-catalog_default/3-4-sit-up.jpg",4,500,500)</f>
        <v/>
      </c>
      <c r="C1549" s="30">
        <v>1548.0</v>
      </c>
      <c r="D1549" s="16" t="s">
        <v>2115</v>
      </c>
      <c r="E1549" s="16" t="s">
        <v>184</v>
      </c>
      <c r="F1549" s="16" t="s">
        <v>234</v>
      </c>
      <c r="G1549" s="16" t="s">
        <v>222</v>
      </c>
      <c r="H1549" s="16" t="s">
        <v>415</v>
      </c>
      <c r="I1549" s="16" t="s">
        <v>236</v>
      </c>
    </row>
    <row r="1550" ht="242.25" customHeight="1">
      <c r="A1550" s="32" t="b">
        <v>0</v>
      </c>
      <c r="B1550" s="32" t="str">
        <f>IMAGE("https://gymvisual.com/11113-catalog_default/dumbbell-incline-fly-female.jpg",4,500,500)</f>
        <v/>
      </c>
      <c r="C1550" s="30">
        <v>1549.0</v>
      </c>
      <c r="D1550" s="16" t="s">
        <v>2116</v>
      </c>
      <c r="E1550" s="16" t="s">
        <v>184</v>
      </c>
      <c r="F1550" s="16" t="s">
        <v>234</v>
      </c>
      <c r="G1550" s="16" t="s">
        <v>222</v>
      </c>
      <c r="H1550" s="16" t="s">
        <v>415</v>
      </c>
      <c r="I1550" s="16" t="s">
        <v>236</v>
      </c>
    </row>
    <row r="1551" ht="242.25" customHeight="1">
      <c r="A1551" s="32" t="b">
        <v>0</v>
      </c>
      <c r="B1551" s="32" t="str">
        <f>IMAGE("https://gymvisual.com/5967-catalog_default/dumbbell-incline-fly-on-exercise-ball.jpg",4,500,500)</f>
        <v/>
      </c>
      <c r="C1551" s="30">
        <v>1550.0</v>
      </c>
      <c r="D1551" s="16" t="s">
        <v>2117</v>
      </c>
      <c r="E1551" s="16" t="s">
        <v>184</v>
      </c>
      <c r="F1551" s="16" t="s">
        <v>234</v>
      </c>
      <c r="G1551" s="16" t="s">
        <v>222</v>
      </c>
      <c r="H1551" s="16" t="s">
        <v>415</v>
      </c>
      <c r="I1551" s="16" t="s">
        <v>236</v>
      </c>
    </row>
    <row r="1552" ht="242.25" customHeight="1">
      <c r="B1552" s="32" t="str">
        <f>IMAGE("https://gymvisual.com/11408-catalog_default/dumbbell-incline-fly-on-exercise-ball-female.jpg",4,500,500)</f>
        <v/>
      </c>
      <c r="C1552" s="30">
        <v>1551.0</v>
      </c>
      <c r="D1552" s="16" t="s">
        <v>2118</v>
      </c>
      <c r="E1552" s="16" t="s">
        <v>184</v>
      </c>
      <c r="F1552" s="16" t="s">
        <v>234</v>
      </c>
      <c r="G1552" s="16" t="s">
        <v>1929</v>
      </c>
      <c r="H1552" s="16" t="s">
        <v>415</v>
      </c>
      <c r="I1552" s="16" t="s">
        <v>236</v>
      </c>
    </row>
    <row r="1553" ht="242.25" customHeight="1">
      <c r="A1553" s="32" t="b">
        <v>0</v>
      </c>
      <c r="B1553" s="32" t="str">
        <f>IMAGE("https://gymvisual.com/4428-catalog_default/dumbbell-incline-front-raise.jpg",4,500,500)</f>
        <v/>
      </c>
      <c r="C1553" s="30">
        <v>1552.0</v>
      </c>
      <c r="D1553" s="16" t="s">
        <v>2119</v>
      </c>
      <c r="E1553" s="16" t="s">
        <v>184</v>
      </c>
      <c r="F1553" s="16" t="s">
        <v>228</v>
      </c>
      <c r="G1553" s="16" t="s">
        <v>222</v>
      </c>
      <c r="H1553" s="16" t="s">
        <v>229</v>
      </c>
      <c r="I1553" s="16" t="s">
        <v>244</v>
      </c>
    </row>
    <row r="1554" ht="242.25" customHeight="1">
      <c r="A1554" s="32" t="b">
        <v>0</v>
      </c>
      <c r="B1554" s="32" t="str">
        <f>IMAGE("https://gymvisual.com/17383-catalog_default/dumbbell-incline-front-raise-with-chest-support.jpg",4,500,500)</f>
        <v/>
      </c>
      <c r="C1554" s="30">
        <v>1553.0</v>
      </c>
      <c r="D1554" s="16" t="s">
        <v>2120</v>
      </c>
      <c r="E1554" s="16" t="s">
        <v>184</v>
      </c>
      <c r="F1554" s="16" t="s">
        <v>228</v>
      </c>
      <c r="G1554" s="16" t="s">
        <v>222</v>
      </c>
      <c r="H1554" s="16" t="s">
        <v>229</v>
      </c>
      <c r="I1554" s="16" t="s">
        <v>244</v>
      </c>
    </row>
    <row r="1555" ht="242.25" customHeight="1">
      <c r="A1555" s="32" t="b">
        <v>0</v>
      </c>
      <c r="B1555" s="32" t="str">
        <f>IMAGE("https://gymvisual.com/980-catalog_default/3-4-sit-up.jpg",4,500,500)</f>
        <v/>
      </c>
      <c r="C1555" s="30">
        <v>1554.0</v>
      </c>
      <c r="D1555" s="16" t="s">
        <v>2121</v>
      </c>
      <c r="E1555" s="16" t="s">
        <v>184</v>
      </c>
      <c r="F1555" s="16" t="s">
        <v>219</v>
      </c>
      <c r="G1555" s="16" t="s">
        <v>222</v>
      </c>
      <c r="H1555" s="16" t="s">
        <v>241</v>
      </c>
      <c r="I1555" s="16" t="s">
        <v>292</v>
      </c>
    </row>
    <row r="1556" ht="242.25" customHeight="1">
      <c r="A1556" s="32" t="b">
        <v>0</v>
      </c>
      <c r="B1556" s="32" t="str">
        <f>IMAGE("https://gymvisual.com/11053-catalog_default/dumbbell-incline-hammer-curl-female.jpg",4,500,500)</f>
        <v/>
      </c>
      <c r="C1556" s="30">
        <v>1555.0</v>
      </c>
      <c r="D1556" s="16" t="s">
        <v>2122</v>
      </c>
      <c r="E1556" s="16" t="s">
        <v>184</v>
      </c>
      <c r="F1556" s="16" t="s">
        <v>219</v>
      </c>
      <c r="G1556" s="16" t="s">
        <v>222</v>
      </c>
      <c r="H1556" s="16" t="s">
        <v>216</v>
      </c>
      <c r="I1556" s="16" t="s">
        <v>217</v>
      </c>
    </row>
    <row r="1557" ht="242.25" customHeight="1">
      <c r="A1557" s="32" t="b">
        <v>0</v>
      </c>
      <c r="B1557" s="32" t="str">
        <f>IMAGE("https://gymvisual.com/983-catalog_default/3-4-sit-up.jpg",4,500,500)</f>
        <v/>
      </c>
      <c r="C1557" s="30">
        <v>1556.0</v>
      </c>
      <c r="D1557" s="16" t="s">
        <v>2123</v>
      </c>
      <c r="E1557" s="16" t="s">
        <v>184</v>
      </c>
      <c r="F1557" s="16" t="s">
        <v>234</v>
      </c>
      <c r="G1557" s="16" t="s">
        <v>222</v>
      </c>
      <c r="H1557" s="16" t="s">
        <v>415</v>
      </c>
      <c r="I1557" s="16" t="s">
        <v>243</v>
      </c>
    </row>
    <row r="1558" ht="242.25" customHeight="1">
      <c r="A1558" s="32" t="b">
        <v>0</v>
      </c>
      <c r="B1558" s="32" t="str">
        <f>IMAGE("https://gymvisual.com/11083-catalog_default/dumbbell-incline-hammer-press-female.jpg",4,500,500)</f>
        <v/>
      </c>
      <c r="C1558" s="30">
        <v>1557.0</v>
      </c>
      <c r="D1558" s="16" t="s">
        <v>2124</v>
      </c>
      <c r="E1558" s="16" t="s">
        <v>184</v>
      </c>
      <c r="F1558" s="16" t="s">
        <v>234</v>
      </c>
      <c r="G1558" s="16" t="s">
        <v>222</v>
      </c>
      <c r="H1558" s="16" t="s">
        <v>223</v>
      </c>
      <c r="I1558" s="16" t="s">
        <v>472</v>
      </c>
    </row>
    <row r="1559" ht="242.25" customHeight="1">
      <c r="A1559" s="32" t="b">
        <v>0</v>
      </c>
      <c r="B1559" s="32" t="str">
        <f>IMAGE("https://gymvisual.com/7093-catalog_default/dumbbell-incline-hammer-press-on-exercise-ball.jpg",4,500,500)</f>
        <v/>
      </c>
      <c r="C1559" s="30">
        <v>1558.0</v>
      </c>
      <c r="D1559" s="16" t="s">
        <v>2125</v>
      </c>
      <c r="E1559" s="16" t="s">
        <v>184</v>
      </c>
      <c r="F1559" s="16" t="s">
        <v>219</v>
      </c>
      <c r="G1559" s="16" t="s">
        <v>222</v>
      </c>
      <c r="H1559" s="16" t="s">
        <v>220</v>
      </c>
      <c r="I1559" s="16" t="s">
        <v>220</v>
      </c>
    </row>
    <row r="1560" ht="242.25" customHeight="1">
      <c r="A1560" s="32" t="b">
        <v>0</v>
      </c>
      <c r="B1560" s="32" t="str">
        <f>IMAGE("https://gymvisual.com/22237-catalog_default/dumbbell-incline-head-supported-row.jpg",4,500,500)</f>
        <v/>
      </c>
      <c r="C1560" s="30">
        <v>1559.0</v>
      </c>
      <c r="D1560" s="16" t="s">
        <v>2126</v>
      </c>
      <c r="E1560" s="16" t="s">
        <v>184</v>
      </c>
      <c r="F1560" s="16" t="s">
        <v>192</v>
      </c>
      <c r="G1560" s="16" t="s">
        <v>222</v>
      </c>
      <c r="H1560" s="16" t="s">
        <v>220</v>
      </c>
      <c r="I1560" s="16" t="s">
        <v>220</v>
      </c>
    </row>
    <row r="1561" ht="242.25" customHeight="1">
      <c r="A1561" s="32" t="b">
        <v>0</v>
      </c>
      <c r="B1561" s="32" t="str">
        <f>IMAGE("https://gymvisual.com/986-catalog_default/3-4-sit-up.jpg",4,500,500)</f>
        <v/>
      </c>
      <c r="C1561" s="30">
        <v>1560.0</v>
      </c>
      <c r="D1561" s="16" t="s">
        <v>2127</v>
      </c>
      <c r="E1561" s="16" t="s">
        <v>184</v>
      </c>
      <c r="F1561" s="16" t="s">
        <v>219</v>
      </c>
      <c r="G1561" s="16" t="s">
        <v>222</v>
      </c>
      <c r="H1561" s="16" t="s">
        <v>241</v>
      </c>
      <c r="I1561" s="16" t="s">
        <v>292</v>
      </c>
    </row>
    <row r="1562" ht="242.25" customHeight="1">
      <c r="A1562" s="32" t="b">
        <v>0</v>
      </c>
      <c r="B1562" s="32" t="str">
        <f>IMAGE("https://gymvisual.com/11134-catalog_default/dumbbell-incline-inner-biceps-curl-female.jpg",4,500,500)</f>
        <v/>
      </c>
      <c r="C1562" s="30">
        <v>1561.0</v>
      </c>
      <c r="D1562" s="16" t="s">
        <v>2128</v>
      </c>
      <c r="E1562" s="16" t="s">
        <v>184</v>
      </c>
      <c r="F1562" s="16" t="s">
        <v>219</v>
      </c>
      <c r="G1562" s="16" t="s">
        <v>222</v>
      </c>
      <c r="H1562" s="16" t="s">
        <v>220</v>
      </c>
      <c r="I1562" s="16" t="s">
        <v>220</v>
      </c>
    </row>
    <row r="1563" ht="242.25" customHeight="1">
      <c r="A1563" s="32" t="b">
        <v>0</v>
      </c>
      <c r="B1563" s="32" t="str">
        <f>IMAGE("https://gymvisual.com/5968-catalog_default/dumbbell-incline-one-arm-fly.jpg",4,500,500)</f>
        <v/>
      </c>
      <c r="C1563" s="30">
        <v>1562.0</v>
      </c>
      <c r="D1563" s="16" t="s">
        <v>2129</v>
      </c>
      <c r="E1563" s="16" t="s">
        <v>184</v>
      </c>
      <c r="F1563" s="16" t="s">
        <v>234</v>
      </c>
      <c r="G1563" s="16" t="s">
        <v>222</v>
      </c>
      <c r="H1563" s="16" t="s">
        <v>415</v>
      </c>
      <c r="I1563" s="16" t="s">
        <v>236</v>
      </c>
    </row>
    <row r="1564" ht="242.25" customHeight="1">
      <c r="A1564" s="32" t="b">
        <v>0</v>
      </c>
      <c r="B1564" s="32" t="str">
        <f>IMAGE("https://gymvisual.com/5969-catalog_default/dumbbell-incline-one-arm-fly-on-exercise-ball.jpg",4,500,500)</f>
        <v/>
      </c>
      <c r="C1564" s="30">
        <v>1563.0</v>
      </c>
      <c r="D1564" s="16" t="s">
        <v>2130</v>
      </c>
      <c r="E1564" s="16" t="s">
        <v>184</v>
      </c>
      <c r="F1564" s="16" t="s">
        <v>234</v>
      </c>
      <c r="G1564" s="16" t="s">
        <v>222</v>
      </c>
      <c r="H1564" s="16" t="s">
        <v>415</v>
      </c>
      <c r="I1564" s="16" t="s">
        <v>236</v>
      </c>
    </row>
    <row r="1565" ht="242.25" customHeight="1">
      <c r="A1565" s="32" t="b">
        <v>0</v>
      </c>
      <c r="B1565" s="32" t="str">
        <f>IMAGE("https://gymvisual.com/17875-catalog_default/dumbbell-incline-one-arm-front-raise-with-chest-support.jpg",4,500,500)</f>
        <v/>
      </c>
      <c r="C1565" s="30">
        <v>1564.0</v>
      </c>
      <c r="D1565" s="16" t="s">
        <v>2131</v>
      </c>
      <c r="E1565" s="16" t="s">
        <v>184</v>
      </c>
      <c r="F1565" s="16" t="s">
        <v>228</v>
      </c>
      <c r="G1565" s="16" t="s">
        <v>222</v>
      </c>
      <c r="H1565" s="16" t="s">
        <v>220</v>
      </c>
      <c r="I1565" s="16" t="s">
        <v>220</v>
      </c>
    </row>
    <row r="1566" ht="242.25" customHeight="1">
      <c r="A1566" s="32" t="b">
        <v>0</v>
      </c>
      <c r="B1566" s="32" t="str">
        <f>IMAGE("https://gymvisual.com/7094-catalog_default/dumbbell-incline-one-arm-hammer-press.jpg",4,500,500)</f>
        <v/>
      </c>
      <c r="C1566" s="30">
        <v>1565.0</v>
      </c>
      <c r="D1566" s="16" t="s">
        <v>2132</v>
      </c>
      <c r="E1566" s="16" t="s">
        <v>184</v>
      </c>
      <c r="F1566" s="16" t="s">
        <v>219</v>
      </c>
      <c r="G1566" s="16" t="s">
        <v>222</v>
      </c>
      <c r="H1566" s="16" t="s">
        <v>220</v>
      </c>
      <c r="I1566" s="16" t="s">
        <v>220</v>
      </c>
    </row>
    <row r="1567" ht="242.25" customHeight="1">
      <c r="A1567" s="32" t="b">
        <v>0</v>
      </c>
      <c r="B1567" s="32" t="str">
        <f>IMAGE("https://gymvisual.com/7095-catalog_default/dumbbell-incline-one-arm-hammer-press-on-exercise-ball.jpg",4,500,500)</f>
        <v/>
      </c>
      <c r="C1567" s="30">
        <v>1566.0</v>
      </c>
      <c r="D1567" s="16" t="s">
        <v>2133</v>
      </c>
      <c r="E1567" s="16" t="s">
        <v>184</v>
      </c>
      <c r="F1567" s="16" t="s">
        <v>219</v>
      </c>
      <c r="G1567" s="16" t="s">
        <v>222</v>
      </c>
      <c r="H1567" s="16" t="s">
        <v>220</v>
      </c>
      <c r="I1567" s="16" t="s">
        <v>220</v>
      </c>
    </row>
    <row r="1568" ht="242.25" customHeight="1">
      <c r="A1568" s="32" t="b">
        <v>0</v>
      </c>
      <c r="B1568" s="32" t="str">
        <f>IMAGE("https://gymvisual.com/989-catalog_default/3-4-sit-up.jpg",4,500,500)</f>
        <v/>
      </c>
      <c r="C1568" s="30">
        <v>1567.0</v>
      </c>
      <c r="D1568" s="16" t="s">
        <v>2134</v>
      </c>
      <c r="E1568" s="16" t="s">
        <v>184</v>
      </c>
      <c r="F1568" s="16" t="s">
        <v>228</v>
      </c>
      <c r="G1568" s="16" t="s">
        <v>222</v>
      </c>
      <c r="H1568" s="16" t="s">
        <v>544</v>
      </c>
      <c r="I1568" s="16" t="s">
        <v>2135</v>
      </c>
    </row>
    <row r="1569" ht="242.25" customHeight="1">
      <c r="A1569" s="32" t="b">
        <v>0</v>
      </c>
      <c r="B1569" s="32" t="str">
        <f>IMAGE("https://gymvisual.com/12057-catalog_default/dumbbell-incline-one-arm-lateral-raise-female.jpg",4,500,500)</f>
        <v/>
      </c>
      <c r="C1569" s="30">
        <v>1568.0</v>
      </c>
      <c r="D1569" s="16" t="s">
        <v>2136</v>
      </c>
      <c r="E1569" s="16" t="s">
        <v>184</v>
      </c>
      <c r="F1569" s="16" t="s">
        <v>228</v>
      </c>
      <c r="G1569" s="16" t="s">
        <v>222</v>
      </c>
      <c r="H1569" s="16" t="s">
        <v>220</v>
      </c>
      <c r="I1569" s="16" t="s">
        <v>220</v>
      </c>
    </row>
    <row r="1570" ht="242.25" customHeight="1">
      <c r="A1570" s="32" t="b">
        <v>0</v>
      </c>
      <c r="B1570" s="32" t="str">
        <f>IMAGE("https://gymvisual.com/5970-catalog_default/dumbbell-incline-one-arm-press.jpg",4,500,500)</f>
        <v/>
      </c>
      <c r="C1570" s="30">
        <v>1569.0</v>
      </c>
      <c r="D1570" s="16" t="s">
        <v>2137</v>
      </c>
      <c r="E1570" s="16" t="s">
        <v>184</v>
      </c>
      <c r="F1570" s="16" t="s">
        <v>234</v>
      </c>
      <c r="G1570" s="16" t="s">
        <v>222</v>
      </c>
      <c r="H1570" s="16" t="s">
        <v>415</v>
      </c>
      <c r="I1570" s="16" t="s">
        <v>243</v>
      </c>
    </row>
    <row r="1571" ht="242.25" customHeight="1">
      <c r="A1571" s="32" t="b">
        <v>0</v>
      </c>
      <c r="B1571" s="32" t="str">
        <f>IMAGE("https://gymvisual.com/5971-catalog_default/dumbbell-incline-one-arm-press-on-exercise-ball.jpg",4,500,500)</f>
        <v/>
      </c>
      <c r="C1571" s="30">
        <v>1570.0</v>
      </c>
      <c r="D1571" s="16" t="s">
        <v>2138</v>
      </c>
      <c r="E1571" s="16" t="s">
        <v>184</v>
      </c>
      <c r="F1571" s="16" t="s">
        <v>234</v>
      </c>
      <c r="G1571" s="16" t="s">
        <v>222</v>
      </c>
      <c r="H1571" s="16" t="s">
        <v>415</v>
      </c>
      <c r="I1571" s="16" t="s">
        <v>243</v>
      </c>
    </row>
    <row r="1572" ht="242.25" customHeight="1">
      <c r="A1572" s="32" t="b">
        <v>0</v>
      </c>
      <c r="B1572" s="32" t="str">
        <f>IMAGE("https://gymvisual.com/11086-catalog_default/dumbbell-incline-palm-in-press-female.jpg",4,500,500)</f>
        <v/>
      </c>
      <c r="C1572" s="30">
        <v>1571.0</v>
      </c>
      <c r="D1572" s="16" t="s">
        <v>2139</v>
      </c>
      <c r="E1572" s="16" t="s">
        <v>184</v>
      </c>
      <c r="F1572" s="16" t="s">
        <v>234</v>
      </c>
      <c r="G1572" s="16" t="s">
        <v>222</v>
      </c>
      <c r="H1572" s="16" t="s">
        <v>220</v>
      </c>
      <c r="I1572" s="16" t="s">
        <v>220</v>
      </c>
    </row>
    <row r="1573" ht="242.25" customHeight="1">
      <c r="A1573" s="32" t="b">
        <v>0</v>
      </c>
      <c r="B1573" s="32" t="str">
        <f>IMAGE("https://gymvisual.com/992-catalog_default/3-4-sit-up.jpg",4,500,500)</f>
        <v/>
      </c>
      <c r="C1573" s="30">
        <v>1572.0</v>
      </c>
      <c r="D1573" s="16" t="s">
        <v>2140</v>
      </c>
      <c r="E1573" s="16" t="s">
        <v>184</v>
      </c>
      <c r="F1573" s="16" t="s">
        <v>234</v>
      </c>
      <c r="G1573" s="16" t="s">
        <v>222</v>
      </c>
      <c r="H1573" s="16" t="s">
        <v>235</v>
      </c>
      <c r="I1573" s="16" t="s">
        <v>243</v>
      </c>
    </row>
    <row r="1574" ht="242.25" customHeight="1">
      <c r="A1574" s="32" t="b">
        <v>0</v>
      </c>
      <c r="B1574" s="32" t="str">
        <f>IMAGE("https://gymvisual.com/5972-catalog_default/dumbbell-incline-press-on-exercise-ball.jpg",4,500,500)</f>
        <v/>
      </c>
      <c r="C1574" s="30">
        <v>1573.0</v>
      </c>
      <c r="D1574" s="16" t="s">
        <v>2141</v>
      </c>
      <c r="E1574" s="16" t="s">
        <v>184</v>
      </c>
      <c r="F1574" s="16" t="s">
        <v>234</v>
      </c>
      <c r="G1574" s="16" t="s">
        <v>222</v>
      </c>
      <c r="H1574" s="16" t="s">
        <v>415</v>
      </c>
      <c r="I1574" s="16" t="s">
        <v>243</v>
      </c>
    </row>
    <row r="1575" ht="242.25" customHeight="1">
      <c r="B1575" s="32" t="str">
        <f>IMAGE("https://gymvisual.com/11411-catalog_default/dumbbell-incline-press-on-exercise-ball-female.jpg",4,500,500)</f>
        <v/>
      </c>
      <c r="C1575" s="30">
        <v>1574.0</v>
      </c>
      <c r="D1575" s="16" t="s">
        <v>2142</v>
      </c>
      <c r="E1575" s="16" t="s">
        <v>184</v>
      </c>
      <c r="F1575" s="16" t="s">
        <v>234</v>
      </c>
      <c r="G1575" s="16" t="s">
        <v>1929</v>
      </c>
      <c r="H1575" s="16" t="s">
        <v>220</v>
      </c>
      <c r="I1575" s="16" t="s">
        <v>220</v>
      </c>
    </row>
    <row r="1576" ht="242.25" customHeight="1">
      <c r="A1576" s="32" t="b">
        <v>0</v>
      </c>
      <c r="B1576" s="32" t="str">
        <f>IMAGE("https://gymvisual.com/995-catalog_default/3-4-sit-up.jpg",4,500,500)</f>
        <v/>
      </c>
      <c r="C1576" s="30">
        <v>1575.0</v>
      </c>
      <c r="D1576" s="16" t="s">
        <v>2143</v>
      </c>
      <c r="E1576" s="16" t="s">
        <v>184</v>
      </c>
      <c r="F1576" s="16" t="s">
        <v>228</v>
      </c>
      <c r="G1576" s="16" t="s">
        <v>222</v>
      </c>
      <c r="H1576" s="16" t="s">
        <v>229</v>
      </c>
      <c r="I1576" s="16" t="s">
        <v>244</v>
      </c>
    </row>
    <row r="1577" ht="242.25" customHeight="1">
      <c r="A1577" s="32" t="b">
        <v>0</v>
      </c>
      <c r="B1577" s="32" t="str">
        <f>IMAGE("https://gymvisual.com/11119-catalog_default/dumbbell-incline-raise-female.jpg",4,500,500)</f>
        <v/>
      </c>
      <c r="C1577" s="30">
        <v>1576.0</v>
      </c>
      <c r="D1577" s="16" t="s">
        <v>2144</v>
      </c>
      <c r="E1577" s="16" t="s">
        <v>184</v>
      </c>
      <c r="F1577" s="16" t="s">
        <v>228</v>
      </c>
      <c r="G1577" s="16" t="s">
        <v>222</v>
      </c>
      <c r="H1577" s="16" t="s">
        <v>220</v>
      </c>
      <c r="I1577" s="16" t="s">
        <v>220</v>
      </c>
    </row>
    <row r="1578" ht="242.25" customHeight="1">
      <c r="A1578" s="32" t="b">
        <v>0</v>
      </c>
      <c r="B1578" s="32" t="str">
        <f>IMAGE("https://gymvisual.com/11071-catalog_default/dumbbell-incline-rear-fly-female.jpg",4,500,500)</f>
        <v/>
      </c>
      <c r="C1578" s="30">
        <v>1577.0</v>
      </c>
      <c r="D1578" s="16" t="s">
        <v>2145</v>
      </c>
      <c r="E1578" s="16" t="s">
        <v>184</v>
      </c>
      <c r="F1578" s="16" t="s">
        <v>228</v>
      </c>
      <c r="G1578" s="16" t="s">
        <v>222</v>
      </c>
      <c r="H1578" s="16" t="s">
        <v>408</v>
      </c>
      <c r="I1578" s="16" t="s">
        <v>452</v>
      </c>
    </row>
    <row r="1579" ht="242.25" customHeight="1">
      <c r="A1579" s="32" t="b">
        <v>0</v>
      </c>
      <c r="B1579" s="32" t="str">
        <f>IMAGE("https://gymvisual.com/998-catalog_default/3-4-sit-up.jpg",4,500,500)</f>
        <v/>
      </c>
      <c r="C1579" s="30">
        <v>1578.0</v>
      </c>
      <c r="D1579" s="16" t="s">
        <v>2146</v>
      </c>
      <c r="E1579" s="16" t="s">
        <v>184</v>
      </c>
      <c r="F1579" s="16" t="s">
        <v>228</v>
      </c>
      <c r="G1579" s="16" t="s">
        <v>222</v>
      </c>
      <c r="H1579" s="16" t="s">
        <v>1997</v>
      </c>
      <c r="I1579" s="16" t="s">
        <v>2147</v>
      </c>
    </row>
    <row r="1580" ht="242.25" customHeight="1">
      <c r="A1580" s="32" t="b">
        <v>0</v>
      </c>
      <c r="B1580" s="32" t="str">
        <f>IMAGE("https://gymvisual.com/4582-catalog_default/dumbbell-incline-reverse-grip-30-degrees-bench-press.jpg",4,500,500)</f>
        <v/>
      </c>
      <c r="C1580" s="30">
        <v>1579.0</v>
      </c>
      <c r="D1580" s="16" t="s">
        <v>2148</v>
      </c>
      <c r="E1580" s="16" t="s">
        <v>184</v>
      </c>
      <c r="F1580" s="16" t="s">
        <v>234</v>
      </c>
      <c r="G1580" s="16" t="s">
        <v>222</v>
      </c>
      <c r="H1580" s="16" t="s">
        <v>415</v>
      </c>
      <c r="I1580" s="16" t="s">
        <v>2149</v>
      </c>
    </row>
    <row r="1581" ht="242.25" customHeight="1">
      <c r="A1581" s="32" t="b">
        <v>0</v>
      </c>
      <c r="B1581" s="32" t="str">
        <f>IMAGE("https://gymvisual.com/1001-catalog_default/3-4-sit-up.jpg",4,500,500)</f>
        <v/>
      </c>
      <c r="C1581" s="30">
        <v>1580.0</v>
      </c>
      <c r="D1581" s="16" t="s">
        <v>2150</v>
      </c>
      <c r="E1581" s="16" t="s">
        <v>184</v>
      </c>
      <c r="F1581" s="16" t="s">
        <v>192</v>
      </c>
      <c r="G1581" s="16" t="s">
        <v>222</v>
      </c>
      <c r="H1581" s="16" t="s">
        <v>329</v>
      </c>
      <c r="I1581" s="16" t="s">
        <v>194</v>
      </c>
    </row>
    <row r="1582" ht="242.25" customHeight="1">
      <c r="A1582" s="32" t="b">
        <v>0</v>
      </c>
      <c r="B1582" s="32" t="str">
        <f>IMAGE("https://gymvisual.com/11101-catalog_default/dumbbell-incline-row-female.jpg",4,500,500)</f>
        <v/>
      </c>
      <c r="C1582" s="30">
        <v>1581.0</v>
      </c>
      <c r="D1582" s="16" t="s">
        <v>2151</v>
      </c>
      <c r="E1582" s="16" t="s">
        <v>184</v>
      </c>
      <c r="F1582" s="16" t="s">
        <v>192</v>
      </c>
      <c r="G1582" s="16" t="s">
        <v>186</v>
      </c>
      <c r="H1582" s="16" t="s">
        <v>570</v>
      </c>
      <c r="I1582" s="16" t="s">
        <v>447</v>
      </c>
    </row>
    <row r="1583" ht="242.25" customHeight="1">
      <c r="A1583" s="32" t="b">
        <v>0</v>
      </c>
      <c r="B1583" s="32" t="str">
        <f>IMAGE("https://gymvisual.com/1004-catalog_default/3-4-sit-up.jpg",4,500,500)</f>
        <v/>
      </c>
      <c r="C1583" s="30">
        <v>1582.0</v>
      </c>
      <c r="D1583" s="16" t="s">
        <v>2152</v>
      </c>
      <c r="E1583" s="16" t="s">
        <v>184</v>
      </c>
      <c r="F1583" s="16" t="s">
        <v>234</v>
      </c>
      <c r="G1583" s="16" t="s">
        <v>222</v>
      </c>
      <c r="H1583" s="16" t="s">
        <v>885</v>
      </c>
      <c r="I1583" s="16" t="s">
        <v>415</v>
      </c>
    </row>
    <row r="1584" ht="242.25" customHeight="1">
      <c r="A1584" s="32" t="b">
        <v>0</v>
      </c>
      <c r="B1584" s="32" t="str">
        <f>IMAGE("https://gymvisual.com/21034-catalog_default/dumbbell-incline-shoulders-press.jpg",4,500,500)</f>
        <v/>
      </c>
      <c r="C1584" s="30">
        <v>1583.0</v>
      </c>
      <c r="D1584" s="16" t="s">
        <v>2153</v>
      </c>
      <c r="E1584" s="16" t="s">
        <v>184</v>
      </c>
      <c r="F1584" s="16" t="s">
        <v>228</v>
      </c>
      <c r="G1584" s="16" t="s">
        <v>222</v>
      </c>
      <c r="H1584" s="16" t="s">
        <v>220</v>
      </c>
      <c r="I1584" s="16" t="s">
        <v>220</v>
      </c>
    </row>
    <row r="1585" ht="242.25" customHeight="1">
      <c r="A1585" s="32" t="b">
        <v>0</v>
      </c>
      <c r="B1585" s="32" t="str">
        <f>IMAGE("https://gymvisual.com/1007-catalog_default/3-4-sit-up.jpg",4,500,500)</f>
        <v/>
      </c>
      <c r="C1585" s="30">
        <v>1584.0</v>
      </c>
      <c r="D1585" s="16" t="s">
        <v>2154</v>
      </c>
      <c r="E1585" s="16" t="s">
        <v>184</v>
      </c>
      <c r="F1585" s="16" t="s">
        <v>192</v>
      </c>
      <c r="G1585" s="16" t="s">
        <v>222</v>
      </c>
      <c r="H1585" s="16" t="s">
        <v>238</v>
      </c>
      <c r="I1585" s="16" t="s">
        <v>239</v>
      </c>
    </row>
    <row r="1586" ht="242.25" customHeight="1">
      <c r="A1586" s="32" t="b">
        <v>0</v>
      </c>
      <c r="B1586" s="32" t="str">
        <f>IMAGE("https://gymvisual.com/17276-catalog_default/dumbbell-incline-shrug-female.jpg",4,500,500)</f>
        <v/>
      </c>
      <c r="C1586" s="30">
        <v>1585.0</v>
      </c>
      <c r="D1586" s="16" t="s">
        <v>2155</v>
      </c>
      <c r="E1586" s="16" t="s">
        <v>184</v>
      </c>
      <c r="F1586" s="16" t="s">
        <v>192</v>
      </c>
      <c r="G1586" s="16" t="s">
        <v>222</v>
      </c>
      <c r="H1586" s="16" t="s">
        <v>238</v>
      </c>
      <c r="I1586" s="16" t="s">
        <v>239</v>
      </c>
    </row>
    <row r="1587" ht="242.25" customHeight="1">
      <c r="A1587" s="32" t="b">
        <v>0</v>
      </c>
      <c r="B1587" s="32" t="str">
        <f>IMAGE("https://gymvisual.com/23881-catalog_default/dumbbell-incline-squeeze-press.jpg",4,500,500)</f>
        <v/>
      </c>
      <c r="C1587" s="30">
        <v>1586.0</v>
      </c>
      <c r="D1587" s="16" t="s">
        <v>2156</v>
      </c>
      <c r="E1587" s="16" t="s">
        <v>184</v>
      </c>
      <c r="F1587" s="16" t="s">
        <v>219</v>
      </c>
      <c r="G1587" s="16" t="s">
        <v>222</v>
      </c>
      <c r="H1587" s="16" t="s">
        <v>415</v>
      </c>
      <c r="I1587" s="16" t="s">
        <v>243</v>
      </c>
    </row>
    <row r="1588" ht="242.25" customHeight="1">
      <c r="A1588" s="32" t="b">
        <v>0</v>
      </c>
      <c r="B1588" s="32" t="str">
        <f>IMAGE("https://gymvisual.com/14096-catalog_default/dumbbell-incline-t-raise.jpg",4,500,500)</f>
        <v/>
      </c>
      <c r="C1588" s="30">
        <v>1587.0</v>
      </c>
      <c r="D1588" s="16" t="s">
        <v>2157</v>
      </c>
      <c r="E1588" s="16" t="s">
        <v>184</v>
      </c>
      <c r="F1588" s="16" t="s">
        <v>228</v>
      </c>
      <c r="G1588" s="16" t="s">
        <v>222</v>
      </c>
      <c r="H1588" s="16" t="s">
        <v>408</v>
      </c>
      <c r="I1588" s="16" t="s">
        <v>731</v>
      </c>
    </row>
    <row r="1589" ht="242.25" customHeight="1">
      <c r="A1589" s="32" t="b">
        <v>0</v>
      </c>
      <c r="B1589" s="32" t="str">
        <f>IMAGE("https://gymvisual.com/20622-catalog_default/3-4-sit-up.jpg",4,500,500)</f>
        <v/>
      </c>
      <c r="C1589" s="30">
        <v>1588.0</v>
      </c>
      <c r="D1589" s="16" t="s">
        <v>2158</v>
      </c>
      <c r="E1589" s="16" t="s">
        <v>184</v>
      </c>
      <c r="F1589" s="16" t="s">
        <v>219</v>
      </c>
      <c r="G1589" s="16" t="s">
        <v>222</v>
      </c>
      <c r="H1589" s="16" t="s">
        <v>223</v>
      </c>
      <c r="I1589" s="16" t="s">
        <v>220</v>
      </c>
    </row>
    <row r="1590" ht="242.25" customHeight="1">
      <c r="A1590" s="32" t="b">
        <v>0</v>
      </c>
      <c r="B1590" s="32" t="str">
        <f>IMAGE("https://gymvisual.com/11092-catalog_default/dumbbell-incline-triceps-extension-female.jpg",4,500,500)</f>
        <v/>
      </c>
      <c r="C1590" s="30">
        <v>1589.0</v>
      </c>
      <c r="D1590" s="16" t="s">
        <v>2159</v>
      </c>
      <c r="E1590" s="16" t="s">
        <v>184</v>
      </c>
      <c r="F1590" s="16" t="s">
        <v>219</v>
      </c>
      <c r="G1590" s="16" t="s">
        <v>222</v>
      </c>
      <c r="H1590" s="16" t="s">
        <v>223</v>
      </c>
      <c r="I1590" s="16" t="s">
        <v>220</v>
      </c>
    </row>
    <row r="1591" ht="242.25" customHeight="1">
      <c r="A1591" s="32" t="b">
        <v>0</v>
      </c>
      <c r="B1591" s="32" t="str">
        <f>IMAGE("https://gymvisual.com/1013-catalog_default/3-4-sit-up.jpg",4,500,500)</f>
        <v/>
      </c>
      <c r="C1591" s="30">
        <v>1590.0</v>
      </c>
      <c r="D1591" s="16" t="s">
        <v>2160</v>
      </c>
      <c r="E1591" s="16" t="s">
        <v>184</v>
      </c>
      <c r="F1591" s="16" t="s">
        <v>234</v>
      </c>
      <c r="G1591" s="16" t="s">
        <v>222</v>
      </c>
      <c r="H1591" s="16" t="s">
        <v>415</v>
      </c>
      <c r="I1591" s="16" t="s">
        <v>236</v>
      </c>
    </row>
    <row r="1592" ht="242.25" customHeight="1">
      <c r="A1592" s="32" t="b">
        <v>0</v>
      </c>
      <c r="B1592" s="32" t="str">
        <f>IMAGE("https://gymvisual.com/7452-catalog_default/dumbbell-incline-two-arm-extension.jpg",4,500,500)</f>
        <v/>
      </c>
      <c r="C1592" s="30">
        <v>1591.0</v>
      </c>
      <c r="D1592" s="16" t="s">
        <v>2161</v>
      </c>
      <c r="E1592" s="16" t="s">
        <v>184</v>
      </c>
      <c r="F1592" s="16" t="s">
        <v>219</v>
      </c>
      <c r="G1592" s="16" t="s">
        <v>222</v>
      </c>
      <c r="H1592" s="16" t="s">
        <v>223</v>
      </c>
      <c r="I1592" s="16" t="s">
        <v>220</v>
      </c>
    </row>
    <row r="1593" ht="242.25" customHeight="1">
      <c r="A1593" s="32" t="b">
        <v>0</v>
      </c>
      <c r="B1593" s="32" t="str">
        <f>IMAGE("https://gymvisual.com/13425-catalog_default/dumbbell-incline-two-arm-extension-female.jpg",4,500,500)</f>
        <v/>
      </c>
      <c r="C1593" s="30">
        <v>1592.0</v>
      </c>
      <c r="D1593" s="16" t="s">
        <v>2162</v>
      </c>
      <c r="E1593" s="16" t="s">
        <v>184</v>
      </c>
      <c r="F1593" s="16" t="s">
        <v>219</v>
      </c>
      <c r="G1593" s="16" t="s">
        <v>222</v>
      </c>
      <c r="H1593" s="16" t="s">
        <v>223</v>
      </c>
      <c r="I1593" s="16" t="s">
        <v>220</v>
      </c>
    </row>
    <row r="1594" ht="242.25" customHeight="1">
      <c r="A1594" s="32" t="b">
        <v>0</v>
      </c>
      <c r="B1594" s="32" t="str">
        <f>IMAGE("https://gymvisual.com/17636-catalog_default/dumbbell-incline-two-front-raise-with-chest-support.jpg",4,500,500)</f>
        <v/>
      </c>
      <c r="C1594" s="30">
        <v>1593.0</v>
      </c>
      <c r="D1594" s="16" t="s">
        <v>2163</v>
      </c>
      <c r="E1594" s="16" t="s">
        <v>184</v>
      </c>
      <c r="F1594" s="16" t="s">
        <v>228</v>
      </c>
      <c r="G1594" s="16" t="s">
        <v>222</v>
      </c>
      <c r="H1594" s="16" t="s">
        <v>229</v>
      </c>
      <c r="I1594" s="16" t="s">
        <v>244</v>
      </c>
    </row>
    <row r="1595" ht="242.25" customHeight="1">
      <c r="A1595" s="32" t="b">
        <v>0</v>
      </c>
      <c r="B1595" s="32" t="str">
        <f>IMAGE("https://gymvisual.com/14094-catalog_default/dumbbell-incline-y-raise.jpg",4,500,500)</f>
        <v/>
      </c>
      <c r="C1595" s="30">
        <v>1594.0</v>
      </c>
      <c r="D1595" s="16" t="s">
        <v>2164</v>
      </c>
      <c r="E1595" s="16" t="s">
        <v>184</v>
      </c>
      <c r="F1595" s="16" t="s">
        <v>228</v>
      </c>
      <c r="G1595" s="16" t="s">
        <v>222</v>
      </c>
      <c r="H1595" s="16" t="s">
        <v>2165</v>
      </c>
      <c r="I1595" s="16" t="s">
        <v>220</v>
      </c>
    </row>
    <row r="1596" ht="242.25" customHeight="1">
      <c r="A1596" s="32" t="b">
        <v>0</v>
      </c>
      <c r="B1596" s="32" t="str">
        <f>IMAGE("https://gymvisual.com/17829-catalog_default/dumbbell-ipsilateral-split-squat.jpg",4,500,500)</f>
        <v/>
      </c>
      <c r="C1596" s="30">
        <v>1595.0</v>
      </c>
      <c r="D1596" s="16" t="s">
        <v>2166</v>
      </c>
      <c r="E1596" s="16" t="s">
        <v>184</v>
      </c>
      <c r="F1596" s="16" t="s">
        <v>285</v>
      </c>
      <c r="G1596" s="16" t="s">
        <v>222</v>
      </c>
      <c r="H1596" s="16" t="s">
        <v>220</v>
      </c>
      <c r="I1596" s="16" t="s">
        <v>220</v>
      </c>
    </row>
    <row r="1597" ht="242.25" customHeight="1">
      <c r="A1597" s="32" t="b">
        <v>0</v>
      </c>
      <c r="B1597" s="32" t="str">
        <f>IMAGE("https://gymvisual.com/1016-catalog_default/3-4-sit-up.jpg",4,500,500)</f>
        <v/>
      </c>
      <c r="C1597" s="30">
        <v>1596.0</v>
      </c>
      <c r="D1597" s="16" t="s">
        <v>2167</v>
      </c>
      <c r="E1597" s="16" t="s">
        <v>184</v>
      </c>
      <c r="F1597" s="16" t="s">
        <v>228</v>
      </c>
      <c r="G1597" s="16" t="s">
        <v>222</v>
      </c>
      <c r="H1597" s="16" t="s">
        <v>2168</v>
      </c>
      <c r="I1597" s="16" t="s">
        <v>2169</v>
      </c>
    </row>
    <row r="1598" ht="242.25" customHeight="1">
      <c r="A1598" s="32" t="b">
        <v>0</v>
      </c>
      <c r="B1598" s="32" t="str">
        <f>IMAGE("https://gymvisual.com/14266-catalog_default/dumbbell-iron-cross-female.jpg",4,500,500)</f>
        <v/>
      </c>
      <c r="C1598" s="30">
        <v>1597.0</v>
      </c>
      <c r="D1598" s="16" t="s">
        <v>2170</v>
      </c>
      <c r="E1598" s="16" t="s">
        <v>184</v>
      </c>
      <c r="F1598" s="16" t="s">
        <v>691</v>
      </c>
      <c r="G1598" s="16" t="s">
        <v>222</v>
      </c>
      <c r="H1598" s="16" t="s">
        <v>2168</v>
      </c>
      <c r="I1598" s="16" t="s">
        <v>2169</v>
      </c>
    </row>
    <row r="1599" ht="242.25" customHeight="1">
      <c r="A1599" s="32" t="b">
        <v>0</v>
      </c>
      <c r="B1599" s="32" t="str">
        <f>IMAGE("https://gymvisual.com/24496-catalog_default/dumbbell-kas-glute-bridge-female.jpg",4,500,500)</f>
        <v/>
      </c>
      <c r="C1599" s="30">
        <v>1598.0</v>
      </c>
      <c r="D1599" s="16" t="s">
        <v>2171</v>
      </c>
      <c r="E1599" s="16" t="s">
        <v>184</v>
      </c>
      <c r="F1599" s="16" t="s">
        <v>185</v>
      </c>
      <c r="G1599" s="16" t="s">
        <v>222</v>
      </c>
      <c r="H1599" s="16" t="s">
        <v>220</v>
      </c>
      <c r="I1599" s="16" t="s">
        <v>220</v>
      </c>
    </row>
    <row r="1600" ht="242.25" customHeight="1">
      <c r="A1600" s="32" t="b">
        <v>0</v>
      </c>
      <c r="B1600" s="32" t="str">
        <f>IMAGE("https://gymvisual.com/1019-catalog_default/3-4-sit-up.jpg",4,500,500)</f>
        <v/>
      </c>
      <c r="C1600" s="30">
        <v>1599.0</v>
      </c>
      <c r="D1600" s="16" t="s">
        <v>221</v>
      </c>
      <c r="E1600" s="16" t="s">
        <v>184</v>
      </c>
      <c r="F1600" s="16" t="s">
        <v>219</v>
      </c>
      <c r="G1600" s="16" t="s">
        <v>222</v>
      </c>
      <c r="H1600" s="16" t="s">
        <v>223</v>
      </c>
      <c r="I1600" s="16" t="s">
        <v>220</v>
      </c>
    </row>
    <row r="1601" ht="242.25" customHeight="1">
      <c r="A1601" s="32" t="b">
        <v>0</v>
      </c>
      <c r="B1601" s="32" t="str">
        <f>IMAGE("https://gymvisual.com/10936-catalog_default/dumbbell-kickback-female.jpg",4,500,500)</f>
        <v/>
      </c>
      <c r="C1601" s="30">
        <v>1600.0</v>
      </c>
      <c r="D1601" s="16" t="s">
        <v>2172</v>
      </c>
      <c r="E1601" s="16" t="s">
        <v>184</v>
      </c>
      <c r="F1601" s="16" t="s">
        <v>219</v>
      </c>
      <c r="G1601" s="16" t="s">
        <v>222</v>
      </c>
      <c r="H1601" s="16" t="s">
        <v>223</v>
      </c>
      <c r="I1601" s="16" t="s">
        <v>220</v>
      </c>
    </row>
    <row r="1602" ht="242.25" customHeight="1">
      <c r="A1602" s="32" t="b">
        <v>0</v>
      </c>
      <c r="B1602" s="32" t="str">
        <f>IMAGE("https://gymvisual.com/7453-catalog_default/dumbbell-kickbacks-on-exercise-ball.jpg",4,500,500)</f>
        <v/>
      </c>
      <c r="C1602" s="30">
        <v>1601.0</v>
      </c>
      <c r="D1602" s="16" t="s">
        <v>2173</v>
      </c>
      <c r="E1602" s="16" t="s">
        <v>184</v>
      </c>
      <c r="F1602" s="16" t="s">
        <v>219</v>
      </c>
      <c r="G1602" s="16" t="s">
        <v>222</v>
      </c>
      <c r="H1602" s="16" t="s">
        <v>220</v>
      </c>
      <c r="I1602" s="16" t="s">
        <v>220</v>
      </c>
    </row>
    <row r="1603" ht="242.25" customHeight="1">
      <c r="A1603" s="32" t="b">
        <v>0</v>
      </c>
      <c r="B1603" s="32" t="str">
        <f>IMAGE("https://gymvisual.com/22239-catalog_default/dumbbell-kneeling-arnold-press.jpg",4,500,500)</f>
        <v/>
      </c>
      <c r="C1603" s="30">
        <v>1602.0</v>
      </c>
      <c r="D1603" s="16" t="s">
        <v>2174</v>
      </c>
      <c r="E1603" s="16" t="s">
        <v>184</v>
      </c>
      <c r="F1603" s="16" t="s">
        <v>228</v>
      </c>
      <c r="G1603" s="16" t="s">
        <v>222</v>
      </c>
      <c r="H1603" s="16" t="s">
        <v>220</v>
      </c>
      <c r="I1603" s="16" t="s">
        <v>220</v>
      </c>
    </row>
    <row r="1604" ht="242.25" customHeight="1">
      <c r="A1604" s="32" t="b">
        <v>0</v>
      </c>
      <c r="B1604" s="32" t="str">
        <f>IMAGE("https://gymvisual.com/7134-catalog_default/dumbbell-kneeling-bicep-curl-exercise-ball.jpg",4,500,500)</f>
        <v/>
      </c>
      <c r="C1604" s="30">
        <v>1603.0</v>
      </c>
      <c r="D1604" s="16" t="s">
        <v>2175</v>
      </c>
      <c r="E1604" s="16" t="s">
        <v>184</v>
      </c>
      <c r="F1604" s="16" t="s">
        <v>219</v>
      </c>
      <c r="G1604" s="16" t="s">
        <v>222</v>
      </c>
      <c r="H1604" s="16" t="s">
        <v>220</v>
      </c>
      <c r="I1604" s="16" t="s">
        <v>220</v>
      </c>
    </row>
    <row r="1605" ht="242.25" customHeight="1">
      <c r="A1605" s="32" t="b">
        <v>0</v>
      </c>
      <c r="B1605" s="32" t="str">
        <f>IMAGE("https://gymvisual.com/14767-catalog_default/dumbbell-kneeling-hold-to-stand.jpg",4,500,500)</f>
        <v/>
      </c>
      <c r="C1605" s="30">
        <v>1604.0</v>
      </c>
      <c r="D1605" s="16" t="s">
        <v>2176</v>
      </c>
      <c r="E1605" s="16" t="s">
        <v>184</v>
      </c>
      <c r="F1605" s="16" t="s">
        <v>691</v>
      </c>
      <c r="G1605" s="16" t="s">
        <v>222</v>
      </c>
      <c r="H1605" s="16" t="s">
        <v>793</v>
      </c>
      <c r="I1605" s="16" t="s">
        <v>2177</v>
      </c>
    </row>
    <row r="1606" ht="242.25" customHeight="1">
      <c r="A1606" s="32" t="b">
        <v>0</v>
      </c>
      <c r="B1606" s="32" t="str">
        <f>IMAGE("https://gymvisual.com/24097-catalog_default/dumbbell-kneeling-hold-to-stand-clean-grip.jpg",4,500,500)</f>
        <v/>
      </c>
      <c r="C1606" s="30">
        <v>1605.0</v>
      </c>
      <c r="D1606" s="16" t="s">
        <v>2178</v>
      </c>
      <c r="E1606" s="16" t="s">
        <v>184</v>
      </c>
      <c r="F1606" s="16" t="s">
        <v>285</v>
      </c>
      <c r="G1606" s="16" t="s">
        <v>222</v>
      </c>
      <c r="H1606" s="16" t="s">
        <v>220</v>
      </c>
      <c r="I1606" s="16" t="s">
        <v>220</v>
      </c>
    </row>
    <row r="1607" ht="242.25" customHeight="1">
      <c r="A1607" s="32" t="b">
        <v>0</v>
      </c>
      <c r="B1607" s="32" t="str">
        <f>IMAGE("https://gymvisual.com/22391-catalog_default/dumbbell-lateral-lunge.jpg",4,500,500)</f>
        <v/>
      </c>
      <c r="C1607" s="30">
        <v>1606.0</v>
      </c>
      <c r="D1607" s="16" t="s">
        <v>2179</v>
      </c>
      <c r="E1607" s="16" t="s">
        <v>184</v>
      </c>
      <c r="F1607" s="16" t="s">
        <v>285</v>
      </c>
      <c r="G1607" s="16" t="s">
        <v>222</v>
      </c>
      <c r="H1607" s="16" t="s">
        <v>220</v>
      </c>
      <c r="I1607" s="16" t="s">
        <v>220</v>
      </c>
    </row>
    <row r="1608" ht="242.25" customHeight="1">
      <c r="A1608" s="32" t="b">
        <v>0</v>
      </c>
      <c r="B1608" s="32" t="str">
        <f>IMAGE("https://gymvisual.com/6800-catalog_default/dumbbell-lateral-lunge-with-bicep-curl.jpg",4,500,500)</f>
        <v/>
      </c>
      <c r="C1608" s="30">
        <v>1607.0</v>
      </c>
      <c r="D1608" s="16" t="s">
        <v>2180</v>
      </c>
      <c r="E1608" s="16" t="s">
        <v>184</v>
      </c>
      <c r="F1608" s="16" t="s">
        <v>285</v>
      </c>
      <c r="G1608" s="16" t="s">
        <v>222</v>
      </c>
      <c r="H1608" s="16" t="s">
        <v>220</v>
      </c>
      <c r="I1608" s="16" t="s">
        <v>220</v>
      </c>
    </row>
    <row r="1609" ht="242.25" customHeight="1">
      <c r="A1609" s="32" t="b">
        <v>0</v>
      </c>
      <c r="B1609" s="32" t="str">
        <f>IMAGE("https://gymvisual.com/15650-catalog_default/3-4-sit-up.jpg",4,500,500)</f>
        <v/>
      </c>
      <c r="C1609" s="30">
        <v>1608.0</v>
      </c>
      <c r="D1609" s="16" t="s">
        <v>2181</v>
      </c>
      <c r="E1609" s="16" t="s">
        <v>184</v>
      </c>
      <c r="F1609" s="16" t="s">
        <v>228</v>
      </c>
      <c r="G1609" s="16" t="s">
        <v>222</v>
      </c>
      <c r="H1609" s="16" t="s">
        <v>544</v>
      </c>
      <c r="I1609" s="16" t="s">
        <v>545</v>
      </c>
    </row>
    <row r="1610" ht="242.25" customHeight="1">
      <c r="A1610" s="32" t="b">
        <v>0</v>
      </c>
      <c r="B1610" s="32" t="str">
        <f>IMAGE("https://gymvisual.com/10579-catalog_default/dumbbell-lateral-step-up-female.jpg",4,500,500)</f>
        <v/>
      </c>
      <c r="C1610" s="30">
        <v>1609.0</v>
      </c>
      <c r="D1610" s="16" t="s">
        <v>2182</v>
      </c>
      <c r="E1610" s="16" t="s">
        <v>184</v>
      </c>
      <c r="F1610" s="16" t="s">
        <v>294</v>
      </c>
      <c r="G1610" s="16" t="s">
        <v>222</v>
      </c>
      <c r="H1610" s="16" t="s">
        <v>189</v>
      </c>
      <c r="I1610" s="16" t="s">
        <v>2046</v>
      </c>
    </row>
    <row r="1611" ht="242.25" customHeight="1">
      <c r="A1611" s="32" t="b">
        <v>0</v>
      </c>
      <c r="B1611" s="32" t="str">
        <f>IMAGE("https://gymvisual.com/1025-catalog_default/3-4-sit-up.jpg",4,500,500)</f>
        <v/>
      </c>
      <c r="C1611" s="30">
        <v>1610.0</v>
      </c>
      <c r="D1611" s="16" t="s">
        <v>2183</v>
      </c>
      <c r="E1611" s="16" t="s">
        <v>184</v>
      </c>
      <c r="F1611" s="16" t="s">
        <v>228</v>
      </c>
      <c r="G1611" s="16" t="s">
        <v>222</v>
      </c>
      <c r="H1611" s="16" t="s">
        <v>454</v>
      </c>
      <c r="I1611" s="16" t="s">
        <v>389</v>
      </c>
    </row>
    <row r="1612" ht="242.25" customHeight="1">
      <c r="A1612" s="32" t="b">
        <v>0</v>
      </c>
      <c r="B1612" s="32" t="str">
        <f>IMAGE("https://gymvisual.com/17173-catalog_default/dumbbell-low-fly.jpg",4,500,500)</f>
        <v/>
      </c>
      <c r="C1612" s="30">
        <v>1611.0</v>
      </c>
      <c r="D1612" s="16" t="s">
        <v>2184</v>
      </c>
      <c r="E1612" s="16" t="s">
        <v>184</v>
      </c>
      <c r="F1612" s="16" t="s">
        <v>234</v>
      </c>
      <c r="G1612" s="16" t="s">
        <v>222</v>
      </c>
      <c r="H1612" s="16" t="s">
        <v>415</v>
      </c>
      <c r="I1612" s="16" t="s">
        <v>236</v>
      </c>
    </row>
    <row r="1613" ht="242.25" customHeight="1">
      <c r="A1613" s="32" t="b">
        <v>0</v>
      </c>
      <c r="B1613" s="32" t="str">
        <f>IMAGE("https://gymvisual.com/22241-catalog_default/dumbbell-low-windmill.jpg",4,500,500)</f>
        <v/>
      </c>
      <c r="C1613" s="30">
        <v>1612.0</v>
      </c>
      <c r="D1613" s="16" t="s">
        <v>2185</v>
      </c>
      <c r="E1613" s="16" t="s">
        <v>184</v>
      </c>
      <c r="F1613" s="16" t="s">
        <v>254</v>
      </c>
      <c r="G1613" s="16" t="s">
        <v>222</v>
      </c>
      <c r="H1613" s="16" t="s">
        <v>220</v>
      </c>
      <c r="I1613" s="16" t="s">
        <v>220</v>
      </c>
    </row>
    <row r="1614" ht="242.25" customHeight="1">
      <c r="A1614" s="32" t="b">
        <v>0</v>
      </c>
      <c r="B1614" s="32" t="str">
        <f>IMAGE("https://gymvisual.com/20624-catalog_default/3-4-sit-up.jpg",4,500,500)</f>
        <v/>
      </c>
      <c r="C1614" s="30">
        <v>1613.0</v>
      </c>
      <c r="D1614" s="16" t="s">
        <v>95</v>
      </c>
      <c r="E1614" s="16" t="s">
        <v>184</v>
      </c>
      <c r="F1614" s="16" t="s">
        <v>185</v>
      </c>
      <c r="G1614" s="16" t="s">
        <v>222</v>
      </c>
      <c r="H1614" s="16" t="s">
        <v>189</v>
      </c>
      <c r="I1614" s="16" t="s">
        <v>190</v>
      </c>
    </row>
    <row r="1615" ht="242.25" customHeight="1">
      <c r="A1615" s="32" t="b">
        <v>0</v>
      </c>
      <c r="B1615" s="32" t="str">
        <f>IMAGE("https://gymvisual.com/9568-catalog_default/dumbbell-lunge-female.jpg",4,500,500)</f>
        <v/>
      </c>
      <c r="C1615" s="30">
        <v>1614.0</v>
      </c>
      <c r="D1615" s="16" t="s">
        <v>2186</v>
      </c>
      <c r="E1615" s="16" t="s">
        <v>184</v>
      </c>
      <c r="F1615" s="16" t="s">
        <v>294</v>
      </c>
      <c r="G1615" s="16" t="s">
        <v>222</v>
      </c>
      <c r="H1615" s="16" t="s">
        <v>189</v>
      </c>
      <c r="I1615" s="16" t="s">
        <v>190</v>
      </c>
    </row>
    <row r="1616" ht="242.25" customHeight="1">
      <c r="A1616" s="32" t="b">
        <v>0</v>
      </c>
      <c r="B1616" s="32" t="str">
        <f>IMAGE("https://gymvisual.com/13632-catalog_default/dumbbell-lunge-version-2.jpg",4,500,500)</f>
        <v/>
      </c>
      <c r="C1616" s="30">
        <v>1615.0</v>
      </c>
      <c r="D1616" s="16" t="s">
        <v>2187</v>
      </c>
      <c r="E1616" s="16" t="s">
        <v>184</v>
      </c>
      <c r="F1616" s="16" t="s">
        <v>285</v>
      </c>
      <c r="G1616" s="16" t="s">
        <v>222</v>
      </c>
      <c r="H1616" s="16" t="s">
        <v>189</v>
      </c>
      <c r="I1616" s="16" t="s">
        <v>190</v>
      </c>
    </row>
    <row r="1617" ht="242.25" customHeight="1">
      <c r="A1617" s="32" t="b">
        <v>0</v>
      </c>
      <c r="B1617" s="32" t="str">
        <f>IMAGE("https://gymvisual.com/7132-catalog_default/dumbbell-lunge-with-bicep-curl.jpg",4,500,500)</f>
        <v/>
      </c>
      <c r="C1617" s="30">
        <v>1616.0</v>
      </c>
      <c r="D1617" s="16" t="s">
        <v>2188</v>
      </c>
      <c r="E1617" s="16" t="s">
        <v>184</v>
      </c>
      <c r="F1617" s="16" t="s">
        <v>219</v>
      </c>
      <c r="G1617" s="16" t="s">
        <v>222</v>
      </c>
      <c r="H1617" s="16" t="s">
        <v>220</v>
      </c>
      <c r="I1617" s="16" t="s">
        <v>220</v>
      </c>
    </row>
    <row r="1618" ht="242.25" customHeight="1">
      <c r="A1618" s="32" t="b">
        <v>0</v>
      </c>
      <c r="B1618" s="32" t="str">
        <f>IMAGE("https://gymvisual.com/20674-catalog_default/dumbbell-lunge-with-bicep-curl-female.jpg",4,500,500)</f>
        <v/>
      </c>
      <c r="C1618" s="30">
        <v>1617.0</v>
      </c>
      <c r="D1618" s="16" t="s">
        <v>2189</v>
      </c>
      <c r="E1618" s="16" t="s">
        <v>184</v>
      </c>
      <c r="F1618" s="16" t="s">
        <v>294</v>
      </c>
      <c r="G1618" s="16" t="s">
        <v>222</v>
      </c>
      <c r="H1618" s="16" t="s">
        <v>220</v>
      </c>
      <c r="I1618" s="16" t="s">
        <v>220</v>
      </c>
    </row>
    <row r="1619" ht="242.25" customHeight="1">
      <c r="A1619" s="32" t="b">
        <v>0</v>
      </c>
      <c r="B1619" s="32" t="str">
        <f>IMAGE("https://gymvisual.com/1030-catalog_default/3-4-sit-up.jpg",4,500,500)</f>
        <v/>
      </c>
      <c r="C1619" s="30">
        <v>1618.0</v>
      </c>
      <c r="D1619" s="16" t="s">
        <v>2190</v>
      </c>
      <c r="E1619" s="16" t="s">
        <v>184</v>
      </c>
      <c r="F1619" s="16" t="s">
        <v>219</v>
      </c>
      <c r="G1619" s="16" t="s">
        <v>222</v>
      </c>
      <c r="H1619" s="16" t="s">
        <v>223</v>
      </c>
      <c r="I1619" s="16" t="s">
        <v>220</v>
      </c>
    </row>
    <row r="1620" ht="242.25" customHeight="1">
      <c r="A1620" s="32" t="b">
        <v>0</v>
      </c>
      <c r="B1620" s="32" t="str">
        <f>IMAGE("https://gymvisual.com/7448-catalog_default/dumbbell-lying-alternate-extension.jpg",4,500,500)</f>
        <v/>
      </c>
      <c r="C1620" s="30">
        <v>1619.0</v>
      </c>
      <c r="D1620" s="16" t="s">
        <v>2191</v>
      </c>
      <c r="E1620" s="16" t="s">
        <v>184</v>
      </c>
      <c r="F1620" s="16" t="s">
        <v>219</v>
      </c>
      <c r="G1620" s="16" t="s">
        <v>222</v>
      </c>
      <c r="H1620" s="16" t="s">
        <v>223</v>
      </c>
      <c r="I1620" s="16" t="s">
        <v>220</v>
      </c>
    </row>
    <row r="1621" ht="242.25" customHeight="1">
      <c r="A1621" s="32" t="b">
        <v>0</v>
      </c>
      <c r="B1621" s="32" t="str">
        <f>IMAGE("https://gymvisual.com/17280-catalog_default/dumbbell-lying-alternate-extension-female.jpg",4,500,500)</f>
        <v/>
      </c>
      <c r="C1621" s="30">
        <v>1620.0</v>
      </c>
      <c r="D1621" s="16" t="s">
        <v>2192</v>
      </c>
      <c r="E1621" s="16" t="s">
        <v>184</v>
      </c>
      <c r="F1621" s="16" t="s">
        <v>219</v>
      </c>
      <c r="G1621" s="16" t="s">
        <v>222</v>
      </c>
      <c r="H1621" s="16" t="s">
        <v>223</v>
      </c>
      <c r="I1621" s="16" t="s">
        <v>220</v>
      </c>
    </row>
    <row r="1622" ht="242.25" customHeight="1">
      <c r="A1622" s="32" t="b">
        <v>0</v>
      </c>
      <c r="B1622" s="32" t="str">
        <f>IMAGE("https://gymvisual.com/18963-catalog_default/dumbbell-lying-close-grip-parallel-row-on-rack.jpg",4,500,500)</f>
        <v/>
      </c>
      <c r="C1622" s="30">
        <v>1621.0</v>
      </c>
      <c r="D1622" s="16" t="s">
        <v>2193</v>
      </c>
      <c r="E1622" s="16" t="s">
        <v>184</v>
      </c>
      <c r="F1622" s="16" t="s">
        <v>192</v>
      </c>
      <c r="G1622" s="16" t="s">
        <v>222</v>
      </c>
      <c r="H1622" s="16" t="s">
        <v>329</v>
      </c>
      <c r="I1622" s="16" t="s">
        <v>357</v>
      </c>
    </row>
    <row r="1623" ht="242.25" customHeight="1">
      <c r="A1623" s="32" t="b">
        <v>0</v>
      </c>
      <c r="B1623" s="32" t="str">
        <f>IMAGE("https://gymvisual.com/1033-catalog_default/3-4-sit-up.jpg",4,500,500)</f>
        <v/>
      </c>
      <c r="C1623" s="30">
        <v>1622.0</v>
      </c>
      <c r="D1623" s="16" t="s">
        <v>2194</v>
      </c>
      <c r="E1623" s="16" t="s">
        <v>184</v>
      </c>
      <c r="F1623" s="16" t="s">
        <v>219</v>
      </c>
      <c r="G1623" s="16" t="s">
        <v>222</v>
      </c>
      <c r="H1623" s="16" t="s">
        <v>223</v>
      </c>
      <c r="I1623" s="16" t="s">
        <v>472</v>
      </c>
    </row>
    <row r="1624" ht="242.25" customHeight="1">
      <c r="A1624" s="32" t="b">
        <v>0</v>
      </c>
      <c r="B1624" s="32" t="str">
        <f>IMAGE("https://gymvisual.com/11312-catalog_default/dumbbell-lying-extension-across-face-female.jpg",4,500,500)</f>
        <v/>
      </c>
      <c r="C1624" s="30">
        <v>1623.0</v>
      </c>
      <c r="D1624" s="16" t="s">
        <v>2195</v>
      </c>
      <c r="E1624" s="16" t="s">
        <v>184</v>
      </c>
      <c r="F1624" s="16" t="s">
        <v>219</v>
      </c>
      <c r="G1624" s="16" t="s">
        <v>222</v>
      </c>
      <c r="H1624" s="16" t="s">
        <v>220</v>
      </c>
      <c r="I1624" s="16" t="s">
        <v>220</v>
      </c>
    </row>
    <row r="1625" ht="242.25" customHeight="1">
      <c r="A1625" s="32" t="b">
        <v>0</v>
      </c>
      <c r="B1625" s="32" t="str">
        <f>IMAGE("https://gymvisual.com/2628-catalog_default/dumbbell-lying-external-shoulder-rotation.jpg",4,500,500)</f>
        <v/>
      </c>
      <c r="C1625" s="30">
        <v>1624.0</v>
      </c>
      <c r="D1625" s="16" t="s">
        <v>2196</v>
      </c>
      <c r="E1625" s="16" t="s">
        <v>184</v>
      </c>
      <c r="F1625" s="16" t="s">
        <v>192</v>
      </c>
      <c r="G1625" s="16" t="s">
        <v>222</v>
      </c>
      <c r="H1625" s="16" t="s">
        <v>2197</v>
      </c>
      <c r="I1625" s="16" t="s">
        <v>220</v>
      </c>
    </row>
    <row r="1626" ht="242.25" customHeight="1">
      <c r="A1626" s="32" t="b">
        <v>0</v>
      </c>
      <c r="B1626" s="32" t="str">
        <f>IMAGE("https://gymvisual.com/13427-catalog_default/dumbbell-lying-external-shoulder-rotation-female.jpg",4,500,500)</f>
        <v/>
      </c>
      <c r="C1626" s="30">
        <v>1625.0</v>
      </c>
      <c r="D1626" s="16" t="s">
        <v>2198</v>
      </c>
      <c r="E1626" s="16" t="s">
        <v>184</v>
      </c>
      <c r="F1626" s="16" t="s">
        <v>192</v>
      </c>
      <c r="G1626" s="16" t="s">
        <v>222</v>
      </c>
      <c r="H1626" s="16" t="s">
        <v>220</v>
      </c>
      <c r="I1626" s="16" t="s">
        <v>220</v>
      </c>
    </row>
    <row r="1627" ht="242.25" customHeight="1">
      <c r="A1627" s="32" t="b">
        <v>0</v>
      </c>
      <c r="B1627" s="32" t="str">
        <f>IMAGE("https://gymvisual.com/1036-catalog_default/3-4-sit-up.jpg",4,500,500)</f>
        <v/>
      </c>
      <c r="C1627" s="30">
        <v>1626.0</v>
      </c>
      <c r="D1627" s="16" t="s">
        <v>2199</v>
      </c>
      <c r="E1627" s="16" t="s">
        <v>184</v>
      </c>
      <c r="F1627" s="16" t="s">
        <v>285</v>
      </c>
      <c r="G1627" s="16" t="s">
        <v>222</v>
      </c>
      <c r="H1627" s="16" t="s">
        <v>188</v>
      </c>
      <c r="I1627" s="16" t="s">
        <v>561</v>
      </c>
    </row>
    <row r="1628" ht="242.25" customHeight="1">
      <c r="A1628" s="32" t="b">
        <v>0</v>
      </c>
      <c r="B1628" s="32" t="str">
        <f>IMAGE("https://gymvisual.com/11504-catalog_default/dumbbell-lying-femoral-female.jpg",4,500,500)</f>
        <v/>
      </c>
      <c r="C1628" s="30">
        <v>1627.0</v>
      </c>
      <c r="D1628" s="16" t="s">
        <v>2200</v>
      </c>
      <c r="E1628" s="16" t="s">
        <v>184</v>
      </c>
      <c r="F1628" s="16" t="s">
        <v>285</v>
      </c>
      <c r="G1628" s="16" t="s">
        <v>222</v>
      </c>
      <c r="H1628" s="16" t="s">
        <v>188</v>
      </c>
      <c r="I1628" s="16" t="s">
        <v>561</v>
      </c>
    </row>
    <row r="1629" ht="242.25" customHeight="1">
      <c r="A1629" s="32" t="b">
        <v>0</v>
      </c>
      <c r="B1629" s="32" t="str">
        <f>IMAGE("https://gymvisual.com/18714-catalog_default/dumbbell-lying-floor-skull-crusher.jpg",4,500,500)</f>
        <v/>
      </c>
      <c r="C1629" s="30">
        <v>1628.0</v>
      </c>
      <c r="D1629" s="16" t="s">
        <v>2201</v>
      </c>
      <c r="E1629" s="16" t="s">
        <v>184</v>
      </c>
      <c r="F1629" s="16" t="s">
        <v>219</v>
      </c>
      <c r="G1629" s="16" t="s">
        <v>222</v>
      </c>
      <c r="H1629" s="16" t="s">
        <v>223</v>
      </c>
      <c r="I1629" s="16" t="s">
        <v>220</v>
      </c>
    </row>
    <row r="1630" ht="242.25" customHeight="1">
      <c r="A1630" s="32" t="b">
        <v>0</v>
      </c>
      <c r="B1630" s="32" t="str">
        <f>IMAGE("https://gymvisual.com/1039-catalog_default/3-4-sit-up.jpg",4,500,500)</f>
        <v/>
      </c>
      <c r="C1630" s="30">
        <v>1629.0</v>
      </c>
      <c r="D1630" s="16" t="s">
        <v>2202</v>
      </c>
      <c r="E1630" s="16" t="s">
        <v>184</v>
      </c>
      <c r="F1630" s="16" t="s">
        <v>234</v>
      </c>
      <c r="G1630" s="16" t="s">
        <v>222</v>
      </c>
      <c r="H1630" s="16" t="s">
        <v>235</v>
      </c>
      <c r="I1630" s="16" t="s">
        <v>243</v>
      </c>
    </row>
    <row r="1631" ht="242.25" customHeight="1">
      <c r="A1631" s="32" t="b">
        <v>0</v>
      </c>
      <c r="B1631" s="32" t="str">
        <f>IMAGE("https://gymvisual.com/11029-catalog_default/dumbbell-lying-hammer-press-female.jpg",4,500,500)</f>
        <v/>
      </c>
      <c r="C1631" s="30">
        <v>1630.0</v>
      </c>
      <c r="D1631" s="16" t="s">
        <v>2203</v>
      </c>
      <c r="E1631" s="16" t="s">
        <v>184</v>
      </c>
      <c r="F1631" s="16" t="s">
        <v>234</v>
      </c>
      <c r="G1631" s="16" t="s">
        <v>222</v>
      </c>
      <c r="H1631" s="16" t="s">
        <v>223</v>
      </c>
      <c r="I1631" s="16" t="s">
        <v>472</v>
      </c>
    </row>
    <row r="1632" ht="242.25" customHeight="1">
      <c r="A1632" s="32" t="b">
        <v>0</v>
      </c>
      <c r="B1632" s="32" t="str">
        <f>IMAGE("https://gymvisual.com/4431-catalog_default/dumbbell-lying-hammer-press-version-2.jpg",4,500,500)</f>
        <v/>
      </c>
      <c r="C1632" s="30">
        <v>1631.0</v>
      </c>
      <c r="D1632" s="16" t="s">
        <v>2204</v>
      </c>
      <c r="E1632" s="16" t="s">
        <v>184</v>
      </c>
      <c r="F1632" s="16" t="s">
        <v>234</v>
      </c>
      <c r="G1632" s="16" t="s">
        <v>222</v>
      </c>
      <c r="H1632" s="16" t="s">
        <v>347</v>
      </c>
      <c r="I1632" s="16" t="s">
        <v>1884</v>
      </c>
    </row>
    <row r="1633" ht="242.25" customHeight="1">
      <c r="A1633" s="32" t="b">
        <v>0</v>
      </c>
      <c r="B1633" s="32" t="str">
        <f>IMAGE("https://gymvisual.com/22149-catalog_default/dumbbell-lying-hamstring-curl.jpg",4,500,500)</f>
        <v/>
      </c>
      <c r="C1633" s="30">
        <v>1632.0</v>
      </c>
      <c r="D1633" s="16" t="s">
        <v>2205</v>
      </c>
      <c r="E1633" s="16" t="s">
        <v>184</v>
      </c>
      <c r="F1633" s="16" t="s">
        <v>285</v>
      </c>
      <c r="G1633" s="16" t="s">
        <v>222</v>
      </c>
      <c r="H1633" s="16" t="s">
        <v>188</v>
      </c>
      <c r="I1633" s="16" t="s">
        <v>368</v>
      </c>
    </row>
    <row r="1634" ht="242.25" customHeight="1">
      <c r="A1634" s="32" t="b">
        <v>0</v>
      </c>
      <c r="B1634" s="32" t="str">
        <f>IMAGE("https://gymvisual.com/14580-catalog_default/dumbbell-lying-on-floor-chest-press.jpg",4,500,500)</f>
        <v/>
      </c>
      <c r="C1634" s="30">
        <v>1633.0</v>
      </c>
      <c r="D1634" s="16" t="s">
        <v>2206</v>
      </c>
      <c r="E1634" s="16" t="s">
        <v>184</v>
      </c>
      <c r="F1634" s="16" t="s">
        <v>234</v>
      </c>
      <c r="G1634" s="16" t="s">
        <v>222</v>
      </c>
      <c r="H1634" s="16" t="s">
        <v>235</v>
      </c>
      <c r="I1634" s="16" t="s">
        <v>243</v>
      </c>
    </row>
    <row r="1635" ht="242.25" customHeight="1">
      <c r="A1635" s="32" t="b">
        <v>0</v>
      </c>
      <c r="B1635" s="32" t="str">
        <f>IMAGE("https://gymvisual.com/13207-catalog_default/dumbbell-lying-on-floor-hammer-press.jpg",4,500,500)</f>
        <v/>
      </c>
      <c r="C1635" s="30">
        <v>1634.0</v>
      </c>
      <c r="D1635" s="16" t="s">
        <v>2207</v>
      </c>
      <c r="E1635" s="16" t="s">
        <v>184</v>
      </c>
      <c r="F1635" s="16" t="s">
        <v>234</v>
      </c>
      <c r="G1635" s="16" t="s">
        <v>222</v>
      </c>
      <c r="H1635" s="16" t="s">
        <v>235</v>
      </c>
      <c r="I1635" s="16" t="s">
        <v>243</v>
      </c>
    </row>
    <row r="1636" ht="242.25" customHeight="1">
      <c r="A1636" s="32" t="b">
        <v>0</v>
      </c>
      <c r="B1636" s="32" t="str">
        <f>IMAGE("https://gymvisual.com/13886-catalog_default/dumbbell-lying-on-floor-hammer-press-female.jpg",4,500,500)</f>
        <v/>
      </c>
      <c r="C1636" s="30">
        <v>1635.0</v>
      </c>
      <c r="D1636" s="16" t="s">
        <v>2208</v>
      </c>
      <c r="E1636" s="16" t="s">
        <v>184</v>
      </c>
      <c r="F1636" s="16" t="s">
        <v>234</v>
      </c>
      <c r="G1636" s="16" t="s">
        <v>222</v>
      </c>
      <c r="H1636" s="16" t="s">
        <v>220</v>
      </c>
      <c r="I1636" s="16" t="s">
        <v>220</v>
      </c>
    </row>
    <row r="1637" ht="242.25" customHeight="1">
      <c r="A1637" s="32" t="b">
        <v>0</v>
      </c>
      <c r="B1637" s="32" t="str">
        <f>IMAGE("https://gymvisual.com/10614-catalog_default/dumbbell-lying-on-floor-rear-delt-raise.jpg",4,500,500)</f>
        <v/>
      </c>
      <c r="C1637" s="30">
        <v>1636.0</v>
      </c>
      <c r="D1637" s="16" t="s">
        <v>2209</v>
      </c>
      <c r="E1637" s="16" t="s">
        <v>184</v>
      </c>
      <c r="F1637" s="16" t="s">
        <v>228</v>
      </c>
      <c r="G1637" s="16" t="s">
        <v>222</v>
      </c>
      <c r="H1637" s="16" t="s">
        <v>408</v>
      </c>
      <c r="I1637" s="16" t="s">
        <v>452</v>
      </c>
    </row>
    <row r="1638" ht="242.25" customHeight="1">
      <c r="A1638" s="32" t="b">
        <v>0</v>
      </c>
      <c r="B1638" s="32" t="str">
        <f>IMAGE("https://gymvisual.com/1042-catalog_default/3-4-sit-up.jpg",4,500,500)</f>
        <v/>
      </c>
      <c r="C1638" s="30">
        <v>1637.0</v>
      </c>
      <c r="D1638" s="16" t="s">
        <v>2210</v>
      </c>
      <c r="E1638" s="16" t="s">
        <v>184</v>
      </c>
      <c r="F1638" s="16" t="s">
        <v>228</v>
      </c>
      <c r="G1638" s="16" t="s">
        <v>222</v>
      </c>
      <c r="H1638" s="16" t="s">
        <v>408</v>
      </c>
      <c r="I1638" s="16" t="s">
        <v>731</v>
      </c>
    </row>
    <row r="1639" ht="242.25" customHeight="1">
      <c r="A1639" s="32" t="b">
        <v>0</v>
      </c>
      <c r="B1639" s="32" t="str">
        <f>IMAGE("https://gymvisual.com/1048-catalog_default/3-4-sit-up.jpg",4,500,500)</f>
        <v/>
      </c>
      <c r="C1639" s="30">
        <v>1638.0</v>
      </c>
      <c r="D1639" s="16" t="s">
        <v>2211</v>
      </c>
      <c r="E1639" s="16" t="s">
        <v>184</v>
      </c>
      <c r="F1639" s="16" t="s">
        <v>234</v>
      </c>
      <c r="G1639" s="16" t="s">
        <v>222</v>
      </c>
      <c r="H1639" s="16" t="s">
        <v>235</v>
      </c>
      <c r="I1639" s="16" t="s">
        <v>243</v>
      </c>
    </row>
    <row r="1640" ht="242.25" customHeight="1">
      <c r="A1640" s="32" t="b">
        <v>0</v>
      </c>
      <c r="B1640" s="32" t="str">
        <f>IMAGE("https://gymvisual.com/11537-catalog_default/dumbbell-lying-one-arm-press-female.jpg",4,500,500)</f>
        <v/>
      </c>
      <c r="C1640" s="30">
        <v>1639.0</v>
      </c>
      <c r="D1640" s="16" t="s">
        <v>2212</v>
      </c>
      <c r="E1640" s="16" t="s">
        <v>184</v>
      </c>
      <c r="F1640" s="16" t="s">
        <v>234</v>
      </c>
      <c r="G1640" s="16" t="s">
        <v>222</v>
      </c>
      <c r="H1640" s="16" t="s">
        <v>220</v>
      </c>
      <c r="I1640" s="16" t="s">
        <v>220</v>
      </c>
    </row>
    <row r="1641" ht="242.25" customHeight="1">
      <c r="A1641" s="32" t="b">
        <v>0</v>
      </c>
      <c r="B1641" s="32" t="str">
        <f>IMAGE("https://gymvisual.com/1045-catalog_default/3-4-sit-up.jpg",4,500,500)</f>
        <v/>
      </c>
      <c r="C1641" s="30">
        <v>1640.0</v>
      </c>
      <c r="D1641" s="16" t="s">
        <v>2213</v>
      </c>
      <c r="E1641" s="16" t="s">
        <v>184</v>
      </c>
      <c r="F1641" s="16" t="s">
        <v>234</v>
      </c>
      <c r="G1641" s="16" t="s">
        <v>222</v>
      </c>
      <c r="H1641" s="16" t="s">
        <v>235</v>
      </c>
      <c r="I1641" s="16" t="s">
        <v>243</v>
      </c>
    </row>
    <row r="1642" ht="242.25" customHeight="1">
      <c r="A1642" s="32" t="b">
        <v>0</v>
      </c>
      <c r="B1642" s="32" t="str">
        <f>IMAGE("https://gymvisual.com/1051-catalog_default/3-4-sit-up.jpg",4,500,500)</f>
        <v/>
      </c>
      <c r="C1642" s="30">
        <v>1641.0</v>
      </c>
      <c r="D1642" s="16" t="s">
        <v>2214</v>
      </c>
      <c r="E1642" s="16" t="s">
        <v>184</v>
      </c>
      <c r="F1642" s="16" t="s">
        <v>219</v>
      </c>
      <c r="G1642" s="16" t="s">
        <v>222</v>
      </c>
      <c r="H1642" s="16" t="s">
        <v>223</v>
      </c>
      <c r="I1642" s="16" t="s">
        <v>220</v>
      </c>
    </row>
    <row r="1643" ht="242.25" customHeight="1">
      <c r="A1643" s="32" t="b">
        <v>0</v>
      </c>
      <c r="B1643" s="32" t="str">
        <f>IMAGE("https://gymvisual.com/11315-catalog_default/dumbbell-lying-one-arm-pronated-triceps-extension-female.jpg",4,500,500)</f>
        <v/>
      </c>
      <c r="C1643" s="30">
        <v>1642.0</v>
      </c>
      <c r="D1643" s="16" t="s">
        <v>2215</v>
      </c>
      <c r="E1643" s="16" t="s">
        <v>184</v>
      </c>
      <c r="F1643" s="16" t="s">
        <v>219</v>
      </c>
      <c r="G1643" s="16" t="s">
        <v>222</v>
      </c>
      <c r="H1643" s="16" t="s">
        <v>220</v>
      </c>
      <c r="I1643" s="16" t="s">
        <v>220</v>
      </c>
    </row>
    <row r="1644" ht="242.25" customHeight="1">
      <c r="A1644" s="32" t="b">
        <v>0</v>
      </c>
      <c r="B1644" s="32" t="str">
        <f>IMAGE("https://gymvisual.com/1054-catalog_default/3-4-sit-up.jpg",4,500,500)</f>
        <v/>
      </c>
      <c r="C1644" s="30">
        <v>1643.0</v>
      </c>
      <c r="D1644" s="16" t="s">
        <v>2216</v>
      </c>
      <c r="E1644" s="16" t="s">
        <v>184</v>
      </c>
      <c r="F1644" s="16" t="s">
        <v>228</v>
      </c>
      <c r="G1644" s="16" t="s">
        <v>222</v>
      </c>
      <c r="H1644" s="16" t="s">
        <v>408</v>
      </c>
      <c r="I1644" s="16" t="s">
        <v>452</v>
      </c>
    </row>
    <row r="1645" ht="242.25" customHeight="1">
      <c r="A1645" s="32" t="b">
        <v>0</v>
      </c>
      <c r="B1645" s="32" t="str">
        <f>IMAGE("https://gymvisual.com/2959-catalog_default/dumbbell-lying-one-arm-rear-lateral-raise.jpg",4,500,500)</f>
        <v/>
      </c>
      <c r="C1645" s="30">
        <v>1644.0</v>
      </c>
      <c r="D1645" s="16" t="s">
        <v>2216</v>
      </c>
      <c r="E1645" s="16" t="s">
        <v>184</v>
      </c>
      <c r="F1645" s="16" t="s">
        <v>228</v>
      </c>
      <c r="G1645" s="16" t="s">
        <v>222</v>
      </c>
      <c r="H1645" s="16" t="s">
        <v>408</v>
      </c>
      <c r="I1645" s="16" t="s">
        <v>452</v>
      </c>
    </row>
    <row r="1646" ht="242.25" customHeight="1">
      <c r="A1646" s="32" t="b">
        <v>0</v>
      </c>
      <c r="B1646" s="32" t="str">
        <f>IMAGE("https://gymvisual.com/1057-catalog_default/3-4-sit-up.jpg",4,500,500)</f>
        <v/>
      </c>
      <c r="C1646" s="30">
        <v>1645.0</v>
      </c>
      <c r="D1646" s="16" t="s">
        <v>2217</v>
      </c>
      <c r="E1646" s="16" t="s">
        <v>184</v>
      </c>
      <c r="F1646" s="16" t="s">
        <v>219</v>
      </c>
      <c r="G1646" s="16" t="s">
        <v>222</v>
      </c>
      <c r="H1646" s="16" t="s">
        <v>223</v>
      </c>
      <c r="I1646" s="16" t="s">
        <v>220</v>
      </c>
    </row>
    <row r="1647" ht="242.25" customHeight="1">
      <c r="A1647" s="32" t="b">
        <v>0</v>
      </c>
      <c r="B1647" s="32" t="str">
        <f>IMAGE("https://gymvisual.com/10760-catalog_default/dumbbell-lying-one-arm-supinated-triceps-extension-female.jpg",4,500,500)</f>
        <v/>
      </c>
      <c r="C1647" s="30">
        <v>1646.0</v>
      </c>
      <c r="D1647" s="16" t="s">
        <v>2218</v>
      </c>
      <c r="E1647" s="16" t="s">
        <v>184</v>
      </c>
      <c r="F1647" s="16" t="s">
        <v>219</v>
      </c>
      <c r="G1647" s="16" t="s">
        <v>222</v>
      </c>
      <c r="H1647" s="16" t="s">
        <v>223</v>
      </c>
      <c r="I1647" s="16" t="s">
        <v>220</v>
      </c>
    </row>
    <row r="1648" ht="242.25" customHeight="1">
      <c r="A1648" s="32" t="b">
        <v>0</v>
      </c>
      <c r="B1648" s="32" t="str">
        <f>IMAGE("https://gymvisual.com/1060-catalog_default/3-4-sit-up.jpg",4,500,500)</f>
        <v/>
      </c>
      <c r="C1648" s="30">
        <v>1647.0</v>
      </c>
      <c r="D1648" s="16" t="s">
        <v>2219</v>
      </c>
      <c r="E1648" s="16" t="s">
        <v>184</v>
      </c>
      <c r="F1648" s="16" t="s">
        <v>214</v>
      </c>
      <c r="G1648" s="16" t="s">
        <v>222</v>
      </c>
      <c r="H1648" s="16" t="s">
        <v>720</v>
      </c>
      <c r="I1648" s="16" t="s">
        <v>220</v>
      </c>
    </row>
    <row r="1649" ht="242.25" customHeight="1">
      <c r="A1649" s="32" t="b">
        <v>0</v>
      </c>
      <c r="B1649" s="32" t="str">
        <f>IMAGE("https://gymvisual.com/10804-catalog_default/dumbbell-lying-pronation-on-floor.jpg",4,500,500)</f>
        <v/>
      </c>
      <c r="C1649" s="30">
        <v>1648.0</v>
      </c>
      <c r="D1649" s="16" t="s">
        <v>2220</v>
      </c>
      <c r="E1649" s="16" t="s">
        <v>184</v>
      </c>
      <c r="F1649" s="16" t="s">
        <v>214</v>
      </c>
      <c r="G1649" s="16" t="s">
        <v>222</v>
      </c>
      <c r="H1649" s="16" t="s">
        <v>220</v>
      </c>
      <c r="I1649" s="16" t="s">
        <v>220</v>
      </c>
    </row>
    <row r="1650" ht="242.25" customHeight="1">
      <c r="A1650" s="32" t="b">
        <v>0</v>
      </c>
      <c r="B1650" s="32" t="str">
        <f>IMAGE("https://gymvisual.com/5973-catalog_default/dumbbell-lying-pullover-on-exercise-ball.jpg",4,500,500)</f>
        <v/>
      </c>
      <c r="C1650" s="30">
        <v>1649.0</v>
      </c>
      <c r="D1650" s="16" t="s">
        <v>2221</v>
      </c>
      <c r="E1650" s="16" t="s">
        <v>184</v>
      </c>
      <c r="F1650" s="16" t="s">
        <v>234</v>
      </c>
      <c r="G1650" s="16" t="s">
        <v>222</v>
      </c>
      <c r="H1650" s="16" t="s">
        <v>347</v>
      </c>
      <c r="I1650" s="16" t="s">
        <v>2222</v>
      </c>
    </row>
    <row r="1651" ht="242.25" customHeight="1">
      <c r="A1651" s="32" t="b">
        <v>0</v>
      </c>
      <c r="B1651" s="32" t="str">
        <f>IMAGE("https://gymvisual.com/6019-catalog_default/dumbbell-lying-rear-delt-row.jpg",4,500,500)</f>
        <v/>
      </c>
      <c r="C1651" s="30">
        <v>1650.0</v>
      </c>
      <c r="D1651" s="16" t="s">
        <v>2223</v>
      </c>
      <c r="E1651" s="16" t="s">
        <v>184</v>
      </c>
      <c r="F1651" s="16" t="s">
        <v>192</v>
      </c>
      <c r="G1651" s="16" t="s">
        <v>222</v>
      </c>
      <c r="H1651" s="16" t="s">
        <v>329</v>
      </c>
      <c r="I1651" s="16" t="s">
        <v>457</v>
      </c>
    </row>
    <row r="1652" ht="242.25" customHeight="1">
      <c r="A1652" s="32" t="b">
        <v>0</v>
      </c>
      <c r="B1652" s="32" t="str">
        <f>IMAGE("https://gymvisual.com/11384-catalog_default/dumbbell-lying-rear-delt-row-female.jpg",4,500,500)</f>
        <v/>
      </c>
      <c r="C1652" s="30">
        <v>1651.0</v>
      </c>
      <c r="D1652" s="16" t="s">
        <v>2224</v>
      </c>
      <c r="E1652" s="16" t="s">
        <v>184</v>
      </c>
      <c r="F1652" s="16" t="s">
        <v>192</v>
      </c>
      <c r="G1652" s="16" t="s">
        <v>222</v>
      </c>
      <c r="H1652" s="16" t="s">
        <v>220</v>
      </c>
      <c r="I1652" s="16" t="s">
        <v>220</v>
      </c>
    </row>
    <row r="1653" ht="242.25" customHeight="1">
      <c r="A1653" s="32" t="b">
        <v>0</v>
      </c>
      <c r="B1653" s="32" t="str">
        <f>IMAGE("https://gymvisual.com/1063-catalog_default/3-4-sit-up.jpg",4,500,500)</f>
        <v/>
      </c>
      <c r="C1653" s="30">
        <v>1652.0</v>
      </c>
      <c r="D1653" s="16" t="s">
        <v>2225</v>
      </c>
      <c r="E1653" s="16" t="s">
        <v>184</v>
      </c>
      <c r="F1653" s="16" t="s">
        <v>228</v>
      </c>
      <c r="G1653" s="16" t="s">
        <v>222</v>
      </c>
      <c r="H1653" s="16" t="s">
        <v>408</v>
      </c>
      <c r="I1653" s="16" t="s">
        <v>452</v>
      </c>
    </row>
    <row r="1654" ht="242.25" customHeight="1">
      <c r="A1654" s="32" t="b">
        <v>0</v>
      </c>
      <c r="B1654" s="32" t="str">
        <f>IMAGE("https://gymvisual.com/25065-catalog_default/dumbbell-lying-row-on-rack.jpg",4,500,500)</f>
        <v/>
      </c>
      <c r="C1654" s="30">
        <v>1653.0</v>
      </c>
      <c r="D1654" s="16" t="s">
        <v>2226</v>
      </c>
      <c r="E1654" s="16" t="s">
        <v>184</v>
      </c>
      <c r="F1654" s="16" t="s">
        <v>192</v>
      </c>
      <c r="G1654" s="16" t="s">
        <v>222</v>
      </c>
      <c r="H1654" s="16" t="s">
        <v>220</v>
      </c>
      <c r="I1654" s="16" t="s">
        <v>220</v>
      </c>
    </row>
    <row r="1655" ht="242.25" customHeight="1">
      <c r="A1655" s="32" t="b">
        <v>0</v>
      </c>
      <c r="B1655" s="32" t="str">
        <f>IMAGE("https://gymvisual.com/7454-catalog_default/dumbbell-lying-single-extension.jpg",4,500,500)</f>
        <v/>
      </c>
      <c r="C1655" s="30">
        <v>1654.0</v>
      </c>
      <c r="D1655" s="16" t="s">
        <v>2227</v>
      </c>
      <c r="E1655" s="16" t="s">
        <v>184</v>
      </c>
      <c r="F1655" s="16" t="s">
        <v>219</v>
      </c>
      <c r="G1655" s="16" t="s">
        <v>222</v>
      </c>
      <c r="H1655" s="16" t="s">
        <v>223</v>
      </c>
      <c r="I1655" s="16" t="s">
        <v>220</v>
      </c>
    </row>
    <row r="1656" ht="242.25" customHeight="1">
      <c r="A1656" s="32" t="b">
        <v>0</v>
      </c>
      <c r="B1656" s="32" t="str">
        <f>IMAGE("https://gymvisual.com/13429-catalog_default/dumbbell-lying-single-extension-female.jpg",4,500,500)</f>
        <v/>
      </c>
      <c r="C1656" s="30">
        <v>1655.0</v>
      </c>
      <c r="D1656" s="16" t="s">
        <v>2228</v>
      </c>
      <c r="E1656" s="16" t="s">
        <v>184</v>
      </c>
      <c r="F1656" s="16" t="s">
        <v>219</v>
      </c>
      <c r="G1656" s="16" t="s">
        <v>222</v>
      </c>
      <c r="H1656" s="16" t="s">
        <v>220</v>
      </c>
      <c r="I1656" s="16" t="s">
        <v>220</v>
      </c>
    </row>
    <row r="1657" ht="242.25" customHeight="1">
      <c r="A1657" s="32" t="b">
        <v>0</v>
      </c>
      <c r="B1657" s="32" t="str">
        <f>IMAGE("https://gymvisual.com/19337-catalog_default/3-4-sit-up.jpg",4,500,500)</f>
        <v/>
      </c>
      <c r="C1657" s="30">
        <v>1656.0</v>
      </c>
      <c r="D1657" s="16" t="s">
        <v>2229</v>
      </c>
      <c r="E1657" s="16" t="s">
        <v>184</v>
      </c>
      <c r="F1657" s="16" t="s">
        <v>214</v>
      </c>
      <c r="G1657" s="16" t="s">
        <v>222</v>
      </c>
      <c r="H1657" s="16" t="s">
        <v>220</v>
      </c>
      <c r="I1657" s="16" t="s">
        <v>220</v>
      </c>
    </row>
    <row r="1658" ht="242.25" customHeight="1">
      <c r="A1658" s="32" t="b">
        <v>0</v>
      </c>
      <c r="B1658" s="32" t="str">
        <f>IMAGE("https://gymvisual.com/10807-catalog_default/dumbbell-lying-supination-on-floor.jpg",4,500,500)</f>
        <v/>
      </c>
      <c r="C1658" s="30">
        <v>1657.0</v>
      </c>
      <c r="D1658" s="16" t="s">
        <v>2230</v>
      </c>
      <c r="E1658" s="16" t="s">
        <v>184</v>
      </c>
      <c r="F1658" s="16" t="s">
        <v>214</v>
      </c>
      <c r="G1658" s="16" t="s">
        <v>222</v>
      </c>
      <c r="H1658" s="16" t="s">
        <v>220</v>
      </c>
      <c r="I1658" s="16" t="s">
        <v>220</v>
      </c>
    </row>
    <row r="1659" ht="242.25" customHeight="1">
      <c r="A1659" s="32" t="b">
        <v>0</v>
      </c>
      <c r="B1659" s="32" t="str">
        <f>IMAGE("https://gymvisual.com/7135-catalog_default/dumbbell-lying-supine-biceps-curl.jpg",4,500,500)</f>
        <v/>
      </c>
      <c r="C1659" s="30">
        <v>1658.0</v>
      </c>
      <c r="D1659" s="16" t="s">
        <v>2231</v>
      </c>
      <c r="E1659" s="16" t="s">
        <v>184</v>
      </c>
      <c r="F1659" s="16" t="s">
        <v>219</v>
      </c>
      <c r="G1659" s="16" t="s">
        <v>222</v>
      </c>
      <c r="H1659" s="16" t="s">
        <v>220</v>
      </c>
      <c r="I1659" s="16" t="s">
        <v>220</v>
      </c>
    </row>
    <row r="1660" ht="242.25" customHeight="1">
      <c r="A1660" s="32" t="b">
        <v>0</v>
      </c>
      <c r="B1660" s="32" t="str">
        <f>IMAGE("https://gymvisual.com/1069-catalog_default/3-4-sit-up.jpg",4,500,500)</f>
        <v/>
      </c>
      <c r="C1660" s="30">
        <v>1659.0</v>
      </c>
      <c r="D1660" s="16" t="s">
        <v>2232</v>
      </c>
      <c r="E1660" s="16" t="s">
        <v>184</v>
      </c>
      <c r="F1660" s="16" t="s">
        <v>214</v>
      </c>
      <c r="G1660" s="16" t="s">
        <v>222</v>
      </c>
      <c r="H1660" s="16" t="s">
        <v>216</v>
      </c>
      <c r="I1660" s="16" t="s">
        <v>2003</v>
      </c>
    </row>
    <row r="1661" ht="242.25" customHeight="1">
      <c r="A1661" s="32" t="b">
        <v>0</v>
      </c>
      <c r="B1661" s="32" t="str">
        <f>IMAGE("https://gymvisual.com/14268-catalog_default/dumbbell-lying-supine-curl-female.jpg",4,500,500)</f>
        <v/>
      </c>
      <c r="C1661" s="30">
        <v>1660.0</v>
      </c>
      <c r="D1661" s="16" t="s">
        <v>2233</v>
      </c>
      <c r="E1661" s="16" t="s">
        <v>184</v>
      </c>
      <c r="F1661" s="16" t="s">
        <v>214</v>
      </c>
      <c r="G1661" s="16" t="s">
        <v>222</v>
      </c>
      <c r="H1661" s="16" t="s">
        <v>216</v>
      </c>
      <c r="I1661" s="16" t="s">
        <v>2003</v>
      </c>
    </row>
    <row r="1662" ht="242.25" customHeight="1">
      <c r="A1662" s="32" t="b">
        <v>0</v>
      </c>
      <c r="B1662" s="32" t="str">
        <f>IMAGE("https://gymvisual.com/20626-catalog_default/3-4-sit-up.jpg",4,500,500)</f>
        <v/>
      </c>
      <c r="C1662" s="30">
        <v>1661.0</v>
      </c>
      <c r="D1662" s="16" t="s">
        <v>2234</v>
      </c>
      <c r="E1662" s="16" t="s">
        <v>184</v>
      </c>
      <c r="F1662" s="16" t="s">
        <v>219</v>
      </c>
      <c r="G1662" s="16" t="s">
        <v>222</v>
      </c>
      <c r="H1662" s="16" t="s">
        <v>223</v>
      </c>
      <c r="I1662" s="16" t="s">
        <v>220</v>
      </c>
    </row>
    <row r="1663" ht="242.25" customHeight="1">
      <c r="A1663" s="32" t="b">
        <v>0</v>
      </c>
      <c r="B1663" s="32" t="str">
        <f>IMAGE("https://gymvisual.com/9667-catalog_default/dumbbell-lying-triceps-extension-female.jpg",4,500,500)</f>
        <v/>
      </c>
      <c r="C1663" s="30">
        <v>1662.0</v>
      </c>
      <c r="D1663" s="16" t="s">
        <v>2235</v>
      </c>
      <c r="E1663" s="16" t="s">
        <v>184</v>
      </c>
      <c r="F1663" s="16" t="s">
        <v>219</v>
      </c>
      <c r="G1663" s="16" t="s">
        <v>222</v>
      </c>
      <c r="H1663" s="16" t="s">
        <v>223</v>
      </c>
      <c r="I1663" s="16" t="s">
        <v>220</v>
      </c>
    </row>
    <row r="1664" ht="242.25" customHeight="1">
      <c r="A1664" s="32" t="b">
        <v>0</v>
      </c>
      <c r="B1664" s="32" t="str">
        <f>IMAGE("https://gymvisual.com/11318-catalog_default/dumbbell-lying-triceps-extension-female.jpg",4,500,500)</f>
        <v/>
      </c>
      <c r="C1664" s="30">
        <v>1663.0</v>
      </c>
      <c r="D1664" s="16" t="s">
        <v>2235</v>
      </c>
      <c r="E1664" s="16" t="s">
        <v>184</v>
      </c>
      <c r="F1664" s="16" t="s">
        <v>219</v>
      </c>
      <c r="G1664" s="16" t="s">
        <v>222</v>
      </c>
      <c r="H1664" s="16" t="s">
        <v>223</v>
      </c>
      <c r="I1664" s="16" t="s">
        <v>220</v>
      </c>
    </row>
    <row r="1665" ht="242.25" customHeight="1">
      <c r="A1665" s="32" t="b">
        <v>0</v>
      </c>
      <c r="B1665" s="32" t="str">
        <f>IMAGE("https://gymvisual.com/10922-catalog_default/dumbbell-lying-triceps-extension-on-floor-female.jpg",4,500,500)</f>
        <v/>
      </c>
      <c r="C1665" s="30">
        <v>1664.0</v>
      </c>
      <c r="D1665" s="16" t="s">
        <v>2236</v>
      </c>
      <c r="E1665" s="16" t="s">
        <v>184</v>
      </c>
      <c r="F1665" s="16" t="s">
        <v>219</v>
      </c>
      <c r="G1665" s="16" t="s">
        <v>222</v>
      </c>
      <c r="H1665" s="16" t="s">
        <v>223</v>
      </c>
      <c r="I1665" s="16" t="s">
        <v>220</v>
      </c>
    </row>
    <row r="1666" ht="242.25" customHeight="1">
      <c r="A1666" s="32" t="b">
        <v>0</v>
      </c>
      <c r="B1666" s="32" t="str">
        <f>IMAGE("https://gymvisual.com/7136-catalog_default/dumbbell-lying-wide-curl.jpg",4,500,500)</f>
        <v/>
      </c>
      <c r="C1666" s="30">
        <v>1665.0</v>
      </c>
      <c r="D1666" s="16" t="s">
        <v>2237</v>
      </c>
      <c r="E1666" s="16" t="s">
        <v>184</v>
      </c>
      <c r="F1666" s="16" t="s">
        <v>219</v>
      </c>
      <c r="G1666" s="16" t="s">
        <v>222</v>
      </c>
      <c r="H1666" s="16" t="s">
        <v>220</v>
      </c>
      <c r="I1666" s="16" t="s">
        <v>220</v>
      </c>
    </row>
    <row r="1667" ht="242.25" customHeight="1">
      <c r="A1667" s="32" t="b">
        <v>0</v>
      </c>
      <c r="B1667" s="32" t="str">
        <f>IMAGE("https://gymvisual.com/18965-catalog_default/dumbbell-lying-wide-grip-row-on-rack.jpg",4,500,500)</f>
        <v/>
      </c>
      <c r="C1667" s="30">
        <v>1666.0</v>
      </c>
      <c r="D1667" s="16" t="s">
        <v>2238</v>
      </c>
      <c r="E1667" s="16" t="s">
        <v>184</v>
      </c>
      <c r="F1667" s="16" t="s">
        <v>192</v>
      </c>
      <c r="G1667" s="16" t="s">
        <v>222</v>
      </c>
      <c r="H1667" s="16" t="s">
        <v>329</v>
      </c>
      <c r="I1667" s="16" t="s">
        <v>447</v>
      </c>
    </row>
    <row r="1668" ht="242.25" customHeight="1">
      <c r="A1668" s="32" t="b">
        <v>0</v>
      </c>
      <c r="B1668" s="32" t="str">
        <f>IMAGE("https://gymvisual.com/22243-catalog_default/dumbbell-lying-woodchop.jpg",4,500,500)</f>
        <v/>
      </c>
      <c r="C1668" s="30">
        <v>1667.0</v>
      </c>
      <c r="D1668" s="16" t="s">
        <v>2239</v>
      </c>
      <c r="E1668" s="16" t="s">
        <v>184</v>
      </c>
      <c r="F1668" s="16" t="s">
        <v>254</v>
      </c>
      <c r="G1668" s="16" t="s">
        <v>222</v>
      </c>
      <c r="H1668" s="16" t="s">
        <v>220</v>
      </c>
      <c r="I1668" s="16" t="s">
        <v>220</v>
      </c>
    </row>
    <row r="1669" ht="242.25" customHeight="1">
      <c r="A1669" s="32" t="b">
        <v>0</v>
      </c>
      <c r="B1669" s="32" t="str">
        <f>IMAGE("https://gymvisual.com/24830-catalog_default/dumbbell-narrow-stance-squat-male.jpg",4,500,500)</f>
        <v/>
      </c>
      <c r="C1669" s="30">
        <v>1668.0</v>
      </c>
      <c r="D1669" s="16" t="s">
        <v>2240</v>
      </c>
      <c r="E1669" s="16" t="s">
        <v>184</v>
      </c>
      <c r="F1669" s="16" t="s">
        <v>285</v>
      </c>
      <c r="G1669" s="16" t="s">
        <v>222</v>
      </c>
      <c r="H1669" s="16" t="s">
        <v>552</v>
      </c>
      <c r="I1669" s="16" t="s">
        <v>553</v>
      </c>
    </row>
    <row r="1670" ht="242.25" customHeight="1">
      <c r="A1670" s="32" t="b">
        <v>0</v>
      </c>
      <c r="B1670" s="32" t="str">
        <f>IMAGE("https://gymvisual.com/1075-catalog_default/3-4-sit-up.jpg",4,500,500)</f>
        <v/>
      </c>
      <c r="C1670" s="30">
        <v>1669.0</v>
      </c>
      <c r="D1670" s="16" t="s">
        <v>2241</v>
      </c>
      <c r="E1670" s="16" t="s">
        <v>184</v>
      </c>
      <c r="F1670" s="16" t="s">
        <v>219</v>
      </c>
      <c r="G1670" s="16" t="s">
        <v>222</v>
      </c>
      <c r="H1670" s="16" t="s">
        <v>223</v>
      </c>
      <c r="I1670" s="16" t="s">
        <v>220</v>
      </c>
    </row>
    <row r="1671" ht="242.25" customHeight="1">
      <c r="A1671" s="32" t="b">
        <v>0</v>
      </c>
      <c r="B1671" s="32" t="str">
        <f>IMAGE("https://gymvisual.com/5974-catalog_default/dumbbell-one-arm-bench-fly.jpg",4,500,500)</f>
        <v/>
      </c>
      <c r="C1671" s="30">
        <v>1670.0</v>
      </c>
      <c r="D1671" s="16" t="s">
        <v>2242</v>
      </c>
      <c r="E1671" s="16" t="s">
        <v>184</v>
      </c>
      <c r="F1671" s="16" t="s">
        <v>234</v>
      </c>
      <c r="G1671" s="16" t="s">
        <v>222</v>
      </c>
      <c r="H1671" s="16" t="s">
        <v>347</v>
      </c>
      <c r="I1671" s="16" t="s">
        <v>420</v>
      </c>
    </row>
    <row r="1672" ht="242.25" customHeight="1">
      <c r="A1672" s="32" t="b">
        <v>0</v>
      </c>
      <c r="B1672" s="32" t="str">
        <f>IMAGE("https://gymvisual.com/10371-catalog_default/dumbbell-one-arm-bent-over-row-female.jpg",4,500,500)</f>
        <v/>
      </c>
      <c r="C1672" s="30">
        <v>1671.0</v>
      </c>
      <c r="D1672" s="16" t="s">
        <v>2243</v>
      </c>
      <c r="E1672" s="16" t="s">
        <v>184</v>
      </c>
      <c r="F1672" s="16" t="s">
        <v>228</v>
      </c>
      <c r="G1672" s="16" t="s">
        <v>222</v>
      </c>
      <c r="H1672" s="16" t="s">
        <v>408</v>
      </c>
      <c r="I1672" s="16" t="s">
        <v>2244</v>
      </c>
    </row>
    <row r="1673" ht="242.25" customHeight="1">
      <c r="A1673" s="32" t="b">
        <v>0</v>
      </c>
      <c r="B1673" s="32" t="str">
        <f>IMAGE("https://gymvisual.com/15647-catalog_default/dumbbell-one-arm-bent-over-row.jpg",4,500,500)</f>
        <v/>
      </c>
      <c r="C1673" s="30">
        <v>1672.0</v>
      </c>
      <c r="D1673" s="16" t="s">
        <v>2245</v>
      </c>
      <c r="E1673" s="16" t="s">
        <v>184</v>
      </c>
      <c r="F1673" s="16" t="s">
        <v>192</v>
      </c>
      <c r="G1673" s="16" t="s">
        <v>222</v>
      </c>
      <c r="H1673" s="16" t="s">
        <v>329</v>
      </c>
      <c r="I1673" s="16" t="s">
        <v>457</v>
      </c>
    </row>
    <row r="1674" ht="242.25" customHeight="1">
      <c r="A1674" s="32" t="b">
        <v>0</v>
      </c>
      <c r="B1674" s="32" t="str">
        <f>IMAGE("https://gymvisual.com/5975-catalog_default/dumbbell-one-arm-chest-fly-on-exercise-ball.jpg",4,500,500)</f>
        <v/>
      </c>
      <c r="C1674" s="30">
        <v>1673.0</v>
      </c>
      <c r="D1674" s="16" t="s">
        <v>2246</v>
      </c>
      <c r="E1674" s="16" t="s">
        <v>184</v>
      </c>
      <c r="F1674" s="16" t="s">
        <v>234</v>
      </c>
      <c r="G1674" s="16" t="s">
        <v>222</v>
      </c>
      <c r="H1674" s="16" t="s">
        <v>347</v>
      </c>
      <c r="I1674" s="16" t="s">
        <v>420</v>
      </c>
    </row>
    <row r="1675" ht="242.25" customHeight="1">
      <c r="A1675" s="32" t="b">
        <v>0</v>
      </c>
      <c r="B1675" s="32" t="str">
        <f>IMAGE("https://gymvisual.com/1078-catalog_default/3-4-sit-up.jpg",4,500,500)</f>
        <v/>
      </c>
      <c r="C1675" s="30">
        <v>1674.0</v>
      </c>
      <c r="D1675" s="16" t="s">
        <v>2247</v>
      </c>
      <c r="E1675" s="16" t="s">
        <v>184</v>
      </c>
      <c r="F1675" s="16" t="s">
        <v>219</v>
      </c>
      <c r="G1675" s="16" t="s">
        <v>222</v>
      </c>
      <c r="H1675" s="16" t="s">
        <v>232</v>
      </c>
      <c r="I1675" s="16" t="s">
        <v>233</v>
      </c>
    </row>
    <row r="1676" ht="242.25" customHeight="1">
      <c r="B1676" s="32" t="str">
        <f>IMAGE("https://gymvisual.com/11321-catalog_default/dumbbell-one-arm-concetration-curl-on-stability-ball-female.jpg",4,500,500)</f>
        <v/>
      </c>
      <c r="C1676" s="30">
        <v>1675.0</v>
      </c>
      <c r="D1676" s="16" t="s">
        <v>2248</v>
      </c>
      <c r="E1676" s="16" t="s">
        <v>184</v>
      </c>
      <c r="F1676" s="16" t="s">
        <v>219</v>
      </c>
      <c r="G1676" s="16" t="s">
        <v>1929</v>
      </c>
      <c r="H1676" s="16" t="s">
        <v>220</v>
      </c>
      <c r="I1676" s="16" t="s">
        <v>220</v>
      </c>
    </row>
    <row r="1677" ht="242.25" customHeight="1">
      <c r="A1677" s="32" t="b">
        <v>0</v>
      </c>
      <c r="B1677" s="32" t="str">
        <f>IMAGE("https://gymvisual.com/5976-catalog_default/dumbbell-one-arm-decline-chest-press.jpg",4,500,500)</f>
        <v/>
      </c>
      <c r="C1677" s="30">
        <v>1676.0</v>
      </c>
      <c r="D1677" s="16" t="s">
        <v>2249</v>
      </c>
      <c r="E1677" s="16" t="s">
        <v>184</v>
      </c>
      <c r="F1677" s="16" t="s">
        <v>234</v>
      </c>
      <c r="G1677" s="16" t="s">
        <v>222</v>
      </c>
      <c r="H1677" s="16" t="s">
        <v>347</v>
      </c>
      <c r="I1677" s="16" t="s">
        <v>382</v>
      </c>
    </row>
    <row r="1678" ht="242.25" customHeight="1">
      <c r="A1678" s="32" t="b">
        <v>0</v>
      </c>
      <c r="B1678" s="32" t="str">
        <f>IMAGE("https://gymvisual.com/13616-catalog_default/dumbbell-one-arm-floor-fly.jpg",4,500,500)</f>
        <v/>
      </c>
      <c r="C1678" s="30">
        <v>1677.0</v>
      </c>
      <c r="D1678" s="16" t="s">
        <v>2250</v>
      </c>
      <c r="E1678" s="16" t="s">
        <v>184</v>
      </c>
      <c r="F1678" s="16" t="s">
        <v>234</v>
      </c>
      <c r="G1678" s="16" t="s">
        <v>222</v>
      </c>
      <c r="H1678" s="16" t="s">
        <v>235</v>
      </c>
      <c r="I1678" s="16" t="s">
        <v>236</v>
      </c>
    </row>
    <row r="1679" ht="242.25" customHeight="1">
      <c r="A1679" s="32" t="b">
        <v>0</v>
      </c>
      <c r="B1679" s="32" t="str">
        <f>IMAGE("https://gymvisual.com/5977-catalog_default/dumbbell-one-arm-fly-on-exercise-ball.jpg",4,500,500)</f>
        <v/>
      </c>
      <c r="C1679" s="30">
        <v>1678.0</v>
      </c>
      <c r="D1679" s="16" t="s">
        <v>2251</v>
      </c>
      <c r="E1679" s="16" t="s">
        <v>184</v>
      </c>
      <c r="F1679" s="16" t="s">
        <v>234</v>
      </c>
      <c r="G1679" s="16" t="s">
        <v>222</v>
      </c>
      <c r="H1679" s="16" t="s">
        <v>347</v>
      </c>
      <c r="I1679" s="16" t="s">
        <v>420</v>
      </c>
    </row>
    <row r="1680" ht="242.25" customHeight="1">
      <c r="A1680" s="32" t="b">
        <v>0</v>
      </c>
      <c r="B1680" s="32" t="str">
        <f>IMAGE("https://gymvisual.com/7455-catalog_default/dumbbell-one-arm-french-press-on-exercise-ball.jpg",4,500,500)</f>
        <v/>
      </c>
      <c r="C1680" s="30">
        <v>1679.0</v>
      </c>
      <c r="D1680" s="16" t="s">
        <v>2252</v>
      </c>
      <c r="E1680" s="16" t="s">
        <v>184</v>
      </c>
      <c r="F1680" s="16" t="s">
        <v>219</v>
      </c>
      <c r="G1680" s="16" t="s">
        <v>222</v>
      </c>
      <c r="H1680" s="16" t="s">
        <v>220</v>
      </c>
      <c r="I1680" s="16" t="s">
        <v>220</v>
      </c>
    </row>
    <row r="1681" ht="242.25" customHeight="1">
      <c r="B1681" s="32" t="str">
        <f>IMAGE("https://gymvisual.com/11474-catalog_default/dumbbell-one-arm-french-press-on-exercise-ball-female.jpg",4,500,500)</f>
        <v/>
      </c>
      <c r="C1681" s="30">
        <v>1680.0</v>
      </c>
      <c r="D1681" s="16" t="s">
        <v>2253</v>
      </c>
      <c r="E1681" s="16" t="s">
        <v>184</v>
      </c>
      <c r="F1681" s="16" t="s">
        <v>219</v>
      </c>
      <c r="G1681" s="16" t="s">
        <v>1929</v>
      </c>
      <c r="H1681" s="16" t="s">
        <v>220</v>
      </c>
      <c r="I1681" s="16" t="s">
        <v>220</v>
      </c>
    </row>
    <row r="1682" ht="242.25" customHeight="1">
      <c r="A1682" s="32" t="b">
        <v>0</v>
      </c>
      <c r="B1682" s="32" t="str">
        <f>IMAGE("https://gymvisual.com/17177-catalog_default/dumbbell-one-arm-front-raise.jpg",4,500,500)</f>
        <v/>
      </c>
      <c r="C1682" s="30">
        <v>1681.0</v>
      </c>
      <c r="D1682" s="16" t="s">
        <v>2254</v>
      </c>
      <c r="E1682" s="16" t="s">
        <v>184</v>
      </c>
      <c r="F1682" s="16" t="s">
        <v>228</v>
      </c>
      <c r="G1682" s="16" t="s">
        <v>222</v>
      </c>
      <c r="H1682" s="16" t="s">
        <v>229</v>
      </c>
      <c r="I1682" s="16" t="s">
        <v>244</v>
      </c>
    </row>
    <row r="1683" ht="242.25" customHeight="1">
      <c r="A1683" s="32" t="b">
        <v>0</v>
      </c>
      <c r="B1683" s="32" t="str">
        <f>IMAGE("https://gymvisual.com/7137-catalog_default/dumbbell-one-arm-hammer-preacher-curl.jpg",4,500,500)</f>
        <v/>
      </c>
      <c r="C1683" s="30">
        <v>1682.0</v>
      </c>
      <c r="D1683" s="16" t="s">
        <v>2255</v>
      </c>
      <c r="E1683" s="16" t="s">
        <v>184</v>
      </c>
      <c r="F1683" s="16" t="s">
        <v>219</v>
      </c>
      <c r="G1683" s="16" t="s">
        <v>222</v>
      </c>
      <c r="H1683" s="16" t="s">
        <v>220</v>
      </c>
      <c r="I1683" s="16" t="s">
        <v>220</v>
      </c>
    </row>
    <row r="1684" ht="242.25" customHeight="1">
      <c r="A1684" s="32" t="b">
        <v>0</v>
      </c>
      <c r="B1684" s="32" t="str">
        <f>IMAGE("https://gymvisual.com/7096-catalog_default/dumbbell-one-arm-hammer-press-on-exercise-ball.jpg",4,500,500)</f>
        <v/>
      </c>
      <c r="C1684" s="30">
        <v>1683.0</v>
      </c>
      <c r="D1684" s="16" t="s">
        <v>2256</v>
      </c>
      <c r="E1684" s="16" t="s">
        <v>184</v>
      </c>
      <c r="F1684" s="16" t="s">
        <v>219</v>
      </c>
      <c r="G1684" s="16" t="s">
        <v>222</v>
      </c>
      <c r="H1684" s="16" t="s">
        <v>220</v>
      </c>
      <c r="I1684" s="16" t="s">
        <v>220</v>
      </c>
    </row>
    <row r="1685" ht="242.25" customHeight="1">
      <c r="A1685" s="32" t="b">
        <v>0</v>
      </c>
      <c r="B1685" s="32" t="str">
        <f>IMAGE("https://gymvisual.com/5978-catalog_default/dumbbell-one-arm-incline-chest-press.jpg",4,500,500)</f>
        <v/>
      </c>
      <c r="C1685" s="30">
        <v>1684.0</v>
      </c>
      <c r="D1685" s="16" t="s">
        <v>2257</v>
      </c>
      <c r="E1685" s="16" t="s">
        <v>184</v>
      </c>
      <c r="F1685" s="16" t="s">
        <v>234</v>
      </c>
      <c r="G1685" s="16" t="s">
        <v>222</v>
      </c>
      <c r="H1685" s="16" t="s">
        <v>415</v>
      </c>
      <c r="I1685" s="16" t="s">
        <v>243</v>
      </c>
    </row>
    <row r="1686" ht="242.25" customHeight="1">
      <c r="A1686" s="32" t="b">
        <v>0</v>
      </c>
      <c r="B1686" s="32" t="str">
        <f>IMAGE("https://gymvisual.com/1081-catalog_default/3-4-sit-up.jpg",4,500,500)</f>
        <v/>
      </c>
      <c r="C1686" s="30">
        <v>1685.0</v>
      </c>
      <c r="D1686" s="16" t="s">
        <v>2258</v>
      </c>
      <c r="E1686" s="16" t="s">
        <v>184</v>
      </c>
      <c r="F1686" s="16" t="s">
        <v>219</v>
      </c>
      <c r="G1686" s="16" t="s">
        <v>222</v>
      </c>
      <c r="H1686" s="16" t="s">
        <v>223</v>
      </c>
      <c r="I1686" s="16" t="s">
        <v>220</v>
      </c>
    </row>
    <row r="1687" ht="242.25" customHeight="1">
      <c r="A1687" s="32" t="b">
        <v>0</v>
      </c>
      <c r="B1687" s="32" t="str">
        <f>IMAGE("https://gymvisual.com/10300-catalog_default/dumbbell-one-arm-kickback-female.jpg",4,500,500)</f>
        <v/>
      </c>
      <c r="C1687" s="30">
        <v>1686.0</v>
      </c>
      <c r="D1687" s="16" t="s">
        <v>2259</v>
      </c>
      <c r="E1687" s="16" t="s">
        <v>184</v>
      </c>
      <c r="F1687" s="16" t="s">
        <v>219</v>
      </c>
      <c r="G1687" s="16" t="s">
        <v>222</v>
      </c>
      <c r="H1687" s="16" t="s">
        <v>223</v>
      </c>
      <c r="I1687" s="16" t="s">
        <v>220</v>
      </c>
    </row>
    <row r="1688" ht="242.25" customHeight="1">
      <c r="A1688" s="32" t="b">
        <v>0</v>
      </c>
      <c r="B1688" s="32" t="str">
        <f>IMAGE("https://gymvisual.com/1084-catalog_default/3-4-sit-up.jpg",4,500,500)</f>
        <v/>
      </c>
      <c r="C1688" s="30">
        <v>1687.0</v>
      </c>
      <c r="D1688" s="16" t="s">
        <v>2260</v>
      </c>
      <c r="E1688" s="16" t="s">
        <v>184</v>
      </c>
      <c r="F1688" s="16" t="s">
        <v>228</v>
      </c>
      <c r="G1688" s="16" t="s">
        <v>222</v>
      </c>
      <c r="H1688" s="16" t="s">
        <v>544</v>
      </c>
      <c r="I1688" s="16" t="s">
        <v>545</v>
      </c>
    </row>
    <row r="1689" ht="242.25" customHeight="1">
      <c r="A1689" s="32" t="b">
        <v>0</v>
      </c>
      <c r="B1689" s="32" t="str">
        <f>IMAGE("https://gymvisual.com/11324-catalog_default/dumbbell-one-arm-lateral-raise-female.jpg",4,500,500)</f>
        <v/>
      </c>
      <c r="C1689" s="30">
        <v>1688.0</v>
      </c>
      <c r="D1689" s="16" t="s">
        <v>2261</v>
      </c>
      <c r="E1689" s="16" t="s">
        <v>184</v>
      </c>
      <c r="F1689" s="16" t="s">
        <v>228</v>
      </c>
      <c r="G1689" s="16" t="s">
        <v>222</v>
      </c>
      <c r="H1689" s="16" t="s">
        <v>544</v>
      </c>
      <c r="I1689" s="16" t="s">
        <v>545</v>
      </c>
    </row>
    <row r="1690" ht="242.25" customHeight="1">
      <c r="A1690" s="32" t="b">
        <v>0</v>
      </c>
      <c r="B1690" s="32" t="str">
        <f>IMAGE("https://gymvisual.com/11567-catalog_default/dumbbell-one-arm-lateral-raise-female.jpg",4,500,500)</f>
        <v/>
      </c>
      <c r="C1690" s="30">
        <v>1689.0</v>
      </c>
      <c r="D1690" s="16" t="s">
        <v>2262</v>
      </c>
      <c r="E1690" s="16" t="s">
        <v>184</v>
      </c>
      <c r="F1690" s="16" t="s">
        <v>228</v>
      </c>
      <c r="G1690" s="16" t="s">
        <v>222</v>
      </c>
      <c r="H1690" s="16" t="s">
        <v>220</v>
      </c>
      <c r="I1690" s="16" t="s">
        <v>220</v>
      </c>
    </row>
    <row r="1691" ht="242.25" customHeight="1">
      <c r="A1691" s="32" t="b">
        <v>0</v>
      </c>
      <c r="B1691" s="32" t="str">
        <f>IMAGE("https://gymvisual.com/1087-catalog_default/3-4-sit-up.jpg",4,500,500)</f>
        <v/>
      </c>
      <c r="C1691" s="30">
        <v>1690.0</v>
      </c>
      <c r="D1691" s="16" t="s">
        <v>2260</v>
      </c>
      <c r="E1691" s="16" t="s">
        <v>184</v>
      </c>
      <c r="F1691" s="16" t="s">
        <v>228</v>
      </c>
      <c r="G1691" s="16" t="s">
        <v>222</v>
      </c>
      <c r="H1691" s="16" t="s">
        <v>544</v>
      </c>
      <c r="I1691" s="16" t="s">
        <v>2135</v>
      </c>
    </row>
    <row r="1692" ht="242.25" customHeight="1">
      <c r="A1692" s="32" t="b">
        <v>0</v>
      </c>
      <c r="B1692" s="32" t="str">
        <f>IMAGE("https://gymvisual.com/22137-catalog_default/dumbbell-one-arm-low-fly.jpg",4,500,500)</f>
        <v/>
      </c>
      <c r="C1692" s="30">
        <v>1691.0</v>
      </c>
      <c r="D1692" s="16" t="s">
        <v>2263</v>
      </c>
      <c r="E1692" s="16" t="s">
        <v>184</v>
      </c>
      <c r="F1692" s="16" t="s">
        <v>234</v>
      </c>
      <c r="G1692" s="16" t="s">
        <v>222</v>
      </c>
      <c r="H1692" s="16" t="s">
        <v>235</v>
      </c>
      <c r="I1692" s="16" t="s">
        <v>236</v>
      </c>
    </row>
    <row r="1693" ht="242.25" customHeight="1">
      <c r="A1693" s="32" t="b">
        <v>0</v>
      </c>
      <c r="B1693" s="32" t="str">
        <f>IMAGE("https://gymvisual.com/13627-catalog_default/dumbbell-one-arm-lunge.jpg",4,500,500)</f>
        <v/>
      </c>
      <c r="C1693" s="30">
        <v>1692.0</v>
      </c>
      <c r="D1693" s="16" t="s">
        <v>2264</v>
      </c>
      <c r="E1693" s="16" t="s">
        <v>184</v>
      </c>
      <c r="F1693" s="16" t="s">
        <v>285</v>
      </c>
      <c r="G1693" s="16" t="s">
        <v>222</v>
      </c>
      <c r="H1693" s="16" t="s">
        <v>189</v>
      </c>
      <c r="I1693" s="16" t="s">
        <v>190</v>
      </c>
    </row>
    <row r="1694" ht="242.25" customHeight="1">
      <c r="A1694" s="32" t="b">
        <v>0</v>
      </c>
      <c r="B1694" s="32" t="str">
        <f>IMAGE("https://gymvisual.com/1090-catalog_default/3-4-sit-up.jpg",4,500,500)</f>
        <v/>
      </c>
      <c r="C1694" s="30">
        <v>1693.0</v>
      </c>
      <c r="D1694" s="16" t="s">
        <v>2265</v>
      </c>
      <c r="E1694" s="16" t="s">
        <v>184</v>
      </c>
      <c r="F1694" s="16" t="s">
        <v>234</v>
      </c>
      <c r="G1694" s="16" t="s">
        <v>222</v>
      </c>
      <c r="H1694" s="16" t="s">
        <v>235</v>
      </c>
      <c r="I1694" s="16" t="s">
        <v>2266</v>
      </c>
    </row>
    <row r="1695" ht="242.25" customHeight="1">
      <c r="A1695" s="32" t="b">
        <v>0</v>
      </c>
      <c r="B1695" s="32" t="str">
        <f>IMAGE("https://gymvisual.com/5979-catalog_default/dumbbell-one-arm-press-on-exercise-ball.jpg",4,500,500)</f>
        <v/>
      </c>
      <c r="C1695" s="30">
        <v>1694.0</v>
      </c>
      <c r="D1695" s="16" t="s">
        <v>2267</v>
      </c>
      <c r="E1695" s="16" t="s">
        <v>184</v>
      </c>
      <c r="F1695" s="16" t="s">
        <v>234</v>
      </c>
      <c r="G1695" s="16" t="s">
        <v>222</v>
      </c>
      <c r="H1695" s="16" t="s">
        <v>347</v>
      </c>
      <c r="I1695" s="16" t="s">
        <v>382</v>
      </c>
    </row>
    <row r="1696" ht="242.25" customHeight="1">
      <c r="A1696" s="32" t="b">
        <v>0</v>
      </c>
      <c r="B1696" s="32" t="str">
        <f>IMAGE("https://gymvisual.com/7139-catalog_default/dumbbell-one-arm-prone-curl.jpg",4,500,500)</f>
        <v/>
      </c>
      <c r="C1696" s="30">
        <v>1695.0</v>
      </c>
      <c r="D1696" s="16" t="s">
        <v>2268</v>
      </c>
      <c r="E1696" s="16" t="s">
        <v>184</v>
      </c>
      <c r="F1696" s="16" t="s">
        <v>219</v>
      </c>
      <c r="G1696" s="16" t="s">
        <v>222</v>
      </c>
      <c r="H1696" s="16" t="s">
        <v>220</v>
      </c>
      <c r="I1696" s="16" t="s">
        <v>220</v>
      </c>
    </row>
    <row r="1697" ht="242.25" customHeight="1">
      <c r="A1697" s="32" t="b">
        <v>0</v>
      </c>
      <c r="B1697" s="32" t="str">
        <f>IMAGE("https://gymvisual.com/7140-catalog_default/dumbbell-one-arm-prone-hammer-curl.jpg",4,500,500)</f>
        <v/>
      </c>
      <c r="C1697" s="30">
        <v>1696.0</v>
      </c>
      <c r="D1697" s="16" t="s">
        <v>2269</v>
      </c>
      <c r="E1697" s="16" t="s">
        <v>184</v>
      </c>
      <c r="F1697" s="16" t="s">
        <v>219</v>
      </c>
      <c r="G1697" s="16" t="s">
        <v>222</v>
      </c>
      <c r="H1697" s="16" t="s">
        <v>220</v>
      </c>
      <c r="I1697" s="16" t="s">
        <v>220</v>
      </c>
    </row>
    <row r="1698" ht="242.25" customHeight="1">
      <c r="A1698" s="32" t="b">
        <v>0</v>
      </c>
      <c r="B1698" s="32" t="str">
        <f>IMAGE("https://gymvisual.com/5980-catalog_default/dumbbell-one-arm-pullover-on-exercise-ball.jpg",4,500,500)</f>
        <v/>
      </c>
      <c r="C1698" s="30">
        <v>1697.0</v>
      </c>
      <c r="D1698" s="16" t="s">
        <v>2270</v>
      </c>
      <c r="E1698" s="16" t="s">
        <v>184</v>
      </c>
      <c r="F1698" s="16" t="s">
        <v>234</v>
      </c>
      <c r="G1698" s="16" t="s">
        <v>222</v>
      </c>
      <c r="H1698" s="16" t="s">
        <v>347</v>
      </c>
      <c r="I1698" s="16" t="s">
        <v>2222</v>
      </c>
    </row>
    <row r="1699" ht="242.25" customHeight="1">
      <c r="A1699" s="32" t="b">
        <v>0</v>
      </c>
      <c r="B1699" s="32" t="str">
        <f>IMAGE("https://gymvisual.com/1093-catalog_default/3-4-sit-up.jpg",4,500,500)</f>
        <v/>
      </c>
      <c r="C1699" s="30">
        <v>1698.0</v>
      </c>
      <c r="D1699" s="16" t="s">
        <v>2271</v>
      </c>
      <c r="E1699" s="16" t="s">
        <v>184</v>
      </c>
      <c r="F1699" s="16" t="s">
        <v>214</v>
      </c>
      <c r="G1699" s="16" t="s">
        <v>222</v>
      </c>
      <c r="H1699" s="16" t="s">
        <v>604</v>
      </c>
      <c r="I1699" s="16" t="s">
        <v>220</v>
      </c>
    </row>
    <row r="1700" ht="242.25" customHeight="1">
      <c r="A1700" s="32" t="b">
        <v>0</v>
      </c>
      <c r="B1700" s="32" t="str">
        <f>IMAGE("https://gymvisual.com/11549-catalog_default/dumbbell-one-arm-revers-wrist-curl-female.jpg",4,500,500)</f>
        <v/>
      </c>
      <c r="C1700" s="30">
        <v>1699.0</v>
      </c>
      <c r="D1700" s="16" t="s">
        <v>2272</v>
      </c>
      <c r="E1700" s="16" t="s">
        <v>184</v>
      </c>
      <c r="F1700" s="16" t="s">
        <v>214</v>
      </c>
      <c r="G1700" s="16" t="s">
        <v>222</v>
      </c>
      <c r="H1700" s="16" t="s">
        <v>220</v>
      </c>
      <c r="I1700" s="16" t="s">
        <v>220</v>
      </c>
    </row>
    <row r="1701" ht="242.25" customHeight="1">
      <c r="A1701" s="32" t="b">
        <v>0</v>
      </c>
      <c r="B1701" s="32" t="str">
        <f>IMAGE("https://gymvisual.com/1096-catalog_default/3-4-sit-up.jpg",4,500,500)</f>
        <v/>
      </c>
      <c r="C1701" s="30">
        <v>1700.0</v>
      </c>
      <c r="D1701" s="16" t="s">
        <v>2273</v>
      </c>
      <c r="E1701" s="16" t="s">
        <v>184</v>
      </c>
      <c r="F1701" s="16" t="s">
        <v>228</v>
      </c>
      <c r="G1701" s="16" t="s">
        <v>222</v>
      </c>
      <c r="H1701" s="16" t="s">
        <v>408</v>
      </c>
      <c r="I1701" s="16" t="s">
        <v>452</v>
      </c>
    </row>
    <row r="1702" ht="242.25" customHeight="1">
      <c r="A1702" s="32" t="b">
        <v>0</v>
      </c>
      <c r="B1702" s="32" t="str">
        <f>IMAGE("https://gymvisual.com/11570-catalog_default/dumbbell-one-arm-reverse-fly-with-support-female.jpg",4,500,500)</f>
        <v/>
      </c>
      <c r="C1702" s="30">
        <v>1701.0</v>
      </c>
      <c r="D1702" s="16" t="s">
        <v>2274</v>
      </c>
      <c r="E1702" s="16" t="s">
        <v>184</v>
      </c>
      <c r="F1702" s="16" t="s">
        <v>228</v>
      </c>
      <c r="G1702" s="16" t="s">
        <v>222</v>
      </c>
      <c r="H1702" s="16" t="s">
        <v>220</v>
      </c>
      <c r="I1702" s="16" t="s">
        <v>220</v>
      </c>
    </row>
    <row r="1703" ht="242.25" customHeight="1">
      <c r="A1703" s="32" t="b">
        <v>0</v>
      </c>
      <c r="B1703" s="32" t="str">
        <f>IMAGE("https://gymvisual.com/17642-catalog_default/dumbbell-one-arm-reverse-fly-with-support-version-2.jpg",4,500,500)</f>
        <v/>
      </c>
      <c r="C1703" s="30">
        <v>1702.0</v>
      </c>
      <c r="D1703" s="16" t="s">
        <v>2275</v>
      </c>
      <c r="E1703" s="16" t="s">
        <v>184</v>
      </c>
      <c r="F1703" s="16" t="s">
        <v>228</v>
      </c>
      <c r="G1703" s="16" t="s">
        <v>222</v>
      </c>
      <c r="H1703" s="16" t="s">
        <v>408</v>
      </c>
      <c r="I1703" s="16" t="s">
        <v>452</v>
      </c>
    </row>
    <row r="1704" ht="242.25" customHeight="1">
      <c r="A1704" s="32" t="b">
        <v>0</v>
      </c>
      <c r="B1704" s="32" t="str">
        <f>IMAGE("https://gymvisual.com/7097-catalog_default/dumbbell-one-arm-reverse-grip-press.jpg",4,500,500)</f>
        <v/>
      </c>
      <c r="C1704" s="30">
        <v>1703.0</v>
      </c>
      <c r="D1704" s="16" t="s">
        <v>2276</v>
      </c>
      <c r="E1704" s="16" t="s">
        <v>184</v>
      </c>
      <c r="F1704" s="16" t="s">
        <v>234</v>
      </c>
      <c r="G1704" s="16" t="s">
        <v>222</v>
      </c>
      <c r="H1704" s="16" t="s">
        <v>220</v>
      </c>
      <c r="I1704" s="16" t="s">
        <v>220</v>
      </c>
    </row>
    <row r="1705" ht="242.25" customHeight="1">
      <c r="A1705" s="32" t="b">
        <v>0</v>
      </c>
      <c r="B1705" s="32" t="str">
        <f>IMAGE("https://gymvisual.com/6266-catalog_default/dumbbell-one-arm-reverse-preacher-curl.jpg",4,500,500)</f>
        <v/>
      </c>
      <c r="C1705" s="30">
        <v>1704.0</v>
      </c>
      <c r="D1705" s="16" t="s">
        <v>2277</v>
      </c>
      <c r="E1705" s="16" t="s">
        <v>184</v>
      </c>
      <c r="F1705" s="16" t="s">
        <v>214</v>
      </c>
      <c r="G1705" s="16" t="s">
        <v>222</v>
      </c>
      <c r="H1705" s="16" t="s">
        <v>216</v>
      </c>
      <c r="I1705" s="16" t="s">
        <v>217</v>
      </c>
    </row>
    <row r="1706" ht="242.25" customHeight="1">
      <c r="A1706" s="32" t="b">
        <v>0</v>
      </c>
      <c r="B1706" s="32" t="str">
        <f>IMAGE("https://gymvisual.com/7141-catalog_default/dumbbell-one-arm-reverse-spider-curl.jpg",4,500,500)</f>
        <v/>
      </c>
      <c r="C1706" s="30">
        <v>1705.0</v>
      </c>
      <c r="D1706" s="16" t="s">
        <v>2278</v>
      </c>
      <c r="E1706" s="16" t="s">
        <v>184</v>
      </c>
      <c r="F1706" s="16" t="s">
        <v>219</v>
      </c>
      <c r="G1706" s="16" t="s">
        <v>222</v>
      </c>
      <c r="H1706" s="16" t="s">
        <v>220</v>
      </c>
      <c r="I1706" s="16" t="s">
        <v>220</v>
      </c>
    </row>
    <row r="1707" ht="242.25" customHeight="1">
      <c r="A1707" s="32" t="b">
        <v>0</v>
      </c>
      <c r="B1707" s="32" t="str">
        <f>IMAGE("https://gymvisual.com/4607-catalog_default/dumbbell-one-arm-row-rack-support.jpg",4,500,500)</f>
        <v/>
      </c>
      <c r="C1707" s="30">
        <v>1706.0</v>
      </c>
      <c r="D1707" s="16" t="s">
        <v>2279</v>
      </c>
      <c r="E1707" s="16" t="s">
        <v>184</v>
      </c>
      <c r="F1707" s="16" t="s">
        <v>192</v>
      </c>
      <c r="G1707" s="16" t="s">
        <v>222</v>
      </c>
      <c r="H1707" s="16" t="s">
        <v>329</v>
      </c>
      <c r="I1707" s="16" t="s">
        <v>457</v>
      </c>
    </row>
    <row r="1708" ht="242.25" customHeight="1">
      <c r="A1708" s="32" t="b">
        <v>0</v>
      </c>
      <c r="B1708" s="32" t="str">
        <f>IMAGE("https://gymvisual.com/7142-catalog_default/dumbbell-one-arm-seated-bicep-curl-on-exercise-ball.jpg",4,500,500)</f>
        <v/>
      </c>
      <c r="C1708" s="30">
        <v>1707.0</v>
      </c>
      <c r="D1708" s="16" t="s">
        <v>2280</v>
      </c>
      <c r="E1708" s="16" t="s">
        <v>184</v>
      </c>
      <c r="F1708" s="16" t="s">
        <v>219</v>
      </c>
      <c r="G1708" s="16" t="s">
        <v>222</v>
      </c>
      <c r="H1708" s="16" t="s">
        <v>220</v>
      </c>
      <c r="I1708" s="16" t="s">
        <v>220</v>
      </c>
    </row>
    <row r="1709" ht="242.25" customHeight="1">
      <c r="A1709" s="32" t="b">
        <v>0</v>
      </c>
      <c r="B1709" s="32" t="str">
        <f>IMAGE("https://gymvisual.com/7143-catalog_default/dumbbell-one-arm-seated-hammer-curl.jpg",4,500,500)</f>
        <v/>
      </c>
      <c r="C1709" s="30">
        <v>1708.0</v>
      </c>
      <c r="D1709" s="16" t="s">
        <v>2281</v>
      </c>
      <c r="E1709" s="16" t="s">
        <v>184</v>
      </c>
      <c r="F1709" s="16" t="s">
        <v>219</v>
      </c>
      <c r="G1709" s="16" t="s">
        <v>222</v>
      </c>
      <c r="H1709" s="16" t="s">
        <v>220</v>
      </c>
      <c r="I1709" s="16" t="s">
        <v>220</v>
      </c>
    </row>
    <row r="1710" ht="242.25" customHeight="1">
      <c r="A1710" s="32" t="b">
        <v>0</v>
      </c>
      <c r="B1710" s="32" t="str">
        <f>IMAGE("https://gymvisual.com/6267-catalog_default/dumbbell-one-arm-seated-neutral-wrist-curl.jpg",4,500,500)</f>
        <v/>
      </c>
      <c r="C1710" s="30">
        <v>1709.0</v>
      </c>
      <c r="D1710" s="16" t="s">
        <v>2282</v>
      </c>
      <c r="E1710" s="16" t="s">
        <v>184</v>
      </c>
      <c r="F1710" s="16" t="s">
        <v>214</v>
      </c>
      <c r="G1710" s="16" t="s">
        <v>222</v>
      </c>
      <c r="H1710" s="16" t="s">
        <v>604</v>
      </c>
      <c r="I1710" s="16" t="s">
        <v>220</v>
      </c>
    </row>
    <row r="1711" ht="242.25" customHeight="1">
      <c r="A1711" s="32" t="b">
        <v>0</v>
      </c>
      <c r="B1711" s="32" t="str">
        <f>IMAGE("https://gymvisual.com/11552-catalog_default/dumbbell-one-arm-seated-neutral-wrist-curl-female.jpg",4,500,500)</f>
        <v/>
      </c>
      <c r="C1711" s="30">
        <v>1710.0</v>
      </c>
      <c r="D1711" s="16" t="s">
        <v>2283</v>
      </c>
      <c r="E1711" s="16" t="s">
        <v>184</v>
      </c>
      <c r="F1711" s="16" t="s">
        <v>214</v>
      </c>
      <c r="G1711" s="16" t="s">
        <v>222</v>
      </c>
      <c r="H1711" s="16" t="s">
        <v>220</v>
      </c>
      <c r="I1711" s="16" t="s">
        <v>220</v>
      </c>
    </row>
    <row r="1712" ht="242.25" customHeight="1">
      <c r="A1712" s="32" t="b">
        <v>0</v>
      </c>
      <c r="B1712" s="32" t="str">
        <f>IMAGE("https://gymvisual.com/1102-catalog_default/3-4-sit-up.jpg",4,500,500)</f>
        <v/>
      </c>
      <c r="C1712" s="30">
        <v>1711.0</v>
      </c>
      <c r="D1712" s="16" t="s">
        <v>2284</v>
      </c>
      <c r="E1712" s="16" t="s">
        <v>184</v>
      </c>
      <c r="F1712" s="16" t="s">
        <v>228</v>
      </c>
      <c r="G1712" s="16" t="s">
        <v>222</v>
      </c>
      <c r="H1712" s="16" t="s">
        <v>229</v>
      </c>
      <c r="I1712" s="16" t="s">
        <v>626</v>
      </c>
    </row>
    <row r="1713" ht="242.25" customHeight="1">
      <c r="A1713" s="32" t="b">
        <v>0</v>
      </c>
      <c r="B1713" s="32" t="str">
        <f>IMAGE("https://gymvisual.com/1099-catalog_default/3-4-sit-up.jpg",4,500,500)</f>
        <v/>
      </c>
      <c r="C1713" s="30">
        <v>1712.0</v>
      </c>
      <c r="D1713" s="16" t="s">
        <v>2285</v>
      </c>
      <c r="E1713" s="16" t="s">
        <v>184</v>
      </c>
      <c r="F1713" s="16" t="s">
        <v>228</v>
      </c>
      <c r="G1713" s="16" t="s">
        <v>222</v>
      </c>
      <c r="H1713" s="16" t="s">
        <v>229</v>
      </c>
      <c r="I1713" s="16" t="s">
        <v>626</v>
      </c>
    </row>
    <row r="1714" ht="242.25" customHeight="1">
      <c r="A1714" s="32" t="b">
        <v>0</v>
      </c>
      <c r="B1714" s="32" t="str">
        <f>IMAGE("https://gymvisual.com/10310-catalog_default/dumbbell-one-arm-shoulder-press-version-2-female.jpg",4,500,500)</f>
        <v/>
      </c>
      <c r="C1714" s="30">
        <v>1713.0</v>
      </c>
      <c r="D1714" s="16" t="s">
        <v>2286</v>
      </c>
      <c r="E1714" s="16" t="s">
        <v>184</v>
      </c>
      <c r="F1714" s="16" t="s">
        <v>228</v>
      </c>
      <c r="G1714" s="16" t="s">
        <v>222</v>
      </c>
      <c r="H1714" s="16" t="s">
        <v>229</v>
      </c>
      <c r="I1714" s="16" t="s">
        <v>626</v>
      </c>
    </row>
    <row r="1715" ht="242.25" customHeight="1">
      <c r="A1715" s="32" t="b">
        <v>0</v>
      </c>
      <c r="B1715" s="32" t="str">
        <f>IMAGE("https://gymvisual.com/17119-catalog_default/dumbbell-one-arm-snatch.jpg",4,500,500)</f>
        <v/>
      </c>
      <c r="C1715" s="30">
        <v>1714.0</v>
      </c>
      <c r="D1715" s="16" t="s">
        <v>2287</v>
      </c>
      <c r="E1715" s="16" t="s">
        <v>184</v>
      </c>
      <c r="F1715" s="16" t="s">
        <v>691</v>
      </c>
      <c r="G1715" s="16" t="s">
        <v>222</v>
      </c>
      <c r="H1715" s="16" t="s">
        <v>2288</v>
      </c>
      <c r="I1715" s="16" t="s">
        <v>2289</v>
      </c>
    </row>
    <row r="1716" ht="242.25" customHeight="1">
      <c r="A1716" s="32" t="b">
        <v>0</v>
      </c>
      <c r="B1716" s="32" t="str">
        <f>IMAGE("https://gymvisual.com/7144-catalog_default/dumbbell-one-arm-standing-curl.jpg",4,500,500)</f>
        <v/>
      </c>
      <c r="C1716" s="30">
        <v>1715.0</v>
      </c>
      <c r="D1716" s="16" t="s">
        <v>2290</v>
      </c>
      <c r="E1716" s="16" t="s">
        <v>184</v>
      </c>
      <c r="F1716" s="16" t="s">
        <v>219</v>
      </c>
      <c r="G1716" s="16" t="s">
        <v>222</v>
      </c>
      <c r="H1716" s="16" t="s">
        <v>220</v>
      </c>
      <c r="I1716" s="16" t="s">
        <v>220</v>
      </c>
    </row>
    <row r="1717" ht="242.25" customHeight="1">
      <c r="A1717" s="32" t="b">
        <v>0</v>
      </c>
      <c r="B1717" s="32" t="str">
        <f>IMAGE("https://gymvisual.com/7145-catalog_default/dumbbell-one-arm-standing-hammer-curl.jpg",4,500,500)</f>
        <v/>
      </c>
      <c r="C1717" s="30">
        <v>1716.0</v>
      </c>
      <c r="D1717" s="16" t="s">
        <v>2291</v>
      </c>
      <c r="E1717" s="16" t="s">
        <v>184</v>
      </c>
      <c r="F1717" s="16" t="s">
        <v>219</v>
      </c>
      <c r="G1717" s="16" t="s">
        <v>222</v>
      </c>
      <c r="H1717" s="16" t="s">
        <v>220</v>
      </c>
      <c r="I1717" s="16" t="s">
        <v>220</v>
      </c>
    </row>
    <row r="1718" ht="242.25" customHeight="1">
      <c r="A1718" s="32" t="b">
        <v>0</v>
      </c>
      <c r="B1718" s="32" t="str">
        <f>IMAGE("https://gymvisual.com/19179-catalog_default/dumbbell-one-arm-thruster.jpg",4,500,500)</f>
        <v/>
      </c>
      <c r="C1718" s="30">
        <v>1717.0</v>
      </c>
      <c r="D1718" s="16" t="s">
        <v>2292</v>
      </c>
      <c r="E1718" s="16" t="s">
        <v>184</v>
      </c>
      <c r="F1718" s="16" t="s">
        <v>691</v>
      </c>
      <c r="G1718" s="16" t="s">
        <v>222</v>
      </c>
      <c r="H1718" s="16" t="s">
        <v>220</v>
      </c>
      <c r="I1718" s="16" t="s">
        <v>220</v>
      </c>
    </row>
    <row r="1719" ht="242.25" customHeight="1">
      <c r="A1719" s="32" t="b">
        <v>0</v>
      </c>
      <c r="B1719" s="32" t="str">
        <f>IMAGE("https://gymvisual.com/18758-catalog_default/dumbbell-one-arm-triceps-extension-female.jpg",4,500,500)</f>
        <v/>
      </c>
      <c r="C1719" s="30">
        <v>1718.0</v>
      </c>
      <c r="D1719" s="16" t="s">
        <v>2293</v>
      </c>
      <c r="E1719" s="16" t="s">
        <v>184</v>
      </c>
      <c r="F1719" s="16" t="s">
        <v>219</v>
      </c>
      <c r="G1719" s="16" t="s">
        <v>222</v>
      </c>
      <c r="H1719" s="16" t="s">
        <v>220</v>
      </c>
      <c r="I1719" s="16" t="s">
        <v>220</v>
      </c>
    </row>
    <row r="1720" ht="242.25" customHeight="1">
      <c r="A1720" s="32" t="b">
        <v>0</v>
      </c>
      <c r="B1720" s="32" t="str">
        <f>IMAGE("https://gymvisual.com/1105-catalog_default/3-4-sit-up.jpg",4,500,500)</f>
        <v/>
      </c>
      <c r="C1720" s="30">
        <v>1719.0</v>
      </c>
      <c r="D1720" s="16" t="s">
        <v>2294</v>
      </c>
      <c r="E1720" s="16" t="s">
        <v>184</v>
      </c>
      <c r="F1720" s="16" t="s">
        <v>219</v>
      </c>
      <c r="G1720" s="16" t="s">
        <v>222</v>
      </c>
      <c r="H1720" s="16" t="s">
        <v>223</v>
      </c>
      <c r="I1720" s="16" t="s">
        <v>220</v>
      </c>
    </row>
    <row r="1721" ht="242.25" customHeight="1">
      <c r="A1721" s="32" t="b">
        <v>0</v>
      </c>
      <c r="B1721" s="32" t="str">
        <f>IMAGE("https://gymvisual.com/11351-catalog_default/dumbbell-one-arm-triceps-extension-on-bench-female.jpg",4,500,500)</f>
        <v/>
      </c>
      <c r="C1721" s="30">
        <v>1720.0</v>
      </c>
      <c r="D1721" s="16" t="s">
        <v>2295</v>
      </c>
      <c r="E1721" s="16" t="s">
        <v>184</v>
      </c>
      <c r="F1721" s="16" t="s">
        <v>219</v>
      </c>
      <c r="G1721" s="16" t="s">
        <v>222</v>
      </c>
      <c r="H1721" s="16" t="s">
        <v>223</v>
      </c>
      <c r="I1721" s="16" t="s">
        <v>220</v>
      </c>
    </row>
    <row r="1722" ht="242.25" customHeight="1">
      <c r="A1722" s="32" t="b">
        <v>0</v>
      </c>
      <c r="B1722" s="32" t="str">
        <f>IMAGE("https://gymvisual.com/17841-catalog_default/dumbbell-one-arm-triceps-extension-on-stability-ball.jpg",4,500,500)</f>
        <v/>
      </c>
      <c r="C1722" s="30">
        <v>1721.0</v>
      </c>
      <c r="D1722" s="16" t="s">
        <v>2296</v>
      </c>
      <c r="E1722" s="16" t="s">
        <v>184</v>
      </c>
      <c r="F1722" s="16" t="s">
        <v>219</v>
      </c>
      <c r="G1722" s="16" t="s">
        <v>222</v>
      </c>
      <c r="H1722" s="16" t="s">
        <v>220</v>
      </c>
      <c r="I1722" s="16" t="s">
        <v>220</v>
      </c>
    </row>
    <row r="1723" ht="242.25" customHeight="1">
      <c r="A1723" s="32" t="b">
        <v>0</v>
      </c>
      <c r="B1723" s="32" t="str">
        <f>IMAGE("https://gymvisual.com/1108-catalog_default/3-4-sit-up.jpg",4,500,500)</f>
        <v/>
      </c>
      <c r="C1723" s="30">
        <v>1722.0</v>
      </c>
      <c r="D1723" s="16" t="s">
        <v>2297</v>
      </c>
      <c r="E1723" s="16" t="s">
        <v>184</v>
      </c>
      <c r="F1723" s="16" t="s">
        <v>228</v>
      </c>
      <c r="G1723" s="16" t="s">
        <v>222</v>
      </c>
      <c r="H1723" s="16" t="s">
        <v>544</v>
      </c>
      <c r="I1723" s="16" t="s">
        <v>2298</v>
      </c>
    </row>
    <row r="1724" ht="242.25" customHeight="1">
      <c r="A1724" s="32" t="b">
        <v>0</v>
      </c>
      <c r="B1724" s="32" t="str">
        <f>IMAGE("https://gymvisual.com/11348-catalog_default/dumbbell-one-arm-upright-row-female.jpg",4,500,500)</f>
        <v/>
      </c>
      <c r="C1724" s="30">
        <v>1723.0</v>
      </c>
      <c r="D1724" s="16" t="s">
        <v>2299</v>
      </c>
      <c r="E1724" s="16" t="s">
        <v>184</v>
      </c>
      <c r="F1724" s="16" t="s">
        <v>228</v>
      </c>
      <c r="G1724" s="16" t="s">
        <v>222</v>
      </c>
      <c r="H1724" s="16" t="s">
        <v>220</v>
      </c>
      <c r="I1724" s="16" t="s">
        <v>220</v>
      </c>
    </row>
    <row r="1725" ht="242.25" customHeight="1">
      <c r="A1725" s="32" t="b">
        <v>0</v>
      </c>
      <c r="B1725" s="32" t="str">
        <f>IMAGE("https://gymvisual.com/13614-catalog_default/dumbbell-one-arm-wide-grip-bench-press.jpg",4,500,500)</f>
        <v/>
      </c>
      <c r="C1725" s="30">
        <v>1724.0</v>
      </c>
      <c r="D1725" s="16" t="s">
        <v>2300</v>
      </c>
      <c r="E1725" s="16" t="s">
        <v>184</v>
      </c>
      <c r="F1725" s="16" t="s">
        <v>234</v>
      </c>
      <c r="G1725" s="16" t="s">
        <v>222</v>
      </c>
      <c r="H1725" s="16" t="s">
        <v>235</v>
      </c>
      <c r="I1725" s="16" t="s">
        <v>243</v>
      </c>
    </row>
    <row r="1726" ht="242.25" customHeight="1">
      <c r="A1726" s="32" t="b">
        <v>0</v>
      </c>
      <c r="B1726" s="32" t="str">
        <f>IMAGE("https://gymvisual.com/13115-catalog_default/3-4-sit-up.jpg",4,500,500)</f>
        <v/>
      </c>
      <c r="C1726" s="30">
        <v>1725.0</v>
      </c>
      <c r="D1726" s="16" t="s">
        <v>2301</v>
      </c>
      <c r="E1726" s="16" t="s">
        <v>184</v>
      </c>
      <c r="F1726" s="16" t="s">
        <v>214</v>
      </c>
      <c r="G1726" s="16" t="s">
        <v>222</v>
      </c>
      <c r="H1726" s="16" t="s">
        <v>720</v>
      </c>
      <c r="I1726" s="16" t="s">
        <v>220</v>
      </c>
    </row>
    <row r="1727" ht="242.25" customHeight="1">
      <c r="A1727" s="32" t="b">
        <v>0</v>
      </c>
      <c r="B1727" s="32" t="str">
        <f>IMAGE("https://gymvisual.com/11555-catalog_default/dumbbell-one-arm-wrist-curl-femaleforearm.jpg",4,500,500)</f>
        <v/>
      </c>
      <c r="C1727" s="30">
        <v>1726.0</v>
      </c>
      <c r="D1727" s="16" t="s">
        <v>2302</v>
      </c>
      <c r="E1727" s="16" t="s">
        <v>184</v>
      </c>
      <c r="F1727" s="16" t="s">
        <v>214</v>
      </c>
      <c r="G1727" s="16" t="s">
        <v>222</v>
      </c>
      <c r="H1727" s="16" t="s">
        <v>220</v>
      </c>
      <c r="I1727" s="16" t="s">
        <v>220</v>
      </c>
    </row>
    <row r="1728" ht="242.25" customHeight="1">
      <c r="A1728" s="32" t="b">
        <v>0</v>
      </c>
      <c r="B1728" s="32" t="str">
        <f>IMAGE("https://gymvisual.com/20088-catalog_default/dumbbell-one-arm-y-elevation.jpg",4,500,500)</f>
        <v/>
      </c>
      <c r="C1728" s="30">
        <v>1727.0</v>
      </c>
      <c r="D1728" s="16" t="s">
        <v>2303</v>
      </c>
      <c r="E1728" s="16" t="s">
        <v>184</v>
      </c>
      <c r="F1728" s="16" t="s">
        <v>228</v>
      </c>
      <c r="G1728" s="16" t="s">
        <v>222</v>
      </c>
      <c r="H1728" s="16" t="s">
        <v>1997</v>
      </c>
      <c r="I1728" s="16" t="s">
        <v>731</v>
      </c>
    </row>
    <row r="1729" ht="242.25" customHeight="1">
      <c r="A1729" s="32" t="b">
        <v>0</v>
      </c>
      <c r="B1729" s="32" t="str">
        <f>IMAGE("https://gymvisual.com/7146-catalog_default/dumbbell-one-arm-zottman-preacher-curl.jpg",4,500,500)</f>
        <v/>
      </c>
      <c r="C1729" s="30">
        <v>1728.0</v>
      </c>
      <c r="D1729" s="16" t="s">
        <v>2304</v>
      </c>
      <c r="E1729" s="16" t="s">
        <v>184</v>
      </c>
      <c r="F1729" s="16" t="s">
        <v>219</v>
      </c>
      <c r="G1729" s="16" t="s">
        <v>222</v>
      </c>
      <c r="H1729" s="16" t="s">
        <v>241</v>
      </c>
      <c r="I1729" s="16" t="s">
        <v>2305</v>
      </c>
    </row>
    <row r="1730" ht="242.25" customHeight="1">
      <c r="A1730" s="32" t="b">
        <v>0</v>
      </c>
      <c r="B1730" s="32" t="str">
        <f>IMAGE("https://gymvisual.com/16706-catalog_default/dumbbell-one-arm-zottman-preacher-curl-female.jpg",4,500,500)</f>
        <v/>
      </c>
      <c r="C1730" s="30">
        <v>1729.0</v>
      </c>
      <c r="D1730" s="16" t="s">
        <v>2306</v>
      </c>
      <c r="E1730" s="16" t="s">
        <v>184</v>
      </c>
      <c r="F1730" s="16" t="s">
        <v>219</v>
      </c>
      <c r="G1730" s="16" t="s">
        <v>222</v>
      </c>
      <c r="H1730" s="16" t="s">
        <v>241</v>
      </c>
      <c r="I1730" s="16" t="s">
        <v>2305</v>
      </c>
    </row>
    <row r="1731" ht="242.25" customHeight="1">
      <c r="A1731" s="32" t="b">
        <v>0</v>
      </c>
      <c r="B1731" s="32" t="str">
        <f>IMAGE("https://gymvisual.com/5981-catalog_default/dumbbell-one-leg-fly-on-exercise-ball.jpg",4,500,500)</f>
        <v/>
      </c>
      <c r="C1731" s="30">
        <v>1730.0</v>
      </c>
      <c r="D1731" s="16" t="s">
        <v>2307</v>
      </c>
      <c r="E1731" s="16" t="s">
        <v>184</v>
      </c>
      <c r="F1731" s="16" t="s">
        <v>234</v>
      </c>
      <c r="G1731" s="16" t="s">
        <v>222</v>
      </c>
      <c r="H1731" s="16" t="s">
        <v>347</v>
      </c>
      <c r="I1731" s="16" t="s">
        <v>420</v>
      </c>
    </row>
    <row r="1732" ht="242.25" customHeight="1">
      <c r="A1732" s="32" t="b">
        <v>0</v>
      </c>
      <c r="B1732" s="32" t="str">
        <f>IMAGE("https://gymvisual.com/2772-catalog_default/dumbbell-one-leg-squat.jpg",4,500,500)</f>
        <v/>
      </c>
      <c r="C1732" s="30">
        <v>1731.0</v>
      </c>
      <c r="D1732" s="16" t="s">
        <v>2308</v>
      </c>
      <c r="E1732" s="16" t="s">
        <v>184</v>
      </c>
      <c r="F1732" s="16" t="s">
        <v>285</v>
      </c>
      <c r="G1732" s="16" t="s">
        <v>222</v>
      </c>
      <c r="H1732" s="16" t="s">
        <v>552</v>
      </c>
      <c r="I1732" s="16" t="s">
        <v>553</v>
      </c>
    </row>
    <row r="1733" ht="242.25" customHeight="1">
      <c r="A1733" s="32" t="b">
        <v>0</v>
      </c>
      <c r="B1733" s="32" t="str">
        <f>IMAGE("https://gymvisual.com/1114-catalog_default/3-4-sit-up.jpg",4,500,500)</f>
        <v/>
      </c>
      <c r="C1733" s="30">
        <v>1732.0</v>
      </c>
      <c r="D1733" s="16" t="s">
        <v>2309</v>
      </c>
      <c r="E1733" s="16" t="s">
        <v>184</v>
      </c>
      <c r="F1733" s="16" t="s">
        <v>214</v>
      </c>
      <c r="G1733" s="16" t="s">
        <v>222</v>
      </c>
      <c r="H1733" s="16" t="s">
        <v>216</v>
      </c>
      <c r="I1733" s="16" t="s">
        <v>220</v>
      </c>
    </row>
    <row r="1734" ht="242.25" customHeight="1">
      <c r="A1734" s="32" t="b">
        <v>0</v>
      </c>
      <c r="B1734" s="32" t="str">
        <f>IMAGE("https://gymvisual.com/11414-catalog_default/dumbbell-over-bench-neutral-wrist-curl-female.jpg",4,500,500)</f>
        <v/>
      </c>
      <c r="C1734" s="30">
        <v>1733.0</v>
      </c>
      <c r="D1734" s="16" t="s">
        <v>2310</v>
      </c>
      <c r="E1734" s="16" t="s">
        <v>184</v>
      </c>
      <c r="F1734" s="16" t="s">
        <v>214</v>
      </c>
      <c r="G1734" s="16" t="s">
        <v>222</v>
      </c>
      <c r="H1734" s="16" t="s">
        <v>220</v>
      </c>
      <c r="I1734" s="16" t="s">
        <v>220</v>
      </c>
    </row>
    <row r="1735" ht="242.25" customHeight="1">
      <c r="A1735" s="32" t="b">
        <v>0</v>
      </c>
      <c r="B1735" s="32" t="str">
        <f>IMAGE("https://gymvisual.com/1117-catalog_default/3-4-sit-up.jpg",4,500,500)</f>
        <v/>
      </c>
      <c r="C1735" s="30">
        <v>1734.0</v>
      </c>
      <c r="D1735" s="16" t="s">
        <v>2311</v>
      </c>
      <c r="E1735" s="16" t="s">
        <v>184</v>
      </c>
      <c r="F1735" s="16" t="s">
        <v>214</v>
      </c>
      <c r="G1735" s="16" t="s">
        <v>222</v>
      </c>
      <c r="H1735" s="16" t="s">
        <v>216</v>
      </c>
      <c r="I1735" s="16" t="s">
        <v>220</v>
      </c>
    </row>
    <row r="1736" ht="242.25" customHeight="1">
      <c r="A1736" s="32" t="b">
        <v>0</v>
      </c>
      <c r="B1736" s="32" t="str">
        <f>IMAGE("https://gymvisual.com/11417-catalog_default/dumbbell-over-bench-one-arm-neutral-wrist-curl-female.jpg",4,500,500)</f>
        <v/>
      </c>
      <c r="C1736" s="30">
        <v>1735.0</v>
      </c>
      <c r="D1736" s="16" t="s">
        <v>2312</v>
      </c>
      <c r="E1736" s="16" t="s">
        <v>184</v>
      </c>
      <c r="F1736" s="16" t="s">
        <v>214</v>
      </c>
      <c r="G1736" s="16" t="s">
        <v>222</v>
      </c>
      <c r="H1736" s="16" t="s">
        <v>220</v>
      </c>
      <c r="I1736" s="16" t="s">
        <v>220</v>
      </c>
    </row>
    <row r="1737" ht="242.25" customHeight="1">
      <c r="A1737" s="32" t="b">
        <v>0</v>
      </c>
      <c r="B1737" s="32" t="str">
        <f>IMAGE("https://gymvisual.com/6458-catalog_default/dumbbell-over-bench-one-arm-reverse-wrist-curl.jpg",4,500,500)</f>
        <v/>
      </c>
      <c r="C1737" s="30">
        <v>1736.0</v>
      </c>
      <c r="D1737" s="16" t="s">
        <v>2313</v>
      </c>
      <c r="E1737" s="16" t="s">
        <v>184</v>
      </c>
      <c r="F1737" s="16" t="s">
        <v>214</v>
      </c>
      <c r="G1737" s="16" t="s">
        <v>222</v>
      </c>
      <c r="H1737" s="16" t="s">
        <v>720</v>
      </c>
      <c r="I1737" s="16" t="s">
        <v>220</v>
      </c>
    </row>
    <row r="1738" ht="242.25" customHeight="1">
      <c r="A1738" s="32" t="b">
        <v>0</v>
      </c>
      <c r="B1738" s="32" t="str">
        <f>IMAGE("https://gymvisual.com/1120-catalog_default/3-4-sit-up.jpg",4,500,500)</f>
        <v/>
      </c>
      <c r="C1738" s="30">
        <v>1737.0</v>
      </c>
      <c r="D1738" s="16" t="s">
        <v>2314</v>
      </c>
      <c r="E1738" s="16" t="s">
        <v>184</v>
      </c>
      <c r="F1738" s="16" t="s">
        <v>214</v>
      </c>
      <c r="G1738" s="16" t="s">
        <v>222</v>
      </c>
      <c r="H1738" s="16" t="s">
        <v>604</v>
      </c>
      <c r="I1738" s="16" t="s">
        <v>220</v>
      </c>
    </row>
    <row r="1739" ht="242.25" customHeight="1">
      <c r="A1739" s="32" t="b">
        <v>0</v>
      </c>
      <c r="B1739" s="32" t="str">
        <f>IMAGE("https://gymvisual.com/11558-catalog_default/dumbbell-over-bench-one-arm-wrist-curl-female.jpg",4,500,500)</f>
        <v/>
      </c>
      <c r="C1739" s="30">
        <v>1738.0</v>
      </c>
      <c r="D1739" s="16" t="s">
        <v>2315</v>
      </c>
      <c r="E1739" s="16" t="s">
        <v>184</v>
      </c>
      <c r="F1739" s="16" t="s">
        <v>214</v>
      </c>
      <c r="G1739" s="16" t="s">
        <v>222</v>
      </c>
      <c r="H1739" s="16" t="s">
        <v>220</v>
      </c>
      <c r="I1739" s="16" t="s">
        <v>220</v>
      </c>
    </row>
    <row r="1740" ht="242.25" customHeight="1">
      <c r="A1740" s="32" t="b">
        <v>0</v>
      </c>
      <c r="B1740" s="32" t="str">
        <f>IMAGE("https://gymvisual.com/1123-catalog_default/3-4-sit-up.jpg",4,500,500)</f>
        <v/>
      </c>
      <c r="C1740" s="30">
        <v>1739.0</v>
      </c>
      <c r="D1740" s="16" t="s">
        <v>2316</v>
      </c>
      <c r="E1740" s="16" t="s">
        <v>184</v>
      </c>
      <c r="F1740" s="16" t="s">
        <v>214</v>
      </c>
      <c r="G1740" s="16" t="s">
        <v>222</v>
      </c>
      <c r="H1740" s="16" t="s">
        <v>720</v>
      </c>
      <c r="I1740" s="16" t="s">
        <v>220</v>
      </c>
    </row>
    <row r="1741" ht="242.25" customHeight="1">
      <c r="A1741" s="32" t="b">
        <v>0</v>
      </c>
      <c r="B1741" s="32" t="str">
        <f>IMAGE("https://gymvisual.com/11420-catalog_default/dumbbell-over-bench-revers-wrist-curl-female.jpg",4,500,500)</f>
        <v/>
      </c>
      <c r="C1741" s="30">
        <v>1740.0</v>
      </c>
      <c r="D1741" s="16" t="s">
        <v>2317</v>
      </c>
      <c r="E1741" s="16" t="s">
        <v>184</v>
      </c>
      <c r="F1741" s="16" t="s">
        <v>214</v>
      </c>
      <c r="G1741" s="16" t="s">
        <v>222</v>
      </c>
      <c r="H1741" s="16" t="s">
        <v>220</v>
      </c>
      <c r="I1741" s="16" t="s">
        <v>220</v>
      </c>
    </row>
    <row r="1742" ht="242.25" customHeight="1">
      <c r="A1742" s="32" t="b">
        <v>0</v>
      </c>
      <c r="B1742" s="32" t="str">
        <f>IMAGE("https://gymvisual.com/22462-catalog_default/dumbbell-over-bench-revers-wrist-curl-with-mat-female.jpg",4,500,500)</f>
        <v/>
      </c>
      <c r="C1742" s="30">
        <v>1741.0</v>
      </c>
      <c r="D1742" s="16" t="s">
        <v>2318</v>
      </c>
      <c r="E1742" s="16" t="s">
        <v>184</v>
      </c>
      <c r="F1742" s="16" t="s">
        <v>214</v>
      </c>
      <c r="G1742" s="16" t="s">
        <v>222</v>
      </c>
      <c r="H1742" s="16" t="s">
        <v>220</v>
      </c>
      <c r="I1742" s="16" t="s">
        <v>220</v>
      </c>
    </row>
    <row r="1743" ht="242.25" customHeight="1">
      <c r="A1743" s="32" t="b">
        <v>0</v>
      </c>
      <c r="B1743" s="32" t="str">
        <f>IMAGE("https://gymvisual.com/1126-catalog_default/3-4-sit-up.jpg",4,500,500)</f>
        <v/>
      </c>
      <c r="C1743" s="30">
        <v>1742.0</v>
      </c>
      <c r="D1743" s="16" t="s">
        <v>2319</v>
      </c>
      <c r="E1743" s="16" t="s">
        <v>184</v>
      </c>
      <c r="F1743" s="16" t="s">
        <v>214</v>
      </c>
      <c r="G1743" s="16" t="s">
        <v>222</v>
      </c>
      <c r="H1743" s="16" t="s">
        <v>604</v>
      </c>
      <c r="I1743" s="16" t="s">
        <v>220</v>
      </c>
    </row>
    <row r="1744" ht="242.25" customHeight="1">
      <c r="A1744" s="32" t="b">
        <v>0</v>
      </c>
      <c r="B1744" s="32" t="str">
        <f>IMAGE("https://gymvisual.com/11423-catalog_default/dumbbell-over-bench-wrist-curl-female.jpg",4,500,500)</f>
        <v/>
      </c>
      <c r="C1744" s="30">
        <v>1743.0</v>
      </c>
      <c r="D1744" s="16" t="s">
        <v>2320</v>
      </c>
      <c r="E1744" s="16" t="s">
        <v>184</v>
      </c>
      <c r="F1744" s="16" t="s">
        <v>214</v>
      </c>
      <c r="G1744" s="16" t="s">
        <v>222</v>
      </c>
      <c r="H1744" s="16" t="s">
        <v>720</v>
      </c>
      <c r="I1744" s="16" t="s">
        <v>220</v>
      </c>
    </row>
    <row r="1745" ht="242.25" customHeight="1">
      <c r="A1745" s="32" t="b">
        <v>0</v>
      </c>
      <c r="B1745" s="32" t="str">
        <f>IMAGE("https://gymvisual.com/12175-catalog_default/dumbbell-overhead-carry.jpg",4,500,500)</f>
        <v/>
      </c>
      <c r="C1745" s="30">
        <v>1744.0</v>
      </c>
      <c r="D1745" s="16" t="s">
        <v>2321</v>
      </c>
      <c r="E1745" s="16" t="s">
        <v>184</v>
      </c>
      <c r="F1745" s="16" t="s">
        <v>285</v>
      </c>
      <c r="G1745" s="16" t="s">
        <v>222</v>
      </c>
      <c r="H1745" s="16" t="s">
        <v>220</v>
      </c>
      <c r="I1745" s="16" t="s">
        <v>220</v>
      </c>
    </row>
    <row r="1746" ht="242.25" customHeight="1">
      <c r="A1746" s="32" t="b">
        <v>0</v>
      </c>
      <c r="B1746" s="32" t="str">
        <f>IMAGE("https://gymvisual.com/24115-catalog_default/dumbbell-overhead-lunge.jpg",4,500,500)</f>
        <v/>
      </c>
      <c r="C1746" s="30">
        <v>1745.0</v>
      </c>
      <c r="D1746" s="16" t="s">
        <v>2322</v>
      </c>
      <c r="E1746" s="16" t="s">
        <v>184</v>
      </c>
      <c r="F1746" s="16" t="s">
        <v>285</v>
      </c>
      <c r="G1746" s="16" t="s">
        <v>222</v>
      </c>
      <c r="H1746" s="16" t="s">
        <v>220</v>
      </c>
      <c r="I1746" s="16" t="s">
        <v>220</v>
      </c>
    </row>
    <row r="1747" ht="242.25" customHeight="1">
      <c r="A1747" s="32" t="b">
        <v>0</v>
      </c>
      <c r="B1747" s="32" t="str">
        <f>IMAGE("https://gymvisual.com/7334-catalog_default/dumbbell-overhead-side-lunge.jpg",4,500,500)</f>
        <v/>
      </c>
      <c r="C1747" s="30">
        <v>1746.0</v>
      </c>
      <c r="D1747" s="16" t="s">
        <v>2323</v>
      </c>
      <c r="E1747" s="16" t="s">
        <v>184</v>
      </c>
      <c r="F1747" s="16" t="s">
        <v>285</v>
      </c>
      <c r="G1747" s="16" t="s">
        <v>222</v>
      </c>
      <c r="H1747" s="16" t="s">
        <v>220</v>
      </c>
      <c r="I1747" s="16" t="s">
        <v>220</v>
      </c>
    </row>
    <row r="1748" ht="242.25" customHeight="1">
      <c r="A1748" s="32" t="b">
        <v>0</v>
      </c>
      <c r="B1748" s="32" t="str">
        <f>IMAGE("https://gymvisual.com/22245-catalog_default/dumbbell-overhead-sit-up.jpg",4,500,500)</f>
        <v/>
      </c>
      <c r="C1748" s="30">
        <v>1747.0</v>
      </c>
      <c r="D1748" s="16" t="s">
        <v>2324</v>
      </c>
      <c r="E1748" s="16" t="s">
        <v>184</v>
      </c>
      <c r="F1748" s="16" t="s">
        <v>254</v>
      </c>
      <c r="G1748" s="16" t="s">
        <v>222</v>
      </c>
      <c r="H1748" s="16" t="s">
        <v>256</v>
      </c>
      <c r="I1748" s="16" t="s">
        <v>257</v>
      </c>
    </row>
    <row r="1749" ht="242.25" customHeight="1">
      <c r="A1749" s="32" t="b">
        <v>0</v>
      </c>
      <c r="B1749" s="32" t="str">
        <f>IMAGE("https://gymvisual.com/16029-catalog_default/dumbbell-overhead-squat.jpg",4,500,500)</f>
        <v/>
      </c>
      <c r="C1749" s="30">
        <v>1748.0</v>
      </c>
      <c r="D1749" s="16" t="s">
        <v>2325</v>
      </c>
      <c r="E1749" s="16" t="s">
        <v>184</v>
      </c>
      <c r="F1749" s="16" t="s">
        <v>294</v>
      </c>
      <c r="G1749" s="16" t="s">
        <v>222</v>
      </c>
      <c r="H1749" s="16" t="s">
        <v>189</v>
      </c>
      <c r="I1749" s="16" t="s">
        <v>190</v>
      </c>
    </row>
    <row r="1750" ht="242.25" customHeight="1">
      <c r="A1750" s="32" t="b">
        <v>0</v>
      </c>
      <c r="B1750" s="32" t="str">
        <f>IMAGE("https://gymvisual.com/6020-catalog_default/dumbbell-palm-rotational-bent-over-row.jpg",4,500,500)</f>
        <v/>
      </c>
      <c r="C1750" s="30">
        <v>1749.0</v>
      </c>
      <c r="D1750" s="16" t="s">
        <v>2326</v>
      </c>
      <c r="E1750" s="16" t="s">
        <v>184</v>
      </c>
      <c r="F1750" s="16" t="s">
        <v>192</v>
      </c>
      <c r="G1750" s="16" t="s">
        <v>222</v>
      </c>
      <c r="H1750" s="16" t="s">
        <v>329</v>
      </c>
      <c r="I1750" s="16" t="s">
        <v>457</v>
      </c>
    </row>
    <row r="1751" ht="242.25" customHeight="1">
      <c r="A1751" s="32" t="b">
        <v>0</v>
      </c>
      <c r="B1751" s="32" t="str">
        <f>IMAGE("https://gymvisual.com/11396-catalog_default/dumbbell-palm-rotational-bent-over-row-female.jpg",4,500,500)</f>
        <v/>
      </c>
      <c r="C1751" s="30">
        <v>1750.0</v>
      </c>
      <c r="D1751" s="16" t="s">
        <v>2327</v>
      </c>
      <c r="E1751" s="16" t="s">
        <v>184</v>
      </c>
      <c r="F1751" s="16" t="s">
        <v>192</v>
      </c>
      <c r="G1751" s="16" t="s">
        <v>222</v>
      </c>
      <c r="H1751" s="16" t="s">
        <v>570</v>
      </c>
      <c r="I1751" s="16" t="s">
        <v>447</v>
      </c>
    </row>
    <row r="1752" ht="242.25" customHeight="1">
      <c r="A1752" s="32" t="b">
        <v>0</v>
      </c>
      <c r="B1752" s="32" t="str">
        <f>IMAGE("https://gymvisual.com/7098-catalog_default/dumbbell-palms-in-incline-bench-press.jpg",4,500,500)</f>
        <v/>
      </c>
      <c r="C1752" s="30">
        <v>1751.0</v>
      </c>
      <c r="D1752" s="16" t="s">
        <v>2328</v>
      </c>
      <c r="E1752" s="16" t="s">
        <v>184</v>
      </c>
      <c r="F1752" s="16" t="s">
        <v>219</v>
      </c>
      <c r="G1752" s="16" t="s">
        <v>222</v>
      </c>
      <c r="H1752" s="16" t="s">
        <v>415</v>
      </c>
      <c r="I1752" s="16" t="s">
        <v>2329</v>
      </c>
    </row>
    <row r="1753" ht="242.25" customHeight="1">
      <c r="A1753" s="32" t="b">
        <v>0</v>
      </c>
      <c r="B1753" s="32" t="str">
        <f>IMAGE("https://gymvisual.com/18017-catalog_default/dumbbell-partials-lateral-raise.jpg",4,500,500)</f>
        <v/>
      </c>
      <c r="C1753" s="30">
        <v>1752.0</v>
      </c>
      <c r="D1753" s="16" t="s">
        <v>2330</v>
      </c>
      <c r="E1753" s="16" t="s">
        <v>184</v>
      </c>
      <c r="F1753" s="16" t="s">
        <v>228</v>
      </c>
      <c r="G1753" s="16" t="s">
        <v>222</v>
      </c>
      <c r="H1753" s="16" t="s">
        <v>220</v>
      </c>
      <c r="I1753" s="16" t="s">
        <v>220</v>
      </c>
    </row>
    <row r="1754" ht="242.25" customHeight="1">
      <c r="A1754" s="32" t="b">
        <v>0</v>
      </c>
      <c r="B1754" s="32" t="str">
        <f>IMAGE("https://gymvisual.com/1129-catalog_default/3-4-sit-up.jpg",4,500,500)</f>
        <v/>
      </c>
      <c r="C1754" s="30">
        <v>1753.0</v>
      </c>
      <c r="D1754" s="16" t="s">
        <v>2331</v>
      </c>
      <c r="E1754" s="16" t="s">
        <v>184</v>
      </c>
      <c r="F1754" s="16" t="s">
        <v>214</v>
      </c>
      <c r="G1754" s="16" t="s">
        <v>222</v>
      </c>
      <c r="H1754" s="16" t="s">
        <v>216</v>
      </c>
      <c r="I1754" s="16" t="s">
        <v>217</v>
      </c>
    </row>
    <row r="1755" ht="242.25" customHeight="1">
      <c r="A1755" s="32" t="b">
        <v>0</v>
      </c>
      <c r="B1755" s="32" t="str">
        <f>IMAGE("https://gymvisual.com/24254-catalog_default/dumbbell-plank-pass-through.jpg",4,500,500)</f>
        <v/>
      </c>
      <c r="C1755" s="30">
        <v>1754.0</v>
      </c>
      <c r="D1755" s="16" t="s">
        <v>2332</v>
      </c>
      <c r="E1755" s="16" t="s">
        <v>184</v>
      </c>
      <c r="F1755" s="16" t="s">
        <v>254</v>
      </c>
      <c r="G1755" s="16" t="s">
        <v>222</v>
      </c>
      <c r="H1755" s="16" t="s">
        <v>2333</v>
      </c>
      <c r="I1755" s="16" t="s">
        <v>2334</v>
      </c>
    </row>
    <row r="1756" ht="242.25" customHeight="1">
      <c r="A1756" s="32" t="b">
        <v>0</v>
      </c>
      <c r="B1756" s="32" t="str">
        <f>IMAGE("https://gymvisual.com/1132-catalog_default/3-4-sit-up.jpg",4,500,500)</f>
        <v/>
      </c>
      <c r="C1756" s="30">
        <v>1755.0</v>
      </c>
      <c r="D1756" s="16" t="s">
        <v>2335</v>
      </c>
      <c r="E1756" s="16" t="s">
        <v>184</v>
      </c>
      <c r="F1756" s="16" t="s">
        <v>285</v>
      </c>
      <c r="G1756" s="16" t="s">
        <v>222</v>
      </c>
      <c r="H1756" s="16" t="s">
        <v>189</v>
      </c>
      <c r="I1756" s="16" t="s">
        <v>2046</v>
      </c>
    </row>
    <row r="1757" ht="242.25" customHeight="1">
      <c r="A1757" s="32" t="b">
        <v>0</v>
      </c>
      <c r="B1757" s="32" t="str">
        <f>IMAGE("https://gymvisual.com/17757-catalog_default/dumbbell-poliquin-lateral-raise.jpg",4,500,500)</f>
        <v/>
      </c>
      <c r="C1757" s="30">
        <v>1756.0</v>
      </c>
      <c r="D1757" s="16" t="s">
        <v>2336</v>
      </c>
      <c r="E1757" s="16" t="s">
        <v>184</v>
      </c>
      <c r="F1757" s="16" t="s">
        <v>228</v>
      </c>
      <c r="G1757" s="16" t="s">
        <v>222</v>
      </c>
      <c r="H1757" s="16" t="s">
        <v>220</v>
      </c>
      <c r="I1757" s="16" t="s">
        <v>220</v>
      </c>
    </row>
    <row r="1758" ht="242.25" customHeight="1">
      <c r="A1758" s="32" t="b">
        <v>0</v>
      </c>
      <c r="B1758" s="32" t="str">
        <f>IMAGE("https://gymvisual.com/20722-catalog_default/dumbbell-power-clean.jpg",4,500,500)</f>
        <v/>
      </c>
      <c r="C1758" s="30">
        <v>1757.0</v>
      </c>
      <c r="D1758" s="16" t="s">
        <v>2337</v>
      </c>
      <c r="E1758" s="16" t="s">
        <v>184</v>
      </c>
      <c r="F1758" s="16" t="s">
        <v>764</v>
      </c>
      <c r="G1758" s="16" t="s">
        <v>222</v>
      </c>
      <c r="H1758" s="16" t="s">
        <v>220</v>
      </c>
      <c r="I1758" s="16" t="s">
        <v>220</v>
      </c>
    </row>
    <row r="1759" ht="242.25" customHeight="1">
      <c r="A1759" s="32" t="b">
        <v>0</v>
      </c>
      <c r="B1759" s="32" t="str">
        <f>IMAGE("https://gymvisual.com/19499-catalog_default/dumbbell-power-clean-and-jerk.jpg",4,500,500)</f>
        <v/>
      </c>
      <c r="C1759" s="30">
        <v>1758.0</v>
      </c>
      <c r="D1759" s="16" t="s">
        <v>2338</v>
      </c>
      <c r="E1759" s="16" t="s">
        <v>184</v>
      </c>
      <c r="F1759" s="16" t="s">
        <v>764</v>
      </c>
      <c r="G1759" s="16" t="s">
        <v>222</v>
      </c>
      <c r="H1759" s="16" t="s">
        <v>220</v>
      </c>
      <c r="I1759" s="16" t="s">
        <v>220</v>
      </c>
    </row>
    <row r="1760" ht="242.25" customHeight="1">
      <c r="A1760" s="32" t="b">
        <v>0</v>
      </c>
      <c r="B1760" s="32" t="str">
        <f>IMAGE("https://gymvisual.com/1135-catalog_default/3-4-sit-up.jpg",4,500,500)</f>
        <v/>
      </c>
      <c r="C1760" s="30">
        <v>1759.0</v>
      </c>
      <c r="D1760" s="16" t="s">
        <v>2339</v>
      </c>
      <c r="E1760" s="16" t="s">
        <v>184</v>
      </c>
      <c r="F1760" s="16" t="s">
        <v>219</v>
      </c>
      <c r="G1760" s="16" t="s">
        <v>222</v>
      </c>
      <c r="H1760" s="16" t="s">
        <v>232</v>
      </c>
      <c r="I1760" s="16" t="s">
        <v>292</v>
      </c>
    </row>
    <row r="1761" ht="242.25" customHeight="1">
      <c r="A1761" s="32" t="b">
        <v>0</v>
      </c>
      <c r="B1761" s="32" t="str">
        <f>IMAGE("https://gymvisual.com/10363-catalog_default/dumbbell-preacher-curl-female.jpg",4,500,500)</f>
        <v/>
      </c>
      <c r="C1761" s="30">
        <v>1760.0</v>
      </c>
      <c r="D1761" s="16" t="s">
        <v>2340</v>
      </c>
      <c r="E1761" s="16" t="s">
        <v>184</v>
      </c>
      <c r="F1761" s="16" t="s">
        <v>219</v>
      </c>
      <c r="G1761" s="16" t="s">
        <v>222</v>
      </c>
      <c r="H1761" s="16" t="s">
        <v>232</v>
      </c>
      <c r="I1761" s="16" t="s">
        <v>233</v>
      </c>
    </row>
    <row r="1762" ht="242.25" customHeight="1">
      <c r="A1762" s="32" t="b">
        <v>0</v>
      </c>
      <c r="B1762" s="32" t="str">
        <f>IMAGE("https://gymvisual.com/20592-catalog_default/dumbbell-preacher-curl-turned-torso.jpg",4,500,500)</f>
        <v/>
      </c>
      <c r="C1762" s="30">
        <v>1761.0</v>
      </c>
      <c r="D1762" s="16" t="s">
        <v>2341</v>
      </c>
      <c r="E1762" s="16" t="s">
        <v>184</v>
      </c>
      <c r="F1762" s="16" t="s">
        <v>219</v>
      </c>
      <c r="G1762" s="16" t="s">
        <v>222</v>
      </c>
      <c r="H1762" s="16" t="s">
        <v>232</v>
      </c>
      <c r="I1762" s="16" t="s">
        <v>233</v>
      </c>
    </row>
    <row r="1763" ht="242.25" customHeight="1">
      <c r="A1763" s="32" t="b">
        <v>0</v>
      </c>
      <c r="B1763" s="32" t="str">
        <f>IMAGE("https://gymvisual.com/7147-catalog_default/dumbbell-preacher-curl-over-exercise-ball.jpg",4,500,500)</f>
        <v/>
      </c>
      <c r="C1763" s="30">
        <v>1762.0</v>
      </c>
      <c r="D1763" s="16" t="s">
        <v>2342</v>
      </c>
      <c r="E1763" s="16" t="s">
        <v>184</v>
      </c>
      <c r="F1763" s="16" t="s">
        <v>219</v>
      </c>
      <c r="G1763" s="16" t="s">
        <v>222</v>
      </c>
      <c r="H1763" s="16" t="s">
        <v>232</v>
      </c>
      <c r="I1763" s="16" t="s">
        <v>233</v>
      </c>
    </row>
    <row r="1764" ht="242.25" customHeight="1">
      <c r="A1764" s="32" t="b">
        <v>0</v>
      </c>
      <c r="B1764" s="32" t="str">
        <f>IMAGE("https://gymvisual.com/16704-catalog_default/dumbbell-preacher-curl-over-exercise-ball-female.jpg",4,500,500)</f>
        <v/>
      </c>
      <c r="C1764" s="30">
        <v>1763.0</v>
      </c>
      <c r="D1764" s="16" t="s">
        <v>2343</v>
      </c>
      <c r="E1764" s="16" t="s">
        <v>184</v>
      </c>
      <c r="F1764" s="16" t="s">
        <v>219</v>
      </c>
      <c r="G1764" s="16" t="s">
        <v>222</v>
      </c>
      <c r="H1764" s="16" t="s">
        <v>232</v>
      </c>
      <c r="I1764" s="16" t="s">
        <v>233</v>
      </c>
    </row>
    <row r="1765" ht="242.25" customHeight="1">
      <c r="A1765" s="32" t="b">
        <v>0</v>
      </c>
      <c r="B1765" s="32" t="str">
        <f>IMAGE("https://gymvisual.com/5982-catalog_default/dumbbell-press-on-exercise-ball.jpg",4,500,500)</f>
        <v/>
      </c>
      <c r="C1765" s="30">
        <v>1764.0</v>
      </c>
      <c r="D1765" s="16" t="s">
        <v>2344</v>
      </c>
      <c r="E1765" s="16" t="s">
        <v>184</v>
      </c>
      <c r="F1765" s="16" t="s">
        <v>234</v>
      </c>
      <c r="G1765" s="16" t="s">
        <v>222</v>
      </c>
      <c r="H1765" s="16" t="s">
        <v>347</v>
      </c>
      <c r="I1765" s="16" t="s">
        <v>382</v>
      </c>
    </row>
    <row r="1766" ht="242.25" customHeight="1">
      <c r="B1766" s="32" t="str">
        <f>IMAGE("https://gymvisual.com/13431-catalog_default/dumbbell-press-on-exercise-ball-female.jpg",4,500,500)</f>
        <v/>
      </c>
      <c r="C1766" s="30">
        <v>1765.0</v>
      </c>
      <c r="D1766" s="16" t="s">
        <v>2345</v>
      </c>
      <c r="E1766" s="16" t="s">
        <v>184</v>
      </c>
      <c r="F1766" s="16" t="s">
        <v>234</v>
      </c>
      <c r="G1766" s="16" t="s">
        <v>1929</v>
      </c>
      <c r="H1766" s="16" t="s">
        <v>220</v>
      </c>
      <c r="I1766" s="16" t="s">
        <v>220</v>
      </c>
    </row>
    <row r="1767" ht="242.25" customHeight="1">
      <c r="A1767" s="32" t="b">
        <v>0</v>
      </c>
      <c r="B1767" s="32" t="str">
        <f>IMAGE("https://gymvisual.com/16022-catalog_default/dumbbell-press-squat.jpg",4,500,500)</f>
        <v/>
      </c>
      <c r="C1767" s="30">
        <v>1766.0</v>
      </c>
      <c r="D1767" s="16" t="s">
        <v>2346</v>
      </c>
      <c r="E1767" s="16" t="s">
        <v>184</v>
      </c>
      <c r="F1767" s="16" t="s">
        <v>2347</v>
      </c>
      <c r="G1767" s="16" t="s">
        <v>222</v>
      </c>
      <c r="H1767" s="16" t="s">
        <v>2348</v>
      </c>
      <c r="I1767" s="16" t="s">
        <v>2349</v>
      </c>
    </row>
    <row r="1768" ht="242.25" customHeight="1">
      <c r="A1768" s="32" t="b">
        <v>0</v>
      </c>
      <c r="B1768" s="32" t="str">
        <f>IMAGE("https://gymvisual.com/1138-catalog_default/3-4-sit-up.jpg",4,500,500)</f>
        <v/>
      </c>
      <c r="C1768" s="30">
        <v>1767.0</v>
      </c>
      <c r="D1768" s="16" t="s">
        <v>2350</v>
      </c>
      <c r="E1768" s="16" t="s">
        <v>184</v>
      </c>
      <c r="F1768" s="16" t="s">
        <v>219</v>
      </c>
      <c r="G1768" s="16" t="s">
        <v>222</v>
      </c>
      <c r="H1768" s="16" t="s">
        <v>223</v>
      </c>
      <c r="I1768" s="16" t="s">
        <v>220</v>
      </c>
    </row>
    <row r="1769" ht="242.25" customHeight="1">
      <c r="A1769" s="32" t="b">
        <v>0</v>
      </c>
      <c r="B1769" s="32" t="str">
        <f>IMAGE("https://gymvisual.com/17282-catalog_default/dumbbell-pronate-grip-triceps-extension-female.jpg",4,500,500)</f>
        <v/>
      </c>
      <c r="C1769" s="30">
        <v>1768.0</v>
      </c>
      <c r="D1769" s="16" t="s">
        <v>2351</v>
      </c>
      <c r="E1769" s="16" t="s">
        <v>184</v>
      </c>
      <c r="F1769" s="16" t="s">
        <v>219</v>
      </c>
      <c r="G1769" s="16" t="s">
        <v>222</v>
      </c>
      <c r="H1769" s="16" t="s">
        <v>223</v>
      </c>
      <c r="I1769" s="16" t="s">
        <v>220</v>
      </c>
    </row>
    <row r="1770" ht="242.25" customHeight="1">
      <c r="A1770" s="32" t="b">
        <v>0</v>
      </c>
      <c r="B1770" s="32" t="str">
        <f>IMAGE("https://gymvisual.com/9845-catalog_default/dumbbell-pronated-grip-row-female.jpg",4,500,500)</f>
        <v/>
      </c>
      <c r="C1770" s="30">
        <v>1769.0</v>
      </c>
      <c r="D1770" s="16" t="s">
        <v>2352</v>
      </c>
      <c r="E1770" s="16" t="s">
        <v>184</v>
      </c>
      <c r="F1770" s="16" t="s">
        <v>192</v>
      </c>
      <c r="G1770" s="16" t="s">
        <v>222</v>
      </c>
      <c r="H1770" s="16" t="s">
        <v>329</v>
      </c>
      <c r="I1770" s="16" t="s">
        <v>457</v>
      </c>
    </row>
    <row r="1771" ht="242.25" customHeight="1">
      <c r="A1771" s="32" t="b">
        <v>0</v>
      </c>
      <c r="B1771" s="32" t="str">
        <f>IMAGE("https://gymvisual.com/9844-catalog_default/dumbbell-pronated-to-neutral-grip-row-female.jpg",4,500,500)</f>
        <v/>
      </c>
      <c r="C1771" s="30">
        <v>1770.0</v>
      </c>
      <c r="D1771" s="16" t="s">
        <v>2353</v>
      </c>
      <c r="E1771" s="16" t="s">
        <v>184</v>
      </c>
      <c r="F1771" s="16" t="s">
        <v>192</v>
      </c>
      <c r="G1771" s="16" t="s">
        <v>222</v>
      </c>
      <c r="H1771" s="16" t="s">
        <v>329</v>
      </c>
      <c r="I1771" s="16" t="s">
        <v>457</v>
      </c>
    </row>
    <row r="1772" ht="242.25" customHeight="1">
      <c r="A1772" s="32" t="b">
        <v>0</v>
      </c>
      <c r="B1772" s="32" t="str">
        <f>IMAGE("https://gymvisual.com/25667-catalog_default/dumbbell-prone-full-can-exercise-male.jpg",4,500,500)</f>
        <v/>
      </c>
      <c r="C1772" s="30">
        <v>1771.0</v>
      </c>
      <c r="D1772" s="16" t="s">
        <v>2354</v>
      </c>
      <c r="E1772" s="16" t="s">
        <v>184</v>
      </c>
      <c r="F1772" s="16" t="s">
        <v>228</v>
      </c>
      <c r="G1772" s="16" t="s">
        <v>222</v>
      </c>
      <c r="H1772" s="16" t="s">
        <v>220</v>
      </c>
      <c r="I1772" s="16" t="s">
        <v>220</v>
      </c>
    </row>
    <row r="1773" ht="242.25" customHeight="1">
      <c r="A1773" s="32" t="b">
        <v>0</v>
      </c>
      <c r="B1773" s="32" t="str">
        <f>IMAGE("https://gymvisual.com/1141-catalog_default/3-4-sit-up.jpg",4,500,500)</f>
        <v/>
      </c>
      <c r="C1773" s="30">
        <v>1772.0</v>
      </c>
      <c r="D1773" s="16" t="s">
        <v>2355</v>
      </c>
      <c r="E1773" s="16" t="s">
        <v>184</v>
      </c>
      <c r="F1773" s="16" t="s">
        <v>219</v>
      </c>
      <c r="G1773" s="16" t="s">
        <v>222</v>
      </c>
      <c r="H1773" s="16" t="s">
        <v>232</v>
      </c>
      <c r="I1773" s="16" t="s">
        <v>233</v>
      </c>
    </row>
    <row r="1774" ht="242.25" customHeight="1">
      <c r="A1774" s="32" t="b">
        <v>0</v>
      </c>
      <c r="B1774" s="32" t="str">
        <f>IMAGE("https://gymvisual.com/11059-catalog_default/dumbbell-prone-incline-curl-female.jpg",4,500,500)</f>
        <v/>
      </c>
      <c r="C1774" s="30">
        <v>1773.0</v>
      </c>
      <c r="D1774" s="16" t="s">
        <v>2356</v>
      </c>
      <c r="E1774" s="16" t="s">
        <v>184</v>
      </c>
      <c r="F1774" s="16" t="s">
        <v>219</v>
      </c>
      <c r="G1774" s="16" t="s">
        <v>222</v>
      </c>
      <c r="H1774" s="16" t="s">
        <v>241</v>
      </c>
      <c r="I1774" s="16" t="s">
        <v>292</v>
      </c>
    </row>
    <row r="1775" ht="242.25" customHeight="1">
      <c r="A1775" s="32" t="b">
        <v>0</v>
      </c>
      <c r="B1775" s="32" t="str">
        <f>IMAGE("https://gymvisual.com/7148-catalog_default/dumbbell-prone-incline-hammer-curl.jpg",4,500,500)</f>
        <v/>
      </c>
      <c r="C1775" s="30">
        <v>1774.0</v>
      </c>
      <c r="D1775" s="16" t="s">
        <v>2357</v>
      </c>
      <c r="E1775" s="16" t="s">
        <v>184</v>
      </c>
      <c r="F1775" s="16" t="s">
        <v>219</v>
      </c>
      <c r="G1775" s="16" t="s">
        <v>222</v>
      </c>
      <c r="H1775" s="16" t="s">
        <v>216</v>
      </c>
      <c r="I1775" s="16" t="s">
        <v>217</v>
      </c>
    </row>
    <row r="1776" ht="242.25" customHeight="1">
      <c r="A1776" s="32" t="b">
        <v>0</v>
      </c>
      <c r="B1776" s="32" t="str">
        <f>IMAGE("https://gymvisual.com/11056-catalog_default/dumbbell-prone-incline-hammer-curl-female.jpg",4,500,500)</f>
        <v/>
      </c>
      <c r="C1776" s="30">
        <v>1775.0</v>
      </c>
      <c r="D1776" s="16" t="s">
        <v>2358</v>
      </c>
      <c r="E1776" s="16" t="s">
        <v>184</v>
      </c>
      <c r="F1776" s="16" t="s">
        <v>219</v>
      </c>
      <c r="G1776" s="16" t="s">
        <v>222</v>
      </c>
      <c r="H1776" s="16" t="s">
        <v>220</v>
      </c>
      <c r="I1776" s="16" t="s">
        <v>220</v>
      </c>
    </row>
    <row r="1777" ht="242.25" customHeight="1">
      <c r="A1777" s="32" t="b">
        <v>0</v>
      </c>
      <c r="B1777" s="32" t="str">
        <f>IMAGE("https://gymvisual.com/24792-catalog_default/dumbbell-prone-rear-delt-swing.jpg",4,500,500)</f>
        <v/>
      </c>
      <c r="C1777" s="30">
        <v>1776.0</v>
      </c>
      <c r="D1777" s="16" t="s">
        <v>2359</v>
      </c>
      <c r="E1777" s="16" t="s">
        <v>184</v>
      </c>
      <c r="F1777" s="16" t="s">
        <v>228</v>
      </c>
      <c r="G1777" s="16" t="s">
        <v>222</v>
      </c>
      <c r="H1777" s="16" t="s">
        <v>408</v>
      </c>
      <c r="I1777" s="16" t="s">
        <v>1621</v>
      </c>
    </row>
    <row r="1778" ht="242.25" customHeight="1">
      <c r="A1778" s="32" t="b">
        <v>0</v>
      </c>
      <c r="B1778" s="32" t="str">
        <f>IMAGE("https://gymvisual.com/20058-catalog_default/dumbbell-prone-triceps-kickback.jpg",4,500,500)</f>
        <v/>
      </c>
      <c r="C1778" s="30">
        <v>1777.0</v>
      </c>
      <c r="D1778" s="16" t="s">
        <v>2360</v>
      </c>
      <c r="E1778" s="16" t="s">
        <v>184</v>
      </c>
      <c r="F1778" s="16" t="s">
        <v>219</v>
      </c>
      <c r="G1778" s="16" t="s">
        <v>222</v>
      </c>
      <c r="H1778" s="16" t="s">
        <v>223</v>
      </c>
      <c r="I1778" s="16" t="s">
        <v>220</v>
      </c>
    </row>
    <row r="1779" ht="242.25" customHeight="1">
      <c r="A1779" s="32" t="b">
        <v>0</v>
      </c>
      <c r="B1779" s="32" t="str">
        <f>IMAGE("https://gymvisual.com/1144-catalog_default/3-4-sit-up.jpg",4,500,500)</f>
        <v/>
      </c>
      <c r="C1779" s="30">
        <v>1778.0</v>
      </c>
      <c r="D1779" s="16" t="s">
        <v>2361</v>
      </c>
      <c r="E1779" s="16" t="s">
        <v>184</v>
      </c>
      <c r="F1779" s="16" t="s">
        <v>234</v>
      </c>
      <c r="G1779" s="16" t="s">
        <v>222</v>
      </c>
      <c r="H1779" s="16" t="s">
        <v>347</v>
      </c>
      <c r="I1779" s="16" t="s">
        <v>2362</v>
      </c>
    </row>
    <row r="1780" ht="242.25" customHeight="1">
      <c r="A1780" s="32" t="b">
        <v>0</v>
      </c>
      <c r="B1780" s="32" t="str">
        <f>IMAGE("https://gymvisual.com/5983-catalog_default/dumbbell-pullover-hip-extension-on-exercise-ball.jpg",4,500,500)</f>
        <v/>
      </c>
      <c r="C1780" s="30">
        <v>1779.0</v>
      </c>
      <c r="D1780" s="16" t="s">
        <v>2363</v>
      </c>
      <c r="E1780" s="16" t="s">
        <v>184</v>
      </c>
      <c r="F1780" s="16" t="s">
        <v>234</v>
      </c>
      <c r="G1780" s="16" t="s">
        <v>222</v>
      </c>
      <c r="H1780" s="16" t="s">
        <v>2364</v>
      </c>
      <c r="I1780" s="16" t="s">
        <v>2365</v>
      </c>
    </row>
    <row r="1781" ht="242.25" customHeight="1">
      <c r="A1781" s="32" t="b">
        <v>0</v>
      </c>
      <c r="B1781" s="32" t="str">
        <f>IMAGE("https://gymvisual.com/5984-catalog_default/dumbbell-pullover-on-exercise-ball.jpg",4,500,500)</f>
        <v/>
      </c>
      <c r="C1781" s="30">
        <v>1780.0</v>
      </c>
      <c r="D1781" s="16" t="s">
        <v>2366</v>
      </c>
      <c r="E1781" s="16" t="s">
        <v>184</v>
      </c>
      <c r="F1781" s="16" t="s">
        <v>234</v>
      </c>
      <c r="G1781" s="16" t="s">
        <v>222</v>
      </c>
      <c r="H1781" s="16" t="s">
        <v>347</v>
      </c>
      <c r="I1781" s="16" t="s">
        <v>2222</v>
      </c>
    </row>
    <row r="1782" ht="242.25" customHeight="1">
      <c r="B1782" s="32" t="str">
        <f>IMAGE("https://gymvisual.com/11393-catalog_default/dumbbell-pullover-on-exercise-ball-female.jpg",4,500,500)</f>
        <v/>
      </c>
      <c r="C1782" s="30">
        <v>1781.0</v>
      </c>
      <c r="D1782" s="16" t="s">
        <v>2367</v>
      </c>
      <c r="E1782" s="16" t="s">
        <v>184</v>
      </c>
      <c r="F1782" s="16" t="s">
        <v>192</v>
      </c>
      <c r="G1782" s="16" t="s">
        <v>1929</v>
      </c>
      <c r="H1782" s="16" t="s">
        <v>220</v>
      </c>
      <c r="I1782" s="16" t="s">
        <v>220</v>
      </c>
    </row>
    <row r="1783" ht="242.25" customHeight="1">
      <c r="A1783" s="32" t="b">
        <v>0</v>
      </c>
      <c r="B1783" s="32" t="str">
        <f>IMAGE("https://gymvisual.com/22153-catalog_default/dumbbell-pullover-on-floor.jpg",4,500,500)</f>
        <v/>
      </c>
      <c r="C1783" s="30">
        <v>1782.0</v>
      </c>
      <c r="D1783" s="16" t="s">
        <v>2368</v>
      </c>
      <c r="E1783" s="16" t="s">
        <v>184</v>
      </c>
      <c r="F1783" s="16" t="s">
        <v>192</v>
      </c>
      <c r="G1783" s="16" t="s">
        <v>222</v>
      </c>
      <c r="H1783" s="16" t="s">
        <v>347</v>
      </c>
      <c r="I1783" s="16" t="s">
        <v>2362</v>
      </c>
    </row>
    <row r="1784" ht="242.25" customHeight="1">
      <c r="A1784" s="32" t="b">
        <v>0</v>
      </c>
      <c r="B1784" s="32" t="str">
        <f>IMAGE("https://gymvisual.com/19447-catalog_default/dumbbell-push-jerk.jpg",4,500,500)</f>
        <v/>
      </c>
      <c r="C1784" s="30">
        <v>1783.0</v>
      </c>
      <c r="D1784" s="16" t="s">
        <v>2369</v>
      </c>
      <c r="E1784" s="16" t="s">
        <v>184</v>
      </c>
      <c r="F1784" s="16" t="s">
        <v>764</v>
      </c>
      <c r="G1784" s="16" t="s">
        <v>222</v>
      </c>
      <c r="H1784" s="16" t="s">
        <v>220</v>
      </c>
      <c r="I1784" s="16" t="s">
        <v>220</v>
      </c>
    </row>
    <row r="1785" ht="242.25" customHeight="1">
      <c r="A1785" s="32" t="b">
        <v>0</v>
      </c>
      <c r="B1785" s="32" t="str">
        <f>IMAGE("https://gymvisual.com/7352-catalog_default/dumbbell-push-press.jpg",4,500,500)</f>
        <v/>
      </c>
      <c r="C1785" s="30">
        <v>1784.0</v>
      </c>
      <c r="D1785" s="16" t="s">
        <v>2370</v>
      </c>
      <c r="E1785" s="16" t="s">
        <v>184</v>
      </c>
      <c r="F1785" s="16" t="s">
        <v>228</v>
      </c>
      <c r="G1785" s="16" t="s">
        <v>222</v>
      </c>
      <c r="H1785" s="16" t="s">
        <v>2371</v>
      </c>
      <c r="I1785" s="16" t="s">
        <v>220</v>
      </c>
    </row>
    <row r="1786" ht="242.25" customHeight="1">
      <c r="A1786" s="32" t="b">
        <v>0</v>
      </c>
      <c r="B1786" s="32" t="str">
        <f>IMAGE("https://gymvisual.com/17409-catalog_default/dumbbell-push-up-front-raise.jpg",4,500,500)</f>
        <v/>
      </c>
      <c r="C1786" s="30">
        <v>1785.0</v>
      </c>
      <c r="D1786" s="16" t="s">
        <v>2372</v>
      </c>
      <c r="E1786" s="16" t="s">
        <v>184</v>
      </c>
      <c r="F1786" s="16" t="s">
        <v>234</v>
      </c>
      <c r="G1786" s="16" t="s">
        <v>222</v>
      </c>
      <c r="H1786" s="16" t="s">
        <v>220</v>
      </c>
      <c r="I1786" s="16" t="s">
        <v>220</v>
      </c>
    </row>
    <row r="1787" ht="242.25" customHeight="1">
      <c r="A1787" s="32" t="b">
        <v>0</v>
      </c>
      <c r="B1787" s="32" t="str">
        <f>IMAGE("https://gymvisual.com/1147-catalog_default/3-4-sit-up.jpg",4,500,500)</f>
        <v/>
      </c>
      <c r="C1787" s="30">
        <v>1786.0</v>
      </c>
      <c r="D1787" s="16" t="s">
        <v>2373</v>
      </c>
      <c r="E1787" s="16" t="s">
        <v>184</v>
      </c>
      <c r="F1787" s="16" t="s">
        <v>228</v>
      </c>
      <c r="G1787" s="16" t="s">
        <v>222</v>
      </c>
      <c r="H1787" s="16" t="s">
        <v>544</v>
      </c>
      <c r="I1787" s="16" t="s">
        <v>2374</v>
      </c>
    </row>
    <row r="1788" ht="242.25" customHeight="1">
      <c r="A1788" s="32" t="b">
        <v>0</v>
      </c>
      <c r="B1788" s="32" t="str">
        <f>IMAGE("https://gymvisual.com/22247-catalog_default/dumbbell-rdl-and-bent-over-row.jpg",4,500,500)</f>
        <v/>
      </c>
      <c r="C1788" s="30">
        <v>1787.0</v>
      </c>
      <c r="D1788" s="16" t="s">
        <v>2375</v>
      </c>
      <c r="E1788" s="16" t="s">
        <v>184</v>
      </c>
      <c r="F1788" s="16" t="s">
        <v>192</v>
      </c>
      <c r="G1788" s="16" t="s">
        <v>222</v>
      </c>
      <c r="H1788" s="16" t="s">
        <v>220</v>
      </c>
      <c r="I1788" s="16" t="s">
        <v>220</v>
      </c>
    </row>
    <row r="1789" ht="242.25" customHeight="1">
      <c r="A1789" s="32" t="b">
        <v>0</v>
      </c>
      <c r="B1789" s="32" t="str">
        <f>IMAGE("https://gymvisual.com/14413-catalog_default/dumbbell-rdl-death-march.jpg",4,500,500)</f>
        <v/>
      </c>
      <c r="C1789" s="30">
        <v>1788.0</v>
      </c>
      <c r="D1789" s="16" t="s">
        <v>2376</v>
      </c>
      <c r="E1789" s="16" t="s">
        <v>184</v>
      </c>
      <c r="F1789" s="16" t="s">
        <v>185</v>
      </c>
      <c r="G1789" s="16" t="s">
        <v>222</v>
      </c>
      <c r="H1789" s="16" t="s">
        <v>189</v>
      </c>
      <c r="I1789" s="16" t="s">
        <v>314</v>
      </c>
    </row>
    <row r="1790" ht="242.25" customHeight="1">
      <c r="A1790" s="32" t="b">
        <v>0</v>
      </c>
      <c r="B1790" s="32" t="str">
        <f>IMAGE("https://gymvisual.com/20752-catalog_default/dumbbell-rear-delt-fly-45-degrees.jpg",4,500,500)</f>
        <v/>
      </c>
      <c r="C1790" s="30">
        <v>1789.0</v>
      </c>
      <c r="D1790" s="16" t="s">
        <v>2377</v>
      </c>
      <c r="E1790" s="16" t="s">
        <v>184</v>
      </c>
      <c r="F1790" s="16" t="s">
        <v>228</v>
      </c>
      <c r="G1790" s="16" t="s">
        <v>222</v>
      </c>
      <c r="H1790" s="16" t="s">
        <v>408</v>
      </c>
      <c r="I1790" s="16" t="s">
        <v>452</v>
      </c>
    </row>
    <row r="1791" ht="242.25" customHeight="1">
      <c r="A1791" s="32" t="b">
        <v>0</v>
      </c>
      <c r="B1791" s="32" t="str">
        <f>IMAGE("https://gymvisual.com/11032-catalog_default/dumbbell-rear-delt-fly-female.jpg",4,500,500)</f>
        <v/>
      </c>
      <c r="C1791" s="30">
        <v>1790.0</v>
      </c>
      <c r="D1791" s="16" t="s">
        <v>2378</v>
      </c>
      <c r="E1791" s="16" t="s">
        <v>184</v>
      </c>
      <c r="F1791" s="16" t="s">
        <v>228</v>
      </c>
      <c r="G1791" s="16" t="s">
        <v>222</v>
      </c>
      <c r="H1791" s="16" t="s">
        <v>408</v>
      </c>
      <c r="I1791" s="16" t="s">
        <v>452</v>
      </c>
    </row>
    <row r="1792" ht="242.25" customHeight="1">
      <c r="A1792" s="32" t="b">
        <v>0</v>
      </c>
      <c r="B1792" s="32" t="str">
        <f>IMAGE("https://gymvisual.com/9736-catalog_default/dumbbell-rear-delt-raise.jpg",4,500,500)</f>
        <v/>
      </c>
      <c r="C1792" s="30">
        <v>1791.0</v>
      </c>
      <c r="D1792" s="16" t="s">
        <v>2379</v>
      </c>
      <c r="E1792" s="16" t="s">
        <v>184</v>
      </c>
      <c r="F1792" s="16" t="s">
        <v>228</v>
      </c>
      <c r="G1792" s="16" t="s">
        <v>222</v>
      </c>
      <c r="H1792" s="16" t="s">
        <v>408</v>
      </c>
      <c r="I1792" s="16" t="s">
        <v>2380</v>
      </c>
    </row>
    <row r="1793" ht="242.25" customHeight="1">
      <c r="A1793" s="32" t="b">
        <v>0</v>
      </c>
      <c r="B1793" s="32" t="str">
        <f>IMAGE("https://gymvisual.com/13894-catalog_default/dumbbell-rear-delt-raise-female.jpg",4,500,500)</f>
        <v/>
      </c>
      <c r="C1793" s="30">
        <v>1792.0</v>
      </c>
      <c r="D1793" s="16" t="s">
        <v>2381</v>
      </c>
      <c r="E1793" s="16" t="s">
        <v>184</v>
      </c>
      <c r="F1793" s="16" t="s">
        <v>228</v>
      </c>
      <c r="G1793" s="16" t="s">
        <v>222</v>
      </c>
      <c r="H1793" s="16" t="s">
        <v>220</v>
      </c>
      <c r="I1793" s="16" t="s">
        <v>220</v>
      </c>
    </row>
    <row r="1794" ht="242.25" customHeight="1">
      <c r="A1794" s="32" t="b">
        <v>0</v>
      </c>
      <c r="B1794" s="32" t="str">
        <f>IMAGE("https://gymvisual.com/16620-catalog_default/dumbbell-rear-delt-row-female.jpg",4,500,500)</f>
        <v/>
      </c>
      <c r="C1794" s="30">
        <v>1793.0</v>
      </c>
      <c r="D1794" s="16" t="s">
        <v>2382</v>
      </c>
      <c r="E1794" s="16" t="s">
        <v>184</v>
      </c>
      <c r="F1794" s="16" t="s">
        <v>192</v>
      </c>
      <c r="G1794" s="16" t="s">
        <v>222</v>
      </c>
      <c r="H1794" s="16" t="s">
        <v>329</v>
      </c>
      <c r="I1794" s="16" t="s">
        <v>447</v>
      </c>
    </row>
    <row r="1795" ht="242.25" customHeight="1">
      <c r="A1795" s="32" t="b">
        <v>0</v>
      </c>
      <c r="B1795" s="32" t="str">
        <f>IMAGE("https://gymvisual.com/1150-catalog_default/3-4-sit-up.jpg",4,500,500)</f>
        <v/>
      </c>
      <c r="C1795" s="30">
        <v>1794.0</v>
      </c>
      <c r="D1795" s="16" t="s">
        <v>2383</v>
      </c>
      <c r="E1795" s="16" t="s">
        <v>184</v>
      </c>
      <c r="F1795" s="16" t="s">
        <v>228</v>
      </c>
      <c r="G1795" s="16" t="s">
        <v>222</v>
      </c>
      <c r="H1795" s="16" t="s">
        <v>408</v>
      </c>
      <c r="I1795" s="16" t="s">
        <v>490</v>
      </c>
    </row>
    <row r="1796" ht="242.25" customHeight="1">
      <c r="A1796" s="32" t="b">
        <v>0</v>
      </c>
      <c r="B1796" s="32" t="str">
        <f>IMAGE("https://gymvisual.com/20628-catalog_default/3-4-sit-up.jpg",4,500,500)</f>
        <v/>
      </c>
      <c r="C1796" s="30">
        <v>1795.0</v>
      </c>
      <c r="D1796" s="16" t="s">
        <v>2384</v>
      </c>
      <c r="E1796" s="16" t="s">
        <v>184</v>
      </c>
      <c r="F1796" s="16" t="s">
        <v>228</v>
      </c>
      <c r="G1796" s="16" t="s">
        <v>222</v>
      </c>
      <c r="H1796" s="16" t="s">
        <v>408</v>
      </c>
      <c r="I1796" s="16" t="s">
        <v>452</v>
      </c>
    </row>
    <row r="1797" ht="242.25" customHeight="1">
      <c r="A1797" s="32" t="b">
        <v>0</v>
      </c>
      <c r="B1797" s="32" t="str">
        <f>IMAGE("https://gymvisual.com/10370-catalog_default/dumbbell-rear-fly-female.jpg",4,500,500)</f>
        <v/>
      </c>
      <c r="C1797" s="30">
        <v>1796.0</v>
      </c>
      <c r="D1797" s="16" t="s">
        <v>2385</v>
      </c>
      <c r="E1797" s="16" t="s">
        <v>184</v>
      </c>
      <c r="F1797" s="16" t="s">
        <v>228</v>
      </c>
      <c r="G1797" s="16" t="s">
        <v>222</v>
      </c>
      <c r="H1797" s="16" t="s">
        <v>408</v>
      </c>
      <c r="I1797" s="16" t="s">
        <v>452</v>
      </c>
    </row>
    <row r="1798" ht="242.25" customHeight="1">
      <c r="A1798" s="32" t="b">
        <v>0</v>
      </c>
      <c r="B1798" s="32" t="str">
        <f>IMAGE("https://gymvisual.com/20742-catalog_default/3-4-sit-up.jpg",4,500,500)</f>
        <v/>
      </c>
      <c r="C1798" s="30">
        <v>1797.0</v>
      </c>
      <c r="D1798" s="16" t="s">
        <v>2386</v>
      </c>
      <c r="E1798" s="16" t="s">
        <v>184</v>
      </c>
      <c r="F1798" s="16" t="s">
        <v>228</v>
      </c>
      <c r="G1798" s="16" t="s">
        <v>222</v>
      </c>
      <c r="H1798" s="16" t="s">
        <v>408</v>
      </c>
      <c r="I1798" s="16" t="s">
        <v>452</v>
      </c>
    </row>
    <row r="1799" ht="242.25" customHeight="1">
      <c r="A1799" s="32" t="b">
        <v>0</v>
      </c>
      <c r="B1799" s="32" t="str">
        <f>IMAGE("https://gymvisual.com/1156-catalog_default/3-4-sit-up.jpg",4,500,500)</f>
        <v/>
      </c>
      <c r="C1799" s="30">
        <v>1798.0</v>
      </c>
      <c r="D1799" s="16" t="s">
        <v>2387</v>
      </c>
      <c r="E1799" s="16" t="s">
        <v>184</v>
      </c>
      <c r="F1799" s="16" t="s">
        <v>228</v>
      </c>
      <c r="G1799" s="16" t="s">
        <v>222</v>
      </c>
      <c r="H1799" s="16" t="s">
        <v>408</v>
      </c>
      <c r="I1799" s="16" t="s">
        <v>452</v>
      </c>
    </row>
    <row r="1800" ht="242.25" customHeight="1">
      <c r="A1800" s="32" t="b">
        <v>0</v>
      </c>
      <c r="B1800" s="32" t="str">
        <f>IMAGE("https://gymvisual.com/1162-catalog_default/3-4-sit-up.jpg",4,500,500)</f>
        <v/>
      </c>
      <c r="C1800" s="30">
        <v>1799.0</v>
      </c>
      <c r="D1800" s="16" t="s">
        <v>2388</v>
      </c>
      <c r="E1800" s="16" t="s">
        <v>184</v>
      </c>
      <c r="F1800" s="16" t="s">
        <v>285</v>
      </c>
      <c r="G1800" s="16" t="s">
        <v>222</v>
      </c>
      <c r="H1800" s="16" t="s">
        <v>189</v>
      </c>
      <c r="I1800" s="16" t="s">
        <v>190</v>
      </c>
    </row>
    <row r="1801" ht="242.25" customHeight="1">
      <c r="A1801" s="32" t="b">
        <v>0</v>
      </c>
      <c r="B1801" s="32" t="str">
        <f>IMAGE("https://gymvisual.com/9571-catalog_default/dumbbell-rear-lunge-female.jpg",4,500,500)</f>
        <v/>
      </c>
      <c r="C1801" s="30">
        <v>1800.0</v>
      </c>
      <c r="D1801" s="16" t="s">
        <v>2389</v>
      </c>
      <c r="E1801" s="16" t="s">
        <v>184</v>
      </c>
      <c r="F1801" s="16" t="s">
        <v>294</v>
      </c>
      <c r="G1801" s="16" t="s">
        <v>222</v>
      </c>
      <c r="H1801" s="16" t="s">
        <v>189</v>
      </c>
      <c r="I1801" s="16" t="s">
        <v>190</v>
      </c>
    </row>
    <row r="1802" ht="242.25" customHeight="1">
      <c r="A1802" s="32" t="b">
        <v>0</v>
      </c>
      <c r="B1802" s="32" t="str">
        <f>IMAGE("https://gymvisual.com/10256-catalog_default/dumbbell-rear-lunge-from-step-female.jpg",4,500,500)</f>
        <v/>
      </c>
      <c r="C1802" s="30">
        <v>1801.0</v>
      </c>
      <c r="D1802" s="16" t="s">
        <v>2390</v>
      </c>
      <c r="E1802" s="16" t="s">
        <v>184</v>
      </c>
      <c r="F1802" s="16" t="s">
        <v>294</v>
      </c>
      <c r="G1802" s="16" t="s">
        <v>222</v>
      </c>
      <c r="H1802" s="16" t="s">
        <v>189</v>
      </c>
      <c r="I1802" s="16" t="s">
        <v>190</v>
      </c>
    </row>
    <row r="1803" ht="242.25" customHeight="1">
      <c r="A1803" s="32" t="b">
        <v>0</v>
      </c>
      <c r="B1803" s="32" t="str">
        <f>IMAGE("https://gymvisual.com/17583-catalog_default/dumbbell-rear-lunge-front-raise.jpg",4,500,500)</f>
        <v/>
      </c>
      <c r="C1803" s="30">
        <v>1802.0</v>
      </c>
      <c r="D1803" s="16" t="s">
        <v>2391</v>
      </c>
      <c r="E1803" s="16" t="s">
        <v>184</v>
      </c>
      <c r="F1803" s="16" t="s">
        <v>691</v>
      </c>
      <c r="G1803" s="16" t="s">
        <v>222</v>
      </c>
      <c r="H1803" s="16" t="s">
        <v>793</v>
      </c>
      <c r="I1803" s="16" t="s">
        <v>2392</v>
      </c>
    </row>
    <row r="1804" ht="242.25" customHeight="1">
      <c r="A1804" s="32" t="b">
        <v>0</v>
      </c>
      <c r="B1804" s="32" t="str">
        <f>IMAGE("https://gymvisual.com/13301-catalog_default/dumbbell-renegade-row.jpg",4,500,500)</f>
        <v/>
      </c>
      <c r="C1804" s="30">
        <v>1803.0</v>
      </c>
      <c r="D1804" s="16" t="s">
        <v>2393</v>
      </c>
      <c r="E1804" s="16" t="s">
        <v>184</v>
      </c>
      <c r="F1804" s="16" t="s">
        <v>361</v>
      </c>
      <c r="G1804" s="16" t="s">
        <v>222</v>
      </c>
      <c r="H1804" s="16" t="s">
        <v>329</v>
      </c>
      <c r="I1804" s="16" t="s">
        <v>457</v>
      </c>
    </row>
    <row r="1805" ht="242.25" customHeight="1">
      <c r="A1805" s="32" t="b">
        <v>0</v>
      </c>
      <c r="B1805" s="32" t="str">
        <f>IMAGE("https://gymvisual.com/13303-catalog_default/dumbbell-renegade-row-female.jpg",4,500,500)</f>
        <v/>
      </c>
      <c r="C1805" s="30">
        <v>1804.0</v>
      </c>
      <c r="D1805" s="16" t="s">
        <v>2394</v>
      </c>
      <c r="E1805" s="16" t="s">
        <v>184</v>
      </c>
      <c r="F1805" s="16" t="s">
        <v>361</v>
      </c>
      <c r="G1805" s="16" t="s">
        <v>222</v>
      </c>
      <c r="H1805" s="16" t="s">
        <v>220</v>
      </c>
      <c r="I1805" s="16" t="s">
        <v>220</v>
      </c>
    </row>
    <row r="1806" ht="242.25" customHeight="1">
      <c r="A1806" s="32" t="b">
        <v>0</v>
      </c>
      <c r="B1806" s="32" t="str">
        <f>IMAGE("https://gymvisual.com/19604-catalog_default/dumbbell-renegade-row-to-squat.jpg",4,500,500)</f>
        <v/>
      </c>
      <c r="C1806" s="30">
        <v>1805.0</v>
      </c>
      <c r="D1806" s="16" t="s">
        <v>2395</v>
      </c>
      <c r="E1806" s="16" t="s">
        <v>184</v>
      </c>
      <c r="F1806" s="16" t="s">
        <v>2396</v>
      </c>
      <c r="G1806" s="16" t="s">
        <v>222</v>
      </c>
      <c r="H1806" s="16" t="s">
        <v>220</v>
      </c>
      <c r="I1806" s="16" t="s">
        <v>220</v>
      </c>
    </row>
    <row r="1807" ht="242.25" customHeight="1">
      <c r="A1807" s="32" t="b">
        <v>0</v>
      </c>
      <c r="B1807" s="32" t="str">
        <f>IMAGE("https://gymvisual.com/1165-catalog_default/3-4-sit-up.jpg",4,500,500)</f>
        <v/>
      </c>
      <c r="C1807" s="30">
        <v>1806.0</v>
      </c>
      <c r="D1807" s="16" t="s">
        <v>2397</v>
      </c>
      <c r="E1807" s="16" t="s">
        <v>184</v>
      </c>
      <c r="F1807" s="16" t="s">
        <v>214</v>
      </c>
      <c r="G1807" s="16" t="s">
        <v>222</v>
      </c>
      <c r="H1807" s="16" t="s">
        <v>216</v>
      </c>
      <c r="I1807" s="16" t="s">
        <v>217</v>
      </c>
    </row>
    <row r="1808" ht="242.25" customHeight="1">
      <c r="A1808" s="32" t="b">
        <v>0</v>
      </c>
      <c r="B1808" s="32" t="str">
        <f>IMAGE("https://gymvisual.com/7099-catalog_default/dumbbell-reverse-bench-press.jpg",4,500,500)</f>
        <v/>
      </c>
      <c r="C1808" s="30">
        <v>1807.0</v>
      </c>
      <c r="D1808" s="16" t="s">
        <v>2398</v>
      </c>
      <c r="E1808" s="16" t="s">
        <v>184</v>
      </c>
      <c r="F1808" s="16" t="s">
        <v>234</v>
      </c>
      <c r="G1808" s="16" t="s">
        <v>222</v>
      </c>
      <c r="H1808" s="16" t="s">
        <v>220</v>
      </c>
      <c r="I1808" s="16" t="s">
        <v>220</v>
      </c>
    </row>
    <row r="1809" ht="242.25" customHeight="1">
      <c r="A1809" s="32" t="b">
        <v>0</v>
      </c>
      <c r="B1809" s="32" t="str">
        <f>IMAGE("https://gymvisual.com/13924-catalog_default/dumbbell-reverse-bench-press-female.jpg",4,500,500)</f>
        <v/>
      </c>
      <c r="C1809" s="30">
        <v>1808.0</v>
      </c>
      <c r="D1809" s="16" t="s">
        <v>2399</v>
      </c>
      <c r="E1809" s="16" t="s">
        <v>184</v>
      </c>
      <c r="F1809" s="16" t="s">
        <v>1894</v>
      </c>
      <c r="G1809" s="16" t="s">
        <v>222</v>
      </c>
      <c r="H1809" s="16" t="s">
        <v>2400</v>
      </c>
      <c r="I1809" s="16" t="s">
        <v>229</v>
      </c>
    </row>
    <row r="1810" ht="242.25" customHeight="1">
      <c r="A1810" s="32" t="b">
        <v>0</v>
      </c>
      <c r="B1810" s="32" t="str">
        <f>IMAGE("https://gymvisual.com/1168-catalog_default/3-4-sit-up.jpg",4,500,500)</f>
        <v/>
      </c>
      <c r="C1810" s="30">
        <v>1809.0</v>
      </c>
      <c r="D1810" s="16" t="s">
        <v>2401</v>
      </c>
      <c r="E1810" s="16" t="s">
        <v>184</v>
      </c>
      <c r="F1810" s="16" t="s">
        <v>228</v>
      </c>
      <c r="G1810" s="16" t="s">
        <v>222</v>
      </c>
      <c r="H1810" s="16" t="s">
        <v>408</v>
      </c>
      <c r="I1810" s="16" t="s">
        <v>452</v>
      </c>
    </row>
    <row r="1811" ht="242.25" customHeight="1">
      <c r="A1811" s="32" t="b">
        <v>0</v>
      </c>
      <c r="B1811" s="32" t="str">
        <f>IMAGE("https://gymvisual.com/6021-catalog_default/dumbbell-reverse-grip-incline-bench-one-arm-row.jpg",4,500,500)</f>
        <v/>
      </c>
      <c r="C1811" s="30">
        <v>1810.0</v>
      </c>
      <c r="D1811" s="16" t="s">
        <v>2402</v>
      </c>
      <c r="E1811" s="16" t="s">
        <v>184</v>
      </c>
      <c r="F1811" s="16" t="s">
        <v>192</v>
      </c>
      <c r="G1811" s="16" t="s">
        <v>222</v>
      </c>
      <c r="H1811" s="16" t="s">
        <v>329</v>
      </c>
      <c r="I1811" s="16" t="s">
        <v>457</v>
      </c>
    </row>
    <row r="1812" ht="242.25" customHeight="1">
      <c r="A1812" s="32" t="b">
        <v>0</v>
      </c>
      <c r="B1812" s="32" t="str">
        <f>IMAGE("https://gymvisual.com/11399-catalog_default/dumbbell-reverse-grip-incline-bench-one-arm-row-female.jpg",4,500,500)</f>
        <v/>
      </c>
      <c r="C1812" s="30">
        <v>1811.0</v>
      </c>
      <c r="D1812" s="16" t="s">
        <v>2403</v>
      </c>
      <c r="E1812" s="16" t="s">
        <v>184</v>
      </c>
      <c r="F1812" s="16" t="s">
        <v>192</v>
      </c>
      <c r="G1812" s="16" t="s">
        <v>222</v>
      </c>
      <c r="H1812" s="16" t="s">
        <v>220</v>
      </c>
      <c r="I1812" s="16" t="s">
        <v>220</v>
      </c>
    </row>
    <row r="1813" ht="242.25" customHeight="1">
      <c r="A1813" s="32" t="b">
        <v>0</v>
      </c>
      <c r="B1813" s="32" t="str">
        <f>IMAGE("https://gymvisual.com/6022-catalog_default/dumbbell-reverse-grip-incline-bench-two-arm-row.jpg",4,500,500)</f>
        <v/>
      </c>
      <c r="C1813" s="30">
        <v>1812.0</v>
      </c>
      <c r="D1813" s="16" t="s">
        <v>2404</v>
      </c>
      <c r="E1813" s="16" t="s">
        <v>184</v>
      </c>
      <c r="F1813" s="16" t="s">
        <v>192</v>
      </c>
      <c r="G1813" s="16" t="s">
        <v>222</v>
      </c>
      <c r="H1813" s="16" t="s">
        <v>329</v>
      </c>
      <c r="I1813" s="16" t="s">
        <v>457</v>
      </c>
    </row>
    <row r="1814" ht="242.25" customHeight="1">
      <c r="A1814" s="32" t="b">
        <v>0</v>
      </c>
      <c r="B1814" s="32" t="str">
        <f>IMAGE("https://gymvisual.com/11104-catalog_default/dumbbell-reverse-grip-incline-row-female.jpg",4,500,500)</f>
        <v/>
      </c>
      <c r="C1814" s="30">
        <v>1813.0</v>
      </c>
      <c r="D1814" s="16" t="s">
        <v>2405</v>
      </c>
      <c r="E1814" s="16" t="s">
        <v>184</v>
      </c>
      <c r="F1814" s="16" t="s">
        <v>192</v>
      </c>
      <c r="G1814" s="16" t="s">
        <v>222</v>
      </c>
      <c r="H1814" s="16" t="s">
        <v>570</v>
      </c>
      <c r="I1814" s="16" t="s">
        <v>447</v>
      </c>
    </row>
    <row r="1815" ht="242.25" customHeight="1">
      <c r="A1815" s="32" t="b">
        <v>0</v>
      </c>
      <c r="B1815" s="32" t="str">
        <f>IMAGE("https://gymvisual.com/9846-catalog_default/dumbbell-reverse-grip-row-female.jpg",4,500,500)</f>
        <v/>
      </c>
      <c r="C1815" s="30">
        <v>1814.0</v>
      </c>
      <c r="D1815" s="16" t="s">
        <v>2406</v>
      </c>
      <c r="E1815" s="16" t="s">
        <v>184</v>
      </c>
      <c r="F1815" s="16" t="s">
        <v>192</v>
      </c>
      <c r="G1815" s="16" t="s">
        <v>222</v>
      </c>
      <c r="H1815" s="16" t="s">
        <v>329</v>
      </c>
      <c r="I1815" s="16" t="s">
        <v>457</v>
      </c>
    </row>
    <row r="1816" ht="242.25" customHeight="1">
      <c r="A1816" s="32" t="b">
        <v>0</v>
      </c>
      <c r="B1816" s="32" t="str">
        <f>IMAGE("https://gymvisual.com/22357-catalog_default/dumbbell-reverse-grip-squeeze-bench-press.jpg",4,500,500)</f>
        <v/>
      </c>
      <c r="C1816" s="30">
        <v>1815.0</v>
      </c>
      <c r="D1816" s="16" t="s">
        <v>2407</v>
      </c>
      <c r="E1816" s="16" t="s">
        <v>184</v>
      </c>
      <c r="F1816" s="16" t="s">
        <v>219</v>
      </c>
      <c r="G1816" s="16" t="s">
        <v>222</v>
      </c>
      <c r="H1816" s="16" t="s">
        <v>220</v>
      </c>
      <c r="I1816" s="16" t="s">
        <v>220</v>
      </c>
    </row>
    <row r="1817" ht="242.25" customHeight="1">
      <c r="A1817" s="32" t="b">
        <v>0</v>
      </c>
      <c r="B1817" s="32" t="str">
        <f>IMAGE("https://gymvisual.com/24991-catalog_default/3-4-sit-up.jpg",4,500,500)</f>
        <v/>
      </c>
      <c r="C1817" s="30">
        <v>1816.0</v>
      </c>
      <c r="D1817" s="16" t="s">
        <v>2408</v>
      </c>
      <c r="E1817" s="16" t="s">
        <v>184</v>
      </c>
      <c r="F1817" s="16" t="s">
        <v>214</v>
      </c>
      <c r="G1817" s="16" t="s">
        <v>222</v>
      </c>
      <c r="H1817" s="16" t="s">
        <v>216</v>
      </c>
      <c r="I1817" s="16" t="s">
        <v>217</v>
      </c>
    </row>
    <row r="1818" ht="242.25" customHeight="1">
      <c r="A1818" s="32" t="b">
        <v>0</v>
      </c>
      <c r="B1818" s="32" t="str">
        <f>IMAGE("https://gymvisual.com/7149-catalog_default/dumbbell-reverse-spider-curl.jpg",4,500,500)</f>
        <v/>
      </c>
      <c r="C1818" s="30">
        <v>1817.0</v>
      </c>
      <c r="D1818" s="16" t="s">
        <v>2409</v>
      </c>
      <c r="E1818" s="16" t="s">
        <v>184</v>
      </c>
      <c r="F1818" s="16" t="s">
        <v>219</v>
      </c>
      <c r="G1818" s="16" t="s">
        <v>222</v>
      </c>
      <c r="H1818" s="16" t="s">
        <v>220</v>
      </c>
      <c r="I1818" s="16" t="s">
        <v>220</v>
      </c>
    </row>
    <row r="1819" ht="242.25" customHeight="1">
      <c r="A1819" s="32" t="b">
        <v>0</v>
      </c>
      <c r="B1819" s="32" t="str">
        <f>IMAGE("https://gymvisual.com/1174-catalog_default/3-4-sit-up.jpg",4,500,500)</f>
        <v/>
      </c>
      <c r="C1819" s="30">
        <v>1818.0</v>
      </c>
      <c r="D1819" s="16" t="s">
        <v>2410</v>
      </c>
      <c r="E1819" s="16" t="s">
        <v>184</v>
      </c>
      <c r="F1819" s="16" t="s">
        <v>214</v>
      </c>
      <c r="G1819" s="16" t="s">
        <v>222</v>
      </c>
      <c r="H1819" s="16" t="s">
        <v>604</v>
      </c>
      <c r="I1819" s="16" t="s">
        <v>220</v>
      </c>
    </row>
    <row r="1820" ht="242.25" customHeight="1">
      <c r="A1820" s="32" t="b">
        <v>0</v>
      </c>
      <c r="B1820" s="32" t="str">
        <f>IMAGE("https://gymvisual.com/7639-catalog_default/dumbbell-romanian-deadlift.jpg",4,500,500)</f>
        <v/>
      </c>
      <c r="C1820" s="30">
        <v>1819.0</v>
      </c>
      <c r="D1820" s="16" t="s">
        <v>2411</v>
      </c>
      <c r="E1820" s="16" t="s">
        <v>184</v>
      </c>
      <c r="F1820" s="16" t="s">
        <v>185</v>
      </c>
      <c r="G1820" s="16" t="s">
        <v>222</v>
      </c>
      <c r="H1820" s="16" t="s">
        <v>2412</v>
      </c>
      <c r="I1820" s="16" t="s">
        <v>2413</v>
      </c>
    </row>
    <row r="1821" ht="242.25" customHeight="1">
      <c r="A1821" s="32" t="b">
        <v>0</v>
      </c>
      <c r="B1821" s="32" t="str">
        <f>IMAGE("https://gymvisual.com/9580-catalog_default/dumbbell-romanian-deadlift-female.jpg",4,500,500)</f>
        <v/>
      </c>
      <c r="C1821" s="30">
        <v>1820.0</v>
      </c>
      <c r="D1821" s="16" t="s">
        <v>2414</v>
      </c>
      <c r="E1821" s="16" t="s">
        <v>184</v>
      </c>
      <c r="F1821" s="16" t="s">
        <v>185</v>
      </c>
      <c r="G1821" s="16" t="s">
        <v>222</v>
      </c>
      <c r="H1821" s="16" t="s">
        <v>267</v>
      </c>
      <c r="I1821" s="16" t="s">
        <v>2415</v>
      </c>
    </row>
    <row r="1822" ht="242.25" customHeight="1">
      <c r="A1822" s="32" t="b">
        <v>0</v>
      </c>
      <c r="B1822" s="32" t="str">
        <f>IMAGE("https://gymvisual.com/1177-catalog_default/3-4-sit-up.jpg",4,500,500)</f>
        <v/>
      </c>
      <c r="C1822" s="30">
        <v>1821.0</v>
      </c>
      <c r="D1822" s="16" t="s">
        <v>2416</v>
      </c>
      <c r="E1822" s="16" t="s">
        <v>184</v>
      </c>
      <c r="F1822" s="16" t="s">
        <v>228</v>
      </c>
      <c r="G1822" s="16" t="s">
        <v>222</v>
      </c>
      <c r="H1822" s="16" t="s">
        <v>408</v>
      </c>
      <c r="I1822" s="16" t="s">
        <v>2417</v>
      </c>
    </row>
    <row r="1823" ht="242.25" customHeight="1">
      <c r="A1823" s="32" t="b">
        <v>0</v>
      </c>
      <c r="B1823" s="32" t="str">
        <f>IMAGE("https://gymvisual.com/22355-catalog_default/dumbbell-rotational-grip-bench-press.jpg",4,500,500)</f>
        <v/>
      </c>
      <c r="C1823" s="30">
        <v>1822.0</v>
      </c>
      <c r="D1823" s="16" t="s">
        <v>2418</v>
      </c>
      <c r="E1823" s="16" t="s">
        <v>184</v>
      </c>
      <c r="F1823" s="16" t="s">
        <v>234</v>
      </c>
      <c r="G1823" s="16" t="s">
        <v>222</v>
      </c>
      <c r="H1823" s="16" t="s">
        <v>220</v>
      </c>
      <c r="I1823" s="16" t="s">
        <v>220</v>
      </c>
    </row>
    <row r="1824" ht="242.25" customHeight="1">
      <c r="A1824" s="32" t="b">
        <v>0</v>
      </c>
      <c r="B1824" s="32" t="str">
        <f>IMAGE("https://gymvisual.com/13920-catalog_default/dumbbell-russian-twist.jpg",4,500,500)</f>
        <v/>
      </c>
      <c r="C1824" s="30">
        <v>1823.0</v>
      </c>
      <c r="D1824" s="16" t="s">
        <v>2419</v>
      </c>
      <c r="E1824" s="16" t="s">
        <v>184</v>
      </c>
      <c r="F1824" s="16" t="s">
        <v>254</v>
      </c>
      <c r="G1824" s="16" t="s">
        <v>222</v>
      </c>
      <c r="H1824" s="16" t="s">
        <v>257</v>
      </c>
      <c r="I1824" s="16" t="s">
        <v>256</v>
      </c>
    </row>
    <row r="1825" ht="242.25" customHeight="1">
      <c r="A1825" s="32" t="b">
        <v>0</v>
      </c>
      <c r="B1825" s="32" t="str">
        <f>IMAGE("https://gymvisual.com/13922-catalog_default/dumbbell-russian-twist-female.jpg",4,500,500)</f>
        <v/>
      </c>
      <c r="C1825" s="30">
        <v>1824.0</v>
      </c>
      <c r="D1825" s="16" t="s">
        <v>2420</v>
      </c>
      <c r="E1825" s="16" t="s">
        <v>184</v>
      </c>
      <c r="F1825" s="16" t="s">
        <v>254</v>
      </c>
      <c r="G1825" s="16" t="s">
        <v>222</v>
      </c>
      <c r="H1825" s="16" t="s">
        <v>257</v>
      </c>
      <c r="I1825" s="16" t="s">
        <v>256</v>
      </c>
    </row>
    <row r="1826" ht="242.25" customHeight="1">
      <c r="A1826" s="32" t="b">
        <v>0</v>
      </c>
      <c r="B1826" s="32" t="str">
        <f>IMAGE("https://gymvisual.com/17815-catalog_default/dumbbell-russian-twist-on-stability-ball.jpg",4,500,500)</f>
        <v/>
      </c>
      <c r="C1826" s="30">
        <v>1825.0</v>
      </c>
      <c r="D1826" s="16" t="s">
        <v>2421</v>
      </c>
      <c r="E1826" s="16" t="s">
        <v>184</v>
      </c>
      <c r="F1826" s="16" t="s">
        <v>254</v>
      </c>
      <c r="G1826" s="16" t="s">
        <v>222</v>
      </c>
      <c r="H1826" s="16" t="s">
        <v>220</v>
      </c>
      <c r="I1826" s="16" t="s">
        <v>220</v>
      </c>
    </row>
    <row r="1827" ht="242.25" customHeight="1">
      <c r="A1827" s="32" t="b">
        <v>0</v>
      </c>
      <c r="B1827" s="32" t="str">
        <f>IMAGE("https://gymvisual.com/19596-catalog_default/dumbbell-russian-twist-close-grip-shoulder-press-sit-up.jpg",4,500,500)</f>
        <v/>
      </c>
      <c r="C1827" s="30">
        <v>1826.0</v>
      </c>
      <c r="D1827" s="16" t="s">
        <v>2422</v>
      </c>
      <c r="E1827" s="16" t="s">
        <v>184</v>
      </c>
      <c r="F1827" s="16" t="s">
        <v>254</v>
      </c>
      <c r="G1827" s="16" t="s">
        <v>222</v>
      </c>
      <c r="H1827" s="16" t="s">
        <v>220</v>
      </c>
      <c r="I1827" s="16" t="s">
        <v>220</v>
      </c>
    </row>
    <row r="1828" ht="242.25" customHeight="1">
      <c r="A1828" s="32" t="b">
        <v>0</v>
      </c>
      <c r="B1828" s="32" t="str">
        <f>IMAGE("https://gymvisual.com/22249-catalog_default/dumbbell-russian-twist-with-legs-floor-off.jpg",4,500,500)</f>
        <v/>
      </c>
      <c r="C1828" s="30">
        <v>1827.0</v>
      </c>
      <c r="D1828" s="16" t="s">
        <v>2423</v>
      </c>
      <c r="E1828" s="16" t="s">
        <v>184</v>
      </c>
      <c r="F1828" s="16" t="s">
        <v>254</v>
      </c>
      <c r="G1828" s="16" t="s">
        <v>222</v>
      </c>
      <c r="H1828" s="16" t="s">
        <v>220</v>
      </c>
      <c r="I1828" s="16" t="s">
        <v>220</v>
      </c>
    </row>
    <row r="1829" ht="242.25" customHeight="1">
      <c r="A1829" s="32" t="b">
        <v>0</v>
      </c>
      <c r="B1829" s="32" t="str">
        <f>IMAGE("https://gymvisual.com/10375-catalog_default/dumbbell-scott-press.jpg",4,500,500)</f>
        <v/>
      </c>
      <c r="C1829" s="30">
        <v>1828.0</v>
      </c>
      <c r="D1829" s="16" t="s">
        <v>2424</v>
      </c>
      <c r="E1829" s="16" t="s">
        <v>184</v>
      </c>
      <c r="F1829" s="16" t="s">
        <v>228</v>
      </c>
      <c r="G1829" s="16" t="s">
        <v>222</v>
      </c>
      <c r="H1829" s="16" t="s">
        <v>544</v>
      </c>
      <c r="I1829" s="16" t="s">
        <v>2425</v>
      </c>
    </row>
    <row r="1830" ht="242.25" customHeight="1">
      <c r="A1830" s="32" t="b">
        <v>0</v>
      </c>
      <c r="B1830" s="32" t="str">
        <f>IMAGE("https://gymvisual.com/13896-catalog_default/dumbbell-scott-press-female.jpg",4,500,500)</f>
        <v/>
      </c>
      <c r="C1830" s="30">
        <v>1829.0</v>
      </c>
      <c r="D1830" s="16" t="s">
        <v>2426</v>
      </c>
      <c r="E1830" s="16" t="s">
        <v>184</v>
      </c>
      <c r="F1830" s="16" t="s">
        <v>228</v>
      </c>
      <c r="G1830" s="16" t="s">
        <v>222</v>
      </c>
      <c r="H1830" s="16" t="s">
        <v>220</v>
      </c>
      <c r="I1830" s="16" t="s">
        <v>220</v>
      </c>
    </row>
    <row r="1831" ht="242.25" customHeight="1">
      <c r="A1831" s="32" t="b">
        <v>0</v>
      </c>
      <c r="B1831" s="32" t="str">
        <f>IMAGE("https://gymvisual.com/16702-catalog_default/dumbbell-seated-alternate-biceps-curl-female.jpg",4,500,500)</f>
        <v/>
      </c>
      <c r="C1831" s="30">
        <v>1830.0</v>
      </c>
      <c r="D1831" s="16" t="s">
        <v>2427</v>
      </c>
      <c r="E1831" s="16" t="s">
        <v>184</v>
      </c>
      <c r="F1831" s="16" t="s">
        <v>219</v>
      </c>
      <c r="G1831" s="16" t="s">
        <v>222</v>
      </c>
      <c r="H1831" s="16" t="s">
        <v>241</v>
      </c>
      <c r="I1831" s="16" t="s">
        <v>292</v>
      </c>
    </row>
    <row r="1832" ht="242.25" customHeight="1">
      <c r="A1832" s="32" t="b">
        <v>0</v>
      </c>
      <c r="B1832" s="32" t="str">
        <f>IMAGE("https://gymvisual.com/1180-catalog_default/3-4-sit-up.jpg",4,500,500)</f>
        <v/>
      </c>
      <c r="C1832" s="30">
        <v>1831.0</v>
      </c>
      <c r="D1832" s="16" t="s">
        <v>2428</v>
      </c>
      <c r="E1832" s="16" t="s">
        <v>184</v>
      </c>
      <c r="F1832" s="16" t="s">
        <v>228</v>
      </c>
      <c r="G1832" s="16" t="s">
        <v>222</v>
      </c>
      <c r="H1832" s="16" t="s">
        <v>229</v>
      </c>
      <c r="I1832" s="16" t="s">
        <v>244</v>
      </c>
    </row>
    <row r="1833" ht="242.25" customHeight="1">
      <c r="A1833" s="32" t="b">
        <v>0</v>
      </c>
      <c r="B1833" s="32" t="str">
        <f>IMAGE("https://gymvisual.com/11336-catalog_default/dumbbell-seated-alternate-front-raise-female.jpg",4,500,500)</f>
        <v/>
      </c>
      <c r="C1833" s="30">
        <v>1832.0</v>
      </c>
      <c r="D1833" s="16" t="s">
        <v>2429</v>
      </c>
      <c r="E1833" s="16" t="s">
        <v>184</v>
      </c>
      <c r="F1833" s="16" t="s">
        <v>228</v>
      </c>
      <c r="G1833" s="16" t="s">
        <v>222</v>
      </c>
      <c r="H1833" s="16" t="s">
        <v>229</v>
      </c>
      <c r="I1833" s="16" t="s">
        <v>244</v>
      </c>
    </row>
    <row r="1834" ht="242.25" customHeight="1">
      <c r="A1834" s="32" t="b">
        <v>0</v>
      </c>
      <c r="B1834" s="32" t="str">
        <f>IMAGE("https://gymvisual.com/7150-catalog_default/dumbbell-seated-alternate-hammer-curl-on-exercise-ball.jpg",4,500,500)</f>
        <v/>
      </c>
      <c r="C1834" s="30">
        <v>1833.0</v>
      </c>
      <c r="D1834" s="16" t="s">
        <v>2430</v>
      </c>
      <c r="E1834" s="16" t="s">
        <v>184</v>
      </c>
      <c r="F1834" s="16" t="s">
        <v>219</v>
      </c>
      <c r="G1834" s="16" t="s">
        <v>222</v>
      </c>
      <c r="H1834" s="16" t="s">
        <v>220</v>
      </c>
      <c r="I1834" s="16" t="s">
        <v>220</v>
      </c>
    </row>
    <row r="1835" ht="242.25" customHeight="1">
      <c r="A1835" s="32" t="b">
        <v>0</v>
      </c>
      <c r="B1835" s="32" t="str">
        <f>IMAGE("https://gymvisual.com/1183-catalog_default/3-4-sit-up.jpg",4,500,500)</f>
        <v/>
      </c>
      <c r="C1835" s="30">
        <v>1834.0</v>
      </c>
      <c r="D1835" s="16" t="s">
        <v>2431</v>
      </c>
      <c r="E1835" s="16" t="s">
        <v>184</v>
      </c>
      <c r="F1835" s="16" t="s">
        <v>228</v>
      </c>
      <c r="G1835" s="16" t="s">
        <v>222</v>
      </c>
      <c r="H1835" s="16" t="s">
        <v>229</v>
      </c>
      <c r="I1835" s="16" t="s">
        <v>626</v>
      </c>
    </row>
    <row r="1836" ht="242.25" customHeight="1">
      <c r="A1836" s="32" t="b">
        <v>0</v>
      </c>
      <c r="B1836" s="32" t="str">
        <f>IMAGE("https://gymvisual.com/11333-catalog_default/dumbbell-seated-alternate-press-female.jpg",4,500,500)</f>
        <v/>
      </c>
      <c r="C1836" s="30">
        <v>1835.0</v>
      </c>
      <c r="D1836" s="16" t="s">
        <v>2432</v>
      </c>
      <c r="E1836" s="16" t="s">
        <v>184</v>
      </c>
      <c r="F1836" s="16" t="s">
        <v>228</v>
      </c>
      <c r="G1836" s="16" t="s">
        <v>222</v>
      </c>
      <c r="H1836" s="16" t="s">
        <v>220</v>
      </c>
      <c r="I1836" s="16" t="s">
        <v>220</v>
      </c>
    </row>
    <row r="1837" ht="242.25" customHeight="1">
      <c r="A1837" s="32" t="b">
        <v>0</v>
      </c>
      <c r="B1837" s="32" t="str">
        <f>IMAGE("https://gymvisual.com/14104-catalog_default/dumbbell-seated-alternate-shoulder.jpg",4,500,500)</f>
        <v/>
      </c>
      <c r="C1837" s="30">
        <v>1836.0</v>
      </c>
      <c r="D1837" s="16" t="s">
        <v>2433</v>
      </c>
      <c r="E1837" s="16" t="s">
        <v>184</v>
      </c>
      <c r="F1837" s="16" t="s">
        <v>228</v>
      </c>
      <c r="G1837" s="16" t="s">
        <v>222</v>
      </c>
      <c r="H1837" s="16" t="s">
        <v>229</v>
      </c>
      <c r="I1837" s="16" t="s">
        <v>626</v>
      </c>
    </row>
    <row r="1838" ht="242.25" customHeight="1">
      <c r="A1838" s="32" t="b">
        <v>0</v>
      </c>
      <c r="B1838" s="32" t="str">
        <f>IMAGE("https://gymvisual.com/14173-catalog_default/3-4-sit-up.jpg",4,500,500)</f>
        <v/>
      </c>
      <c r="C1838" s="30">
        <v>1837.0</v>
      </c>
      <c r="D1838" s="16" t="s">
        <v>2434</v>
      </c>
      <c r="E1838" s="16" t="s">
        <v>184</v>
      </c>
      <c r="F1838" s="16" t="s">
        <v>219</v>
      </c>
      <c r="G1838" s="16" t="s">
        <v>222</v>
      </c>
      <c r="H1838" s="16" t="s">
        <v>223</v>
      </c>
      <c r="I1838" s="16" t="s">
        <v>220</v>
      </c>
    </row>
    <row r="1839" ht="242.25" customHeight="1">
      <c r="A1839" s="32" t="b">
        <v>0</v>
      </c>
      <c r="B1839" s="32" t="str">
        <f>IMAGE("https://gymvisual.com/9807-catalog_default/dumbbell-seated-bent-arm-lateral-raise.jpg",4,500,500)</f>
        <v/>
      </c>
      <c r="C1839" s="30">
        <v>1838.0</v>
      </c>
      <c r="D1839" s="16" t="s">
        <v>2435</v>
      </c>
      <c r="E1839" s="16" t="s">
        <v>184</v>
      </c>
      <c r="F1839" s="16" t="s">
        <v>228</v>
      </c>
      <c r="G1839" s="16" t="s">
        <v>222</v>
      </c>
      <c r="H1839" s="16" t="s">
        <v>544</v>
      </c>
      <c r="I1839" s="16" t="s">
        <v>2436</v>
      </c>
    </row>
    <row r="1840" ht="242.25" customHeight="1">
      <c r="A1840" s="32" t="b">
        <v>0</v>
      </c>
      <c r="B1840" s="32" t="str">
        <f>IMAGE("https://gymvisual.com/7449-catalog_default/dumbbell-seated-bent-over-alternate-kickback.jpg",4,500,500)</f>
        <v/>
      </c>
      <c r="C1840" s="30">
        <v>1839.0</v>
      </c>
      <c r="D1840" s="16" t="s">
        <v>2437</v>
      </c>
      <c r="E1840" s="16" t="s">
        <v>184</v>
      </c>
      <c r="F1840" s="16" t="s">
        <v>219</v>
      </c>
      <c r="G1840" s="16" t="s">
        <v>222</v>
      </c>
      <c r="H1840" s="16" t="s">
        <v>220</v>
      </c>
      <c r="I1840" s="16" t="s">
        <v>220</v>
      </c>
    </row>
    <row r="1841" ht="242.25" customHeight="1">
      <c r="A1841" s="32" t="b">
        <v>0</v>
      </c>
      <c r="B1841" s="32" t="str">
        <f>IMAGE("https://gymvisual.com/17865-catalog_default/dumbbell-seated-bent-over-alternate-rear-delt-fly.jpg",4,500,500)</f>
        <v/>
      </c>
      <c r="C1841" s="30">
        <v>1840.0</v>
      </c>
      <c r="D1841" s="16" t="s">
        <v>2438</v>
      </c>
      <c r="E1841" s="16" t="s">
        <v>184</v>
      </c>
      <c r="F1841" s="16" t="s">
        <v>228</v>
      </c>
      <c r="G1841" s="16" t="s">
        <v>222</v>
      </c>
      <c r="H1841" s="16" t="s">
        <v>220</v>
      </c>
      <c r="I1841" s="16" t="s">
        <v>220</v>
      </c>
    </row>
    <row r="1842" ht="242.25" customHeight="1">
      <c r="A1842" s="32" t="b">
        <v>0</v>
      </c>
      <c r="B1842" s="32" t="str">
        <f>IMAGE("https://gymvisual.com/17634-catalog_default/dumbbell-seated-bent-over-rear-delt-row.jpg",4,500,500)</f>
        <v/>
      </c>
      <c r="C1842" s="30">
        <v>1841.0</v>
      </c>
      <c r="D1842" s="16" t="s">
        <v>2439</v>
      </c>
      <c r="E1842" s="16" t="s">
        <v>184</v>
      </c>
      <c r="F1842" s="16" t="s">
        <v>228</v>
      </c>
      <c r="G1842" s="16" t="s">
        <v>222</v>
      </c>
      <c r="H1842" s="16" t="s">
        <v>408</v>
      </c>
      <c r="I1842" s="16" t="s">
        <v>452</v>
      </c>
    </row>
    <row r="1843" ht="242.25" customHeight="1">
      <c r="A1843" s="32" t="b">
        <v>0</v>
      </c>
      <c r="B1843" s="32" t="str">
        <f>IMAGE("https://gymvisual.com/7456-catalog_default/dumbbell-seated-bent-over-triceps-extension.jpg",4,500,500)</f>
        <v/>
      </c>
      <c r="C1843" s="30">
        <v>1842.0</v>
      </c>
      <c r="D1843" s="16" t="s">
        <v>2440</v>
      </c>
      <c r="E1843" s="16" t="s">
        <v>184</v>
      </c>
      <c r="F1843" s="16" t="s">
        <v>219</v>
      </c>
      <c r="G1843" s="16" t="s">
        <v>222</v>
      </c>
      <c r="H1843" s="16" t="s">
        <v>220</v>
      </c>
      <c r="I1843" s="16" t="s">
        <v>220</v>
      </c>
    </row>
    <row r="1844" ht="242.25" customHeight="1">
      <c r="A1844" s="32" t="b">
        <v>0</v>
      </c>
      <c r="B1844" s="32" t="str">
        <f>IMAGE("https://gymvisual.com/7151-catalog_default/dumbbell-seated-bicep-curl.jpg",4,500,500)</f>
        <v/>
      </c>
      <c r="C1844" s="30">
        <v>1843.0</v>
      </c>
      <c r="D1844" s="16" t="s">
        <v>2441</v>
      </c>
      <c r="E1844" s="16" t="s">
        <v>184</v>
      </c>
      <c r="F1844" s="16" t="s">
        <v>219</v>
      </c>
      <c r="G1844" s="16" t="s">
        <v>222</v>
      </c>
      <c r="H1844" s="16" t="s">
        <v>220</v>
      </c>
      <c r="I1844" s="16" t="s">
        <v>220</v>
      </c>
    </row>
    <row r="1845" ht="242.25" customHeight="1">
      <c r="A1845" s="32" t="b">
        <v>0</v>
      </c>
      <c r="B1845" s="32" t="str">
        <f>IMAGE("https://gymvisual.com/1189-catalog_default/3-4-sit-up.jpg",4,500,500)</f>
        <v/>
      </c>
      <c r="C1845" s="30">
        <v>1844.0</v>
      </c>
      <c r="D1845" s="16" t="s">
        <v>2442</v>
      </c>
      <c r="E1845" s="16" t="s">
        <v>184</v>
      </c>
      <c r="F1845" s="16" t="s">
        <v>219</v>
      </c>
      <c r="G1845" s="16" t="s">
        <v>222</v>
      </c>
      <c r="H1845" s="16" t="s">
        <v>241</v>
      </c>
      <c r="I1845" s="16" t="s">
        <v>292</v>
      </c>
    </row>
    <row r="1846" ht="242.25" customHeight="1">
      <c r="A1846" s="32" t="b">
        <v>0</v>
      </c>
      <c r="B1846" s="32" t="str">
        <f>IMAGE("https://gymvisual.com/14106-catalog_default/dumbbell-seated-biceps-curl-to-shoulder-press.jpg",4,500,500)</f>
        <v/>
      </c>
      <c r="C1846" s="30">
        <v>1845.0</v>
      </c>
      <c r="D1846" s="16" t="s">
        <v>2443</v>
      </c>
      <c r="E1846" s="16" t="s">
        <v>184</v>
      </c>
      <c r="F1846" s="16" t="s">
        <v>829</v>
      </c>
      <c r="G1846" s="16" t="s">
        <v>222</v>
      </c>
      <c r="H1846" s="16" t="s">
        <v>2003</v>
      </c>
      <c r="I1846" s="16" t="s">
        <v>2004</v>
      </c>
    </row>
    <row r="1847" ht="242.25" customHeight="1">
      <c r="A1847" s="32" t="b">
        <v>0</v>
      </c>
      <c r="B1847" s="32" t="str">
        <f>IMAGE("https://gymvisual.com/6076-catalog_default/dumbbell-seated-calf-raise.jpg",4,500,500)</f>
        <v/>
      </c>
      <c r="C1847" s="30">
        <v>1846.0</v>
      </c>
      <c r="D1847" s="16" t="s">
        <v>2444</v>
      </c>
      <c r="E1847" s="16" t="s">
        <v>184</v>
      </c>
      <c r="F1847" s="16" t="s">
        <v>325</v>
      </c>
      <c r="G1847" s="16" t="s">
        <v>222</v>
      </c>
      <c r="H1847" s="16" t="s">
        <v>368</v>
      </c>
      <c r="I1847" s="16" t="s">
        <v>463</v>
      </c>
    </row>
    <row r="1848" ht="242.25" customHeight="1">
      <c r="A1848" s="32" t="b">
        <v>0</v>
      </c>
      <c r="B1848" s="32" t="str">
        <f>IMAGE("https://gymvisual.com/13433-catalog_default/dumbbell-seated-calf-raise-female.jpg",4,500,500)</f>
        <v/>
      </c>
      <c r="C1848" s="30">
        <v>1847.0</v>
      </c>
      <c r="D1848" s="16" t="s">
        <v>2445</v>
      </c>
      <c r="E1848" s="16" t="s">
        <v>184</v>
      </c>
      <c r="F1848" s="16" t="s">
        <v>325</v>
      </c>
      <c r="G1848" s="16" t="s">
        <v>222</v>
      </c>
      <c r="H1848" s="16" t="s">
        <v>368</v>
      </c>
      <c r="I1848" s="16" t="s">
        <v>463</v>
      </c>
    </row>
    <row r="1849" ht="242.25" customHeight="1">
      <c r="A1849" s="32" t="b">
        <v>0</v>
      </c>
      <c r="B1849" s="32" t="str">
        <f>IMAGE("https://gymvisual.com/17638-catalog_default/dumbbell-seated-close-grip-press.jpg",4,500,500)</f>
        <v/>
      </c>
      <c r="C1849" s="30">
        <v>1848.0</v>
      </c>
      <c r="D1849" s="16" t="s">
        <v>2446</v>
      </c>
      <c r="E1849" s="16" t="s">
        <v>184</v>
      </c>
      <c r="F1849" s="16" t="s">
        <v>228</v>
      </c>
      <c r="G1849" s="16" t="s">
        <v>222</v>
      </c>
      <c r="H1849" s="16" t="s">
        <v>229</v>
      </c>
      <c r="I1849" s="16" t="s">
        <v>626</v>
      </c>
    </row>
    <row r="1850" ht="242.25" customHeight="1">
      <c r="A1850" s="32" t="b">
        <v>0</v>
      </c>
      <c r="B1850" s="32" t="str">
        <f>IMAGE("https://gymvisual.com/18009-catalog_default/dumbbell-seated-cuban-press.jpg",4,500,500)</f>
        <v/>
      </c>
      <c r="C1850" s="30">
        <v>1849.0</v>
      </c>
      <c r="D1850" s="16" t="s">
        <v>2447</v>
      </c>
      <c r="E1850" s="16" t="s">
        <v>184</v>
      </c>
      <c r="F1850" s="16" t="s">
        <v>228</v>
      </c>
      <c r="G1850" s="16" t="s">
        <v>222</v>
      </c>
      <c r="H1850" s="16" t="s">
        <v>220</v>
      </c>
      <c r="I1850" s="16" t="s">
        <v>220</v>
      </c>
    </row>
    <row r="1851" ht="242.25" customHeight="1">
      <c r="A1851" s="32" t="b">
        <v>0</v>
      </c>
      <c r="B1851" s="32" t="str">
        <f>IMAGE("https://gymvisual.com/1192-catalog_default/3-4-sit-up.jpg",4,500,500)</f>
        <v/>
      </c>
      <c r="C1851" s="30">
        <v>1850.0</v>
      </c>
      <c r="D1851" s="16" t="s">
        <v>2448</v>
      </c>
      <c r="E1851" s="16" t="s">
        <v>184</v>
      </c>
      <c r="F1851" s="16" t="s">
        <v>219</v>
      </c>
      <c r="G1851" s="16" t="s">
        <v>222</v>
      </c>
      <c r="H1851" s="16" t="s">
        <v>241</v>
      </c>
      <c r="I1851" s="16" t="s">
        <v>292</v>
      </c>
    </row>
    <row r="1852" ht="242.25" customHeight="1">
      <c r="A1852" s="32" t="b">
        <v>0</v>
      </c>
      <c r="B1852" s="32" t="str">
        <f>IMAGE("https://gymvisual.com/9634-catalog_default/dumbbell-seated-curl-female.jpg",4,500,500)</f>
        <v/>
      </c>
      <c r="C1852" s="30">
        <v>1851.0</v>
      </c>
      <c r="D1852" s="16" t="s">
        <v>2449</v>
      </c>
      <c r="E1852" s="16" t="s">
        <v>184</v>
      </c>
      <c r="F1852" s="16" t="s">
        <v>219</v>
      </c>
      <c r="G1852" s="16" t="s">
        <v>222</v>
      </c>
      <c r="H1852" s="16" t="s">
        <v>220</v>
      </c>
      <c r="I1852" s="16" t="s">
        <v>220</v>
      </c>
    </row>
    <row r="1853" ht="242.25" customHeight="1">
      <c r="A1853" s="32" t="b">
        <v>0</v>
      </c>
      <c r="B1853" s="32" t="str">
        <f>IMAGE("https://gymvisual.com/13435-catalog_default/dumbbell-seated-curl-female.jpg",4,500,500)</f>
        <v/>
      </c>
      <c r="C1853" s="30">
        <v>1852.0</v>
      </c>
      <c r="D1853" s="16" t="s">
        <v>2449</v>
      </c>
      <c r="E1853" s="16" t="s">
        <v>184</v>
      </c>
      <c r="F1853" s="16" t="s">
        <v>219</v>
      </c>
      <c r="G1853" s="16" t="s">
        <v>222</v>
      </c>
      <c r="H1853" s="16" t="s">
        <v>220</v>
      </c>
      <c r="I1853" s="16" t="s">
        <v>220</v>
      </c>
    </row>
    <row r="1854" ht="242.25" customHeight="1">
      <c r="A1854" s="32" t="b">
        <v>0</v>
      </c>
      <c r="B1854" s="32" t="str">
        <f>IMAGE("https://gymvisual.com/20086-catalog_default/dumbbell-seated-external-shoulder-rotation.jpg",4,500,500)</f>
        <v/>
      </c>
      <c r="C1854" s="30">
        <v>1853.0</v>
      </c>
      <c r="D1854" s="16" t="s">
        <v>2450</v>
      </c>
      <c r="E1854" s="16" t="s">
        <v>184</v>
      </c>
      <c r="F1854" s="16" t="s">
        <v>228</v>
      </c>
      <c r="G1854" s="16" t="s">
        <v>222</v>
      </c>
      <c r="H1854" s="16" t="s">
        <v>408</v>
      </c>
      <c r="I1854" s="16" t="s">
        <v>2451</v>
      </c>
    </row>
    <row r="1855" ht="242.25" customHeight="1">
      <c r="A1855" s="32" t="b">
        <v>0</v>
      </c>
      <c r="B1855" s="32" t="str">
        <f>IMAGE("https://gymvisual.com/17575-catalog_default/dumbbell-seated-front-and-back-tate-press.jpg",4,500,500)</f>
        <v/>
      </c>
      <c r="C1855" s="30">
        <v>1854.0</v>
      </c>
      <c r="D1855" s="16" t="s">
        <v>2452</v>
      </c>
      <c r="E1855" s="16" t="s">
        <v>184</v>
      </c>
      <c r="F1855" s="16" t="s">
        <v>219</v>
      </c>
      <c r="G1855" s="16" t="s">
        <v>222</v>
      </c>
      <c r="H1855" s="16" t="s">
        <v>223</v>
      </c>
      <c r="I1855" s="16" t="s">
        <v>2453</v>
      </c>
    </row>
    <row r="1856" ht="242.25" customHeight="1">
      <c r="A1856" s="32" t="b">
        <v>0</v>
      </c>
      <c r="B1856" s="32" t="str">
        <f>IMAGE("https://gymvisual.com/1195-catalog_default/3-4-sit-up.jpg",4,500,500)</f>
        <v/>
      </c>
      <c r="C1856" s="30">
        <v>1855.0</v>
      </c>
      <c r="D1856" s="16" t="s">
        <v>2454</v>
      </c>
      <c r="E1856" s="16" t="s">
        <v>184</v>
      </c>
      <c r="F1856" s="16" t="s">
        <v>228</v>
      </c>
      <c r="G1856" s="16" t="s">
        <v>222</v>
      </c>
      <c r="H1856" s="16" t="s">
        <v>229</v>
      </c>
      <c r="I1856" s="16" t="s">
        <v>244</v>
      </c>
    </row>
    <row r="1857" ht="242.25" customHeight="1">
      <c r="A1857" s="32" t="b">
        <v>0</v>
      </c>
      <c r="B1857" s="32" t="str">
        <f>IMAGE("https://gymvisual.com/9619-catalog_default/dumbbell-seated-front-raise-female.jpg",4,500,500)</f>
        <v/>
      </c>
      <c r="C1857" s="30">
        <v>1856.0</v>
      </c>
      <c r="D1857" s="16" t="s">
        <v>2455</v>
      </c>
      <c r="E1857" s="16" t="s">
        <v>184</v>
      </c>
      <c r="F1857" s="16" t="s">
        <v>228</v>
      </c>
      <c r="G1857" s="16" t="s">
        <v>222</v>
      </c>
      <c r="H1857" s="16" t="s">
        <v>229</v>
      </c>
      <c r="I1857" s="16" t="s">
        <v>244</v>
      </c>
    </row>
    <row r="1858" ht="242.25" customHeight="1">
      <c r="A1858" s="32" t="b">
        <v>0</v>
      </c>
      <c r="B1858" s="32" t="str">
        <f>IMAGE("https://gymvisual.com/17839-catalog_default/dumbbell-seated-gittleson-shrug.jpg",4,500,500)</f>
        <v/>
      </c>
      <c r="C1858" s="30">
        <v>1857.0</v>
      </c>
      <c r="D1858" s="16" t="s">
        <v>2456</v>
      </c>
      <c r="E1858" s="16" t="s">
        <v>184</v>
      </c>
      <c r="F1858" s="16" t="s">
        <v>192</v>
      </c>
      <c r="G1858" s="16" t="s">
        <v>222</v>
      </c>
      <c r="H1858" s="16" t="s">
        <v>220</v>
      </c>
      <c r="I1858" s="16" t="s">
        <v>220</v>
      </c>
    </row>
    <row r="1859" ht="242.25" customHeight="1">
      <c r="A1859" s="32" t="b">
        <v>0</v>
      </c>
      <c r="B1859" s="32" t="str">
        <f>IMAGE("https://gymvisual.com/7152-catalog_default/dumbbell-seated-hammer-curl.jpg",4,500,500)</f>
        <v/>
      </c>
      <c r="C1859" s="30">
        <v>1858.0</v>
      </c>
      <c r="D1859" s="16" t="s">
        <v>2457</v>
      </c>
      <c r="E1859" s="16" t="s">
        <v>184</v>
      </c>
      <c r="F1859" s="16" t="s">
        <v>219</v>
      </c>
      <c r="G1859" s="16" t="s">
        <v>222</v>
      </c>
      <c r="H1859" s="16" t="s">
        <v>216</v>
      </c>
      <c r="I1859" s="16" t="s">
        <v>217</v>
      </c>
    </row>
    <row r="1860" ht="242.25" customHeight="1">
      <c r="A1860" s="32" t="b">
        <v>0</v>
      </c>
      <c r="B1860" s="32" t="str">
        <f>IMAGE("https://gymvisual.com/1198-catalog_default/3-4-sit-up.jpg",4,500,500)</f>
        <v/>
      </c>
      <c r="C1860" s="30">
        <v>1859.0</v>
      </c>
      <c r="D1860" s="16" t="s">
        <v>2458</v>
      </c>
      <c r="E1860" s="16" t="s">
        <v>184</v>
      </c>
      <c r="F1860" s="16" t="s">
        <v>219</v>
      </c>
      <c r="G1860" s="16" t="s">
        <v>222</v>
      </c>
      <c r="H1860" s="16" t="s">
        <v>241</v>
      </c>
      <c r="I1860" s="16" t="s">
        <v>292</v>
      </c>
    </row>
    <row r="1861" ht="242.25" customHeight="1">
      <c r="A1861" s="32" t="b">
        <v>0</v>
      </c>
      <c r="B1861" s="32" t="str">
        <f>IMAGE("https://gymvisual.com/1201-catalog_default/3-4-sit-up.jpg",4,500,500)</f>
        <v/>
      </c>
      <c r="C1861" s="30">
        <v>1860.0</v>
      </c>
      <c r="D1861" s="16" t="s">
        <v>2459</v>
      </c>
      <c r="E1861" s="16" t="s">
        <v>184</v>
      </c>
      <c r="F1861" s="16" t="s">
        <v>219</v>
      </c>
      <c r="G1861" s="16" t="s">
        <v>222</v>
      </c>
      <c r="H1861" s="16" t="s">
        <v>223</v>
      </c>
      <c r="I1861" s="16" t="s">
        <v>220</v>
      </c>
    </row>
    <row r="1862" ht="242.25" customHeight="1">
      <c r="A1862" s="32" t="b">
        <v>0</v>
      </c>
      <c r="B1862" s="32" t="str">
        <f>IMAGE("https://gymvisual.com/13882-catalog_default/dumbbell-seated-kickback-female.jpg",4,500,500)</f>
        <v/>
      </c>
      <c r="C1862" s="30">
        <v>1861.0</v>
      </c>
      <c r="D1862" s="16" t="s">
        <v>2460</v>
      </c>
      <c r="E1862" s="16" t="s">
        <v>184</v>
      </c>
      <c r="F1862" s="16" t="s">
        <v>219</v>
      </c>
      <c r="G1862" s="16" t="s">
        <v>222</v>
      </c>
      <c r="H1862" s="16" t="s">
        <v>223</v>
      </c>
      <c r="I1862" s="16" t="s">
        <v>220</v>
      </c>
    </row>
    <row r="1863" ht="242.25" customHeight="1">
      <c r="A1863" s="32" t="b">
        <v>0</v>
      </c>
      <c r="B1863" s="32" t="str">
        <f>IMAGE("https://gymvisual.com/1207-catalog_default/3-4-sit-up.jpg",4,500,500)</f>
        <v/>
      </c>
      <c r="C1863" s="30">
        <v>1862.0</v>
      </c>
      <c r="D1863" s="16" t="s">
        <v>2461</v>
      </c>
      <c r="E1863" s="16" t="s">
        <v>184</v>
      </c>
      <c r="F1863" s="16" t="s">
        <v>228</v>
      </c>
      <c r="G1863" s="16" t="s">
        <v>222</v>
      </c>
      <c r="H1863" s="16" t="s">
        <v>544</v>
      </c>
      <c r="I1863" s="16" t="s">
        <v>545</v>
      </c>
    </row>
    <row r="1864" ht="242.25" customHeight="1">
      <c r="A1864" s="32" t="b">
        <v>0</v>
      </c>
      <c r="B1864" s="32" t="str">
        <f>IMAGE("https://gymvisual.com/9622-catalog_default/dumbbell-seated-lateral-raise-female.jpg",4,500,500)</f>
        <v/>
      </c>
      <c r="C1864" s="30">
        <v>1863.0</v>
      </c>
      <c r="D1864" s="16" t="s">
        <v>2462</v>
      </c>
      <c r="E1864" s="16" t="s">
        <v>184</v>
      </c>
      <c r="F1864" s="16" t="s">
        <v>228</v>
      </c>
      <c r="G1864" s="16" t="s">
        <v>222</v>
      </c>
      <c r="H1864" s="16" t="s">
        <v>544</v>
      </c>
      <c r="I1864" s="16" t="s">
        <v>545</v>
      </c>
    </row>
    <row r="1865" ht="242.25" customHeight="1">
      <c r="A1865" s="32" t="b">
        <v>0</v>
      </c>
      <c r="B1865" s="32" t="str">
        <f>IMAGE("https://gymvisual.com/1204-catalog_default/3-4-sit-up.jpg",4,500,500)</f>
        <v/>
      </c>
      <c r="C1865" s="30">
        <v>1864.0</v>
      </c>
      <c r="D1865" s="16" t="s">
        <v>2463</v>
      </c>
      <c r="E1865" s="16" t="s">
        <v>184</v>
      </c>
      <c r="F1865" s="16" t="s">
        <v>228</v>
      </c>
      <c r="G1865" s="16" t="s">
        <v>222</v>
      </c>
      <c r="H1865" s="16" t="s">
        <v>544</v>
      </c>
      <c r="I1865" s="16" t="s">
        <v>545</v>
      </c>
    </row>
    <row r="1866" ht="242.25" customHeight="1">
      <c r="A1866" s="32" t="b">
        <v>0</v>
      </c>
      <c r="B1866" s="32" t="str">
        <f>IMAGE("https://gymvisual.com/17843-catalog_default/dumbbell-seated-lateral-raise-on-stability-ball.jpg",4,500,500)</f>
        <v/>
      </c>
      <c r="C1866" s="30">
        <v>1865.0</v>
      </c>
      <c r="D1866" s="16" t="s">
        <v>2464</v>
      </c>
      <c r="E1866" s="16" t="s">
        <v>184</v>
      </c>
      <c r="F1866" s="16" t="s">
        <v>228</v>
      </c>
      <c r="G1866" s="16" t="s">
        <v>222</v>
      </c>
      <c r="H1866" s="16" t="s">
        <v>220</v>
      </c>
      <c r="I1866" s="16" t="s">
        <v>220</v>
      </c>
    </row>
    <row r="1867" ht="242.25" customHeight="1">
      <c r="A1867" s="32" t="b">
        <v>0</v>
      </c>
      <c r="B1867" s="32" t="str">
        <f>IMAGE("https://gymvisual.com/17640-catalog_default/dumbbell-seated-lateral-to-front-raise.jpg",4,500,500)</f>
        <v/>
      </c>
      <c r="C1867" s="30">
        <v>1866.0</v>
      </c>
      <c r="D1867" s="16" t="s">
        <v>2465</v>
      </c>
      <c r="E1867" s="16" t="s">
        <v>184</v>
      </c>
      <c r="F1867" s="16" t="s">
        <v>228</v>
      </c>
      <c r="G1867" s="16" t="s">
        <v>222</v>
      </c>
      <c r="H1867" s="16" t="s">
        <v>454</v>
      </c>
      <c r="I1867" s="16" t="s">
        <v>2466</v>
      </c>
    </row>
    <row r="1868" ht="242.25" customHeight="1">
      <c r="A1868" s="32" t="b">
        <v>0</v>
      </c>
      <c r="B1868" s="32" t="str">
        <f>IMAGE("https://gymvisual.com/1210-catalog_default/3-4-sit-up.jpg",4,500,500)</f>
        <v/>
      </c>
      <c r="C1868" s="30">
        <v>1867.0</v>
      </c>
      <c r="D1868" s="16" t="s">
        <v>2467</v>
      </c>
      <c r="E1868" s="16" t="s">
        <v>184</v>
      </c>
      <c r="F1868" s="16" t="s">
        <v>214</v>
      </c>
      <c r="G1868" s="16" t="s">
        <v>222</v>
      </c>
      <c r="H1868" s="16" t="s">
        <v>216</v>
      </c>
      <c r="I1868" s="16" t="s">
        <v>220</v>
      </c>
    </row>
    <row r="1869" ht="242.25" customHeight="1">
      <c r="A1869" s="32" t="b">
        <v>0</v>
      </c>
      <c r="B1869" s="32" t="str">
        <f>IMAGE("https://gymvisual.com/11426-catalog_default/dumbbell-seated-neutral-wrist-curl-female.jpg",4,500,500)</f>
        <v/>
      </c>
      <c r="C1869" s="30">
        <v>1868.0</v>
      </c>
      <c r="D1869" s="16" t="s">
        <v>2468</v>
      </c>
      <c r="E1869" s="16" t="s">
        <v>184</v>
      </c>
      <c r="F1869" s="16" t="s">
        <v>214</v>
      </c>
      <c r="G1869" s="16" t="s">
        <v>222</v>
      </c>
      <c r="H1869" s="16" t="s">
        <v>604</v>
      </c>
      <c r="I1869" s="16" t="s">
        <v>220</v>
      </c>
    </row>
    <row r="1870" ht="242.25" customHeight="1">
      <c r="A1870" s="32" t="b">
        <v>0</v>
      </c>
      <c r="B1870" s="32" t="str">
        <f>IMAGE("https://gymvisual.com/14775-catalog_default/dumbbell-seated-on-exercise-ball-shoulder-press.jpg",4,500,500)</f>
        <v/>
      </c>
      <c r="C1870" s="30">
        <v>1869.0</v>
      </c>
      <c r="D1870" s="16" t="s">
        <v>2469</v>
      </c>
      <c r="E1870" s="16" t="s">
        <v>184</v>
      </c>
      <c r="F1870" s="16" t="s">
        <v>228</v>
      </c>
      <c r="G1870" s="16" t="s">
        <v>222</v>
      </c>
      <c r="H1870" s="16" t="s">
        <v>229</v>
      </c>
      <c r="I1870" s="16" t="s">
        <v>626</v>
      </c>
    </row>
    <row r="1871" ht="242.25" customHeight="1">
      <c r="A1871" s="32" t="b">
        <v>0</v>
      </c>
      <c r="B1871" s="32" t="str">
        <f>IMAGE("https://gymvisual.com/17941-catalog_default/dumbbell-seated-one-arm-arnold-press-male.jpg",4,500,500)</f>
        <v/>
      </c>
      <c r="C1871" s="30">
        <v>1870.0</v>
      </c>
      <c r="D1871" s="16" t="s">
        <v>2470</v>
      </c>
      <c r="E1871" s="16" t="s">
        <v>184</v>
      </c>
      <c r="F1871" s="16" t="s">
        <v>228</v>
      </c>
      <c r="G1871" s="16" t="s">
        <v>222</v>
      </c>
      <c r="H1871" s="16" t="s">
        <v>220</v>
      </c>
      <c r="I1871" s="16" t="s">
        <v>220</v>
      </c>
    </row>
    <row r="1872" ht="242.25" customHeight="1">
      <c r="A1872" s="32" t="b">
        <v>0</v>
      </c>
      <c r="B1872" s="32" t="str">
        <f>IMAGE("https://gymvisual.com/7153-catalog_default/dumbbell-seated-one-arm-bicep-curl-on-exercise-ball-with-leg-raised.jpg",4,500,500)</f>
        <v/>
      </c>
      <c r="C1872" s="30">
        <v>1871.0</v>
      </c>
      <c r="D1872" s="16" t="s">
        <v>2471</v>
      </c>
      <c r="E1872" s="16" t="s">
        <v>184</v>
      </c>
      <c r="F1872" s="16" t="s">
        <v>219</v>
      </c>
      <c r="G1872" s="16" t="s">
        <v>222</v>
      </c>
      <c r="H1872" s="16" t="s">
        <v>220</v>
      </c>
      <c r="I1872" s="16" t="s">
        <v>220</v>
      </c>
    </row>
    <row r="1873" ht="242.25" customHeight="1">
      <c r="A1873" s="32" t="b">
        <v>0</v>
      </c>
      <c r="B1873" s="32" t="str">
        <f>IMAGE("https://gymvisual.com/14773-catalog_default/dumbbell-seated-one-arm-front-raise.jpg",4,500,500)</f>
        <v/>
      </c>
      <c r="C1873" s="30">
        <v>1872.0</v>
      </c>
      <c r="D1873" s="16" t="s">
        <v>2472</v>
      </c>
      <c r="E1873" s="16" t="s">
        <v>184</v>
      </c>
      <c r="F1873" s="16" t="s">
        <v>228</v>
      </c>
      <c r="G1873" s="16" t="s">
        <v>222</v>
      </c>
      <c r="H1873" s="16" t="s">
        <v>229</v>
      </c>
      <c r="I1873" s="16" t="s">
        <v>244</v>
      </c>
    </row>
    <row r="1874" ht="242.25" customHeight="1">
      <c r="A1874" s="32" t="b">
        <v>0</v>
      </c>
      <c r="B1874" s="32" t="str">
        <f>IMAGE("https://gymvisual.com/1213-catalog_default/3-4-sit-up.jpg",4,500,500)</f>
        <v/>
      </c>
      <c r="C1874" s="30">
        <v>1873.0</v>
      </c>
      <c r="D1874" s="16" t="s">
        <v>2473</v>
      </c>
      <c r="E1874" s="16" t="s">
        <v>184</v>
      </c>
      <c r="F1874" s="16" t="s">
        <v>219</v>
      </c>
      <c r="G1874" s="16" t="s">
        <v>222</v>
      </c>
      <c r="H1874" s="16" t="s">
        <v>223</v>
      </c>
      <c r="I1874" s="16" t="s">
        <v>220</v>
      </c>
    </row>
    <row r="1875" ht="242.25" customHeight="1">
      <c r="A1875" s="32" t="b">
        <v>0</v>
      </c>
      <c r="B1875" s="32" t="str">
        <f>IMAGE("https://gymvisual.com/1216-catalog_default/3-4-sit-up.jpg",4,500,500)</f>
        <v/>
      </c>
      <c r="C1875" s="30">
        <v>1874.0</v>
      </c>
      <c r="D1875" s="16" t="s">
        <v>2474</v>
      </c>
      <c r="E1875" s="16" t="s">
        <v>184</v>
      </c>
      <c r="F1875" s="16" t="s">
        <v>214</v>
      </c>
      <c r="G1875" s="16" t="s">
        <v>222</v>
      </c>
      <c r="H1875" s="16" t="s">
        <v>720</v>
      </c>
      <c r="I1875" s="16" t="s">
        <v>220</v>
      </c>
    </row>
    <row r="1876" ht="242.25" customHeight="1">
      <c r="A1876" s="32" t="b">
        <v>0</v>
      </c>
      <c r="B1876" s="32" t="str">
        <f>IMAGE("https://gymvisual.com/4602-catalog_default/dumbbell-seated-one-arm-shoulder-press.jpg",4,500,500)</f>
        <v/>
      </c>
      <c r="C1876" s="30">
        <v>1875.0</v>
      </c>
      <c r="D1876" s="16" t="s">
        <v>2475</v>
      </c>
      <c r="E1876" s="16" t="s">
        <v>184</v>
      </c>
      <c r="F1876" s="16" t="s">
        <v>228</v>
      </c>
      <c r="G1876" s="16" t="s">
        <v>222</v>
      </c>
      <c r="H1876" s="16" t="s">
        <v>229</v>
      </c>
      <c r="I1876" s="16" t="s">
        <v>2476</v>
      </c>
    </row>
    <row r="1877" ht="242.25" customHeight="1">
      <c r="A1877" s="32" t="b">
        <v>0</v>
      </c>
      <c r="B1877" s="32" t="str">
        <f>IMAGE("https://gymvisual.com/1219-catalog_default/3-4-sit-up.jpg",4,500,500)</f>
        <v/>
      </c>
      <c r="C1877" s="30">
        <v>1876.0</v>
      </c>
      <c r="D1877" s="16" t="s">
        <v>2477</v>
      </c>
      <c r="E1877" s="16" t="s">
        <v>184</v>
      </c>
      <c r="F1877" s="16" t="s">
        <v>325</v>
      </c>
      <c r="G1877" s="16" t="s">
        <v>222</v>
      </c>
      <c r="H1877" s="16" t="s">
        <v>368</v>
      </c>
      <c r="I1877" s="16" t="s">
        <v>463</v>
      </c>
    </row>
    <row r="1878" ht="242.25" customHeight="1">
      <c r="A1878" s="32" t="b">
        <v>0</v>
      </c>
      <c r="B1878" s="32" t="str">
        <f>IMAGE("https://gymvisual.com/6077-catalog_default/dumbbell-seated-one-leg-calf-raise-hammer-grip.jpg",4,500,500)</f>
        <v/>
      </c>
      <c r="C1878" s="30">
        <v>1877.0</v>
      </c>
      <c r="D1878" s="16" t="s">
        <v>2478</v>
      </c>
      <c r="E1878" s="16" t="s">
        <v>184</v>
      </c>
      <c r="F1878" s="16" t="s">
        <v>325</v>
      </c>
      <c r="G1878" s="16" t="s">
        <v>222</v>
      </c>
      <c r="H1878" s="16" t="s">
        <v>368</v>
      </c>
      <c r="I1878" s="16" t="s">
        <v>463</v>
      </c>
    </row>
    <row r="1879" ht="242.25" customHeight="1">
      <c r="A1879" s="32" t="b">
        <v>0</v>
      </c>
      <c r="B1879" s="32" t="str">
        <f>IMAGE("https://gymvisual.com/6078-catalog_default/dumbbell-seated-one-leg-calf-raise-palm-up.jpg",4,500,500)</f>
        <v/>
      </c>
      <c r="C1879" s="30">
        <v>1878.0</v>
      </c>
      <c r="D1879" s="16" t="s">
        <v>2479</v>
      </c>
      <c r="E1879" s="16" t="s">
        <v>184</v>
      </c>
      <c r="F1879" s="16" t="s">
        <v>325</v>
      </c>
      <c r="G1879" s="16" t="s">
        <v>222</v>
      </c>
      <c r="H1879" s="16" t="s">
        <v>368</v>
      </c>
      <c r="I1879" s="16" t="s">
        <v>463</v>
      </c>
    </row>
    <row r="1880" ht="242.25" customHeight="1">
      <c r="A1880" s="32" t="b">
        <v>0</v>
      </c>
      <c r="B1880" s="32" t="str">
        <f>IMAGE("https://gymvisual.com/1222-catalog_default/3-4-sit-up.jpg",4,500,500)</f>
        <v/>
      </c>
      <c r="C1880" s="30">
        <v>1879.0</v>
      </c>
      <c r="D1880" s="16" t="s">
        <v>2480</v>
      </c>
      <c r="E1880" s="16" t="s">
        <v>184</v>
      </c>
      <c r="F1880" s="16" t="s">
        <v>214</v>
      </c>
      <c r="G1880" s="16" t="s">
        <v>222</v>
      </c>
      <c r="H1880" s="16" t="s">
        <v>720</v>
      </c>
      <c r="I1880" s="16" t="s">
        <v>220</v>
      </c>
    </row>
    <row r="1881" ht="242.25" customHeight="1">
      <c r="A1881" s="32" t="b">
        <v>0</v>
      </c>
      <c r="B1881" s="32" t="str">
        <f>IMAGE("https://gymvisual.com/11429-catalog_default/dumbbell-seated-palms-up-wrist-curl-female.jpg",4,500,500)</f>
        <v/>
      </c>
      <c r="C1881" s="30">
        <v>1880.0</v>
      </c>
      <c r="D1881" s="16" t="s">
        <v>2481</v>
      </c>
      <c r="E1881" s="16" t="s">
        <v>184</v>
      </c>
      <c r="F1881" s="16" t="s">
        <v>214</v>
      </c>
      <c r="G1881" s="16" t="s">
        <v>222</v>
      </c>
      <c r="H1881" s="16" t="s">
        <v>305</v>
      </c>
      <c r="I1881" s="16" t="s">
        <v>2482</v>
      </c>
    </row>
    <row r="1882" ht="242.25" customHeight="1">
      <c r="A1882" s="32" t="b">
        <v>0</v>
      </c>
      <c r="B1882" s="32" t="str">
        <f>IMAGE("https://gymvisual.com/1225-catalog_default/3-4-sit-up.jpg",4,500,500)</f>
        <v/>
      </c>
      <c r="C1882" s="30">
        <v>1881.0</v>
      </c>
      <c r="D1882" s="16" t="s">
        <v>2483</v>
      </c>
      <c r="E1882" s="16" t="s">
        <v>184</v>
      </c>
      <c r="F1882" s="16" t="s">
        <v>219</v>
      </c>
      <c r="G1882" s="16" t="s">
        <v>222</v>
      </c>
      <c r="H1882" s="16" t="s">
        <v>232</v>
      </c>
      <c r="I1882" s="16" t="s">
        <v>233</v>
      </c>
    </row>
    <row r="1883" ht="242.25" customHeight="1">
      <c r="A1883" s="32" t="b">
        <v>0</v>
      </c>
      <c r="B1883" s="32" t="str">
        <f>IMAGE("https://gymvisual.com/1228-catalog_default/3-4-sit-up.jpg",4,500,500)</f>
        <v/>
      </c>
      <c r="C1883" s="30">
        <v>1882.0</v>
      </c>
      <c r="D1883" s="16" t="s">
        <v>2484</v>
      </c>
      <c r="E1883" s="16" t="s">
        <v>184</v>
      </c>
      <c r="F1883" s="16" t="s">
        <v>214</v>
      </c>
      <c r="G1883" s="16" t="s">
        <v>222</v>
      </c>
      <c r="H1883" s="16" t="s">
        <v>216</v>
      </c>
      <c r="I1883" s="16" t="s">
        <v>217</v>
      </c>
    </row>
    <row r="1884" ht="242.25" customHeight="1">
      <c r="A1884" s="32" t="b">
        <v>0</v>
      </c>
      <c r="B1884" s="32" t="str">
        <f>IMAGE("https://gymvisual.com/14771-catalog_default/dumbbell-seated-reverse-grip-biceps-curl.jpg",4,500,500)</f>
        <v/>
      </c>
      <c r="C1884" s="30">
        <v>1883.0</v>
      </c>
      <c r="D1884" s="16" t="s">
        <v>2485</v>
      </c>
      <c r="E1884" s="16" t="s">
        <v>184</v>
      </c>
      <c r="F1884" s="16" t="s">
        <v>214</v>
      </c>
      <c r="G1884" s="16" t="s">
        <v>222</v>
      </c>
      <c r="H1884" s="16" t="s">
        <v>216</v>
      </c>
      <c r="I1884" s="16" t="s">
        <v>217</v>
      </c>
    </row>
    <row r="1885" ht="242.25" customHeight="1">
      <c r="A1885" s="16" t="b">
        <v>0</v>
      </c>
      <c r="B1885" s="32" t="str">
        <f>IMAGE("https://gymvisual.com/7457-catalog_default/dumbbell-seated-reverse-grip-one-arm-overhead-tricep-extension.jpg",4,500,500)</f>
        <v/>
      </c>
      <c r="C1885" s="30">
        <v>1884.0</v>
      </c>
      <c r="D1885" s="16" t="s">
        <v>2486</v>
      </c>
      <c r="E1885" s="16" t="s">
        <v>184</v>
      </c>
      <c r="F1885" s="16" t="s">
        <v>219</v>
      </c>
      <c r="G1885" s="16" t="s">
        <v>222</v>
      </c>
      <c r="H1885" s="16" t="s">
        <v>220</v>
      </c>
      <c r="I1885" s="16" t="s">
        <v>220</v>
      </c>
    </row>
    <row r="1886" ht="242.25" customHeight="1">
      <c r="A1886" s="32" t="b">
        <v>0</v>
      </c>
      <c r="B1886" s="32" t="str">
        <f>IMAGE("https://gymvisual.com/1234-catalog_default/3-4-sit-up.jpg",4,500,500)</f>
        <v/>
      </c>
      <c r="C1886" s="30">
        <v>1885.0</v>
      </c>
      <c r="D1886" s="16" t="s">
        <v>2487</v>
      </c>
      <c r="E1886" s="16" t="s">
        <v>184</v>
      </c>
      <c r="F1886" s="16" t="s">
        <v>228</v>
      </c>
      <c r="G1886" s="16" t="s">
        <v>222</v>
      </c>
      <c r="H1886" s="16" t="s">
        <v>229</v>
      </c>
      <c r="I1886" s="16" t="s">
        <v>626</v>
      </c>
    </row>
    <row r="1887" ht="242.25" customHeight="1">
      <c r="A1887" s="32" t="b">
        <v>0</v>
      </c>
      <c r="B1887" s="32" t="str">
        <f>IMAGE("https://gymvisual.com/9625-catalog_default/dumbbell-seated-shoulder-press-female.jpg",4,500,500)</f>
        <v/>
      </c>
      <c r="C1887" s="30">
        <v>1886.0</v>
      </c>
      <c r="D1887" s="16" t="s">
        <v>2488</v>
      </c>
      <c r="E1887" s="16" t="s">
        <v>184</v>
      </c>
      <c r="F1887" s="16" t="s">
        <v>228</v>
      </c>
      <c r="G1887" s="16" t="s">
        <v>222</v>
      </c>
      <c r="H1887" s="16" t="s">
        <v>229</v>
      </c>
      <c r="I1887" s="16" t="s">
        <v>230</v>
      </c>
    </row>
    <row r="1888" ht="242.25" customHeight="1">
      <c r="A1888" s="32" t="b">
        <v>0</v>
      </c>
      <c r="B1888" s="32" t="str">
        <f>IMAGE("https://gymvisual.com/1231-catalog_default/3-4-sit-up.jpg",4,500,500)</f>
        <v/>
      </c>
      <c r="C1888" s="30">
        <v>1887.0</v>
      </c>
      <c r="D1888" s="16" t="s">
        <v>2489</v>
      </c>
      <c r="E1888" s="16" t="s">
        <v>184</v>
      </c>
      <c r="F1888" s="16" t="s">
        <v>228</v>
      </c>
      <c r="G1888" s="16" t="s">
        <v>222</v>
      </c>
      <c r="H1888" s="16" t="s">
        <v>229</v>
      </c>
      <c r="I1888" s="16" t="s">
        <v>1334</v>
      </c>
    </row>
    <row r="1889" ht="242.25" customHeight="1">
      <c r="A1889" s="32" t="b">
        <v>0</v>
      </c>
      <c r="B1889" s="32" t="str">
        <f>IMAGE("https://gymvisual.com/11330-catalog_default/dumbbell-seated-shoulder-press-parallel-grip-female.jpg",4,500,500)</f>
        <v/>
      </c>
      <c r="C1889" s="30">
        <v>1888.0</v>
      </c>
      <c r="D1889" s="16" t="s">
        <v>2490</v>
      </c>
      <c r="E1889" s="16" t="s">
        <v>184</v>
      </c>
      <c r="F1889" s="16" t="s">
        <v>228</v>
      </c>
      <c r="G1889" s="16" t="s">
        <v>222</v>
      </c>
      <c r="H1889" s="16" t="s">
        <v>220</v>
      </c>
      <c r="I1889" s="16" t="s">
        <v>220</v>
      </c>
    </row>
    <row r="1890" ht="242.25" customHeight="1">
      <c r="A1890" s="32" t="b">
        <v>0</v>
      </c>
      <c r="B1890" s="32" t="str">
        <f>IMAGE("https://gymvisual.com/8827-catalog_default/dumbbell-seated-triceps-extension.jpg",4,500,500)</f>
        <v/>
      </c>
      <c r="C1890" s="30">
        <v>1889.0</v>
      </c>
      <c r="D1890" s="16" t="s">
        <v>2491</v>
      </c>
      <c r="E1890" s="16" t="s">
        <v>184</v>
      </c>
      <c r="F1890" s="16" t="s">
        <v>219</v>
      </c>
      <c r="G1890" s="16" t="s">
        <v>222</v>
      </c>
      <c r="H1890" s="16" t="s">
        <v>223</v>
      </c>
      <c r="I1890" s="16" t="s">
        <v>220</v>
      </c>
    </row>
    <row r="1891" ht="242.25" customHeight="1">
      <c r="A1891" s="32" t="b">
        <v>0</v>
      </c>
      <c r="B1891" s="32" t="str">
        <f>IMAGE("https://gymvisual.com/20670-catalog_default/dumbbell-seated-triceps-extension-female.jpg",4,500,500)</f>
        <v/>
      </c>
      <c r="C1891" s="30">
        <v>1890.0</v>
      </c>
      <c r="D1891" s="16" t="s">
        <v>2492</v>
      </c>
      <c r="E1891" s="16" t="s">
        <v>184</v>
      </c>
      <c r="F1891" s="16" t="s">
        <v>219</v>
      </c>
      <c r="G1891" s="16" t="s">
        <v>222</v>
      </c>
      <c r="H1891" s="16" t="s">
        <v>223</v>
      </c>
      <c r="I1891" s="16" t="s">
        <v>220</v>
      </c>
    </row>
    <row r="1892" ht="242.25" customHeight="1">
      <c r="A1892" s="32" t="b">
        <v>0</v>
      </c>
      <c r="B1892" s="32" t="str">
        <f>IMAGE("https://gymvisual.com/19598-catalog_default/dumbbell-seated-tuck-crunch-on-floor.jpg",4,500,500)</f>
        <v/>
      </c>
      <c r="C1892" s="30">
        <v>1891.0</v>
      </c>
      <c r="D1892" s="16" t="s">
        <v>2493</v>
      </c>
      <c r="E1892" s="16" t="s">
        <v>184</v>
      </c>
      <c r="F1892" s="16" t="s">
        <v>254</v>
      </c>
      <c r="G1892" s="16" t="s">
        <v>222</v>
      </c>
      <c r="H1892" s="16" t="s">
        <v>220</v>
      </c>
      <c r="I1892" s="16" t="s">
        <v>220</v>
      </c>
    </row>
    <row r="1893" ht="242.25" customHeight="1">
      <c r="A1893" s="32" t="b">
        <v>0</v>
      </c>
      <c r="B1893" s="32" t="str">
        <f>IMAGE("https://gymvisual.com/19602-catalog_default/dumbbell-seated-tuck-twisting-crunch-on-floor.jpg",4,500,500)</f>
        <v/>
      </c>
      <c r="C1893" s="30">
        <v>1892.0</v>
      </c>
      <c r="D1893" s="16" t="s">
        <v>2494</v>
      </c>
      <c r="E1893" s="16" t="s">
        <v>184</v>
      </c>
      <c r="F1893" s="16" t="s">
        <v>254</v>
      </c>
      <c r="G1893" s="16" t="s">
        <v>222</v>
      </c>
      <c r="H1893" s="16" t="s">
        <v>220</v>
      </c>
      <c r="I1893" s="16" t="s">
        <v>220</v>
      </c>
    </row>
    <row r="1894" ht="242.25" customHeight="1">
      <c r="A1894" s="32" t="b">
        <v>0</v>
      </c>
      <c r="B1894" s="32" t="str">
        <f>IMAGE("https://gymvisual.com/17298-catalog_default/dumbbell-seated-upright-alternate-squeeze-press.jpg",4,500,500)</f>
        <v/>
      </c>
      <c r="C1894" s="30">
        <v>1893.0</v>
      </c>
      <c r="D1894" s="16" t="s">
        <v>2495</v>
      </c>
      <c r="E1894" s="16" t="s">
        <v>184</v>
      </c>
      <c r="F1894" s="16" t="s">
        <v>234</v>
      </c>
      <c r="G1894" s="16" t="s">
        <v>222</v>
      </c>
      <c r="H1894" s="16" t="s">
        <v>472</v>
      </c>
      <c r="I1894" s="16" t="s">
        <v>230</v>
      </c>
    </row>
    <row r="1895" ht="242.25" customHeight="1">
      <c r="A1895" s="32" t="b">
        <v>0</v>
      </c>
      <c r="B1895" s="32" t="str">
        <f>IMAGE("https://gymvisual.com/17921-catalog_default/dumbbell-seated-zottman-curl-male.jpg",4,500,500)</f>
        <v/>
      </c>
      <c r="C1895" s="30">
        <v>1894.0</v>
      </c>
      <c r="D1895" s="16" t="s">
        <v>2496</v>
      </c>
      <c r="E1895" s="16" t="s">
        <v>184</v>
      </c>
      <c r="F1895" s="16" t="s">
        <v>219</v>
      </c>
      <c r="G1895" s="16" t="s">
        <v>222</v>
      </c>
      <c r="H1895" s="16" t="s">
        <v>220</v>
      </c>
      <c r="I1895" s="16" t="s">
        <v>220</v>
      </c>
    </row>
    <row r="1896" ht="242.25" customHeight="1">
      <c r="A1896" s="32" t="b">
        <v>0</v>
      </c>
      <c r="B1896" s="32" t="str">
        <f>IMAGE("https://gymvisual.com/24099-catalog_default/dumbbell-shoulder-internal-rotation-at-90-abduction.jpg",4,500,500)</f>
        <v/>
      </c>
      <c r="C1896" s="30">
        <v>1895.0</v>
      </c>
      <c r="D1896" s="16" t="s">
        <v>2497</v>
      </c>
      <c r="E1896" s="16" t="s">
        <v>184</v>
      </c>
      <c r="F1896" s="16" t="s">
        <v>192</v>
      </c>
      <c r="G1896" s="16" t="s">
        <v>222</v>
      </c>
      <c r="H1896" s="16" t="s">
        <v>220</v>
      </c>
      <c r="I1896" s="16" t="s">
        <v>220</v>
      </c>
    </row>
    <row r="1897" ht="242.25" customHeight="1">
      <c r="A1897" s="32" t="b">
        <v>0</v>
      </c>
      <c r="B1897" s="32" t="str">
        <f>IMAGE("https://gymvisual.com/10070-catalog_default/3-4-sit-up.jpg",4,500,500)</f>
        <v/>
      </c>
      <c r="C1897" s="30">
        <v>1896.0</v>
      </c>
      <c r="D1897" s="16" t="s">
        <v>2498</v>
      </c>
      <c r="E1897" s="16" t="s">
        <v>184</v>
      </c>
      <c r="F1897" s="16" t="s">
        <v>192</v>
      </c>
      <c r="G1897" s="16" t="s">
        <v>222</v>
      </c>
      <c r="H1897" s="16" t="s">
        <v>238</v>
      </c>
      <c r="I1897" s="16" t="s">
        <v>1621</v>
      </c>
    </row>
    <row r="1898" ht="242.25" customHeight="1">
      <c r="A1898" s="32" t="b">
        <v>0</v>
      </c>
      <c r="B1898" s="32" t="str">
        <f>IMAGE("https://gymvisual.com/11339-catalog_default/dumbbell-shrug-female.jpg",4,500,500)</f>
        <v/>
      </c>
      <c r="C1898" s="30">
        <v>1897.0</v>
      </c>
      <c r="D1898" s="16" t="s">
        <v>2499</v>
      </c>
      <c r="E1898" s="16" t="s">
        <v>184</v>
      </c>
      <c r="F1898" s="16" t="s">
        <v>192</v>
      </c>
      <c r="G1898" s="16" t="s">
        <v>222</v>
      </c>
      <c r="H1898" s="16" t="s">
        <v>238</v>
      </c>
      <c r="I1898" s="16" t="s">
        <v>618</v>
      </c>
    </row>
    <row r="1899" ht="242.25" customHeight="1">
      <c r="A1899" s="32" t="b">
        <v>0</v>
      </c>
      <c r="B1899" s="32" t="str">
        <f>IMAGE("https://gymvisual.com/22253-catalog_default/dumbbell-side-bench-squat.jpg",4,500,500)</f>
        <v/>
      </c>
      <c r="C1899" s="30">
        <v>1898.0</v>
      </c>
      <c r="D1899" s="16" t="s">
        <v>2500</v>
      </c>
      <c r="E1899" s="16" t="s">
        <v>184</v>
      </c>
      <c r="F1899" s="16" t="s">
        <v>285</v>
      </c>
      <c r="G1899" s="16" t="s">
        <v>222</v>
      </c>
      <c r="H1899" s="16" t="s">
        <v>220</v>
      </c>
      <c r="I1899" s="16" t="s">
        <v>220</v>
      </c>
    </row>
    <row r="1900" ht="242.25" customHeight="1">
      <c r="A1900" s="32" t="b">
        <v>0</v>
      </c>
      <c r="B1900" s="32" t="str">
        <f>IMAGE("https://gymvisual.com/25723-catalog_default/3-4-sit-up.jpg",4,500,500)</f>
        <v/>
      </c>
      <c r="C1900" s="30">
        <v>1899.0</v>
      </c>
      <c r="D1900" s="16" t="s">
        <v>2501</v>
      </c>
      <c r="E1900" s="16" t="s">
        <v>184</v>
      </c>
      <c r="F1900" s="16" t="s">
        <v>254</v>
      </c>
      <c r="G1900" s="16" t="s">
        <v>222</v>
      </c>
      <c r="H1900" s="16" t="s">
        <v>257</v>
      </c>
      <c r="I1900" s="16" t="s">
        <v>220</v>
      </c>
    </row>
    <row r="1901" ht="242.25" customHeight="1">
      <c r="A1901" s="32" t="b">
        <v>0</v>
      </c>
      <c r="B1901" s="32" t="str">
        <f>IMAGE("https://gymvisual.com/10918-catalog_default/dumbbell-side-bend-female.jpg",4,500,500)</f>
        <v/>
      </c>
      <c r="C1901" s="30">
        <v>1900.0</v>
      </c>
      <c r="D1901" s="16" t="s">
        <v>2502</v>
      </c>
      <c r="E1901" s="16" t="s">
        <v>184</v>
      </c>
      <c r="F1901" s="16" t="s">
        <v>254</v>
      </c>
      <c r="G1901" s="16" t="s">
        <v>222</v>
      </c>
      <c r="H1901" s="16" t="s">
        <v>257</v>
      </c>
      <c r="I1901" s="16" t="s">
        <v>271</v>
      </c>
    </row>
    <row r="1902" ht="242.25" customHeight="1">
      <c r="A1902" s="32" t="b">
        <v>0</v>
      </c>
      <c r="B1902" s="32" t="str">
        <f>IMAGE("https://gymvisual.com/18742-catalog_default/dumbbell-side-bend-version-2.jpg",4,500,500)</f>
        <v/>
      </c>
      <c r="C1902" s="30">
        <v>1901.0</v>
      </c>
      <c r="D1902" s="16" t="s">
        <v>2503</v>
      </c>
      <c r="E1902" s="16" t="s">
        <v>184</v>
      </c>
      <c r="F1902" s="16" t="s">
        <v>254</v>
      </c>
      <c r="G1902" s="16" t="s">
        <v>222</v>
      </c>
      <c r="H1902" s="16" t="s">
        <v>220</v>
      </c>
      <c r="I1902" s="16" t="s">
        <v>220</v>
      </c>
    </row>
    <row r="1903" ht="242.25" customHeight="1">
      <c r="A1903" s="32" t="b">
        <v>0</v>
      </c>
      <c r="B1903" s="32" t="str">
        <f>IMAGE("https://gymvisual.com/13623-catalog_default/dumbbell-side-bridge.jpg",4,500,500)</f>
        <v/>
      </c>
      <c r="C1903" s="30">
        <v>1902.0</v>
      </c>
      <c r="D1903" s="16" t="s">
        <v>2504</v>
      </c>
      <c r="E1903" s="16" t="s">
        <v>184</v>
      </c>
      <c r="F1903" s="16" t="s">
        <v>254</v>
      </c>
      <c r="G1903" s="16" t="s">
        <v>222</v>
      </c>
      <c r="H1903" s="16" t="s">
        <v>2505</v>
      </c>
      <c r="I1903" s="16" t="s">
        <v>220</v>
      </c>
    </row>
    <row r="1904" ht="242.25" customHeight="1">
      <c r="A1904" s="32" t="b">
        <v>0</v>
      </c>
      <c r="B1904" s="32" t="str">
        <f>IMAGE("https://gymvisual.com/10926-catalog_default/dumbbell-side-bridge-female.jpg",4,500,500)</f>
        <v/>
      </c>
      <c r="C1904" s="30">
        <v>1903.0</v>
      </c>
      <c r="D1904" s="16" t="s">
        <v>2506</v>
      </c>
      <c r="E1904" s="16" t="s">
        <v>184</v>
      </c>
      <c r="F1904" s="16" t="s">
        <v>254</v>
      </c>
      <c r="G1904" s="16" t="s">
        <v>222</v>
      </c>
      <c r="H1904" s="16" t="s">
        <v>257</v>
      </c>
      <c r="I1904" s="16" t="s">
        <v>2507</v>
      </c>
    </row>
    <row r="1905" ht="242.25" customHeight="1">
      <c r="A1905" s="32" t="b">
        <v>0</v>
      </c>
      <c r="B1905" s="32" t="str">
        <f>IMAGE("https://gymvisual.com/19021-catalog_default/dumbbell-side-bridge-with-bent-leg-male.jpg",4,500,500)</f>
        <v/>
      </c>
      <c r="C1905" s="30">
        <v>1904.0</v>
      </c>
      <c r="D1905" s="16" t="s">
        <v>2508</v>
      </c>
      <c r="E1905" s="16" t="s">
        <v>184</v>
      </c>
      <c r="F1905" s="16" t="s">
        <v>254</v>
      </c>
      <c r="G1905" s="16" t="s">
        <v>222</v>
      </c>
      <c r="H1905" s="16" t="s">
        <v>257</v>
      </c>
      <c r="I1905" s="16" t="s">
        <v>220</v>
      </c>
    </row>
    <row r="1906" ht="242.25" customHeight="1">
      <c r="A1906" s="32" t="b">
        <v>0</v>
      </c>
      <c r="B1906" s="32" t="str">
        <f>IMAGE("https://gymvisual.com/4583-catalog_default/dumbbell-side-lunge.jpg",4,500,500)</f>
        <v/>
      </c>
      <c r="C1906" s="30">
        <v>1905.0</v>
      </c>
      <c r="D1906" s="16" t="s">
        <v>2509</v>
      </c>
      <c r="E1906" s="16" t="s">
        <v>184</v>
      </c>
      <c r="F1906" s="16" t="s">
        <v>185</v>
      </c>
      <c r="G1906" s="16" t="s">
        <v>222</v>
      </c>
      <c r="H1906" s="16" t="s">
        <v>187</v>
      </c>
      <c r="I1906" s="16" t="s">
        <v>2510</v>
      </c>
    </row>
    <row r="1907" ht="242.25" customHeight="1">
      <c r="A1907" s="32" t="b">
        <v>0</v>
      </c>
      <c r="B1907" s="32" t="str">
        <f>IMAGE("https://gymvisual.com/13918-catalog_default/dumbbell-side-lunge-version-3.jpg",4,500,500)</f>
        <v/>
      </c>
      <c r="C1907" s="30">
        <v>1906.0</v>
      </c>
      <c r="D1907" s="16" t="s">
        <v>2511</v>
      </c>
      <c r="E1907" s="16" t="s">
        <v>184</v>
      </c>
      <c r="F1907" s="16" t="s">
        <v>294</v>
      </c>
      <c r="G1907" s="16" t="s">
        <v>222</v>
      </c>
      <c r="H1907" s="16" t="s">
        <v>295</v>
      </c>
      <c r="I1907" s="16" t="s">
        <v>2512</v>
      </c>
    </row>
    <row r="1908" ht="242.25" customHeight="1">
      <c r="A1908" s="32" t="b">
        <v>0</v>
      </c>
      <c r="B1908" s="32" t="str">
        <f>IMAGE("https://gymvisual.com/13916-catalog_default/dumbbell-side-lunge-version-3-female.jpg",4,500,500)</f>
        <v/>
      </c>
      <c r="C1908" s="30">
        <v>1907.0</v>
      </c>
      <c r="D1908" s="16" t="s">
        <v>2513</v>
      </c>
      <c r="E1908" s="16" t="s">
        <v>184</v>
      </c>
      <c r="F1908" s="16" t="s">
        <v>294</v>
      </c>
      <c r="G1908" s="16" t="s">
        <v>222</v>
      </c>
      <c r="H1908" s="16" t="s">
        <v>295</v>
      </c>
      <c r="I1908" s="16" t="s">
        <v>2512</v>
      </c>
    </row>
    <row r="1909" ht="242.25" customHeight="1">
      <c r="A1909" s="32" t="b">
        <v>0</v>
      </c>
      <c r="B1909" s="32" t="str">
        <f>IMAGE("https://gymvisual.com/22255-catalog_default/dumbbell-side-lunge-with-shoulder-press.jpg",4,500,500)</f>
        <v/>
      </c>
      <c r="C1909" s="30">
        <v>1908.0</v>
      </c>
      <c r="D1909" s="16" t="s">
        <v>2514</v>
      </c>
      <c r="E1909" s="16" t="s">
        <v>184</v>
      </c>
      <c r="F1909" s="16" t="s">
        <v>285</v>
      </c>
      <c r="G1909" s="16" t="s">
        <v>222</v>
      </c>
      <c r="H1909" s="16" t="s">
        <v>220</v>
      </c>
      <c r="I1909" s="16" t="s">
        <v>220</v>
      </c>
    </row>
    <row r="1910" ht="242.25" customHeight="1">
      <c r="A1910" s="32" t="b">
        <v>0</v>
      </c>
      <c r="B1910" s="32" t="str">
        <f>IMAGE("https://gymvisual.com/25661-catalog_default/dumbbell-side-lying-external-rotation-on-a-bench-male.jpg",4,500,500)</f>
        <v/>
      </c>
      <c r="C1910" s="30">
        <v>1909.0</v>
      </c>
      <c r="D1910" s="16" t="s">
        <v>2515</v>
      </c>
      <c r="E1910" s="16" t="s">
        <v>184</v>
      </c>
      <c r="F1910" s="16" t="s">
        <v>192</v>
      </c>
      <c r="G1910" s="16" t="s">
        <v>222</v>
      </c>
      <c r="H1910" s="16" t="s">
        <v>220</v>
      </c>
      <c r="I1910" s="16" t="s">
        <v>220</v>
      </c>
    </row>
    <row r="1911" ht="242.25" customHeight="1">
      <c r="A1911" s="32" t="b">
        <v>0</v>
      </c>
      <c r="B1911" s="32" t="str">
        <f>IMAGE("https://gymvisual.com/1243-catalog_default/3-4-sit-up.jpg",4,500,500)</f>
        <v/>
      </c>
      <c r="C1911" s="30">
        <v>1910.0</v>
      </c>
      <c r="D1911" s="16" t="s">
        <v>2516</v>
      </c>
      <c r="E1911" s="16" t="s">
        <v>184</v>
      </c>
      <c r="F1911" s="16" t="s">
        <v>228</v>
      </c>
      <c r="G1911" s="16" t="s">
        <v>222</v>
      </c>
      <c r="H1911" s="16" t="s">
        <v>544</v>
      </c>
      <c r="I1911" s="16" t="s">
        <v>2517</v>
      </c>
    </row>
    <row r="1912" ht="242.25" customHeight="1">
      <c r="A1912" s="32" t="b">
        <v>0</v>
      </c>
      <c r="B1912" s="32" t="str">
        <f>IMAGE("https://gymvisual.com/14448-catalog_default/dumbbell-side-plank-with-rear-fly.jpg",4,500,500)</f>
        <v/>
      </c>
      <c r="C1912" s="30">
        <v>1911.0</v>
      </c>
      <c r="D1912" s="16" t="s">
        <v>2518</v>
      </c>
      <c r="E1912" s="16" t="s">
        <v>184</v>
      </c>
      <c r="F1912" s="16" t="s">
        <v>254</v>
      </c>
      <c r="G1912" s="16" t="s">
        <v>222</v>
      </c>
      <c r="H1912" s="16" t="s">
        <v>2519</v>
      </c>
      <c r="I1912" s="16" t="s">
        <v>2520</v>
      </c>
    </row>
    <row r="1913" ht="242.25" customHeight="1">
      <c r="A1913" s="32" t="b">
        <v>0</v>
      </c>
      <c r="B1913" s="32" t="str">
        <f>IMAGE("https://gymvisual.com/20700-catalog_default/dumbbell-side-squat.jpg",4,500,500)</f>
        <v/>
      </c>
      <c r="C1913" s="30">
        <v>1912.0</v>
      </c>
      <c r="D1913" s="16" t="s">
        <v>2521</v>
      </c>
      <c r="E1913" s="16" t="s">
        <v>184</v>
      </c>
      <c r="F1913" s="16" t="s">
        <v>285</v>
      </c>
      <c r="G1913" s="16" t="s">
        <v>222</v>
      </c>
      <c r="H1913" s="16" t="s">
        <v>295</v>
      </c>
      <c r="I1913" s="16" t="s">
        <v>2522</v>
      </c>
    </row>
    <row r="1914" ht="242.25" customHeight="1">
      <c r="A1914" s="32" t="b">
        <v>0</v>
      </c>
      <c r="B1914" s="32" t="str">
        <f>IMAGE("https://gymvisual.com/23903-catalog_default/dumbbell-single-arm-alternate-decline-bench-press.jpg",4,500,500)</f>
        <v/>
      </c>
      <c r="C1914" s="30">
        <v>1913.0</v>
      </c>
      <c r="D1914" s="16" t="s">
        <v>2523</v>
      </c>
      <c r="E1914" s="16" t="s">
        <v>184</v>
      </c>
      <c r="F1914" s="16" t="s">
        <v>234</v>
      </c>
      <c r="G1914" s="16" t="s">
        <v>222</v>
      </c>
      <c r="H1914" s="16" t="s">
        <v>347</v>
      </c>
      <c r="I1914" s="16" t="s">
        <v>382</v>
      </c>
    </row>
    <row r="1915" ht="242.25" customHeight="1">
      <c r="A1915" s="32" t="b">
        <v>0</v>
      </c>
      <c r="B1915" s="32" t="str">
        <f>IMAGE("https://gymvisual.com/23905-catalog_default/dumbbell-single-arm-alternate-fly.jpg",4,500,500)</f>
        <v/>
      </c>
      <c r="C1915" s="30">
        <v>1914.0</v>
      </c>
      <c r="D1915" s="16" t="s">
        <v>2524</v>
      </c>
      <c r="E1915" s="16" t="s">
        <v>184</v>
      </c>
      <c r="F1915" s="16" t="s">
        <v>234</v>
      </c>
      <c r="G1915" s="16" t="s">
        <v>222</v>
      </c>
      <c r="H1915" s="16" t="s">
        <v>235</v>
      </c>
      <c r="I1915" s="16" t="s">
        <v>236</v>
      </c>
    </row>
    <row r="1916" ht="242.25" customHeight="1">
      <c r="A1916" s="32" t="b">
        <v>0</v>
      </c>
      <c r="B1916" s="32" t="str">
        <f>IMAGE("https://gymvisual.com/22359-catalog_default/dumbbell-single-arm-bent-over-row.jpg",4,500,500)</f>
        <v/>
      </c>
      <c r="C1916" s="30">
        <v>1915.0</v>
      </c>
      <c r="D1916" s="16" t="s">
        <v>2525</v>
      </c>
      <c r="E1916" s="16" t="s">
        <v>184</v>
      </c>
      <c r="F1916" s="16" t="s">
        <v>192</v>
      </c>
      <c r="G1916" s="16" t="s">
        <v>222</v>
      </c>
      <c r="H1916" s="16" t="s">
        <v>220</v>
      </c>
      <c r="I1916" s="16" t="s">
        <v>220</v>
      </c>
    </row>
    <row r="1917" ht="242.25" customHeight="1">
      <c r="A1917" s="32" t="b">
        <v>0</v>
      </c>
      <c r="B1917" s="32" t="str">
        <f>IMAGE("https://gymvisual.com/23895-catalog_default/dumbbell-single-arm-floor-press.jpg",4,500,500)</f>
        <v/>
      </c>
      <c r="C1917" s="30">
        <v>1916.0</v>
      </c>
      <c r="D1917" s="16" t="s">
        <v>2526</v>
      </c>
      <c r="E1917" s="16" t="s">
        <v>184</v>
      </c>
      <c r="F1917" s="16" t="s">
        <v>234</v>
      </c>
      <c r="G1917" s="16" t="s">
        <v>222</v>
      </c>
      <c r="H1917" s="16" t="s">
        <v>347</v>
      </c>
      <c r="I1917" s="16" t="s">
        <v>382</v>
      </c>
    </row>
    <row r="1918" ht="242.25" customHeight="1">
      <c r="A1918" s="32" t="b">
        <v>0</v>
      </c>
      <c r="B1918" s="32" t="str">
        <f>IMAGE("https://gymvisual.com/26373-catalog_default/dumbbell-single-arm-neutral-grip-front-raise.jpg",4,500,500)</f>
        <v/>
      </c>
      <c r="C1918" s="30">
        <v>1917.0</v>
      </c>
      <c r="D1918" s="16" t="s">
        <v>2527</v>
      </c>
      <c r="E1918" s="16" t="s">
        <v>184</v>
      </c>
      <c r="F1918" s="16" t="s">
        <v>228</v>
      </c>
      <c r="G1918" s="16" t="s">
        <v>222</v>
      </c>
      <c r="H1918" s="16" t="s">
        <v>220</v>
      </c>
      <c r="I1918" s="16" t="s">
        <v>220</v>
      </c>
    </row>
    <row r="1919" ht="242.25" customHeight="1">
      <c r="A1919" s="32" t="b">
        <v>0</v>
      </c>
      <c r="B1919" s="32" t="str">
        <f>IMAGE("https://gymvisual.com/14108-catalog_default/dumbbell-single-arm-overhead-carry.jpg",4,500,500)</f>
        <v/>
      </c>
      <c r="C1919" s="30">
        <v>1918.0</v>
      </c>
      <c r="D1919" s="16" t="s">
        <v>2528</v>
      </c>
      <c r="E1919" s="16" t="s">
        <v>184</v>
      </c>
      <c r="F1919" s="16" t="s">
        <v>1129</v>
      </c>
      <c r="G1919" s="16" t="s">
        <v>222</v>
      </c>
      <c r="H1919" s="16" t="s">
        <v>220</v>
      </c>
      <c r="I1919" s="16" t="s">
        <v>220</v>
      </c>
    </row>
    <row r="1920" ht="242.25" customHeight="1">
      <c r="A1920" s="32" t="b">
        <v>0</v>
      </c>
      <c r="B1920" s="32" t="str">
        <f>IMAGE("https://gymvisual.com/23899-catalog_default/dumbbell-single-arm-overhead-lunge.jpg",4,500,500)</f>
        <v/>
      </c>
      <c r="C1920" s="30">
        <v>1919.0</v>
      </c>
      <c r="D1920" s="16" t="s">
        <v>2529</v>
      </c>
      <c r="E1920" s="16" t="s">
        <v>184</v>
      </c>
      <c r="F1920" s="16" t="s">
        <v>285</v>
      </c>
      <c r="G1920" s="16" t="s">
        <v>222</v>
      </c>
      <c r="H1920" s="16" t="s">
        <v>189</v>
      </c>
      <c r="I1920" s="16" t="s">
        <v>190</v>
      </c>
    </row>
    <row r="1921" ht="242.25" customHeight="1">
      <c r="A1921" s="32" t="b">
        <v>0</v>
      </c>
      <c r="B1921" s="32" t="str">
        <f>IMAGE("https://gymvisual.com/13437-catalog_default/dumbbell-single-arm-preacher-curl-female.jpg",4,500,500)</f>
        <v/>
      </c>
      <c r="C1921" s="30">
        <v>1920.0</v>
      </c>
      <c r="D1921" s="16" t="s">
        <v>2530</v>
      </c>
      <c r="E1921" s="16" t="s">
        <v>184</v>
      </c>
      <c r="F1921" s="16" t="s">
        <v>219</v>
      </c>
      <c r="G1921" s="16" t="s">
        <v>222</v>
      </c>
      <c r="H1921" s="16" t="s">
        <v>232</v>
      </c>
      <c r="I1921" s="16" t="s">
        <v>233</v>
      </c>
    </row>
    <row r="1922" ht="242.25" customHeight="1">
      <c r="A1922" s="32" t="b">
        <v>0</v>
      </c>
      <c r="B1922" s="32" t="str">
        <f>IMAGE("https://gymvisual.com/23893-catalog_default/dumbbell-single-arm-underhand-front-raise.jpg",4,500,500)</f>
        <v/>
      </c>
      <c r="C1922" s="30">
        <v>1921.0</v>
      </c>
      <c r="D1922" s="16" t="s">
        <v>2531</v>
      </c>
      <c r="E1922" s="16" t="s">
        <v>184</v>
      </c>
      <c r="F1922" s="16" t="s">
        <v>228</v>
      </c>
      <c r="G1922" s="16" t="s">
        <v>222</v>
      </c>
      <c r="H1922" s="16" t="s">
        <v>229</v>
      </c>
      <c r="I1922" s="16" t="s">
        <v>244</v>
      </c>
    </row>
    <row r="1923" ht="242.25" customHeight="1">
      <c r="A1923" s="32" t="b">
        <v>0</v>
      </c>
      <c r="B1923" s="32" t="str">
        <f>IMAGE("https://gymvisual.com/24041-catalog_default/3-4-sit-up.jpg",4,500,500)</f>
        <v/>
      </c>
      <c r="C1923" s="30">
        <v>1922.0</v>
      </c>
      <c r="D1923" s="16" t="s">
        <v>2532</v>
      </c>
      <c r="E1923" s="16" t="s">
        <v>184</v>
      </c>
      <c r="F1923" s="16" t="s">
        <v>325</v>
      </c>
      <c r="G1923" s="16" t="s">
        <v>222</v>
      </c>
      <c r="H1923" s="16" t="s">
        <v>368</v>
      </c>
      <c r="I1923" s="16" t="s">
        <v>463</v>
      </c>
    </row>
    <row r="1924" ht="242.25" customHeight="1">
      <c r="A1924" s="32" t="b">
        <v>0</v>
      </c>
      <c r="B1924" s="32" t="str">
        <f>IMAGE("https://gymvisual.com/11402-catalog_default/dumbbell-single-leg-calf-raise-female.jpg",4,500,500)</f>
        <v/>
      </c>
      <c r="C1924" s="30">
        <v>1923.0</v>
      </c>
      <c r="D1924" s="16" t="s">
        <v>2533</v>
      </c>
      <c r="E1924" s="16" t="s">
        <v>184</v>
      </c>
      <c r="F1924" s="16" t="s">
        <v>325</v>
      </c>
      <c r="G1924" s="16" t="s">
        <v>222</v>
      </c>
      <c r="H1924" s="16" t="s">
        <v>220</v>
      </c>
      <c r="I1924" s="16" t="s">
        <v>220</v>
      </c>
    </row>
    <row r="1925" ht="242.25" customHeight="1">
      <c r="A1925" s="32" t="b">
        <v>0</v>
      </c>
      <c r="B1925" s="32" t="str">
        <f>IMAGE("https://gymvisual.com/17368-catalog_default/illustration.jpg",4,500,500)</f>
        <v/>
      </c>
      <c r="C1925" s="30">
        <v>1924.0</v>
      </c>
      <c r="D1925" s="16" t="s">
        <v>2534</v>
      </c>
      <c r="E1925" s="16" t="s">
        <v>184</v>
      </c>
      <c r="F1925" s="16" t="s">
        <v>325</v>
      </c>
      <c r="G1925" s="16" t="s">
        <v>222</v>
      </c>
      <c r="H1925" s="16" t="s">
        <v>368</v>
      </c>
      <c r="I1925" s="16" t="s">
        <v>463</v>
      </c>
    </row>
    <row r="1926" ht="242.25" customHeight="1">
      <c r="A1926" s="32" t="b">
        <v>0</v>
      </c>
      <c r="B1926" s="32" t="str">
        <f>IMAGE("https://gymvisual.com/7519-catalog_default/dumbbell-single-leg-deadlift.jpg",4,500,500)</f>
        <v/>
      </c>
      <c r="C1926" s="30">
        <v>1925.0</v>
      </c>
      <c r="D1926" s="16" t="s">
        <v>2535</v>
      </c>
      <c r="E1926" s="16" t="s">
        <v>184</v>
      </c>
      <c r="F1926" s="16" t="s">
        <v>185</v>
      </c>
      <c r="G1926" s="16" t="s">
        <v>222</v>
      </c>
      <c r="H1926" s="16" t="s">
        <v>267</v>
      </c>
      <c r="I1926" s="16" t="s">
        <v>188</v>
      </c>
    </row>
    <row r="1927" ht="242.25" customHeight="1">
      <c r="A1927" s="32" t="b">
        <v>0</v>
      </c>
      <c r="B1927" s="32" t="str">
        <f>IMAGE("https://gymvisual.com/11435-catalog_default/dumbbell-single-leg-deadlift-female.jpg",4,500,500)</f>
        <v/>
      </c>
      <c r="C1927" s="30">
        <v>1926.0</v>
      </c>
      <c r="D1927" s="16" t="s">
        <v>2536</v>
      </c>
      <c r="E1927" s="16" t="s">
        <v>184</v>
      </c>
      <c r="F1927" s="16" t="s">
        <v>185</v>
      </c>
      <c r="G1927" s="16" t="s">
        <v>222</v>
      </c>
      <c r="H1927" s="16" t="s">
        <v>187</v>
      </c>
      <c r="I1927" s="16" t="s">
        <v>482</v>
      </c>
    </row>
    <row r="1928" ht="242.25" customHeight="1">
      <c r="A1928" s="32" t="b">
        <v>0</v>
      </c>
      <c r="B1928" s="32" t="str">
        <f>IMAGE("https://gymvisual.com/11969-catalog_default/dumbbell-single-leg-deadlift-with-stepbox-support.jpg",4,500,500)</f>
        <v/>
      </c>
      <c r="C1928" s="30">
        <v>1927.0</v>
      </c>
      <c r="D1928" s="16" t="s">
        <v>2537</v>
      </c>
      <c r="E1928" s="16" t="s">
        <v>184</v>
      </c>
      <c r="F1928" s="16" t="s">
        <v>185</v>
      </c>
      <c r="G1928" s="16" t="s">
        <v>222</v>
      </c>
      <c r="H1928" s="16" t="s">
        <v>220</v>
      </c>
      <c r="I1928" s="16" t="s">
        <v>220</v>
      </c>
    </row>
    <row r="1929" ht="242.25" customHeight="1">
      <c r="A1929" s="32" t="b">
        <v>0</v>
      </c>
      <c r="B1929" s="32" t="str">
        <f>IMAGE("https://gymvisual.com/11968-catalog_default/dumbbell-single-leg-deadlift-with-stepbox-support-female.jpg",4,500,500)</f>
        <v/>
      </c>
      <c r="C1929" s="30">
        <v>1928.0</v>
      </c>
      <c r="D1929" s="16" t="s">
        <v>2538</v>
      </c>
      <c r="E1929" s="16" t="s">
        <v>184</v>
      </c>
      <c r="F1929" s="16" t="s">
        <v>185</v>
      </c>
      <c r="G1929" s="16" t="s">
        <v>222</v>
      </c>
      <c r="H1929" s="16" t="s">
        <v>220</v>
      </c>
      <c r="I1929" s="16" t="s">
        <v>220</v>
      </c>
    </row>
    <row r="1930" ht="242.25" customHeight="1">
      <c r="A1930" s="32" t="b">
        <v>0</v>
      </c>
      <c r="B1930" s="32" t="str">
        <f>IMAGE("https://gymvisual.com/11827-catalog_default/dumbbell-single-leg-deadlift-with-wall-support-female.jpg",4,500,500)</f>
        <v/>
      </c>
      <c r="C1930" s="30">
        <v>1929.0</v>
      </c>
      <c r="D1930" s="16" t="s">
        <v>2539</v>
      </c>
      <c r="E1930" s="16" t="s">
        <v>184</v>
      </c>
      <c r="F1930" s="16" t="s">
        <v>185</v>
      </c>
      <c r="G1930" s="16" t="s">
        <v>222</v>
      </c>
      <c r="H1930" s="16" t="s">
        <v>220</v>
      </c>
      <c r="I1930" s="16" t="s">
        <v>220</v>
      </c>
    </row>
    <row r="1931" ht="242.25" customHeight="1">
      <c r="A1931" s="32" t="b">
        <v>0</v>
      </c>
      <c r="B1931" s="32" t="str">
        <f>IMAGE("https://gymvisual.com/22147-catalog_default/dumbbell-single-leg-glute-bridge.jpg",4,500,500)</f>
        <v/>
      </c>
      <c r="C1931" s="30">
        <v>1930.0</v>
      </c>
      <c r="D1931" s="16" t="s">
        <v>2540</v>
      </c>
      <c r="E1931" s="16" t="s">
        <v>184</v>
      </c>
      <c r="F1931" s="16" t="s">
        <v>185</v>
      </c>
      <c r="G1931" s="16" t="s">
        <v>222</v>
      </c>
      <c r="H1931" s="16" t="s">
        <v>187</v>
      </c>
      <c r="I1931" s="16" t="s">
        <v>854</v>
      </c>
    </row>
    <row r="1932" ht="242.25" customHeight="1">
      <c r="A1932" s="32" t="b">
        <v>0</v>
      </c>
      <c r="B1932" s="32" t="str">
        <f>IMAGE("https://gymvisual.com/22257-catalog_default/dumbbell-single-leg-hip-thrust.jpg",4,500,500)</f>
        <v/>
      </c>
      <c r="C1932" s="30">
        <v>1931.0</v>
      </c>
      <c r="D1932" s="16" t="s">
        <v>2541</v>
      </c>
      <c r="E1932" s="16" t="s">
        <v>184</v>
      </c>
      <c r="F1932" s="16" t="s">
        <v>185</v>
      </c>
      <c r="G1932" s="16" t="s">
        <v>222</v>
      </c>
      <c r="H1932" s="16" t="s">
        <v>220</v>
      </c>
      <c r="I1932" s="16" t="s">
        <v>220</v>
      </c>
    </row>
    <row r="1933" ht="242.25" customHeight="1">
      <c r="A1933" s="32" t="b">
        <v>0</v>
      </c>
      <c r="B1933" s="32" t="str">
        <f>IMAGE("https://gymvisual.com/26064-catalog_default/3-4-sit-up.jpg",4,500,500)</f>
        <v/>
      </c>
      <c r="C1933" s="30">
        <v>1932.0</v>
      </c>
      <c r="D1933" s="16" t="s">
        <v>2542</v>
      </c>
      <c r="E1933" s="16" t="s">
        <v>184</v>
      </c>
      <c r="F1933" s="16" t="s">
        <v>285</v>
      </c>
      <c r="G1933" s="16" t="s">
        <v>222</v>
      </c>
      <c r="H1933" s="16" t="s">
        <v>189</v>
      </c>
      <c r="I1933" s="16" t="s">
        <v>190</v>
      </c>
    </row>
    <row r="1934" ht="242.25" customHeight="1">
      <c r="A1934" s="32" t="b">
        <v>0</v>
      </c>
      <c r="B1934" s="32" t="str">
        <f>IMAGE("https://gymvisual.com/1252-catalog_default/3-4-sit-up.jpg",4,500,500)</f>
        <v/>
      </c>
      <c r="C1934" s="30">
        <v>1933.0</v>
      </c>
      <c r="D1934" s="16" t="s">
        <v>2543</v>
      </c>
      <c r="E1934" s="16" t="s">
        <v>184</v>
      </c>
      <c r="F1934" s="16" t="s">
        <v>185</v>
      </c>
      <c r="G1934" s="16" t="s">
        <v>222</v>
      </c>
      <c r="H1934" s="16" t="s">
        <v>189</v>
      </c>
      <c r="I1934" s="16" t="s">
        <v>190</v>
      </c>
    </row>
    <row r="1935" ht="242.25" customHeight="1">
      <c r="A1935" s="32" t="b">
        <v>0</v>
      </c>
      <c r="B1935" s="32" t="str">
        <f>IMAGE("https://gymvisual.com/14052-catalog_default/dumbbell-single-leg-squat-female.jpg",4,500,500)</f>
        <v/>
      </c>
      <c r="C1935" s="30">
        <v>1934.0</v>
      </c>
      <c r="D1935" s="16" t="s">
        <v>2544</v>
      </c>
      <c r="E1935" s="16" t="s">
        <v>184</v>
      </c>
      <c r="F1935" s="16" t="s">
        <v>294</v>
      </c>
      <c r="G1935" s="16" t="s">
        <v>222</v>
      </c>
      <c r="H1935" s="16" t="s">
        <v>189</v>
      </c>
      <c r="I1935" s="16" t="s">
        <v>190</v>
      </c>
    </row>
    <row r="1936" ht="242.25" customHeight="1">
      <c r="A1936" s="32" t="b">
        <v>0</v>
      </c>
      <c r="B1936" s="32" t="str">
        <f>IMAGE("https://gymvisual.com/16712-catalog_default/dumbbell-single-leg-squat-version-2-female.jpg",4,500,500)</f>
        <v/>
      </c>
      <c r="C1936" s="30">
        <v>1935.0</v>
      </c>
      <c r="D1936" s="16" t="s">
        <v>2545</v>
      </c>
      <c r="E1936" s="16" t="s">
        <v>184</v>
      </c>
      <c r="F1936" s="16" t="s">
        <v>294</v>
      </c>
      <c r="G1936" s="16" t="s">
        <v>222</v>
      </c>
      <c r="H1936" s="16" t="s">
        <v>189</v>
      </c>
      <c r="I1936" s="16" t="s">
        <v>190</v>
      </c>
    </row>
    <row r="1937" ht="242.25" customHeight="1">
      <c r="A1937" s="32" t="b">
        <v>0</v>
      </c>
      <c r="B1937" s="32" t="str">
        <f>IMAGE("https://gymvisual.com/16714-catalog_default/dumbbell-single-leg-squat-version-2-male.jpg",4,500,500)</f>
        <v/>
      </c>
      <c r="C1937" s="30">
        <v>1936.0</v>
      </c>
      <c r="D1937" s="16" t="s">
        <v>2546</v>
      </c>
      <c r="E1937" s="16" t="s">
        <v>184</v>
      </c>
      <c r="F1937" s="16" t="s">
        <v>294</v>
      </c>
      <c r="G1937" s="16" t="s">
        <v>222</v>
      </c>
      <c r="H1937" s="16" t="s">
        <v>220</v>
      </c>
      <c r="I1937" s="16" t="s">
        <v>220</v>
      </c>
    </row>
    <row r="1938" ht="242.25" customHeight="1">
      <c r="A1938" s="32" t="b">
        <v>0</v>
      </c>
      <c r="B1938" s="32" t="str">
        <f>IMAGE("https://gymvisual.com/12190-catalog_default/dumbbell-single-leg-step-up.jpg",4,500,500)</f>
        <v/>
      </c>
      <c r="C1938" s="30">
        <v>1937.0</v>
      </c>
      <c r="D1938" s="16" t="s">
        <v>2547</v>
      </c>
      <c r="E1938" s="16" t="s">
        <v>184</v>
      </c>
      <c r="F1938" s="16" t="s">
        <v>285</v>
      </c>
      <c r="G1938" s="16" t="s">
        <v>222</v>
      </c>
      <c r="H1938" s="16" t="s">
        <v>189</v>
      </c>
      <c r="I1938" s="16" t="s">
        <v>190</v>
      </c>
    </row>
    <row r="1939" ht="242.25" customHeight="1">
      <c r="A1939" s="32" t="b">
        <v>0</v>
      </c>
      <c r="B1939" s="32" t="str">
        <f>IMAGE("https://gymvisual.com/22349-catalog_default/dumbbell-single-leg-step-up-on-bench.jpg",4,500,500)</f>
        <v/>
      </c>
      <c r="C1939" s="30">
        <v>1938.0</v>
      </c>
      <c r="D1939" s="16" t="s">
        <v>2548</v>
      </c>
      <c r="E1939" s="16" t="s">
        <v>184</v>
      </c>
      <c r="F1939" s="16" t="s">
        <v>285</v>
      </c>
      <c r="G1939" s="16" t="s">
        <v>222</v>
      </c>
      <c r="H1939" s="16" t="s">
        <v>220</v>
      </c>
      <c r="I1939" s="16" t="s">
        <v>220</v>
      </c>
    </row>
    <row r="1940" ht="242.25" customHeight="1">
      <c r="A1940" s="32" t="b">
        <v>0</v>
      </c>
      <c r="B1940" s="32" t="str">
        <f>IMAGE("https://gymvisual.com/26076-catalog_default/dumbbell-single-power-clean.jpg",4,500,500)</f>
        <v/>
      </c>
      <c r="C1940" s="30">
        <v>1939.0</v>
      </c>
      <c r="D1940" s="16" t="s">
        <v>2549</v>
      </c>
      <c r="E1940" s="16" t="s">
        <v>184</v>
      </c>
      <c r="F1940" s="16" t="s">
        <v>764</v>
      </c>
      <c r="G1940" s="16" t="s">
        <v>222</v>
      </c>
      <c r="H1940" s="16" t="s">
        <v>220</v>
      </c>
      <c r="I1940" s="16" t="s">
        <v>220</v>
      </c>
    </row>
    <row r="1941" ht="242.25" customHeight="1">
      <c r="A1941" s="32" t="b">
        <v>0</v>
      </c>
      <c r="B1941" s="32" t="str">
        <f>IMAGE("https://gymvisual.com/17302-catalog_default/dumbbell-single-spider-curl-with-chest-support.jpg",4,500,500)</f>
        <v/>
      </c>
      <c r="C1941" s="30">
        <v>1940.0</v>
      </c>
      <c r="D1941" s="16" t="s">
        <v>2550</v>
      </c>
      <c r="E1941" s="16" t="s">
        <v>184</v>
      </c>
      <c r="F1941" s="16" t="s">
        <v>219</v>
      </c>
      <c r="G1941" s="16" t="s">
        <v>222</v>
      </c>
      <c r="H1941" s="16" t="s">
        <v>241</v>
      </c>
      <c r="I1941" s="16" t="s">
        <v>292</v>
      </c>
    </row>
    <row r="1942" ht="242.25" customHeight="1">
      <c r="A1942" s="32" t="b">
        <v>0</v>
      </c>
      <c r="B1942" s="32" t="str">
        <f>IMAGE("https://gymvisual.com/20686-catalog_default/dumbbell-single-stiff-leg-deadlift.jpg",4,500,500)</f>
        <v/>
      </c>
      <c r="C1942" s="30">
        <v>1941.0</v>
      </c>
      <c r="D1942" s="16" t="s">
        <v>2551</v>
      </c>
      <c r="E1942" s="16" t="s">
        <v>184</v>
      </c>
      <c r="F1942" s="16" t="s">
        <v>185</v>
      </c>
      <c r="G1942" s="16" t="s">
        <v>222</v>
      </c>
      <c r="H1942" s="16" t="s">
        <v>267</v>
      </c>
      <c r="I1942" s="16" t="s">
        <v>188</v>
      </c>
    </row>
    <row r="1943" ht="242.25" customHeight="1">
      <c r="A1943" s="32" t="b">
        <v>0</v>
      </c>
      <c r="B1943" s="32" t="str">
        <f>IMAGE("https://gymvisual.com/10495-catalog_default/dumbbell-single-arm-leaning-lateral-raise.jpg",4,500,500)</f>
        <v/>
      </c>
      <c r="C1943" s="30">
        <v>1942.0</v>
      </c>
      <c r="D1943" s="16" t="s">
        <v>2552</v>
      </c>
      <c r="E1943" s="16" t="s">
        <v>184</v>
      </c>
      <c r="F1943" s="16" t="s">
        <v>228</v>
      </c>
      <c r="G1943" s="16" t="s">
        <v>222</v>
      </c>
      <c r="H1943" s="16" t="s">
        <v>544</v>
      </c>
      <c r="I1943" s="16" t="s">
        <v>2436</v>
      </c>
    </row>
    <row r="1944" ht="242.25" customHeight="1">
      <c r="A1944" s="32" t="b">
        <v>0</v>
      </c>
      <c r="B1944" s="32" t="str">
        <f>IMAGE("https://gymvisual.com/22259-catalog_default/dumbbell-sit-up.jpg",4,500,500)</f>
        <v/>
      </c>
      <c r="C1944" s="30">
        <v>1943.0</v>
      </c>
      <c r="D1944" s="16" t="s">
        <v>2553</v>
      </c>
      <c r="E1944" s="16" t="s">
        <v>184</v>
      </c>
      <c r="F1944" s="16" t="s">
        <v>254</v>
      </c>
      <c r="G1944" s="16" t="s">
        <v>222</v>
      </c>
      <c r="H1944" s="16" t="s">
        <v>220</v>
      </c>
      <c r="I1944" s="16" t="s">
        <v>220</v>
      </c>
    </row>
    <row r="1945" ht="242.25" customHeight="1">
      <c r="A1945" s="32" t="b">
        <v>0</v>
      </c>
      <c r="B1945" s="32" t="str">
        <f>IMAGE("https://gymvisual.com/12269-catalog_default/dumbbell-split-squat.jpg",4,500,500)</f>
        <v/>
      </c>
      <c r="C1945" s="30">
        <v>1944.0</v>
      </c>
      <c r="D1945" s="16" t="s">
        <v>2554</v>
      </c>
      <c r="E1945" s="16" t="s">
        <v>184</v>
      </c>
      <c r="F1945" s="16" t="s">
        <v>285</v>
      </c>
      <c r="G1945" s="16" t="s">
        <v>222</v>
      </c>
      <c r="H1945" s="16" t="s">
        <v>189</v>
      </c>
      <c r="I1945" s="16" t="s">
        <v>190</v>
      </c>
    </row>
    <row r="1946" ht="242.25" customHeight="1">
      <c r="A1946" s="32" t="b">
        <v>0</v>
      </c>
      <c r="B1946" s="32" t="str">
        <f>IMAGE("https://gymvisual.com/20678-catalog_default/dumbbell-split-squat-female.jpg",4,500,500)</f>
        <v/>
      </c>
      <c r="C1946" s="30">
        <v>1945.0</v>
      </c>
      <c r="D1946" s="16" t="s">
        <v>2555</v>
      </c>
      <c r="E1946" s="16" t="s">
        <v>184</v>
      </c>
      <c r="F1946" s="16" t="s">
        <v>285</v>
      </c>
      <c r="G1946" s="16" t="s">
        <v>222</v>
      </c>
      <c r="H1946" s="16" t="s">
        <v>189</v>
      </c>
      <c r="I1946" s="16" t="s">
        <v>190</v>
      </c>
    </row>
    <row r="1947" ht="242.25" customHeight="1">
      <c r="A1947" s="32" t="b">
        <v>0</v>
      </c>
      <c r="B1947" s="32" t="str">
        <f>IMAGE("https://gymvisual.com/12260-catalog_default/dumbbell-split-squat-front-foot-elevanted.jpg",4,500,500)</f>
        <v/>
      </c>
      <c r="C1947" s="30">
        <v>1946.0</v>
      </c>
      <c r="D1947" s="16" t="s">
        <v>2556</v>
      </c>
      <c r="E1947" s="16" t="s">
        <v>184</v>
      </c>
      <c r="F1947" s="16" t="s">
        <v>285</v>
      </c>
      <c r="G1947" s="16" t="s">
        <v>222</v>
      </c>
      <c r="H1947" s="16" t="s">
        <v>189</v>
      </c>
      <c r="I1947" s="16" t="s">
        <v>190</v>
      </c>
    </row>
    <row r="1948" ht="242.25" customHeight="1">
      <c r="A1948" s="32" t="b">
        <v>0</v>
      </c>
      <c r="B1948" s="32" t="str">
        <f>IMAGE("https://gymvisual.com/12263-catalog_default/dumbbell-split-squat-front-foot-elevanted-female.jpg",4,500,500)</f>
        <v/>
      </c>
      <c r="C1948" s="30">
        <v>1947.0</v>
      </c>
      <c r="D1948" s="16" t="s">
        <v>2557</v>
      </c>
      <c r="E1948" s="16" t="s">
        <v>184</v>
      </c>
      <c r="F1948" s="16" t="s">
        <v>285</v>
      </c>
      <c r="G1948" s="16" t="s">
        <v>222</v>
      </c>
      <c r="H1948" s="16" t="s">
        <v>189</v>
      </c>
      <c r="I1948" s="16" t="s">
        <v>190</v>
      </c>
    </row>
    <row r="1949" ht="242.25" customHeight="1">
      <c r="A1949" s="32" t="b">
        <v>0</v>
      </c>
      <c r="B1949" s="32" t="str">
        <f>IMAGE("https://gymvisual.com/16032-catalog_default/dumbbell-split-squat-front-foot-elevanted-with-bosu-ball-female.jpg",4,500,500)</f>
        <v/>
      </c>
      <c r="C1949" s="30">
        <v>1948.0</v>
      </c>
      <c r="D1949" s="16" t="s">
        <v>2558</v>
      </c>
      <c r="E1949" s="16" t="s">
        <v>184</v>
      </c>
      <c r="F1949" s="16" t="s">
        <v>294</v>
      </c>
      <c r="G1949" s="16" t="s">
        <v>222</v>
      </c>
      <c r="H1949" s="16" t="s">
        <v>189</v>
      </c>
      <c r="I1949" s="16" t="s">
        <v>190</v>
      </c>
    </row>
    <row r="1950" ht="242.25" customHeight="1">
      <c r="A1950" s="32" t="b">
        <v>0</v>
      </c>
      <c r="B1950" s="32" t="str">
        <f>IMAGE("https://gymvisual.com/20553-catalog_default/dumbbell-sprinter-thrust-chest-press.jpg",4,500,500)</f>
        <v/>
      </c>
      <c r="C1950" s="30">
        <v>1949.0</v>
      </c>
      <c r="D1950" s="16" t="s">
        <v>2559</v>
      </c>
      <c r="E1950" s="16" t="s">
        <v>184</v>
      </c>
      <c r="F1950" s="16" t="s">
        <v>1798</v>
      </c>
      <c r="G1950" s="16" t="s">
        <v>222</v>
      </c>
      <c r="H1950" s="16" t="s">
        <v>2560</v>
      </c>
      <c r="I1950" s="16" t="s">
        <v>2561</v>
      </c>
    </row>
    <row r="1951" ht="242.25" customHeight="1">
      <c r="A1951" s="32" t="b">
        <v>0</v>
      </c>
      <c r="B1951" s="32" t="str">
        <f>IMAGE("https://gymvisual.com/1258-catalog_default/3-4-sit-up.jpg",4,500,500)</f>
        <v/>
      </c>
      <c r="C1951" s="30">
        <v>1950.0</v>
      </c>
      <c r="D1951" s="16" t="s">
        <v>2562</v>
      </c>
      <c r="E1951" s="16" t="s">
        <v>184</v>
      </c>
      <c r="F1951" s="16" t="s">
        <v>185</v>
      </c>
      <c r="G1951" s="16" t="s">
        <v>222</v>
      </c>
      <c r="H1951" s="16" t="s">
        <v>189</v>
      </c>
      <c r="I1951" s="16" t="s">
        <v>190</v>
      </c>
    </row>
    <row r="1952" ht="242.25" customHeight="1">
      <c r="A1952" s="32" t="b">
        <v>0</v>
      </c>
      <c r="B1952" s="32" t="str">
        <f>IMAGE("https://gymvisual.com/6802-catalog_default/dumbbell-squat.jpg",4,500,500)</f>
        <v/>
      </c>
      <c r="C1952" s="30">
        <v>1951.0</v>
      </c>
      <c r="D1952" s="16" t="s">
        <v>2562</v>
      </c>
      <c r="E1952" s="16" t="s">
        <v>184</v>
      </c>
      <c r="F1952" s="16" t="s">
        <v>285</v>
      </c>
      <c r="G1952" s="16" t="s">
        <v>222</v>
      </c>
      <c r="H1952" s="16" t="s">
        <v>189</v>
      </c>
      <c r="I1952" s="16" t="s">
        <v>190</v>
      </c>
    </row>
    <row r="1953" ht="242.25" customHeight="1">
      <c r="A1953" s="32" t="b">
        <v>0</v>
      </c>
      <c r="B1953" s="32" t="str">
        <f>IMAGE("https://gymvisual.com/1255-catalog_default/3-4-sit-up.jpg",4,500,500)</f>
        <v/>
      </c>
      <c r="C1953" s="30">
        <v>1952.0</v>
      </c>
      <c r="D1953" s="16" t="s">
        <v>2563</v>
      </c>
      <c r="E1953" s="16" t="s">
        <v>184</v>
      </c>
      <c r="F1953" s="16" t="s">
        <v>285</v>
      </c>
      <c r="G1953" s="16" t="s">
        <v>222</v>
      </c>
      <c r="H1953" s="16" t="s">
        <v>189</v>
      </c>
      <c r="I1953" s="16" t="s">
        <v>190</v>
      </c>
    </row>
    <row r="1954" ht="242.25" customHeight="1">
      <c r="A1954" s="32" t="b">
        <v>0</v>
      </c>
      <c r="B1954" s="32" t="str">
        <f>IMAGE("https://gymvisual.com/9574-catalog_default/dumbbell-squat-female.jpg",4,500,500)</f>
        <v/>
      </c>
      <c r="C1954" s="30">
        <v>1953.0</v>
      </c>
      <c r="D1954" s="16" t="s">
        <v>2564</v>
      </c>
      <c r="E1954" s="16" t="s">
        <v>184</v>
      </c>
      <c r="F1954" s="16" t="s">
        <v>294</v>
      </c>
      <c r="G1954" s="16" t="s">
        <v>222</v>
      </c>
      <c r="H1954" s="16" t="s">
        <v>189</v>
      </c>
      <c r="I1954" s="16" t="s">
        <v>190</v>
      </c>
    </row>
    <row r="1955" ht="242.25" customHeight="1">
      <c r="A1955" s="32" t="b">
        <v>0</v>
      </c>
      <c r="B1955" s="32" t="str">
        <f>IMAGE("https://gymvisual.com/19219-catalog_default/dumbbell-squat-hold-calf-raise.jpg",4,500,500)</f>
        <v/>
      </c>
      <c r="C1955" s="30">
        <v>1954.0</v>
      </c>
      <c r="D1955" s="16" t="s">
        <v>2565</v>
      </c>
      <c r="E1955" s="16" t="s">
        <v>184</v>
      </c>
      <c r="F1955" s="16" t="s">
        <v>1236</v>
      </c>
      <c r="G1955" s="16" t="s">
        <v>222</v>
      </c>
      <c r="H1955" s="16" t="s">
        <v>220</v>
      </c>
      <c r="I1955" s="16" t="s">
        <v>220</v>
      </c>
    </row>
    <row r="1956" ht="242.25" customHeight="1">
      <c r="A1956" s="32" t="b">
        <v>0</v>
      </c>
      <c r="B1956" s="32" t="str">
        <f>IMAGE("https://gymvisual.com/24101-catalog_default/dumbbell-squat-to-overhead-press.jpg",4,500,500)</f>
        <v/>
      </c>
      <c r="C1956" s="30">
        <v>1955.0</v>
      </c>
      <c r="D1956" s="16" t="s">
        <v>2566</v>
      </c>
      <c r="E1956" s="16" t="s">
        <v>184</v>
      </c>
      <c r="F1956" s="16" t="s">
        <v>285</v>
      </c>
      <c r="G1956" s="16" t="s">
        <v>222</v>
      </c>
      <c r="H1956" s="16" t="s">
        <v>220</v>
      </c>
      <c r="I1956" s="16" t="s">
        <v>220</v>
      </c>
    </row>
    <row r="1957" ht="242.25" customHeight="1">
      <c r="A1957" s="32" t="b">
        <v>0</v>
      </c>
      <c r="B1957" s="32" t="str">
        <f>IMAGE("https://gymvisual.com/14755-catalog_default/dumbbell-squeeze-bench-press.jpg",4,500,500)</f>
        <v/>
      </c>
      <c r="C1957" s="30">
        <v>1956.0</v>
      </c>
      <c r="D1957" s="16" t="s">
        <v>2567</v>
      </c>
      <c r="E1957" s="16" t="s">
        <v>184</v>
      </c>
      <c r="F1957" s="16" t="s">
        <v>234</v>
      </c>
      <c r="G1957" s="16" t="s">
        <v>222</v>
      </c>
      <c r="H1957" s="16" t="s">
        <v>2400</v>
      </c>
      <c r="I1957" s="16" t="s">
        <v>229</v>
      </c>
    </row>
    <row r="1958" ht="242.25" customHeight="1">
      <c r="A1958" s="32" t="b">
        <v>0</v>
      </c>
      <c r="B1958" s="32" t="str">
        <f>IMAGE("https://gymvisual.com/22261-catalog_default/dumbbell-staggered-stance-romanian-deadlift.jpg",4,500,500)</f>
        <v/>
      </c>
      <c r="C1958" s="30">
        <v>1957.0</v>
      </c>
      <c r="D1958" s="16" t="s">
        <v>2568</v>
      </c>
      <c r="E1958" s="16" t="s">
        <v>184</v>
      </c>
      <c r="F1958" s="16" t="s">
        <v>185</v>
      </c>
      <c r="G1958" s="16" t="s">
        <v>222</v>
      </c>
      <c r="H1958" s="16" t="s">
        <v>220</v>
      </c>
      <c r="I1958" s="16" t="s">
        <v>220</v>
      </c>
    </row>
    <row r="1959" ht="242.25" customHeight="1">
      <c r="A1959" s="32" t="b">
        <v>0</v>
      </c>
      <c r="B1959" s="32" t="str">
        <f>IMAGE("https://gymvisual.com/17863-catalog_default/dumbbell-standing-alternate-arnold-press.jpg",4,500,500)</f>
        <v/>
      </c>
      <c r="C1959" s="30">
        <v>1958.0</v>
      </c>
      <c r="D1959" s="16" t="s">
        <v>2569</v>
      </c>
      <c r="E1959" s="16" t="s">
        <v>184</v>
      </c>
      <c r="F1959" s="16" t="s">
        <v>228</v>
      </c>
      <c r="G1959" s="16" t="s">
        <v>222</v>
      </c>
      <c r="H1959" s="16" t="s">
        <v>220</v>
      </c>
      <c r="I1959" s="16" t="s">
        <v>220</v>
      </c>
    </row>
    <row r="1960" ht="242.25" customHeight="1">
      <c r="A1960" s="32" t="b">
        <v>0</v>
      </c>
      <c r="B1960" s="32" t="str">
        <f>IMAGE("https://gymvisual.com/14147-catalog_default/dumbbell-standing-alternate-hammer-curl-and-press.jpg",4,500,500)</f>
        <v/>
      </c>
      <c r="C1960" s="30">
        <v>1959.0</v>
      </c>
      <c r="D1960" s="16" t="s">
        <v>2570</v>
      </c>
      <c r="E1960" s="16" t="s">
        <v>184</v>
      </c>
      <c r="F1960" s="16" t="s">
        <v>829</v>
      </c>
      <c r="G1960" s="16" t="s">
        <v>222</v>
      </c>
      <c r="H1960" s="16" t="s">
        <v>2003</v>
      </c>
      <c r="I1960" s="16" t="s">
        <v>2004</v>
      </c>
    </row>
    <row r="1961" ht="242.25" customHeight="1">
      <c r="A1961" s="32" t="b">
        <v>0</v>
      </c>
      <c r="B1961" s="32" t="str">
        <f>IMAGE("https://gymvisual.com/14121-catalog_default/3-4-sit-up.jpg",4,500,500)</f>
        <v/>
      </c>
      <c r="C1961" s="30">
        <v>1960.0</v>
      </c>
      <c r="D1961" s="16" t="s">
        <v>2571</v>
      </c>
      <c r="E1961" s="16" t="s">
        <v>184</v>
      </c>
      <c r="F1961" s="16" t="s">
        <v>228</v>
      </c>
      <c r="G1961" s="16" t="s">
        <v>222</v>
      </c>
      <c r="H1961" s="16" t="s">
        <v>229</v>
      </c>
      <c r="I1961" s="16" t="s">
        <v>1334</v>
      </c>
    </row>
    <row r="1962" ht="242.25" customHeight="1">
      <c r="A1962" s="32" t="b">
        <v>0</v>
      </c>
      <c r="B1962" s="32" t="str">
        <f>IMAGE("https://gymvisual.com/1264-catalog_default/3-4-sit-up.jpg",4,500,500)</f>
        <v/>
      </c>
      <c r="C1962" s="30">
        <v>1961.0</v>
      </c>
      <c r="D1962" s="16" t="s">
        <v>2572</v>
      </c>
      <c r="E1962" s="16" t="s">
        <v>184</v>
      </c>
      <c r="F1962" s="16" t="s">
        <v>228</v>
      </c>
      <c r="G1962" s="16" t="s">
        <v>222</v>
      </c>
      <c r="H1962" s="16" t="s">
        <v>229</v>
      </c>
      <c r="I1962" s="16" t="s">
        <v>244</v>
      </c>
    </row>
    <row r="1963" ht="242.25" customHeight="1">
      <c r="A1963" s="32" t="b">
        <v>0</v>
      </c>
      <c r="B1963" s="32" t="str">
        <f>IMAGE("https://gymvisual.com/26317-catalog_default/dumbbell-standing-alternate-vertical-front-raises.jpg",4,500,500)</f>
        <v/>
      </c>
      <c r="C1963" s="30">
        <v>1962.0</v>
      </c>
      <c r="D1963" s="16" t="s">
        <v>2573</v>
      </c>
      <c r="E1963" s="16" t="s">
        <v>184</v>
      </c>
      <c r="F1963" s="16" t="s">
        <v>228</v>
      </c>
      <c r="G1963" s="16" t="s">
        <v>222</v>
      </c>
      <c r="H1963" s="16" t="s">
        <v>229</v>
      </c>
      <c r="I1963" s="16" t="s">
        <v>244</v>
      </c>
    </row>
    <row r="1964" ht="242.25" customHeight="1">
      <c r="A1964" s="32" t="b">
        <v>0</v>
      </c>
      <c r="B1964" s="32" t="str">
        <f>IMAGE("https://gymvisual.com/7458-catalog_default/dumbbell-standing-alternating-tricep-kickback.jpg",4,500,500)</f>
        <v/>
      </c>
      <c r="C1964" s="30">
        <v>1963.0</v>
      </c>
      <c r="D1964" s="16" t="s">
        <v>2574</v>
      </c>
      <c r="E1964" s="16" t="s">
        <v>184</v>
      </c>
      <c r="F1964" s="16" t="s">
        <v>219</v>
      </c>
      <c r="G1964" s="16" t="s">
        <v>222</v>
      </c>
      <c r="H1964" s="16" t="s">
        <v>220</v>
      </c>
      <c r="I1964" s="16" t="s">
        <v>220</v>
      </c>
    </row>
    <row r="1965" ht="242.25" customHeight="1">
      <c r="A1965" s="32" t="b">
        <v>0</v>
      </c>
      <c r="B1965" s="32" t="str">
        <f>IMAGE("https://gymvisual.com/17917-catalog_default/dumbbell-standing-arnold-press-male.jpg",4,500,500)</f>
        <v/>
      </c>
      <c r="C1965" s="30">
        <v>1964.0</v>
      </c>
      <c r="D1965" s="16" t="s">
        <v>2575</v>
      </c>
      <c r="E1965" s="16" t="s">
        <v>184</v>
      </c>
      <c r="F1965" s="16" t="s">
        <v>228</v>
      </c>
      <c r="G1965" s="16" t="s">
        <v>222</v>
      </c>
      <c r="H1965" s="16" t="s">
        <v>229</v>
      </c>
      <c r="I1965" s="16" t="s">
        <v>230</v>
      </c>
    </row>
    <row r="1966" ht="242.25" customHeight="1">
      <c r="A1966" s="32" t="b">
        <v>0</v>
      </c>
      <c r="B1966" s="32" t="str">
        <f>IMAGE("https://gymvisual.com/8764-catalog_default/dumbbell-standing-around-world.jpg",4,500,500)</f>
        <v/>
      </c>
      <c r="C1966" s="30">
        <v>1965.0</v>
      </c>
      <c r="D1966" s="16" t="s">
        <v>2576</v>
      </c>
      <c r="E1966" s="16" t="s">
        <v>184</v>
      </c>
      <c r="F1966" s="16" t="s">
        <v>228</v>
      </c>
      <c r="G1966" s="16" t="s">
        <v>222</v>
      </c>
      <c r="H1966" s="16" t="s">
        <v>544</v>
      </c>
      <c r="I1966" s="16" t="s">
        <v>2577</v>
      </c>
    </row>
    <row r="1967" ht="242.25" customHeight="1">
      <c r="A1967" s="32" t="b">
        <v>0</v>
      </c>
      <c r="B1967" s="32" t="str">
        <f>IMAGE("https://gymvisual.com/9806-catalog_default/dumbbell-standing-bent-arm-lateral-raise-female.jpg",4,500,500)</f>
        <v/>
      </c>
      <c r="C1967" s="30">
        <v>1966.0</v>
      </c>
      <c r="D1967" s="16" t="s">
        <v>2578</v>
      </c>
      <c r="E1967" s="16" t="s">
        <v>184</v>
      </c>
      <c r="F1967" s="16" t="s">
        <v>228</v>
      </c>
      <c r="G1967" s="16" t="s">
        <v>222</v>
      </c>
      <c r="H1967" s="16" t="s">
        <v>544</v>
      </c>
      <c r="I1967" s="16" t="s">
        <v>2436</v>
      </c>
    </row>
    <row r="1968" ht="242.25" customHeight="1">
      <c r="A1968" s="32" t="b">
        <v>0</v>
      </c>
      <c r="B1968" s="32" t="str">
        <f>IMAGE("https://gymvisual.com/24810-catalog_default/dumbbell-standing-bent-arm-lateral-raise-male.jpg",4,500,500)</f>
        <v/>
      </c>
      <c r="C1968" s="30">
        <v>1967.0</v>
      </c>
      <c r="D1968" s="16" t="s">
        <v>2579</v>
      </c>
      <c r="E1968" s="16" t="s">
        <v>184</v>
      </c>
      <c r="F1968" s="16" t="s">
        <v>228</v>
      </c>
      <c r="G1968" s="16" t="s">
        <v>222</v>
      </c>
      <c r="H1968" s="16" t="s">
        <v>544</v>
      </c>
      <c r="I1968" s="16" t="s">
        <v>713</v>
      </c>
    </row>
    <row r="1969" ht="242.25" customHeight="1">
      <c r="A1969" s="32" t="b">
        <v>0</v>
      </c>
      <c r="B1969" s="32" t="str">
        <f>IMAGE("https://gymvisual.com/7459-catalog_default/dumbbell-standing-bent-over-one-arm-triceps-extension.jpg",4,500,500)</f>
        <v/>
      </c>
      <c r="C1969" s="30">
        <v>1968.0</v>
      </c>
      <c r="D1969" s="16" t="s">
        <v>2580</v>
      </c>
      <c r="E1969" s="16" t="s">
        <v>184</v>
      </c>
      <c r="F1969" s="16" t="s">
        <v>219</v>
      </c>
      <c r="G1969" s="16" t="s">
        <v>222</v>
      </c>
      <c r="H1969" s="16" t="s">
        <v>220</v>
      </c>
      <c r="I1969" s="16" t="s">
        <v>220</v>
      </c>
    </row>
    <row r="1970" ht="242.25" customHeight="1">
      <c r="A1970" s="32" t="b">
        <v>0</v>
      </c>
      <c r="B1970" s="32" t="str">
        <f>IMAGE("https://gymvisual.com/7460-catalog_default/dumbbell-standing-bent-over-two-arm-triceps-extension.jpg",4,500,500)</f>
        <v/>
      </c>
      <c r="C1970" s="30">
        <v>1969.0</v>
      </c>
      <c r="D1970" s="16" t="s">
        <v>2581</v>
      </c>
      <c r="E1970" s="16" t="s">
        <v>184</v>
      </c>
      <c r="F1970" s="16" t="s">
        <v>219</v>
      </c>
      <c r="G1970" s="16" t="s">
        <v>222</v>
      </c>
      <c r="H1970" s="16" t="s">
        <v>220</v>
      </c>
      <c r="I1970" s="16" t="s">
        <v>220</v>
      </c>
    </row>
    <row r="1971" ht="242.25" customHeight="1">
      <c r="A1971" s="32" t="b">
        <v>0</v>
      </c>
      <c r="B1971" s="32" t="str">
        <f>IMAGE("https://gymvisual.com/24762-catalog_default/3-4-sit-up.jpg",4,500,500)</f>
        <v/>
      </c>
      <c r="C1971" s="30">
        <v>1970.0</v>
      </c>
      <c r="D1971" s="16" t="s">
        <v>2582</v>
      </c>
      <c r="E1971" s="16" t="s">
        <v>184</v>
      </c>
      <c r="F1971" s="16" t="s">
        <v>219</v>
      </c>
      <c r="G1971" s="16" t="s">
        <v>222</v>
      </c>
      <c r="H1971" s="16" t="s">
        <v>241</v>
      </c>
      <c r="I1971" s="16" t="s">
        <v>292</v>
      </c>
    </row>
    <row r="1972" ht="242.25" customHeight="1">
      <c r="A1972" s="32" t="b">
        <v>0</v>
      </c>
      <c r="B1972" s="32" t="str">
        <f>IMAGE("https://gymvisual.com/19239-catalog_default/dumbbell-standing-biceps-curl-to-shoulder-press-male.jpg",4,500,500)</f>
        <v/>
      </c>
      <c r="C1972" s="30">
        <v>1971.0</v>
      </c>
      <c r="D1972" s="16" t="s">
        <v>2583</v>
      </c>
      <c r="E1972" s="16" t="s">
        <v>184</v>
      </c>
      <c r="F1972" s="16" t="s">
        <v>829</v>
      </c>
      <c r="G1972" s="16" t="s">
        <v>222</v>
      </c>
      <c r="H1972" s="16" t="s">
        <v>220</v>
      </c>
      <c r="I1972" s="16" t="s">
        <v>220</v>
      </c>
    </row>
    <row r="1973" ht="242.25" customHeight="1">
      <c r="A1973" s="32" t="b">
        <v>0</v>
      </c>
      <c r="B1973" s="32" t="str">
        <f>IMAGE("https://gymvisual.com/1270-catalog_default/3-4-sit-up.jpg",4,500,500)</f>
        <v/>
      </c>
      <c r="C1973" s="30">
        <v>1972.0</v>
      </c>
      <c r="D1973" s="16" t="s">
        <v>2584</v>
      </c>
      <c r="E1973" s="16" t="s">
        <v>184</v>
      </c>
      <c r="F1973" s="16" t="s">
        <v>325</v>
      </c>
      <c r="G1973" s="16" t="s">
        <v>222</v>
      </c>
      <c r="H1973" s="16" t="s">
        <v>368</v>
      </c>
      <c r="I1973" s="16" t="s">
        <v>463</v>
      </c>
    </row>
    <row r="1974" ht="242.25" customHeight="1">
      <c r="A1974" s="32" t="b">
        <v>0</v>
      </c>
      <c r="B1974" s="32" t="str">
        <f>IMAGE("https://gymvisual.com/9544-catalog_default/dumbbell-standing-calf-raise-female.jpg",4,500,500)</f>
        <v/>
      </c>
      <c r="C1974" s="30">
        <v>1973.0</v>
      </c>
      <c r="D1974" s="16" t="s">
        <v>2585</v>
      </c>
      <c r="E1974" s="16" t="s">
        <v>184</v>
      </c>
      <c r="F1974" s="16" t="s">
        <v>325</v>
      </c>
      <c r="G1974" s="16" t="s">
        <v>222</v>
      </c>
      <c r="H1974" s="16" t="s">
        <v>368</v>
      </c>
      <c r="I1974" s="16" t="s">
        <v>463</v>
      </c>
    </row>
    <row r="1975" ht="242.25" customHeight="1">
      <c r="A1975" s="32" t="b">
        <v>0</v>
      </c>
      <c r="B1975" s="32" t="str">
        <f>IMAGE("https://gymvisual.com/1273-catalog_default/3-4-sit-up.jpg",4,500,500)</f>
        <v/>
      </c>
      <c r="C1975" s="30">
        <v>1974.0</v>
      </c>
      <c r="D1975" s="16" t="s">
        <v>2586</v>
      </c>
      <c r="E1975" s="16" t="s">
        <v>184</v>
      </c>
      <c r="F1975" s="16" t="s">
        <v>219</v>
      </c>
      <c r="G1975" s="16" t="s">
        <v>222</v>
      </c>
      <c r="H1975" s="16" t="s">
        <v>232</v>
      </c>
      <c r="I1975" s="16" t="s">
        <v>233</v>
      </c>
    </row>
    <row r="1976" ht="242.25" customHeight="1">
      <c r="A1976" s="32" t="b">
        <v>0</v>
      </c>
      <c r="B1976" s="32" t="str">
        <f>IMAGE("https://gymvisual.com/23458-catalog_default/dumbbell-standing-drag-curl-version-2.jpg",4,500,500)</f>
        <v/>
      </c>
      <c r="C1976" s="30">
        <v>1975.0</v>
      </c>
      <c r="D1976" s="16" t="s">
        <v>2587</v>
      </c>
      <c r="E1976" s="16" t="s">
        <v>184</v>
      </c>
      <c r="F1976" s="16" t="s">
        <v>219</v>
      </c>
      <c r="G1976" s="16" t="s">
        <v>222</v>
      </c>
      <c r="H1976" s="16" t="s">
        <v>236</v>
      </c>
      <c r="I1976" s="16" t="s">
        <v>292</v>
      </c>
    </row>
    <row r="1977" ht="242.25" customHeight="1">
      <c r="A1977" s="32" t="b">
        <v>0</v>
      </c>
      <c r="B1977" s="32" t="str">
        <f>IMAGE("https://gymvisual.com/1276-catalog_default/3-4-sit-up.jpg",4,500,500)</f>
        <v/>
      </c>
      <c r="C1977" s="30">
        <v>1976.0</v>
      </c>
      <c r="D1977" s="16" t="s">
        <v>2588</v>
      </c>
      <c r="E1977" s="16" t="s">
        <v>184</v>
      </c>
      <c r="F1977" s="16" t="s">
        <v>228</v>
      </c>
      <c r="G1977" s="16" t="s">
        <v>222</v>
      </c>
      <c r="H1977" s="16" t="s">
        <v>229</v>
      </c>
      <c r="I1977" s="16" t="s">
        <v>244</v>
      </c>
    </row>
    <row r="1978" ht="242.25" customHeight="1">
      <c r="A1978" s="32" t="b">
        <v>0</v>
      </c>
      <c r="B1978" s="32" t="str">
        <f>IMAGE("https://gymvisual.com/22426-catalog_default/dumbbell-standing-high-windmill.jpg",4,500,500)</f>
        <v/>
      </c>
      <c r="C1978" s="30">
        <v>1977.0</v>
      </c>
      <c r="D1978" s="16" t="s">
        <v>2589</v>
      </c>
      <c r="E1978" s="16" t="s">
        <v>184</v>
      </c>
      <c r="F1978" s="16" t="s">
        <v>254</v>
      </c>
      <c r="G1978" s="16" t="s">
        <v>222</v>
      </c>
      <c r="H1978" s="16" t="s">
        <v>220</v>
      </c>
      <c r="I1978" s="16" t="s">
        <v>220</v>
      </c>
    </row>
    <row r="1979" ht="242.25" customHeight="1">
      <c r="A1979" s="32" t="b">
        <v>0</v>
      </c>
      <c r="B1979" s="32" t="str">
        <f>IMAGE("https://gymvisual.com/4599-catalog_default/dumbbell-standing-inner-biceps-curl.jpg",4,500,500)</f>
        <v/>
      </c>
      <c r="C1979" s="30">
        <v>1978.0</v>
      </c>
      <c r="D1979" s="16" t="s">
        <v>2590</v>
      </c>
      <c r="E1979" s="16" t="s">
        <v>184</v>
      </c>
      <c r="F1979" s="16" t="s">
        <v>219</v>
      </c>
      <c r="G1979" s="16" t="s">
        <v>222</v>
      </c>
      <c r="H1979" s="16" t="s">
        <v>241</v>
      </c>
      <c r="I1979" s="16" t="s">
        <v>232</v>
      </c>
    </row>
    <row r="1980" ht="242.25" customHeight="1">
      <c r="A1980" s="32" t="b">
        <v>0</v>
      </c>
      <c r="B1980" s="32" t="str">
        <f>IMAGE("https://gymvisual.com/9823-catalog_default/dumbbell-standing-inner-biceps-curl-version-2.jpg",4,500,500)</f>
        <v/>
      </c>
      <c r="C1980" s="30">
        <v>1979.0</v>
      </c>
      <c r="D1980" s="16" t="s">
        <v>2591</v>
      </c>
      <c r="E1980" s="16" t="s">
        <v>184</v>
      </c>
      <c r="F1980" s="16" t="s">
        <v>219</v>
      </c>
      <c r="G1980" s="16" t="s">
        <v>222</v>
      </c>
      <c r="H1980" s="16" t="s">
        <v>241</v>
      </c>
      <c r="I1980" s="16" t="s">
        <v>232</v>
      </c>
    </row>
    <row r="1981" ht="242.25" customHeight="1">
      <c r="A1981" s="32" t="b">
        <v>0</v>
      </c>
      <c r="B1981" s="32" t="str">
        <f>IMAGE("https://gymvisual.com/1279-catalog_default/3-4-sit-up.jpg",4,500,500)</f>
        <v/>
      </c>
      <c r="C1981" s="30">
        <v>1980.0</v>
      </c>
      <c r="D1981" s="16" t="s">
        <v>2592</v>
      </c>
      <c r="E1981" s="16" t="s">
        <v>184</v>
      </c>
      <c r="F1981" s="16" t="s">
        <v>219</v>
      </c>
      <c r="G1981" s="16" t="s">
        <v>222</v>
      </c>
      <c r="H1981" s="16" t="s">
        <v>223</v>
      </c>
      <c r="I1981" s="16" t="s">
        <v>220</v>
      </c>
    </row>
    <row r="1982" ht="242.25" customHeight="1">
      <c r="A1982" s="32" t="b">
        <v>0</v>
      </c>
      <c r="B1982" s="32" t="str">
        <f>IMAGE("https://gymvisual.com/11342-catalog_default/dumbbell-standing-kickback-female.jpg",4,500,500)</f>
        <v/>
      </c>
      <c r="C1982" s="30">
        <v>1981.0</v>
      </c>
      <c r="D1982" s="16" t="s">
        <v>2593</v>
      </c>
      <c r="E1982" s="16" t="s">
        <v>184</v>
      </c>
      <c r="F1982" s="16" t="s">
        <v>219</v>
      </c>
      <c r="G1982" s="16" t="s">
        <v>222</v>
      </c>
      <c r="H1982" s="16" t="s">
        <v>223</v>
      </c>
      <c r="I1982" s="16" t="s">
        <v>220</v>
      </c>
    </row>
    <row r="1983" ht="242.25" customHeight="1">
      <c r="A1983" s="32" t="b">
        <v>0</v>
      </c>
      <c r="B1983" s="32" t="str">
        <f>IMAGE("https://gymvisual.com/9616-catalog_default/dumbbell-standing-lateral-raise-female.jpg",4,500,500)</f>
        <v/>
      </c>
      <c r="C1983" s="30">
        <v>1982.0</v>
      </c>
      <c r="D1983" s="16" t="s">
        <v>2594</v>
      </c>
      <c r="E1983" s="16" t="s">
        <v>184</v>
      </c>
      <c r="F1983" s="16" t="s">
        <v>228</v>
      </c>
      <c r="G1983" s="16" t="s">
        <v>222</v>
      </c>
      <c r="H1983" s="16" t="s">
        <v>544</v>
      </c>
      <c r="I1983" s="16" t="s">
        <v>545</v>
      </c>
    </row>
    <row r="1984" ht="242.25" customHeight="1">
      <c r="A1984" s="32" t="b">
        <v>0</v>
      </c>
      <c r="B1984" s="32" t="str">
        <f>IMAGE("https://gymvisual.com/1282-catalog_default/3-4-sit-up.jpg",4,500,500)</f>
        <v/>
      </c>
      <c r="C1984" s="30">
        <v>1983.0</v>
      </c>
      <c r="D1984" s="16" t="s">
        <v>2595</v>
      </c>
      <c r="E1984" s="16" t="s">
        <v>184</v>
      </c>
      <c r="F1984" s="16" t="s">
        <v>219</v>
      </c>
      <c r="G1984" s="16" t="s">
        <v>222</v>
      </c>
      <c r="H1984" s="16" t="s">
        <v>232</v>
      </c>
      <c r="I1984" s="16" t="s">
        <v>233</v>
      </c>
    </row>
    <row r="1985" ht="242.25" customHeight="1">
      <c r="A1985" s="32" t="b">
        <v>0</v>
      </c>
      <c r="B1985" s="32" t="str">
        <f>IMAGE("https://gymvisual.com/1285-catalog_default/3-4-sit-up.jpg",4,500,500)</f>
        <v/>
      </c>
      <c r="C1985" s="30">
        <v>1984.0</v>
      </c>
      <c r="D1985" s="16" t="s">
        <v>2596</v>
      </c>
      <c r="E1985" s="16" t="s">
        <v>184</v>
      </c>
      <c r="F1985" s="16" t="s">
        <v>219</v>
      </c>
      <c r="G1985" s="16" t="s">
        <v>222</v>
      </c>
      <c r="H1985" s="16" t="s">
        <v>232</v>
      </c>
      <c r="I1985" s="16" t="s">
        <v>233</v>
      </c>
    </row>
    <row r="1986" ht="242.25" customHeight="1">
      <c r="A1986" s="32" t="b">
        <v>0</v>
      </c>
      <c r="B1986" s="32" t="str">
        <f>IMAGE("https://gymvisual.com/13439-catalog_default/dumbbell-standing-one-arm-curl-over-incline-bench-female.jpg",4,500,500)</f>
        <v/>
      </c>
      <c r="C1986" s="30">
        <v>1985.0</v>
      </c>
      <c r="D1986" s="16" t="s">
        <v>2597</v>
      </c>
      <c r="E1986" s="16" t="s">
        <v>184</v>
      </c>
      <c r="F1986" s="16" t="s">
        <v>219</v>
      </c>
      <c r="G1986" s="16" t="s">
        <v>222</v>
      </c>
      <c r="H1986" s="16" t="s">
        <v>220</v>
      </c>
      <c r="I1986" s="16" t="s">
        <v>220</v>
      </c>
    </row>
    <row r="1987" ht="242.25" customHeight="1">
      <c r="A1987" s="32" t="b">
        <v>0</v>
      </c>
      <c r="B1987" s="32" t="str">
        <f>IMAGE("https://gymvisual.com/7154-catalog_default/dumbbell-standing-one-arm-curl-over-incline-bench.jpg",4,500,500)</f>
        <v/>
      </c>
      <c r="C1987" s="30">
        <v>1986.0</v>
      </c>
      <c r="D1987" s="16" t="s">
        <v>2598</v>
      </c>
      <c r="E1987" s="16" t="s">
        <v>184</v>
      </c>
      <c r="F1987" s="16" t="s">
        <v>219</v>
      </c>
      <c r="G1987" s="16" t="s">
        <v>222</v>
      </c>
      <c r="H1987" s="16" t="s">
        <v>220</v>
      </c>
      <c r="I1987" s="16" t="s">
        <v>220</v>
      </c>
    </row>
    <row r="1988" ht="242.25" customHeight="1">
      <c r="A1988" s="32" t="b">
        <v>0</v>
      </c>
      <c r="B1988" s="32" t="str">
        <f>IMAGE("https://gymvisual.com/1288-catalog_default/3-4-sit-up.jpg",4,500,500)</f>
        <v/>
      </c>
      <c r="C1988" s="30">
        <v>1987.0</v>
      </c>
      <c r="D1988" s="16" t="s">
        <v>2599</v>
      </c>
      <c r="E1988" s="16" t="s">
        <v>184</v>
      </c>
      <c r="F1988" s="16" t="s">
        <v>219</v>
      </c>
      <c r="G1988" s="16" t="s">
        <v>222</v>
      </c>
      <c r="H1988" s="16" t="s">
        <v>223</v>
      </c>
      <c r="I1988" s="16" t="s">
        <v>220</v>
      </c>
    </row>
    <row r="1989" ht="242.25" customHeight="1">
      <c r="A1989" s="32" t="b">
        <v>0</v>
      </c>
      <c r="B1989" s="32" t="str">
        <f>IMAGE("https://gymvisual.com/1291-catalog_default/3-4-sit-up.jpg",4,500,500)</f>
        <v/>
      </c>
      <c r="C1989" s="30">
        <v>1988.0</v>
      </c>
      <c r="D1989" s="16" t="s">
        <v>2600</v>
      </c>
      <c r="E1989" s="16" t="s">
        <v>184</v>
      </c>
      <c r="F1989" s="16" t="s">
        <v>228</v>
      </c>
      <c r="G1989" s="16" t="s">
        <v>222</v>
      </c>
      <c r="H1989" s="16" t="s">
        <v>229</v>
      </c>
      <c r="I1989" s="16" t="s">
        <v>626</v>
      </c>
    </row>
    <row r="1990" ht="242.25" customHeight="1">
      <c r="A1990" s="32" t="b">
        <v>0</v>
      </c>
      <c r="B1990" s="32" t="str">
        <f>IMAGE("https://gymvisual.com/1294-catalog_default/3-4-sit-up.jpg",4,500,500)</f>
        <v/>
      </c>
      <c r="C1990" s="30">
        <v>1989.0</v>
      </c>
      <c r="D1990" s="16" t="s">
        <v>2601</v>
      </c>
      <c r="E1990" s="16" t="s">
        <v>184</v>
      </c>
      <c r="F1990" s="16" t="s">
        <v>214</v>
      </c>
      <c r="G1990" s="16" t="s">
        <v>222</v>
      </c>
      <c r="H1990" s="16" t="s">
        <v>216</v>
      </c>
      <c r="I1990" s="16" t="s">
        <v>217</v>
      </c>
    </row>
    <row r="1991" ht="242.25" customHeight="1">
      <c r="A1991" s="32" t="b">
        <v>0</v>
      </c>
      <c r="B1991" s="32" t="str">
        <f>IMAGE("https://gymvisual.com/1297-catalog_default/3-4-sit-up.jpg",4,500,500)</f>
        <v/>
      </c>
      <c r="C1991" s="30">
        <v>1990.0</v>
      </c>
      <c r="D1991" s="16" t="s">
        <v>2602</v>
      </c>
      <c r="E1991" s="16" t="s">
        <v>184</v>
      </c>
      <c r="F1991" s="16" t="s">
        <v>228</v>
      </c>
      <c r="G1991" s="16" t="s">
        <v>222</v>
      </c>
      <c r="H1991" s="16" t="s">
        <v>229</v>
      </c>
      <c r="I1991" s="16" t="s">
        <v>626</v>
      </c>
    </row>
    <row r="1992" ht="242.25" customHeight="1">
      <c r="A1992" s="32" t="b">
        <v>0</v>
      </c>
      <c r="B1992" s="32" t="str">
        <f>IMAGE("https://gymvisual.com/10307-catalog_default/dumbbell-standing-overhead-press-female.jpg",4,500,500)</f>
        <v/>
      </c>
      <c r="C1992" s="30">
        <v>1991.0</v>
      </c>
      <c r="D1992" s="16" t="s">
        <v>2603</v>
      </c>
      <c r="E1992" s="16" t="s">
        <v>184</v>
      </c>
      <c r="F1992" s="16" t="s">
        <v>228</v>
      </c>
      <c r="G1992" s="16" t="s">
        <v>222</v>
      </c>
      <c r="H1992" s="16" t="s">
        <v>229</v>
      </c>
      <c r="I1992" s="16" t="s">
        <v>2604</v>
      </c>
    </row>
    <row r="1993" ht="242.25" customHeight="1">
      <c r="A1993" s="32" t="b">
        <v>0</v>
      </c>
      <c r="B1993" s="32" t="str">
        <f>IMAGE("https://gymvisual.com/1300-catalog_default/3-4-sit-up.jpg",4,500,500)</f>
        <v/>
      </c>
      <c r="C1993" s="30">
        <v>1992.0</v>
      </c>
      <c r="D1993" s="16" t="s">
        <v>2605</v>
      </c>
      <c r="E1993" s="16" t="s">
        <v>184</v>
      </c>
      <c r="F1993" s="16" t="s">
        <v>228</v>
      </c>
      <c r="G1993" s="16" t="s">
        <v>222</v>
      </c>
      <c r="H1993" s="16" t="s">
        <v>229</v>
      </c>
      <c r="I1993" s="16" t="s">
        <v>626</v>
      </c>
    </row>
    <row r="1994" ht="242.25" customHeight="1">
      <c r="A1994" s="32" t="b">
        <v>0</v>
      </c>
      <c r="B1994" s="32" t="str">
        <f>IMAGE("https://gymvisual.com/11345-catalog_default/dumbbell-standing-palms-in-press-female.jpg",4,500,500)</f>
        <v/>
      </c>
      <c r="C1994" s="30">
        <v>1993.0</v>
      </c>
      <c r="D1994" s="16" t="s">
        <v>2606</v>
      </c>
      <c r="E1994" s="16" t="s">
        <v>184</v>
      </c>
      <c r="F1994" s="16" t="s">
        <v>228</v>
      </c>
      <c r="G1994" s="16" t="s">
        <v>222</v>
      </c>
      <c r="H1994" s="16" t="s">
        <v>220</v>
      </c>
      <c r="I1994" s="16" t="s">
        <v>220</v>
      </c>
    </row>
    <row r="1995" ht="242.25" customHeight="1">
      <c r="A1995" s="32" t="b">
        <v>0</v>
      </c>
      <c r="B1995" s="32" t="str">
        <f>IMAGE("https://gymvisual.com/1303-catalog_default/3-4-sit-up.jpg",4,500,500)</f>
        <v/>
      </c>
      <c r="C1995" s="30">
        <v>1994.0</v>
      </c>
      <c r="D1995" s="16" t="s">
        <v>2607</v>
      </c>
      <c r="E1995" s="16" t="s">
        <v>184</v>
      </c>
      <c r="F1995" s="16" t="s">
        <v>219</v>
      </c>
      <c r="G1995" s="16" t="s">
        <v>222</v>
      </c>
      <c r="H1995" s="16" t="s">
        <v>232</v>
      </c>
      <c r="I1995" s="16" t="s">
        <v>233</v>
      </c>
    </row>
    <row r="1996" ht="242.25" customHeight="1">
      <c r="A1996" s="32" t="b">
        <v>0</v>
      </c>
      <c r="B1996" s="32" t="str">
        <f>IMAGE("https://gymvisual.com/1306-catalog_default/3-4-sit-up.jpg",4,500,500)</f>
        <v/>
      </c>
      <c r="C1996" s="30">
        <v>1995.0</v>
      </c>
      <c r="D1996" s="16" t="s">
        <v>2608</v>
      </c>
      <c r="E1996" s="16" t="s">
        <v>184</v>
      </c>
      <c r="F1996" s="16" t="s">
        <v>214</v>
      </c>
      <c r="G1996" s="16" t="s">
        <v>222</v>
      </c>
      <c r="H1996" s="16" t="s">
        <v>216</v>
      </c>
      <c r="I1996" s="16" t="s">
        <v>217</v>
      </c>
    </row>
    <row r="1997" ht="242.25" customHeight="1">
      <c r="A1997" s="32" t="b">
        <v>0</v>
      </c>
      <c r="B1997" s="32" t="str">
        <f>IMAGE("https://gymvisual.com/22351-catalog_default/dumbbell-standing-single-arm-arnold-press.jpg",4,500,500)</f>
        <v/>
      </c>
      <c r="C1997" s="30">
        <v>1996.0</v>
      </c>
      <c r="D1997" s="16" t="s">
        <v>2609</v>
      </c>
      <c r="E1997" s="16" t="s">
        <v>184</v>
      </c>
      <c r="F1997" s="16" t="s">
        <v>228</v>
      </c>
      <c r="G1997" s="16" t="s">
        <v>222</v>
      </c>
      <c r="H1997" s="16" t="s">
        <v>220</v>
      </c>
      <c r="I1997" s="16" t="s">
        <v>220</v>
      </c>
    </row>
    <row r="1998" ht="242.25" customHeight="1">
      <c r="A1998" s="32" t="b">
        <v>0</v>
      </c>
      <c r="B1998" s="32" t="str">
        <f>IMAGE("https://gymvisual.com/4434-catalog_default/dumbbell-standing-single-leg-calf-raise.jpg",4,500,500)</f>
        <v/>
      </c>
      <c r="C1998" s="30">
        <v>1997.0</v>
      </c>
      <c r="D1998" s="16" t="s">
        <v>2610</v>
      </c>
      <c r="E1998" s="16" t="s">
        <v>184</v>
      </c>
      <c r="F1998" s="16" t="s">
        <v>325</v>
      </c>
      <c r="G1998" s="16" t="s">
        <v>222</v>
      </c>
      <c r="H1998" s="16" t="s">
        <v>368</v>
      </c>
      <c r="I1998" s="16" t="s">
        <v>463</v>
      </c>
    </row>
    <row r="1999" ht="242.25" customHeight="1">
      <c r="A1999" s="32" t="b">
        <v>0</v>
      </c>
      <c r="B1999" s="32" t="str">
        <f>IMAGE("https://gymvisual.com/16041-catalog_default/dumbbell-standing-single-leg-calf-raise.jpg",4,500,500)</f>
        <v/>
      </c>
      <c r="C1999" s="30">
        <v>1998.0</v>
      </c>
      <c r="D1999" s="16" t="s">
        <v>2610</v>
      </c>
      <c r="E1999" s="16" t="s">
        <v>184</v>
      </c>
      <c r="F1999" s="16" t="s">
        <v>325</v>
      </c>
      <c r="G1999" s="16" t="s">
        <v>222</v>
      </c>
      <c r="H1999" s="16" t="s">
        <v>368</v>
      </c>
      <c r="I1999" s="16" t="s">
        <v>463</v>
      </c>
    </row>
    <row r="2000" ht="242.25" customHeight="1">
      <c r="A2000" s="32" t="b">
        <v>0</v>
      </c>
      <c r="B2000" s="32" t="str">
        <f>IMAGE("https://gymvisual.com/17466-catalog_default/dumbbell-standing-single-spider-curl.jpg",4,500,500)</f>
        <v/>
      </c>
      <c r="C2000" s="30">
        <v>1999.0</v>
      </c>
      <c r="D2000" s="16" t="s">
        <v>2611</v>
      </c>
      <c r="E2000" s="16" t="s">
        <v>184</v>
      </c>
      <c r="F2000" s="16" t="s">
        <v>219</v>
      </c>
      <c r="G2000" s="16" t="s">
        <v>222</v>
      </c>
      <c r="H2000" s="16" t="s">
        <v>241</v>
      </c>
      <c r="I2000" s="16" t="s">
        <v>292</v>
      </c>
    </row>
    <row r="2001" ht="242.25" customHeight="1">
      <c r="A2001" s="32" t="b">
        <v>0</v>
      </c>
      <c r="B2001" s="32" t="str">
        <f>IMAGE("https://gymvisual.com/1309-catalog_default/3-4-sit-up.jpg",4,500,500)</f>
        <v/>
      </c>
      <c r="C2001" s="30">
        <v>2000.0</v>
      </c>
      <c r="D2001" s="16" t="s">
        <v>2612</v>
      </c>
      <c r="E2001" s="16" t="s">
        <v>184</v>
      </c>
      <c r="F2001" s="16" t="s">
        <v>219</v>
      </c>
      <c r="G2001" s="16" t="s">
        <v>222</v>
      </c>
      <c r="H2001" s="16" t="s">
        <v>223</v>
      </c>
      <c r="I2001" s="16" t="s">
        <v>220</v>
      </c>
    </row>
    <row r="2002" ht="242.25" customHeight="1">
      <c r="A2002" s="32" t="b">
        <v>0</v>
      </c>
      <c r="B2002" s="32" t="str">
        <f>IMAGE("https://gymvisual.com/10368-catalog_default/dumbbell-standing-triceps-extension-female.jpg",4,500,500)</f>
        <v/>
      </c>
      <c r="C2002" s="30">
        <v>2001.0</v>
      </c>
      <c r="D2002" s="16" t="s">
        <v>2613</v>
      </c>
      <c r="E2002" s="16" t="s">
        <v>184</v>
      </c>
      <c r="F2002" s="16" t="s">
        <v>219</v>
      </c>
      <c r="G2002" s="16" t="s">
        <v>222</v>
      </c>
      <c r="H2002" s="16" t="s">
        <v>223</v>
      </c>
      <c r="I2002" s="16" t="s">
        <v>220</v>
      </c>
    </row>
    <row r="2003" ht="242.25" customHeight="1">
      <c r="A2003" s="32" t="b">
        <v>0</v>
      </c>
      <c r="B2003" s="32" t="str">
        <f>IMAGE("https://gymvisual.com/22450-catalog_default/dumbbell-standing-windmill.jpg",4,500,500)</f>
        <v/>
      </c>
      <c r="C2003" s="30">
        <v>2002.0</v>
      </c>
      <c r="D2003" s="16" t="s">
        <v>2614</v>
      </c>
      <c r="E2003" s="16" t="s">
        <v>184</v>
      </c>
      <c r="F2003" s="16" t="s">
        <v>254</v>
      </c>
      <c r="G2003" s="16" t="s">
        <v>222</v>
      </c>
      <c r="H2003" s="16" t="s">
        <v>220</v>
      </c>
      <c r="I2003" s="16" t="s">
        <v>220</v>
      </c>
    </row>
    <row r="2004" ht="242.25" customHeight="1">
      <c r="A2004" s="32" t="b">
        <v>0</v>
      </c>
      <c r="B2004" s="32" t="str">
        <f>IMAGE("https://gymvisual.com/9744-catalog_default/dumbbell-standing-zottman-preacher-curl.jpg",4,500,500)</f>
        <v/>
      </c>
      <c r="C2004" s="30">
        <v>2003.0</v>
      </c>
      <c r="D2004" s="16" t="s">
        <v>2615</v>
      </c>
      <c r="E2004" s="16" t="s">
        <v>184</v>
      </c>
      <c r="F2004" s="16" t="s">
        <v>219</v>
      </c>
      <c r="G2004" s="16" t="s">
        <v>222</v>
      </c>
      <c r="H2004" s="16" t="s">
        <v>241</v>
      </c>
      <c r="I2004" s="16" t="s">
        <v>2305</v>
      </c>
    </row>
    <row r="2005" ht="242.25" customHeight="1">
      <c r="A2005" s="32" t="b">
        <v>0</v>
      </c>
      <c r="B2005" s="32" t="str">
        <f>IMAGE("https://gymvisual.com/23591-catalog_default/dumbbell-static-lunge.jpg",4,500,500)</f>
        <v/>
      </c>
      <c r="C2005" s="30">
        <v>2004.0</v>
      </c>
      <c r="D2005" s="16" t="s">
        <v>2616</v>
      </c>
      <c r="E2005" s="16" t="s">
        <v>184</v>
      </c>
      <c r="F2005" s="16" t="s">
        <v>285</v>
      </c>
      <c r="G2005" s="16" t="s">
        <v>222</v>
      </c>
      <c r="H2005" s="16" t="s">
        <v>295</v>
      </c>
      <c r="I2005" s="16" t="s">
        <v>2512</v>
      </c>
    </row>
    <row r="2006" ht="242.25" customHeight="1">
      <c r="A2006" s="32" t="b">
        <v>0</v>
      </c>
      <c r="B2006" s="32" t="str">
        <f>IMAGE("https://gymvisual.com/22263-catalog_default/dumbbell-step-back-lunge-and-row.jpg",4,500,500)</f>
        <v/>
      </c>
      <c r="C2006" s="30">
        <v>2005.0</v>
      </c>
      <c r="D2006" s="16" t="s">
        <v>2617</v>
      </c>
      <c r="E2006" s="16" t="s">
        <v>184</v>
      </c>
      <c r="F2006" s="16" t="s">
        <v>285</v>
      </c>
      <c r="G2006" s="16" t="s">
        <v>222</v>
      </c>
      <c r="H2006" s="16" t="s">
        <v>220</v>
      </c>
      <c r="I2006" s="16" t="s">
        <v>220</v>
      </c>
    </row>
    <row r="2007" ht="242.25" customHeight="1">
      <c r="A2007" s="32" t="b">
        <v>0</v>
      </c>
      <c r="B2007" s="32" t="str">
        <f>IMAGE("https://gymvisual.com/9577-catalog_default/dumbbell-step-up-female.jpg",4,500,500)</f>
        <v/>
      </c>
      <c r="C2007" s="30">
        <v>2006.0</v>
      </c>
      <c r="D2007" s="16" t="s">
        <v>2618</v>
      </c>
      <c r="E2007" s="16" t="s">
        <v>184</v>
      </c>
      <c r="F2007" s="16" t="s">
        <v>294</v>
      </c>
      <c r="G2007" s="16" t="s">
        <v>222</v>
      </c>
      <c r="H2007" s="16" t="s">
        <v>189</v>
      </c>
      <c r="I2007" s="16" t="s">
        <v>190</v>
      </c>
    </row>
    <row r="2008" ht="242.25" customHeight="1">
      <c r="A2008" s="32" t="b">
        <v>0</v>
      </c>
      <c r="B2008" s="32" t="str">
        <f>IMAGE("https://gymvisual.com/7157-catalog_default/dumbbell-step-up-single-leg-balance-with-bicep-curl.jpg",4,500,500)</f>
        <v/>
      </c>
      <c r="C2008" s="30">
        <v>2007.0</v>
      </c>
      <c r="D2008" s="16" t="s">
        <v>2619</v>
      </c>
      <c r="E2008" s="16" t="s">
        <v>184</v>
      </c>
      <c r="F2008" s="16" t="s">
        <v>219</v>
      </c>
      <c r="G2008" s="16" t="s">
        <v>222</v>
      </c>
      <c r="H2008" s="16" t="s">
        <v>220</v>
      </c>
      <c r="I2008" s="16" t="s">
        <v>220</v>
      </c>
    </row>
    <row r="2009" ht="242.25" customHeight="1">
      <c r="A2009" s="32" t="b">
        <v>0</v>
      </c>
      <c r="B2009" s="32" t="str">
        <f>IMAGE("https://gymvisual.com/1312-catalog_default/3-4-sit-up.jpg",4,500,500)</f>
        <v/>
      </c>
      <c r="C2009" s="30">
        <v>2008.0</v>
      </c>
      <c r="D2009" s="16" t="s">
        <v>2620</v>
      </c>
      <c r="E2009" s="16" t="s">
        <v>184</v>
      </c>
      <c r="F2009" s="16" t="s">
        <v>185</v>
      </c>
      <c r="G2009" s="16" t="s">
        <v>222</v>
      </c>
      <c r="H2009" s="16" t="s">
        <v>189</v>
      </c>
      <c r="I2009" s="16" t="s">
        <v>2046</v>
      </c>
    </row>
    <row r="2010" ht="242.25" customHeight="1">
      <c r="A2010" s="32" t="b">
        <v>0</v>
      </c>
      <c r="B2010" s="32" t="str">
        <f>IMAGE("https://gymvisual.com/22522-catalog_default/dumbbell-step-up-version-2.jpg",4,500,500)</f>
        <v/>
      </c>
      <c r="C2010" s="30">
        <v>2009.0</v>
      </c>
      <c r="D2010" s="16" t="s">
        <v>2621</v>
      </c>
      <c r="E2010" s="16" t="s">
        <v>184</v>
      </c>
      <c r="F2010" s="16" t="s">
        <v>285</v>
      </c>
      <c r="G2010" s="16" t="s">
        <v>222</v>
      </c>
      <c r="H2010" s="16" t="s">
        <v>220</v>
      </c>
      <c r="I2010" s="16" t="s">
        <v>220</v>
      </c>
    </row>
    <row r="2011" ht="242.25" customHeight="1">
      <c r="A2011" s="32" t="b">
        <v>0</v>
      </c>
      <c r="B2011" s="32" t="str">
        <f>IMAGE("https://gymvisual.com/11958-catalog_default/dumbbell-step-up-lunge.jpg",4,500,500)</f>
        <v/>
      </c>
      <c r="C2011" s="30">
        <v>2010.0</v>
      </c>
      <c r="D2011" s="16" t="s">
        <v>2622</v>
      </c>
      <c r="E2011" s="16" t="s">
        <v>184</v>
      </c>
      <c r="F2011" s="16" t="s">
        <v>285</v>
      </c>
      <c r="G2011" s="16" t="s">
        <v>222</v>
      </c>
      <c r="H2011" s="16" t="s">
        <v>220</v>
      </c>
      <c r="I2011" s="16" t="s">
        <v>220</v>
      </c>
    </row>
    <row r="2012" ht="242.25" customHeight="1">
      <c r="A2012" s="32" t="b">
        <v>0</v>
      </c>
      <c r="B2012" s="32" t="str">
        <f>IMAGE("https://gymvisual.com/11959-catalog_default/dumbbell-step-up-lunge-female.jpg",4,500,500)</f>
        <v/>
      </c>
      <c r="C2012" s="30">
        <v>2011.0</v>
      </c>
      <c r="D2012" s="16" t="s">
        <v>2623</v>
      </c>
      <c r="E2012" s="16" t="s">
        <v>184</v>
      </c>
      <c r="F2012" s="16" t="s">
        <v>285</v>
      </c>
      <c r="G2012" s="16" t="s">
        <v>222</v>
      </c>
      <c r="H2012" s="16" t="s">
        <v>220</v>
      </c>
      <c r="I2012" s="16" t="s">
        <v>220</v>
      </c>
    </row>
    <row r="2013" ht="242.25" customHeight="1">
      <c r="A2013" s="32" t="b">
        <v>0</v>
      </c>
      <c r="B2013" s="32" t="str">
        <f>IMAGE("https://gymvisual.com/11975-catalog_default/dumbbell-step-up-split-squat.jpg",4,500,500)</f>
        <v/>
      </c>
      <c r="C2013" s="30">
        <v>2012.0</v>
      </c>
      <c r="D2013" s="16" t="s">
        <v>2624</v>
      </c>
      <c r="E2013" s="16" t="s">
        <v>184</v>
      </c>
      <c r="F2013" s="16" t="s">
        <v>285</v>
      </c>
      <c r="G2013" s="16" t="s">
        <v>222</v>
      </c>
      <c r="H2013" s="16" t="s">
        <v>220</v>
      </c>
      <c r="I2013" s="16" t="s">
        <v>220</v>
      </c>
    </row>
    <row r="2014" ht="242.25" customHeight="1">
      <c r="A2014" s="32" t="b">
        <v>0</v>
      </c>
      <c r="B2014" s="32" t="str">
        <f>IMAGE("https://gymvisual.com/11976-catalog_default/dumbbell-step-up-split-squat-female.jpg",4,500,500)</f>
        <v/>
      </c>
      <c r="C2014" s="30">
        <v>2013.0</v>
      </c>
      <c r="D2014" s="16" t="s">
        <v>2625</v>
      </c>
      <c r="E2014" s="16" t="s">
        <v>184</v>
      </c>
      <c r="F2014" s="16" t="s">
        <v>285</v>
      </c>
      <c r="G2014" s="16" t="s">
        <v>222</v>
      </c>
      <c r="H2014" s="16" t="s">
        <v>220</v>
      </c>
      <c r="I2014" s="16" t="s">
        <v>220</v>
      </c>
    </row>
    <row r="2015" ht="242.25" customHeight="1">
      <c r="A2015" s="32" t="b">
        <v>0</v>
      </c>
      <c r="B2015" s="32" t="str">
        <f>IMAGE("https://gymvisual.com/22161-catalog_default/dumbbell-step-up-with-knee-raise.jpg",4,500,500)</f>
        <v/>
      </c>
      <c r="C2015" s="30">
        <v>2014.0</v>
      </c>
      <c r="D2015" s="16" t="s">
        <v>2626</v>
      </c>
      <c r="E2015" s="16" t="s">
        <v>184</v>
      </c>
      <c r="F2015" s="16" t="s">
        <v>185</v>
      </c>
      <c r="G2015" s="16" t="s">
        <v>222</v>
      </c>
      <c r="H2015" s="16" t="s">
        <v>189</v>
      </c>
      <c r="I2015" s="16" t="s">
        <v>190</v>
      </c>
    </row>
    <row r="2016" ht="242.25" customHeight="1">
      <c r="A2016" s="32" t="b">
        <v>0</v>
      </c>
      <c r="B2016" s="32" t="str">
        <f>IMAGE("https://gymvisual.com/1315-catalog_default/3-4-sit-up.jpg",4,500,500)</f>
        <v/>
      </c>
      <c r="C2016" s="30">
        <v>2015.0</v>
      </c>
      <c r="D2016" s="16" t="s">
        <v>2627</v>
      </c>
      <c r="E2016" s="16" t="s">
        <v>184</v>
      </c>
      <c r="F2016" s="16" t="s">
        <v>185</v>
      </c>
      <c r="G2016" s="16" t="s">
        <v>222</v>
      </c>
      <c r="H2016" s="16" t="s">
        <v>267</v>
      </c>
      <c r="I2016" s="16" t="s">
        <v>188</v>
      </c>
    </row>
    <row r="2017" ht="242.25" customHeight="1">
      <c r="A2017" s="32" t="b">
        <v>0</v>
      </c>
      <c r="B2017" s="32" t="str">
        <f>IMAGE("https://gymvisual.com/13630-catalog_default/dumbbell-stiff-leg-deadlift.jpg",4,500,500)</f>
        <v/>
      </c>
      <c r="C2017" s="30">
        <v>2016.0</v>
      </c>
      <c r="D2017" s="16" t="s">
        <v>2627</v>
      </c>
      <c r="E2017" s="16" t="s">
        <v>184</v>
      </c>
      <c r="F2017" s="16" t="s">
        <v>185</v>
      </c>
      <c r="G2017" s="16" t="s">
        <v>222</v>
      </c>
      <c r="H2017" s="16" t="s">
        <v>267</v>
      </c>
      <c r="I2017" s="16" t="s">
        <v>188</v>
      </c>
    </row>
    <row r="2018" ht="242.25" customHeight="1">
      <c r="A2018" s="32" t="b">
        <v>0</v>
      </c>
      <c r="B2018" s="32" t="str">
        <f>IMAGE("https://gymvisual.com/11438-catalog_default/dumbbell-stiff-leg-deadlift-female.jpg",4,500,500)</f>
        <v/>
      </c>
      <c r="C2018" s="30">
        <v>2017.0</v>
      </c>
      <c r="D2018" s="16" t="s">
        <v>2628</v>
      </c>
      <c r="E2018" s="16" t="s">
        <v>184</v>
      </c>
      <c r="F2018" s="16" t="s">
        <v>294</v>
      </c>
      <c r="G2018" s="16" t="s">
        <v>222</v>
      </c>
      <c r="H2018" s="16" t="s">
        <v>267</v>
      </c>
      <c r="I2018" s="16" t="s">
        <v>188</v>
      </c>
    </row>
    <row r="2019" ht="242.25" customHeight="1">
      <c r="A2019" s="32" t="b">
        <v>0</v>
      </c>
      <c r="B2019" s="32" t="str">
        <f>IMAGE("https://gymvisual.com/17132-catalog_default/dumbbell-stiff-leg-deadlift-female.jpg",4,500,500)</f>
        <v/>
      </c>
      <c r="C2019" s="30">
        <v>2018.0</v>
      </c>
      <c r="D2019" s="16" t="s">
        <v>2628</v>
      </c>
      <c r="E2019" s="16" t="s">
        <v>184</v>
      </c>
      <c r="F2019" s="16" t="s">
        <v>185</v>
      </c>
      <c r="G2019" s="16" t="s">
        <v>222</v>
      </c>
      <c r="H2019" s="16" t="s">
        <v>267</v>
      </c>
      <c r="I2019" s="16" t="s">
        <v>188</v>
      </c>
    </row>
    <row r="2020" ht="242.25" customHeight="1">
      <c r="A2020" s="32" t="b">
        <v>0</v>
      </c>
      <c r="B2020" s="32" t="str">
        <f>IMAGE("https://gymvisual.com/6803-catalog_default/dumbbell-stiff-leg-deadlift-on-bench.jpg",4,500,500)</f>
        <v/>
      </c>
      <c r="C2020" s="30">
        <v>2019.0</v>
      </c>
      <c r="D2020" s="16" t="s">
        <v>2629</v>
      </c>
      <c r="E2020" s="16" t="s">
        <v>184</v>
      </c>
      <c r="F2020" s="16" t="s">
        <v>185</v>
      </c>
      <c r="G2020" s="16" t="s">
        <v>222</v>
      </c>
      <c r="H2020" s="16" t="s">
        <v>220</v>
      </c>
      <c r="I2020" s="16" t="s">
        <v>220</v>
      </c>
    </row>
    <row r="2021" ht="242.25" customHeight="1">
      <c r="A2021" s="32" t="b">
        <v>0</v>
      </c>
      <c r="B2021" s="32" t="str">
        <f>IMAGE("https://gymvisual.com/22139-catalog_default/dumbbell-straight-arm-crunch.jpg",4,500,500)</f>
        <v/>
      </c>
      <c r="C2021" s="30">
        <v>2020.0</v>
      </c>
      <c r="D2021" s="16" t="s">
        <v>2630</v>
      </c>
      <c r="E2021" s="16" t="s">
        <v>184</v>
      </c>
      <c r="F2021" s="16" t="s">
        <v>254</v>
      </c>
      <c r="G2021" s="16" t="s">
        <v>222</v>
      </c>
      <c r="H2021" s="16" t="s">
        <v>256</v>
      </c>
      <c r="I2021" s="16" t="s">
        <v>257</v>
      </c>
    </row>
    <row r="2022" ht="242.25" customHeight="1">
      <c r="A2022" s="32" t="b">
        <v>0</v>
      </c>
      <c r="B2022" s="32" t="str">
        <f>IMAGE("https://gymvisual.com/12250-catalog_default/3-4-sit-up.jpg",4,500,500)</f>
        <v/>
      </c>
      <c r="C2022" s="30">
        <v>2021.0</v>
      </c>
      <c r="D2022" s="16" t="s">
        <v>2631</v>
      </c>
      <c r="E2022" s="16" t="s">
        <v>184</v>
      </c>
      <c r="F2022" s="16" t="s">
        <v>234</v>
      </c>
      <c r="G2022" s="16" t="s">
        <v>222</v>
      </c>
      <c r="H2022" s="16" t="s">
        <v>347</v>
      </c>
      <c r="I2022" s="16" t="s">
        <v>2222</v>
      </c>
    </row>
    <row r="2023" ht="242.25" customHeight="1">
      <c r="A2023" s="32" t="b">
        <v>0</v>
      </c>
      <c r="B2023" s="32" t="str">
        <f>IMAGE("https://gymvisual.com/9637-catalog_default/dumbbell-straight-arm-pullover-female.jpg",4,500,500)</f>
        <v/>
      </c>
      <c r="C2023" s="30">
        <v>2022.0</v>
      </c>
      <c r="D2023" s="16" t="s">
        <v>2632</v>
      </c>
      <c r="E2023" s="16" t="s">
        <v>184</v>
      </c>
      <c r="F2023" s="16" t="s">
        <v>192</v>
      </c>
      <c r="G2023" s="16" t="s">
        <v>222</v>
      </c>
      <c r="H2023" s="16" t="s">
        <v>347</v>
      </c>
      <c r="I2023" s="16" t="s">
        <v>2362</v>
      </c>
    </row>
    <row r="2024" ht="242.25" customHeight="1">
      <c r="A2024" s="32" t="b">
        <v>0</v>
      </c>
      <c r="B2024" s="32" t="str">
        <f>IMAGE("https://gymvisual.com/12748-catalog_default/dumbbell-straight-arm-pullover-knees-at-90-degrees.jpg",4,500,500)</f>
        <v/>
      </c>
      <c r="C2024" s="30">
        <v>2023.0</v>
      </c>
      <c r="D2024" s="16" t="s">
        <v>2633</v>
      </c>
      <c r="E2024" s="16" t="s">
        <v>184</v>
      </c>
      <c r="F2024" s="16" t="s">
        <v>234</v>
      </c>
      <c r="G2024" s="16" t="s">
        <v>222</v>
      </c>
      <c r="H2024" s="16" t="s">
        <v>347</v>
      </c>
      <c r="I2024" s="16" t="s">
        <v>2634</v>
      </c>
    </row>
    <row r="2025" ht="242.25" customHeight="1">
      <c r="B2025" s="32" t="str">
        <f>IMAGE("https://gymvisual.com/12838-catalog_default/dumbbell-straight-arm-pullover-with-hanging-band-technique.jpg",4,500,500)</f>
        <v/>
      </c>
      <c r="C2025" s="30">
        <v>2024.0</v>
      </c>
      <c r="D2025" s="16" t="s">
        <v>2635</v>
      </c>
      <c r="E2025" s="16" t="s">
        <v>184</v>
      </c>
      <c r="F2025" s="16" t="s">
        <v>234</v>
      </c>
      <c r="G2025" s="16" t="s">
        <v>222</v>
      </c>
      <c r="H2025" s="16" t="s">
        <v>347</v>
      </c>
      <c r="I2025" s="16" t="s">
        <v>2636</v>
      </c>
    </row>
    <row r="2026" ht="242.25" customHeight="1">
      <c r="A2026" s="32" t="b">
        <v>0</v>
      </c>
      <c r="B2026" s="32" t="str">
        <f>IMAGE("https://gymvisual.com/22756-catalog_default/dumbbell-straight-arm-twisting-sit-up.jpg",4,500,500)</f>
        <v/>
      </c>
      <c r="C2026" s="30">
        <v>2025.0</v>
      </c>
      <c r="D2026" s="16" t="s">
        <v>2637</v>
      </c>
      <c r="E2026" s="16" t="s">
        <v>184</v>
      </c>
      <c r="F2026" s="16" t="s">
        <v>254</v>
      </c>
      <c r="G2026" s="16" t="s">
        <v>222</v>
      </c>
      <c r="H2026" s="16" t="s">
        <v>257</v>
      </c>
      <c r="I2026" s="16" t="s">
        <v>256</v>
      </c>
    </row>
    <row r="2027" ht="242.25" customHeight="1">
      <c r="A2027" s="32" t="b">
        <v>0</v>
      </c>
      <c r="B2027" s="32" t="str">
        <f>IMAGE("https://gymvisual.com/24651-catalog_default/3-4-sit-up.jpg",4,500,500)</f>
        <v/>
      </c>
      <c r="C2027" s="30">
        <v>2026.0</v>
      </c>
      <c r="D2027" s="16" t="s">
        <v>2638</v>
      </c>
      <c r="E2027" s="16" t="s">
        <v>184</v>
      </c>
      <c r="F2027" s="16" t="s">
        <v>254</v>
      </c>
      <c r="G2027" s="16" t="s">
        <v>222</v>
      </c>
      <c r="H2027" s="16" t="s">
        <v>267</v>
      </c>
      <c r="I2027" s="16" t="s">
        <v>188</v>
      </c>
    </row>
    <row r="2028" ht="242.25" customHeight="1">
      <c r="A2028" s="32" t="b">
        <v>0</v>
      </c>
      <c r="B2028" s="32" t="str">
        <f>IMAGE("https://gymvisual.com/19606-catalog_default/dumbbell-straight-leg-russian-twist.jpg",4,500,500)</f>
        <v/>
      </c>
      <c r="C2028" s="30">
        <v>2027.0</v>
      </c>
      <c r="D2028" s="16" t="s">
        <v>2639</v>
      </c>
      <c r="E2028" s="16" t="s">
        <v>184</v>
      </c>
      <c r="F2028" s="16" t="s">
        <v>254</v>
      </c>
      <c r="G2028" s="16" t="s">
        <v>222</v>
      </c>
      <c r="H2028" s="16" t="s">
        <v>257</v>
      </c>
      <c r="I2028" s="16" t="s">
        <v>2640</v>
      </c>
    </row>
    <row r="2029" ht="242.25" customHeight="1">
      <c r="A2029" s="32" t="b">
        <v>0</v>
      </c>
      <c r="B2029" s="32" t="str">
        <f>IMAGE("https://gymvisual.com/22151-catalog_default/dumbbell-straight-legs-deadlift.jpg",4,500,500)</f>
        <v/>
      </c>
      <c r="C2029" s="30">
        <v>2028.0</v>
      </c>
      <c r="D2029" s="16" t="s">
        <v>2641</v>
      </c>
      <c r="E2029" s="16" t="s">
        <v>184</v>
      </c>
      <c r="F2029" s="16" t="s">
        <v>185</v>
      </c>
      <c r="G2029" s="16" t="s">
        <v>222</v>
      </c>
      <c r="H2029" s="16" t="s">
        <v>267</v>
      </c>
      <c r="I2029" s="16" t="s">
        <v>188</v>
      </c>
    </row>
    <row r="2030" ht="242.25" customHeight="1">
      <c r="A2030" s="32" t="b">
        <v>0</v>
      </c>
      <c r="B2030" s="32" t="str">
        <f>IMAGE("https://gymvisual.com/12172-catalog_default/dumbbell-suitcase-carry.jpg",4,500,500)</f>
        <v/>
      </c>
      <c r="C2030" s="30">
        <v>2029.0</v>
      </c>
      <c r="D2030" s="16" t="s">
        <v>2642</v>
      </c>
      <c r="E2030" s="16" t="s">
        <v>184</v>
      </c>
      <c r="F2030" s="16" t="s">
        <v>285</v>
      </c>
      <c r="G2030" s="16" t="s">
        <v>222</v>
      </c>
      <c r="H2030" s="16" t="s">
        <v>220</v>
      </c>
      <c r="I2030" s="16" t="s">
        <v>220</v>
      </c>
    </row>
    <row r="2031" ht="242.25" customHeight="1">
      <c r="A2031" s="32" t="b">
        <v>0</v>
      </c>
      <c r="B2031" s="32" t="str">
        <f>IMAGE("https://gymvisual.com/22265-catalog_default/dumbbell-sumo-deadlift-female.jpg",4,500,500)</f>
        <v/>
      </c>
      <c r="C2031" s="30">
        <v>2030.0</v>
      </c>
      <c r="D2031" s="16" t="s">
        <v>2643</v>
      </c>
      <c r="E2031" s="16" t="s">
        <v>184</v>
      </c>
      <c r="F2031" s="16" t="s">
        <v>185</v>
      </c>
      <c r="G2031" s="16" t="s">
        <v>222</v>
      </c>
      <c r="H2031" s="16" t="s">
        <v>220</v>
      </c>
      <c r="I2031" s="16" t="s">
        <v>220</v>
      </c>
    </row>
    <row r="2032" ht="242.25" customHeight="1">
      <c r="A2032" s="32" t="b">
        <v>0</v>
      </c>
      <c r="B2032" s="32" t="str">
        <f>IMAGE("https://gymvisual.com/11970-catalog_default/dumbbell-sumo-pull-through.jpg",4,500,500)</f>
        <v/>
      </c>
      <c r="C2032" s="30">
        <v>2031.0</v>
      </c>
      <c r="D2032" s="16" t="s">
        <v>2644</v>
      </c>
      <c r="E2032" s="16" t="s">
        <v>184</v>
      </c>
      <c r="F2032" s="16" t="s">
        <v>185</v>
      </c>
      <c r="G2032" s="16" t="s">
        <v>222</v>
      </c>
      <c r="H2032" s="16" t="s">
        <v>220</v>
      </c>
      <c r="I2032" s="16" t="s">
        <v>220</v>
      </c>
    </row>
    <row r="2033" ht="242.25" customHeight="1">
      <c r="A2033" s="32" t="b">
        <v>0</v>
      </c>
      <c r="B2033" s="32" t="str">
        <f>IMAGE("https://gymvisual.com/11971-catalog_default/dumbbell-sumo-pull-through-female.jpg",4,500,500)</f>
        <v/>
      </c>
      <c r="C2033" s="30">
        <v>2032.0</v>
      </c>
      <c r="D2033" s="16" t="s">
        <v>2645</v>
      </c>
      <c r="E2033" s="16" t="s">
        <v>184</v>
      </c>
      <c r="F2033" s="16" t="s">
        <v>185</v>
      </c>
      <c r="G2033" s="16" t="s">
        <v>222</v>
      </c>
      <c r="H2033" s="16" t="s">
        <v>1201</v>
      </c>
      <c r="I2033" s="16" t="s">
        <v>2646</v>
      </c>
    </row>
    <row r="2034" ht="242.25" customHeight="1">
      <c r="A2034" s="32" t="b">
        <v>0</v>
      </c>
      <c r="B2034" s="32" t="str">
        <f>IMAGE("https://gymvisual.com/1324-catalog_default/3-4-sit-up.jpg",4,500,500)</f>
        <v/>
      </c>
      <c r="C2034" s="30">
        <v>2033.0</v>
      </c>
      <c r="D2034" s="16" t="s">
        <v>2647</v>
      </c>
      <c r="E2034" s="16" t="s">
        <v>184</v>
      </c>
      <c r="F2034" s="16" t="s">
        <v>285</v>
      </c>
      <c r="G2034" s="16" t="s">
        <v>222</v>
      </c>
      <c r="H2034" s="16" t="s">
        <v>189</v>
      </c>
      <c r="I2034" s="16" t="s">
        <v>190</v>
      </c>
    </row>
    <row r="2035" ht="242.25" customHeight="1">
      <c r="A2035" s="32" t="b">
        <v>0</v>
      </c>
      <c r="B2035" s="32" t="str">
        <f>IMAGE("https://gymvisual.com/20656-catalog_default/dumbbell-sumo-squat-female.jpg",4,500,500)</f>
        <v/>
      </c>
      <c r="C2035" s="30">
        <v>2034.0</v>
      </c>
      <c r="D2035" s="16" t="s">
        <v>2648</v>
      </c>
      <c r="E2035" s="16" t="s">
        <v>184</v>
      </c>
      <c r="F2035" s="16" t="s">
        <v>285</v>
      </c>
      <c r="G2035" s="16" t="s">
        <v>222</v>
      </c>
      <c r="H2035" s="16" t="s">
        <v>189</v>
      </c>
      <c r="I2035" s="16" t="s">
        <v>1121</v>
      </c>
    </row>
    <row r="2036" ht="242.25" customHeight="1">
      <c r="A2036" s="32" t="b">
        <v>0</v>
      </c>
      <c r="B2036" s="32" t="str">
        <f>IMAGE("https://gymvisual.com/21113-catalog_default/dumbbell-sumo-squat-male.jpg",4,500,500)</f>
        <v/>
      </c>
      <c r="C2036" s="30">
        <v>2035.0</v>
      </c>
      <c r="D2036" s="16" t="s">
        <v>2649</v>
      </c>
      <c r="E2036" s="16" t="s">
        <v>184</v>
      </c>
      <c r="F2036" s="16" t="s">
        <v>294</v>
      </c>
      <c r="G2036" s="16" t="s">
        <v>222</v>
      </c>
      <c r="H2036" s="16" t="s">
        <v>220</v>
      </c>
      <c r="I2036" s="16" t="s">
        <v>220</v>
      </c>
    </row>
    <row r="2037" ht="242.25" customHeight="1">
      <c r="A2037" s="32" t="b">
        <v>0</v>
      </c>
      <c r="B2037" s="32" t="str">
        <f>IMAGE("https://gymvisual.com/10539-catalog_default/dumbbell-sumo-squat-off-benches-female.jpg",4,500,500)</f>
        <v/>
      </c>
      <c r="C2037" s="30">
        <v>2036.0</v>
      </c>
      <c r="D2037" s="16" t="s">
        <v>2650</v>
      </c>
      <c r="E2037" s="16" t="s">
        <v>184</v>
      </c>
      <c r="F2037" s="16" t="s">
        <v>185</v>
      </c>
      <c r="G2037" s="16" t="s">
        <v>222</v>
      </c>
      <c r="H2037" s="16" t="s">
        <v>189</v>
      </c>
      <c r="I2037" s="16" t="s">
        <v>1121</v>
      </c>
    </row>
    <row r="2038" ht="242.25" customHeight="1">
      <c r="A2038" s="32" t="b">
        <v>0</v>
      </c>
      <c r="B2038" s="32" t="str">
        <f>IMAGE("https://gymvisual.com/13930-catalog_default/dumbbell-superman.jpg",4,500,500)</f>
        <v/>
      </c>
      <c r="C2038" s="30">
        <v>2037.0</v>
      </c>
      <c r="D2038" s="16" t="s">
        <v>2651</v>
      </c>
      <c r="E2038" s="16" t="s">
        <v>184</v>
      </c>
      <c r="F2038" s="16" t="s">
        <v>185</v>
      </c>
      <c r="G2038" s="16" t="s">
        <v>222</v>
      </c>
      <c r="H2038" s="16" t="s">
        <v>267</v>
      </c>
      <c r="I2038" s="16" t="s">
        <v>188</v>
      </c>
    </row>
    <row r="2039" ht="242.25" customHeight="1">
      <c r="A2039" s="32" t="b">
        <v>0</v>
      </c>
      <c r="B2039" s="32" t="str">
        <f>IMAGE("https://gymvisual.com/13932-catalog_default/dumbbell-superman-female.jpg",4,500,500)</f>
        <v/>
      </c>
      <c r="C2039" s="30">
        <v>2038.0</v>
      </c>
      <c r="D2039" s="16" t="s">
        <v>2652</v>
      </c>
      <c r="E2039" s="16" t="s">
        <v>184</v>
      </c>
      <c r="F2039" s="16" t="s">
        <v>185</v>
      </c>
      <c r="G2039" s="16" t="s">
        <v>222</v>
      </c>
      <c r="H2039" s="16" t="s">
        <v>267</v>
      </c>
      <c r="I2039" s="16" t="s">
        <v>188</v>
      </c>
    </row>
    <row r="2040" ht="242.25" customHeight="1">
      <c r="A2040" s="32" t="b">
        <v>0</v>
      </c>
      <c r="B2040" s="32" t="str">
        <f>IMAGE("https://gymvisual.com/11967-catalog_default/dumbbell-supported-squat.jpg",4,500,500)</f>
        <v/>
      </c>
      <c r="C2040" s="30">
        <v>2039.0</v>
      </c>
      <c r="D2040" s="16" t="s">
        <v>2653</v>
      </c>
      <c r="E2040" s="16" t="s">
        <v>184</v>
      </c>
      <c r="F2040" s="16" t="s">
        <v>285</v>
      </c>
      <c r="G2040" s="16" t="s">
        <v>222</v>
      </c>
      <c r="H2040" s="16" t="s">
        <v>220</v>
      </c>
      <c r="I2040" s="16" t="s">
        <v>220</v>
      </c>
    </row>
    <row r="2041" ht="242.25" customHeight="1">
      <c r="A2041" s="32" t="b">
        <v>0</v>
      </c>
      <c r="B2041" s="32" t="str">
        <f>IMAGE("https://gymvisual.com/11966-catalog_default/dumbbell-supported-squat-female.jpg",4,500,500)</f>
        <v/>
      </c>
      <c r="C2041" s="30">
        <v>2040.0</v>
      </c>
      <c r="D2041" s="16" t="s">
        <v>2654</v>
      </c>
      <c r="E2041" s="16" t="s">
        <v>184</v>
      </c>
      <c r="F2041" s="16" t="s">
        <v>285</v>
      </c>
      <c r="G2041" s="16" t="s">
        <v>222</v>
      </c>
      <c r="H2041" s="16" t="s">
        <v>220</v>
      </c>
      <c r="I2041" s="16" t="s">
        <v>220</v>
      </c>
    </row>
    <row r="2042" ht="242.25" customHeight="1">
      <c r="A2042" s="32" t="b">
        <v>0</v>
      </c>
      <c r="B2042" s="32" t="str">
        <f>IMAGE("https://gymvisual.com/13926-catalog_default/dumbbell-svend-press.jpg",4,500,500)</f>
        <v/>
      </c>
      <c r="C2042" s="30">
        <v>2041.0</v>
      </c>
      <c r="D2042" s="16" t="s">
        <v>2655</v>
      </c>
      <c r="E2042" s="16" t="s">
        <v>184</v>
      </c>
      <c r="F2042" s="16" t="s">
        <v>234</v>
      </c>
      <c r="G2042" s="16" t="s">
        <v>222</v>
      </c>
      <c r="H2042" s="16" t="s">
        <v>235</v>
      </c>
      <c r="I2042" s="16" t="s">
        <v>243</v>
      </c>
    </row>
    <row r="2043" ht="242.25" customHeight="1">
      <c r="A2043" s="32" t="b">
        <v>0</v>
      </c>
      <c r="B2043" s="32" t="str">
        <f>IMAGE("https://gymvisual.com/13928-catalog_default/dumbbell-svend-press-female.jpg",4,500,500)</f>
        <v/>
      </c>
      <c r="C2043" s="30">
        <v>2042.0</v>
      </c>
      <c r="D2043" s="16" t="s">
        <v>2656</v>
      </c>
      <c r="E2043" s="16" t="s">
        <v>184</v>
      </c>
      <c r="F2043" s="16" t="s">
        <v>234</v>
      </c>
      <c r="G2043" s="16" t="s">
        <v>222</v>
      </c>
      <c r="H2043" s="16" t="s">
        <v>235</v>
      </c>
      <c r="I2043" s="16" t="s">
        <v>243</v>
      </c>
    </row>
    <row r="2044" ht="242.25" customHeight="1">
      <c r="A2044" s="32" t="b">
        <v>0</v>
      </c>
      <c r="B2044" s="32" t="str">
        <f>IMAGE("https://gymvisual.com/13699-catalog_default/dumbbell-swing.jpg",4,500,500)</f>
        <v/>
      </c>
      <c r="C2044" s="30">
        <v>2043.0</v>
      </c>
      <c r="D2044" s="16" t="s">
        <v>2657</v>
      </c>
      <c r="E2044" s="16" t="s">
        <v>184</v>
      </c>
      <c r="F2044" s="16" t="s">
        <v>691</v>
      </c>
      <c r="G2044" s="16" t="s">
        <v>222</v>
      </c>
      <c r="H2044" s="16" t="s">
        <v>2060</v>
      </c>
      <c r="I2044" s="16" t="s">
        <v>2061</v>
      </c>
    </row>
    <row r="2045" ht="242.25" customHeight="1">
      <c r="A2045" s="32" t="b">
        <v>0</v>
      </c>
      <c r="B2045" s="32" t="str">
        <f>IMAGE("https://gymvisual.com/13912-catalog_default/dumbbell-swing-female.jpg",4,500,500)</f>
        <v/>
      </c>
      <c r="C2045" s="30">
        <v>2044.0</v>
      </c>
      <c r="D2045" s="16" t="s">
        <v>2658</v>
      </c>
      <c r="E2045" s="16" t="s">
        <v>184</v>
      </c>
      <c r="F2045" s="16" t="s">
        <v>691</v>
      </c>
      <c r="G2045" s="16" t="s">
        <v>222</v>
      </c>
      <c r="H2045" s="16" t="s">
        <v>2412</v>
      </c>
      <c r="I2045" s="16" t="s">
        <v>2659</v>
      </c>
    </row>
    <row r="2046" ht="242.25" customHeight="1">
      <c r="A2046" s="32" t="b">
        <v>0</v>
      </c>
      <c r="B2046" s="32" t="str">
        <f>IMAGE("https://gymvisual.com/1327-catalog_default/3-4-sit-up.jpg",4,500,500)</f>
        <v/>
      </c>
      <c r="C2046" s="30">
        <v>2045.0</v>
      </c>
      <c r="D2046" s="16" t="s">
        <v>2660</v>
      </c>
      <c r="E2046" s="16" t="s">
        <v>184</v>
      </c>
      <c r="F2046" s="16" t="s">
        <v>219</v>
      </c>
      <c r="G2046" s="16" t="s">
        <v>222</v>
      </c>
      <c r="H2046" s="16" t="s">
        <v>223</v>
      </c>
      <c r="I2046" s="16" t="s">
        <v>229</v>
      </c>
    </row>
    <row r="2047" ht="242.25" customHeight="1">
      <c r="A2047" s="32" t="b">
        <v>0</v>
      </c>
      <c r="B2047" s="32" t="str">
        <f>IMAGE("https://gymvisual.com/20680-catalog_default/dumbbell-thruster.jpg",4,500,500)</f>
        <v/>
      </c>
      <c r="C2047" s="30">
        <v>2046.0</v>
      </c>
      <c r="D2047" s="16" t="s">
        <v>2661</v>
      </c>
      <c r="E2047" s="16" t="s">
        <v>184</v>
      </c>
      <c r="F2047" s="16" t="s">
        <v>691</v>
      </c>
      <c r="G2047" s="16" t="s">
        <v>222</v>
      </c>
      <c r="H2047" s="16" t="s">
        <v>793</v>
      </c>
      <c r="I2047" s="16" t="s">
        <v>2662</v>
      </c>
    </row>
    <row r="2048" ht="242.25" customHeight="1">
      <c r="A2048" s="32" t="b">
        <v>0</v>
      </c>
      <c r="B2048" s="32" t="str">
        <f>IMAGE("https://gymvisual.com/13281-catalog_default/dumbbell-thruster-female.jpg",4,500,500)</f>
        <v/>
      </c>
      <c r="C2048" s="30">
        <v>2047.0</v>
      </c>
      <c r="D2048" s="16" t="s">
        <v>2663</v>
      </c>
      <c r="E2048" s="16" t="s">
        <v>184</v>
      </c>
      <c r="F2048" s="16" t="s">
        <v>691</v>
      </c>
      <c r="G2048" s="16" t="s">
        <v>222</v>
      </c>
      <c r="H2048" s="16" t="s">
        <v>220</v>
      </c>
      <c r="I2048" s="16" t="s">
        <v>220</v>
      </c>
    </row>
    <row r="2049" ht="242.25" customHeight="1">
      <c r="A2049" s="32" t="b">
        <v>0</v>
      </c>
      <c r="B2049" s="32" t="str">
        <f>IMAGE("https://gymvisual.com/7461-catalog_default/dumbbell-tricep-kickback-with-stork-stance.jpg",4,500,500)</f>
        <v/>
      </c>
      <c r="C2049" s="30">
        <v>2048.0</v>
      </c>
      <c r="D2049" s="16" t="s">
        <v>2664</v>
      </c>
      <c r="E2049" s="16" t="s">
        <v>184</v>
      </c>
      <c r="F2049" s="16" t="s">
        <v>219</v>
      </c>
      <c r="G2049" s="16" t="s">
        <v>222</v>
      </c>
      <c r="H2049" s="16" t="s">
        <v>220</v>
      </c>
      <c r="I2049" s="16" t="s">
        <v>220</v>
      </c>
    </row>
    <row r="2050" ht="242.25" customHeight="1">
      <c r="A2050" s="32" t="b">
        <v>0</v>
      </c>
      <c r="B2050" s="32" t="str">
        <f>IMAGE("https://gymvisual.com/18756-catalog_default/dumbbell-twisted-fly.jpg",4,500,500)</f>
        <v/>
      </c>
      <c r="C2050" s="30">
        <v>2049.0</v>
      </c>
      <c r="D2050" s="16" t="s">
        <v>2665</v>
      </c>
      <c r="E2050" s="16" t="s">
        <v>184</v>
      </c>
      <c r="F2050" s="16" t="s">
        <v>234</v>
      </c>
      <c r="G2050" s="16" t="s">
        <v>222</v>
      </c>
      <c r="H2050" s="16" t="s">
        <v>220</v>
      </c>
      <c r="I2050" s="16" t="s">
        <v>220</v>
      </c>
    </row>
    <row r="2051" ht="242.25" customHeight="1">
      <c r="A2051" s="32" t="b">
        <v>0</v>
      </c>
      <c r="B2051" s="32" t="str">
        <f>IMAGE("https://gymvisual.com/7462-catalog_default/dumbbell-twisting-bench-press.jpg",4,500,500)</f>
        <v/>
      </c>
      <c r="C2051" s="30">
        <v>2050.0</v>
      </c>
      <c r="D2051" s="16" t="s">
        <v>2666</v>
      </c>
      <c r="E2051" s="16" t="s">
        <v>184</v>
      </c>
      <c r="F2051" s="16" t="s">
        <v>219</v>
      </c>
      <c r="G2051" s="16" t="s">
        <v>222</v>
      </c>
      <c r="H2051" s="16" t="s">
        <v>220</v>
      </c>
      <c r="I2051" s="16" t="s">
        <v>220</v>
      </c>
    </row>
    <row r="2052" ht="242.25" customHeight="1">
      <c r="A2052" s="32" t="b">
        <v>0</v>
      </c>
      <c r="B2052" s="32" t="str">
        <f>IMAGE("https://gymvisual.com/10028-catalog_default/dumbbell-two-arm-seated-hammer-curl-on-exercise-ball.jpg",4,500,500)</f>
        <v/>
      </c>
      <c r="C2052" s="30">
        <v>2051.0</v>
      </c>
      <c r="D2052" s="16" t="s">
        <v>2667</v>
      </c>
      <c r="E2052" s="16" t="s">
        <v>184</v>
      </c>
      <c r="F2052" s="16" t="s">
        <v>214</v>
      </c>
      <c r="G2052" s="16" t="s">
        <v>222</v>
      </c>
      <c r="H2052" s="16" t="s">
        <v>216</v>
      </c>
      <c r="I2052" s="16" t="s">
        <v>217</v>
      </c>
    </row>
    <row r="2053" ht="242.25" customHeight="1">
      <c r="A2053" s="32" t="b">
        <v>0</v>
      </c>
      <c r="B2053" s="32" t="str">
        <f>IMAGE("https://gymvisual.com/24822-catalog_default/3-4-sit-up.jpg",4,500,500)</f>
        <v/>
      </c>
      <c r="C2053" s="30">
        <v>2052.0</v>
      </c>
      <c r="D2053" s="16" t="s">
        <v>2668</v>
      </c>
      <c r="E2053" s="16" t="s">
        <v>184</v>
      </c>
      <c r="F2053" s="16" t="s">
        <v>228</v>
      </c>
      <c r="G2053" s="16" t="s">
        <v>222</v>
      </c>
      <c r="H2053" s="16" t="s">
        <v>544</v>
      </c>
      <c r="I2053" s="16" t="s">
        <v>713</v>
      </c>
    </row>
    <row r="2054" ht="242.25" customHeight="1">
      <c r="A2054" s="32" t="b">
        <v>0</v>
      </c>
      <c r="B2054" s="32" t="str">
        <f>IMAGE("https://gymvisual.com/7592-catalog_default/dumbbell-upright-row-back-pov.jpg",4,500,500)</f>
        <v/>
      </c>
      <c r="C2054" s="30">
        <v>2053.0</v>
      </c>
      <c r="D2054" s="16" t="s">
        <v>2669</v>
      </c>
      <c r="E2054" s="16" t="s">
        <v>184</v>
      </c>
      <c r="F2054" s="16" t="s">
        <v>228</v>
      </c>
      <c r="G2054" s="16" t="s">
        <v>222</v>
      </c>
      <c r="H2054" s="16" t="s">
        <v>220</v>
      </c>
      <c r="I2054" s="16" t="s">
        <v>220</v>
      </c>
    </row>
    <row r="2055" ht="242.25" customHeight="1">
      <c r="A2055" s="32" t="b">
        <v>0</v>
      </c>
      <c r="B2055" s="32" t="str">
        <f>IMAGE("https://gymvisual.com/13898-catalog_default/dumbbell-upright-row-female.jpg",4,500,500)</f>
        <v/>
      </c>
      <c r="C2055" s="30">
        <v>2054.0</v>
      </c>
      <c r="D2055" s="16" t="s">
        <v>2670</v>
      </c>
      <c r="E2055" s="16" t="s">
        <v>184</v>
      </c>
      <c r="F2055" s="16" t="s">
        <v>228</v>
      </c>
      <c r="G2055" s="16" t="s">
        <v>222</v>
      </c>
      <c r="H2055" s="16" t="s">
        <v>544</v>
      </c>
      <c r="I2055" s="16" t="s">
        <v>713</v>
      </c>
    </row>
    <row r="2056" ht="242.25" customHeight="1">
      <c r="A2056" s="32" t="b">
        <v>0</v>
      </c>
      <c r="B2056" s="32" t="str">
        <f>IMAGE("https://gymvisual.com/2631-catalog_default/dumbbell-upright-shoulder-external-rotation.jpg",4,500,500)</f>
        <v/>
      </c>
      <c r="C2056" s="30">
        <v>2055.0</v>
      </c>
      <c r="D2056" s="16" t="s">
        <v>2671</v>
      </c>
      <c r="E2056" s="16" t="s">
        <v>184</v>
      </c>
      <c r="F2056" s="16" t="s">
        <v>192</v>
      </c>
      <c r="G2056" s="16" t="s">
        <v>222</v>
      </c>
      <c r="H2056" s="16" t="s">
        <v>1607</v>
      </c>
      <c r="I2056" s="16" t="s">
        <v>220</v>
      </c>
    </row>
    <row r="2057" ht="242.25" customHeight="1">
      <c r="A2057" s="32" t="b">
        <v>0</v>
      </c>
      <c r="B2057" s="32" t="str">
        <f>IMAGE("https://gymvisual.com/13620-catalog_default/dumbbell-v-up.jpg",4,500,500)</f>
        <v/>
      </c>
      <c r="C2057" s="30">
        <v>2056.0</v>
      </c>
      <c r="D2057" s="16" t="s">
        <v>2672</v>
      </c>
      <c r="E2057" s="16" t="s">
        <v>184</v>
      </c>
      <c r="F2057" s="16" t="s">
        <v>254</v>
      </c>
      <c r="G2057" s="16" t="s">
        <v>222</v>
      </c>
      <c r="H2057" s="16" t="s">
        <v>305</v>
      </c>
      <c r="I2057" s="16" t="s">
        <v>319</v>
      </c>
    </row>
    <row r="2058" ht="242.25" customHeight="1">
      <c r="A2058" s="32" t="b">
        <v>0</v>
      </c>
      <c r="B2058" s="32" t="str">
        <f>IMAGE("https://gymvisual.com/13914-catalog_default/dumbbell-v-up-female.jpg",4,500,500)</f>
        <v/>
      </c>
      <c r="C2058" s="30">
        <v>2057.0</v>
      </c>
      <c r="D2058" s="16" t="s">
        <v>2673</v>
      </c>
      <c r="E2058" s="16" t="s">
        <v>184</v>
      </c>
      <c r="F2058" s="16" t="s">
        <v>310</v>
      </c>
      <c r="G2058" s="16" t="s">
        <v>222</v>
      </c>
      <c r="H2058" s="16" t="s">
        <v>305</v>
      </c>
      <c r="I2058" s="16" t="s">
        <v>600</v>
      </c>
    </row>
    <row r="2059" ht="242.25" customHeight="1">
      <c r="A2059" s="32" t="b">
        <v>0</v>
      </c>
      <c r="B2059" s="32" t="str">
        <f>IMAGE("https://gymvisual.com/22754-catalog_default/dumbbell-v-up-version-2.jpg",4,500,500)</f>
        <v/>
      </c>
      <c r="C2059" s="30">
        <v>2058.0</v>
      </c>
      <c r="D2059" s="16" t="s">
        <v>2674</v>
      </c>
      <c r="E2059" s="16" t="s">
        <v>184</v>
      </c>
      <c r="F2059" s="16" t="s">
        <v>254</v>
      </c>
      <c r="G2059" s="16" t="s">
        <v>222</v>
      </c>
      <c r="H2059" s="16" t="s">
        <v>305</v>
      </c>
      <c r="I2059" s="16" t="s">
        <v>600</v>
      </c>
    </row>
    <row r="2060" ht="242.25" customHeight="1">
      <c r="A2060" s="32" t="b">
        <v>0</v>
      </c>
      <c r="B2060" s="32" t="str">
        <f>IMAGE("https://gymvisual.com/13900-catalog_default/dumbbell-w-press-female.jpg",4,500,500)</f>
        <v/>
      </c>
      <c r="C2060" s="30">
        <v>2059.0</v>
      </c>
      <c r="D2060" s="16" t="s">
        <v>2675</v>
      </c>
      <c r="E2060" s="16" t="s">
        <v>184</v>
      </c>
      <c r="F2060" s="16" t="s">
        <v>228</v>
      </c>
      <c r="G2060" s="16" t="s">
        <v>222</v>
      </c>
      <c r="H2060" s="16" t="s">
        <v>220</v>
      </c>
      <c r="I2060" s="16" t="s">
        <v>220</v>
      </c>
    </row>
    <row r="2061" ht="242.25" customHeight="1">
      <c r="A2061" s="32" t="b">
        <v>0</v>
      </c>
      <c r="B2061" s="32" t="str">
        <f>IMAGE("https://gymvisual.com/14175-catalog_default/3-4-sit-up.jpg",4,500,500)</f>
        <v/>
      </c>
      <c r="C2061" s="30">
        <v>2060.0</v>
      </c>
      <c r="D2061" s="16" t="s">
        <v>2676</v>
      </c>
      <c r="E2061" s="16" t="s">
        <v>184</v>
      </c>
      <c r="F2061" s="16" t="s">
        <v>228</v>
      </c>
      <c r="G2061" s="16" t="s">
        <v>222</v>
      </c>
      <c r="H2061" s="16" t="s">
        <v>544</v>
      </c>
      <c r="I2061" s="16" t="s">
        <v>722</v>
      </c>
    </row>
    <row r="2062" ht="242.25" customHeight="1">
      <c r="A2062" s="32" t="b">
        <v>0</v>
      </c>
      <c r="B2062" s="32" t="str">
        <f>IMAGE("https://gymvisual.com/20395-catalog_default/dumbbell-waiter-biceps-curl.jpg",4,500,500)</f>
        <v/>
      </c>
      <c r="C2062" s="30">
        <v>2061.0</v>
      </c>
      <c r="D2062" s="16" t="s">
        <v>2677</v>
      </c>
      <c r="E2062" s="16" t="s">
        <v>184</v>
      </c>
      <c r="F2062" s="16" t="s">
        <v>219</v>
      </c>
      <c r="G2062" s="16" t="s">
        <v>222</v>
      </c>
      <c r="H2062" s="16" t="s">
        <v>241</v>
      </c>
      <c r="I2062" s="16" t="s">
        <v>292</v>
      </c>
    </row>
    <row r="2063" ht="242.25" customHeight="1">
      <c r="A2063" s="32" t="b">
        <v>0</v>
      </c>
      <c r="B2063" s="32" t="str">
        <f>IMAGE("https://gymvisual.com/25067-catalog_default/dumbbell-walking-calf-raise.jpg",4,500,500)</f>
        <v/>
      </c>
      <c r="C2063" s="30">
        <v>2062.0</v>
      </c>
      <c r="D2063" s="16" t="s">
        <v>2678</v>
      </c>
      <c r="E2063" s="16" t="s">
        <v>184</v>
      </c>
      <c r="F2063" s="16" t="s">
        <v>325</v>
      </c>
      <c r="G2063" s="16" t="s">
        <v>222</v>
      </c>
      <c r="H2063" s="16" t="s">
        <v>220</v>
      </c>
      <c r="I2063" s="16" t="s">
        <v>220</v>
      </c>
    </row>
    <row r="2064" ht="242.25" customHeight="1">
      <c r="A2064" s="32" t="b">
        <v>0</v>
      </c>
      <c r="B2064" s="32" t="str">
        <f>IMAGE("https://gymvisual.com/23593-catalog_default/dumbbell-walking-lunge-female.jpg",4,500,500)</f>
        <v/>
      </c>
      <c r="C2064" s="30">
        <v>2063.0</v>
      </c>
      <c r="D2064" s="16" t="s">
        <v>2679</v>
      </c>
      <c r="E2064" s="16" t="s">
        <v>184</v>
      </c>
      <c r="F2064" s="16" t="s">
        <v>285</v>
      </c>
      <c r="G2064" s="16" t="s">
        <v>222</v>
      </c>
      <c r="H2064" s="16" t="s">
        <v>189</v>
      </c>
      <c r="I2064" s="16" t="s">
        <v>190</v>
      </c>
    </row>
    <row r="2065" ht="242.25" customHeight="1">
      <c r="A2065" s="32" t="b">
        <v>0</v>
      </c>
      <c r="B2065" s="32" t="str">
        <f>IMAGE("https://gymvisual.com/6805-catalog_default/dumbbell-wall-squat.jpg",4,500,500)</f>
        <v/>
      </c>
      <c r="C2065" s="30">
        <v>2064.0</v>
      </c>
      <c r="D2065" s="16" t="s">
        <v>2680</v>
      </c>
      <c r="E2065" s="16" t="s">
        <v>184</v>
      </c>
      <c r="F2065" s="16" t="s">
        <v>285</v>
      </c>
      <c r="G2065" s="16" t="s">
        <v>222</v>
      </c>
      <c r="H2065" s="16" t="s">
        <v>220</v>
      </c>
      <c r="I2065" s="16" t="s">
        <v>220</v>
      </c>
    </row>
    <row r="2066" ht="242.25" customHeight="1">
      <c r="A2066" s="32" t="b">
        <v>0</v>
      </c>
      <c r="B2066" s="32" t="str">
        <f>IMAGE("https://gymvisual.com/21044-catalog_default/dumbbell-wood-chop-squat.jpg",4,500,500)</f>
        <v/>
      </c>
      <c r="C2066" s="30">
        <v>2065.0</v>
      </c>
      <c r="D2066" s="16" t="s">
        <v>2681</v>
      </c>
      <c r="E2066" s="16" t="s">
        <v>184</v>
      </c>
      <c r="F2066" s="16" t="s">
        <v>254</v>
      </c>
      <c r="G2066" s="16" t="s">
        <v>222</v>
      </c>
      <c r="H2066" s="16" t="s">
        <v>2682</v>
      </c>
      <c r="I2066" s="16" t="s">
        <v>2683</v>
      </c>
    </row>
    <row r="2067" ht="242.25" customHeight="1">
      <c r="A2067" s="32" t="b">
        <v>0</v>
      </c>
      <c r="B2067" s="32" t="str">
        <f>IMAGE("https://gymvisual.com/25013-catalog_default/dumbbell-z-press.jpg",4,500,500)</f>
        <v/>
      </c>
      <c r="C2067" s="30">
        <v>2066.0</v>
      </c>
      <c r="D2067" s="16" t="s">
        <v>2684</v>
      </c>
      <c r="E2067" s="16" t="s">
        <v>184</v>
      </c>
      <c r="F2067" s="16" t="s">
        <v>228</v>
      </c>
      <c r="G2067" s="16" t="s">
        <v>222</v>
      </c>
      <c r="H2067" s="16" t="s">
        <v>220</v>
      </c>
      <c r="I2067" s="16" t="s">
        <v>220</v>
      </c>
    </row>
    <row r="2068" ht="242.25" customHeight="1">
      <c r="A2068" s="32" t="b">
        <v>0</v>
      </c>
      <c r="B2068" s="32" t="str">
        <f>IMAGE("https://gymvisual.com/12243-catalog_default/3-4-sit-up.jpg",4,500,500)</f>
        <v/>
      </c>
      <c r="C2068" s="30">
        <v>2067.0</v>
      </c>
      <c r="D2068" s="16" t="s">
        <v>2685</v>
      </c>
      <c r="E2068" s="16" t="s">
        <v>184</v>
      </c>
      <c r="F2068" s="16" t="s">
        <v>219</v>
      </c>
      <c r="G2068" s="16" t="s">
        <v>222</v>
      </c>
      <c r="H2068" s="16" t="s">
        <v>241</v>
      </c>
      <c r="I2068" s="16" t="s">
        <v>292</v>
      </c>
    </row>
    <row r="2069" ht="242.25" customHeight="1">
      <c r="A2069" s="32" t="b">
        <v>0</v>
      </c>
      <c r="B2069" s="32" t="str">
        <f>IMAGE("https://gymvisual.com/9747-catalog_default/dumbbell-zottman-preacher-curl.jpg",4,500,500)</f>
        <v/>
      </c>
      <c r="C2069" s="30">
        <v>2068.0</v>
      </c>
      <c r="D2069" s="16" t="s">
        <v>2686</v>
      </c>
      <c r="E2069" s="16" t="s">
        <v>184</v>
      </c>
      <c r="F2069" s="16" t="s">
        <v>219</v>
      </c>
      <c r="G2069" s="16" t="s">
        <v>222</v>
      </c>
      <c r="H2069" s="16" t="s">
        <v>241</v>
      </c>
      <c r="I2069" s="16" t="s">
        <v>2305</v>
      </c>
    </row>
    <row r="2070" ht="242.25" customHeight="1">
      <c r="A2070" s="32" t="b">
        <v>0</v>
      </c>
      <c r="B2070" s="32" t="str">
        <f>IMAGE("https://gymvisual.com/22251-catalog_default/dumbbells-glute-bridge-female.jpg",4,500,500)</f>
        <v/>
      </c>
      <c r="C2070" s="30">
        <v>2069.0</v>
      </c>
      <c r="D2070" s="16" t="s">
        <v>2687</v>
      </c>
      <c r="E2070" s="16" t="s">
        <v>184</v>
      </c>
      <c r="F2070" s="16" t="s">
        <v>185</v>
      </c>
      <c r="G2070" s="16" t="s">
        <v>222</v>
      </c>
      <c r="H2070" s="16" t="s">
        <v>220</v>
      </c>
      <c r="I2070" s="16" t="s">
        <v>220</v>
      </c>
    </row>
    <row r="2071" ht="242.25" customHeight="1">
      <c r="A2071" s="32" t="b">
        <v>0</v>
      </c>
      <c r="B2071" s="32" t="str">
        <f>IMAGE("https://gymvisual.com/22424-catalog_default/dumbbells-glute-bridge-version-2-female.jpg",4,500,500)</f>
        <v/>
      </c>
      <c r="C2071" s="30">
        <v>2070.0</v>
      </c>
      <c r="D2071" s="16" t="s">
        <v>2688</v>
      </c>
      <c r="E2071" s="16" t="s">
        <v>184</v>
      </c>
      <c r="F2071" s="16" t="s">
        <v>185</v>
      </c>
      <c r="G2071" s="16" t="s">
        <v>222</v>
      </c>
      <c r="H2071" s="16" t="s">
        <v>220</v>
      </c>
      <c r="I2071" s="16" t="s">
        <v>220</v>
      </c>
    </row>
    <row r="2072" ht="242.25" customHeight="1">
      <c r="A2072" s="32" t="b">
        <v>0</v>
      </c>
      <c r="B2072" s="32" t="str">
        <f>IMAGE("https://gymvisual.com/8830-catalog_default/dumbbells-seated-triceps-extension.jpg",4,500,500)</f>
        <v/>
      </c>
      <c r="C2072" s="30">
        <v>2071.0</v>
      </c>
      <c r="D2072" s="16" t="s">
        <v>2689</v>
      </c>
      <c r="E2072" s="16" t="s">
        <v>184</v>
      </c>
      <c r="F2072" s="16" t="s">
        <v>219</v>
      </c>
      <c r="G2072" s="16" t="s">
        <v>222</v>
      </c>
      <c r="H2072" s="16" t="s">
        <v>223</v>
      </c>
      <c r="I2072" s="16" t="s">
        <v>220</v>
      </c>
    </row>
    <row r="2073" ht="242.25" customHeight="1">
      <c r="A2073" s="32" t="b">
        <v>0</v>
      </c>
      <c r="B2073" s="32" t="str">
        <f>IMAGE("https://gymvisual.com/10245-catalog_default/dumbbells-straight-arm-pullover-version-2-female.jpg",4,500,500)</f>
        <v/>
      </c>
      <c r="C2073" s="30">
        <v>2072.0</v>
      </c>
      <c r="D2073" s="16" t="s">
        <v>2690</v>
      </c>
      <c r="E2073" s="16" t="s">
        <v>184</v>
      </c>
      <c r="F2073" s="16" t="s">
        <v>234</v>
      </c>
      <c r="G2073" s="16" t="s">
        <v>222</v>
      </c>
      <c r="H2073" s="16" t="s">
        <v>347</v>
      </c>
      <c r="I2073" s="16" t="s">
        <v>2636</v>
      </c>
    </row>
    <row r="2074" ht="242.25" customHeight="1">
      <c r="A2074" s="32" t="b">
        <v>0</v>
      </c>
      <c r="B2074" s="32" t="str">
        <f>IMAGE("https://gymvisual.com/9829-catalog_default/dumbbells-sumo-squat-female.jpg",4,500,500)</f>
        <v/>
      </c>
      <c r="C2074" s="30">
        <v>2073.0</v>
      </c>
      <c r="D2074" s="16" t="s">
        <v>2691</v>
      </c>
      <c r="E2074" s="16" t="s">
        <v>184</v>
      </c>
      <c r="F2074" s="16" t="s">
        <v>285</v>
      </c>
      <c r="G2074" s="16" t="s">
        <v>222</v>
      </c>
      <c r="H2074" s="16" t="s">
        <v>189</v>
      </c>
      <c r="I2074" s="16" t="s">
        <v>1121</v>
      </c>
    </row>
    <row r="2075" ht="242.25" customHeight="1">
      <c r="A2075" s="32" t="b">
        <v>0</v>
      </c>
      <c r="B2075" s="32" t="str">
        <f>IMAGE("https://gymvisual.com/25659-catalog_default/dumbell-one-arm-side-lying-bench-press-male.jpg",4,500,500)</f>
        <v/>
      </c>
      <c r="C2075" s="30">
        <v>2074.0</v>
      </c>
      <c r="D2075" s="16" t="s">
        <v>2692</v>
      </c>
      <c r="E2075" s="16" t="s">
        <v>184</v>
      </c>
      <c r="F2075" s="16" t="s">
        <v>234</v>
      </c>
      <c r="G2075" s="16" t="s">
        <v>222</v>
      </c>
      <c r="H2075" s="16" t="s">
        <v>220</v>
      </c>
      <c r="I2075" s="16" t="s">
        <v>220</v>
      </c>
    </row>
    <row r="2076" ht="242.25" hidden="1" customHeight="1">
      <c r="B2076" s="32" t="str">
        <f>IMAGE("https://gymvisual.com/13511-catalog_default/elbow-dips.jpg",4,500,500)</f>
        <v/>
      </c>
      <c r="C2076" s="30">
        <v>2075.0</v>
      </c>
      <c r="D2076" s="16" t="s">
        <v>2693</v>
      </c>
      <c r="E2076" s="16" t="s">
        <v>184</v>
      </c>
      <c r="F2076" s="16" t="s">
        <v>219</v>
      </c>
      <c r="G2076" s="16" t="s">
        <v>255</v>
      </c>
      <c r="H2076" s="16" t="s">
        <v>223</v>
      </c>
      <c r="I2076" s="16" t="s">
        <v>1181</v>
      </c>
    </row>
    <row r="2077" ht="242.25" hidden="1" customHeight="1">
      <c r="B2077" s="32" t="str">
        <f>IMAGE("https://gymvisual.com/7615-catalog_default/elbow-lift-reverse-push-up.jpg",4,500,500)</f>
        <v/>
      </c>
      <c r="C2077" s="30">
        <v>2076.0</v>
      </c>
      <c r="D2077" s="16" t="s">
        <v>2694</v>
      </c>
      <c r="E2077" s="16" t="s">
        <v>184</v>
      </c>
      <c r="F2077" s="16" t="s">
        <v>192</v>
      </c>
      <c r="G2077" s="16" t="s">
        <v>255</v>
      </c>
      <c r="H2077" s="16" t="s">
        <v>329</v>
      </c>
      <c r="I2077" s="16" t="s">
        <v>408</v>
      </c>
    </row>
    <row r="2078" ht="242.25" hidden="1" customHeight="1">
      <c r="B2078" s="32" t="str">
        <f>IMAGE("https://gymvisual.com/23579-catalog_default/elbow-to-knee-side-plank-crunch-female.jpg",4,500,500)</f>
        <v/>
      </c>
      <c r="C2078" s="30">
        <v>2077.0</v>
      </c>
      <c r="D2078" s="16" t="s">
        <v>2695</v>
      </c>
      <c r="E2078" s="16" t="s">
        <v>184</v>
      </c>
      <c r="F2078" s="16" t="s">
        <v>254</v>
      </c>
      <c r="G2078" s="16" t="s">
        <v>255</v>
      </c>
      <c r="H2078" s="16" t="s">
        <v>2696</v>
      </c>
      <c r="I2078" s="16" t="s">
        <v>296</v>
      </c>
    </row>
    <row r="2079" ht="242.25" hidden="1" customHeight="1">
      <c r="B2079" s="32" t="str">
        <f>IMAGE("https://gymvisual.com/14022-catalog_default/elbow-to-knee-side-plank-crunch-male.jpg",4,500,500)</f>
        <v/>
      </c>
      <c r="C2079" s="30">
        <v>2078.0</v>
      </c>
      <c r="D2079" s="16" t="s">
        <v>2697</v>
      </c>
      <c r="E2079" s="16" t="s">
        <v>184</v>
      </c>
      <c r="F2079" s="16" t="s">
        <v>522</v>
      </c>
      <c r="G2079" s="16" t="s">
        <v>255</v>
      </c>
      <c r="H2079" s="16" t="s">
        <v>2698</v>
      </c>
      <c r="I2079" s="16" t="s">
        <v>296</v>
      </c>
    </row>
    <row r="2080" ht="242.25" hidden="1" customHeight="1">
      <c r="B2080" s="32" t="str">
        <f>IMAGE("https://gymvisual.com/13984-catalog_default/elbow-to-knee-sit-up.jpg",4,500,500)</f>
        <v/>
      </c>
      <c r="C2080" s="30">
        <v>2079.0</v>
      </c>
      <c r="D2080" s="16" t="s">
        <v>2699</v>
      </c>
      <c r="E2080" s="16" t="s">
        <v>184</v>
      </c>
      <c r="F2080" s="16" t="s">
        <v>254</v>
      </c>
      <c r="G2080" s="16" t="s">
        <v>255</v>
      </c>
      <c r="H2080" s="16" t="s">
        <v>257</v>
      </c>
      <c r="I2080" s="16" t="s">
        <v>256</v>
      </c>
    </row>
    <row r="2081" ht="242.25" hidden="1" customHeight="1">
      <c r="B2081" s="32" t="str">
        <f>IMAGE("https://gymvisual.com/13297-catalog_default/elbow-up-and-down-dynamic-plank.jpg",4,500,500)</f>
        <v/>
      </c>
      <c r="C2081" s="30">
        <v>2080.0</v>
      </c>
      <c r="D2081" s="16" t="s">
        <v>2700</v>
      </c>
      <c r="E2081" s="16" t="s">
        <v>184</v>
      </c>
      <c r="F2081" s="16" t="s">
        <v>1894</v>
      </c>
      <c r="G2081" s="16" t="s">
        <v>255</v>
      </c>
      <c r="H2081" s="16" t="s">
        <v>2701</v>
      </c>
      <c r="I2081" s="16" t="s">
        <v>2702</v>
      </c>
    </row>
    <row r="2082" ht="242.25" hidden="1" customHeight="1">
      <c r="B2082" s="32" t="str">
        <f>IMAGE("https://gymvisual.com/13299-catalog_default/elbow-up-and-down-dynamic-plank-female.jpg",4,500,500)</f>
        <v/>
      </c>
      <c r="C2082" s="30">
        <v>2081.0</v>
      </c>
      <c r="D2082" s="16" t="s">
        <v>2703</v>
      </c>
      <c r="E2082" s="16" t="s">
        <v>184</v>
      </c>
      <c r="F2082" s="16" t="s">
        <v>1894</v>
      </c>
      <c r="G2082" s="16" t="s">
        <v>255</v>
      </c>
      <c r="H2082" s="16" t="s">
        <v>2701</v>
      </c>
      <c r="I2082" s="16" t="s">
        <v>2702</v>
      </c>
    </row>
    <row r="2083" ht="242.25" hidden="1" customHeight="1">
      <c r="B2083" s="32" t="str">
        <f>IMAGE("https://gymvisual.com/1347-catalog_default/3-4-sit-up.jpg",4,500,500)</f>
        <v/>
      </c>
      <c r="C2083" s="30">
        <v>2082.0</v>
      </c>
      <c r="D2083" s="16" t="s">
        <v>2704</v>
      </c>
      <c r="E2083" s="16" t="s">
        <v>184</v>
      </c>
      <c r="F2083" s="16" t="s">
        <v>254</v>
      </c>
      <c r="G2083" s="16" t="s">
        <v>255</v>
      </c>
      <c r="H2083" s="16" t="s">
        <v>260</v>
      </c>
      <c r="I2083" s="16" t="s">
        <v>1332</v>
      </c>
    </row>
    <row r="2084" ht="242.25" hidden="1" customHeight="1">
      <c r="B2084" s="32" t="str">
        <f>IMAGE("https://gymvisual.com/14084-catalog_default/elevanted-inverted-row-between-3-chairs.jpg",4,500,500)</f>
        <v/>
      </c>
      <c r="C2084" s="30">
        <v>2083.0</v>
      </c>
      <c r="D2084" s="16" t="s">
        <v>2705</v>
      </c>
      <c r="E2084" s="16" t="s">
        <v>184</v>
      </c>
      <c r="F2084" s="16" t="s">
        <v>192</v>
      </c>
      <c r="G2084" s="16" t="s">
        <v>255</v>
      </c>
      <c r="H2084" s="16" t="s">
        <v>329</v>
      </c>
      <c r="I2084" s="16" t="s">
        <v>447</v>
      </c>
    </row>
    <row r="2085" ht="242.25" hidden="1" customHeight="1">
      <c r="B2085" s="32" t="str">
        <f>IMAGE("https://gymvisual.com/14086-catalog_default/elevanted-inverted-underhand-grip-row-between-3-chairs.jpg",4,500,500)</f>
        <v/>
      </c>
      <c r="C2085" s="30">
        <v>2084.0</v>
      </c>
      <c r="D2085" s="16" t="s">
        <v>2706</v>
      </c>
      <c r="E2085" s="16" t="s">
        <v>184</v>
      </c>
      <c r="F2085" s="16" t="s">
        <v>192</v>
      </c>
      <c r="G2085" s="16" t="s">
        <v>255</v>
      </c>
      <c r="H2085" s="16" t="s">
        <v>329</v>
      </c>
      <c r="I2085" s="16" t="s">
        <v>357</v>
      </c>
    </row>
    <row r="2086" ht="242.25" hidden="1" customHeight="1">
      <c r="B2086" s="32" t="str">
        <f>IMAGE("https://gymvisual.com/17699-catalog_default/elevanted-push-up.jpg",4,500,500)</f>
        <v/>
      </c>
      <c r="C2086" s="30">
        <v>2085.0</v>
      </c>
      <c r="D2086" s="16" t="s">
        <v>2707</v>
      </c>
      <c r="E2086" s="16" t="s">
        <v>184</v>
      </c>
      <c r="F2086" s="16" t="s">
        <v>234</v>
      </c>
      <c r="G2086" s="16" t="s">
        <v>255</v>
      </c>
      <c r="H2086" s="16" t="s">
        <v>235</v>
      </c>
      <c r="I2086" s="16" t="s">
        <v>243</v>
      </c>
    </row>
    <row r="2087" ht="242.25" hidden="1" customHeight="1">
      <c r="B2087" s="32" t="str">
        <f>IMAGE("https://gymvisual.com/22448-catalog_default/elevated-seated-calf-raise.jpg",4,500,500)</f>
        <v/>
      </c>
      <c r="C2087" s="30">
        <v>2086.0</v>
      </c>
      <c r="D2087" s="16" t="s">
        <v>2708</v>
      </c>
      <c r="E2087" s="16" t="s">
        <v>184</v>
      </c>
      <c r="F2087" s="16" t="s">
        <v>325</v>
      </c>
      <c r="G2087" s="16" t="s">
        <v>255</v>
      </c>
      <c r="H2087" s="16" t="s">
        <v>220</v>
      </c>
      <c r="I2087" s="16" t="s">
        <v>220</v>
      </c>
    </row>
    <row r="2088" ht="242.25" hidden="1" customHeight="1">
      <c r="B2088" s="32" t="str">
        <f>IMAGE("https://gymvisual.com/20982-catalog_default/elevated-side-lunge.jpg",4,500,500)</f>
        <v/>
      </c>
      <c r="C2088" s="30">
        <v>2087.0</v>
      </c>
      <c r="D2088" s="16" t="s">
        <v>2709</v>
      </c>
      <c r="E2088" s="16" t="s">
        <v>184</v>
      </c>
      <c r="F2088" s="16" t="s">
        <v>294</v>
      </c>
      <c r="G2088" s="16" t="s">
        <v>255</v>
      </c>
      <c r="H2088" s="16" t="s">
        <v>295</v>
      </c>
      <c r="I2088" s="16" t="s">
        <v>2522</v>
      </c>
    </row>
    <row r="2089" ht="242.25" hidden="1" customHeight="1">
      <c r="B2089" s="32" t="str">
        <f>IMAGE("https://gymvisual.com/22452-catalog_default/elevated-single-leg-hip-thrust-female.jpg",4,500,500)</f>
        <v/>
      </c>
      <c r="C2089" s="30">
        <v>2088.0</v>
      </c>
      <c r="D2089" s="16" t="s">
        <v>2710</v>
      </c>
      <c r="E2089" s="16" t="s">
        <v>184</v>
      </c>
      <c r="F2089" s="16" t="s">
        <v>185</v>
      </c>
      <c r="G2089" s="16" t="s">
        <v>255</v>
      </c>
      <c r="H2089" s="16" t="s">
        <v>220</v>
      </c>
      <c r="I2089" s="16" t="s">
        <v>220</v>
      </c>
    </row>
    <row r="2090" ht="242.25" hidden="1" customHeight="1">
      <c r="B2090" s="32" t="str">
        <f>IMAGE("https://gymvisual.com/22432-catalog_default/elevated-single-leg-squat.jpg",4,500,500)</f>
        <v/>
      </c>
      <c r="C2090" s="30">
        <v>2089.0</v>
      </c>
      <c r="D2090" s="16" t="s">
        <v>2711</v>
      </c>
      <c r="E2090" s="16" t="s">
        <v>184</v>
      </c>
      <c r="F2090" s="16" t="s">
        <v>285</v>
      </c>
      <c r="G2090" s="16" t="s">
        <v>255</v>
      </c>
      <c r="H2090" s="16" t="s">
        <v>220</v>
      </c>
      <c r="I2090" s="16" t="s">
        <v>220</v>
      </c>
    </row>
    <row r="2091" ht="242.25" hidden="1" customHeight="1">
      <c r="B2091" s="32" t="str">
        <f>IMAGE("https://gymvisual.com/22267-catalog_default/elevated-standing-calf-raise.jpg",4,500,500)</f>
        <v/>
      </c>
      <c r="C2091" s="30">
        <v>2090.0</v>
      </c>
      <c r="D2091" s="16" t="s">
        <v>2712</v>
      </c>
      <c r="E2091" s="16" t="s">
        <v>184</v>
      </c>
      <c r="F2091" s="16" t="s">
        <v>325</v>
      </c>
      <c r="G2091" s="16" t="s">
        <v>255</v>
      </c>
      <c r="H2091" s="16" t="s">
        <v>220</v>
      </c>
      <c r="I2091" s="16" t="s">
        <v>220</v>
      </c>
    </row>
    <row r="2092" ht="242.25" hidden="1" customHeight="1">
      <c r="B2092" s="32" t="str">
        <f>IMAGE("https://gymvisual.com/24059-catalog_default/elevated-standing-calf-raise.jpg",4,500,500)</f>
        <v/>
      </c>
      <c r="C2092" s="30">
        <v>2091.0</v>
      </c>
      <c r="D2092" s="16" t="s">
        <v>2712</v>
      </c>
      <c r="E2092" s="16" t="s">
        <v>184</v>
      </c>
      <c r="F2092" s="16" t="s">
        <v>325</v>
      </c>
      <c r="G2092" s="16" t="s">
        <v>255</v>
      </c>
      <c r="H2092" s="16" t="s">
        <v>220</v>
      </c>
      <c r="I2092" s="16" t="s">
        <v>220</v>
      </c>
    </row>
    <row r="2093" ht="242.25" hidden="1" customHeight="1">
      <c r="B2093" s="32" t="str">
        <f>IMAGE("https://gymvisual.com/22269-catalog_default/elevated-standing-single-leg-calf-raise.jpg",4,500,500)</f>
        <v/>
      </c>
      <c r="C2093" s="30">
        <v>2092.0</v>
      </c>
      <c r="D2093" s="16" t="s">
        <v>2713</v>
      </c>
      <c r="E2093" s="16" t="s">
        <v>184</v>
      </c>
      <c r="F2093" s="16" t="s">
        <v>325</v>
      </c>
      <c r="G2093" s="16" t="s">
        <v>255</v>
      </c>
      <c r="H2093" s="16" t="s">
        <v>220</v>
      </c>
      <c r="I2093" s="16" t="s">
        <v>220</v>
      </c>
    </row>
    <row r="2094" ht="242.25" hidden="1" customHeight="1">
      <c r="B2094" s="32" t="str">
        <f>IMAGE("https://gymvisual.com/13521-catalog_default/elevator.jpg",4,500,500)</f>
        <v/>
      </c>
      <c r="C2094" s="30">
        <v>2093.0</v>
      </c>
      <c r="D2094" s="16" t="s">
        <v>2714</v>
      </c>
      <c r="E2094" s="16" t="s">
        <v>184</v>
      </c>
      <c r="F2094" s="16" t="s">
        <v>192</v>
      </c>
      <c r="G2094" s="16" t="s">
        <v>255</v>
      </c>
      <c r="H2094" s="16" t="s">
        <v>220</v>
      </c>
      <c r="I2094" s="16" t="s">
        <v>220</v>
      </c>
    </row>
    <row r="2095" ht="242.25" customHeight="1">
      <c r="B2095" s="32" t="str">
        <f>IMAGE("https://gymvisual.com/6023-catalog_default/exercise-ball-alternating-arm-ups.jpg",4,500,500)</f>
        <v/>
      </c>
      <c r="C2095" s="30">
        <v>2094.0</v>
      </c>
      <c r="D2095" s="16" t="s">
        <v>2715</v>
      </c>
      <c r="E2095" s="16" t="s">
        <v>184</v>
      </c>
      <c r="F2095" s="16" t="s">
        <v>192</v>
      </c>
      <c r="G2095" s="16" t="s">
        <v>399</v>
      </c>
      <c r="H2095" s="16" t="s">
        <v>300</v>
      </c>
      <c r="I2095" s="16" t="s">
        <v>2716</v>
      </c>
    </row>
    <row r="2096" ht="242.25" customHeight="1">
      <c r="B2096" s="32" t="str">
        <f>IMAGE("https://gymvisual.com/6024-catalog_default/exercise-ball-back-extension-with-arms-extended.jpg",4,500,500)</f>
        <v/>
      </c>
      <c r="C2096" s="30">
        <v>2095.0</v>
      </c>
      <c r="D2096" s="16" t="s">
        <v>2717</v>
      </c>
      <c r="E2096" s="16" t="s">
        <v>184</v>
      </c>
      <c r="F2096" s="16" t="s">
        <v>192</v>
      </c>
      <c r="G2096" s="16" t="s">
        <v>399</v>
      </c>
      <c r="H2096" s="16" t="s">
        <v>275</v>
      </c>
      <c r="I2096" s="16" t="s">
        <v>187</v>
      </c>
    </row>
    <row r="2097" ht="242.25" customHeight="1">
      <c r="B2097" s="32" t="str">
        <f>IMAGE("https://gymvisual.com/6025-catalog_default/exercise-ball-back-extension-with-hands-behind-head.jpg",4,500,500)</f>
        <v/>
      </c>
      <c r="C2097" s="30">
        <v>2096.0</v>
      </c>
      <c r="D2097" s="16" t="s">
        <v>2718</v>
      </c>
      <c r="E2097" s="16" t="s">
        <v>184</v>
      </c>
      <c r="F2097" s="16" t="s">
        <v>192</v>
      </c>
      <c r="G2097" s="16" t="s">
        <v>399</v>
      </c>
      <c r="H2097" s="16" t="s">
        <v>275</v>
      </c>
      <c r="I2097" s="16" t="s">
        <v>187</v>
      </c>
    </row>
    <row r="2098" ht="242.25" customHeight="1">
      <c r="B2098" s="32" t="str">
        <f>IMAGE("https://gymvisual.com/12060-catalog_default/exercise-ball-back-extension-with-hands-behind-head-female.jpg",4,500,500)</f>
        <v/>
      </c>
      <c r="C2098" s="30">
        <v>2097.0</v>
      </c>
      <c r="D2098" s="16" t="s">
        <v>2719</v>
      </c>
      <c r="E2098" s="16" t="s">
        <v>184</v>
      </c>
      <c r="F2098" s="16" t="s">
        <v>192</v>
      </c>
      <c r="G2098" s="16" t="s">
        <v>399</v>
      </c>
      <c r="H2098" s="16" t="s">
        <v>275</v>
      </c>
      <c r="I2098" s="16" t="s">
        <v>187</v>
      </c>
    </row>
    <row r="2099" ht="242.25" customHeight="1">
      <c r="B2099" s="32" t="str">
        <f>IMAGE("https://gymvisual.com/6026-catalog_default/exercise-ball-back-extension-with-knees-off-ground.jpg",4,500,500)</f>
        <v/>
      </c>
      <c r="C2099" s="30">
        <v>2098.0</v>
      </c>
      <c r="D2099" s="16" t="s">
        <v>2720</v>
      </c>
      <c r="E2099" s="16" t="s">
        <v>184</v>
      </c>
      <c r="F2099" s="16" t="s">
        <v>192</v>
      </c>
      <c r="G2099" s="16" t="s">
        <v>399</v>
      </c>
      <c r="H2099" s="16" t="s">
        <v>275</v>
      </c>
      <c r="I2099" s="16" t="s">
        <v>187</v>
      </c>
    </row>
    <row r="2100" ht="242.25" customHeight="1">
      <c r="B2100" s="32" t="str">
        <f>IMAGE("https://gymvisual.com/6027-catalog_default/exercise-ball-back-extension-with-rotation.jpg",4,500,500)</f>
        <v/>
      </c>
      <c r="C2100" s="30">
        <v>2099.0</v>
      </c>
      <c r="D2100" s="16" t="s">
        <v>2721</v>
      </c>
      <c r="E2100" s="16" t="s">
        <v>184</v>
      </c>
      <c r="F2100" s="16" t="s">
        <v>192</v>
      </c>
      <c r="G2100" s="16" t="s">
        <v>399</v>
      </c>
      <c r="H2100" s="16" t="s">
        <v>275</v>
      </c>
      <c r="I2100" s="16" t="s">
        <v>2722</v>
      </c>
    </row>
    <row r="2101" ht="242.25" customHeight="1">
      <c r="B2101" s="32" t="str">
        <f>IMAGE("https://gymvisual.com/17721-catalog_default/exercise-ball-body-saw.jpg",4,500,500)</f>
        <v/>
      </c>
      <c r="C2101" s="30">
        <v>2100.0</v>
      </c>
      <c r="D2101" s="16" t="s">
        <v>2723</v>
      </c>
      <c r="E2101" s="16" t="s">
        <v>184</v>
      </c>
      <c r="F2101" s="16" t="s">
        <v>254</v>
      </c>
      <c r="G2101" s="16" t="s">
        <v>399</v>
      </c>
      <c r="H2101" s="16" t="s">
        <v>220</v>
      </c>
      <c r="I2101" s="16" t="s">
        <v>220</v>
      </c>
    </row>
    <row r="2102" ht="242.25" customHeight="1">
      <c r="B2102" s="32" t="str">
        <f>IMAGE("https://gymvisual.com/7463-catalog_default/exercise-ball-dip.jpg",4,500,500)</f>
        <v/>
      </c>
      <c r="C2102" s="30">
        <v>2101.0</v>
      </c>
      <c r="D2102" s="16" t="s">
        <v>2724</v>
      </c>
      <c r="E2102" s="16" t="s">
        <v>184</v>
      </c>
      <c r="F2102" s="16" t="s">
        <v>219</v>
      </c>
      <c r="G2102" s="16" t="s">
        <v>399</v>
      </c>
      <c r="H2102" s="16" t="s">
        <v>220</v>
      </c>
      <c r="I2102" s="16" t="s">
        <v>220</v>
      </c>
    </row>
    <row r="2103" ht="242.25" customHeight="1">
      <c r="B2103" s="32" t="str">
        <f>IMAGE("https://gymvisual.com/10611-catalog_default/exercise-ball-frog-crunch-female.jpg",4,500,500)</f>
        <v/>
      </c>
      <c r="C2103" s="30">
        <v>2102.0</v>
      </c>
      <c r="D2103" s="16" t="s">
        <v>2725</v>
      </c>
      <c r="E2103" s="16" t="s">
        <v>184</v>
      </c>
      <c r="F2103" s="16" t="s">
        <v>254</v>
      </c>
      <c r="G2103" s="16" t="s">
        <v>399</v>
      </c>
      <c r="H2103" s="16" t="s">
        <v>256</v>
      </c>
      <c r="I2103" s="16" t="s">
        <v>317</v>
      </c>
    </row>
    <row r="2104" ht="242.25" customHeight="1">
      <c r="B2104" s="32" t="str">
        <f>IMAGE("https://gymvisual.com/22847-catalog_default/exercise-ball-leg-curl.jpg",4,500,500)</f>
        <v/>
      </c>
      <c r="C2104" s="30">
        <v>2103.0</v>
      </c>
      <c r="D2104" s="16" t="s">
        <v>2726</v>
      </c>
      <c r="E2104" s="16" t="s">
        <v>184</v>
      </c>
      <c r="F2104" s="16" t="s">
        <v>285</v>
      </c>
      <c r="G2104" s="16" t="s">
        <v>399</v>
      </c>
      <c r="H2104" s="16" t="s">
        <v>188</v>
      </c>
      <c r="I2104" s="16" t="s">
        <v>665</v>
      </c>
    </row>
    <row r="2105" ht="242.25" customHeight="1">
      <c r="A2105" s="32" t="b">
        <v>0</v>
      </c>
      <c r="B2105" s="32" t="str">
        <f>IMAGE("https://gymvisual.com/6079-catalog_default/exercise-ball-on-the-wall-calf-raise.jpg",4,500,500)</f>
        <v/>
      </c>
      <c r="C2105" s="30">
        <v>2104.0</v>
      </c>
      <c r="D2105" s="16" t="s">
        <v>2727</v>
      </c>
      <c r="E2105" s="16" t="s">
        <v>184</v>
      </c>
      <c r="F2105" s="16" t="s">
        <v>325</v>
      </c>
      <c r="G2105" s="16" t="s">
        <v>222</v>
      </c>
      <c r="H2105" s="16" t="s">
        <v>368</v>
      </c>
      <c r="I2105" s="16" t="s">
        <v>463</v>
      </c>
    </row>
    <row r="2106" ht="242.25" customHeight="1">
      <c r="A2106" s="32" t="b">
        <v>0</v>
      </c>
      <c r="B2106" s="32" t="str">
        <f>IMAGE("https://gymvisual.com/13507-catalog_default/exercise-ball-on-the-wall-calf-raise-tennis-ball-between-ankles.jpg",4,500,500)</f>
        <v/>
      </c>
      <c r="C2106" s="30">
        <v>2105.0</v>
      </c>
      <c r="D2106" s="16" t="s">
        <v>2728</v>
      </c>
      <c r="E2106" s="16" t="s">
        <v>184</v>
      </c>
      <c r="F2106" s="16" t="s">
        <v>325</v>
      </c>
      <c r="G2106" s="16" t="s">
        <v>222</v>
      </c>
      <c r="H2106" s="16" t="s">
        <v>368</v>
      </c>
      <c r="I2106" s="16" t="s">
        <v>463</v>
      </c>
    </row>
    <row r="2107" ht="242.25" customHeight="1">
      <c r="A2107" s="32" t="b">
        <v>0</v>
      </c>
      <c r="B2107" s="32" t="str">
        <f>IMAGE("https://gymvisual.com/13505-catalog_default/exercise-ball-on-the-wall-calf-raise-tennis-ball-between-knees.jpg",4,500,500)</f>
        <v/>
      </c>
      <c r="C2107" s="30">
        <v>2106.0</v>
      </c>
      <c r="D2107" s="16" t="s">
        <v>2729</v>
      </c>
      <c r="E2107" s="16" t="s">
        <v>184</v>
      </c>
      <c r="F2107" s="16" t="s">
        <v>325</v>
      </c>
      <c r="G2107" s="16" t="s">
        <v>222</v>
      </c>
      <c r="H2107" s="16" t="s">
        <v>368</v>
      </c>
      <c r="I2107" s="16" t="s">
        <v>463</v>
      </c>
    </row>
    <row r="2108" ht="242.25" customHeight="1">
      <c r="B2108" s="32" t="str">
        <f>IMAGE("https://gymvisual.com/6268-catalog_default/exercise-ball-one-leg-prone-lower-body-rotation.jpg",4,500,500)</f>
        <v/>
      </c>
      <c r="C2108" s="30">
        <v>2107.0</v>
      </c>
      <c r="D2108" s="16" t="s">
        <v>2730</v>
      </c>
      <c r="E2108" s="16" t="s">
        <v>184</v>
      </c>
      <c r="F2108" s="16" t="s">
        <v>185</v>
      </c>
      <c r="G2108" s="16" t="s">
        <v>399</v>
      </c>
      <c r="H2108" s="16" t="s">
        <v>475</v>
      </c>
      <c r="I2108" s="16" t="s">
        <v>2731</v>
      </c>
    </row>
    <row r="2109" ht="242.25" customHeight="1">
      <c r="B2109" s="32" t="str">
        <f>IMAGE("https://gymvisual.com/6269-catalog_default/exercise-ball-one-legged-diagonal-kick-hamstring-curl.jpg",4,500,500)</f>
        <v/>
      </c>
      <c r="C2109" s="30">
        <v>2108.0</v>
      </c>
      <c r="D2109" s="16" t="s">
        <v>2732</v>
      </c>
      <c r="E2109" s="16" t="s">
        <v>184</v>
      </c>
      <c r="F2109" s="16" t="s">
        <v>185</v>
      </c>
      <c r="G2109" s="16" t="s">
        <v>399</v>
      </c>
      <c r="H2109" s="16" t="s">
        <v>187</v>
      </c>
      <c r="I2109" s="16" t="s">
        <v>2733</v>
      </c>
    </row>
    <row r="2110" ht="242.25" customHeight="1">
      <c r="B2110" s="32" t="str">
        <f>IMAGE("https://gymvisual.com/12064-catalog_default/exercise-ball-one-legged-diagonal-kick-hamstring-curl-female.jpg",4,500,500)</f>
        <v/>
      </c>
      <c r="C2110" s="30">
        <v>2109.0</v>
      </c>
      <c r="D2110" s="16" t="s">
        <v>2734</v>
      </c>
      <c r="E2110" s="16" t="s">
        <v>184</v>
      </c>
      <c r="F2110" s="16" t="s">
        <v>185</v>
      </c>
      <c r="G2110" s="16" t="s">
        <v>399</v>
      </c>
      <c r="H2110" s="16" t="s">
        <v>220</v>
      </c>
      <c r="I2110" s="16" t="s">
        <v>220</v>
      </c>
    </row>
    <row r="2111" ht="242.25" customHeight="1">
      <c r="B2111" s="32" t="str">
        <f>IMAGE("https://gymvisual.com/5985-catalog_default/exercise-ball-pike-push-up.jpg",4,500,500)</f>
        <v/>
      </c>
      <c r="C2111" s="30">
        <v>2110.0</v>
      </c>
      <c r="D2111" s="16" t="s">
        <v>2735</v>
      </c>
      <c r="E2111" s="16" t="s">
        <v>184</v>
      </c>
      <c r="F2111" s="16" t="s">
        <v>234</v>
      </c>
      <c r="G2111" s="16" t="s">
        <v>399</v>
      </c>
      <c r="H2111" s="16" t="s">
        <v>2736</v>
      </c>
      <c r="I2111" s="16" t="s">
        <v>382</v>
      </c>
    </row>
    <row r="2112" ht="242.25" customHeight="1">
      <c r="B2112" s="32" t="str">
        <f>IMAGE("https://gymvisual.com/6034-catalog_default/exercise-ball-prone-leg-raise.jpg",4,500,500)</f>
        <v/>
      </c>
      <c r="C2112" s="30">
        <v>2111.0</v>
      </c>
      <c r="D2112" s="16" t="s">
        <v>2737</v>
      </c>
      <c r="E2112" s="16" t="s">
        <v>184</v>
      </c>
      <c r="F2112" s="16" t="s">
        <v>192</v>
      </c>
      <c r="G2112" s="16" t="s">
        <v>399</v>
      </c>
      <c r="H2112" s="16" t="s">
        <v>2738</v>
      </c>
      <c r="I2112" s="16" t="s">
        <v>2739</v>
      </c>
    </row>
    <row r="2113" ht="242.25" hidden="1" customHeight="1">
      <c r="B2113" s="32" t="str">
        <f>IMAGE("https://gymvisual.com/20984-catalog_default/exercise-ball-serratus-wall-slide.jpg",4,500,500)</f>
        <v/>
      </c>
      <c r="C2113" s="30">
        <v>2112.0</v>
      </c>
      <c r="D2113" s="16" t="s">
        <v>2740</v>
      </c>
      <c r="E2113" s="16" t="s">
        <v>184</v>
      </c>
      <c r="F2113" s="16" t="s">
        <v>234</v>
      </c>
      <c r="G2113" s="16" t="s">
        <v>255</v>
      </c>
      <c r="H2113" s="16" t="s">
        <v>389</v>
      </c>
      <c r="I2113" s="16" t="s">
        <v>229</v>
      </c>
    </row>
    <row r="2114" ht="242.25" customHeight="1">
      <c r="A2114" s="32" t="b">
        <v>0</v>
      </c>
      <c r="B2114" s="32" t="str">
        <f>IMAGE("https://gymvisual.com/7465-catalog_default/exercise-ball-supine-triceps-extension.jpg",4,500,500)</f>
        <v/>
      </c>
      <c r="C2114" s="30">
        <v>2113.0</v>
      </c>
      <c r="D2114" s="16" t="s">
        <v>2741</v>
      </c>
      <c r="E2114" s="16" t="s">
        <v>184</v>
      </c>
      <c r="F2114" s="16" t="s">
        <v>219</v>
      </c>
      <c r="G2114" s="16" t="s">
        <v>222</v>
      </c>
      <c r="H2114" s="16" t="s">
        <v>220</v>
      </c>
      <c r="I2114" s="16" t="s">
        <v>220</v>
      </c>
    </row>
    <row r="2115" ht="242.25" customHeight="1">
      <c r="B2115" s="32" t="str">
        <f>IMAGE("https://gymvisual.com/6809-catalog_default/exercise-ball-wall-squat.jpg",4,500,500)</f>
        <v/>
      </c>
      <c r="C2115" s="30">
        <v>2114.0</v>
      </c>
      <c r="D2115" s="16" t="s">
        <v>2742</v>
      </c>
      <c r="E2115" s="16" t="s">
        <v>184</v>
      </c>
      <c r="F2115" s="16" t="s">
        <v>285</v>
      </c>
      <c r="G2115" s="16" t="s">
        <v>399</v>
      </c>
      <c r="H2115" s="16" t="s">
        <v>189</v>
      </c>
      <c r="I2115" s="16" t="s">
        <v>190</v>
      </c>
    </row>
    <row r="2116" ht="242.25" hidden="1" customHeight="1">
      <c r="B2116" s="32" t="str">
        <f>IMAGE("https://gymvisual.com/7716-catalog_default/extra-decline-sit-up.jpg",4,500,500)</f>
        <v/>
      </c>
      <c r="C2116" s="30">
        <v>2115.0</v>
      </c>
      <c r="D2116" s="16" t="s">
        <v>2743</v>
      </c>
      <c r="E2116" s="16" t="s">
        <v>184</v>
      </c>
      <c r="F2116" s="16" t="s">
        <v>254</v>
      </c>
      <c r="G2116" s="16" t="s">
        <v>255</v>
      </c>
      <c r="H2116" s="16" t="s">
        <v>220</v>
      </c>
      <c r="I2116" s="16" t="s">
        <v>220</v>
      </c>
    </row>
    <row r="2117" ht="242.25" customHeight="1">
      <c r="B2117" s="32" t="str">
        <f>IMAGE("https://gymvisual.com/13443-catalog_default/ez-bar-biceps-curl-with-arm-blaster-female.jpg",4,500,500)</f>
        <v/>
      </c>
      <c r="C2117" s="30">
        <v>2116.0</v>
      </c>
      <c r="D2117" s="16" t="s">
        <v>2744</v>
      </c>
      <c r="E2117" s="16" t="s">
        <v>184</v>
      </c>
      <c r="F2117" s="16" t="s">
        <v>219</v>
      </c>
      <c r="G2117" s="16" t="s">
        <v>2745</v>
      </c>
      <c r="H2117" s="16" t="s">
        <v>220</v>
      </c>
      <c r="I2117" s="16" t="s">
        <v>220</v>
      </c>
    </row>
    <row r="2118" ht="242.25" customHeight="1">
      <c r="B2118" s="32" t="str">
        <f>IMAGE("https://gymvisual.com/17961-catalog_default/ez-bar-california-skullcrusher-male.jpg",4,500,500)</f>
        <v/>
      </c>
      <c r="C2118" s="30">
        <v>2117.0</v>
      </c>
      <c r="D2118" s="16" t="s">
        <v>2746</v>
      </c>
      <c r="E2118" s="16" t="s">
        <v>184</v>
      </c>
      <c r="F2118" s="16" t="s">
        <v>219</v>
      </c>
      <c r="G2118" s="16" t="s">
        <v>2745</v>
      </c>
      <c r="H2118" s="16" t="s">
        <v>220</v>
      </c>
      <c r="I2118" s="16" t="s">
        <v>220</v>
      </c>
    </row>
    <row r="2119" ht="242.25" customHeight="1">
      <c r="B2119" s="32" t="str">
        <f>IMAGE("https://gymvisual.com/7466-catalog_default/ez-bar-french-press-on-exercise-ball.jpg",4,500,500)</f>
        <v/>
      </c>
      <c r="C2119" s="30">
        <v>2118.0</v>
      </c>
      <c r="D2119" s="16" t="s">
        <v>2747</v>
      </c>
      <c r="E2119" s="16" t="s">
        <v>184</v>
      </c>
      <c r="F2119" s="16" t="s">
        <v>219</v>
      </c>
      <c r="G2119" s="16" t="s">
        <v>2745</v>
      </c>
      <c r="H2119" s="16" t="s">
        <v>220</v>
      </c>
      <c r="I2119" s="16" t="s">
        <v>220</v>
      </c>
    </row>
    <row r="2120" ht="242.25" customHeight="1">
      <c r="B2120" s="32" t="str">
        <f>IMAGE("https://gymvisual.com/12474-catalog_default/ez-bar-lying-bent-arms-pullover.jpg",4,500,500)</f>
        <v/>
      </c>
      <c r="C2120" s="30">
        <v>2119.0</v>
      </c>
      <c r="D2120" s="16" t="s">
        <v>2748</v>
      </c>
      <c r="E2120" s="16" t="s">
        <v>184</v>
      </c>
      <c r="F2120" s="16" t="s">
        <v>192</v>
      </c>
      <c r="G2120" s="16" t="s">
        <v>2745</v>
      </c>
      <c r="H2120" s="16" t="s">
        <v>300</v>
      </c>
      <c r="I2120" s="16" t="s">
        <v>1533</v>
      </c>
    </row>
    <row r="2121" ht="242.25" customHeight="1">
      <c r="B2121" s="32" t="str">
        <f>IMAGE("https://gymvisual.com/7467-catalog_default/ez-bar-lying-close-grip-triceps-extension-behind-head.jpg",4,500,500)</f>
        <v/>
      </c>
      <c r="C2121" s="30">
        <v>2120.0</v>
      </c>
      <c r="D2121" s="16" t="s">
        <v>2749</v>
      </c>
      <c r="E2121" s="16" t="s">
        <v>184</v>
      </c>
      <c r="F2121" s="16" t="s">
        <v>219</v>
      </c>
      <c r="G2121" s="16" t="s">
        <v>2745</v>
      </c>
      <c r="H2121" s="16" t="s">
        <v>220</v>
      </c>
      <c r="I2121" s="16" t="s">
        <v>220</v>
      </c>
    </row>
    <row r="2122" ht="242.25" customHeight="1">
      <c r="B2122" s="32" t="str">
        <f>IMAGE("https://gymvisual.com/6035-catalog_default/ez-bar-reverse-grip-bent-over-row.jpg",4,500,500)</f>
        <v/>
      </c>
      <c r="C2122" s="30">
        <v>2121.0</v>
      </c>
      <c r="D2122" s="16" t="s">
        <v>2750</v>
      </c>
      <c r="E2122" s="16" t="s">
        <v>184</v>
      </c>
      <c r="F2122" s="16" t="s">
        <v>192</v>
      </c>
      <c r="G2122" s="16" t="s">
        <v>2745</v>
      </c>
      <c r="H2122" s="16" t="s">
        <v>329</v>
      </c>
      <c r="I2122" s="16" t="s">
        <v>457</v>
      </c>
    </row>
    <row r="2123" ht="242.25" customHeight="1">
      <c r="B2123" s="32" t="str">
        <f>IMAGE("https://gymvisual.com/7155-catalog_default/ez-bar-seated-close-grip-concentration-curl.jpg",4,500,500)</f>
        <v/>
      </c>
      <c r="C2123" s="30">
        <v>2122.0</v>
      </c>
      <c r="D2123" s="16" t="s">
        <v>2751</v>
      </c>
      <c r="E2123" s="16" t="s">
        <v>184</v>
      </c>
      <c r="F2123" s="16" t="s">
        <v>219</v>
      </c>
      <c r="G2123" s="16" t="s">
        <v>2745</v>
      </c>
      <c r="H2123" s="16" t="s">
        <v>232</v>
      </c>
      <c r="I2123" s="16" t="s">
        <v>233</v>
      </c>
    </row>
    <row r="2124" ht="242.25" customHeight="1">
      <c r="B2124" s="32" t="str">
        <f>IMAGE("https://gymvisual.com/7468-catalog_default/ez-bar-standing-french-press.jpg",4,500,500)</f>
        <v/>
      </c>
      <c r="C2124" s="30">
        <v>2123.0</v>
      </c>
      <c r="D2124" s="16" t="s">
        <v>2752</v>
      </c>
      <c r="E2124" s="16" t="s">
        <v>184</v>
      </c>
      <c r="F2124" s="16" t="s">
        <v>219</v>
      </c>
      <c r="G2124" s="16" t="s">
        <v>2745</v>
      </c>
      <c r="H2124" s="16" t="s">
        <v>223</v>
      </c>
      <c r="I2124" s="16" t="s">
        <v>220</v>
      </c>
    </row>
    <row r="2125" ht="242.25" customHeight="1">
      <c r="B2125" s="32" t="str">
        <f>IMAGE("https://gymvisual.com/1353-catalog_default/3-4-sit-up.jpg",4,500,500)</f>
        <v/>
      </c>
      <c r="C2125" s="30">
        <v>2124.0</v>
      </c>
      <c r="D2125" s="16" t="s">
        <v>2753</v>
      </c>
      <c r="E2125" s="16" t="s">
        <v>184</v>
      </c>
      <c r="F2125" s="16" t="s">
        <v>228</v>
      </c>
      <c r="G2125" s="16" t="s">
        <v>2745</v>
      </c>
      <c r="H2125" s="16" t="s">
        <v>2754</v>
      </c>
      <c r="I2125" s="16" t="s">
        <v>2755</v>
      </c>
    </row>
    <row r="2126" ht="242.25" customHeight="1">
      <c r="B2126" s="32" t="str">
        <f>IMAGE("https://gymvisual.com/14270-catalog_default/ez-barbell-anti-gravity-press-female.jpg",4,500,500)</f>
        <v/>
      </c>
      <c r="C2126" s="30">
        <v>2125.0</v>
      </c>
      <c r="D2126" s="16" t="s">
        <v>2756</v>
      </c>
      <c r="E2126" s="16" t="s">
        <v>184</v>
      </c>
      <c r="F2126" s="16" t="s">
        <v>228</v>
      </c>
      <c r="G2126" s="16" t="s">
        <v>2745</v>
      </c>
      <c r="H2126" s="16" t="s">
        <v>2754</v>
      </c>
      <c r="I2126" s="16" t="s">
        <v>2755</v>
      </c>
    </row>
    <row r="2127" ht="242.25" customHeight="1">
      <c r="B2127" s="32" t="str">
        <f>IMAGE("https://gymvisual.com/11068-catalog_default/ez-barbell-close-grip-curl-female.jpg",4,500,500)</f>
        <v/>
      </c>
      <c r="C2127" s="30">
        <v>2126.0</v>
      </c>
      <c r="D2127" s="16" t="s">
        <v>2757</v>
      </c>
      <c r="E2127" s="16" t="s">
        <v>184</v>
      </c>
      <c r="F2127" s="16" t="s">
        <v>219</v>
      </c>
      <c r="G2127" s="16" t="s">
        <v>2745</v>
      </c>
      <c r="H2127" s="16" t="s">
        <v>241</v>
      </c>
      <c r="I2127" s="16" t="s">
        <v>292</v>
      </c>
    </row>
    <row r="2128" ht="242.25" customHeight="1">
      <c r="B2128" s="32" t="str">
        <f>IMAGE("https://gymvisual.com/12072-catalog_default/ez-barbell-close-grip-preacher-curl.jpg",4,500,500)</f>
        <v/>
      </c>
      <c r="C2128" s="30">
        <v>2127.0</v>
      </c>
      <c r="D2128" s="16" t="s">
        <v>2758</v>
      </c>
      <c r="E2128" s="16" t="s">
        <v>184</v>
      </c>
      <c r="F2128" s="16" t="s">
        <v>219</v>
      </c>
      <c r="G2128" s="16" t="s">
        <v>2745</v>
      </c>
      <c r="H2128" s="16" t="s">
        <v>232</v>
      </c>
      <c r="I2128" s="16" t="s">
        <v>233</v>
      </c>
    </row>
    <row r="2129" ht="242.25" customHeight="1">
      <c r="B2129" s="32" t="str">
        <f>IMAGE("https://gymvisual.com/4610-catalog_default/3-4-sit-up.jpg",4,500,500)</f>
        <v/>
      </c>
      <c r="C2129" s="30">
        <v>2128.0</v>
      </c>
      <c r="D2129" s="16" t="s">
        <v>2759</v>
      </c>
      <c r="E2129" s="16" t="s">
        <v>184</v>
      </c>
      <c r="F2129" s="16" t="s">
        <v>219</v>
      </c>
      <c r="G2129" s="16" t="s">
        <v>2745</v>
      </c>
      <c r="H2129" s="16" t="s">
        <v>232</v>
      </c>
      <c r="I2129" s="16" t="s">
        <v>233</v>
      </c>
    </row>
    <row r="2130" ht="242.25" customHeight="1">
      <c r="B2130" s="32" t="str">
        <f>IMAGE("https://gymvisual.com/2598-catalog_default/3-4-sit-up.jpg",4,500,500)</f>
        <v/>
      </c>
      <c r="C2130" s="30">
        <v>2129.0</v>
      </c>
      <c r="D2130" s="16" t="s">
        <v>2760</v>
      </c>
      <c r="E2130" s="16" t="s">
        <v>184</v>
      </c>
      <c r="F2130" s="16" t="s">
        <v>219</v>
      </c>
      <c r="G2130" s="16" t="s">
        <v>2745</v>
      </c>
      <c r="H2130" s="16" t="s">
        <v>241</v>
      </c>
      <c r="I2130" s="16" t="s">
        <v>292</v>
      </c>
    </row>
    <row r="2131" ht="242.25" customHeight="1">
      <c r="B2131" s="32" t="str">
        <f>IMAGE("https://gymvisual.com/9628-catalog_default/ez-barbell-curl-female.jpg",4,500,500)</f>
        <v/>
      </c>
      <c r="C2131" s="30">
        <v>2130.0</v>
      </c>
      <c r="D2131" s="16" t="s">
        <v>2761</v>
      </c>
      <c r="E2131" s="16" t="s">
        <v>184</v>
      </c>
      <c r="F2131" s="16" t="s">
        <v>219</v>
      </c>
      <c r="G2131" s="16" t="s">
        <v>2745</v>
      </c>
      <c r="H2131" s="16" t="s">
        <v>241</v>
      </c>
      <c r="I2131" s="16" t="s">
        <v>292</v>
      </c>
    </row>
    <row r="2132" ht="242.25" customHeight="1">
      <c r="B2132" s="32" t="str">
        <f>IMAGE("https://gymvisual.com/15653-catalog_default/3-4-sit-up.jpg",4,500,500)</f>
        <v/>
      </c>
      <c r="C2132" s="30">
        <v>2131.0</v>
      </c>
      <c r="D2132" s="16" t="s">
        <v>2762</v>
      </c>
      <c r="E2132" s="16" t="s">
        <v>184</v>
      </c>
      <c r="F2132" s="16" t="s">
        <v>219</v>
      </c>
      <c r="G2132" s="16" t="s">
        <v>2745</v>
      </c>
      <c r="H2132" s="16" t="s">
        <v>223</v>
      </c>
      <c r="I2132" s="16" t="s">
        <v>292</v>
      </c>
    </row>
    <row r="2133" ht="242.25" customHeight="1">
      <c r="B2133" s="32" t="str">
        <f>IMAGE("https://gymvisual.com/12054-catalog_default/ez-barbell-decline-close-grip-face-press-female.jpg",4,500,500)</f>
        <v/>
      </c>
      <c r="C2133" s="30">
        <v>2132.0</v>
      </c>
      <c r="D2133" s="16" t="s">
        <v>2763</v>
      </c>
      <c r="E2133" s="16" t="s">
        <v>184</v>
      </c>
      <c r="F2133" s="16" t="s">
        <v>219</v>
      </c>
      <c r="G2133" s="16" t="s">
        <v>2745</v>
      </c>
      <c r="H2133" s="16" t="s">
        <v>220</v>
      </c>
      <c r="I2133" s="16" t="s">
        <v>220</v>
      </c>
    </row>
    <row r="2134" ht="242.25" customHeight="1">
      <c r="B2134" s="32" t="str">
        <f>IMAGE("https://gymvisual.com/8821-catalog_default/ez-barbell-decline-triceps-extension.jpg",4,500,500)</f>
        <v/>
      </c>
      <c r="C2134" s="30">
        <v>2133.0</v>
      </c>
      <c r="D2134" s="16" t="s">
        <v>2764</v>
      </c>
      <c r="E2134" s="16" t="s">
        <v>184</v>
      </c>
      <c r="F2134" s="16" t="s">
        <v>219</v>
      </c>
      <c r="G2134" s="16" t="s">
        <v>2745</v>
      </c>
      <c r="H2134" s="16" t="s">
        <v>223</v>
      </c>
      <c r="I2134" s="16" t="s">
        <v>220</v>
      </c>
    </row>
    <row r="2135" ht="242.25" customHeight="1">
      <c r="B2135" s="32" t="str">
        <f>IMAGE("https://gymvisual.com/1365-catalog_default/3-4-sit-up.jpg",4,500,500)</f>
        <v/>
      </c>
      <c r="C2135" s="30">
        <v>2134.0</v>
      </c>
      <c r="D2135" s="16" t="s">
        <v>2765</v>
      </c>
      <c r="E2135" s="16" t="s">
        <v>184</v>
      </c>
      <c r="F2135" s="16" t="s">
        <v>219</v>
      </c>
      <c r="G2135" s="16" t="s">
        <v>2745</v>
      </c>
      <c r="H2135" s="16" t="s">
        <v>223</v>
      </c>
      <c r="I2135" s="16" t="s">
        <v>220</v>
      </c>
    </row>
    <row r="2136" ht="242.25" customHeight="1">
      <c r="B2136" s="32" t="str">
        <f>IMAGE("https://gymvisual.com/1368-catalog_default/3-4-sit-up.jpg",4,500,500)</f>
        <v/>
      </c>
      <c r="C2136" s="30">
        <v>2135.0</v>
      </c>
      <c r="D2136" s="16" t="s">
        <v>2766</v>
      </c>
      <c r="E2136" s="16" t="s">
        <v>184</v>
      </c>
      <c r="F2136" s="16" t="s">
        <v>219</v>
      </c>
      <c r="G2136" s="16" t="s">
        <v>2745</v>
      </c>
      <c r="H2136" s="16" t="s">
        <v>223</v>
      </c>
      <c r="I2136" s="16" t="s">
        <v>472</v>
      </c>
    </row>
    <row r="2137" ht="242.25" customHeight="1">
      <c r="B2137" s="32" t="str">
        <f>IMAGE("https://gymvisual.com/1371-catalog_default/3-4-sit-up.jpg",4,500,500)</f>
        <v/>
      </c>
      <c r="C2137" s="30">
        <v>2136.0</v>
      </c>
      <c r="D2137" s="16" t="s">
        <v>2767</v>
      </c>
      <c r="E2137" s="16" t="s">
        <v>184</v>
      </c>
      <c r="F2137" s="16" t="s">
        <v>214</v>
      </c>
      <c r="G2137" s="16" t="s">
        <v>2745</v>
      </c>
      <c r="H2137" s="16" t="s">
        <v>216</v>
      </c>
      <c r="I2137" s="16" t="s">
        <v>217</v>
      </c>
    </row>
    <row r="2138" ht="242.25" customHeight="1">
      <c r="B2138" s="32" t="str">
        <f>IMAGE("https://gymvisual.com/11065-catalog_default/ez-barbell-reverse-grip-curl-female.jpg",4,500,500)</f>
        <v/>
      </c>
      <c r="C2138" s="30">
        <v>2137.0</v>
      </c>
      <c r="D2138" s="16" t="s">
        <v>2768</v>
      </c>
      <c r="E2138" s="16" t="s">
        <v>184</v>
      </c>
      <c r="F2138" s="16" t="s">
        <v>219</v>
      </c>
      <c r="G2138" s="16" t="s">
        <v>2745</v>
      </c>
      <c r="H2138" s="16" t="s">
        <v>216</v>
      </c>
      <c r="I2138" s="16" t="s">
        <v>217</v>
      </c>
    </row>
    <row r="2139" ht="242.25" customHeight="1">
      <c r="B2139" s="32" t="str">
        <f>IMAGE("https://gymvisual.com/24993-catalog_default/3-4-sit-up.jpg",4,500,500)</f>
        <v/>
      </c>
      <c r="C2139" s="30">
        <v>2138.0</v>
      </c>
      <c r="D2139" s="16" t="s">
        <v>2769</v>
      </c>
      <c r="E2139" s="16" t="s">
        <v>184</v>
      </c>
      <c r="F2139" s="16" t="s">
        <v>214</v>
      </c>
      <c r="G2139" s="16" t="s">
        <v>2745</v>
      </c>
      <c r="H2139" s="16" t="s">
        <v>216</v>
      </c>
      <c r="I2139" s="16" t="s">
        <v>217</v>
      </c>
    </row>
    <row r="2140" ht="242.25" customHeight="1">
      <c r="B2140" s="32" t="str">
        <f>IMAGE("https://gymvisual.com/6486-catalog_default/ez-barbell-seated-curls.jpg",4,500,500)</f>
        <v/>
      </c>
      <c r="C2140" s="30">
        <v>2139.0</v>
      </c>
      <c r="D2140" s="16" t="s">
        <v>2770</v>
      </c>
      <c r="E2140" s="16" t="s">
        <v>184</v>
      </c>
      <c r="F2140" s="16" t="s">
        <v>219</v>
      </c>
      <c r="G2140" s="16" t="s">
        <v>2745</v>
      </c>
      <c r="H2140" s="16" t="s">
        <v>241</v>
      </c>
      <c r="I2140" s="16" t="s">
        <v>292</v>
      </c>
    </row>
    <row r="2141" ht="242.25" customHeight="1">
      <c r="B2141" s="32" t="str">
        <f>IMAGE("https://gymvisual.com/25073-catalog_default/3-4-sit-up.jpg",4,500,500)</f>
        <v/>
      </c>
      <c r="C2141" s="30">
        <v>2140.0</v>
      </c>
      <c r="D2141" s="16" t="s">
        <v>2771</v>
      </c>
      <c r="E2141" s="16" t="s">
        <v>184</v>
      </c>
      <c r="F2141" s="16" t="s">
        <v>219</v>
      </c>
      <c r="G2141" s="16" t="s">
        <v>2745</v>
      </c>
      <c r="H2141" s="16" t="s">
        <v>223</v>
      </c>
      <c r="I2141" s="16" t="s">
        <v>220</v>
      </c>
    </row>
    <row r="2142" ht="242.25" customHeight="1">
      <c r="B2142" s="32" t="str">
        <f>IMAGE("https://gymvisual.com/1380-catalog_default/3-4-sit-up.jpg",4,500,500)</f>
        <v/>
      </c>
      <c r="C2142" s="30">
        <v>2141.0</v>
      </c>
      <c r="D2142" s="16" t="s">
        <v>2772</v>
      </c>
      <c r="E2142" s="16" t="s">
        <v>184</v>
      </c>
      <c r="F2142" s="16" t="s">
        <v>219</v>
      </c>
      <c r="G2142" s="16" t="s">
        <v>2745</v>
      </c>
      <c r="H2142" s="16" t="s">
        <v>217</v>
      </c>
      <c r="I2142" s="16" t="s">
        <v>216</v>
      </c>
    </row>
    <row r="2143" ht="242.25" customHeight="1">
      <c r="B2143" s="32" t="str">
        <f>IMAGE("https://gymvisual.com/7103-catalog_default/ez-barbell-spider-curl.jpg",4,500,500)</f>
        <v/>
      </c>
      <c r="C2143" s="30">
        <v>2142.0</v>
      </c>
      <c r="D2143" s="16" t="s">
        <v>2772</v>
      </c>
      <c r="E2143" s="16" t="s">
        <v>184</v>
      </c>
      <c r="F2143" s="16" t="s">
        <v>219</v>
      </c>
      <c r="G2143" s="16" t="s">
        <v>2745</v>
      </c>
      <c r="H2143" s="16" t="s">
        <v>241</v>
      </c>
      <c r="I2143" s="16" t="s">
        <v>292</v>
      </c>
    </row>
    <row r="2144" ht="242.25" customHeight="1">
      <c r="B2144" s="32" t="str">
        <f>IMAGE("https://gymvisual.com/23478-catalog_default/ez-bar-21s.jpg",4,500,500)</f>
        <v/>
      </c>
      <c r="C2144" s="30">
        <v>2143.0</v>
      </c>
      <c r="D2144" s="16" t="s">
        <v>2773</v>
      </c>
      <c r="E2144" s="16" t="s">
        <v>184</v>
      </c>
      <c r="F2144" s="16" t="s">
        <v>219</v>
      </c>
      <c r="G2144" s="16" t="s">
        <v>2745</v>
      </c>
      <c r="H2144" s="16" t="s">
        <v>217</v>
      </c>
      <c r="I2144" s="16" t="s">
        <v>216</v>
      </c>
    </row>
    <row r="2145" ht="242.25" customHeight="1">
      <c r="B2145" s="32" t="str">
        <f>IMAGE("https://gymvisual.com/10457-catalog_default/ez-bar-biceps-curl-with-arm-blaster.jpg",4,500,500)</f>
        <v/>
      </c>
      <c r="C2145" s="30">
        <v>2144.0</v>
      </c>
      <c r="D2145" s="16" t="s">
        <v>2774</v>
      </c>
      <c r="E2145" s="16" t="s">
        <v>184</v>
      </c>
      <c r="F2145" s="16" t="s">
        <v>219</v>
      </c>
      <c r="G2145" s="16" t="s">
        <v>2745</v>
      </c>
      <c r="H2145" s="16" t="s">
        <v>241</v>
      </c>
      <c r="I2145" s="16" t="s">
        <v>292</v>
      </c>
    </row>
    <row r="2146" ht="242.25" customHeight="1">
      <c r="B2146" s="32" t="str">
        <f>IMAGE("https://gymvisual.com/10543-catalog_default/ez-bar-close-grip-bench-press.jpg",4,500,500)</f>
        <v/>
      </c>
      <c r="C2146" s="30">
        <v>2145.0</v>
      </c>
      <c r="D2146" s="16" t="s">
        <v>2775</v>
      </c>
      <c r="E2146" s="16" t="s">
        <v>184</v>
      </c>
      <c r="F2146" s="16" t="s">
        <v>219</v>
      </c>
      <c r="G2146" s="16" t="s">
        <v>2745</v>
      </c>
      <c r="H2146" s="16" t="s">
        <v>223</v>
      </c>
      <c r="I2146" s="16" t="s">
        <v>472</v>
      </c>
    </row>
    <row r="2147" ht="242.25" customHeight="1">
      <c r="B2147" s="32" t="str">
        <f>IMAGE("https://gymvisual.com/10546-catalog_default/ez-bar-close-grip-bench-press-female.jpg",4,500,500)</f>
        <v/>
      </c>
      <c r="C2147" s="30">
        <v>2146.0</v>
      </c>
      <c r="D2147" s="16" t="s">
        <v>2776</v>
      </c>
      <c r="E2147" s="16" t="s">
        <v>184</v>
      </c>
      <c r="F2147" s="16" t="s">
        <v>219</v>
      </c>
      <c r="G2147" s="16" t="s">
        <v>2745</v>
      </c>
      <c r="H2147" s="16" t="s">
        <v>223</v>
      </c>
      <c r="I2147" s="16" t="s">
        <v>472</v>
      </c>
    </row>
    <row r="2148" ht="242.25" customHeight="1">
      <c r="B2148" s="32" t="str">
        <f>IMAGE("https://gymvisual.com/20475-catalog_default/ez-bar-deadlift-with-biceps-curl.jpg",4,500,500)</f>
        <v/>
      </c>
      <c r="C2148" s="30">
        <v>2147.0</v>
      </c>
      <c r="D2148" s="16" t="s">
        <v>2777</v>
      </c>
      <c r="E2148" s="16" t="s">
        <v>184</v>
      </c>
      <c r="F2148" s="16" t="s">
        <v>2778</v>
      </c>
      <c r="G2148" s="16" t="s">
        <v>2745</v>
      </c>
      <c r="H2148" s="16" t="s">
        <v>2779</v>
      </c>
      <c r="I2148" s="16" t="s">
        <v>2780</v>
      </c>
    </row>
    <row r="2149" ht="242.25" customHeight="1">
      <c r="B2149" s="32" t="str">
        <f>IMAGE("https://gymvisual.com/18967-catalog_default/ez-bar-drag-bicep-curl.jpg",4,500,500)</f>
        <v/>
      </c>
      <c r="C2149" s="30">
        <v>2148.0</v>
      </c>
      <c r="D2149" s="16" t="s">
        <v>2781</v>
      </c>
      <c r="E2149" s="16" t="s">
        <v>184</v>
      </c>
      <c r="F2149" s="16" t="s">
        <v>829</v>
      </c>
      <c r="G2149" s="16" t="s">
        <v>2745</v>
      </c>
      <c r="H2149" s="16" t="s">
        <v>236</v>
      </c>
      <c r="I2149" s="16" t="s">
        <v>292</v>
      </c>
    </row>
    <row r="2150" ht="242.25" customHeight="1">
      <c r="B2150" s="32" t="str">
        <f>IMAGE("https://gymvisual.com/17395-catalog_default/ez-bar-front-twist-raise.jpg",4,500,500)</f>
        <v/>
      </c>
      <c r="C2150" s="30">
        <v>2149.0</v>
      </c>
      <c r="D2150" s="16" t="s">
        <v>2782</v>
      </c>
      <c r="E2150" s="16" t="s">
        <v>184</v>
      </c>
      <c r="F2150" s="16" t="s">
        <v>228</v>
      </c>
      <c r="G2150" s="16" t="s">
        <v>2745</v>
      </c>
      <c r="H2150" s="16" t="s">
        <v>454</v>
      </c>
      <c r="I2150" s="16" t="s">
        <v>2783</v>
      </c>
    </row>
    <row r="2151" ht="242.25" customHeight="1">
      <c r="B2151" s="32" t="str">
        <f>IMAGE("https://gymvisual.com/17401-catalog_default/ez-bar-incline-front-raise.jpg",4,500,500)</f>
        <v/>
      </c>
      <c r="C2151" s="30">
        <v>2150.0</v>
      </c>
      <c r="D2151" s="16" t="s">
        <v>2784</v>
      </c>
      <c r="E2151" s="16" t="s">
        <v>184</v>
      </c>
      <c r="F2151" s="16" t="s">
        <v>228</v>
      </c>
      <c r="G2151" s="16" t="s">
        <v>2745</v>
      </c>
      <c r="H2151" s="16" t="s">
        <v>229</v>
      </c>
      <c r="I2151" s="16" t="s">
        <v>244</v>
      </c>
    </row>
    <row r="2152" ht="242.25" customHeight="1">
      <c r="B2152" s="32" t="str">
        <f>IMAGE("https://gymvisual.com/17598-catalog_default/ez-bar-knelling-rollout.jpg",4,500,500)</f>
        <v/>
      </c>
      <c r="C2152" s="30">
        <v>2151.0</v>
      </c>
      <c r="D2152" s="16" t="s">
        <v>2785</v>
      </c>
      <c r="E2152" s="16" t="s">
        <v>184</v>
      </c>
      <c r="F2152" s="16" t="s">
        <v>254</v>
      </c>
      <c r="G2152" s="16" t="s">
        <v>2745</v>
      </c>
      <c r="H2152" s="16" t="s">
        <v>305</v>
      </c>
      <c r="I2152" s="16" t="s">
        <v>220</v>
      </c>
    </row>
    <row r="2153" ht="242.25" customHeight="1">
      <c r="B2153" s="32" t="str">
        <f>IMAGE("https://gymvisual.com/17594-catalog_default/ez-bar-legs-side-pull-in-sit-up.jpg",4,500,500)</f>
        <v/>
      </c>
      <c r="C2153" s="30">
        <v>2152.0</v>
      </c>
      <c r="D2153" s="16" t="s">
        <v>2786</v>
      </c>
      <c r="E2153" s="16" t="s">
        <v>184</v>
      </c>
      <c r="F2153" s="16" t="s">
        <v>254</v>
      </c>
      <c r="G2153" s="16" t="s">
        <v>2745</v>
      </c>
      <c r="H2153" s="16" t="s">
        <v>2640</v>
      </c>
      <c r="I2153" s="16" t="s">
        <v>220</v>
      </c>
    </row>
    <row r="2154" ht="242.25" customHeight="1">
      <c r="B2154" s="32" t="str">
        <f>IMAGE("https://gymvisual.com/17596-catalog_default/ez-bar-reverse-crunch.jpg",4,500,500)</f>
        <v/>
      </c>
      <c r="C2154" s="30">
        <v>2153.0</v>
      </c>
      <c r="D2154" s="16" t="s">
        <v>2787</v>
      </c>
      <c r="E2154" s="16" t="s">
        <v>184</v>
      </c>
      <c r="F2154" s="16" t="s">
        <v>254</v>
      </c>
      <c r="G2154" s="16" t="s">
        <v>2745</v>
      </c>
      <c r="H2154" s="16" t="s">
        <v>305</v>
      </c>
      <c r="I2154" s="16" t="s">
        <v>220</v>
      </c>
    </row>
    <row r="2155" ht="242.25" customHeight="1">
      <c r="B2155" s="32" t="str">
        <f>IMAGE("https://gymvisual.com/20815-catalog_default/ez-bar-russian-twist-sit-up.jpg",4,500,500)</f>
        <v/>
      </c>
      <c r="C2155" s="30">
        <v>2154.0</v>
      </c>
      <c r="D2155" s="16" t="s">
        <v>2788</v>
      </c>
      <c r="E2155" s="16" t="s">
        <v>184</v>
      </c>
      <c r="F2155" s="16" t="s">
        <v>254</v>
      </c>
      <c r="G2155" s="16" t="s">
        <v>2745</v>
      </c>
      <c r="H2155" s="16" t="s">
        <v>263</v>
      </c>
      <c r="I2155" s="16" t="s">
        <v>220</v>
      </c>
    </row>
    <row r="2156" ht="242.25" customHeight="1">
      <c r="B2156" s="32" t="str">
        <f>IMAGE("https://gymvisual.com/17403-catalog_default/ez-bar-seated-close-grip-shoulder-press.jpg",4,500,500)</f>
        <v/>
      </c>
      <c r="C2156" s="30">
        <v>2155.0</v>
      </c>
      <c r="D2156" s="16" t="s">
        <v>2789</v>
      </c>
      <c r="E2156" s="16" t="s">
        <v>184</v>
      </c>
      <c r="F2156" s="16" t="s">
        <v>228</v>
      </c>
      <c r="G2156" s="16" t="s">
        <v>2745</v>
      </c>
      <c r="H2156" s="16" t="s">
        <v>229</v>
      </c>
      <c r="I2156" s="16" t="s">
        <v>2790</v>
      </c>
    </row>
    <row r="2157" ht="242.25" customHeight="1">
      <c r="B2157" s="32" t="str">
        <f>IMAGE("https://gymvisual.com/20817-catalog_default/ez-bar-shoulder-press-sit-up.jpg",4,500,500)</f>
        <v/>
      </c>
      <c r="C2157" s="30">
        <v>2156.0</v>
      </c>
      <c r="D2157" s="16" t="s">
        <v>2791</v>
      </c>
      <c r="E2157" s="16" t="s">
        <v>184</v>
      </c>
      <c r="F2157" s="16" t="s">
        <v>254</v>
      </c>
      <c r="G2157" s="16" t="s">
        <v>2745</v>
      </c>
      <c r="H2157" s="16" t="s">
        <v>2792</v>
      </c>
      <c r="I2157" s="16" t="s">
        <v>220</v>
      </c>
    </row>
    <row r="2158" ht="242.25" customHeight="1">
      <c r="B2158" s="32" t="str">
        <f>IMAGE("https://gymvisual.com/4597-catalog_default/ez-bar-standing-overhead-press.jpg",4,500,500)</f>
        <v/>
      </c>
      <c r="C2158" s="30">
        <v>2157.0</v>
      </c>
      <c r="D2158" s="16" t="s">
        <v>2793</v>
      </c>
      <c r="E2158" s="16" t="s">
        <v>184</v>
      </c>
      <c r="F2158" s="16" t="s">
        <v>228</v>
      </c>
      <c r="G2158" s="16" t="s">
        <v>2745</v>
      </c>
      <c r="H2158" s="16" t="s">
        <v>229</v>
      </c>
      <c r="I2158" s="16" t="s">
        <v>626</v>
      </c>
    </row>
    <row r="2159" ht="242.25" customHeight="1">
      <c r="B2159" s="32" t="str">
        <f>IMAGE("https://gymvisual.com/17600-catalog_default/ez-bar-up-down-twist.jpg",4,500,500)</f>
        <v/>
      </c>
      <c r="C2159" s="30">
        <v>2158.0</v>
      </c>
      <c r="D2159" s="16" t="s">
        <v>2794</v>
      </c>
      <c r="E2159" s="16" t="s">
        <v>184</v>
      </c>
      <c r="F2159" s="16" t="s">
        <v>254</v>
      </c>
      <c r="G2159" s="16" t="s">
        <v>2745</v>
      </c>
      <c r="H2159" s="16" t="s">
        <v>741</v>
      </c>
      <c r="I2159" s="16" t="s">
        <v>220</v>
      </c>
    </row>
    <row r="2160" ht="242.25" customHeight="1">
      <c r="B2160" s="32" t="str">
        <f>IMAGE("https://gymvisual.com/14382-catalog_default/ez-barbell-lying-triceps-extension-female.jpg",4,500,500)</f>
        <v/>
      </c>
      <c r="C2160" s="30">
        <v>2159.0</v>
      </c>
      <c r="D2160" s="16" t="s">
        <v>2795</v>
      </c>
      <c r="E2160" s="16" t="s">
        <v>184</v>
      </c>
      <c r="F2160" s="16" t="s">
        <v>219</v>
      </c>
      <c r="G2160" s="16" t="s">
        <v>2745</v>
      </c>
      <c r="H2160" s="16" t="s">
        <v>223</v>
      </c>
      <c r="I2160" s="16" t="s">
        <v>220</v>
      </c>
    </row>
    <row r="2161" ht="242.25" customHeight="1">
      <c r="B2161" s="32" t="str">
        <f>IMAGE("https://gymvisual.com/12116-catalog_default/ez-barbell-standing-preacher-curl.jpg",4,500,500)</f>
        <v/>
      </c>
      <c r="C2161" s="30">
        <v>2160.0</v>
      </c>
      <c r="D2161" s="16" t="s">
        <v>2796</v>
      </c>
      <c r="E2161" s="16" t="s">
        <v>184</v>
      </c>
      <c r="F2161" s="16" t="s">
        <v>219</v>
      </c>
      <c r="G2161" s="16" t="s">
        <v>2745</v>
      </c>
      <c r="H2161" s="16" t="s">
        <v>241</v>
      </c>
      <c r="I2161" s="16" t="s">
        <v>292</v>
      </c>
    </row>
    <row r="2162" ht="242.25" customHeight="1">
      <c r="B2162" s="32" t="str">
        <f>IMAGE("https://gymvisual.com/11597-catalog_default/ez-barbell-standing-wide-grip-biceps-curl.jpg",4,500,500)</f>
        <v/>
      </c>
      <c r="C2162" s="30">
        <v>2161.0</v>
      </c>
      <c r="D2162" s="16" t="s">
        <v>2797</v>
      </c>
      <c r="E2162" s="16" t="s">
        <v>184</v>
      </c>
      <c r="F2162" s="16" t="s">
        <v>219</v>
      </c>
      <c r="G2162" s="16" t="s">
        <v>2745</v>
      </c>
      <c r="H2162" s="16" t="s">
        <v>241</v>
      </c>
      <c r="I2162" s="16" t="s">
        <v>292</v>
      </c>
    </row>
    <row r="2163" ht="242.25" customHeight="1">
      <c r="A2163" s="32" t="b">
        <v>0</v>
      </c>
      <c r="B2163" s="32" t="str">
        <f>IMAGE("https://gymvisual.com/1383-catalog_default/3-4-sit-up.jpg",4,500,500)</f>
        <v/>
      </c>
      <c r="C2163" s="30">
        <v>2162.0</v>
      </c>
      <c r="D2163" s="16" t="s">
        <v>2798</v>
      </c>
      <c r="E2163" s="16" t="s">
        <v>184</v>
      </c>
      <c r="F2163" s="16" t="s">
        <v>214</v>
      </c>
      <c r="G2163" s="16" t="s">
        <v>186</v>
      </c>
      <c r="H2163" s="16" t="s">
        <v>220</v>
      </c>
      <c r="I2163" s="16" t="s">
        <v>220</v>
      </c>
    </row>
    <row r="2164" ht="242.25" hidden="1" customHeight="1">
      <c r="B2164" s="32" t="str">
        <f>IMAGE("https://gymvisual.com/17385-catalog_default/finger-push-up.jpg",4,500,500)</f>
        <v/>
      </c>
      <c r="C2164" s="30">
        <v>2163.0</v>
      </c>
      <c r="D2164" s="16" t="s">
        <v>2799</v>
      </c>
      <c r="E2164" s="16" t="s">
        <v>184</v>
      </c>
      <c r="F2164" s="16" t="s">
        <v>234</v>
      </c>
      <c r="G2164" s="16" t="s">
        <v>255</v>
      </c>
      <c r="H2164" s="16" t="s">
        <v>235</v>
      </c>
      <c r="I2164" s="16" t="s">
        <v>2800</v>
      </c>
    </row>
    <row r="2165" ht="242.25" hidden="1" customHeight="1">
      <c r="B2165" s="32" t="str">
        <f>IMAGE("https://gymvisual.com/1386-catalog_default/3-4-sit-up.jpg",4,500,500)</f>
        <v/>
      </c>
      <c r="C2165" s="30">
        <v>2164.0</v>
      </c>
      <c r="D2165" s="16" t="s">
        <v>2801</v>
      </c>
      <c r="E2165" s="16" t="s">
        <v>184</v>
      </c>
      <c r="F2165" s="16" t="s">
        <v>254</v>
      </c>
      <c r="G2165" s="16" t="s">
        <v>255</v>
      </c>
      <c r="H2165" s="16" t="s">
        <v>256</v>
      </c>
      <c r="I2165" s="16" t="s">
        <v>2802</v>
      </c>
    </row>
    <row r="2166" ht="242.25" hidden="1" customHeight="1">
      <c r="B2166" s="32" t="str">
        <f>IMAGE("https://gymvisual.com/1389-catalog_default/3-4-sit-up.jpg",4,500,500)</f>
        <v/>
      </c>
      <c r="C2166" s="30">
        <v>2165.0</v>
      </c>
      <c r="D2166" s="16" t="s">
        <v>2803</v>
      </c>
      <c r="E2166" s="16" t="s">
        <v>184</v>
      </c>
      <c r="F2166" s="16" t="s">
        <v>254</v>
      </c>
      <c r="G2166" s="16" t="s">
        <v>255</v>
      </c>
      <c r="H2166" s="16" t="s">
        <v>256</v>
      </c>
      <c r="I2166" s="16" t="s">
        <v>2802</v>
      </c>
    </row>
    <row r="2167" ht="242.25" hidden="1" customHeight="1">
      <c r="B2167" s="32" t="str">
        <f>IMAGE("https://gymvisual.com/18796-catalog_default/flexion-leg-sit-up-straight-arm-female.jpg",4,500,500)</f>
        <v/>
      </c>
      <c r="C2167" s="30">
        <v>2166.0</v>
      </c>
      <c r="D2167" s="16" t="s">
        <v>2804</v>
      </c>
      <c r="E2167" s="16" t="s">
        <v>184</v>
      </c>
      <c r="F2167" s="16" t="s">
        <v>254</v>
      </c>
      <c r="G2167" s="16" t="s">
        <v>255</v>
      </c>
      <c r="H2167" s="16" t="s">
        <v>305</v>
      </c>
      <c r="I2167" s="16" t="s">
        <v>319</v>
      </c>
    </row>
    <row r="2168" ht="242.25" hidden="1" customHeight="1">
      <c r="B2168" s="32" t="str">
        <f>IMAGE("https://gymvisual.com/13071-catalog_default/floor-crunch-feet-on-bench-female.jpg",4,500,500)</f>
        <v/>
      </c>
      <c r="C2168" s="30">
        <v>2167.0</v>
      </c>
      <c r="D2168" s="16" t="s">
        <v>2805</v>
      </c>
      <c r="E2168" s="16" t="s">
        <v>184</v>
      </c>
      <c r="F2168" s="16" t="s">
        <v>254</v>
      </c>
      <c r="G2168" s="16" t="s">
        <v>255</v>
      </c>
      <c r="H2168" s="16" t="s">
        <v>256</v>
      </c>
      <c r="I2168" s="16" t="s">
        <v>257</v>
      </c>
    </row>
    <row r="2169" ht="242.25" customHeight="1">
      <c r="A2169" s="32" t="b">
        <v>0</v>
      </c>
      <c r="B2169" s="32" t="str">
        <f>IMAGE("https://gymvisual.com/1392-catalog_default/3-4-sit-up.jpg",4,500,500)</f>
        <v/>
      </c>
      <c r="C2169" s="30">
        <v>2168.0</v>
      </c>
      <c r="D2169" s="16" t="s">
        <v>2806</v>
      </c>
      <c r="E2169" s="16" t="s">
        <v>184</v>
      </c>
      <c r="F2169" s="16" t="s">
        <v>234</v>
      </c>
      <c r="G2169" s="16" t="s">
        <v>186</v>
      </c>
      <c r="H2169" s="16" t="s">
        <v>347</v>
      </c>
      <c r="I2169" s="16" t="s">
        <v>420</v>
      </c>
    </row>
    <row r="2170" ht="242.25" hidden="1" customHeight="1">
      <c r="B2170" s="32" t="str">
        <f>IMAGE("https://gymvisual.com/17195-catalog_default/floor-fly-with-towels.jpg",4,500,500)</f>
        <v/>
      </c>
      <c r="C2170" s="30">
        <v>2169.0</v>
      </c>
      <c r="D2170" s="16" t="s">
        <v>2807</v>
      </c>
      <c r="E2170" s="16" t="s">
        <v>184</v>
      </c>
      <c r="F2170" s="16" t="s">
        <v>234</v>
      </c>
      <c r="G2170" s="16" t="s">
        <v>255</v>
      </c>
      <c r="H2170" s="16" t="s">
        <v>235</v>
      </c>
      <c r="I2170" s="16" t="s">
        <v>236</v>
      </c>
    </row>
    <row r="2171" ht="242.25" hidden="1" customHeight="1">
      <c r="B2171" s="32" t="str">
        <f>IMAGE("https://gymvisual.com/13118-catalog_default/floor-hyperextension-female.jpg",4,500,500)</f>
        <v/>
      </c>
      <c r="C2171" s="30">
        <v>2170.0</v>
      </c>
      <c r="D2171" s="16" t="s">
        <v>2808</v>
      </c>
      <c r="E2171" s="16" t="s">
        <v>184</v>
      </c>
      <c r="F2171" s="16" t="s">
        <v>185</v>
      </c>
      <c r="G2171" s="16" t="s">
        <v>255</v>
      </c>
      <c r="H2171" s="16" t="s">
        <v>275</v>
      </c>
      <c r="I2171" s="16" t="s">
        <v>220</v>
      </c>
    </row>
    <row r="2172" ht="242.25" hidden="1" customHeight="1">
      <c r="B2172" s="32" t="str">
        <f>IMAGE("https://gymvisual.com/13072-catalog_default/floor-twisting-crunch-feet-on-bench-female.jpg",4,500,500)</f>
        <v/>
      </c>
      <c r="C2172" s="30">
        <v>2171.0</v>
      </c>
      <c r="D2172" s="16" t="s">
        <v>2809</v>
      </c>
      <c r="E2172" s="16" t="s">
        <v>184</v>
      </c>
      <c r="F2172" s="16" t="s">
        <v>254</v>
      </c>
      <c r="G2172" s="16" t="s">
        <v>255</v>
      </c>
      <c r="H2172" s="16" t="s">
        <v>257</v>
      </c>
      <c r="I2172" s="16" t="s">
        <v>256</v>
      </c>
    </row>
    <row r="2173" ht="242.25" hidden="1" customHeight="1">
      <c r="B2173" s="32" t="str">
        <f>IMAGE("https://gymvisual.com/1395-catalog_default/3-4-sit-up.jpg",4,500,500)</f>
        <v/>
      </c>
      <c r="C2173" s="30">
        <v>2172.0</v>
      </c>
      <c r="D2173" s="16" t="s">
        <v>2810</v>
      </c>
      <c r="E2173" s="16" t="s">
        <v>184</v>
      </c>
      <c r="F2173" s="16" t="s">
        <v>185</v>
      </c>
      <c r="G2173" s="16" t="s">
        <v>255</v>
      </c>
      <c r="H2173" s="16" t="s">
        <v>187</v>
      </c>
      <c r="I2173" s="16" t="s">
        <v>188</v>
      </c>
    </row>
    <row r="2174" ht="242.25" hidden="1" customHeight="1">
      <c r="B2174" s="32" t="str">
        <f>IMAGE("https://gymvisual.com/12082-catalog_default/flutter-kicks-hands-under-hips-head-up-female.jpg",4,500,500)</f>
        <v/>
      </c>
      <c r="C2174" s="30">
        <v>2173.0</v>
      </c>
      <c r="D2174" s="16" t="s">
        <v>2811</v>
      </c>
      <c r="E2174" s="16" t="s">
        <v>184</v>
      </c>
      <c r="F2174" s="16" t="s">
        <v>185</v>
      </c>
      <c r="G2174" s="16" t="s">
        <v>255</v>
      </c>
      <c r="H2174" s="16" t="s">
        <v>220</v>
      </c>
      <c r="I2174" s="16" t="s">
        <v>220</v>
      </c>
    </row>
    <row r="2175" ht="242.25" hidden="1" customHeight="1">
      <c r="B2175" s="32" t="str">
        <f>IMAGE("https://gymvisual.com/4437-catalog_default/flutter-kicks-version-2.jpg",4,500,500)</f>
        <v/>
      </c>
      <c r="C2175" s="30">
        <v>2174.0</v>
      </c>
      <c r="D2175" s="16" t="s">
        <v>2812</v>
      </c>
      <c r="E2175" s="16" t="s">
        <v>184</v>
      </c>
      <c r="F2175" s="16" t="s">
        <v>185</v>
      </c>
      <c r="G2175" s="16" t="s">
        <v>255</v>
      </c>
      <c r="H2175" s="16" t="s">
        <v>187</v>
      </c>
      <c r="I2175" s="16" t="s">
        <v>188</v>
      </c>
    </row>
    <row r="2176" ht="242.25" hidden="1" customHeight="1">
      <c r="B2176" s="32" t="str">
        <f>IMAGE("https://gymvisual.com/20648-catalog_default/flutter-kicks-version-3.jpg",4,500,500)</f>
        <v/>
      </c>
      <c r="C2176" s="30">
        <v>2175.0</v>
      </c>
      <c r="D2176" s="16" t="s">
        <v>2813</v>
      </c>
      <c r="E2176" s="16" t="s">
        <v>184</v>
      </c>
      <c r="F2176" s="16" t="s">
        <v>185</v>
      </c>
      <c r="G2176" s="16" t="s">
        <v>255</v>
      </c>
      <c r="H2176" s="16" t="s">
        <v>271</v>
      </c>
      <c r="I2176" s="16" t="s">
        <v>566</v>
      </c>
    </row>
    <row r="2177" ht="242.25" hidden="1" customHeight="1">
      <c r="B2177" s="32" t="str">
        <f>IMAGE("https://gymvisual.com/22779-catalog_default/flutter-kicks-version-3-female.jpg",4,500,500)</f>
        <v/>
      </c>
      <c r="C2177" s="30">
        <v>2176.0</v>
      </c>
      <c r="D2177" s="16" t="s">
        <v>2814</v>
      </c>
      <c r="E2177" s="16" t="s">
        <v>184</v>
      </c>
      <c r="F2177" s="16" t="s">
        <v>185</v>
      </c>
      <c r="G2177" s="16" t="s">
        <v>255</v>
      </c>
      <c r="H2177" s="16" t="s">
        <v>305</v>
      </c>
      <c r="I2177" s="16" t="s">
        <v>1306</v>
      </c>
    </row>
    <row r="2178" ht="242.25" hidden="1" customHeight="1">
      <c r="B2178" s="32" t="str">
        <f>IMAGE("https://gymvisual.com/18035-catalog_default/fly-agains-chains.jpg",4,500,500)</f>
        <v/>
      </c>
      <c r="C2178" s="30">
        <v>2177.0</v>
      </c>
      <c r="D2178" s="16" t="s">
        <v>2815</v>
      </c>
      <c r="E2178" s="16" t="s">
        <v>184</v>
      </c>
      <c r="F2178" s="16" t="s">
        <v>234</v>
      </c>
      <c r="G2178" s="16" t="s">
        <v>255</v>
      </c>
      <c r="H2178" s="16" t="s">
        <v>220</v>
      </c>
      <c r="I2178" s="16" t="s">
        <v>220</v>
      </c>
    </row>
    <row r="2179" ht="242.25" hidden="1" customHeight="1">
      <c r="B2179" s="32" t="str">
        <f>IMAGE("https://gymvisual.com/12206-catalog_default/forearm-wall-slide.jpg",4,500,500)</f>
        <v/>
      </c>
      <c r="C2179" s="30">
        <v>2178.0</v>
      </c>
      <c r="D2179" s="16" t="s">
        <v>2816</v>
      </c>
      <c r="E2179" s="16" t="s">
        <v>184</v>
      </c>
      <c r="F2179" s="16" t="s">
        <v>192</v>
      </c>
      <c r="G2179" s="16" t="s">
        <v>255</v>
      </c>
      <c r="H2179" s="16" t="s">
        <v>220</v>
      </c>
      <c r="I2179" s="16" t="s">
        <v>220</v>
      </c>
    </row>
    <row r="2180" ht="242.25" hidden="1" customHeight="1">
      <c r="B2180" s="32" t="str">
        <f>IMAGE("https://gymvisual.com/7346-catalog_default/forward-hops.jpg",4,500,500)</f>
        <v/>
      </c>
      <c r="C2180" s="30">
        <v>2179.0</v>
      </c>
      <c r="D2180" s="16" t="s">
        <v>2817</v>
      </c>
      <c r="E2180" s="16" t="s">
        <v>184</v>
      </c>
      <c r="F2180" s="16" t="s">
        <v>285</v>
      </c>
      <c r="G2180" s="16" t="s">
        <v>255</v>
      </c>
      <c r="H2180" s="16" t="s">
        <v>220</v>
      </c>
      <c r="I2180" s="16" t="s">
        <v>220</v>
      </c>
    </row>
    <row r="2181" ht="242.25" hidden="1" customHeight="1">
      <c r="B2181" s="32" t="str">
        <f>IMAGE("https://gymvisual.com/13786-catalog_default/forward-lunge-male.jpg",4,500,500)</f>
        <v/>
      </c>
      <c r="C2181" s="30">
        <v>2180.0</v>
      </c>
      <c r="D2181" s="16" t="s">
        <v>2818</v>
      </c>
      <c r="E2181" s="16" t="s">
        <v>184</v>
      </c>
      <c r="F2181" s="16" t="s">
        <v>285</v>
      </c>
      <c r="G2181" s="16" t="s">
        <v>255</v>
      </c>
      <c r="H2181" s="16" t="s">
        <v>189</v>
      </c>
      <c r="I2181" s="16" t="s">
        <v>190</v>
      </c>
    </row>
    <row r="2182" ht="242.25" hidden="1" customHeight="1">
      <c r="B2182" s="32" t="str">
        <f>IMAGE("https://gymvisual.com/16007-catalog_default/forward-pulse-lunge-with-hands-overhead.jpg",4,500,500)</f>
        <v/>
      </c>
      <c r="C2182" s="30">
        <v>2181.0</v>
      </c>
      <c r="D2182" s="16" t="s">
        <v>2819</v>
      </c>
      <c r="E2182" s="16" t="s">
        <v>184</v>
      </c>
      <c r="F2182" s="16" t="s">
        <v>294</v>
      </c>
      <c r="G2182" s="16" t="s">
        <v>255</v>
      </c>
      <c r="H2182" s="16" t="s">
        <v>189</v>
      </c>
      <c r="I2182" s="16" t="s">
        <v>190</v>
      </c>
    </row>
    <row r="2183" ht="242.25" hidden="1" customHeight="1">
      <c r="B2183" s="32" t="str">
        <f>IMAGE("https://gymvisual.com/17805-catalog_default/forward-step-front-plank-female.jpg",4,500,500)</f>
        <v/>
      </c>
      <c r="C2183" s="30">
        <v>2182.0</v>
      </c>
      <c r="D2183" s="16" t="s">
        <v>2820</v>
      </c>
      <c r="E2183" s="16" t="s">
        <v>184</v>
      </c>
      <c r="F2183" s="16" t="s">
        <v>185</v>
      </c>
      <c r="G2183" s="16" t="s">
        <v>255</v>
      </c>
      <c r="H2183" s="16" t="s">
        <v>220</v>
      </c>
      <c r="I2183" s="16" t="s">
        <v>220</v>
      </c>
    </row>
    <row r="2184" ht="242.25" hidden="1" customHeight="1">
      <c r="B2184" s="32" t="str">
        <f>IMAGE("https://gymvisual.com/17333-catalog_default/forward-to-side-to-rear-lunge-female.jpg",4,500,500)</f>
        <v/>
      </c>
      <c r="C2184" s="30">
        <v>2183.0</v>
      </c>
      <c r="D2184" s="16" t="s">
        <v>2821</v>
      </c>
      <c r="E2184" s="16" t="s">
        <v>184</v>
      </c>
      <c r="F2184" s="16" t="s">
        <v>294</v>
      </c>
      <c r="G2184" s="16" t="s">
        <v>255</v>
      </c>
      <c r="H2184" s="16" t="s">
        <v>295</v>
      </c>
      <c r="I2184" s="16" t="s">
        <v>296</v>
      </c>
    </row>
    <row r="2185" ht="242.25" customHeight="1">
      <c r="A2185" s="32" t="b">
        <v>0</v>
      </c>
      <c r="B2185" s="32" t="str">
        <f>IMAGE("https://gymvisual.com/12855-catalog_default/frankenstein-squat.jpg",4,500,500)</f>
        <v/>
      </c>
      <c r="C2185" s="30">
        <v>2184.0</v>
      </c>
      <c r="D2185" s="16" t="s">
        <v>2822</v>
      </c>
      <c r="E2185" s="16" t="s">
        <v>184</v>
      </c>
      <c r="F2185" s="16" t="s">
        <v>285</v>
      </c>
      <c r="G2185" s="16" t="s">
        <v>186</v>
      </c>
      <c r="H2185" s="16" t="s">
        <v>189</v>
      </c>
      <c r="I2185" s="16" t="s">
        <v>190</v>
      </c>
    </row>
    <row r="2186" ht="242.25" hidden="1" customHeight="1">
      <c r="B2186" s="32" t="str">
        <f>IMAGE("https://gymvisual.com/10528-catalog_default/frog-crunch.jpg",4,500,500)</f>
        <v/>
      </c>
      <c r="C2186" s="30">
        <v>2185.0</v>
      </c>
      <c r="D2186" s="16" t="s">
        <v>2823</v>
      </c>
      <c r="E2186" s="16" t="s">
        <v>184</v>
      </c>
      <c r="F2186" s="16" t="s">
        <v>254</v>
      </c>
      <c r="G2186" s="16" t="s">
        <v>255</v>
      </c>
      <c r="H2186" s="16" t="s">
        <v>256</v>
      </c>
      <c r="I2186" s="16" t="s">
        <v>2824</v>
      </c>
    </row>
    <row r="2187" ht="242.25" hidden="1" customHeight="1">
      <c r="B2187" s="32" t="str">
        <f>IMAGE("https://gymvisual.com/11137-catalog_default/frog-crunch-female.jpg",4,500,500)</f>
        <v/>
      </c>
      <c r="C2187" s="30">
        <v>2186.0</v>
      </c>
      <c r="D2187" s="16" t="s">
        <v>2825</v>
      </c>
      <c r="E2187" s="16" t="s">
        <v>184</v>
      </c>
      <c r="F2187" s="16" t="s">
        <v>254</v>
      </c>
      <c r="G2187" s="16" t="s">
        <v>255</v>
      </c>
      <c r="H2187" s="16" t="s">
        <v>305</v>
      </c>
      <c r="I2187" s="16" t="s">
        <v>311</v>
      </c>
    </row>
    <row r="2188" ht="242.25" hidden="1" customHeight="1">
      <c r="B2188" s="32" t="str">
        <f>IMAGE("https://gymvisual.com/11834-catalog_default/frog-hip-thrust-female.jpg",4,500,500)</f>
        <v/>
      </c>
      <c r="C2188" s="30">
        <v>2187.0</v>
      </c>
      <c r="D2188" s="16" t="s">
        <v>2826</v>
      </c>
      <c r="E2188" s="16" t="s">
        <v>184</v>
      </c>
      <c r="F2188" s="16" t="s">
        <v>185</v>
      </c>
      <c r="G2188" s="16" t="s">
        <v>255</v>
      </c>
      <c r="H2188" s="16" t="s">
        <v>1240</v>
      </c>
      <c r="I2188" s="16" t="s">
        <v>1241</v>
      </c>
    </row>
    <row r="2189" ht="242.25" hidden="1" customHeight="1">
      <c r="B2189" s="32" t="str">
        <f>IMAGE("https://gymvisual.com/12751-catalog_default/frog-reverse-hyperextension-on-a-bench-female.jpg",4,500,500)</f>
        <v/>
      </c>
      <c r="C2189" s="30">
        <v>2188.0</v>
      </c>
      <c r="D2189" s="16" t="s">
        <v>2827</v>
      </c>
      <c r="E2189" s="16" t="s">
        <v>184</v>
      </c>
      <c r="F2189" s="16" t="s">
        <v>185</v>
      </c>
      <c r="G2189" s="16" t="s">
        <v>255</v>
      </c>
      <c r="H2189" s="16" t="s">
        <v>1201</v>
      </c>
      <c r="I2189" s="16" t="s">
        <v>188</v>
      </c>
    </row>
    <row r="2190" ht="242.25" hidden="1" customHeight="1">
      <c r="B2190" s="32" t="str">
        <f>IMAGE("https://gymvisual.com/17739-catalog_default/frog-reverse-hyperextension-on-a-bench-male.jpg",4,500,500)</f>
        <v/>
      </c>
      <c r="C2190" s="30">
        <v>2189.0</v>
      </c>
      <c r="D2190" s="16" t="s">
        <v>2828</v>
      </c>
      <c r="E2190" s="16" t="s">
        <v>184</v>
      </c>
      <c r="F2190" s="16" t="s">
        <v>185</v>
      </c>
      <c r="G2190" s="16" t="s">
        <v>255</v>
      </c>
      <c r="H2190" s="16" t="s">
        <v>220</v>
      </c>
      <c r="I2190" s="16" t="s">
        <v>220</v>
      </c>
    </row>
    <row r="2191" ht="242.25" hidden="1" customHeight="1">
      <c r="B2191" s="32" t="str">
        <f>IMAGE("https://gymvisual.com/17121-catalog_default/frog-sit-up.jpg",4,500,500)</f>
        <v/>
      </c>
      <c r="C2191" s="30">
        <v>2190.0</v>
      </c>
      <c r="D2191" s="16" t="s">
        <v>2829</v>
      </c>
      <c r="E2191" s="16" t="s">
        <v>184</v>
      </c>
      <c r="F2191" s="16" t="s">
        <v>254</v>
      </c>
      <c r="G2191" s="16" t="s">
        <v>255</v>
      </c>
      <c r="H2191" s="16" t="s">
        <v>2830</v>
      </c>
      <c r="I2191" s="16" t="s">
        <v>2831</v>
      </c>
    </row>
    <row r="2192" ht="242.25" hidden="1" customHeight="1">
      <c r="B2192" s="32" t="str">
        <f>IMAGE("https://gymvisual.com/16011-catalog_default/frogger.jpg",4,500,500)</f>
        <v/>
      </c>
      <c r="C2192" s="30">
        <v>2191.0</v>
      </c>
      <c r="D2192" s="16" t="s">
        <v>2832</v>
      </c>
      <c r="E2192" s="16" t="s">
        <v>184</v>
      </c>
      <c r="F2192" s="16" t="s">
        <v>254</v>
      </c>
      <c r="G2192" s="16" t="s">
        <v>255</v>
      </c>
      <c r="H2192" s="16" t="s">
        <v>2833</v>
      </c>
      <c r="I2192" s="16" t="s">
        <v>2834</v>
      </c>
    </row>
    <row r="2193" ht="242.25" hidden="1" customHeight="1">
      <c r="B2193" s="32" t="str">
        <f>IMAGE("https://gymvisual.com/6810-catalog_default/front-back-leg-raises.jpg",4,500,500)</f>
        <v/>
      </c>
      <c r="C2193" s="30">
        <v>2192.0</v>
      </c>
      <c r="D2193" s="16" t="s">
        <v>2835</v>
      </c>
      <c r="E2193" s="16" t="s">
        <v>184</v>
      </c>
      <c r="F2193" s="16" t="s">
        <v>185</v>
      </c>
      <c r="G2193" s="16" t="s">
        <v>255</v>
      </c>
      <c r="H2193" s="16" t="s">
        <v>220</v>
      </c>
      <c r="I2193" s="16" t="s">
        <v>220</v>
      </c>
    </row>
    <row r="2194" ht="242.25" hidden="1" customHeight="1">
      <c r="B2194" s="32" t="str">
        <f>IMAGE("https://gymvisual.com/13529-catalog_default/front-lever.jpg",4,500,500)</f>
        <v/>
      </c>
      <c r="C2194" s="30">
        <v>2193.0</v>
      </c>
      <c r="D2194" s="16" t="s">
        <v>2836</v>
      </c>
      <c r="E2194" s="16" t="s">
        <v>184</v>
      </c>
      <c r="F2194" s="16" t="s">
        <v>254</v>
      </c>
      <c r="G2194" s="16" t="s">
        <v>255</v>
      </c>
      <c r="H2194" s="16" t="s">
        <v>256</v>
      </c>
      <c r="I2194" s="16" t="s">
        <v>2837</v>
      </c>
    </row>
    <row r="2195" ht="242.25" hidden="1" customHeight="1">
      <c r="B2195" s="32" t="str">
        <f>IMAGE("https://gymvisual.com/13527-catalog_default/front-lever-reps.jpg",4,500,500)</f>
        <v/>
      </c>
      <c r="C2195" s="30">
        <v>2194.0</v>
      </c>
      <c r="D2195" s="16" t="s">
        <v>2838</v>
      </c>
      <c r="E2195" s="16" t="s">
        <v>184</v>
      </c>
      <c r="F2195" s="16" t="s">
        <v>361</v>
      </c>
      <c r="G2195" s="16" t="s">
        <v>255</v>
      </c>
      <c r="H2195" s="16" t="s">
        <v>220</v>
      </c>
      <c r="I2195" s="16" t="s">
        <v>220</v>
      </c>
    </row>
    <row r="2196" ht="242.25" hidden="1" customHeight="1">
      <c r="B2196" s="32" t="str">
        <f>IMAGE("https://gymvisual.com/13259-catalog_default/3-4-sit-up.jpg",4,500,500)</f>
        <v/>
      </c>
      <c r="C2196" s="30">
        <v>2195.0</v>
      </c>
      <c r="D2196" s="16" t="s">
        <v>2839</v>
      </c>
      <c r="E2196" s="16" t="s">
        <v>184</v>
      </c>
      <c r="F2196" s="16" t="s">
        <v>254</v>
      </c>
      <c r="G2196" s="16" t="s">
        <v>255</v>
      </c>
      <c r="H2196" s="16" t="s">
        <v>256</v>
      </c>
      <c r="I2196" s="16" t="s">
        <v>2840</v>
      </c>
    </row>
    <row r="2197" ht="242.25" hidden="1" customHeight="1">
      <c r="B2197" s="32" t="str">
        <f>IMAGE("https://gymvisual.com/1412-catalog_default/3-4-sit-up.jpg",4,500,500)</f>
        <v/>
      </c>
      <c r="C2197" s="30">
        <v>2196.0</v>
      </c>
      <c r="D2197" s="16" t="s">
        <v>2839</v>
      </c>
      <c r="E2197" s="16" t="s">
        <v>184</v>
      </c>
      <c r="F2197" s="16" t="s">
        <v>254</v>
      </c>
      <c r="G2197" s="16" t="s">
        <v>255</v>
      </c>
      <c r="H2197" s="16" t="s">
        <v>256</v>
      </c>
      <c r="I2197" s="16" t="s">
        <v>1314</v>
      </c>
    </row>
    <row r="2198" ht="242.25" hidden="1" customHeight="1">
      <c r="B2198" s="32" t="str">
        <f>IMAGE("https://gymvisual.com/10194-catalog_default/front-plank-butt-wrong-right.jpg",4,500,500)</f>
        <v/>
      </c>
      <c r="C2198" s="30">
        <v>2197.0</v>
      </c>
      <c r="D2198" s="16" t="s">
        <v>2841</v>
      </c>
      <c r="E2198" s="16" t="s">
        <v>184</v>
      </c>
      <c r="F2198" s="16" t="s">
        <v>254</v>
      </c>
      <c r="G2198" s="16" t="s">
        <v>255</v>
      </c>
      <c r="H2198" s="16" t="s">
        <v>220</v>
      </c>
      <c r="I2198" s="16" t="s">
        <v>220</v>
      </c>
    </row>
    <row r="2199" ht="242.25" hidden="1" customHeight="1">
      <c r="B2199" s="32" t="str">
        <f>IMAGE("https://gymvisual.com/12081-catalog_default/front-plank-to-push-up-female.jpg",4,500,500)</f>
        <v/>
      </c>
      <c r="C2199" s="30">
        <v>2198.0</v>
      </c>
      <c r="D2199" s="16" t="s">
        <v>2842</v>
      </c>
      <c r="E2199" s="16" t="s">
        <v>184</v>
      </c>
      <c r="F2199" s="16" t="s">
        <v>254</v>
      </c>
      <c r="G2199" s="16" t="s">
        <v>255</v>
      </c>
      <c r="H2199" s="16" t="s">
        <v>220</v>
      </c>
      <c r="I2199" s="16" t="s">
        <v>220</v>
      </c>
    </row>
    <row r="2200" ht="242.25" hidden="1" customHeight="1">
      <c r="B2200" s="32" t="str">
        <f>IMAGE("https://gymvisual.com/24657-catalog_default/front-plank-to-toe-tap-male.jpg",4,500,500)</f>
        <v/>
      </c>
      <c r="C2200" s="30">
        <v>2199.0</v>
      </c>
      <c r="D2200" s="16" t="s">
        <v>2843</v>
      </c>
      <c r="E2200" s="16" t="s">
        <v>184</v>
      </c>
      <c r="F2200" s="16" t="s">
        <v>185</v>
      </c>
      <c r="G2200" s="16" t="s">
        <v>255</v>
      </c>
      <c r="H2200" s="16" t="s">
        <v>220</v>
      </c>
      <c r="I2200" s="16" t="s">
        <v>220</v>
      </c>
    </row>
    <row r="2201" ht="242.25" hidden="1" customHeight="1">
      <c r="B2201" s="32" t="str">
        <f>IMAGE("https://gymvisual.com/17703-catalog_default/front-plank-toe-tap-male.jpg",4,500,500)</f>
        <v/>
      </c>
      <c r="C2201" s="30">
        <v>2200.0</v>
      </c>
      <c r="D2201" s="16" t="s">
        <v>2844</v>
      </c>
      <c r="E2201" s="16" t="s">
        <v>184</v>
      </c>
      <c r="F2201" s="16" t="s">
        <v>254</v>
      </c>
      <c r="G2201" s="16" t="s">
        <v>255</v>
      </c>
      <c r="H2201" s="16" t="s">
        <v>2845</v>
      </c>
      <c r="I2201" s="16" t="s">
        <v>2846</v>
      </c>
    </row>
    <row r="2202" ht="242.25" hidden="1" customHeight="1">
      <c r="B2202" s="32" t="str">
        <f>IMAGE("https://gymvisual.com/12087-catalog_default/front-plank-with-arm-and-leg-lift-female.jpg",4,500,500)</f>
        <v/>
      </c>
      <c r="C2202" s="30">
        <v>2201.0</v>
      </c>
      <c r="D2202" s="16" t="s">
        <v>2847</v>
      </c>
      <c r="E2202" s="16" t="s">
        <v>184</v>
      </c>
      <c r="F2202" s="16" t="s">
        <v>254</v>
      </c>
      <c r="G2202" s="16" t="s">
        <v>255</v>
      </c>
      <c r="H2202" s="16" t="s">
        <v>2848</v>
      </c>
      <c r="I2202" s="16" t="s">
        <v>2849</v>
      </c>
    </row>
    <row r="2203" ht="242.25" hidden="1" customHeight="1">
      <c r="B2203" s="32" t="str">
        <f>IMAGE("https://gymvisual.com/19375-catalog_default/front-plank-with-arm-and-leg-lift-push-up-position-female.jpg",4,500,500)</f>
        <v/>
      </c>
      <c r="C2203" s="30">
        <v>2202.0</v>
      </c>
      <c r="D2203" s="16" t="s">
        <v>2850</v>
      </c>
      <c r="E2203" s="16" t="s">
        <v>184</v>
      </c>
      <c r="F2203" s="16" t="s">
        <v>254</v>
      </c>
      <c r="G2203" s="16" t="s">
        <v>255</v>
      </c>
      <c r="H2203" s="16" t="s">
        <v>220</v>
      </c>
      <c r="I2203" s="16" t="s">
        <v>220</v>
      </c>
    </row>
    <row r="2204" ht="242.25" hidden="1" customHeight="1">
      <c r="B2204" s="32" t="str">
        <f>IMAGE("https://gymvisual.com/12085-catalog_default/front-plank-with-arm-lift-female.jpg",4,500,500)</f>
        <v/>
      </c>
      <c r="C2204" s="30">
        <v>2203.0</v>
      </c>
      <c r="D2204" s="16" t="s">
        <v>2851</v>
      </c>
      <c r="E2204" s="16" t="s">
        <v>184</v>
      </c>
      <c r="F2204" s="16" t="s">
        <v>254</v>
      </c>
      <c r="G2204" s="16" t="s">
        <v>255</v>
      </c>
      <c r="H2204" s="16" t="s">
        <v>220</v>
      </c>
      <c r="I2204" s="16" t="s">
        <v>220</v>
      </c>
    </row>
    <row r="2205" ht="242.25" hidden="1" customHeight="1">
      <c r="B2205" s="32" t="str">
        <f>IMAGE("https://gymvisual.com/12086-catalog_default/front-plank-with-arm-lift-push-up-position-female.jpg",4,500,500)</f>
        <v/>
      </c>
      <c r="C2205" s="30">
        <v>2204.0</v>
      </c>
      <c r="D2205" s="16" t="s">
        <v>2852</v>
      </c>
      <c r="E2205" s="16" t="s">
        <v>184</v>
      </c>
      <c r="F2205" s="16" t="s">
        <v>254</v>
      </c>
      <c r="G2205" s="16" t="s">
        <v>255</v>
      </c>
      <c r="H2205" s="16" t="s">
        <v>220</v>
      </c>
      <c r="I2205" s="16" t="s">
        <v>220</v>
      </c>
    </row>
    <row r="2206" ht="242.25" hidden="1" customHeight="1">
      <c r="B2206" s="32" t="str">
        <f>IMAGE("https://gymvisual.com/12089-catalog_default/front-plank-with-leg-lift-female.jpg",4,500,500)</f>
        <v/>
      </c>
      <c r="C2206" s="30">
        <v>2205.0</v>
      </c>
      <c r="D2206" s="16" t="s">
        <v>2853</v>
      </c>
      <c r="E2206" s="16" t="s">
        <v>184</v>
      </c>
      <c r="F2206" s="16" t="s">
        <v>254</v>
      </c>
      <c r="G2206" s="16" t="s">
        <v>255</v>
      </c>
      <c r="H2206" s="16" t="s">
        <v>2848</v>
      </c>
      <c r="I2206" s="16" t="s">
        <v>2854</v>
      </c>
    </row>
    <row r="2207" ht="242.25" hidden="1" customHeight="1">
      <c r="B2207" s="32" t="str">
        <f>IMAGE("https://gymvisual.com/14018-catalog_default/front-plank-with-leg-lift-male.jpg",4,500,500)</f>
        <v/>
      </c>
      <c r="C2207" s="30">
        <v>2206.0</v>
      </c>
      <c r="D2207" s="16" t="s">
        <v>2855</v>
      </c>
      <c r="E2207" s="16" t="s">
        <v>184</v>
      </c>
      <c r="F2207" s="16" t="s">
        <v>310</v>
      </c>
      <c r="G2207" s="16" t="s">
        <v>255</v>
      </c>
      <c r="H2207" s="16" t="s">
        <v>2848</v>
      </c>
      <c r="I2207" s="16" t="s">
        <v>2856</v>
      </c>
    </row>
    <row r="2208" ht="242.25" hidden="1" customHeight="1">
      <c r="B2208" s="32" t="str">
        <f>IMAGE("https://gymvisual.com/1409-catalog_default/3-4-sit-up.jpg",4,500,500)</f>
        <v/>
      </c>
      <c r="C2208" s="30">
        <v>2207.0</v>
      </c>
      <c r="D2208" s="16" t="s">
        <v>2857</v>
      </c>
      <c r="E2208" s="16" t="s">
        <v>184</v>
      </c>
      <c r="F2208" s="16" t="s">
        <v>254</v>
      </c>
      <c r="G2208" s="16" t="s">
        <v>255</v>
      </c>
      <c r="H2208" s="16" t="s">
        <v>260</v>
      </c>
      <c r="I2208" s="16" t="s">
        <v>2858</v>
      </c>
    </row>
    <row r="2209" ht="242.25" hidden="1" customHeight="1">
      <c r="B2209" s="32" t="str">
        <f>IMAGE("https://gymvisual.com/17797-catalog_default/front-to-side-plank-female.jpg",4,500,500)</f>
        <v/>
      </c>
      <c r="C2209" s="30">
        <v>2208.0</v>
      </c>
      <c r="D2209" s="16" t="s">
        <v>2859</v>
      </c>
      <c r="E2209" s="16" t="s">
        <v>184</v>
      </c>
      <c r="F2209" s="16" t="s">
        <v>254</v>
      </c>
      <c r="G2209" s="16" t="s">
        <v>255</v>
      </c>
      <c r="H2209" s="16" t="s">
        <v>220</v>
      </c>
      <c r="I2209" s="16" t="s">
        <v>220</v>
      </c>
    </row>
    <row r="2210" ht="242.25" hidden="1" customHeight="1">
      <c r="B2210" s="32" t="str">
        <f>IMAGE("https://gymvisual.com/13606-catalog_default/full-planche-push-up.jpg",4,500,500)</f>
        <v/>
      </c>
      <c r="C2210" s="30">
        <v>2209.0</v>
      </c>
      <c r="D2210" s="16" t="s">
        <v>2860</v>
      </c>
      <c r="E2210" s="16" t="s">
        <v>184</v>
      </c>
      <c r="F2210" s="16" t="s">
        <v>2861</v>
      </c>
      <c r="G2210" s="16" t="s">
        <v>255</v>
      </c>
      <c r="H2210" s="16" t="s">
        <v>2862</v>
      </c>
      <c r="I2210" s="16" t="s">
        <v>2863</v>
      </c>
    </row>
    <row r="2211" ht="242.25" hidden="1" customHeight="1">
      <c r="B2211" s="32" t="str">
        <f>IMAGE("https://gymvisual.com/14016-catalog_default/full-squat-mobility.jpg",4,500,500)</f>
        <v/>
      </c>
      <c r="C2211" s="30">
        <v>2210.0</v>
      </c>
      <c r="D2211" s="16" t="s">
        <v>2864</v>
      </c>
      <c r="E2211" s="16" t="s">
        <v>184</v>
      </c>
      <c r="F2211" s="16" t="s">
        <v>294</v>
      </c>
      <c r="G2211" s="16" t="s">
        <v>255</v>
      </c>
      <c r="H2211" s="16" t="s">
        <v>189</v>
      </c>
      <c r="I2211" s="16" t="s">
        <v>190</v>
      </c>
    </row>
    <row r="2212" ht="242.25" hidden="1" customHeight="1">
      <c r="B2212" s="32" t="str">
        <f>IMAGE("https://gymvisual.com/1414-catalog_default/3-4-sit-up.jpg",4,500,500)</f>
        <v/>
      </c>
      <c r="C2212" s="30">
        <v>2211.0</v>
      </c>
      <c r="D2212" s="16" t="s">
        <v>2865</v>
      </c>
      <c r="E2212" s="16" t="s">
        <v>184</v>
      </c>
      <c r="F2212" s="16" t="s">
        <v>192</v>
      </c>
      <c r="G2212" s="16" t="s">
        <v>255</v>
      </c>
      <c r="H2212" s="16" t="s">
        <v>300</v>
      </c>
      <c r="I2212" s="16" t="s">
        <v>1357</v>
      </c>
    </row>
    <row r="2213" ht="242.25" hidden="1" customHeight="1">
      <c r="B2213" s="32" t="str">
        <f>IMAGE("https://gymvisual.com/14149-catalog_default/glute-bridge-march.jpg",4,500,500)</f>
        <v/>
      </c>
      <c r="C2213" s="30">
        <v>2212.0</v>
      </c>
      <c r="D2213" s="16" t="s">
        <v>2866</v>
      </c>
      <c r="E2213" s="16" t="s">
        <v>184</v>
      </c>
      <c r="F2213" s="16" t="s">
        <v>310</v>
      </c>
      <c r="G2213" s="16" t="s">
        <v>255</v>
      </c>
      <c r="H2213" s="16" t="s">
        <v>2848</v>
      </c>
      <c r="I2213" s="16" t="s">
        <v>1204</v>
      </c>
    </row>
    <row r="2214" ht="242.25" hidden="1" customHeight="1">
      <c r="B2214" s="32" t="str">
        <f>IMAGE("https://gymvisual.com/22630-catalog_default/glute-bridge-march-female.jpg",4,500,500)</f>
        <v/>
      </c>
      <c r="C2214" s="30">
        <v>2213.0</v>
      </c>
      <c r="D2214" s="16" t="s">
        <v>2867</v>
      </c>
      <c r="E2214" s="16" t="s">
        <v>184</v>
      </c>
      <c r="F2214" s="16" t="s">
        <v>185</v>
      </c>
      <c r="G2214" s="16" t="s">
        <v>255</v>
      </c>
      <c r="H2214" s="16" t="s">
        <v>2868</v>
      </c>
      <c r="I2214" s="16" t="s">
        <v>1204</v>
      </c>
    </row>
    <row r="2215" ht="242.25" hidden="1" customHeight="1">
      <c r="B2215" s="32" t="str">
        <f>IMAGE("https://gymvisual.com/10653-catalog_default/glute-bridge-one-leg-on-bench.jpg",4,500,500)</f>
        <v/>
      </c>
      <c r="C2215" s="30">
        <v>2214.0</v>
      </c>
      <c r="D2215" s="16" t="s">
        <v>2869</v>
      </c>
      <c r="E2215" s="16" t="s">
        <v>184</v>
      </c>
      <c r="F2215" s="16" t="s">
        <v>185</v>
      </c>
      <c r="G2215" s="16" t="s">
        <v>255</v>
      </c>
      <c r="H2215" s="16" t="s">
        <v>187</v>
      </c>
      <c r="I2215" s="16" t="s">
        <v>220</v>
      </c>
    </row>
    <row r="2216" ht="242.25" hidden="1" customHeight="1">
      <c r="B2216" s="32" t="str">
        <f>IMAGE("https://gymvisual.com/10659-catalog_default/glute-bridge-one-leg-on-floor-bent-knee.jpg",4,500,500)</f>
        <v/>
      </c>
      <c r="C2216" s="30">
        <v>2215.0</v>
      </c>
      <c r="D2216" s="16" t="s">
        <v>2870</v>
      </c>
      <c r="E2216" s="16" t="s">
        <v>184</v>
      </c>
      <c r="F2216" s="16" t="s">
        <v>185</v>
      </c>
      <c r="G2216" s="16" t="s">
        <v>255</v>
      </c>
      <c r="H2216" s="16" t="s">
        <v>187</v>
      </c>
      <c r="I2216" s="16" t="s">
        <v>220</v>
      </c>
    </row>
    <row r="2217" ht="242.25" hidden="1" customHeight="1">
      <c r="B2217" s="32" t="str">
        <f>IMAGE("https://gymvisual.com/10656-catalog_default/glute-bridge-one-leg-on-floor-straight-leg.jpg",4,500,500)</f>
        <v/>
      </c>
      <c r="C2217" s="30">
        <v>2216.0</v>
      </c>
      <c r="D2217" s="16" t="s">
        <v>2871</v>
      </c>
      <c r="E2217" s="16" t="s">
        <v>184</v>
      </c>
      <c r="F2217" s="16" t="s">
        <v>185</v>
      </c>
      <c r="G2217" s="16" t="s">
        <v>255</v>
      </c>
      <c r="H2217" s="16" t="s">
        <v>187</v>
      </c>
      <c r="I2217" s="16" t="s">
        <v>220</v>
      </c>
    </row>
    <row r="2218" ht="242.25" hidden="1" customHeight="1">
      <c r="B2218" s="32" t="str">
        <f>IMAGE("https://gymvisual.com/10650-catalog_default/glute-bridge-two-legs-on-bench.jpg",4,500,500)</f>
        <v/>
      </c>
      <c r="C2218" s="30">
        <v>2217.0</v>
      </c>
      <c r="D2218" s="16" t="s">
        <v>2872</v>
      </c>
      <c r="E2218" s="16" t="s">
        <v>184</v>
      </c>
      <c r="F2218" s="16" t="s">
        <v>185</v>
      </c>
      <c r="G2218" s="16" t="s">
        <v>255</v>
      </c>
      <c r="H2218" s="16" t="s">
        <v>187</v>
      </c>
      <c r="I2218" s="16" t="s">
        <v>220</v>
      </c>
    </row>
    <row r="2219" ht="242.25" hidden="1" customHeight="1">
      <c r="B2219" s="32" t="str">
        <f>IMAGE("https://gymvisual.com/14056-catalog_default/glute-bridge-two-legs-on-bench-male.jpg",4,500,500)</f>
        <v/>
      </c>
      <c r="C2219" s="30">
        <v>2218.0</v>
      </c>
      <c r="D2219" s="16" t="s">
        <v>2873</v>
      </c>
      <c r="E2219" s="16" t="s">
        <v>184</v>
      </c>
      <c r="F2219" s="16" t="s">
        <v>185</v>
      </c>
      <c r="G2219" s="16" t="s">
        <v>255</v>
      </c>
      <c r="H2219" s="16" t="s">
        <v>187</v>
      </c>
      <c r="I2219" s="16" t="s">
        <v>188</v>
      </c>
    </row>
    <row r="2220" ht="242.25" hidden="1" customHeight="1">
      <c r="B2220" s="32" t="str">
        <f>IMAGE("https://gymvisual.com/22542-catalog_default/glute-bridge-two-legs-on-floor-female.jpg",4,500,500)</f>
        <v/>
      </c>
      <c r="C2220" s="30">
        <v>2219.0</v>
      </c>
      <c r="D2220" s="16" t="s">
        <v>2874</v>
      </c>
      <c r="E2220" s="16" t="s">
        <v>184</v>
      </c>
      <c r="F2220" s="16" t="s">
        <v>185</v>
      </c>
      <c r="G2220" s="16" t="s">
        <v>255</v>
      </c>
      <c r="H2220" s="16" t="s">
        <v>187</v>
      </c>
      <c r="I2220" s="16" t="s">
        <v>854</v>
      </c>
    </row>
    <row r="2221" ht="242.25" hidden="1" customHeight="1">
      <c r="B2221" s="32" t="str">
        <f>IMAGE("https://gymvisual.com/22271-catalog_default/glute-ham-developer-hip-extension.jpg",4,500,500)</f>
        <v/>
      </c>
      <c r="C2221" s="30">
        <v>2220.0</v>
      </c>
      <c r="D2221" s="16" t="s">
        <v>2875</v>
      </c>
      <c r="E2221" s="16" t="s">
        <v>184</v>
      </c>
      <c r="F2221" s="16" t="s">
        <v>185</v>
      </c>
      <c r="G2221" s="16" t="s">
        <v>255</v>
      </c>
      <c r="H2221" s="16" t="s">
        <v>220</v>
      </c>
      <c r="I2221" s="16" t="s">
        <v>220</v>
      </c>
    </row>
    <row r="2222" ht="242.25" hidden="1" customHeight="1">
      <c r="B2222" s="32" t="str">
        <f>IMAGE("https://gymvisual.com/22273-catalog_default/glute-ham-developer-sit-up-and-russian-twist.jpg",4,500,500)</f>
        <v/>
      </c>
      <c r="C2222" s="30">
        <v>2221.0</v>
      </c>
      <c r="D2222" s="16" t="s">
        <v>2876</v>
      </c>
      <c r="E2222" s="16" t="s">
        <v>184</v>
      </c>
      <c r="F2222" s="16" t="s">
        <v>254</v>
      </c>
      <c r="G2222" s="16" t="s">
        <v>255</v>
      </c>
      <c r="H2222" s="16" t="s">
        <v>220</v>
      </c>
      <c r="I2222" s="16" t="s">
        <v>220</v>
      </c>
    </row>
    <row r="2223" ht="242.25" hidden="1" customHeight="1">
      <c r="B2223" s="32" t="str">
        <f>IMAGE("https://gymvisual.com/22275-catalog_default/glute-ham-hyperextension-twist.jpg",4,500,500)</f>
        <v/>
      </c>
      <c r="C2223" s="30">
        <v>2222.0</v>
      </c>
      <c r="D2223" s="16" t="s">
        <v>2877</v>
      </c>
      <c r="E2223" s="16" t="s">
        <v>184</v>
      </c>
      <c r="F2223" s="16" t="s">
        <v>185</v>
      </c>
      <c r="G2223" s="16" t="s">
        <v>255</v>
      </c>
      <c r="H2223" s="16" t="s">
        <v>220</v>
      </c>
      <c r="I2223" s="16" t="s">
        <v>220</v>
      </c>
    </row>
    <row r="2224" ht="242.25" hidden="1" customHeight="1">
      <c r="B2224" s="32" t="str">
        <f>IMAGE("https://gymvisual.com/19014-catalog_default/glute-ham-raise-version-2.jpg",4,500,500)</f>
        <v/>
      </c>
      <c r="C2224" s="30">
        <v>2223.0</v>
      </c>
      <c r="D2224" s="16" t="s">
        <v>2878</v>
      </c>
      <c r="E2224" s="16" t="s">
        <v>184</v>
      </c>
      <c r="F2224" s="16" t="s">
        <v>285</v>
      </c>
      <c r="G2224" s="16" t="s">
        <v>255</v>
      </c>
      <c r="H2224" s="16" t="s">
        <v>188</v>
      </c>
      <c r="I2224" s="16" t="s">
        <v>2879</v>
      </c>
    </row>
    <row r="2225" ht="242.25" hidden="1" customHeight="1">
      <c r="B2225" s="32" t="str">
        <f>IMAGE("https://gymvisual.com/22428-catalog_default/glute-ham-raise-with-extended-arms.jpg",4,500,500)</f>
        <v/>
      </c>
      <c r="C2225" s="30">
        <v>2224.0</v>
      </c>
      <c r="D2225" s="16" t="s">
        <v>2880</v>
      </c>
      <c r="E2225" s="16" t="s">
        <v>184</v>
      </c>
      <c r="F2225" s="16" t="s">
        <v>285</v>
      </c>
      <c r="G2225" s="16" t="s">
        <v>255</v>
      </c>
      <c r="H2225" s="16" t="s">
        <v>220</v>
      </c>
      <c r="I2225" s="16" t="s">
        <v>220</v>
      </c>
    </row>
    <row r="2226" ht="242.25" hidden="1" customHeight="1">
      <c r="B2226" s="32" t="str">
        <f>IMAGE("https://gymvisual.com/22277-catalog_default/glute-ham-single-leg-hyperextension.jpg",4,500,500)</f>
        <v/>
      </c>
      <c r="C2226" s="30">
        <v>2225.0</v>
      </c>
      <c r="D2226" s="16" t="s">
        <v>2881</v>
      </c>
      <c r="E2226" s="16" t="s">
        <v>184</v>
      </c>
      <c r="F2226" s="16" t="s">
        <v>185</v>
      </c>
      <c r="G2226" s="16" t="s">
        <v>255</v>
      </c>
      <c r="H2226" s="16" t="s">
        <v>220</v>
      </c>
      <c r="I2226" s="16" t="s">
        <v>220</v>
      </c>
    </row>
    <row r="2227" ht="242.25" hidden="1" customHeight="1">
      <c r="B2227" s="32" t="str">
        <f>IMAGE("https://gymvisual.com/24083-catalog_default/glute-ham-twist.jpg",4,500,500)</f>
        <v/>
      </c>
      <c r="C2227" s="30">
        <v>2226.0</v>
      </c>
      <c r="D2227" s="16" t="s">
        <v>2882</v>
      </c>
      <c r="E2227" s="16" t="s">
        <v>184</v>
      </c>
      <c r="F2227" s="16" t="s">
        <v>254</v>
      </c>
      <c r="G2227" s="16" t="s">
        <v>255</v>
      </c>
      <c r="H2227" s="16" t="s">
        <v>220</v>
      </c>
      <c r="I2227" s="16" t="s">
        <v>220</v>
      </c>
    </row>
    <row r="2228" ht="242.25" hidden="1" customHeight="1">
      <c r="B2228" s="32" t="str">
        <f>IMAGE("https://gymvisual.com/23557-catalog_default/glute-march.jpg",4,500,500)</f>
        <v/>
      </c>
      <c r="C2228" s="30">
        <v>2227.0</v>
      </c>
      <c r="D2228" s="16" t="s">
        <v>2883</v>
      </c>
      <c r="E2228" s="16" t="s">
        <v>184</v>
      </c>
      <c r="F2228" s="16" t="s">
        <v>185</v>
      </c>
      <c r="G2228" s="16" t="s">
        <v>255</v>
      </c>
      <c r="H2228" s="16" t="s">
        <v>2868</v>
      </c>
      <c r="I2228" s="16" t="s">
        <v>1202</v>
      </c>
    </row>
    <row r="2229" ht="242.25" hidden="1" customHeight="1">
      <c r="B2229" s="32" t="str">
        <f>IMAGE("https://gymvisual.com/20684-catalog_default/glute-ham-raise.jpg",4,500,500)</f>
        <v/>
      </c>
      <c r="C2229" s="30">
        <v>2228.0</v>
      </c>
      <c r="D2229" s="16" t="s">
        <v>2884</v>
      </c>
      <c r="E2229" s="16" t="s">
        <v>184</v>
      </c>
      <c r="F2229" s="16" t="s">
        <v>285</v>
      </c>
      <c r="G2229" s="16" t="s">
        <v>255</v>
      </c>
      <c r="H2229" s="16" t="s">
        <v>188</v>
      </c>
      <c r="I2229" s="16" t="s">
        <v>2879</v>
      </c>
    </row>
    <row r="2230" ht="242.25" hidden="1" customHeight="1">
      <c r="B2230" s="32" t="str">
        <f>IMAGE("https://gymvisual.com/22159-catalog_default/good-morning-squat.jpg",4,500,500)</f>
        <v/>
      </c>
      <c r="C2230" s="30">
        <v>2229.0</v>
      </c>
      <c r="D2230" s="16" t="s">
        <v>2885</v>
      </c>
      <c r="E2230" s="16" t="s">
        <v>184</v>
      </c>
      <c r="F2230" s="16" t="s">
        <v>185</v>
      </c>
      <c r="G2230" s="16" t="s">
        <v>255</v>
      </c>
      <c r="H2230" s="16" t="s">
        <v>188</v>
      </c>
      <c r="I2230" s="16" t="s">
        <v>857</v>
      </c>
    </row>
    <row r="2231" ht="242.25" hidden="1" customHeight="1">
      <c r="B2231" s="32" t="str">
        <f>IMAGE("https://gymvisual.com/1417-catalog_default/3-4-sit-up.jpg",4,500,500)</f>
        <v/>
      </c>
      <c r="C2231" s="30">
        <v>2230.0</v>
      </c>
      <c r="D2231" s="16" t="s">
        <v>2886</v>
      </c>
      <c r="E2231" s="16" t="s">
        <v>184</v>
      </c>
      <c r="F2231" s="16" t="s">
        <v>254</v>
      </c>
      <c r="G2231" s="16" t="s">
        <v>255</v>
      </c>
      <c r="H2231" s="16" t="s">
        <v>256</v>
      </c>
      <c r="I2231" s="16" t="s">
        <v>2887</v>
      </c>
    </row>
    <row r="2232" ht="242.25" hidden="1" customHeight="1">
      <c r="B2232" s="32" t="str">
        <f>IMAGE("https://gymvisual.com/11483-catalog_default/gorilla-chin-female.jpg",4,500,500)</f>
        <v/>
      </c>
      <c r="C2232" s="30">
        <v>2231.0</v>
      </c>
      <c r="D2232" s="16" t="s">
        <v>2888</v>
      </c>
      <c r="E2232" s="16" t="s">
        <v>184</v>
      </c>
      <c r="F2232" s="16" t="s">
        <v>192</v>
      </c>
      <c r="G2232" s="16" t="s">
        <v>255</v>
      </c>
      <c r="H2232" s="16" t="s">
        <v>220</v>
      </c>
      <c r="I2232" s="16" t="s">
        <v>220</v>
      </c>
    </row>
    <row r="2233" ht="242.25" hidden="1" customHeight="1">
      <c r="B2233" s="32" t="str">
        <f>IMAGE("https://gymvisual.com/1420-catalog_default/3-4-sit-up.jpg",4,500,500)</f>
        <v/>
      </c>
      <c r="C2233" s="30">
        <v>2232.0</v>
      </c>
      <c r="D2233" s="16" t="s">
        <v>2889</v>
      </c>
      <c r="E2233" s="16" t="s">
        <v>184</v>
      </c>
      <c r="F2233" s="16" t="s">
        <v>192</v>
      </c>
      <c r="G2233" s="16" t="s">
        <v>255</v>
      </c>
      <c r="H2233" s="16" t="s">
        <v>2640</v>
      </c>
      <c r="I2233" s="16" t="s">
        <v>2890</v>
      </c>
    </row>
    <row r="2234" ht="242.25" hidden="1" customHeight="1">
      <c r="B2234" s="32" t="str">
        <f>IMAGE("https://gymvisual.com/1422-catalog_default/3-4-sit-up.jpg",4,500,500)</f>
        <v/>
      </c>
      <c r="C2234" s="30">
        <v>2233.0</v>
      </c>
      <c r="D2234" s="16" t="s">
        <v>2891</v>
      </c>
      <c r="E2234" s="16" t="s">
        <v>184</v>
      </c>
      <c r="F2234" s="16" t="s">
        <v>254</v>
      </c>
      <c r="G2234" s="16" t="s">
        <v>255</v>
      </c>
      <c r="H2234" s="16" t="s">
        <v>256</v>
      </c>
      <c r="I2234" s="16" t="s">
        <v>257</v>
      </c>
    </row>
    <row r="2235" ht="242.25" hidden="1" customHeight="1">
      <c r="B2235" s="32" t="str">
        <f>IMAGE("https://gymvisual.com/13447-catalog_default/groin-crunch-female.jpg",4,500,500)</f>
        <v/>
      </c>
      <c r="C2235" s="30">
        <v>2234.0</v>
      </c>
      <c r="D2235" s="16" t="s">
        <v>2892</v>
      </c>
      <c r="E2235" s="16" t="s">
        <v>184</v>
      </c>
      <c r="F2235" s="16" t="s">
        <v>254</v>
      </c>
      <c r="G2235" s="16" t="s">
        <v>255</v>
      </c>
      <c r="H2235" s="16" t="s">
        <v>220</v>
      </c>
      <c r="I2235" s="16" t="s">
        <v>220</v>
      </c>
    </row>
    <row r="2236" ht="242.25" customHeight="1">
      <c r="B2236" s="32" t="str">
        <f>IMAGE("https://gymvisual.com/6080-catalog_default/hack-calf-raise.jpg",4,500,500)</f>
        <v/>
      </c>
      <c r="C2236" s="30">
        <v>2235.0</v>
      </c>
      <c r="D2236" s="16" t="s">
        <v>823</v>
      </c>
      <c r="E2236" s="16" t="s">
        <v>184</v>
      </c>
      <c r="F2236" s="16" t="s">
        <v>325</v>
      </c>
      <c r="G2236" s="16" t="s">
        <v>2893</v>
      </c>
      <c r="H2236" s="16" t="s">
        <v>368</v>
      </c>
      <c r="I2236" s="16" t="s">
        <v>463</v>
      </c>
    </row>
    <row r="2237" ht="242.25" customHeight="1">
      <c r="B2237" s="32" t="str">
        <f>IMAGE("https://gymvisual.com/6081-catalog_default/hack-one-leg-calf-raise.jpg",4,500,500)</f>
        <v/>
      </c>
      <c r="C2237" s="30">
        <v>2236.0</v>
      </c>
      <c r="D2237" s="16" t="s">
        <v>2894</v>
      </c>
      <c r="E2237" s="16" t="s">
        <v>184</v>
      </c>
      <c r="F2237" s="16" t="s">
        <v>325</v>
      </c>
      <c r="G2237" s="16" t="s">
        <v>2893</v>
      </c>
      <c r="H2237" s="16" t="s">
        <v>368</v>
      </c>
      <c r="I2237" s="16" t="s">
        <v>463</v>
      </c>
    </row>
    <row r="2238" ht="242.25" hidden="1" customHeight="1">
      <c r="B2238" s="32" t="str">
        <f>IMAGE("https://gymvisual.com/12879-catalog_default/half-sit-up-male.jpg",4,500,500)</f>
        <v/>
      </c>
      <c r="C2238" s="30">
        <v>2237.0</v>
      </c>
      <c r="D2238" s="16" t="s">
        <v>2895</v>
      </c>
      <c r="E2238" s="16" t="s">
        <v>184</v>
      </c>
      <c r="F2238" s="16" t="s">
        <v>254</v>
      </c>
      <c r="G2238" s="16" t="s">
        <v>255</v>
      </c>
      <c r="H2238" s="16" t="s">
        <v>305</v>
      </c>
      <c r="I2238" s="16" t="s">
        <v>257</v>
      </c>
    </row>
    <row r="2239" ht="242.25" hidden="1" customHeight="1">
      <c r="B2239" s="32" t="str">
        <f>IMAGE("https://gymvisual.com/4624-catalog_default/half-wipers-bent-leg.jpg",4,500,500)</f>
        <v/>
      </c>
      <c r="C2239" s="30">
        <v>2238.0</v>
      </c>
      <c r="D2239" s="16" t="s">
        <v>2896</v>
      </c>
      <c r="E2239" s="16" t="s">
        <v>184</v>
      </c>
      <c r="F2239" s="16" t="s">
        <v>254</v>
      </c>
      <c r="G2239" s="16" t="s">
        <v>255</v>
      </c>
      <c r="H2239" s="16" t="s">
        <v>257</v>
      </c>
      <c r="I2239" s="16" t="s">
        <v>220</v>
      </c>
    </row>
    <row r="2240" ht="242.25" hidden="1" customHeight="1">
      <c r="B2240" s="32" t="str">
        <f>IMAGE("https://gymvisual.com/7717-catalog_default/hammer-grip-pull-up-on-dip-cage.jpg",4,500,500)</f>
        <v/>
      </c>
      <c r="C2240" s="30">
        <v>2239.0</v>
      </c>
      <c r="D2240" s="16" t="s">
        <v>2897</v>
      </c>
      <c r="E2240" s="16" t="s">
        <v>184</v>
      </c>
      <c r="F2240" s="16" t="s">
        <v>192</v>
      </c>
      <c r="G2240" s="16" t="s">
        <v>255</v>
      </c>
      <c r="H2240" s="16" t="s">
        <v>300</v>
      </c>
      <c r="I2240" s="16" t="s">
        <v>387</v>
      </c>
    </row>
    <row r="2241" ht="242.25" hidden="1" customHeight="1">
      <c r="B2241" s="32" t="str">
        <f>IMAGE("https://gymvisual.com/17140-catalog_default/hammer-grip-pull-up-on-dip-cage-female.jpg",4,500,500)</f>
        <v/>
      </c>
      <c r="C2241" s="30">
        <v>2240.0</v>
      </c>
      <c r="D2241" s="16" t="s">
        <v>2898</v>
      </c>
      <c r="E2241" s="16" t="s">
        <v>184</v>
      </c>
      <c r="F2241" s="16" t="s">
        <v>192</v>
      </c>
      <c r="G2241" s="16" t="s">
        <v>255</v>
      </c>
      <c r="H2241" s="16" t="s">
        <v>300</v>
      </c>
      <c r="I2241" s="16" t="s">
        <v>2899</v>
      </c>
    </row>
    <row r="2242" ht="242.25" hidden="1" customHeight="1">
      <c r="B2242" s="32" t="str">
        <f>IMAGE("https://gymvisual.com/1425-catalog_default/3-4-sit-up.jpg",4,500,500)</f>
        <v/>
      </c>
      <c r="C2242" s="30">
        <v>2241.0</v>
      </c>
      <c r="D2242" s="16" t="s">
        <v>2900</v>
      </c>
      <c r="E2242" s="16" t="s">
        <v>184</v>
      </c>
      <c r="F2242" s="16" t="s">
        <v>254</v>
      </c>
      <c r="G2242" s="16" t="s">
        <v>255</v>
      </c>
      <c r="H2242" s="16" t="s">
        <v>260</v>
      </c>
      <c r="I2242" s="16" t="s">
        <v>220</v>
      </c>
    </row>
    <row r="2243" ht="242.25" customHeight="1">
      <c r="B2243" s="32" t="str">
        <f>IMAGE("https://gymvisual.com/13647-catalog_default/hand-spring-wrist-curl.jpg",4,500,500)</f>
        <v/>
      </c>
      <c r="C2243" s="30">
        <v>2242.0</v>
      </c>
      <c r="D2243" s="16" t="s">
        <v>2901</v>
      </c>
      <c r="E2243" s="16" t="s">
        <v>184</v>
      </c>
      <c r="F2243" s="16" t="s">
        <v>214</v>
      </c>
      <c r="G2243" s="16" t="s">
        <v>396</v>
      </c>
      <c r="H2243" s="16" t="s">
        <v>720</v>
      </c>
      <c r="I2243" s="16" t="s">
        <v>220</v>
      </c>
    </row>
    <row r="2244" ht="242.25" hidden="1" customHeight="1">
      <c r="B2244" s="32" t="str">
        <f>IMAGE("https://gymvisual.com/17783-catalog_default/hands-release-push-up-female.jpg",4,500,500)</f>
        <v/>
      </c>
      <c r="C2244" s="30">
        <v>2243.0</v>
      </c>
      <c r="D2244" s="16" t="s">
        <v>2902</v>
      </c>
      <c r="E2244" s="16" t="s">
        <v>184</v>
      </c>
      <c r="F2244" s="16" t="s">
        <v>234</v>
      </c>
      <c r="G2244" s="16" t="s">
        <v>255</v>
      </c>
      <c r="H2244" s="16" t="s">
        <v>220</v>
      </c>
      <c r="I2244" s="16" t="s">
        <v>220</v>
      </c>
    </row>
    <row r="2245" ht="242.25" hidden="1" customHeight="1">
      <c r="B2245" s="32" t="str">
        <f>IMAGE("https://gymvisual.com/1428-catalog_default/3-4-sit-up.jpg",4,500,500)</f>
        <v/>
      </c>
      <c r="C2245" s="30">
        <v>2244.0</v>
      </c>
      <c r="D2245" s="16" t="s">
        <v>2903</v>
      </c>
      <c r="E2245" s="16" t="s">
        <v>184</v>
      </c>
      <c r="F2245" s="16" t="s">
        <v>228</v>
      </c>
      <c r="G2245" s="16" t="s">
        <v>255</v>
      </c>
      <c r="H2245" s="16" t="s">
        <v>223</v>
      </c>
      <c r="I2245" s="16" t="s">
        <v>2904</v>
      </c>
    </row>
    <row r="2246" ht="242.25" hidden="1" customHeight="1">
      <c r="B2246" s="32" t="str">
        <f>IMAGE("https://gymvisual.com/10312-catalog_default/handstand-push-up-female.jpg",4,500,500)</f>
        <v/>
      </c>
      <c r="C2246" s="30">
        <v>2245.0</v>
      </c>
      <c r="D2246" s="16" t="s">
        <v>2905</v>
      </c>
      <c r="E2246" s="16" t="s">
        <v>184</v>
      </c>
      <c r="F2246" s="16" t="s">
        <v>219</v>
      </c>
      <c r="G2246" s="16" t="s">
        <v>255</v>
      </c>
      <c r="H2246" s="16" t="s">
        <v>223</v>
      </c>
      <c r="I2246" s="16" t="s">
        <v>2906</v>
      </c>
    </row>
    <row r="2247" ht="242.25" hidden="1" customHeight="1">
      <c r="B2247" s="32" t="str">
        <f>IMAGE("https://gymvisual.com/17779-catalog_default/handstand-shoulder-press-with-wall-between-benches.jpg",4,500,500)</f>
        <v/>
      </c>
      <c r="C2247" s="30">
        <v>2246.0</v>
      </c>
      <c r="D2247" s="16" t="s">
        <v>2907</v>
      </c>
      <c r="E2247" s="16" t="s">
        <v>184</v>
      </c>
      <c r="F2247" s="16" t="s">
        <v>228</v>
      </c>
      <c r="G2247" s="16" t="s">
        <v>255</v>
      </c>
      <c r="H2247" s="16" t="s">
        <v>220</v>
      </c>
      <c r="I2247" s="16" t="s">
        <v>220</v>
      </c>
    </row>
    <row r="2248" ht="242.25" hidden="1" customHeight="1">
      <c r="B2248" s="32" t="str">
        <f>IMAGE("https://gymvisual.com/19415-catalog_default/hanging-deadbug.jpg",4,500,500)</f>
        <v/>
      </c>
      <c r="C2248" s="30">
        <v>2247.0</v>
      </c>
      <c r="D2248" s="16" t="s">
        <v>2908</v>
      </c>
      <c r="E2248" s="16" t="s">
        <v>184</v>
      </c>
      <c r="F2248" s="16" t="s">
        <v>185</v>
      </c>
      <c r="G2248" s="16" t="s">
        <v>255</v>
      </c>
      <c r="H2248" s="16" t="s">
        <v>305</v>
      </c>
      <c r="I2248" s="16" t="s">
        <v>1306</v>
      </c>
    </row>
    <row r="2249" ht="242.25" hidden="1" customHeight="1">
      <c r="B2249" s="32" t="str">
        <f>IMAGE("https://gymvisual.com/20702-catalog_default/hanging-flutter-kick.jpg",4,500,500)</f>
        <v/>
      </c>
      <c r="C2249" s="30">
        <v>2248.0</v>
      </c>
      <c r="D2249" s="16" t="s">
        <v>2909</v>
      </c>
      <c r="E2249" s="16" t="s">
        <v>184</v>
      </c>
      <c r="F2249" s="16" t="s">
        <v>254</v>
      </c>
      <c r="G2249" s="16" t="s">
        <v>255</v>
      </c>
      <c r="H2249" s="16" t="s">
        <v>305</v>
      </c>
      <c r="I2249" s="16" t="s">
        <v>1306</v>
      </c>
    </row>
    <row r="2250" ht="242.25" hidden="1" customHeight="1">
      <c r="B2250" s="32" t="str">
        <f>IMAGE("https://gymvisual.com/22430-catalog_default/hanging-half-windmill.jpg",4,500,500)</f>
        <v/>
      </c>
      <c r="C2250" s="30">
        <v>2249.0</v>
      </c>
      <c r="D2250" s="16" t="s">
        <v>2910</v>
      </c>
      <c r="E2250" s="16" t="s">
        <v>184</v>
      </c>
      <c r="F2250" s="16" t="s">
        <v>254</v>
      </c>
      <c r="G2250" s="16" t="s">
        <v>255</v>
      </c>
      <c r="H2250" s="16" t="s">
        <v>220</v>
      </c>
      <c r="I2250" s="16" t="s">
        <v>220</v>
      </c>
    </row>
    <row r="2251" ht="242.25" hidden="1" customHeight="1">
      <c r="B2251" s="32" t="str">
        <f>IMAGE("https://gymvisual.com/22279-catalog_default/hanging-knee-circle-raise.jpg",4,500,500)</f>
        <v/>
      </c>
      <c r="C2251" s="30">
        <v>2250.0</v>
      </c>
      <c r="D2251" s="16" t="s">
        <v>2911</v>
      </c>
      <c r="E2251" s="16" t="s">
        <v>184</v>
      </c>
      <c r="F2251" s="16" t="s">
        <v>185</v>
      </c>
      <c r="G2251" s="16" t="s">
        <v>255</v>
      </c>
      <c r="H2251" s="16" t="s">
        <v>220</v>
      </c>
      <c r="I2251" s="16" t="s">
        <v>220</v>
      </c>
    </row>
    <row r="2252" ht="242.25" hidden="1" customHeight="1">
      <c r="B2252" s="32" t="str">
        <f>IMAGE("https://gymvisual.com/20690-catalog_default/hanging-knees-to-elbows.jpg",4,500,500)</f>
        <v/>
      </c>
      <c r="C2252" s="30">
        <v>2251.0</v>
      </c>
      <c r="D2252" s="16" t="s">
        <v>2912</v>
      </c>
      <c r="E2252" s="16" t="s">
        <v>184</v>
      </c>
      <c r="F2252" s="16" t="s">
        <v>254</v>
      </c>
      <c r="G2252" s="16" t="s">
        <v>255</v>
      </c>
      <c r="H2252" s="16" t="s">
        <v>305</v>
      </c>
      <c r="I2252" s="16" t="s">
        <v>319</v>
      </c>
    </row>
    <row r="2253" ht="242.25" hidden="1" customHeight="1">
      <c r="B2253" s="32" t="str">
        <f>IMAGE("https://gymvisual.com/7590-catalog_default/hanging-leg-hip-raise.jpg",4,500,500)</f>
        <v/>
      </c>
      <c r="C2253" s="30">
        <v>2252.0</v>
      </c>
      <c r="D2253" s="16" t="s">
        <v>2913</v>
      </c>
      <c r="E2253" s="16" t="s">
        <v>184</v>
      </c>
      <c r="F2253" s="16" t="s">
        <v>254</v>
      </c>
      <c r="G2253" s="16" t="s">
        <v>255</v>
      </c>
      <c r="H2253" s="16" t="s">
        <v>305</v>
      </c>
      <c r="I2253" s="16" t="s">
        <v>600</v>
      </c>
    </row>
    <row r="2254" ht="242.25" hidden="1" customHeight="1">
      <c r="B2254" s="32" t="str">
        <f>IMAGE("https://gymvisual.com/11212-catalog_default/hanging-leg-hip-raise-female.jpg",4,500,500)</f>
        <v/>
      </c>
      <c r="C2254" s="30">
        <v>2253.0</v>
      </c>
      <c r="D2254" s="16" t="s">
        <v>2914</v>
      </c>
      <c r="E2254" s="16" t="s">
        <v>184</v>
      </c>
      <c r="F2254" s="16" t="s">
        <v>310</v>
      </c>
      <c r="G2254" s="16" t="s">
        <v>255</v>
      </c>
      <c r="H2254" s="16" t="s">
        <v>305</v>
      </c>
      <c r="I2254" s="16" t="s">
        <v>600</v>
      </c>
    </row>
    <row r="2255" ht="242.25" hidden="1" customHeight="1">
      <c r="B2255" s="32" t="str">
        <f>IMAGE("https://gymvisual.com/1431-catalog_default/3-4-sit-up.jpg",4,500,500)</f>
        <v/>
      </c>
      <c r="C2255" s="30">
        <v>2254.0</v>
      </c>
      <c r="D2255" s="16" t="s">
        <v>2915</v>
      </c>
      <c r="E2255" s="16" t="s">
        <v>184</v>
      </c>
      <c r="F2255" s="16" t="s">
        <v>185</v>
      </c>
      <c r="G2255" s="16" t="s">
        <v>255</v>
      </c>
      <c r="H2255" s="16" t="s">
        <v>271</v>
      </c>
      <c r="I2255" s="16" t="s">
        <v>2916</v>
      </c>
    </row>
    <row r="2256" ht="242.25" hidden="1" customHeight="1">
      <c r="B2256" s="32" t="str">
        <f>IMAGE("https://gymvisual.com/7573-catalog_default/hanging-oblique-knee-raise.jpg",4,500,500)</f>
        <v/>
      </c>
      <c r="C2256" s="30">
        <v>2255.0</v>
      </c>
      <c r="D2256" s="16" t="s">
        <v>2917</v>
      </c>
      <c r="E2256" s="16" t="s">
        <v>184</v>
      </c>
      <c r="F2256" s="16" t="s">
        <v>254</v>
      </c>
      <c r="G2256" s="16" t="s">
        <v>255</v>
      </c>
      <c r="H2256" s="16" t="s">
        <v>424</v>
      </c>
      <c r="I2256" s="16" t="s">
        <v>2918</v>
      </c>
    </row>
    <row r="2257" ht="242.25" hidden="1" customHeight="1">
      <c r="B2257" s="32" t="str">
        <f>IMAGE("https://gymvisual.com/13449-catalog_default/hanging-oblique-knee-raise-female.jpg",4,500,500)</f>
        <v/>
      </c>
      <c r="C2257" s="30">
        <v>2256.0</v>
      </c>
      <c r="D2257" s="16" t="s">
        <v>2919</v>
      </c>
      <c r="E2257" s="16" t="s">
        <v>184</v>
      </c>
      <c r="F2257" s="16" t="s">
        <v>254</v>
      </c>
      <c r="G2257" s="16" t="s">
        <v>255</v>
      </c>
      <c r="H2257" s="16" t="s">
        <v>263</v>
      </c>
      <c r="I2257" s="16" t="s">
        <v>2920</v>
      </c>
    </row>
    <row r="2258" ht="242.25" hidden="1" customHeight="1">
      <c r="B2258" s="32" t="str">
        <f>IMAGE("https://gymvisual.com/1434-catalog_default/3-4-sit-up.jpg",4,500,500)</f>
        <v/>
      </c>
      <c r="C2258" s="30">
        <v>2257.0</v>
      </c>
      <c r="D2258" s="16" t="s">
        <v>2921</v>
      </c>
      <c r="E2258" s="16" t="s">
        <v>184</v>
      </c>
      <c r="F2258" s="16" t="s">
        <v>254</v>
      </c>
      <c r="G2258" s="16" t="s">
        <v>255</v>
      </c>
      <c r="H2258" s="16" t="s">
        <v>256</v>
      </c>
      <c r="I2258" s="16" t="s">
        <v>2922</v>
      </c>
    </row>
    <row r="2259" ht="242.25" hidden="1" customHeight="1">
      <c r="B2259" s="32" t="str">
        <f>IMAGE("https://gymvisual.com/11486-catalog_default/hanging-pike-female.jpg",4,500,500)</f>
        <v/>
      </c>
      <c r="C2259" s="30">
        <v>2258.0</v>
      </c>
      <c r="D2259" s="16" t="s">
        <v>2923</v>
      </c>
      <c r="E2259" s="16" t="s">
        <v>184</v>
      </c>
      <c r="F2259" s="16" t="s">
        <v>254</v>
      </c>
      <c r="G2259" s="16" t="s">
        <v>255</v>
      </c>
      <c r="H2259" s="16" t="s">
        <v>220</v>
      </c>
      <c r="I2259" s="16" t="s">
        <v>220</v>
      </c>
    </row>
    <row r="2260" ht="242.25" hidden="1" customHeight="1">
      <c r="B2260" s="32" t="str">
        <f>IMAGE("https://gymvisual.com/17997-catalog_default/hanging-scapular-shrug.jpg",4,500,500)</f>
        <v/>
      </c>
      <c r="C2260" s="30">
        <v>2259.0</v>
      </c>
      <c r="D2260" s="16" t="s">
        <v>2924</v>
      </c>
      <c r="E2260" s="16" t="s">
        <v>184</v>
      </c>
      <c r="F2260" s="16" t="s">
        <v>192</v>
      </c>
      <c r="G2260" s="16" t="s">
        <v>255</v>
      </c>
      <c r="H2260" s="16" t="s">
        <v>220</v>
      </c>
      <c r="I2260" s="16" t="s">
        <v>220</v>
      </c>
    </row>
    <row r="2261" ht="242.25" hidden="1" customHeight="1">
      <c r="B2261" s="32" t="str">
        <f>IMAGE("https://gymvisual.com/1437-catalog_default/3-4-sit-up.jpg",4,500,500)</f>
        <v/>
      </c>
      <c r="C2261" s="30">
        <v>2260.0</v>
      </c>
      <c r="D2261" s="16" t="s">
        <v>2925</v>
      </c>
      <c r="E2261" s="16" t="s">
        <v>184</v>
      </c>
      <c r="F2261" s="16" t="s">
        <v>254</v>
      </c>
      <c r="G2261" s="16" t="s">
        <v>255</v>
      </c>
      <c r="H2261" s="16" t="s">
        <v>256</v>
      </c>
      <c r="I2261" s="16" t="s">
        <v>2926</v>
      </c>
    </row>
    <row r="2262" ht="242.25" hidden="1" customHeight="1">
      <c r="B2262" s="32" t="str">
        <f>IMAGE("https://gymvisual.com/14272-catalog_default/hanging-straight-leg-hip-raise-female.jpg",4,500,500)</f>
        <v/>
      </c>
      <c r="C2262" s="30">
        <v>2261.0</v>
      </c>
      <c r="D2262" s="16" t="s">
        <v>2927</v>
      </c>
      <c r="E2262" s="16" t="s">
        <v>184</v>
      </c>
      <c r="F2262" s="16" t="s">
        <v>310</v>
      </c>
      <c r="G2262" s="16" t="s">
        <v>255</v>
      </c>
      <c r="H2262" s="16" t="s">
        <v>305</v>
      </c>
      <c r="I2262" s="16" t="s">
        <v>2928</v>
      </c>
    </row>
    <row r="2263" ht="242.25" hidden="1" customHeight="1">
      <c r="B2263" s="32" t="str">
        <f>IMAGE("https://gymvisual.com/24922-catalog_default/3-4-sit-up.jpg",4,500,500)</f>
        <v/>
      </c>
      <c r="C2263" s="30">
        <v>2262.0</v>
      </c>
      <c r="D2263" s="16" t="s">
        <v>2929</v>
      </c>
      <c r="E2263" s="16" t="s">
        <v>184</v>
      </c>
      <c r="F2263" s="16" t="s">
        <v>185</v>
      </c>
      <c r="G2263" s="16" t="s">
        <v>255</v>
      </c>
      <c r="H2263" s="16" t="s">
        <v>271</v>
      </c>
      <c r="I2263" s="16" t="s">
        <v>566</v>
      </c>
    </row>
    <row r="2264" ht="242.25" hidden="1" customHeight="1">
      <c r="B2264" s="32" t="str">
        <f>IMAGE("https://gymvisual.com/11149-catalog_default/hanging-straight-leg-raise-female.jpg",4,500,500)</f>
        <v/>
      </c>
      <c r="C2264" s="30">
        <v>2263.0</v>
      </c>
      <c r="D2264" s="16" t="s">
        <v>2930</v>
      </c>
      <c r="E2264" s="16" t="s">
        <v>184</v>
      </c>
      <c r="F2264" s="16" t="s">
        <v>310</v>
      </c>
      <c r="G2264" s="16" t="s">
        <v>255</v>
      </c>
      <c r="H2264" s="16" t="s">
        <v>305</v>
      </c>
      <c r="I2264" s="16" t="s">
        <v>1306</v>
      </c>
    </row>
    <row r="2265" ht="242.25" hidden="1" customHeight="1">
      <c r="B2265" s="32" t="str">
        <f>IMAGE("https://gymvisual.com/20630-catalog_default/3-4-sit-up.jpg",4,500,500)</f>
        <v/>
      </c>
      <c r="C2265" s="30">
        <v>2264.0</v>
      </c>
      <c r="D2265" s="16" t="s">
        <v>2931</v>
      </c>
      <c r="E2265" s="16" t="s">
        <v>184</v>
      </c>
      <c r="F2265" s="16" t="s">
        <v>254</v>
      </c>
      <c r="G2265" s="16" t="s">
        <v>255</v>
      </c>
      <c r="H2265" s="16" t="s">
        <v>260</v>
      </c>
      <c r="I2265" s="16" t="s">
        <v>2932</v>
      </c>
    </row>
    <row r="2266" ht="242.25" hidden="1" customHeight="1">
      <c r="B2266" s="32" t="str">
        <f>IMAGE("https://gymvisual.com/11607-catalog_default/hanging-straight-twisting-leg-hip-raise-female.jpg",4,500,500)</f>
        <v/>
      </c>
      <c r="C2266" s="30">
        <v>2265.0</v>
      </c>
      <c r="D2266" s="16" t="s">
        <v>2933</v>
      </c>
      <c r="E2266" s="16" t="s">
        <v>184</v>
      </c>
      <c r="F2266" s="16" t="s">
        <v>310</v>
      </c>
      <c r="G2266" s="16" t="s">
        <v>255</v>
      </c>
      <c r="H2266" s="16" t="s">
        <v>220</v>
      </c>
      <c r="I2266" s="16" t="s">
        <v>220</v>
      </c>
    </row>
    <row r="2267" ht="242.25" hidden="1" customHeight="1">
      <c r="B2267" s="32" t="str">
        <f>IMAGE("https://gymvisual.com/17125-catalog_default/hanging-toes-to-bar.jpg",4,500,500)</f>
        <v/>
      </c>
      <c r="C2267" s="30">
        <v>2266.0</v>
      </c>
      <c r="D2267" s="16" t="s">
        <v>2934</v>
      </c>
      <c r="E2267" s="16" t="s">
        <v>184</v>
      </c>
      <c r="F2267" s="16" t="s">
        <v>254</v>
      </c>
      <c r="G2267" s="16" t="s">
        <v>255</v>
      </c>
      <c r="H2267" s="16" t="s">
        <v>305</v>
      </c>
      <c r="I2267" s="16" t="s">
        <v>600</v>
      </c>
    </row>
    <row r="2268" ht="242.25" hidden="1" customHeight="1">
      <c r="B2268" s="32" t="str">
        <f>IMAGE("https://gymvisual.com/13693-catalog_default/hawaian-squat.jpg",4,500,500)</f>
        <v/>
      </c>
      <c r="C2268" s="30">
        <v>2267.0</v>
      </c>
      <c r="D2268" s="16" t="s">
        <v>2935</v>
      </c>
      <c r="E2268" s="16" t="s">
        <v>184</v>
      </c>
      <c r="F2268" s="16" t="s">
        <v>294</v>
      </c>
      <c r="G2268" s="16" t="s">
        <v>255</v>
      </c>
      <c r="H2268" s="16" t="s">
        <v>189</v>
      </c>
      <c r="I2268" s="16" t="s">
        <v>2512</v>
      </c>
    </row>
    <row r="2269" ht="242.25" hidden="1" customHeight="1">
      <c r="B2269" s="32" t="str">
        <f>IMAGE("https://gymvisual.com/17743-catalog_default/heel-drops.jpg",4,500,500)</f>
        <v/>
      </c>
      <c r="C2269" s="30">
        <v>2268.0</v>
      </c>
      <c r="D2269" s="16" t="s">
        <v>2936</v>
      </c>
      <c r="E2269" s="16" t="s">
        <v>184</v>
      </c>
      <c r="F2269" s="16" t="s">
        <v>185</v>
      </c>
      <c r="G2269" s="16" t="s">
        <v>255</v>
      </c>
      <c r="H2269" s="16" t="s">
        <v>220</v>
      </c>
      <c r="I2269" s="16" t="s">
        <v>220</v>
      </c>
    </row>
    <row r="2270" ht="242.25" hidden="1" customHeight="1">
      <c r="B2270" s="32" t="str">
        <f>IMAGE("https://gymvisual.com/22476-catalog_default/high-bar-inverted-row.jpg",4,500,500)</f>
        <v/>
      </c>
      <c r="C2270" s="30">
        <v>2269.0</v>
      </c>
      <c r="D2270" s="16" t="s">
        <v>2937</v>
      </c>
      <c r="E2270" s="16" t="s">
        <v>184</v>
      </c>
      <c r="F2270" s="16" t="s">
        <v>192</v>
      </c>
      <c r="G2270" s="16" t="s">
        <v>255</v>
      </c>
      <c r="H2270" s="16" t="s">
        <v>220</v>
      </c>
      <c r="I2270" s="16" t="s">
        <v>220</v>
      </c>
    </row>
    <row r="2271" ht="242.25" hidden="1" customHeight="1">
      <c r="B2271" s="32" t="str">
        <f>IMAGE("https://gymvisual.com/23563-catalog_default/high-knee-run-female.jpg",4,500,500)</f>
        <v/>
      </c>
      <c r="C2271" s="30">
        <v>2270.0</v>
      </c>
      <c r="D2271" s="16" t="s">
        <v>2938</v>
      </c>
      <c r="E2271" s="16" t="s">
        <v>184</v>
      </c>
      <c r="F2271" s="16" t="s">
        <v>1162</v>
      </c>
      <c r="G2271" s="16" t="s">
        <v>255</v>
      </c>
      <c r="H2271" s="16" t="s">
        <v>220</v>
      </c>
      <c r="I2271" s="16" t="s">
        <v>220</v>
      </c>
    </row>
    <row r="2272" ht="242.25" hidden="1" customHeight="1">
      <c r="B2272" s="32" t="str">
        <f>IMAGE("https://gymvisual.com/23603-catalog_default/high-knee-squat-version-2-male.jpg",4,500,500)</f>
        <v/>
      </c>
      <c r="C2272" s="30">
        <v>2271.0</v>
      </c>
      <c r="D2272" s="16" t="s">
        <v>2939</v>
      </c>
      <c r="E2272" s="16" t="s">
        <v>184</v>
      </c>
      <c r="F2272" s="16" t="s">
        <v>321</v>
      </c>
      <c r="G2272" s="16" t="s">
        <v>255</v>
      </c>
      <c r="H2272" s="16" t="s">
        <v>220</v>
      </c>
      <c r="I2272" s="16" t="s">
        <v>220</v>
      </c>
    </row>
    <row r="2273" ht="242.25" hidden="1" customHeight="1">
      <c r="B2273" s="32" t="str">
        <f>IMAGE("https://gymvisual.com/22801-catalog_default/hip-clam-shell.jpg",4,500,500)</f>
        <v/>
      </c>
      <c r="C2273" s="30">
        <v>2272.0</v>
      </c>
      <c r="D2273" s="16" t="s">
        <v>2940</v>
      </c>
      <c r="E2273" s="16" t="s">
        <v>184</v>
      </c>
      <c r="F2273" s="16" t="s">
        <v>185</v>
      </c>
      <c r="G2273" s="16" t="s">
        <v>255</v>
      </c>
      <c r="H2273" s="16" t="s">
        <v>475</v>
      </c>
      <c r="I2273" s="16" t="s">
        <v>476</v>
      </c>
    </row>
    <row r="2274" ht="242.25" hidden="1" customHeight="1">
      <c r="B2274" s="32" t="str">
        <f>IMAGE("https://gymvisual.com/1461-catalog_default/3-4-sit-up.jpg",4,500,500)</f>
        <v/>
      </c>
      <c r="C2274" s="30">
        <v>2273.0</v>
      </c>
      <c r="D2274" s="16" t="s">
        <v>2941</v>
      </c>
      <c r="E2274" s="16" t="s">
        <v>184</v>
      </c>
      <c r="F2274" s="16" t="s">
        <v>254</v>
      </c>
      <c r="G2274" s="16" t="s">
        <v>255</v>
      </c>
      <c r="H2274" s="16" t="s">
        <v>305</v>
      </c>
      <c r="I2274" s="16" t="s">
        <v>371</v>
      </c>
    </row>
    <row r="2275" ht="242.25" hidden="1" customHeight="1">
      <c r="B2275" s="32" t="str">
        <f>IMAGE("https://gymvisual.com/7692-catalog_default/hip-lift-low-back-off-floor.jpg",4,500,500)</f>
        <v/>
      </c>
      <c r="C2275" s="30">
        <v>2274.0</v>
      </c>
      <c r="D2275" s="16" t="s">
        <v>2942</v>
      </c>
      <c r="E2275" s="16" t="s">
        <v>184</v>
      </c>
      <c r="F2275" s="16" t="s">
        <v>254</v>
      </c>
      <c r="G2275" s="16" t="s">
        <v>255</v>
      </c>
      <c r="H2275" s="16" t="s">
        <v>220</v>
      </c>
      <c r="I2275" s="16" t="s">
        <v>220</v>
      </c>
    </row>
    <row r="2276" ht="242.25" hidden="1" customHeight="1">
      <c r="B2276" s="32" t="str">
        <f>IMAGE("https://gymvisual.com/1467-catalog_default/3-4-sit-up.jpg",4,500,500)</f>
        <v/>
      </c>
      <c r="C2276" s="30">
        <v>2275.0</v>
      </c>
      <c r="D2276" s="16" t="s">
        <v>2943</v>
      </c>
      <c r="E2276" s="16" t="s">
        <v>184</v>
      </c>
      <c r="F2276" s="16" t="s">
        <v>254</v>
      </c>
      <c r="G2276" s="16" t="s">
        <v>255</v>
      </c>
      <c r="H2276" s="16" t="s">
        <v>305</v>
      </c>
      <c r="I2276" s="16" t="s">
        <v>371</v>
      </c>
    </row>
    <row r="2277" ht="242.25" hidden="1" customHeight="1">
      <c r="B2277" s="32" t="str">
        <f>IMAGE("https://gymvisual.com/11489-catalog_default/hip-raise-bent-knee-female.jpg",4,500,500)</f>
        <v/>
      </c>
      <c r="C2277" s="30">
        <v>2276.0</v>
      </c>
      <c r="D2277" s="16" t="s">
        <v>2944</v>
      </c>
      <c r="E2277" s="16" t="s">
        <v>184</v>
      </c>
      <c r="F2277" s="16" t="s">
        <v>254</v>
      </c>
      <c r="G2277" s="16" t="s">
        <v>255</v>
      </c>
      <c r="H2277" s="16" t="s">
        <v>220</v>
      </c>
      <c r="I2277" s="16" t="s">
        <v>220</v>
      </c>
    </row>
    <row r="2278" ht="242.25" hidden="1" customHeight="1">
      <c r="B2278" s="32" t="str">
        <f>IMAGE("https://gymvisual.com/1473-catalog_default/3-4-sit-up.jpg",4,500,500)</f>
        <v/>
      </c>
      <c r="C2278" s="30">
        <v>2277.0</v>
      </c>
      <c r="D2278" s="16" t="s">
        <v>2945</v>
      </c>
      <c r="E2278" s="16" t="s">
        <v>184</v>
      </c>
      <c r="F2278" s="16" t="s">
        <v>254</v>
      </c>
      <c r="G2278" s="16" t="s">
        <v>255</v>
      </c>
      <c r="H2278" s="16" t="s">
        <v>256</v>
      </c>
      <c r="I2278" s="16" t="s">
        <v>2946</v>
      </c>
    </row>
    <row r="2279" ht="242.25" hidden="1" customHeight="1">
      <c r="B2279" s="32" t="str">
        <f>IMAGE("https://gymvisual.com/1470-catalog_default/3-4-sit-up.jpg",4,500,500)</f>
        <v/>
      </c>
      <c r="C2279" s="30">
        <v>2278.0</v>
      </c>
      <c r="D2279" s="16" t="s">
        <v>2947</v>
      </c>
      <c r="E2279" s="16" t="s">
        <v>184</v>
      </c>
      <c r="F2279" s="16" t="s">
        <v>254</v>
      </c>
      <c r="G2279" s="16" t="s">
        <v>255</v>
      </c>
      <c r="H2279" s="16" t="s">
        <v>256</v>
      </c>
      <c r="I2279" s="16" t="s">
        <v>1330</v>
      </c>
    </row>
    <row r="2280" ht="242.25" hidden="1" customHeight="1">
      <c r="B2280" s="32" t="str">
        <f>IMAGE("https://gymvisual.com/1476-catalog_default/3-4-sit-up.jpg",4,500,500)</f>
        <v/>
      </c>
      <c r="C2280" s="30">
        <v>2279.0</v>
      </c>
      <c r="D2280" s="16" t="s">
        <v>2948</v>
      </c>
      <c r="E2280" s="16" t="s">
        <v>184</v>
      </c>
      <c r="F2280" s="16" t="s">
        <v>185</v>
      </c>
      <c r="G2280" s="16" t="s">
        <v>255</v>
      </c>
      <c r="H2280" s="16" t="s">
        <v>256</v>
      </c>
      <c r="I2280" s="16" t="s">
        <v>2949</v>
      </c>
    </row>
    <row r="2281" ht="242.25" hidden="1" customHeight="1">
      <c r="B2281" s="32" t="str">
        <f>IMAGE("https://gymvisual.com/19439-catalog_default/hip-roll-plank.jpg",4,500,500)</f>
        <v/>
      </c>
      <c r="C2281" s="30">
        <v>2280.0</v>
      </c>
      <c r="D2281" s="16" t="s">
        <v>2950</v>
      </c>
      <c r="E2281" s="16" t="s">
        <v>184</v>
      </c>
      <c r="F2281" s="16" t="s">
        <v>254</v>
      </c>
      <c r="G2281" s="16" t="s">
        <v>255</v>
      </c>
      <c r="H2281" s="16" t="s">
        <v>220</v>
      </c>
      <c r="I2281" s="16" t="s">
        <v>220</v>
      </c>
    </row>
    <row r="2282" ht="242.25" hidden="1" customHeight="1">
      <c r="B2282" s="32" t="str">
        <f>IMAGE("https://gymvisual.com/23629-catalog_default/hip-swirls.jpg",4,500,500)</f>
        <v/>
      </c>
      <c r="C2282" s="30">
        <v>2281.0</v>
      </c>
      <c r="D2282" s="16" t="s">
        <v>2951</v>
      </c>
      <c r="E2282" s="16" t="s">
        <v>184</v>
      </c>
      <c r="F2282" s="16" t="s">
        <v>185</v>
      </c>
      <c r="G2282" s="16" t="s">
        <v>255</v>
      </c>
      <c r="H2282" s="16" t="s">
        <v>2952</v>
      </c>
      <c r="I2282" s="16" t="s">
        <v>2953</v>
      </c>
    </row>
    <row r="2283" ht="242.25" hidden="1" customHeight="1">
      <c r="B2283" s="32" t="str">
        <f>IMAGE("https://gymvisual.com/10103-catalog_default/hip-thrusts.jpg",4,500,500)</f>
        <v/>
      </c>
      <c r="C2283" s="30">
        <v>2282.0</v>
      </c>
      <c r="D2283" s="16" t="s">
        <v>2954</v>
      </c>
      <c r="E2283" s="16" t="s">
        <v>184</v>
      </c>
      <c r="F2283" s="16" t="s">
        <v>185</v>
      </c>
      <c r="G2283" s="16" t="s">
        <v>255</v>
      </c>
      <c r="H2283" s="16" t="s">
        <v>220</v>
      </c>
      <c r="I2283" s="16" t="s">
        <v>220</v>
      </c>
    </row>
    <row r="2284" ht="242.25" hidden="1" customHeight="1">
      <c r="B2284" s="32" t="str">
        <f>IMAGE("https://gymvisual.com/8770-catalog_default/hip-thrusts-female.jpg",4,500,500)</f>
        <v/>
      </c>
      <c r="C2284" s="30">
        <v>2283.0</v>
      </c>
      <c r="D2284" s="16" t="s">
        <v>2955</v>
      </c>
      <c r="E2284" s="16" t="s">
        <v>184</v>
      </c>
      <c r="F2284" s="16" t="s">
        <v>185</v>
      </c>
      <c r="G2284" s="16" t="s">
        <v>255</v>
      </c>
      <c r="H2284" s="16" t="s">
        <v>187</v>
      </c>
      <c r="I2284" s="16" t="s">
        <v>854</v>
      </c>
    </row>
    <row r="2285" ht="242.25" hidden="1" customHeight="1">
      <c r="B2285" s="32" t="str">
        <f>IMAGE("https://gymvisual.com/4622-catalog_default/hollow-hold.jpg",4,500,500)</f>
        <v/>
      </c>
      <c r="C2285" s="30">
        <v>2284.0</v>
      </c>
      <c r="D2285" s="16" t="s">
        <v>2956</v>
      </c>
      <c r="E2285" s="16" t="s">
        <v>184</v>
      </c>
      <c r="F2285" s="16" t="s">
        <v>254</v>
      </c>
      <c r="G2285" s="16" t="s">
        <v>255</v>
      </c>
      <c r="H2285" s="16" t="s">
        <v>305</v>
      </c>
      <c r="I2285" s="16" t="s">
        <v>319</v>
      </c>
    </row>
    <row r="2286" ht="242.25" customHeight="1">
      <c r="A2286" s="32" t="b">
        <v>0</v>
      </c>
      <c r="B2286" s="32" t="str">
        <f>IMAGE("https://gymvisual.com/19379-catalog_default/hyght-dumbbell-fly.jpg",4,500,500)</f>
        <v/>
      </c>
      <c r="C2286" s="30">
        <v>2285.0</v>
      </c>
      <c r="D2286" s="16" t="s">
        <v>2957</v>
      </c>
      <c r="E2286" s="16" t="s">
        <v>184</v>
      </c>
      <c r="F2286" s="16" t="s">
        <v>234</v>
      </c>
      <c r="G2286" s="16" t="s">
        <v>222</v>
      </c>
      <c r="H2286" s="16" t="s">
        <v>415</v>
      </c>
      <c r="I2286" s="16" t="s">
        <v>236</v>
      </c>
    </row>
    <row r="2287" ht="242.25" customHeight="1">
      <c r="A2287" s="32" t="b">
        <v>0</v>
      </c>
      <c r="B2287" s="32" t="str">
        <f>IMAGE("https://gymvisual.com/13884-catalog_default/hyght-dumbbell-fly-female.jpg",4,500,500)</f>
        <v/>
      </c>
      <c r="C2287" s="30">
        <v>2286.0</v>
      </c>
      <c r="D2287" s="16" t="s">
        <v>2958</v>
      </c>
      <c r="E2287" s="16" t="s">
        <v>184</v>
      </c>
      <c r="F2287" s="16" t="s">
        <v>234</v>
      </c>
      <c r="G2287" s="16" t="s">
        <v>222</v>
      </c>
      <c r="H2287" s="16" t="s">
        <v>220</v>
      </c>
      <c r="I2287" s="16" t="s">
        <v>220</v>
      </c>
    </row>
    <row r="2288" ht="242.25" hidden="1" customHeight="1">
      <c r="B2288" s="32" t="str">
        <f>IMAGE("https://gymvisual.com/19339-catalog_default/3-4-sit-up.jpg",4,500,500)</f>
        <v/>
      </c>
      <c r="C2288" s="30">
        <v>2287.0</v>
      </c>
      <c r="D2288" s="16" t="s">
        <v>2959</v>
      </c>
      <c r="E2288" s="16" t="s">
        <v>184</v>
      </c>
      <c r="F2288" s="16" t="s">
        <v>254</v>
      </c>
      <c r="G2288" s="16" t="s">
        <v>255</v>
      </c>
      <c r="H2288" s="16" t="s">
        <v>275</v>
      </c>
      <c r="I2288" s="16" t="s">
        <v>2412</v>
      </c>
    </row>
    <row r="2289" ht="242.25" hidden="1" customHeight="1">
      <c r="B2289" s="32" t="str">
        <f>IMAGE("https://gymvisual.com/11152-catalog_default/hyperextension-female.jpg",4,500,500)</f>
        <v/>
      </c>
      <c r="C2289" s="30">
        <v>2288.0</v>
      </c>
      <c r="D2289" s="16" t="s">
        <v>2960</v>
      </c>
      <c r="E2289" s="16" t="s">
        <v>184</v>
      </c>
      <c r="F2289" s="16" t="s">
        <v>185</v>
      </c>
      <c r="G2289" s="16" t="s">
        <v>255</v>
      </c>
      <c r="H2289" s="16" t="s">
        <v>220</v>
      </c>
      <c r="I2289" s="16" t="s">
        <v>220</v>
      </c>
    </row>
    <row r="2290" ht="242.25" hidden="1" customHeight="1">
      <c r="B2290" s="32" t="str">
        <f>IMAGE("https://gymvisual.com/1479-catalog_default/3-4-sit-up.jpg",4,500,500)</f>
        <v/>
      </c>
      <c r="C2290" s="30">
        <v>2289.0</v>
      </c>
      <c r="D2290" s="16" t="s">
        <v>2961</v>
      </c>
      <c r="E2290" s="16" t="s">
        <v>184</v>
      </c>
      <c r="F2290" s="16" t="s">
        <v>254</v>
      </c>
      <c r="G2290" s="16" t="s">
        <v>255</v>
      </c>
      <c r="H2290" s="16" t="s">
        <v>275</v>
      </c>
      <c r="I2290" s="16" t="s">
        <v>2412</v>
      </c>
    </row>
    <row r="2291" ht="242.25" hidden="1" customHeight="1">
      <c r="B2291" s="32" t="str">
        <f>IMAGE("https://gymvisual.com/7712-catalog_default/hyperextension-version-2.jpg",4,500,500)</f>
        <v/>
      </c>
      <c r="C2291" s="30">
        <v>2290.0</v>
      </c>
      <c r="D2291" s="16" t="s">
        <v>2962</v>
      </c>
      <c r="E2291" s="16" t="s">
        <v>184</v>
      </c>
      <c r="F2291" s="16" t="s">
        <v>185</v>
      </c>
      <c r="G2291" s="16" t="s">
        <v>255</v>
      </c>
      <c r="H2291" s="16" t="s">
        <v>275</v>
      </c>
      <c r="I2291" s="16" t="s">
        <v>2412</v>
      </c>
    </row>
    <row r="2292" ht="242.25" hidden="1" customHeight="1">
      <c r="B2292" s="32" t="str">
        <f>IMAGE("https://gymvisual.com/13515-catalog_default/impossible-dips.jpg",4,500,500)</f>
        <v/>
      </c>
      <c r="C2292" s="30">
        <v>2291.0</v>
      </c>
      <c r="D2292" s="16" t="s">
        <v>2963</v>
      </c>
      <c r="E2292" s="16" t="s">
        <v>184</v>
      </c>
      <c r="F2292" s="16" t="s">
        <v>2964</v>
      </c>
      <c r="G2292" s="16" t="s">
        <v>255</v>
      </c>
      <c r="H2292" s="16" t="s">
        <v>220</v>
      </c>
      <c r="I2292" s="16" t="s">
        <v>220</v>
      </c>
    </row>
    <row r="2293" ht="242.25" hidden="1" customHeight="1">
      <c r="B2293" s="32" t="str">
        <f>IMAGE("https://gymvisual.com/6409-catalog_default/inchworm.jpg",4,500,500)</f>
        <v/>
      </c>
      <c r="C2293" s="30">
        <v>2292.0</v>
      </c>
      <c r="D2293" s="16" t="s">
        <v>2965</v>
      </c>
      <c r="E2293" s="16" t="s">
        <v>184</v>
      </c>
      <c r="F2293" s="16" t="s">
        <v>254</v>
      </c>
      <c r="G2293" s="16" t="s">
        <v>255</v>
      </c>
      <c r="H2293" s="16" t="s">
        <v>2966</v>
      </c>
      <c r="I2293" s="16" t="s">
        <v>2967</v>
      </c>
    </row>
    <row r="2294" ht="242.25" hidden="1" customHeight="1">
      <c r="B2294" s="32" t="str">
        <f>IMAGE("https://gymvisual.com/15146-catalog_default/inchworm-version-2.jpg",4,500,500)</f>
        <v/>
      </c>
      <c r="C2294" s="30">
        <v>2293.0</v>
      </c>
      <c r="D2294" s="16" t="s">
        <v>2968</v>
      </c>
      <c r="E2294" s="16" t="s">
        <v>184</v>
      </c>
      <c r="F2294" s="16" t="s">
        <v>254</v>
      </c>
      <c r="G2294" s="16" t="s">
        <v>255</v>
      </c>
      <c r="H2294" s="16" t="s">
        <v>2969</v>
      </c>
      <c r="I2294" s="16" t="s">
        <v>2970</v>
      </c>
    </row>
    <row r="2295" ht="242.25" hidden="1" customHeight="1">
      <c r="B2295" s="32" t="str">
        <f>IMAGE("https://gymvisual.com/22281-catalog_default/incline-alternate-flutter-kicks.jpg",4,500,500)</f>
        <v/>
      </c>
      <c r="C2295" s="30">
        <v>2294.0</v>
      </c>
      <c r="D2295" s="16" t="s">
        <v>2971</v>
      </c>
      <c r="E2295" s="16" t="s">
        <v>184</v>
      </c>
      <c r="F2295" s="16" t="s">
        <v>185</v>
      </c>
      <c r="G2295" s="16" t="s">
        <v>255</v>
      </c>
      <c r="H2295" s="16" t="s">
        <v>220</v>
      </c>
      <c r="I2295" s="16" t="s">
        <v>220</v>
      </c>
    </row>
    <row r="2296" ht="242.25" hidden="1" customHeight="1">
      <c r="B2296" s="32" t="str">
        <f>IMAGE("https://gymvisual.com/23929-catalog_default/incline-close-grip-push-up.jpg",4,500,500)</f>
        <v/>
      </c>
      <c r="C2296" s="30">
        <v>2295.0</v>
      </c>
      <c r="D2296" s="16" t="s">
        <v>2972</v>
      </c>
      <c r="E2296" s="16" t="s">
        <v>184</v>
      </c>
      <c r="F2296" s="16" t="s">
        <v>219</v>
      </c>
      <c r="G2296" s="16" t="s">
        <v>255</v>
      </c>
      <c r="H2296" s="16" t="s">
        <v>2400</v>
      </c>
      <c r="I2296" s="16" t="s">
        <v>229</v>
      </c>
    </row>
    <row r="2297" ht="242.25" hidden="1" customHeight="1">
      <c r="B2297" s="32" t="str">
        <f>IMAGE("https://gymvisual.com/1485-catalog_default/3-4-sit-up.jpg",4,500,500)</f>
        <v/>
      </c>
      <c r="C2297" s="30">
        <v>2296.0</v>
      </c>
      <c r="D2297" s="16" t="s">
        <v>2973</v>
      </c>
      <c r="E2297" s="16" t="s">
        <v>184</v>
      </c>
      <c r="F2297" s="16" t="s">
        <v>228</v>
      </c>
      <c r="G2297" s="16" t="s">
        <v>255</v>
      </c>
      <c r="H2297" s="16" t="s">
        <v>223</v>
      </c>
      <c r="I2297" s="16" t="s">
        <v>472</v>
      </c>
    </row>
    <row r="2298" ht="242.25" hidden="1" customHeight="1">
      <c r="B2298" s="32" t="str">
        <f>IMAGE("https://gymvisual.com/2604-catalog_default/3-4-sit-up.jpg",4,500,500)</f>
        <v/>
      </c>
      <c r="C2298" s="30">
        <v>2297.0</v>
      </c>
      <c r="D2298" s="16" t="s">
        <v>2974</v>
      </c>
      <c r="E2298" s="16" t="s">
        <v>184</v>
      </c>
      <c r="F2298" s="16" t="s">
        <v>254</v>
      </c>
      <c r="G2298" s="16" t="s">
        <v>255</v>
      </c>
      <c r="H2298" s="16" t="s">
        <v>305</v>
      </c>
      <c r="I2298" s="16" t="s">
        <v>317</v>
      </c>
    </row>
    <row r="2299" ht="242.25" hidden="1" customHeight="1">
      <c r="B2299" s="32" t="str">
        <f>IMAGE("https://gymvisual.com/11610-catalog_default/incline-leg-hip-raise-leg-straight-female.jpg",4,500,500)</f>
        <v/>
      </c>
      <c r="C2299" s="30">
        <v>2298.0</v>
      </c>
      <c r="D2299" s="16" t="s">
        <v>2975</v>
      </c>
      <c r="E2299" s="16" t="s">
        <v>184</v>
      </c>
      <c r="F2299" s="16" t="s">
        <v>254</v>
      </c>
      <c r="G2299" s="16" t="s">
        <v>255</v>
      </c>
      <c r="H2299" s="16" t="s">
        <v>305</v>
      </c>
      <c r="I2299" s="16" t="s">
        <v>319</v>
      </c>
    </row>
    <row r="2300" ht="242.25" hidden="1" customHeight="1">
      <c r="B2300" s="32" t="str">
        <f>IMAGE("https://gymvisual.com/7684-catalog_default/incline-push-press.jpg",4,500,500)</f>
        <v/>
      </c>
      <c r="C2300" s="30">
        <v>2299.0</v>
      </c>
      <c r="D2300" s="16" t="s">
        <v>2976</v>
      </c>
      <c r="E2300" s="16" t="s">
        <v>184</v>
      </c>
      <c r="F2300" s="16" t="s">
        <v>234</v>
      </c>
      <c r="G2300" s="16" t="s">
        <v>255</v>
      </c>
      <c r="H2300" s="16" t="s">
        <v>347</v>
      </c>
      <c r="I2300" s="16" t="s">
        <v>382</v>
      </c>
    </row>
    <row r="2301" ht="242.25" hidden="1" customHeight="1">
      <c r="B2301" s="32" t="str">
        <f>IMAGE("https://gymvisual.com/1493-catalog_default/3-4-sit-up.jpg",4,500,500)</f>
        <v/>
      </c>
      <c r="C2301" s="30">
        <v>2300.0</v>
      </c>
      <c r="D2301" s="16" t="s">
        <v>2977</v>
      </c>
      <c r="E2301" s="16" t="s">
        <v>184</v>
      </c>
      <c r="F2301" s="16" t="s">
        <v>234</v>
      </c>
      <c r="G2301" s="16" t="s">
        <v>255</v>
      </c>
      <c r="H2301" s="16" t="s">
        <v>347</v>
      </c>
      <c r="I2301" s="16" t="s">
        <v>382</v>
      </c>
    </row>
    <row r="2302" ht="242.25" hidden="1" customHeight="1">
      <c r="B2302" s="32" t="str">
        <f>IMAGE("https://gymvisual.com/24836-catalog_default/incline-push-up-on-bench-male.jpg",4,500,500)</f>
        <v/>
      </c>
      <c r="C2302" s="30">
        <v>2301.0</v>
      </c>
      <c r="D2302" s="16" t="s">
        <v>2978</v>
      </c>
      <c r="E2302" s="16" t="s">
        <v>184</v>
      </c>
      <c r="F2302" s="16" t="s">
        <v>234</v>
      </c>
      <c r="G2302" s="16" t="s">
        <v>255</v>
      </c>
      <c r="H2302" s="16" t="s">
        <v>235</v>
      </c>
      <c r="I2302" s="16" t="s">
        <v>243</v>
      </c>
    </row>
    <row r="2303" ht="242.25" hidden="1" customHeight="1">
      <c r="B2303" s="32" t="str">
        <f>IMAGE("https://gymvisual.com/16777-catalog_default/incline-push-up-on-box.jpg",4,500,500)</f>
        <v/>
      </c>
      <c r="C2303" s="30">
        <v>2302.0</v>
      </c>
      <c r="D2303" s="16" t="s">
        <v>2979</v>
      </c>
      <c r="E2303" s="16" t="s">
        <v>184</v>
      </c>
      <c r="F2303" s="16" t="s">
        <v>234</v>
      </c>
      <c r="G2303" s="16" t="s">
        <v>255</v>
      </c>
      <c r="H2303" s="16" t="s">
        <v>235</v>
      </c>
      <c r="I2303" s="16" t="s">
        <v>243</v>
      </c>
    </row>
    <row r="2304" ht="242.25" hidden="1" customHeight="1">
      <c r="B2304" s="32" t="str">
        <f>IMAGE("https://gymvisual.com/1496-catalog_default/3-4-sit-up.jpg",4,500,500)</f>
        <v/>
      </c>
      <c r="C2304" s="30">
        <v>2303.0</v>
      </c>
      <c r="D2304" s="16" t="s">
        <v>2980</v>
      </c>
      <c r="E2304" s="16" t="s">
        <v>184</v>
      </c>
      <c r="F2304" s="16" t="s">
        <v>234</v>
      </c>
      <c r="G2304" s="16" t="s">
        <v>255</v>
      </c>
      <c r="H2304" s="16" t="s">
        <v>347</v>
      </c>
      <c r="I2304" s="16" t="s">
        <v>2981</v>
      </c>
    </row>
    <row r="2305" ht="242.25" hidden="1" customHeight="1">
      <c r="B2305" s="32" t="str">
        <f>IMAGE("https://gymvisual.com/12753-catalog_default/incline-reverse-hyperextension.jpg",4,500,500)</f>
        <v/>
      </c>
      <c r="C2305" s="30">
        <v>2304.0</v>
      </c>
      <c r="D2305" s="16" t="s">
        <v>2982</v>
      </c>
      <c r="E2305" s="16" t="s">
        <v>184</v>
      </c>
      <c r="F2305" s="16" t="s">
        <v>185</v>
      </c>
      <c r="G2305" s="16" t="s">
        <v>255</v>
      </c>
      <c r="H2305" s="16" t="s">
        <v>267</v>
      </c>
      <c r="I2305" s="16" t="s">
        <v>188</v>
      </c>
    </row>
    <row r="2306" ht="242.25" hidden="1" customHeight="1">
      <c r="B2306" s="32" t="str">
        <f>IMAGE("https://gymvisual.com/12400-catalog_default/incline-scapula-push-up.jpg",4,500,500)</f>
        <v/>
      </c>
      <c r="C2306" s="30">
        <v>2305.0</v>
      </c>
      <c r="D2306" s="16" t="s">
        <v>2983</v>
      </c>
      <c r="E2306" s="16" t="s">
        <v>184</v>
      </c>
      <c r="F2306" s="16" t="s">
        <v>234</v>
      </c>
      <c r="G2306" s="16" t="s">
        <v>255</v>
      </c>
      <c r="H2306" s="16" t="s">
        <v>885</v>
      </c>
      <c r="I2306" s="16" t="s">
        <v>220</v>
      </c>
    </row>
    <row r="2307" ht="242.25" hidden="1" customHeight="1">
      <c r="B2307" s="32" t="str">
        <f>IMAGE("https://gymvisual.com/23555-catalog_default/incline-shoulder-tap.jpg",4,500,500)</f>
        <v/>
      </c>
      <c r="C2307" s="30">
        <v>2306.0</v>
      </c>
      <c r="D2307" s="16" t="s">
        <v>2984</v>
      </c>
      <c r="E2307" s="16" t="s">
        <v>184</v>
      </c>
      <c r="F2307" s="16" t="s">
        <v>234</v>
      </c>
      <c r="G2307" s="16" t="s">
        <v>255</v>
      </c>
      <c r="H2307" s="16" t="s">
        <v>235</v>
      </c>
      <c r="I2307" s="16" t="s">
        <v>2985</v>
      </c>
    </row>
    <row r="2308" ht="242.25" hidden="1" customHeight="1">
      <c r="B2308" s="32" t="str">
        <f>IMAGE("https://gymvisual.com/2607-catalog_default/3-4-sit-up.jpg",4,500,500)</f>
        <v/>
      </c>
      <c r="C2308" s="30">
        <v>2307.0</v>
      </c>
      <c r="D2308" s="16" t="s">
        <v>2986</v>
      </c>
      <c r="E2308" s="16" t="s">
        <v>184</v>
      </c>
      <c r="F2308" s="16" t="s">
        <v>254</v>
      </c>
      <c r="G2308" s="16" t="s">
        <v>255</v>
      </c>
      <c r="H2308" s="16" t="s">
        <v>424</v>
      </c>
      <c r="I2308" s="16" t="s">
        <v>425</v>
      </c>
    </row>
    <row r="2309" ht="242.25" hidden="1" customHeight="1">
      <c r="B2309" s="32" t="str">
        <f>IMAGE("https://gymvisual.com/24305-catalog_default/incline-twisting-sit-up-version-2.jpg",4,500,500)</f>
        <v/>
      </c>
      <c r="C2309" s="30">
        <v>2308.0</v>
      </c>
      <c r="D2309" s="16" t="s">
        <v>2987</v>
      </c>
      <c r="E2309" s="16" t="s">
        <v>184</v>
      </c>
      <c r="F2309" s="16" t="s">
        <v>254</v>
      </c>
      <c r="G2309" s="16" t="s">
        <v>255</v>
      </c>
      <c r="H2309" s="16" t="s">
        <v>424</v>
      </c>
      <c r="I2309" s="16" t="s">
        <v>2988</v>
      </c>
    </row>
    <row r="2310" ht="242.25" hidden="1" customHeight="1">
      <c r="B2310" s="32" t="str">
        <f>IMAGE("https://gymvisual.com/1502-catalog_default/3-4-sit-up.jpg",4,500,500)</f>
        <v/>
      </c>
      <c r="C2310" s="30">
        <v>2309.0</v>
      </c>
      <c r="D2310" s="16" t="s">
        <v>2989</v>
      </c>
      <c r="E2310" s="16" t="s">
        <v>184</v>
      </c>
      <c r="F2310" s="16" t="s">
        <v>285</v>
      </c>
      <c r="G2310" s="16" t="s">
        <v>255</v>
      </c>
      <c r="H2310" s="16" t="s">
        <v>188</v>
      </c>
      <c r="I2310" s="16" t="s">
        <v>561</v>
      </c>
    </row>
    <row r="2311" ht="242.25" hidden="1" customHeight="1">
      <c r="B2311" s="32" t="str">
        <f>IMAGE("https://gymvisual.com/10448-catalog_default/inverse-leg-curl-on-pull-up-cable-machine.jpg",4,500,500)</f>
        <v/>
      </c>
      <c r="C2311" s="30">
        <v>2310.0</v>
      </c>
      <c r="D2311" s="16" t="s">
        <v>2990</v>
      </c>
      <c r="E2311" s="16" t="s">
        <v>184</v>
      </c>
      <c r="F2311" s="16" t="s">
        <v>285</v>
      </c>
      <c r="G2311" s="16" t="s">
        <v>255</v>
      </c>
      <c r="H2311" s="16" t="s">
        <v>188</v>
      </c>
      <c r="I2311" s="16" t="s">
        <v>2991</v>
      </c>
    </row>
    <row r="2312" ht="242.25" hidden="1" customHeight="1">
      <c r="B2312" s="32" t="str">
        <f>IMAGE("https://gymvisual.com/22526-catalog_default/inverse-leg-curl-with-bench-pads.jpg",4,500,500)</f>
        <v/>
      </c>
      <c r="C2312" s="30">
        <v>2311.0</v>
      </c>
      <c r="D2312" s="16" t="s">
        <v>2992</v>
      </c>
      <c r="E2312" s="16" t="s">
        <v>184</v>
      </c>
      <c r="F2312" s="16" t="s">
        <v>285</v>
      </c>
      <c r="G2312" s="16" t="s">
        <v>255</v>
      </c>
      <c r="H2312" s="16" t="s">
        <v>220</v>
      </c>
      <c r="I2312" s="16" t="s">
        <v>220</v>
      </c>
    </row>
    <row r="2313" ht="242.25" hidden="1" customHeight="1">
      <c r="B2313" s="32" t="str">
        <f>IMAGE("https://gymvisual.com/13988-catalog_default/inverted-chin-curl-with-bent-knee-between-chairs.jpg",4,500,500)</f>
        <v/>
      </c>
      <c r="C2313" s="30">
        <v>2312.0</v>
      </c>
      <c r="D2313" s="16" t="s">
        <v>2993</v>
      </c>
      <c r="E2313" s="16" t="s">
        <v>184</v>
      </c>
      <c r="F2313" s="16" t="s">
        <v>219</v>
      </c>
      <c r="G2313" s="16" t="s">
        <v>255</v>
      </c>
      <c r="H2313" s="16" t="s">
        <v>241</v>
      </c>
      <c r="I2313" s="16" t="s">
        <v>292</v>
      </c>
    </row>
    <row r="2314" ht="242.25" hidden="1" customHeight="1">
      <c r="B2314" s="32" t="str">
        <f>IMAGE("https://gymvisual.com/9763-catalog_default/3-4-sit-up.jpg",4,500,500)</f>
        <v/>
      </c>
      <c r="C2314" s="30">
        <v>2313.0</v>
      </c>
      <c r="D2314" s="16" t="s">
        <v>2994</v>
      </c>
      <c r="E2314" s="16" t="s">
        <v>184</v>
      </c>
      <c r="F2314" s="16" t="s">
        <v>192</v>
      </c>
      <c r="G2314" s="16" t="s">
        <v>255</v>
      </c>
      <c r="H2314" s="16" t="s">
        <v>329</v>
      </c>
      <c r="I2314" s="16" t="s">
        <v>457</v>
      </c>
    </row>
    <row r="2315" ht="242.25" hidden="1" customHeight="1">
      <c r="B2315" s="32" t="str">
        <f>IMAGE("https://gymvisual.com/20654-catalog_default/inverted-row-female.jpg",4,500,500)</f>
        <v/>
      </c>
      <c r="C2315" s="30">
        <v>2314.0</v>
      </c>
      <c r="D2315" s="16" t="s">
        <v>2995</v>
      </c>
      <c r="E2315" s="16" t="s">
        <v>184</v>
      </c>
      <c r="F2315" s="16" t="s">
        <v>192</v>
      </c>
      <c r="G2315" s="16" t="s">
        <v>255</v>
      </c>
      <c r="H2315" s="16" t="s">
        <v>329</v>
      </c>
      <c r="I2315" s="16" t="s">
        <v>457</v>
      </c>
    </row>
    <row r="2316" ht="242.25" hidden="1" customHeight="1">
      <c r="B2316" s="32" t="str">
        <f>IMAGE("https://gymvisual.com/1505-catalog_default/3-4-sit-up.jpg",4,500,500)</f>
        <v/>
      </c>
      <c r="C2316" s="30">
        <v>2315.0</v>
      </c>
      <c r="D2316" s="16" t="s">
        <v>2996</v>
      </c>
      <c r="E2316" s="16" t="s">
        <v>184</v>
      </c>
      <c r="F2316" s="16" t="s">
        <v>192</v>
      </c>
      <c r="G2316" s="16" t="s">
        <v>255</v>
      </c>
      <c r="H2316" s="16" t="s">
        <v>329</v>
      </c>
      <c r="I2316" s="16" t="s">
        <v>457</v>
      </c>
    </row>
    <row r="2317" ht="242.25" hidden="1" customHeight="1">
      <c r="B2317" s="32" t="str">
        <f>IMAGE("https://gymvisual.com/13727-catalog_default/inverted-row-bent-knee-under-table-female.jpg",4,500,500)</f>
        <v/>
      </c>
      <c r="C2317" s="30">
        <v>2316.0</v>
      </c>
      <c r="D2317" s="16" t="s">
        <v>2997</v>
      </c>
      <c r="E2317" s="16" t="s">
        <v>184</v>
      </c>
      <c r="F2317" s="16" t="s">
        <v>192</v>
      </c>
      <c r="G2317" s="16" t="s">
        <v>255</v>
      </c>
      <c r="H2317" s="16" t="s">
        <v>329</v>
      </c>
      <c r="I2317" s="16" t="s">
        <v>357</v>
      </c>
    </row>
    <row r="2318" ht="242.25" hidden="1" customHeight="1">
      <c r="B2318" s="32" t="str">
        <f>IMAGE("https://gymvisual.com/9766-catalog_default/inverted-row-bent-knees.jpg",4,500,500)</f>
        <v/>
      </c>
      <c r="C2318" s="30">
        <v>2317.0</v>
      </c>
      <c r="D2318" s="16" t="s">
        <v>2998</v>
      </c>
      <c r="E2318" s="16" t="s">
        <v>184</v>
      </c>
      <c r="F2318" s="16" t="s">
        <v>192</v>
      </c>
      <c r="G2318" s="16" t="s">
        <v>255</v>
      </c>
      <c r="H2318" s="16" t="s">
        <v>329</v>
      </c>
      <c r="I2318" s="16" t="s">
        <v>457</v>
      </c>
    </row>
    <row r="2319" ht="242.25" hidden="1" customHeight="1">
      <c r="B2319" s="32" t="str">
        <f>IMAGE("https://gymvisual.com/13739-catalog_default/inverted-row-between-chairs.jpg",4,500,500)</f>
        <v/>
      </c>
      <c r="C2319" s="30">
        <v>2318.0</v>
      </c>
      <c r="D2319" s="16" t="s">
        <v>2999</v>
      </c>
      <c r="E2319" s="16" t="s">
        <v>184</v>
      </c>
      <c r="F2319" s="16" t="s">
        <v>192</v>
      </c>
      <c r="G2319" s="16" t="s">
        <v>255</v>
      </c>
      <c r="H2319" s="16" t="s">
        <v>329</v>
      </c>
      <c r="I2319" s="16" t="s">
        <v>357</v>
      </c>
    </row>
    <row r="2320" ht="242.25" hidden="1" customHeight="1">
      <c r="B2320" s="32" t="str">
        <f>IMAGE("https://gymvisual.com/14050-catalog_default/inverted-row-between-chairs-female.jpg",4,500,500)</f>
        <v/>
      </c>
      <c r="C2320" s="30">
        <v>2319.0</v>
      </c>
      <c r="D2320" s="16" t="s">
        <v>3000</v>
      </c>
      <c r="E2320" s="16" t="s">
        <v>184</v>
      </c>
      <c r="F2320" s="16" t="s">
        <v>192</v>
      </c>
      <c r="G2320" s="16" t="s">
        <v>255</v>
      </c>
      <c r="H2320" s="16" t="s">
        <v>329</v>
      </c>
      <c r="I2320" s="16" t="s">
        <v>357</v>
      </c>
    </row>
    <row r="2321" ht="242.25" hidden="1" customHeight="1">
      <c r="B2321" s="32" t="str">
        <f>IMAGE("https://gymvisual.com/9764-catalog_default/inverted-row-on-bench.jpg",4,500,500)</f>
        <v/>
      </c>
      <c r="C2321" s="30">
        <v>2320.0</v>
      </c>
      <c r="D2321" s="16" t="s">
        <v>3001</v>
      </c>
      <c r="E2321" s="16" t="s">
        <v>184</v>
      </c>
      <c r="F2321" s="16" t="s">
        <v>192</v>
      </c>
      <c r="G2321" s="16" t="s">
        <v>255</v>
      </c>
      <c r="H2321" s="16" t="s">
        <v>329</v>
      </c>
      <c r="I2321" s="16" t="s">
        <v>457</v>
      </c>
    </row>
    <row r="2322" ht="242.25" hidden="1" customHeight="1">
      <c r="B2322" s="32" t="str">
        <f>IMAGE("https://gymvisual.com/22283-catalog_default/inverted-row-slide.jpg",4,500,500)</f>
        <v/>
      </c>
      <c r="C2322" s="30">
        <v>2321.0</v>
      </c>
      <c r="D2322" s="16" t="s">
        <v>3002</v>
      </c>
      <c r="E2322" s="16" t="s">
        <v>184</v>
      </c>
      <c r="F2322" s="16" t="s">
        <v>192</v>
      </c>
      <c r="G2322" s="16" t="s">
        <v>255</v>
      </c>
      <c r="H2322" s="16" t="s">
        <v>220</v>
      </c>
      <c r="I2322" s="16" t="s">
        <v>220</v>
      </c>
    </row>
    <row r="2323" ht="242.25" hidden="1" customHeight="1">
      <c r="B2323" s="32" t="str">
        <f>IMAGE("https://gymvisual.com/22502-catalog_default/inverted-row-slide-on-floor.jpg",4,500,500)</f>
        <v/>
      </c>
      <c r="C2323" s="30">
        <v>2322.0</v>
      </c>
      <c r="D2323" s="16" t="s">
        <v>3003</v>
      </c>
      <c r="E2323" s="16" t="s">
        <v>184</v>
      </c>
      <c r="F2323" s="16" t="s">
        <v>192</v>
      </c>
      <c r="G2323" s="16" t="s">
        <v>255</v>
      </c>
      <c r="H2323" s="16" t="s">
        <v>220</v>
      </c>
      <c r="I2323" s="16" t="s">
        <v>220</v>
      </c>
    </row>
    <row r="2324" ht="242.25" hidden="1" customHeight="1">
      <c r="B2324" s="32" t="str">
        <f>IMAGE("https://gymvisual.com/13725-catalog_default/inverted-row-under-table-female.jpg",4,500,500)</f>
        <v/>
      </c>
      <c r="C2324" s="30">
        <v>2323.0</v>
      </c>
      <c r="D2324" s="16" t="s">
        <v>3004</v>
      </c>
      <c r="E2324" s="16" t="s">
        <v>184</v>
      </c>
      <c r="F2324" s="16" t="s">
        <v>192</v>
      </c>
      <c r="G2324" s="16" t="s">
        <v>255</v>
      </c>
      <c r="H2324" s="16" t="s">
        <v>329</v>
      </c>
      <c r="I2324" s="16" t="s">
        <v>357</v>
      </c>
    </row>
    <row r="2325" ht="242.25" hidden="1" customHeight="1">
      <c r="B2325" s="32" t="str">
        <f>IMAGE("https://gymvisual.com/16540-catalog_default/inverted-row-with-bed-sheet.jpg",4,500,500)</f>
        <v/>
      </c>
      <c r="C2325" s="30">
        <v>2324.0</v>
      </c>
      <c r="D2325" s="16" t="s">
        <v>3005</v>
      </c>
      <c r="E2325" s="16" t="s">
        <v>184</v>
      </c>
      <c r="F2325" s="16" t="s">
        <v>192</v>
      </c>
      <c r="G2325" s="16" t="s">
        <v>255</v>
      </c>
      <c r="H2325" s="16" t="s">
        <v>329</v>
      </c>
      <c r="I2325" s="16" t="s">
        <v>447</v>
      </c>
    </row>
    <row r="2326" ht="242.25" hidden="1" customHeight="1">
      <c r="B2326" s="32" t="str">
        <f>IMAGE("https://gymvisual.com/13986-catalog_default/inverted-row-with-bent-knee-between-chairs.jpg",4,500,500)</f>
        <v/>
      </c>
      <c r="C2326" s="30">
        <v>2325.0</v>
      </c>
      <c r="D2326" s="16" t="s">
        <v>3006</v>
      </c>
      <c r="E2326" s="16" t="s">
        <v>184</v>
      </c>
      <c r="F2326" s="16" t="s">
        <v>192</v>
      </c>
      <c r="G2326" s="16" t="s">
        <v>255</v>
      </c>
      <c r="H2326" s="16" t="s">
        <v>329</v>
      </c>
      <c r="I2326" s="16" t="s">
        <v>357</v>
      </c>
    </row>
    <row r="2327" ht="242.25" hidden="1" customHeight="1">
      <c r="B2327" s="32" t="str">
        <f>IMAGE("https://gymvisual.com/1508-catalog_default/3-4-sit-up.jpg",4,500,500)</f>
        <v/>
      </c>
      <c r="C2327" s="30">
        <v>2326.0</v>
      </c>
      <c r="D2327" s="16" t="s">
        <v>3007</v>
      </c>
      <c r="E2327" s="16" t="s">
        <v>184</v>
      </c>
      <c r="F2327" s="16" t="s">
        <v>192</v>
      </c>
      <c r="G2327" s="16" t="s">
        <v>255</v>
      </c>
      <c r="H2327" s="16" t="s">
        <v>329</v>
      </c>
      <c r="I2327" s="16" t="s">
        <v>447</v>
      </c>
    </row>
    <row r="2328" ht="242.25" customHeight="1">
      <c r="B2328" s="32" t="str">
        <f>IMAGE("https://gymvisual.com/17138-catalog_default/inverted-row-with-straps-female.jpg",4,500,500)</f>
        <v/>
      </c>
      <c r="C2328" s="30">
        <v>2327.0</v>
      </c>
      <c r="D2328" s="16" t="s">
        <v>3008</v>
      </c>
      <c r="E2328" s="16" t="s">
        <v>184</v>
      </c>
      <c r="F2328" s="16" t="s">
        <v>192</v>
      </c>
      <c r="G2328" s="16" t="s">
        <v>3009</v>
      </c>
      <c r="H2328" s="16" t="s">
        <v>329</v>
      </c>
      <c r="I2328" s="16" t="s">
        <v>447</v>
      </c>
    </row>
    <row r="2329" ht="242.25" hidden="1" customHeight="1">
      <c r="B2329" s="32" t="str">
        <f>IMAGE("https://gymvisual.com/17831-catalog_default/inverted-shrug.jpg",4,500,500)</f>
        <v/>
      </c>
      <c r="C2329" s="30">
        <v>2328.0</v>
      </c>
      <c r="D2329" s="16" t="s">
        <v>3010</v>
      </c>
      <c r="E2329" s="16" t="s">
        <v>184</v>
      </c>
      <c r="F2329" s="16" t="s">
        <v>192</v>
      </c>
      <c r="G2329" s="16" t="s">
        <v>255</v>
      </c>
      <c r="H2329" s="16" t="s">
        <v>220</v>
      </c>
      <c r="I2329" s="16" t="s">
        <v>220</v>
      </c>
    </row>
    <row r="2330" ht="242.25" hidden="1" customHeight="1">
      <c r="B2330" s="32" t="str">
        <f>IMAGE("https://gymvisual.com/17819-catalog_default/inverted-shrug-on-parallel-bars.jpg",4,500,500)</f>
        <v/>
      </c>
      <c r="C2330" s="30">
        <v>2329.0</v>
      </c>
      <c r="D2330" s="16" t="s">
        <v>3011</v>
      </c>
      <c r="E2330" s="16" t="s">
        <v>184</v>
      </c>
      <c r="F2330" s="16" t="s">
        <v>192</v>
      </c>
      <c r="G2330" s="16" t="s">
        <v>255</v>
      </c>
      <c r="H2330" s="16" t="s">
        <v>220</v>
      </c>
      <c r="I2330" s="16" t="s">
        <v>220</v>
      </c>
    </row>
    <row r="2331" ht="242.25" hidden="1" customHeight="1">
      <c r="B2331" s="32" t="str">
        <f>IMAGE("https://gymvisual.com/14088-catalog_default/inverted-underhand-grip-row-between-chairs.jpg",4,500,500)</f>
        <v/>
      </c>
      <c r="C2331" s="30">
        <v>2330.0</v>
      </c>
      <c r="D2331" s="16" t="s">
        <v>3012</v>
      </c>
      <c r="E2331" s="16" t="s">
        <v>184</v>
      </c>
      <c r="F2331" s="16" t="s">
        <v>192</v>
      </c>
      <c r="G2331" s="16" t="s">
        <v>255</v>
      </c>
      <c r="H2331" s="16" t="s">
        <v>329</v>
      </c>
      <c r="I2331" s="16" t="s">
        <v>357</v>
      </c>
    </row>
    <row r="2332" ht="242.25" hidden="1" customHeight="1">
      <c r="B2332" s="32" t="str">
        <f>IMAGE("https://gymvisual.com/20704-catalog_default/inverted-wide-row.jpg",4,500,500)</f>
        <v/>
      </c>
      <c r="C2332" s="30">
        <v>2331.0</v>
      </c>
      <c r="D2332" s="16" t="s">
        <v>3013</v>
      </c>
      <c r="E2332" s="16" t="s">
        <v>184</v>
      </c>
      <c r="F2332" s="16" t="s">
        <v>192</v>
      </c>
      <c r="G2332" s="16" t="s">
        <v>255</v>
      </c>
      <c r="H2332" s="16" t="s">
        <v>3014</v>
      </c>
      <c r="I2332" s="16" t="s">
        <v>447</v>
      </c>
    </row>
    <row r="2333" ht="242.25" hidden="1" customHeight="1">
      <c r="B2333" s="32" t="str">
        <f>IMAGE("https://gymvisual.com/22468-catalog_default/inverted-wide-to-narrow-row.jpg",4,500,500)</f>
        <v/>
      </c>
      <c r="C2333" s="30">
        <v>2332.0</v>
      </c>
      <c r="D2333" s="16" t="s">
        <v>3015</v>
      </c>
      <c r="E2333" s="16" t="s">
        <v>184</v>
      </c>
      <c r="F2333" s="16" t="s">
        <v>192</v>
      </c>
      <c r="G2333" s="16" t="s">
        <v>255</v>
      </c>
      <c r="H2333" s="16" t="s">
        <v>220</v>
      </c>
      <c r="I2333" s="16" t="s">
        <v>220</v>
      </c>
    </row>
    <row r="2334" ht="242.25" hidden="1" customHeight="1">
      <c r="B2334" s="32" t="str">
        <f>IMAGE("https://gymvisual.com/4505-catalog_default/iron-cross-plank.jpg",4,500,500)</f>
        <v/>
      </c>
      <c r="C2334" s="30">
        <v>2333.0</v>
      </c>
      <c r="D2334" s="16" t="s">
        <v>3016</v>
      </c>
      <c r="E2334" s="16" t="s">
        <v>184</v>
      </c>
      <c r="F2334" s="16" t="s">
        <v>192</v>
      </c>
      <c r="G2334" s="16" t="s">
        <v>255</v>
      </c>
      <c r="H2334" s="16" t="s">
        <v>3017</v>
      </c>
      <c r="I2334" s="16" t="s">
        <v>220</v>
      </c>
    </row>
    <row r="2335" ht="242.25" hidden="1" customHeight="1">
      <c r="B2335" s="32" t="str">
        <f>IMAGE("https://gymvisual.com/5986-catalog_default/isometric-chest-squeeze.jpg",4,500,500)</f>
        <v/>
      </c>
      <c r="C2335" s="30">
        <v>2334.0</v>
      </c>
      <c r="D2335" s="16" t="s">
        <v>3018</v>
      </c>
      <c r="E2335" s="16" t="s">
        <v>184</v>
      </c>
      <c r="F2335" s="16" t="s">
        <v>234</v>
      </c>
      <c r="G2335" s="16" t="s">
        <v>255</v>
      </c>
      <c r="H2335" s="16" t="s">
        <v>347</v>
      </c>
      <c r="I2335" s="16" t="s">
        <v>382</v>
      </c>
    </row>
    <row r="2336" ht="242.25" hidden="1" customHeight="1">
      <c r="B2336" s="32" t="str">
        <f>IMAGE("https://gymvisual.com/1514-catalog_default/3-4-sit-up.jpg",4,500,500)</f>
        <v/>
      </c>
      <c r="C2336" s="30">
        <v>2335.0</v>
      </c>
      <c r="D2336" s="16" t="s">
        <v>3019</v>
      </c>
      <c r="E2336" s="16" t="s">
        <v>184</v>
      </c>
      <c r="F2336" s="16" t="s">
        <v>234</v>
      </c>
      <c r="G2336" s="16" t="s">
        <v>255</v>
      </c>
      <c r="H2336" s="16" t="s">
        <v>347</v>
      </c>
      <c r="I2336" s="16" t="s">
        <v>3020</v>
      </c>
    </row>
    <row r="2337" ht="242.25" hidden="1" customHeight="1">
      <c r="B2337" s="32" t="str">
        <f>IMAGE("https://gymvisual.com/1519-catalog_default/3-4-sit-up.jpg",4,500,500)</f>
        <v/>
      </c>
      <c r="C2337" s="30">
        <v>2336.0</v>
      </c>
      <c r="D2337" s="16" t="s">
        <v>3021</v>
      </c>
      <c r="E2337" s="16" t="s">
        <v>184</v>
      </c>
      <c r="F2337" s="16" t="s">
        <v>254</v>
      </c>
      <c r="G2337" s="16" t="s">
        <v>255</v>
      </c>
      <c r="H2337" s="16" t="s">
        <v>256</v>
      </c>
      <c r="I2337" s="16" t="s">
        <v>1308</v>
      </c>
    </row>
    <row r="2338" ht="242.25" customHeight="1">
      <c r="B2338" s="32" t="str">
        <f>IMAGE("https://gymvisual.com/1522-catalog_default/3-4-sit-up.jpg",4,500,500)</f>
        <v/>
      </c>
      <c r="C2338" s="30">
        <v>2337.0</v>
      </c>
      <c r="D2338" s="16" t="s">
        <v>3022</v>
      </c>
      <c r="E2338" s="16" t="s">
        <v>184</v>
      </c>
      <c r="F2338" s="16" t="s">
        <v>254</v>
      </c>
      <c r="G2338" s="16" t="s">
        <v>399</v>
      </c>
      <c r="H2338" s="16" t="s">
        <v>256</v>
      </c>
      <c r="I2338" s="16" t="s">
        <v>1308</v>
      </c>
    </row>
    <row r="2339" ht="242.25" hidden="1" customHeight="1">
      <c r="B2339" s="32" t="str">
        <f>IMAGE("https://gymvisual.com/17767-catalog_default/jack-knife-sit-up-female.jpg",4,500,500)</f>
        <v/>
      </c>
      <c r="C2339" s="30">
        <v>2338.0</v>
      </c>
      <c r="D2339" s="16" t="s">
        <v>3023</v>
      </c>
      <c r="E2339" s="16" t="s">
        <v>184</v>
      </c>
      <c r="F2339" s="16" t="s">
        <v>254</v>
      </c>
      <c r="G2339" s="16" t="s">
        <v>255</v>
      </c>
      <c r="H2339" s="16" t="s">
        <v>220</v>
      </c>
      <c r="I2339" s="16" t="s">
        <v>220</v>
      </c>
    </row>
    <row r="2340" ht="242.25" hidden="1" customHeight="1">
      <c r="B2340" s="32" t="str">
        <f>IMAGE("https://gymvisual.com/6423-catalog_default/jack-plank.jpg",4,500,500)</f>
        <v/>
      </c>
      <c r="C2340" s="30">
        <v>2339.0</v>
      </c>
      <c r="D2340" s="16" t="s">
        <v>3024</v>
      </c>
      <c r="E2340" s="16" t="s">
        <v>184</v>
      </c>
      <c r="F2340" s="16" t="s">
        <v>254</v>
      </c>
      <c r="G2340" s="16" t="s">
        <v>255</v>
      </c>
      <c r="H2340" s="16" t="s">
        <v>1213</v>
      </c>
      <c r="I2340" s="16" t="s">
        <v>3025</v>
      </c>
    </row>
    <row r="2341" ht="242.25" customHeight="1">
      <c r="B2341" s="32" t="str">
        <f>IMAGE("https://gymvisual.com/11251-catalog_default/jack-plank-on-medicine-ball-female.jpg",4,500,500)</f>
        <v/>
      </c>
      <c r="C2341" s="30">
        <v>2340.0</v>
      </c>
      <c r="D2341" s="16" t="s">
        <v>3026</v>
      </c>
      <c r="E2341" s="16" t="s">
        <v>184</v>
      </c>
      <c r="F2341" s="16" t="s">
        <v>254</v>
      </c>
      <c r="G2341" s="16" t="s">
        <v>373</v>
      </c>
      <c r="H2341" s="16" t="s">
        <v>220</v>
      </c>
      <c r="I2341" s="16" t="s">
        <v>220</v>
      </c>
    </row>
    <row r="2342" ht="242.25" hidden="1" customHeight="1">
      <c r="B2342" s="32" t="str">
        <f>IMAGE("https://gymvisual.com/1528-catalog_default/3-4-sit-up.jpg",4,500,500)</f>
        <v/>
      </c>
      <c r="C2342" s="30">
        <v>2341.0</v>
      </c>
      <c r="D2342" s="16" t="s">
        <v>3027</v>
      </c>
      <c r="E2342" s="16" t="s">
        <v>184</v>
      </c>
      <c r="F2342" s="16" t="s">
        <v>254</v>
      </c>
      <c r="G2342" s="16" t="s">
        <v>255</v>
      </c>
      <c r="H2342" s="16" t="s">
        <v>305</v>
      </c>
      <c r="I2342" s="16" t="s">
        <v>3028</v>
      </c>
    </row>
    <row r="2343" ht="242.25" hidden="1" customHeight="1">
      <c r="B2343" s="32" t="str">
        <f>IMAGE("https://gymvisual.com/23609-catalog_default/jack-step-male.jpg",4,500,500)</f>
        <v/>
      </c>
      <c r="C2343" s="30">
        <v>2342.0</v>
      </c>
      <c r="D2343" s="16" t="s">
        <v>3029</v>
      </c>
      <c r="E2343" s="16" t="s">
        <v>184</v>
      </c>
      <c r="F2343" s="16" t="s">
        <v>321</v>
      </c>
      <c r="G2343" s="16" t="s">
        <v>255</v>
      </c>
      <c r="H2343" s="16" t="s">
        <v>220</v>
      </c>
      <c r="I2343" s="16" t="s">
        <v>220</v>
      </c>
    </row>
    <row r="2344" ht="242.25" hidden="1" customHeight="1">
      <c r="B2344" s="32" t="str">
        <f>IMAGE("https://gymvisual.com/1534-catalog_default/3-4-sit-up.jpg",4,500,500)</f>
        <v/>
      </c>
      <c r="C2344" s="30">
        <v>2343.0</v>
      </c>
      <c r="D2344" s="16" t="s">
        <v>3030</v>
      </c>
      <c r="E2344" s="16" t="s">
        <v>184</v>
      </c>
      <c r="F2344" s="16" t="s">
        <v>254</v>
      </c>
      <c r="G2344" s="16" t="s">
        <v>255</v>
      </c>
      <c r="H2344" s="16" t="s">
        <v>305</v>
      </c>
      <c r="I2344" s="16" t="s">
        <v>317</v>
      </c>
    </row>
    <row r="2345" ht="242.25" hidden="1" customHeight="1">
      <c r="B2345" s="32" t="str">
        <f>IMAGE("https://gymvisual.com/13455-catalog_default/janda-sit-up-female.jpg",4,500,500)</f>
        <v/>
      </c>
      <c r="C2345" s="30">
        <v>2344.0</v>
      </c>
      <c r="D2345" s="16" t="s">
        <v>3031</v>
      </c>
      <c r="E2345" s="16" t="s">
        <v>184</v>
      </c>
      <c r="F2345" s="16" t="s">
        <v>254</v>
      </c>
      <c r="G2345" s="16" t="s">
        <v>255</v>
      </c>
      <c r="H2345" s="16" t="s">
        <v>256</v>
      </c>
      <c r="I2345" s="16" t="s">
        <v>257</v>
      </c>
    </row>
    <row r="2346" ht="242.25" hidden="1" customHeight="1">
      <c r="B2346" s="32" t="str">
        <f>IMAGE("https://gymvisual.com/1537-catalog_default/3-4-sit-up.jpg",4,500,500)</f>
        <v/>
      </c>
      <c r="C2346" s="30">
        <v>2345.0</v>
      </c>
      <c r="D2346" s="16" t="s">
        <v>3032</v>
      </c>
      <c r="E2346" s="16" t="s">
        <v>184</v>
      </c>
      <c r="F2346" s="16" t="s">
        <v>254</v>
      </c>
      <c r="G2346" s="16" t="s">
        <v>255</v>
      </c>
      <c r="H2346" s="16" t="s">
        <v>256</v>
      </c>
      <c r="I2346" s="16" t="s">
        <v>257</v>
      </c>
    </row>
    <row r="2347" ht="242.25" customHeight="1">
      <c r="B2347" s="32" t="str">
        <f>IMAGE("https://gymvisual.com/1564-catalog_default/3-4-sit-up.jpg",4,500,500)</f>
        <v/>
      </c>
      <c r="C2347" s="30">
        <v>2346.0</v>
      </c>
      <c r="D2347" s="16" t="s">
        <v>3033</v>
      </c>
      <c r="E2347" s="16" t="s">
        <v>184</v>
      </c>
      <c r="F2347" s="16" t="s">
        <v>254</v>
      </c>
      <c r="G2347" s="16" t="s">
        <v>3034</v>
      </c>
      <c r="H2347" s="16" t="s">
        <v>424</v>
      </c>
      <c r="I2347" s="16" t="s">
        <v>220</v>
      </c>
    </row>
    <row r="2348" ht="242.25" customHeight="1">
      <c r="B2348" s="32" t="str">
        <f>IMAGE("https://gymvisual.com/1567-catalog_default/3-4-sit-up.jpg",4,500,500)</f>
        <v/>
      </c>
      <c r="C2348" s="30">
        <v>2347.0</v>
      </c>
      <c r="D2348" s="16" t="s">
        <v>3035</v>
      </c>
      <c r="E2348" s="16" t="s">
        <v>184</v>
      </c>
      <c r="F2348" s="16" t="s">
        <v>214</v>
      </c>
      <c r="G2348" s="16" t="s">
        <v>3034</v>
      </c>
      <c r="H2348" s="16" t="s">
        <v>3036</v>
      </c>
      <c r="I2348" s="16" t="s">
        <v>882</v>
      </c>
    </row>
    <row r="2349" ht="242.25" customHeight="1">
      <c r="B2349" s="32" t="str">
        <f>IMAGE("https://gymvisual.com/1573-catalog_default/3-4-sit-up.jpg",4,500,500)</f>
        <v/>
      </c>
      <c r="C2349" s="30">
        <v>2348.0</v>
      </c>
      <c r="D2349" s="16" t="s">
        <v>3037</v>
      </c>
      <c r="E2349" s="16" t="s">
        <v>184</v>
      </c>
      <c r="F2349" s="16" t="s">
        <v>228</v>
      </c>
      <c r="G2349" s="16" t="s">
        <v>3034</v>
      </c>
      <c r="H2349" s="16" t="s">
        <v>229</v>
      </c>
      <c r="I2349" s="16" t="s">
        <v>230</v>
      </c>
    </row>
    <row r="2350" ht="242.25" customHeight="1">
      <c r="B2350" s="32" t="str">
        <f>IMAGE("https://gymvisual.com/1570-catalog_default/3-4-sit-up.jpg",4,500,500)</f>
        <v/>
      </c>
      <c r="C2350" s="30">
        <v>2349.0</v>
      </c>
      <c r="D2350" s="16" t="s">
        <v>3038</v>
      </c>
      <c r="E2350" s="16" t="s">
        <v>184</v>
      </c>
      <c r="F2350" s="16" t="s">
        <v>234</v>
      </c>
      <c r="G2350" s="16" t="s">
        <v>3034</v>
      </c>
      <c r="H2350" s="16" t="s">
        <v>235</v>
      </c>
      <c r="I2350" s="16" t="s">
        <v>243</v>
      </c>
    </row>
    <row r="2351" ht="242.25" customHeight="1">
      <c r="B2351" s="32" t="str">
        <f>IMAGE("https://gymvisual.com/18923-catalog_default/kettlebell-alternating-press-on-floor-female.jpg",4,500,500)</f>
        <v/>
      </c>
      <c r="C2351" s="30">
        <v>2350.0</v>
      </c>
      <c r="D2351" s="16" t="s">
        <v>3039</v>
      </c>
      <c r="E2351" s="16" t="s">
        <v>184</v>
      </c>
      <c r="F2351" s="16" t="s">
        <v>234</v>
      </c>
      <c r="G2351" s="16" t="s">
        <v>3034</v>
      </c>
      <c r="H2351" s="16" t="s">
        <v>220</v>
      </c>
      <c r="I2351" s="16" t="s">
        <v>220</v>
      </c>
    </row>
    <row r="2352" ht="242.25" customHeight="1">
      <c r="B2352" s="32" t="str">
        <f>IMAGE("https://gymvisual.com/1576-catalog_default/3-4-sit-up.jpg",4,500,500)</f>
        <v/>
      </c>
      <c r="C2352" s="30">
        <v>2351.0</v>
      </c>
      <c r="D2352" s="16" t="s">
        <v>3040</v>
      </c>
      <c r="E2352" s="16" t="s">
        <v>184</v>
      </c>
      <c r="F2352" s="16" t="s">
        <v>192</v>
      </c>
      <c r="G2352" s="16" t="s">
        <v>3034</v>
      </c>
      <c r="H2352" s="16" t="s">
        <v>3041</v>
      </c>
      <c r="I2352" s="16" t="s">
        <v>457</v>
      </c>
    </row>
    <row r="2353" ht="242.25" customHeight="1">
      <c r="B2353" s="32" t="str">
        <f>IMAGE("https://gymvisual.com/11158-catalog_default/kettlebell-alternating-renegade-row-female.jpg",4,500,500)</f>
        <v/>
      </c>
      <c r="C2353" s="30">
        <v>2352.0</v>
      </c>
      <c r="D2353" s="16" t="s">
        <v>3042</v>
      </c>
      <c r="E2353" s="16" t="s">
        <v>184</v>
      </c>
      <c r="F2353" s="16" t="s">
        <v>192</v>
      </c>
      <c r="G2353" s="16" t="s">
        <v>3034</v>
      </c>
      <c r="H2353" s="16" t="s">
        <v>220</v>
      </c>
      <c r="I2353" s="16" t="s">
        <v>220</v>
      </c>
    </row>
    <row r="2354" ht="242.25" customHeight="1">
      <c r="B2354" s="32" t="str">
        <f>IMAGE("https://gymvisual.com/18917-catalog_default/3-4-sit-up.jpg",4,500,500)</f>
        <v/>
      </c>
      <c r="C2354" s="30">
        <v>2353.0</v>
      </c>
      <c r="D2354" s="16" t="s">
        <v>3043</v>
      </c>
      <c r="E2354" s="16" t="s">
        <v>184</v>
      </c>
      <c r="F2354" s="16" t="s">
        <v>192</v>
      </c>
      <c r="G2354" s="16" t="s">
        <v>3034</v>
      </c>
      <c r="H2354" s="16" t="s">
        <v>3044</v>
      </c>
      <c r="I2354" s="16" t="s">
        <v>457</v>
      </c>
    </row>
    <row r="2355" ht="242.25" customHeight="1">
      <c r="B2355" s="32" t="str">
        <f>IMAGE("https://gymvisual.com/12207-catalog_default/kettlebell-angled-press.jpg",4,500,500)</f>
        <v/>
      </c>
      <c r="C2355" s="30">
        <v>2354.0</v>
      </c>
      <c r="D2355" s="16" t="s">
        <v>3045</v>
      </c>
      <c r="E2355" s="16" t="s">
        <v>184</v>
      </c>
      <c r="F2355" s="16" t="s">
        <v>192</v>
      </c>
      <c r="G2355" s="16" t="s">
        <v>3034</v>
      </c>
      <c r="H2355" s="16" t="s">
        <v>2135</v>
      </c>
      <c r="I2355" s="16" t="s">
        <v>2112</v>
      </c>
    </row>
    <row r="2356" ht="242.25" customHeight="1">
      <c r="B2356" s="32" t="str">
        <f>IMAGE("https://gymvisual.com/1582-catalog_default/3-4-sit-up.jpg",4,500,500)</f>
        <v/>
      </c>
      <c r="C2356" s="30">
        <v>2355.0</v>
      </c>
      <c r="D2356" s="16" t="s">
        <v>3046</v>
      </c>
      <c r="E2356" s="16" t="s">
        <v>184</v>
      </c>
      <c r="F2356" s="16" t="s">
        <v>228</v>
      </c>
      <c r="G2356" s="16" t="s">
        <v>3034</v>
      </c>
      <c r="H2356" s="16" t="s">
        <v>229</v>
      </c>
      <c r="I2356" s="16" t="s">
        <v>230</v>
      </c>
    </row>
    <row r="2357" ht="242.25" customHeight="1">
      <c r="B2357" s="32" t="str">
        <f>IMAGE("https://gymvisual.com/12204-catalog_default/kettlebell-around-head-rotation.jpg",4,500,500)</f>
        <v/>
      </c>
      <c r="C2357" s="30">
        <v>2356.0</v>
      </c>
      <c r="D2357" s="16" t="s">
        <v>3047</v>
      </c>
      <c r="E2357" s="16" t="s">
        <v>184</v>
      </c>
      <c r="F2357" s="16" t="s">
        <v>228</v>
      </c>
      <c r="G2357" s="16" t="s">
        <v>3034</v>
      </c>
      <c r="H2357" s="16" t="s">
        <v>333</v>
      </c>
      <c r="I2357" s="16" t="s">
        <v>3048</v>
      </c>
    </row>
    <row r="2358" ht="242.25" customHeight="1">
      <c r="B2358" s="32" t="str">
        <f>IMAGE("https://gymvisual.com/19509-catalog_default/kettlebell-assisted-bulgarian-split-squat.jpg",4,500,500)</f>
        <v/>
      </c>
      <c r="C2358" s="30">
        <v>2357.0</v>
      </c>
      <c r="D2358" s="16" t="s">
        <v>3049</v>
      </c>
      <c r="E2358" s="16" t="s">
        <v>184</v>
      </c>
      <c r="F2358" s="16" t="s">
        <v>285</v>
      </c>
      <c r="G2358" s="16" t="s">
        <v>3034</v>
      </c>
      <c r="H2358" s="16" t="s">
        <v>220</v>
      </c>
      <c r="I2358" s="16" t="s">
        <v>220</v>
      </c>
    </row>
    <row r="2359" ht="242.25" customHeight="1">
      <c r="B2359" s="32" t="str">
        <f>IMAGE("https://gymvisual.com/14209-catalog_default/kettlebell-backward-lunge.jpg",4,500,500)</f>
        <v/>
      </c>
      <c r="C2359" s="30">
        <v>2358.0</v>
      </c>
      <c r="D2359" s="16" t="s">
        <v>3050</v>
      </c>
      <c r="E2359" s="16" t="s">
        <v>184</v>
      </c>
      <c r="F2359" s="16" t="s">
        <v>294</v>
      </c>
      <c r="G2359" s="16" t="s">
        <v>3034</v>
      </c>
      <c r="H2359" s="16" t="s">
        <v>189</v>
      </c>
      <c r="I2359" s="16" t="s">
        <v>190</v>
      </c>
    </row>
    <row r="2360" ht="242.25" customHeight="1">
      <c r="B2360" s="32" t="str">
        <f>IMAGE("https://gymvisual.com/17977-catalog_default/kettlebell-banded-swing.jpg",4,500,500)</f>
        <v/>
      </c>
      <c r="C2360" s="30">
        <v>2359.0</v>
      </c>
      <c r="D2360" s="16" t="s">
        <v>3051</v>
      </c>
      <c r="E2360" s="16" t="s">
        <v>184</v>
      </c>
      <c r="F2360" s="16" t="s">
        <v>185</v>
      </c>
      <c r="G2360" s="16" t="s">
        <v>3034</v>
      </c>
      <c r="H2360" s="16" t="s">
        <v>220</v>
      </c>
      <c r="I2360" s="16" t="s">
        <v>220</v>
      </c>
    </row>
    <row r="2361" ht="242.25" customHeight="1">
      <c r="B2361" s="32" t="str">
        <f>IMAGE("https://gymvisual.com/19563-catalog_default/kettlebell-bent-arm-pullover-with-knees-bent-female.jpg",4,500,500)</f>
        <v/>
      </c>
      <c r="C2361" s="30">
        <v>2360.0</v>
      </c>
      <c r="D2361" s="16" t="s">
        <v>3052</v>
      </c>
      <c r="E2361" s="16" t="s">
        <v>184</v>
      </c>
      <c r="F2361" s="16" t="s">
        <v>192</v>
      </c>
      <c r="G2361" s="16" t="s">
        <v>3034</v>
      </c>
      <c r="H2361" s="16" t="s">
        <v>220</v>
      </c>
      <c r="I2361" s="16" t="s">
        <v>220</v>
      </c>
    </row>
    <row r="2362" ht="242.25" customHeight="1">
      <c r="B2362" s="32" t="str">
        <f>IMAGE("https://gymvisual.com/26108-catalog_default/kettlebell-bent-over-alternate-twist-row.jpg",4,500,500)</f>
        <v/>
      </c>
      <c r="C2362" s="30">
        <v>2361.0</v>
      </c>
      <c r="D2362" s="16" t="s">
        <v>3053</v>
      </c>
      <c r="E2362" s="16" t="s">
        <v>184</v>
      </c>
      <c r="F2362" s="16" t="s">
        <v>192</v>
      </c>
      <c r="G2362" s="16" t="s">
        <v>3034</v>
      </c>
      <c r="H2362" s="16" t="s">
        <v>220</v>
      </c>
      <c r="I2362" s="16" t="s">
        <v>220</v>
      </c>
    </row>
    <row r="2363" ht="242.25" customHeight="1">
      <c r="B2363" s="32" t="str">
        <f>IMAGE("https://gymvisual.com/1585-catalog_default/3-4-sit-up.jpg",4,500,500)</f>
        <v/>
      </c>
      <c r="C2363" s="30">
        <v>2362.0</v>
      </c>
      <c r="D2363" s="16" t="s">
        <v>3054</v>
      </c>
      <c r="E2363" s="16" t="s">
        <v>184</v>
      </c>
      <c r="F2363" s="16" t="s">
        <v>254</v>
      </c>
      <c r="G2363" s="16" t="s">
        <v>3034</v>
      </c>
      <c r="H2363" s="16" t="s">
        <v>741</v>
      </c>
      <c r="I2363" s="16" t="s">
        <v>3055</v>
      </c>
    </row>
    <row r="2364" ht="242.25" customHeight="1">
      <c r="B2364" s="32" t="str">
        <f>IMAGE("https://gymvisual.com/11492-catalog_default/kettlebell-bent-press-female.jpg",4,500,500)</f>
        <v/>
      </c>
      <c r="C2364" s="30">
        <v>2363.0</v>
      </c>
      <c r="D2364" s="16" t="s">
        <v>3056</v>
      </c>
      <c r="E2364" s="16" t="s">
        <v>184</v>
      </c>
      <c r="F2364" s="16" t="s">
        <v>254</v>
      </c>
      <c r="G2364" s="16" t="s">
        <v>3034</v>
      </c>
      <c r="H2364" s="16" t="s">
        <v>741</v>
      </c>
      <c r="I2364" s="16" t="s">
        <v>3057</v>
      </c>
    </row>
    <row r="2365" ht="242.25" customHeight="1">
      <c r="B2365" s="32" t="str">
        <f>IMAGE("https://gymvisual.com/19561-catalog_default/kettlebell-bent-over-row-female.jpg",4,500,500)</f>
        <v/>
      </c>
      <c r="C2365" s="30">
        <v>2364.0</v>
      </c>
      <c r="D2365" s="16" t="s">
        <v>3058</v>
      </c>
      <c r="E2365" s="16" t="s">
        <v>184</v>
      </c>
      <c r="F2365" s="16" t="s">
        <v>192</v>
      </c>
      <c r="G2365" s="16" t="s">
        <v>3034</v>
      </c>
      <c r="H2365" s="16" t="s">
        <v>220</v>
      </c>
      <c r="I2365" s="16" t="s">
        <v>220</v>
      </c>
    </row>
    <row r="2366" ht="242.25" customHeight="1">
      <c r="B2366" s="32" t="str">
        <f>IMAGE("https://gymvisual.com/26088-catalog_default/kettlebell-biceps-curl.jpg",4,500,500)</f>
        <v/>
      </c>
      <c r="C2366" s="30">
        <v>2365.0</v>
      </c>
      <c r="D2366" s="16" t="s">
        <v>3059</v>
      </c>
      <c r="E2366" s="16" t="s">
        <v>184</v>
      </c>
      <c r="F2366" s="16" t="s">
        <v>219</v>
      </c>
      <c r="G2366" s="16" t="s">
        <v>3034</v>
      </c>
      <c r="H2366" s="16" t="s">
        <v>220</v>
      </c>
      <c r="I2366" s="16" t="s">
        <v>220</v>
      </c>
    </row>
    <row r="2367" ht="242.25" customHeight="1">
      <c r="B2367" s="32" t="str">
        <f>IMAGE("https://gymvisual.com/16410-catalog_default/kettlebell-bottom-up-one-arm-bench-press.jpg",4,500,500)</f>
        <v/>
      </c>
      <c r="C2367" s="30">
        <v>2366.0</v>
      </c>
      <c r="D2367" s="16" t="s">
        <v>3060</v>
      </c>
      <c r="E2367" s="16" t="s">
        <v>184</v>
      </c>
      <c r="F2367" s="16" t="s">
        <v>234</v>
      </c>
      <c r="G2367" s="16" t="s">
        <v>3034</v>
      </c>
      <c r="H2367" s="16" t="s">
        <v>235</v>
      </c>
      <c r="I2367" s="16" t="s">
        <v>243</v>
      </c>
    </row>
    <row r="2368" ht="242.25" customHeight="1">
      <c r="B2368" s="32" t="str">
        <f>IMAGE("https://gymvisual.com/1588-catalog_default/3-4-sit-up.jpg",4,500,500)</f>
        <v/>
      </c>
      <c r="C2368" s="30">
        <v>2367.0</v>
      </c>
      <c r="D2368" s="16" t="s">
        <v>3061</v>
      </c>
      <c r="E2368" s="16" t="s">
        <v>184</v>
      </c>
      <c r="F2368" s="16" t="s">
        <v>214</v>
      </c>
      <c r="G2368" s="16" t="s">
        <v>3034</v>
      </c>
      <c r="H2368" s="16" t="s">
        <v>292</v>
      </c>
      <c r="I2368" s="16" t="s">
        <v>236</v>
      </c>
    </row>
    <row r="2369" ht="242.25" customHeight="1">
      <c r="B2369" s="32" t="str">
        <f>IMAGE("https://gymvisual.com/18093-catalog_default/kettlebell-bottoms-up-to-knee-turkish-get-up.jpg",4,500,500)</f>
        <v/>
      </c>
      <c r="C2369" s="30">
        <v>2368.0</v>
      </c>
      <c r="D2369" s="16" t="s">
        <v>3062</v>
      </c>
      <c r="E2369" s="16" t="s">
        <v>184</v>
      </c>
      <c r="F2369" s="16" t="s">
        <v>285</v>
      </c>
      <c r="G2369" s="16" t="s">
        <v>3034</v>
      </c>
      <c r="H2369" s="16" t="s">
        <v>220</v>
      </c>
      <c r="I2369" s="16" t="s">
        <v>220</v>
      </c>
    </row>
    <row r="2370" ht="242.25" customHeight="1">
      <c r="B2370" s="32" t="str">
        <f>IMAGE("https://gymvisual.com/23693-catalog_default/kettlebell-box-squat.jpg",4,500,500)</f>
        <v/>
      </c>
      <c r="C2370" s="30">
        <v>2369.0</v>
      </c>
      <c r="D2370" s="16" t="s">
        <v>3063</v>
      </c>
      <c r="E2370" s="16" t="s">
        <v>184</v>
      </c>
      <c r="F2370" s="16" t="s">
        <v>185</v>
      </c>
      <c r="G2370" s="16" t="s">
        <v>3034</v>
      </c>
      <c r="H2370" s="16" t="s">
        <v>189</v>
      </c>
      <c r="I2370" s="16" t="s">
        <v>190</v>
      </c>
    </row>
    <row r="2371" ht="242.25" customHeight="1">
      <c r="B2371" s="32" t="str">
        <f>IMAGE("https://gymvisual.com/26112-catalog_default/kettlebell-calf-raise-and-front-squat-male.jpg",4,500,500)</f>
        <v/>
      </c>
      <c r="C2371" s="30">
        <v>2370.0</v>
      </c>
      <c r="D2371" s="16" t="s">
        <v>3064</v>
      </c>
      <c r="E2371" s="16" t="s">
        <v>184</v>
      </c>
      <c r="F2371" s="16" t="s">
        <v>285</v>
      </c>
      <c r="G2371" s="16" t="s">
        <v>3034</v>
      </c>
      <c r="H2371" s="16" t="s">
        <v>220</v>
      </c>
      <c r="I2371" s="16" t="s">
        <v>220</v>
      </c>
    </row>
    <row r="2372" ht="242.25" customHeight="1">
      <c r="B2372" s="32" t="str">
        <f>IMAGE("https://gymvisual.com/19183-catalog_default/kettlebell-clean-and-jerk.jpg",4,500,500)</f>
        <v/>
      </c>
      <c r="C2372" s="30">
        <v>2371.0</v>
      </c>
      <c r="D2372" s="16" t="s">
        <v>3065</v>
      </c>
      <c r="E2372" s="16" t="s">
        <v>184</v>
      </c>
      <c r="F2372" s="16" t="s">
        <v>691</v>
      </c>
      <c r="G2372" s="16" t="s">
        <v>3034</v>
      </c>
      <c r="H2372" s="16" t="s">
        <v>220</v>
      </c>
      <c r="I2372" s="16" t="s">
        <v>220</v>
      </c>
    </row>
    <row r="2373" ht="242.25" customHeight="1">
      <c r="B2373" s="32" t="str">
        <f>IMAGE("https://gymvisual.com/26084-catalog_default/kettlebell-clean-and-press.jpg",4,500,500)</f>
        <v/>
      </c>
      <c r="C2373" s="30">
        <v>2372.0</v>
      </c>
      <c r="D2373" s="16" t="s">
        <v>3066</v>
      </c>
      <c r="E2373" s="16" t="s">
        <v>184</v>
      </c>
      <c r="F2373" s="16" t="s">
        <v>764</v>
      </c>
      <c r="G2373" s="16" t="s">
        <v>3034</v>
      </c>
      <c r="H2373" s="16" t="s">
        <v>220</v>
      </c>
      <c r="I2373" s="16" t="s">
        <v>220</v>
      </c>
    </row>
    <row r="2374" ht="242.25" customHeight="1">
      <c r="B2374" s="32" t="str">
        <f>IMAGE("https://gymvisual.com/26086-catalog_default/kettlebell-concentration-curl.jpg",4,500,500)</f>
        <v/>
      </c>
      <c r="C2374" s="30">
        <v>2373.0</v>
      </c>
      <c r="D2374" s="16" t="s">
        <v>3067</v>
      </c>
      <c r="E2374" s="16" t="s">
        <v>184</v>
      </c>
      <c r="F2374" s="16" t="s">
        <v>219</v>
      </c>
      <c r="G2374" s="16" t="s">
        <v>3034</v>
      </c>
      <c r="H2374" s="16" t="s">
        <v>220</v>
      </c>
      <c r="I2374" s="16" t="s">
        <v>220</v>
      </c>
    </row>
    <row r="2375" ht="242.25" customHeight="1">
      <c r="B2375" s="32" t="str">
        <f>IMAGE("https://gymvisual.com/17827-catalog_default/kettlebell-dead-bug.jpg",4,500,500)</f>
        <v/>
      </c>
      <c r="C2375" s="30">
        <v>2374.0</v>
      </c>
      <c r="D2375" s="16" t="s">
        <v>3068</v>
      </c>
      <c r="E2375" s="16" t="s">
        <v>184</v>
      </c>
      <c r="F2375" s="16" t="s">
        <v>254</v>
      </c>
      <c r="G2375" s="16" t="s">
        <v>3034</v>
      </c>
      <c r="H2375" s="16" t="s">
        <v>220</v>
      </c>
      <c r="I2375" s="16" t="s">
        <v>220</v>
      </c>
    </row>
    <row r="2376" ht="242.25" customHeight="1">
      <c r="B2376" s="32" t="str">
        <f>IMAGE("https://gymvisual.com/6812-catalog_default/kettlebell-dead-clean.jpg",4,500,500)</f>
        <v/>
      </c>
      <c r="C2376" s="30">
        <v>2375.0</v>
      </c>
      <c r="D2376" s="16" t="s">
        <v>3069</v>
      </c>
      <c r="E2376" s="16" t="s">
        <v>184</v>
      </c>
      <c r="F2376" s="16" t="s">
        <v>764</v>
      </c>
      <c r="G2376" s="16" t="s">
        <v>3034</v>
      </c>
      <c r="H2376" s="16" t="s">
        <v>220</v>
      </c>
      <c r="I2376" s="16" t="s">
        <v>220</v>
      </c>
    </row>
    <row r="2377" ht="242.25" customHeight="1">
      <c r="B2377" s="32" t="str">
        <f>IMAGE("https://gymvisual.com/13567-catalog_default/kettlebell-deadlift.jpg",4,500,500)</f>
        <v/>
      </c>
      <c r="C2377" s="30">
        <v>2376.0</v>
      </c>
      <c r="D2377" s="16" t="s">
        <v>3070</v>
      </c>
      <c r="E2377" s="16" t="s">
        <v>184</v>
      </c>
      <c r="F2377" s="16" t="s">
        <v>294</v>
      </c>
      <c r="G2377" s="16" t="s">
        <v>3034</v>
      </c>
      <c r="H2377" s="16" t="s">
        <v>189</v>
      </c>
      <c r="I2377" s="16" t="s">
        <v>314</v>
      </c>
    </row>
    <row r="2378" ht="242.25" customHeight="1">
      <c r="B2378" s="32" t="str">
        <f>IMAGE("https://gymvisual.com/17148-catalog_default/kettlebell-deadlift-female.jpg",4,500,500)</f>
        <v/>
      </c>
      <c r="C2378" s="30">
        <v>2377.0</v>
      </c>
      <c r="D2378" s="16" t="s">
        <v>3071</v>
      </c>
      <c r="E2378" s="16" t="s">
        <v>184</v>
      </c>
      <c r="F2378" s="16" t="s">
        <v>294</v>
      </c>
      <c r="G2378" s="16" t="s">
        <v>3034</v>
      </c>
      <c r="H2378" s="16" t="s">
        <v>2010</v>
      </c>
      <c r="I2378" s="16" t="s">
        <v>2076</v>
      </c>
    </row>
    <row r="2379" ht="242.25" customHeight="1">
      <c r="B2379" s="32" t="str">
        <f>IMAGE("https://gymvisual.com/14217-catalog_default/kettlebell-deck-squat.jpg",4,500,500)</f>
        <v/>
      </c>
      <c r="C2379" s="30">
        <v>2378.0</v>
      </c>
      <c r="D2379" s="16" t="s">
        <v>3072</v>
      </c>
      <c r="E2379" s="16" t="s">
        <v>184</v>
      </c>
      <c r="F2379" s="16" t="s">
        <v>2396</v>
      </c>
      <c r="G2379" s="16" t="s">
        <v>3034</v>
      </c>
      <c r="H2379" s="16" t="s">
        <v>220</v>
      </c>
      <c r="I2379" s="16" t="s">
        <v>220</v>
      </c>
    </row>
    <row r="2380" ht="242.25" customHeight="1">
      <c r="B2380" s="32" t="str">
        <f>IMAGE("https://gymvisual.com/14219-catalog_default/kettlebell-deep-push-up.jpg",4,500,500)</f>
        <v/>
      </c>
      <c r="C2380" s="30">
        <v>2379.0</v>
      </c>
      <c r="D2380" s="16" t="s">
        <v>3073</v>
      </c>
      <c r="E2380" s="16" t="s">
        <v>184</v>
      </c>
      <c r="F2380" s="16" t="s">
        <v>234</v>
      </c>
      <c r="G2380" s="16" t="s">
        <v>3034</v>
      </c>
      <c r="H2380" s="16" t="s">
        <v>235</v>
      </c>
      <c r="I2380" s="16" t="s">
        <v>243</v>
      </c>
    </row>
    <row r="2381" ht="242.25" customHeight="1">
      <c r="B2381" s="32" t="str">
        <f>IMAGE("https://gymvisual.com/1591-catalog_default/3-4-sit-up.jpg",4,500,500)</f>
        <v/>
      </c>
      <c r="C2381" s="30">
        <v>2380.0</v>
      </c>
      <c r="D2381" s="16" t="s">
        <v>3074</v>
      </c>
      <c r="E2381" s="16" t="s">
        <v>184</v>
      </c>
      <c r="F2381" s="16" t="s">
        <v>214</v>
      </c>
      <c r="G2381" s="16" t="s">
        <v>3034</v>
      </c>
      <c r="H2381" s="16" t="s">
        <v>292</v>
      </c>
      <c r="I2381" s="16" t="s">
        <v>420</v>
      </c>
    </row>
    <row r="2382" ht="242.25" customHeight="1">
      <c r="B2382" s="32" t="str">
        <f>IMAGE("https://gymvisual.com/1594-catalog_default/3-4-sit-up.jpg",4,500,500)</f>
        <v/>
      </c>
      <c r="C2382" s="30">
        <v>2381.0</v>
      </c>
      <c r="D2382" s="16" t="s">
        <v>3075</v>
      </c>
      <c r="E2382" s="16" t="s">
        <v>184</v>
      </c>
      <c r="F2382" s="16" t="s">
        <v>228</v>
      </c>
      <c r="G2382" s="16" t="s">
        <v>3034</v>
      </c>
      <c r="H2382" s="16" t="s">
        <v>220</v>
      </c>
      <c r="I2382" s="16" t="s">
        <v>220</v>
      </c>
    </row>
    <row r="2383" ht="242.25" customHeight="1">
      <c r="B2383" s="32" t="str">
        <f>IMAGE("https://gymvisual.com/1597-catalog_default/3-4-sit-up.jpg",4,500,500)</f>
        <v/>
      </c>
      <c r="C2383" s="30">
        <v>2382.0</v>
      </c>
      <c r="D2383" s="16" t="s">
        <v>3076</v>
      </c>
      <c r="E2383" s="16" t="s">
        <v>184</v>
      </c>
      <c r="F2383" s="16" t="s">
        <v>228</v>
      </c>
      <c r="G2383" s="16" t="s">
        <v>3034</v>
      </c>
      <c r="H2383" s="16" t="s">
        <v>220</v>
      </c>
      <c r="I2383" s="16" t="s">
        <v>220</v>
      </c>
    </row>
    <row r="2384" ht="242.25" customHeight="1">
      <c r="B2384" s="32" t="str">
        <f>IMAGE("https://gymvisual.com/11161-catalog_default/kettlebell-double-push-press-female.jpg",4,500,500)</f>
        <v/>
      </c>
      <c r="C2384" s="30">
        <v>2383.0</v>
      </c>
      <c r="D2384" s="16" t="s">
        <v>3077</v>
      </c>
      <c r="E2384" s="16" t="s">
        <v>184</v>
      </c>
      <c r="F2384" s="16" t="s">
        <v>1129</v>
      </c>
      <c r="G2384" s="16" t="s">
        <v>3034</v>
      </c>
      <c r="H2384" s="16" t="s">
        <v>220</v>
      </c>
      <c r="I2384" s="16" t="s">
        <v>220</v>
      </c>
    </row>
    <row r="2385" ht="242.25" customHeight="1">
      <c r="B2385" s="32" t="str">
        <f>IMAGE("https://gymvisual.com/1599-catalog_default/3-4-sit-up.jpg",4,500,500)</f>
        <v/>
      </c>
      <c r="C2385" s="30">
        <v>2384.0</v>
      </c>
      <c r="D2385" s="16" t="s">
        <v>3078</v>
      </c>
      <c r="E2385" s="16" t="s">
        <v>184</v>
      </c>
      <c r="F2385" s="16" t="s">
        <v>228</v>
      </c>
      <c r="G2385" s="16" t="s">
        <v>3034</v>
      </c>
      <c r="H2385" s="16" t="s">
        <v>220</v>
      </c>
      <c r="I2385" s="16" t="s">
        <v>220</v>
      </c>
    </row>
    <row r="2386" ht="242.25" customHeight="1">
      <c r="B2386" s="32" t="str">
        <f>IMAGE("https://gymvisual.com/1601-catalog_default/3-4-sit-up.jpg",4,500,500)</f>
        <v/>
      </c>
      <c r="C2386" s="30">
        <v>2385.0</v>
      </c>
      <c r="D2386" s="16" t="s">
        <v>3079</v>
      </c>
      <c r="E2386" s="16" t="s">
        <v>184</v>
      </c>
      <c r="F2386" s="16" t="s">
        <v>254</v>
      </c>
      <c r="G2386" s="16" t="s">
        <v>3034</v>
      </c>
      <c r="H2386" s="16" t="s">
        <v>257</v>
      </c>
      <c r="I2386" s="16" t="s">
        <v>3080</v>
      </c>
    </row>
    <row r="2387" ht="242.25" customHeight="1">
      <c r="B2387" s="32" t="str">
        <f>IMAGE("https://gymvisual.com/19527-catalog_default/kettlebell-double-windmill-female.jpg",4,500,500)</f>
        <v/>
      </c>
      <c r="C2387" s="30">
        <v>2386.0</v>
      </c>
      <c r="D2387" s="16" t="s">
        <v>3081</v>
      </c>
      <c r="E2387" s="16" t="s">
        <v>184</v>
      </c>
      <c r="F2387" s="16" t="s">
        <v>254</v>
      </c>
      <c r="G2387" s="16" t="s">
        <v>3034</v>
      </c>
      <c r="H2387" s="16" t="s">
        <v>220</v>
      </c>
      <c r="I2387" s="16" t="s">
        <v>220</v>
      </c>
    </row>
    <row r="2388" ht="242.25" customHeight="1">
      <c r="B2388" s="32" t="str">
        <f>IMAGE("https://gymvisual.com/11828-catalog_default/kettlebell-dumbbell-sumo-squat-off-stepbox-female.jpg",4,500,500)</f>
        <v/>
      </c>
      <c r="C2388" s="30">
        <v>2387.0</v>
      </c>
      <c r="D2388" s="16" t="s">
        <v>3082</v>
      </c>
      <c r="E2388" s="16" t="s">
        <v>184</v>
      </c>
      <c r="F2388" s="16" t="s">
        <v>185</v>
      </c>
      <c r="G2388" s="16" t="s">
        <v>3034</v>
      </c>
      <c r="H2388" s="16" t="s">
        <v>220</v>
      </c>
      <c r="I2388" s="16" t="s">
        <v>220</v>
      </c>
    </row>
    <row r="2389" ht="242.25" customHeight="1">
      <c r="B2389" s="32" t="str">
        <f>IMAGE("https://gymvisual.com/24250-catalog_default/kettlebell-elevanted-goblet-squat.jpg",4,500,500)</f>
        <v/>
      </c>
      <c r="C2389" s="30">
        <v>2388.0</v>
      </c>
      <c r="D2389" s="16" t="s">
        <v>3083</v>
      </c>
      <c r="E2389" s="16" t="s">
        <v>184</v>
      </c>
      <c r="F2389" s="16" t="s">
        <v>285</v>
      </c>
      <c r="G2389" s="16" t="s">
        <v>3034</v>
      </c>
      <c r="H2389" s="16" t="s">
        <v>189</v>
      </c>
      <c r="I2389" s="16" t="s">
        <v>190</v>
      </c>
    </row>
    <row r="2390" ht="242.25" customHeight="1">
      <c r="B2390" s="32" t="str">
        <f>IMAGE("https://gymvisual.com/1604-catalog_default/3-4-sit-up.jpg",4,500,500)</f>
        <v/>
      </c>
      <c r="C2390" s="30">
        <v>2389.0</v>
      </c>
      <c r="D2390" s="16" t="s">
        <v>3084</v>
      </c>
      <c r="E2390" s="16" t="s">
        <v>184</v>
      </c>
      <c r="F2390" s="16" t="s">
        <v>234</v>
      </c>
      <c r="G2390" s="16" t="s">
        <v>3034</v>
      </c>
      <c r="H2390" s="16" t="s">
        <v>235</v>
      </c>
      <c r="I2390" s="16" t="s">
        <v>243</v>
      </c>
    </row>
    <row r="2391" ht="242.25" customHeight="1">
      <c r="B2391" s="32" t="str">
        <f>IMAGE("https://gymvisual.com/14211-catalog_default/kettlebell-farmers-carry.jpg",4,500,500)</f>
        <v/>
      </c>
      <c r="C2391" s="30">
        <v>2390.0</v>
      </c>
      <c r="D2391" s="16" t="s">
        <v>3085</v>
      </c>
      <c r="E2391" s="16" t="s">
        <v>184</v>
      </c>
      <c r="F2391" s="16" t="s">
        <v>294</v>
      </c>
      <c r="G2391" s="16" t="s">
        <v>3034</v>
      </c>
      <c r="H2391" s="16" t="s">
        <v>189</v>
      </c>
      <c r="I2391" s="16" t="s">
        <v>190</v>
      </c>
    </row>
    <row r="2392" ht="242.25" customHeight="1">
      <c r="B2392" s="32" t="str">
        <f>IMAGE("https://gymvisual.com/1607-catalog_default/3-4-sit-up.jpg",4,500,500)</f>
        <v/>
      </c>
      <c r="C2392" s="30">
        <v>2391.0</v>
      </c>
      <c r="D2392" s="16" t="s">
        <v>3086</v>
      </c>
      <c r="E2392" s="16" t="s">
        <v>184</v>
      </c>
      <c r="F2392" s="16" t="s">
        <v>254</v>
      </c>
      <c r="G2392" s="16" t="s">
        <v>3034</v>
      </c>
      <c r="H2392" s="16" t="s">
        <v>257</v>
      </c>
      <c r="I2392" s="16" t="s">
        <v>256</v>
      </c>
    </row>
    <row r="2393" ht="242.25" customHeight="1">
      <c r="B2393" s="32" t="str">
        <f>IMAGE("https://gymvisual.com/11164-catalog_default/kettlebell-figure-8-female.jpg",4,500,500)</f>
        <v/>
      </c>
      <c r="C2393" s="30">
        <v>2392.0</v>
      </c>
      <c r="D2393" s="16" t="s">
        <v>3087</v>
      </c>
      <c r="E2393" s="16" t="s">
        <v>184</v>
      </c>
      <c r="F2393" s="16" t="s">
        <v>254</v>
      </c>
      <c r="G2393" s="16" t="s">
        <v>3034</v>
      </c>
      <c r="H2393" s="16" t="s">
        <v>220</v>
      </c>
      <c r="I2393" s="16" t="s">
        <v>220</v>
      </c>
    </row>
    <row r="2394" ht="242.25" customHeight="1">
      <c r="B2394" s="32" t="str">
        <f>IMAGE("https://gymvisual.com/26090-catalog_default/kettlebell-floor-fly.jpg",4,500,500)</f>
        <v/>
      </c>
      <c r="C2394" s="30">
        <v>2393.0</v>
      </c>
      <c r="D2394" s="16" t="s">
        <v>3088</v>
      </c>
      <c r="E2394" s="16" t="s">
        <v>184</v>
      </c>
      <c r="F2394" s="16" t="s">
        <v>234</v>
      </c>
      <c r="G2394" s="16" t="s">
        <v>3034</v>
      </c>
      <c r="H2394" s="16" t="s">
        <v>220</v>
      </c>
      <c r="I2394" s="16" t="s">
        <v>220</v>
      </c>
    </row>
    <row r="2395" ht="242.25" customHeight="1">
      <c r="B2395" s="32" t="str">
        <f>IMAGE("https://gymvisual.com/14207-catalog_default/kettlebell-forward-lunge.jpg",4,500,500)</f>
        <v/>
      </c>
      <c r="C2395" s="30">
        <v>2394.0</v>
      </c>
      <c r="D2395" s="16" t="s">
        <v>3089</v>
      </c>
      <c r="E2395" s="16" t="s">
        <v>184</v>
      </c>
      <c r="F2395" s="16" t="s">
        <v>294</v>
      </c>
      <c r="G2395" s="16" t="s">
        <v>3034</v>
      </c>
      <c r="H2395" s="16" t="s">
        <v>220</v>
      </c>
      <c r="I2395" s="16" t="s">
        <v>220</v>
      </c>
    </row>
    <row r="2396" ht="242.25" customHeight="1">
      <c r="B2396" s="32" t="str">
        <f>IMAGE("https://gymvisual.com/19537-catalog_default/kettlebell-forward-lunge-female.jpg",4,500,500)</f>
        <v/>
      </c>
      <c r="C2396" s="30">
        <v>2395.0</v>
      </c>
      <c r="D2396" s="16" t="s">
        <v>3090</v>
      </c>
      <c r="E2396" s="16" t="s">
        <v>184</v>
      </c>
      <c r="F2396" s="16" t="s">
        <v>285</v>
      </c>
      <c r="G2396" s="16" t="s">
        <v>3034</v>
      </c>
      <c r="H2396" s="16" t="s">
        <v>220</v>
      </c>
      <c r="I2396" s="16" t="s">
        <v>220</v>
      </c>
    </row>
    <row r="2397" ht="242.25" customHeight="1">
      <c r="B2397" s="32" t="str">
        <f>IMAGE("https://gymvisual.com/23064-catalog_default/kettlebell-forward-lunge-version-2-female.jpg",4,500,500)</f>
        <v/>
      </c>
      <c r="C2397" s="30">
        <v>2396.0</v>
      </c>
      <c r="D2397" s="16" t="s">
        <v>3091</v>
      </c>
      <c r="E2397" s="16" t="s">
        <v>184</v>
      </c>
      <c r="F2397" s="16" t="s">
        <v>285</v>
      </c>
      <c r="G2397" s="16" t="s">
        <v>3034</v>
      </c>
      <c r="H2397" s="16" t="s">
        <v>220</v>
      </c>
      <c r="I2397" s="16" t="s">
        <v>220</v>
      </c>
    </row>
    <row r="2398" ht="242.25" customHeight="1">
      <c r="B2398" s="32" t="str">
        <f>IMAGE("https://gymvisual.com/19553-catalog_default/kettlebell-forward-lunge-and-press-female.jpg",4,500,500)</f>
        <v/>
      </c>
      <c r="C2398" s="30">
        <v>2397.0</v>
      </c>
      <c r="D2398" s="16" t="s">
        <v>3092</v>
      </c>
      <c r="E2398" s="16" t="s">
        <v>184</v>
      </c>
      <c r="F2398" s="16" t="s">
        <v>285</v>
      </c>
      <c r="G2398" s="16" t="s">
        <v>3034</v>
      </c>
      <c r="H2398" s="16" t="s">
        <v>220</v>
      </c>
      <c r="I2398" s="16" t="s">
        <v>220</v>
      </c>
    </row>
    <row r="2399" ht="242.25" customHeight="1">
      <c r="B2399" s="32" t="str">
        <f>IMAGE("https://gymvisual.com/26092-catalog_default/kettlebell-front-raise.jpg",4,500,500)</f>
        <v/>
      </c>
      <c r="C2399" s="30">
        <v>2398.0</v>
      </c>
      <c r="D2399" s="16" t="s">
        <v>3093</v>
      </c>
      <c r="E2399" s="16" t="s">
        <v>184</v>
      </c>
      <c r="F2399" s="16" t="s">
        <v>228</v>
      </c>
      <c r="G2399" s="16" t="s">
        <v>3034</v>
      </c>
      <c r="H2399" s="16" t="s">
        <v>220</v>
      </c>
      <c r="I2399" s="16" t="s">
        <v>220</v>
      </c>
    </row>
    <row r="2400" ht="242.25" customHeight="1">
      <c r="B2400" s="32" t="str">
        <f>IMAGE("https://gymvisual.com/1610-catalog_default/3-4-sit-up.jpg",4,500,500)</f>
        <v/>
      </c>
      <c r="C2400" s="30">
        <v>2399.0</v>
      </c>
      <c r="D2400" s="16" t="s">
        <v>3094</v>
      </c>
      <c r="E2400" s="16" t="s">
        <v>184</v>
      </c>
      <c r="F2400" s="16" t="s">
        <v>285</v>
      </c>
      <c r="G2400" s="16" t="s">
        <v>3034</v>
      </c>
      <c r="H2400" s="16" t="s">
        <v>189</v>
      </c>
      <c r="I2400" s="16" t="s">
        <v>190</v>
      </c>
    </row>
    <row r="2401" ht="242.25" customHeight="1">
      <c r="B2401" s="32" t="str">
        <f>IMAGE("https://gymvisual.com/11447-catalog_default/kettlebell-front-squat-female.jpg",4,500,500)</f>
        <v/>
      </c>
      <c r="C2401" s="30">
        <v>2400.0</v>
      </c>
      <c r="D2401" s="16" t="s">
        <v>3095</v>
      </c>
      <c r="E2401" s="16" t="s">
        <v>184</v>
      </c>
      <c r="F2401" s="16" t="s">
        <v>294</v>
      </c>
      <c r="G2401" s="16" t="s">
        <v>3034</v>
      </c>
      <c r="H2401" s="16" t="s">
        <v>189</v>
      </c>
      <c r="I2401" s="16" t="s">
        <v>190</v>
      </c>
    </row>
    <row r="2402" ht="242.25" customHeight="1">
      <c r="B2402" s="32" t="str">
        <f>IMAGE("https://gymvisual.com/20748-catalog_default/kettlebell-full-squat-from-deficit-female.jpg",4,500,500)</f>
        <v/>
      </c>
      <c r="C2402" s="30">
        <v>2401.0</v>
      </c>
      <c r="D2402" s="16" t="s">
        <v>3096</v>
      </c>
      <c r="E2402" s="16" t="s">
        <v>184</v>
      </c>
      <c r="F2402" s="16" t="s">
        <v>294</v>
      </c>
      <c r="G2402" s="16" t="s">
        <v>3034</v>
      </c>
      <c r="H2402" s="16" t="s">
        <v>189</v>
      </c>
      <c r="I2402" s="16" t="s">
        <v>190</v>
      </c>
    </row>
    <row r="2403" ht="242.25" customHeight="1">
      <c r="B2403" s="32" t="str">
        <f>IMAGE("https://gymvisual.com/14201-catalog_default/kettlebell-full-swing.jpg",4,500,500)</f>
        <v/>
      </c>
      <c r="C2403" s="30">
        <v>2402.0</v>
      </c>
      <c r="D2403" s="16" t="s">
        <v>3097</v>
      </c>
      <c r="E2403" s="16" t="s">
        <v>184</v>
      </c>
      <c r="F2403" s="16" t="s">
        <v>3098</v>
      </c>
      <c r="G2403" s="16" t="s">
        <v>3034</v>
      </c>
      <c r="H2403" s="16" t="s">
        <v>1224</v>
      </c>
      <c r="I2403" s="16" t="s">
        <v>3099</v>
      </c>
    </row>
    <row r="2404" ht="242.25" customHeight="1">
      <c r="B2404" s="32" t="str">
        <f>IMAGE("https://gymvisual.com/16396-catalog_default/kettlebell-gobelt-curtsey-lunge.jpg",4,500,500)</f>
        <v/>
      </c>
      <c r="C2404" s="30">
        <v>2403.0</v>
      </c>
      <c r="D2404" s="16" t="s">
        <v>3100</v>
      </c>
      <c r="E2404" s="16" t="s">
        <v>184</v>
      </c>
      <c r="F2404" s="16" t="s">
        <v>285</v>
      </c>
      <c r="G2404" s="16" t="s">
        <v>3034</v>
      </c>
      <c r="H2404" s="16" t="s">
        <v>295</v>
      </c>
      <c r="I2404" s="16" t="s">
        <v>3101</v>
      </c>
    </row>
    <row r="2405" ht="242.25" customHeight="1">
      <c r="B2405" s="32" t="str">
        <f>IMAGE("https://gymvisual.com/12178-catalog_default/kettlebell-goblet-carry.jpg",4,500,500)</f>
        <v/>
      </c>
      <c r="C2405" s="30">
        <v>2404.0</v>
      </c>
      <c r="D2405" s="16" t="s">
        <v>3102</v>
      </c>
      <c r="E2405" s="16" t="s">
        <v>184</v>
      </c>
      <c r="F2405" s="16" t="s">
        <v>285</v>
      </c>
      <c r="G2405" s="16" t="s">
        <v>3034</v>
      </c>
      <c r="H2405" s="16" t="s">
        <v>220</v>
      </c>
      <c r="I2405" s="16" t="s">
        <v>220</v>
      </c>
    </row>
    <row r="2406" ht="242.25" customHeight="1">
      <c r="B2406" s="32" t="str">
        <f>IMAGE("https://gymvisual.com/1613-catalog_default/3-4-sit-up.jpg",4,500,500)</f>
        <v/>
      </c>
      <c r="C2406" s="30">
        <v>2405.0</v>
      </c>
      <c r="D2406" s="16" t="s">
        <v>3103</v>
      </c>
      <c r="E2406" s="16" t="s">
        <v>184</v>
      </c>
      <c r="F2406" s="16" t="s">
        <v>285</v>
      </c>
      <c r="G2406" s="16" t="s">
        <v>3034</v>
      </c>
      <c r="H2406" s="16" t="s">
        <v>189</v>
      </c>
      <c r="I2406" s="16" t="s">
        <v>1121</v>
      </c>
    </row>
    <row r="2407" ht="242.25" customHeight="1">
      <c r="B2407" s="32" t="str">
        <f>IMAGE("https://gymvisual.com/10221-catalog_default/kettlebell-goblet-squat-female.jpg",4,500,500)</f>
        <v/>
      </c>
      <c r="C2407" s="30">
        <v>2406.0</v>
      </c>
      <c r="D2407" s="16" t="s">
        <v>3104</v>
      </c>
      <c r="E2407" s="16" t="s">
        <v>184</v>
      </c>
      <c r="F2407" s="16" t="s">
        <v>285</v>
      </c>
      <c r="G2407" s="16" t="s">
        <v>3034</v>
      </c>
      <c r="H2407" s="16" t="s">
        <v>552</v>
      </c>
      <c r="I2407" s="16" t="s">
        <v>3105</v>
      </c>
    </row>
    <row r="2408" ht="242.25" customHeight="1">
      <c r="B2408" s="32" t="str">
        <f>IMAGE("https://gymvisual.com/12338-catalog_default/kettlebell-goblet-squat-mobility.jpg",4,500,500)</f>
        <v/>
      </c>
      <c r="C2408" s="30">
        <v>2407.0</v>
      </c>
      <c r="D2408" s="16" t="s">
        <v>3106</v>
      </c>
      <c r="E2408" s="16" t="s">
        <v>184</v>
      </c>
      <c r="F2408" s="16" t="s">
        <v>285</v>
      </c>
      <c r="G2408" s="16" t="s">
        <v>3034</v>
      </c>
      <c r="H2408" s="16" t="s">
        <v>189</v>
      </c>
      <c r="I2408" s="16" t="s">
        <v>2046</v>
      </c>
    </row>
    <row r="2409" ht="242.25" customHeight="1">
      <c r="B2409" s="32" t="str">
        <f>IMAGE("https://gymvisual.com/23669-catalog_default/kettlebell-good-morning.jpg",4,500,500)</f>
        <v/>
      </c>
      <c r="C2409" s="30">
        <v>2408.0</v>
      </c>
      <c r="D2409" s="16" t="s">
        <v>3107</v>
      </c>
      <c r="E2409" s="16" t="s">
        <v>184</v>
      </c>
      <c r="F2409" s="16" t="s">
        <v>185</v>
      </c>
      <c r="G2409" s="16" t="s">
        <v>3034</v>
      </c>
      <c r="H2409" s="16" t="s">
        <v>188</v>
      </c>
      <c r="I2409" s="16" t="s">
        <v>857</v>
      </c>
    </row>
    <row r="2410" ht="242.25" customHeight="1">
      <c r="B2410" s="32" t="str">
        <f>IMAGE("https://gymvisual.com/19513-catalog_default/kettlebell-half-kneeling-one-arm-bottoms-up-press.jpg",4,500,500)</f>
        <v/>
      </c>
      <c r="C2410" s="30">
        <v>2409.0</v>
      </c>
      <c r="D2410" s="16" t="s">
        <v>3108</v>
      </c>
      <c r="E2410" s="16" t="s">
        <v>184</v>
      </c>
      <c r="F2410" s="16" t="s">
        <v>228</v>
      </c>
      <c r="G2410" s="16" t="s">
        <v>3034</v>
      </c>
      <c r="H2410" s="16" t="s">
        <v>220</v>
      </c>
      <c r="I2410" s="16" t="s">
        <v>220</v>
      </c>
    </row>
    <row r="2411" ht="242.25" customHeight="1">
      <c r="B2411" s="32" t="str">
        <f>IMAGE("https://gymvisual.com/12199-catalog_default/kettlebell-half-kneeling-shoulder-press.jpg",4,500,500)</f>
        <v/>
      </c>
      <c r="C2411" s="30">
        <v>2410.0</v>
      </c>
      <c r="D2411" s="16" t="s">
        <v>3109</v>
      </c>
      <c r="E2411" s="16" t="s">
        <v>184</v>
      </c>
      <c r="F2411" s="16" t="s">
        <v>228</v>
      </c>
      <c r="G2411" s="16" t="s">
        <v>3034</v>
      </c>
      <c r="H2411" s="16" t="s">
        <v>220</v>
      </c>
      <c r="I2411" s="16" t="s">
        <v>220</v>
      </c>
    </row>
    <row r="2412" ht="242.25" customHeight="1">
      <c r="B2412" s="32" t="str">
        <f>IMAGE("https://gymvisual.com/13569-catalog_default/kettlebell-half-turkish-get-up.jpg",4,500,500)</f>
        <v/>
      </c>
      <c r="C2412" s="30">
        <v>2411.0</v>
      </c>
      <c r="D2412" s="16" t="s">
        <v>3110</v>
      </c>
      <c r="E2412" s="16" t="s">
        <v>184</v>
      </c>
      <c r="F2412" s="16" t="s">
        <v>3111</v>
      </c>
      <c r="G2412" s="16" t="s">
        <v>3034</v>
      </c>
      <c r="H2412" s="16" t="s">
        <v>524</v>
      </c>
      <c r="I2412" s="16" t="s">
        <v>220</v>
      </c>
    </row>
    <row r="2413" ht="242.25" customHeight="1">
      <c r="B2413" s="32" t="str">
        <f>IMAGE("https://gymvisual.com/23537-catalog_default/3-4-sit-up.jpg",4,500,500)</f>
        <v/>
      </c>
      <c r="C2413" s="30">
        <v>2412.0</v>
      </c>
      <c r="D2413" s="16" t="s">
        <v>3112</v>
      </c>
      <c r="E2413" s="16" t="s">
        <v>184</v>
      </c>
      <c r="F2413" s="16" t="s">
        <v>285</v>
      </c>
      <c r="G2413" s="16" t="s">
        <v>3034</v>
      </c>
      <c r="H2413" s="16" t="s">
        <v>866</v>
      </c>
      <c r="I2413" s="16" t="s">
        <v>220</v>
      </c>
    </row>
    <row r="2414" ht="242.25" customHeight="1">
      <c r="B2414" s="32" t="str">
        <f>IMAGE("https://gymvisual.com/16400-catalog_default/kettlebell-kickstand-one-leg-deadlift.jpg",4,500,500)</f>
        <v/>
      </c>
      <c r="C2414" s="30">
        <v>2413.0</v>
      </c>
      <c r="D2414" s="16" t="s">
        <v>3113</v>
      </c>
      <c r="E2414" s="16" t="s">
        <v>184</v>
      </c>
      <c r="F2414" s="16" t="s">
        <v>294</v>
      </c>
      <c r="G2414" s="16" t="s">
        <v>3034</v>
      </c>
      <c r="H2414" s="16" t="s">
        <v>2010</v>
      </c>
      <c r="I2414" s="16" t="s">
        <v>314</v>
      </c>
    </row>
    <row r="2415" ht="242.25" customHeight="1">
      <c r="B2415" s="32" t="str">
        <f>IMAGE("https://gymvisual.com/12192-catalog_default/kettlebell-kneeling-one-arm-bottoms-up-press.jpg",4,500,500)</f>
        <v/>
      </c>
      <c r="C2415" s="30">
        <v>2414.0</v>
      </c>
      <c r="D2415" s="16" t="s">
        <v>3114</v>
      </c>
      <c r="E2415" s="16" t="s">
        <v>184</v>
      </c>
      <c r="F2415" s="16" t="s">
        <v>228</v>
      </c>
      <c r="G2415" s="16" t="s">
        <v>3034</v>
      </c>
      <c r="H2415" s="16" t="s">
        <v>220</v>
      </c>
      <c r="I2415" s="16" t="s">
        <v>220</v>
      </c>
    </row>
    <row r="2416" ht="242.25" customHeight="1">
      <c r="B2416" s="32" t="str">
        <f>IMAGE("https://gymvisual.com/12197-catalog_default/kettlebell-kneeling-one-arm-shoulder-press.jpg",4,500,500)</f>
        <v/>
      </c>
      <c r="C2416" s="30">
        <v>2415.0</v>
      </c>
      <c r="D2416" s="16" t="s">
        <v>3115</v>
      </c>
      <c r="E2416" s="16" t="s">
        <v>184</v>
      </c>
      <c r="F2416" s="16" t="s">
        <v>228</v>
      </c>
      <c r="G2416" s="16" t="s">
        <v>3034</v>
      </c>
      <c r="H2416" s="16" t="s">
        <v>220</v>
      </c>
      <c r="I2416" s="16" t="s">
        <v>220</v>
      </c>
    </row>
    <row r="2417" ht="242.25" customHeight="1">
      <c r="B2417" s="32" t="str">
        <f>IMAGE("https://gymvisual.com/17823-catalog_default/kettlebell-lateral-lunge.jpg",4,500,500)</f>
        <v/>
      </c>
      <c r="C2417" s="30">
        <v>2416.0</v>
      </c>
      <c r="D2417" s="16" t="s">
        <v>3116</v>
      </c>
      <c r="E2417" s="16" t="s">
        <v>184</v>
      </c>
      <c r="F2417" s="16" t="s">
        <v>285</v>
      </c>
      <c r="G2417" s="16" t="s">
        <v>3034</v>
      </c>
      <c r="H2417" s="16" t="s">
        <v>220</v>
      </c>
      <c r="I2417" s="16" t="s">
        <v>220</v>
      </c>
    </row>
    <row r="2418" ht="242.25" customHeight="1">
      <c r="B2418" s="32" t="str">
        <f>IMAGE("https://gymvisual.com/16412-catalog_default/kettlebell-lateral-raise.jpg",4,500,500)</f>
        <v/>
      </c>
      <c r="C2418" s="30">
        <v>2417.0</v>
      </c>
      <c r="D2418" s="16" t="s">
        <v>3117</v>
      </c>
      <c r="E2418" s="16" t="s">
        <v>184</v>
      </c>
      <c r="F2418" s="16" t="s">
        <v>228</v>
      </c>
      <c r="G2418" s="16" t="s">
        <v>3034</v>
      </c>
      <c r="H2418" s="16" t="s">
        <v>544</v>
      </c>
      <c r="I2418" s="16" t="s">
        <v>545</v>
      </c>
    </row>
    <row r="2419" ht="242.25" customHeight="1">
      <c r="B2419" s="32" t="str">
        <f>IMAGE("https://gymvisual.com/14213-catalog_default/kettlebell-lunge-clean-and-press.jpg",4,500,500)</f>
        <v/>
      </c>
      <c r="C2419" s="30">
        <v>2418.0</v>
      </c>
      <c r="D2419" s="16" t="s">
        <v>3118</v>
      </c>
      <c r="E2419" s="16" t="s">
        <v>184</v>
      </c>
      <c r="F2419" s="16" t="s">
        <v>691</v>
      </c>
      <c r="G2419" s="16" t="s">
        <v>3034</v>
      </c>
      <c r="H2419" s="16" t="s">
        <v>793</v>
      </c>
      <c r="I2419" s="16" t="s">
        <v>2392</v>
      </c>
    </row>
    <row r="2420" ht="242.25" customHeight="1">
      <c r="B2420" s="32" t="str">
        <f>IMAGE("https://gymvisual.com/1618-catalog_default/3-4-sit-up.jpg",4,500,500)</f>
        <v/>
      </c>
      <c r="C2420" s="30">
        <v>2419.0</v>
      </c>
      <c r="D2420" s="16" t="s">
        <v>3119</v>
      </c>
      <c r="E2420" s="16" t="s">
        <v>184</v>
      </c>
      <c r="F2420" s="16" t="s">
        <v>285</v>
      </c>
      <c r="G2420" s="16" t="s">
        <v>3034</v>
      </c>
      <c r="H2420" s="16" t="s">
        <v>189</v>
      </c>
      <c r="I2420" s="16" t="s">
        <v>3120</v>
      </c>
    </row>
    <row r="2421" ht="242.25" customHeight="1">
      <c r="B2421" s="32" t="str">
        <f>IMAGE("https://gymvisual.com/11167-catalog_default/kettlebell-lunge-pass-through-female.jpg",4,500,500)</f>
        <v/>
      </c>
      <c r="C2421" s="30">
        <v>2420.0</v>
      </c>
      <c r="D2421" s="16" t="s">
        <v>3121</v>
      </c>
      <c r="E2421" s="16" t="s">
        <v>184</v>
      </c>
      <c r="F2421" s="16" t="s">
        <v>294</v>
      </c>
      <c r="G2421" s="16" t="s">
        <v>3034</v>
      </c>
      <c r="H2421" s="16" t="s">
        <v>220</v>
      </c>
      <c r="I2421" s="16" t="s">
        <v>220</v>
      </c>
    </row>
    <row r="2422" ht="242.25" customHeight="1">
      <c r="B2422" s="32" t="str">
        <f>IMAGE("https://gymvisual.com/24103-catalog_default/kettlebell-lunge-with-twist.jpg",4,500,500)</f>
        <v/>
      </c>
      <c r="C2422" s="30">
        <v>2421.0</v>
      </c>
      <c r="D2422" s="16" t="s">
        <v>3122</v>
      </c>
      <c r="E2422" s="16" t="s">
        <v>184</v>
      </c>
      <c r="F2422" s="16" t="s">
        <v>285</v>
      </c>
      <c r="G2422" s="16" t="s">
        <v>3034</v>
      </c>
      <c r="H2422" s="16" t="s">
        <v>220</v>
      </c>
      <c r="I2422" s="16" t="s">
        <v>220</v>
      </c>
    </row>
    <row r="2423" ht="242.25" customHeight="1">
      <c r="B2423" s="32" t="str">
        <f>IMAGE("https://gymvisual.com/22375-catalog_default/kettlebell-lying-on-floor-chest-press.jpg",4,500,500)</f>
        <v/>
      </c>
      <c r="C2423" s="30">
        <v>2422.0</v>
      </c>
      <c r="D2423" s="16" t="s">
        <v>3123</v>
      </c>
      <c r="E2423" s="16" t="s">
        <v>184</v>
      </c>
      <c r="F2423" s="16" t="s">
        <v>234</v>
      </c>
      <c r="G2423" s="16" t="s">
        <v>3034</v>
      </c>
      <c r="H2423" s="16" t="s">
        <v>220</v>
      </c>
      <c r="I2423" s="16" t="s">
        <v>220</v>
      </c>
    </row>
    <row r="2424" ht="242.25" customHeight="1">
      <c r="B2424" s="32" t="str">
        <f>IMAGE("https://gymvisual.com/22377-catalog_default/kettlebell-lying-on-floor-single-arm-bottoms-up-chest-press.jpg",4,500,500)</f>
        <v/>
      </c>
      <c r="C2424" s="30">
        <v>2423.0</v>
      </c>
      <c r="D2424" s="16" t="s">
        <v>3124</v>
      </c>
      <c r="E2424" s="16" t="s">
        <v>184</v>
      </c>
      <c r="F2424" s="16" t="s">
        <v>234</v>
      </c>
      <c r="G2424" s="16" t="s">
        <v>3034</v>
      </c>
      <c r="H2424" s="16" t="s">
        <v>220</v>
      </c>
      <c r="I2424" s="16" t="s">
        <v>220</v>
      </c>
    </row>
    <row r="2425" ht="242.25" customHeight="1">
      <c r="B2425" s="32" t="str">
        <f>IMAGE("https://gymvisual.com/26096-catalog_default/kettlebell-lying-triceps-extension-skull-crusher.jpg",4,500,500)</f>
        <v/>
      </c>
      <c r="C2425" s="30">
        <v>2424.0</v>
      </c>
      <c r="D2425" s="16" t="s">
        <v>3125</v>
      </c>
      <c r="E2425" s="16" t="s">
        <v>184</v>
      </c>
      <c r="F2425" s="16" t="s">
        <v>219</v>
      </c>
      <c r="G2425" s="16" t="s">
        <v>3034</v>
      </c>
      <c r="H2425" s="16" t="s">
        <v>220</v>
      </c>
      <c r="I2425" s="16" t="s">
        <v>220</v>
      </c>
    </row>
    <row r="2426" ht="242.25" customHeight="1">
      <c r="B2426" s="32" t="str">
        <f>IMAGE("https://gymvisual.com/16408-catalog_default/kettlebell-one-arm-bench-press.jpg",4,500,500)</f>
        <v/>
      </c>
      <c r="C2426" s="30">
        <v>2425.0</v>
      </c>
      <c r="D2426" s="16" t="s">
        <v>3126</v>
      </c>
      <c r="E2426" s="16" t="s">
        <v>184</v>
      </c>
      <c r="F2426" s="16" t="s">
        <v>234</v>
      </c>
      <c r="G2426" s="16" t="s">
        <v>3034</v>
      </c>
      <c r="H2426" s="16" t="s">
        <v>235</v>
      </c>
      <c r="I2426" s="16" t="s">
        <v>243</v>
      </c>
    </row>
    <row r="2427" ht="242.25" customHeight="1">
      <c r="B2427" s="32" t="str">
        <f>IMAGE("https://gymvisual.com/19185-catalog_default/kettlebell-one-arm-clean.jpg",4,500,500)</f>
        <v/>
      </c>
      <c r="C2427" s="30">
        <v>2426.0</v>
      </c>
      <c r="D2427" s="16" t="s">
        <v>3127</v>
      </c>
      <c r="E2427" s="16" t="s">
        <v>184</v>
      </c>
      <c r="F2427" s="16" t="s">
        <v>691</v>
      </c>
      <c r="G2427" s="16" t="s">
        <v>3034</v>
      </c>
      <c r="H2427" s="16" t="s">
        <v>220</v>
      </c>
      <c r="I2427" s="16" t="s">
        <v>220</v>
      </c>
    </row>
    <row r="2428" ht="242.25" customHeight="1">
      <c r="B2428" s="32" t="str">
        <f>IMAGE("https://gymvisual.com/1621-catalog_default/3-4-sit-up.jpg",4,500,500)</f>
        <v/>
      </c>
      <c r="C2428" s="30">
        <v>2427.0</v>
      </c>
      <c r="D2428" s="16" t="s">
        <v>3128</v>
      </c>
      <c r="E2428" s="16" t="s">
        <v>184</v>
      </c>
      <c r="F2428" s="16" t="s">
        <v>228</v>
      </c>
      <c r="G2428" s="16" t="s">
        <v>3034</v>
      </c>
      <c r="H2428" s="16" t="s">
        <v>3129</v>
      </c>
      <c r="I2428" s="16" t="s">
        <v>220</v>
      </c>
    </row>
    <row r="2429" ht="242.25" customHeight="1">
      <c r="B2429" s="32" t="str">
        <f>IMAGE("https://gymvisual.com/5987-catalog_default/kettlebell-one-arm-floor-press.jpg",4,500,500)</f>
        <v/>
      </c>
      <c r="C2429" s="30">
        <v>2428.0</v>
      </c>
      <c r="D2429" s="16" t="s">
        <v>3130</v>
      </c>
      <c r="E2429" s="16" t="s">
        <v>184</v>
      </c>
      <c r="F2429" s="16" t="s">
        <v>234</v>
      </c>
      <c r="G2429" s="16" t="s">
        <v>3034</v>
      </c>
      <c r="H2429" s="16" t="s">
        <v>347</v>
      </c>
      <c r="I2429" s="16" t="s">
        <v>382</v>
      </c>
    </row>
    <row r="2430" ht="242.25" customHeight="1">
      <c r="B2430" s="32" t="str">
        <f>IMAGE("https://gymvisual.com/1623-catalog_default/3-4-sit-up.jpg",4,500,500)</f>
        <v/>
      </c>
      <c r="C2430" s="30">
        <v>2429.0</v>
      </c>
      <c r="D2430" s="16" t="s">
        <v>3131</v>
      </c>
      <c r="E2430" s="16" t="s">
        <v>184</v>
      </c>
      <c r="F2430" s="16" t="s">
        <v>228</v>
      </c>
      <c r="G2430" s="16" t="s">
        <v>3034</v>
      </c>
      <c r="H2430" s="16" t="s">
        <v>3132</v>
      </c>
      <c r="I2430" s="16" t="s">
        <v>220</v>
      </c>
    </row>
    <row r="2431" ht="242.25" customHeight="1">
      <c r="B2431" s="32" t="str">
        <f>IMAGE("https://gymvisual.com/1626-catalog_default/3-4-sit-up.jpg",4,500,500)</f>
        <v/>
      </c>
      <c r="C2431" s="30">
        <v>2430.0</v>
      </c>
      <c r="D2431" s="16" t="s">
        <v>3133</v>
      </c>
      <c r="E2431" s="16" t="s">
        <v>184</v>
      </c>
      <c r="F2431" s="16" t="s">
        <v>228</v>
      </c>
      <c r="G2431" s="16" t="s">
        <v>3034</v>
      </c>
      <c r="H2431" s="16" t="s">
        <v>229</v>
      </c>
      <c r="I2431" s="16" t="s">
        <v>3134</v>
      </c>
    </row>
    <row r="2432" ht="242.25" customHeight="1">
      <c r="B2432" s="32" t="str">
        <f>IMAGE("https://gymvisual.com/6813-catalog_default/kettlebell-one-arm-overhead-squat.jpg",4,500,500)</f>
        <v/>
      </c>
      <c r="C2432" s="30">
        <v>2431.0</v>
      </c>
      <c r="D2432" s="16" t="s">
        <v>3135</v>
      </c>
      <c r="E2432" s="16" t="s">
        <v>184</v>
      </c>
      <c r="F2432" s="16" t="s">
        <v>285</v>
      </c>
      <c r="G2432" s="16" t="s">
        <v>3034</v>
      </c>
      <c r="H2432" s="16" t="s">
        <v>189</v>
      </c>
      <c r="I2432" s="16" t="s">
        <v>190</v>
      </c>
    </row>
    <row r="2433" ht="242.25" customHeight="1">
      <c r="B2433" s="32" t="str">
        <f>IMAGE("https://gymvisual.com/1629-catalog_default/3-4-sit-up.jpg",4,500,500)</f>
        <v/>
      </c>
      <c r="C2433" s="30">
        <v>2432.0</v>
      </c>
      <c r="D2433" s="16" t="s">
        <v>3136</v>
      </c>
      <c r="E2433" s="16" t="s">
        <v>184</v>
      </c>
      <c r="F2433" s="16" t="s">
        <v>228</v>
      </c>
      <c r="G2433" s="16" t="s">
        <v>3034</v>
      </c>
      <c r="H2433" s="16" t="s">
        <v>229</v>
      </c>
      <c r="I2433" s="16" t="s">
        <v>3137</v>
      </c>
    </row>
    <row r="2434" ht="242.25" customHeight="1">
      <c r="B2434" s="32" t="str">
        <f>IMAGE("https://gymvisual.com/1631-catalog_default/3-4-sit-up.jpg",4,500,500)</f>
        <v/>
      </c>
      <c r="C2434" s="30">
        <v>2433.0</v>
      </c>
      <c r="D2434" s="16" t="s">
        <v>3138</v>
      </c>
      <c r="E2434" s="16" t="s">
        <v>184</v>
      </c>
      <c r="F2434" s="16" t="s">
        <v>192</v>
      </c>
      <c r="G2434" s="16" t="s">
        <v>3034</v>
      </c>
      <c r="H2434" s="16" t="s">
        <v>3139</v>
      </c>
      <c r="I2434" s="16" t="s">
        <v>330</v>
      </c>
    </row>
    <row r="2435" ht="242.25" customHeight="1">
      <c r="B2435" s="32" t="str">
        <f>IMAGE("https://gymvisual.com/1634-catalog_default/3-4-sit-up.jpg",4,500,500)</f>
        <v/>
      </c>
      <c r="C2435" s="30">
        <v>2434.0</v>
      </c>
      <c r="D2435" s="16" t="s">
        <v>3140</v>
      </c>
      <c r="E2435" s="16" t="s">
        <v>184</v>
      </c>
      <c r="F2435" s="16" t="s">
        <v>228</v>
      </c>
      <c r="G2435" s="16" t="s">
        <v>3034</v>
      </c>
      <c r="H2435" s="16" t="s">
        <v>3141</v>
      </c>
      <c r="I2435" s="16" t="s">
        <v>220</v>
      </c>
    </row>
    <row r="2436" ht="242.25" customHeight="1">
      <c r="B2436" s="32" t="str">
        <f>IMAGE("https://gymvisual.com/6815-catalog_default/kettlebell-one-arm-swing.jpg",4,500,500)</f>
        <v/>
      </c>
      <c r="C2436" s="30">
        <v>2435.0</v>
      </c>
      <c r="D2436" s="16" t="s">
        <v>3142</v>
      </c>
      <c r="E2436" s="16" t="s">
        <v>184</v>
      </c>
      <c r="F2436" s="16" t="s">
        <v>764</v>
      </c>
      <c r="G2436" s="16" t="s">
        <v>3034</v>
      </c>
      <c r="H2436" s="16" t="s">
        <v>2060</v>
      </c>
      <c r="I2436" s="16" t="s">
        <v>2061</v>
      </c>
    </row>
    <row r="2437" ht="242.25" customHeight="1">
      <c r="B2437" s="32" t="str">
        <f>IMAGE("https://gymvisual.com/19181-catalog_default/kettlebell-one-arm-thruster.jpg",4,500,500)</f>
        <v/>
      </c>
      <c r="C2437" s="30">
        <v>2436.0</v>
      </c>
      <c r="D2437" s="16" t="s">
        <v>3143</v>
      </c>
      <c r="E2437" s="16" t="s">
        <v>184</v>
      </c>
      <c r="F2437" s="16" t="s">
        <v>691</v>
      </c>
      <c r="G2437" s="16" t="s">
        <v>3034</v>
      </c>
      <c r="H2437" s="16" t="s">
        <v>220</v>
      </c>
      <c r="I2437" s="16" t="s">
        <v>220</v>
      </c>
    </row>
    <row r="2438" ht="242.25" customHeight="1">
      <c r="B2438" s="32" t="str">
        <f>IMAGE("https://gymvisual.com/6816-catalog_default/kettlebell-one-legged-deadlift.jpg",4,500,500)</f>
        <v/>
      </c>
      <c r="C2438" s="30">
        <v>2437.0</v>
      </c>
      <c r="D2438" s="16" t="s">
        <v>3144</v>
      </c>
      <c r="E2438" s="16" t="s">
        <v>184</v>
      </c>
      <c r="F2438" s="16" t="s">
        <v>185</v>
      </c>
      <c r="G2438" s="16" t="s">
        <v>3034</v>
      </c>
      <c r="H2438" s="16" t="s">
        <v>187</v>
      </c>
      <c r="I2438" s="16" t="s">
        <v>482</v>
      </c>
    </row>
    <row r="2439" ht="242.25" customHeight="1">
      <c r="B2439" s="32" t="str">
        <f>IMAGE("https://gymvisual.com/6814-catalog_default/kettlebell-open-palm-clean.jpg",4,500,500)</f>
        <v/>
      </c>
      <c r="C2439" s="30">
        <v>2438.0</v>
      </c>
      <c r="D2439" s="16" t="s">
        <v>3145</v>
      </c>
      <c r="E2439" s="16" t="s">
        <v>184</v>
      </c>
      <c r="F2439" s="16" t="s">
        <v>764</v>
      </c>
      <c r="G2439" s="16" t="s">
        <v>3034</v>
      </c>
      <c r="H2439" s="16" t="s">
        <v>220</v>
      </c>
      <c r="I2439" s="16" t="s">
        <v>220</v>
      </c>
    </row>
    <row r="2440" ht="242.25" customHeight="1">
      <c r="B2440" s="32" t="str">
        <f>IMAGE("https://gymvisual.com/14645-catalog_default/kettlebell-overhand-grip-swing-female.jpg",4,500,500)</f>
        <v/>
      </c>
      <c r="C2440" s="30">
        <v>2439.0</v>
      </c>
      <c r="D2440" s="16" t="s">
        <v>3146</v>
      </c>
      <c r="E2440" s="16" t="s">
        <v>184</v>
      </c>
      <c r="F2440" s="16" t="s">
        <v>185</v>
      </c>
      <c r="G2440" s="16" t="s">
        <v>3034</v>
      </c>
      <c r="H2440" s="16" t="s">
        <v>2060</v>
      </c>
      <c r="I2440" s="16" t="s">
        <v>3147</v>
      </c>
    </row>
    <row r="2441" ht="242.25" customHeight="1">
      <c r="B2441" s="32" t="str">
        <f>IMAGE("https://gymvisual.com/18103-catalog_default/kettlebell-overhead-carry.jpg",4,500,500)</f>
        <v/>
      </c>
      <c r="C2441" s="30">
        <v>2440.0</v>
      </c>
      <c r="D2441" s="16" t="s">
        <v>3148</v>
      </c>
      <c r="E2441" s="16" t="s">
        <v>184</v>
      </c>
      <c r="F2441" s="16" t="s">
        <v>285</v>
      </c>
      <c r="G2441" s="16" t="s">
        <v>3034</v>
      </c>
      <c r="H2441" s="16" t="s">
        <v>220</v>
      </c>
      <c r="I2441" s="16" t="s">
        <v>220</v>
      </c>
    </row>
    <row r="2442" ht="242.25" customHeight="1">
      <c r="B2442" s="32" t="str">
        <f>IMAGE("https://gymvisual.com/26094-catalog_default/kettlebell-overhead-triceps-extension.jpg",4,500,500)</f>
        <v/>
      </c>
      <c r="C2442" s="30">
        <v>2441.0</v>
      </c>
      <c r="D2442" s="16" t="s">
        <v>3149</v>
      </c>
      <c r="E2442" s="16" t="s">
        <v>184</v>
      </c>
      <c r="F2442" s="16" t="s">
        <v>219</v>
      </c>
      <c r="G2442" s="16" t="s">
        <v>3034</v>
      </c>
      <c r="H2442" s="16" t="s">
        <v>220</v>
      </c>
      <c r="I2442" s="16" t="s">
        <v>220</v>
      </c>
    </row>
    <row r="2443" ht="242.25" customHeight="1">
      <c r="B2443" s="32" t="str">
        <f>IMAGE("https://gymvisual.com/1636-catalog_default/3-4-sit-up.jpg",4,500,500)</f>
        <v/>
      </c>
      <c r="C2443" s="30">
        <v>2442.0</v>
      </c>
      <c r="D2443" s="16" t="s">
        <v>3150</v>
      </c>
      <c r="E2443" s="16" t="s">
        <v>184</v>
      </c>
      <c r="F2443" s="16" t="s">
        <v>228</v>
      </c>
      <c r="G2443" s="16" t="s">
        <v>3034</v>
      </c>
      <c r="H2443" s="16" t="s">
        <v>408</v>
      </c>
      <c r="I2443" s="16" t="s">
        <v>3151</v>
      </c>
    </row>
    <row r="2444" ht="242.25" customHeight="1">
      <c r="B2444" s="32" t="str">
        <f>IMAGE("https://gymvisual.com/1639-catalog_default/3-4-sit-up.jpg",4,500,500)</f>
        <v/>
      </c>
      <c r="C2444" s="30">
        <v>2443.0</v>
      </c>
      <c r="D2444" s="16" t="s">
        <v>3152</v>
      </c>
      <c r="E2444" s="16" t="s">
        <v>184</v>
      </c>
      <c r="F2444" s="16" t="s">
        <v>285</v>
      </c>
      <c r="G2444" s="16" t="s">
        <v>3034</v>
      </c>
      <c r="H2444" s="16" t="s">
        <v>189</v>
      </c>
      <c r="I2444" s="16" t="s">
        <v>190</v>
      </c>
    </row>
    <row r="2445" ht="242.25" customHeight="1">
      <c r="B2445" s="32" t="str">
        <f>IMAGE("https://gymvisual.com/1642-catalog_default/3-4-sit-up.jpg",4,500,500)</f>
        <v/>
      </c>
      <c r="C2445" s="30">
        <v>2444.0</v>
      </c>
      <c r="D2445" s="16" t="s">
        <v>3153</v>
      </c>
      <c r="E2445" s="16" t="s">
        <v>184</v>
      </c>
      <c r="F2445" s="16" t="s">
        <v>234</v>
      </c>
      <c r="G2445" s="16" t="s">
        <v>3034</v>
      </c>
      <c r="H2445" s="16" t="s">
        <v>347</v>
      </c>
      <c r="I2445" s="16" t="s">
        <v>382</v>
      </c>
    </row>
    <row r="2446" ht="242.25" customHeight="1">
      <c r="B2446" s="32" t="str">
        <f>IMAGE("https://gymvisual.com/19529-catalog_default/kettlebell-press-up-female.jpg",4,500,500)</f>
        <v/>
      </c>
      <c r="C2446" s="30">
        <v>2445.0</v>
      </c>
      <c r="D2446" s="16" t="s">
        <v>3154</v>
      </c>
      <c r="E2446" s="16" t="s">
        <v>184</v>
      </c>
      <c r="F2446" s="16" t="s">
        <v>234</v>
      </c>
      <c r="G2446" s="16" t="s">
        <v>3034</v>
      </c>
      <c r="H2446" s="16" t="s">
        <v>220</v>
      </c>
      <c r="I2446" s="16" t="s">
        <v>220</v>
      </c>
    </row>
    <row r="2447" ht="242.25" customHeight="1">
      <c r="B2447" s="32" t="str">
        <f>IMAGE("https://gymvisual.com/16402-catalog_default/kettlebell-pullover-3-month-position.jpg",4,500,500)</f>
        <v/>
      </c>
      <c r="C2447" s="30">
        <v>2446.0</v>
      </c>
      <c r="D2447" s="16" t="s">
        <v>3155</v>
      </c>
      <c r="E2447" s="16" t="s">
        <v>184</v>
      </c>
      <c r="F2447" s="16" t="s">
        <v>192</v>
      </c>
      <c r="G2447" s="16" t="s">
        <v>3034</v>
      </c>
      <c r="H2447" s="16" t="s">
        <v>300</v>
      </c>
      <c r="I2447" s="16" t="s">
        <v>3156</v>
      </c>
    </row>
    <row r="2448" ht="242.25" customHeight="1">
      <c r="B2448" s="32" t="str">
        <f>IMAGE("https://gymvisual.com/19559-catalog_default/kettlebell-rear-delt-row-female.jpg",4,500,500)</f>
        <v/>
      </c>
      <c r="C2448" s="30">
        <v>2447.0</v>
      </c>
      <c r="D2448" s="16" t="s">
        <v>3157</v>
      </c>
      <c r="E2448" s="16" t="s">
        <v>184</v>
      </c>
      <c r="F2448" s="16" t="s">
        <v>192</v>
      </c>
      <c r="G2448" s="16" t="s">
        <v>3034</v>
      </c>
      <c r="H2448" s="16" t="s">
        <v>220</v>
      </c>
      <c r="I2448" s="16" t="s">
        <v>220</v>
      </c>
    </row>
    <row r="2449" ht="242.25" customHeight="1">
      <c r="B2449" s="32" t="str">
        <f>IMAGE("https://gymvisual.com/24105-catalog_default/kettlebell-rear-lunge.jpg",4,500,500)</f>
        <v/>
      </c>
      <c r="C2449" s="30">
        <v>2448.0</v>
      </c>
      <c r="D2449" s="16" t="s">
        <v>3158</v>
      </c>
      <c r="E2449" s="16" t="s">
        <v>184</v>
      </c>
      <c r="F2449" s="16" t="s">
        <v>285</v>
      </c>
      <c r="G2449" s="16" t="s">
        <v>3034</v>
      </c>
      <c r="H2449" s="16" t="s">
        <v>220</v>
      </c>
      <c r="I2449" s="16" t="s">
        <v>220</v>
      </c>
    </row>
    <row r="2450" ht="242.25" customHeight="1">
      <c r="B2450" s="32" t="str">
        <f>IMAGE("https://gymvisual.com/11830-catalog_default/kettlebell-resistance-band-full-squat-from-deficit-female.jpg",4,500,500)</f>
        <v/>
      </c>
      <c r="C2450" s="30">
        <v>2449.0</v>
      </c>
      <c r="D2450" s="16" t="s">
        <v>3159</v>
      </c>
      <c r="E2450" s="16" t="s">
        <v>184</v>
      </c>
      <c r="F2450" s="16" t="s">
        <v>185</v>
      </c>
      <c r="G2450" s="16" t="s">
        <v>3160</v>
      </c>
      <c r="H2450" s="16" t="s">
        <v>220</v>
      </c>
      <c r="I2450" s="16" t="s">
        <v>220</v>
      </c>
    </row>
    <row r="2451" ht="242.25" customHeight="1">
      <c r="B2451" s="32" t="str">
        <f>IMAGE("https://gymvisual.com/22406-catalog_default/kettlebell-romanian-deadlift.jpg",4,500,500)</f>
        <v/>
      </c>
      <c r="C2451" s="30">
        <v>2450.0</v>
      </c>
      <c r="D2451" s="16" t="s">
        <v>3161</v>
      </c>
      <c r="E2451" s="16" t="s">
        <v>184</v>
      </c>
      <c r="F2451" s="16" t="s">
        <v>185</v>
      </c>
      <c r="G2451" s="16" t="s">
        <v>3034</v>
      </c>
      <c r="H2451" s="16" t="s">
        <v>220</v>
      </c>
      <c r="I2451" s="16" t="s">
        <v>220</v>
      </c>
    </row>
    <row r="2452" ht="242.25" customHeight="1">
      <c r="B2452" s="32" t="str">
        <f>IMAGE("https://gymvisual.com/26122-catalog_default/kettlebell-rotational-deadlift-male.jpg",4,500,500)</f>
        <v/>
      </c>
      <c r="C2452" s="30">
        <v>2451.0</v>
      </c>
      <c r="D2452" s="16" t="s">
        <v>3162</v>
      </c>
      <c r="E2452" s="16" t="s">
        <v>184</v>
      </c>
      <c r="F2452" s="16" t="s">
        <v>185</v>
      </c>
      <c r="G2452" s="16" t="s">
        <v>3034</v>
      </c>
      <c r="H2452" s="16" t="s">
        <v>220</v>
      </c>
      <c r="I2452" s="16" t="s">
        <v>220</v>
      </c>
    </row>
    <row r="2453" ht="242.25" customHeight="1">
      <c r="B2453" s="32" t="str">
        <f>IMAGE("https://gymvisual.com/19455-catalog_default/kettlebell-russian-twist.jpg",4,500,500)</f>
        <v/>
      </c>
      <c r="C2453" s="30">
        <v>2452.0</v>
      </c>
      <c r="D2453" s="16" t="s">
        <v>3163</v>
      </c>
      <c r="E2453" s="16" t="s">
        <v>184</v>
      </c>
      <c r="F2453" s="16" t="s">
        <v>254</v>
      </c>
      <c r="G2453" s="16" t="s">
        <v>3034</v>
      </c>
      <c r="H2453" s="16" t="s">
        <v>220</v>
      </c>
      <c r="I2453" s="16" t="s">
        <v>220</v>
      </c>
    </row>
    <row r="2454" ht="242.25" customHeight="1">
      <c r="B2454" s="32" t="str">
        <f>IMAGE("https://gymvisual.com/16406-catalog_default/kettlebell-seated-one-arm-military-press.jpg",4,500,500)</f>
        <v/>
      </c>
      <c r="C2454" s="30">
        <v>2453.0</v>
      </c>
      <c r="D2454" s="16" t="s">
        <v>3164</v>
      </c>
      <c r="E2454" s="16" t="s">
        <v>184</v>
      </c>
      <c r="F2454" s="16" t="s">
        <v>228</v>
      </c>
      <c r="G2454" s="16" t="s">
        <v>3034</v>
      </c>
      <c r="H2454" s="16" t="s">
        <v>229</v>
      </c>
      <c r="I2454" s="16" t="s">
        <v>626</v>
      </c>
    </row>
    <row r="2455" ht="242.25" customHeight="1">
      <c r="B2455" s="32" t="str">
        <f>IMAGE("https://gymvisual.com/1645-catalog_default/3-4-sit-up.jpg",4,500,500)</f>
        <v/>
      </c>
      <c r="C2455" s="30">
        <v>2454.0</v>
      </c>
      <c r="D2455" s="16" t="s">
        <v>3165</v>
      </c>
      <c r="E2455" s="16" t="s">
        <v>184</v>
      </c>
      <c r="F2455" s="16" t="s">
        <v>228</v>
      </c>
      <c r="G2455" s="16" t="s">
        <v>3034</v>
      </c>
      <c r="H2455" s="16" t="s">
        <v>229</v>
      </c>
      <c r="I2455" s="16" t="s">
        <v>626</v>
      </c>
    </row>
    <row r="2456" ht="242.25" customHeight="1">
      <c r="B2456" s="32" t="str">
        <f>IMAGE("https://gymvisual.com/6452-catalog_default/kettlebell-seated-two-arm-military-press.jpg",4,500,500)</f>
        <v/>
      </c>
      <c r="C2456" s="30">
        <v>2455.0</v>
      </c>
      <c r="D2456" s="16" t="s">
        <v>3166</v>
      </c>
      <c r="E2456" s="16" t="s">
        <v>184</v>
      </c>
      <c r="F2456" s="16" t="s">
        <v>228</v>
      </c>
      <c r="G2456" s="16" t="s">
        <v>3034</v>
      </c>
      <c r="H2456" s="16" t="s">
        <v>229</v>
      </c>
      <c r="I2456" s="16" t="s">
        <v>230</v>
      </c>
    </row>
    <row r="2457" ht="242.25" customHeight="1">
      <c r="B2457" s="32" t="str">
        <f>IMAGE("https://gymvisual.com/1648-catalog_default/3-4-sit-up.jpg",4,500,500)</f>
        <v/>
      </c>
      <c r="C2457" s="30">
        <v>2456.0</v>
      </c>
      <c r="D2457" s="16" t="s">
        <v>3167</v>
      </c>
      <c r="E2457" s="16" t="s">
        <v>184</v>
      </c>
      <c r="F2457" s="16" t="s">
        <v>228</v>
      </c>
      <c r="G2457" s="16" t="s">
        <v>3034</v>
      </c>
      <c r="H2457" s="16" t="s">
        <v>229</v>
      </c>
      <c r="I2457" s="16" t="s">
        <v>3168</v>
      </c>
    </row>
    <row r="2458" ht="242.25" customHeight="1">
      <c r="B2458" s="32" t="str">
        <f>IMAGE("https://gymvisual.com/19461-catalog_default/kettlebell-side-bend-version-2.jpg",4,500,500)</f>
        <v/>
      </c>
      <c r="C2458" s="30">
        <v>2457.0</v>
      </c>
      <c r="D2458" s="16" t="s">
        <v>3169</v>
      </c>
      <c r="E2458" s="16" t="s">
        <v>184</v>
      </c>
      <c r="F2458" s="16" t="s">
        <v>254</v>
      </c>
      <c r="G2458" s="16" t="s">
        <v>3034</v>
      </c>
      <c r="H2458" s="16" t="s">
        <v>220</v>
      </c>
      <c r="I2458" s="16" t="s">
        <v>220</v>
      </c>
    </row>
    <row r="2459" ht="242.25" customHeight="1">
      <c r="B2459" s="32" t="str">
        <f>IMAGE("https://gymvisual.com/19539-catalog_default/kettlebell-side-lunge-female.jpg",4,500,500)</f>
        <v/>
      </c>
      <c r="C2459" s="30">
        <v>2458.0</v>
      </c>
      <c r="D2459" s="16" t="s">
        <v>3170</v>
      </c>
      <c r="E2459" s="16" t="s">
        <v>184</v>
      </c>
      <c r="F2459" s="16" t="s">
        <v>285</v>
      </c>
      <c r="G2459" s="16" t="s">
        <v>3034</v>
      </c>
      <c r="H2459" s="16" t="s">
        <v>220</v>
      </c>
      <c r="I2459" s="16" t="s">
        <v>220</v>
      </c>
    </row>
    <row r="2460" ht="242.25" customHeight="1">
      <c r="B2460" s="32" t="str">
        <f>IMAGE("https://gymvisual.com/17897-catalog_default/kettlebell-side-lunge-male.jpg",4,500,500)</f>
        <v/>
      </c>
      <c r="C2460" s="30">
        <v>2459.0</v>
      </c>
      <c r="D2460" s="16" t="s">
        <v>3171</v>
      </c>
      <c r="E2460" s="16" t="s">
        <v>184</v>
      </c>
      <c r="F2460" s="16" t="s">
        <v>285</v>
      </c>
      <c r="G2460" s="16" t="s">
        <v>3034</v>
      </c>
      <c r="H2460" s="16" t="s">
        <v>220</v>
      </c>
      <c r="I2460" s="16" t="s">
        <v>220</v>
      </c>
    </row>
    <row r="2461" ht="242.25" customHeight="1">
      <c r="B2461" s="32" t="str">
        <f>IMAGE("https://gymvisual.com/26110-catalog_default/kettlebell-side-plank-male.jpg",4,500,500)</f>
        <v/>
      </c>
      <c r="C2461" s="30">
        <v>2460.0</v>
      </c>
      <c r="D2461" s="16" t="s">
        <v>3172</v>
      </c>
      <c r="E2461" s="16" t="s">
        <v>184</v>
      </c>
      <c r="F2461" s="16" t="s">
        <v>254</v>
      </c>
      <c r="G2461" s="16" t="s">
        <v>3034</v>
      </c>
      <c r="H2461" s="16" t="s">
        <v>220</v>
      </c>
      <c r="I2461" s="16" t="s">
        <v>220</v>
      </c>
    </row>
    <row r="2462" ht="242.25" customHeight="1">
      <c r="B2462" s="32" t="str">
        <f>IMAGE("https://gymvisual.com/19535-catalog_default/kettlebell-side-squat-step-female.jpg",4,500,500)</f>
        <v/>
      </c>
      <c r="C2462" s="30">
        <v>2461.0</v>
      </c>
      <c r="D2462" s="16" t="s">
        <v>3173</v>
      </c>
      <c r="E2462" s="16" t="s">
        <v>184</v>
      </c>
      <c r="F2462" s="16" t="s">
        <v>285</v>
      </c>
      <c r="G2462" s="16" t="s">
        <v>3034</v>
      </c>
      <c r="H2462" s="16" t="s">
        <v>220</v>
      </c>
      <c r="I2462" s="16" t="s">
        <v>220</v>
      </c>
    </row>
    <row r="2463" ht="242.25" customHeight="1">
      <c r="B2463" s="32" t="str">
        <f>IMAGE("https://gymvisual.com/19547-catalog_default/kettlebell-single-arm-clean-female.jpg",4,500,500)</f>
        <v/>
      </c>
      <c r="C2463" s="30">
        <v>2462.0</v>
      </c>
      <c r="D2463" s="16" t="s">
        <v>3174</v>
      </c>
      <c r="E2463" s="16" t="s">
        <v>184</v>
      </c>
      <c r="F2463" s="16" t="s">
        <v>764</v>
      </c>
      <c r="G2463" s="16" t="s">
        <v>3034</v>
      </c>
      <c r="H2463" s="16" t="s">
        <v>220</v>
      </c>
      <c r="I2463" s="16" t="s">
        <v>220</v>
      </c>
    </row>
    <row r="2464" ht="242.25" customHeight="1">
      <c r="B2464" s="32" t="str">
        <f>IMAGE("https://gymvisual.com/19549-catalog_default/kettlebell-single-arm-clean-and-press-female.jpg",4,500,500)</f>
        <v/>
      </c>
      <c r="C2464" s="30">
        <v>2463.0</v>
      </c>
      <c r="D2464" s="16" t="s">
        <v>3175</v>
      </c>
      <c r="E2464" s="16" t="s">
        <v>184</v>
      </c>
      <c r="F2464" s="16" t="s">
        <v>764</v>
      </c>
      <c r="G2464" s="16" t="s">
        <v>3034</v>
      </c>
      <c r="H2464" s="16" t="s">
        <v>220</v>
      </c>
      <c r="I2464" s="16" t="s">
        <v>220</v>
      </c>
    </row>
    <row r="2465" ht="242.25" customHeight="1">
      <c r="B2465" s="32" t="str">
        <f>IMAGE("https://gymvisual.com/24107-catalog_default/kettlebell-single-arm-overhead-lunge.jpg",4,500,500)</f>
        <v/>
      </c>
      <c r="C2465" s="30">
        <v>2464.0</v>
      </c>
      <c r="D2465" s="16" t="s">
        <v>3176</v>
      </c>
      <c r="E2465" s="16" t="s">
        <v>184</v>
      </c>
      <c r="F2465" s="16" t="s">
        <v>285</v>
      </c>
      <c r="G2465" s="16" t="s">
        <v>3034</v>
      </c>
      <c r="H2465" s="16" t="s">
        <v>220</v>
      </c>
      <c r="I2465" s="16" t="s">
        <v>220</v>
      </c>
    </row>
    <row r="2466" ht="242.25" customHeight="1">
      <c r="B2466" s="32" t="str">
        <f>IMAGE("https://gymvisual.com/19557-catalog_default/kettlebell-single-arm-sit-up-female.jpg",4,500,500)</f>
        <v/>
      </c>
      <c r="C2466" s="30">
        <v>2465.0</v>
      </c>
      <c r="D2466" s="16" t="s">
        <v>3177</v>
      </c>
      <c r="E2466" s="16" t="s">
        <v>184</v>
      </c>
      <c r="F2466" s="16" t="s">
        <v>234</v>
      </c>
      <c r="G2466" s="16" t="s">
        <v>3034</v>
      </c>
      <c r="H2466" s="16" t="s">
        <v>220</v>
      </c>
      <c r="I2466" s="16" t="s">
        <v>220</v>
      </c>
    </row>
    <row r="2467" ht="242.25" customHeight="1">
      <c r="B2467" s="32" t="str">
        <f>IMAGE("https://gymvisual.com/19541-catalog_default/kettlebell-single-arm-swing-female.jpg",4,500,500)</f>
        <v/>
      </c>
      <c r="C2467" s="30">
        <v>2466.0</v>
      </c>
      <c r="D2467" s="16" t="s">
        <v>3178</v>
      </c>
      <c r="E2467" s="16" t="s">
        <v>184</v>
      </c>
      <c r="F2467" s="16" t="s">
        <v>185</v>
      </c>
      <c r="G2467" s="16" t="s">
        <v>3034</v>
      </c>
      <c r="H2467" s="16" t="s">
        <v>220</v>
      </c>
      <c r="I2467" s="16" t="s">
        <v>220</v>
      </c>
    </row>
    <row r="2468" ht="242.25" customHeight="1">
      <c r="B2468" s="32" t="str">
        <f>IMAGE("https://gymvisual.com/19523-catalog_default/kettlebell-single-arm-thruster-female.jpg",4,500,500)</f>
        <v/>
      </c>
      <c r="C2468" s="30">
        <v>2467.0</v>
      </c>
      <c r="D2468" s="16" t="s">
        <v>3179</v>
      </c>
      <c r="E2468" s="16" t="s">
        <v>184</v>
      </c>
      <c r="F2468" s="16" t="s">
        <v>764</v>
      </c>
      <c r="G2468" s="16" t="s">
        <v>3034</v>
      </c>
      <c r="H2468" s="16" t="s">
        <v>220</v>
      </c>
      <c r="I2468" s="16" t="s">
        <v>220</v>
      </c>
    </row>
    <row r="2469" ht="242.25" customHeight="1">
      <c r="B2469" s="32" t="str">
        <f>IMAGE("https://gymvisual.com/17947-catalog_default/kettlebell-single-front-squat-male.jpg",4,500,500)</f>
        <v/>
      </c>
      <c r="C2469" s="30">
        <v>2468.0</v>
      </c>
      <c r="D2469" s="16" t="s">
        <v>3180</v>
      </c>
      <c r="E2469" s="16" t="s">
        <v>184</v>
      </c>
      <c r="F2469" s="16" t="s">
        <v>285</v>
      </c>
      <c r="G2469" s="16" t="s">
        <v>3034</v>
      </c>
      <c r="H2469" s="16" t="s">
        <v>220</v>
      </c>
      <c r="I2469" s="16" t="s">
        <v>220</v>
      </c>
    </row>
    <row r="2470" ht="242.25" customHeight="1">
      <c r="B2470" s="32" t="str">
        <f>IMAGE("https://gymvisual.com/19533-catalog_default/kettlebell-single-leg-deadlift-female.jpg",4,500,500)</f>
        <v/>
      </c>
      <c r="C2470" s="30">
        <v>2469.0</v>
      </c>
      <c r="D2470" s="16" t="s">
        <v>3181</v>
      </c>
      <c r="E2470" s="16" t="s">
        <v>184</v>
      </c>
      <c r="F2470" s="16" t="s">
        <v>185</v>
      </c>
      <c r="G2470" s="16" t="s">
        <v>3034</v>
      </c>
      <c r="H2470" s="16" t="s">
        <v>220</v>
      </c>
      <c r="I2470" s="16" t="s">
        <v>220</v>
      </c>
    </row>
    <row r="2471" ht="242.25" customHeight="1">
      <c r="B2471" s="32" t="str">
        <f>IMAGE("https://gymvisual.com/14054-catalog_default/kettlebell-single-leg-glute-bridge-pullover.jpg",4,500,500)</f>
        <v/>
      </c>
      <c r="C2471" s="30">
        <v>2470.0</v>
      </c>
      <c r="D2471" s="16" t="s">
        <v>3182</v>
      </c>
      <c r="E2471" s="16" t="s">
        <v>184</v>
      </c>
      <c r="F2471" s="16" t="s">
        <v>3183</v>
      </c>
      <c r="G2471" s="16" t="s">
        <v>3034</v>
      </c>
      <c r="H2471" s="16" t="s">
        <v>3184</v>
      </c>
      <c r="I2471" s="16" t="s">
        <v>220</v>
      </c>
    </row>
    <row r="2472" ht="242.25" customHeight="1">
      <c r="B2472" s="32" t="str">
        <f>IMAGE("https://gymvisual.com/17969-catalog_default/kettlebell-single-leg-step-up-male.jpg",4,500,500)</f>
        <v/>
      </c>
      <c r="C2472" s="30">
        <v>2471.0</v>
      </c>
      <c r="D2472" s="16" t="s">
        <v>3185</v>
      </c>
      <c r="E2472" s="16" t="s">
        <v>184</v>
      </c>
      <c r="F2472" s="16" t="s">
        <v>285</v>
      </c>
      <c r="G2472" s="16" t="s">
        <v>3034</v>
      </c>
      <c r="H2472" s="16" t="s">
        <v>220</v>
      </c>
      <c r="I2472" s="16" t="s">
        <v>220</v>
      </c>
    </row>
    <row r="2473" ht="242.25" customHeight="1">
      <c r="B2473" s="32" t="str">
        <f>IMAGE("https://gymvisual.com/4461-catalog_default/kettlebell-sit-up.jpg",4,500,500)</f>
        <v/>
      </c>
      <c r="C2473" s="30">
        <v>2472.0</v>
      </c>
      <c r="D2473" s="16" t="s">
        <v>3186</v>
      </c>
      <c r="E2473" s="16" t="s">
        <v>184</v>
      </c>
      <c r="F2473" s="16" t="s">
        <v>254</v>
      </c>
      <c r="G2473" s="16" t="s">
        <v>3034</v>
      </c>
      <c r="H2473" s="16" t="s">
        <v>256</v>
      </c>
      <c r="I2473" s="16" t="s">
        <v>257</v>
      </c>
    </row>
    <row r="2474" ht="242.25" customHeight="1">
      <c r="B2474" s="32" t="str">
        <f>IMAGE("https://gymvisual.com/19531-catalog_default/kettlebell-sit-up-female.jpg",4,500,500)</f>
        <v/>
      </c>
      <c r="C2474" s="30">
        <v>2473.0</v>
      </c>
      <c r="D2474" s="16" t="s">
        <v>3187</v>
      </c>
      <c r="E2474" s="16" t="s">
        <v>184</v>
      </c>
      <c r="F2474" s="16" t="s">
        <v>234</v>
      </c>
      <c r="G2474" s="16" t="s">
        <v>3034</v>
      </c>
      <c r="H2474" s="16" t="s">
        <v>220</v>
      </c>
      <c r="I2474" s="16" t="s">
        <v>220</v>
      </c>
    </row>
    <row r="2475" ht="242.25" customHeight="1">
      <c r="B2475" s="32" t="str">
        <f>IMAGE("https://gymvisual.com/24109-catalog_default/kettlebell-sit-up-press.jpg",4,500,500)</f>
        <v/>
      </c>
      <c r="C2475" s="30">
        <v>2474.0</v>
      </c>
      <c r="D2475" s="16" t="s">
        <v>3188</v>
      </c>
      <c r="E2475" s="16" t="s">
        <v>184</v>
      </c>
      <c r="F2475" s="16" t="s">
        <v>254</v>
      </c>
      <c r="G2475" s="16" t="s">
        <v>3034</v>
      </c>
      <c r="H2475" s="16" t="s">
        <v>220</v>
      </c>
      <c r="I2475" s="16" t="s">
        <v>220</v>
      </c>
    </row>
    <row r="2476" ht="242.25" customHeight="1">
      <c r="B2476" s="32" t="str">
        <f>IMAGE("https://gymvisual.com/14215-catalog_default/kettlebell-slingshot.jpg",4,500,500)</f>
        <v/>
      </c>
      <c r="C2476" s="30">
        <v>2475.0</v>
      </c>
      <c r="D2476" s="16" t="s">
        <v>3189</v>
      </c>
      <c r="E2476" s="16" t="s">
        <v>184</v>
      </c>
      <c r="F2476" s="16" t="s">
        <v>228</v>
      </c>
      <c r="G2476" s="16" t="s">
        <v>3034</v>
      </c>
      <c r="H2476" s="16" t="s">
        <v>333</v>
      </c>
      <c r="I2476" s="16" t="s">
        <v>220</v>
      </c>
    </row>
    <row r="2477" ht="242.25" customHeight="1">
      <c r="B2477" s="32" t="str">
        <f>IMAGE("https://gymvisual.com/19551-catalog_default/kettlebell-snatch-female.jpg",4,500,500)</f>
        <v/>
      </c>
      <c r="C2477" s="30">
        <v>2476.0</v>
      </c>
      <c r="D2477" s="16" t="s">
        <v>3190</v>
      </c>
      <c r="E2477" s="16" t="s">
        <v>184</v>
      </c>
      <c r="F2477" s="16" t="s">
        <v>764</v>
      </c>
      <c r="G2477" s="16" t="s">
        <v>3034</v>
      </c>
      <c r="H2477" s="16" t="s">
        <v>220</v>
      </c>
      <c r="I2477" s="16" t="s">
        <v>220</v>
      </c>
    </row>
    <row r="2478" ht="242.25" customHeight="1">
      <c r="B2478" s="32" t="str">
        <f>IMAGE("https://gymvisual.com/14205-catalog_default/kettlebell-sots-press.jpg",4,500,500)</f>
        <v/>
      </c>
      <c r="C2478" s="30">
        <v>2477.0</v>
      </c>
      <c r="D2478" s="16" t="s">
        <v>3191</v>
      </c>
      <c r="E2478" s="16" t="s">
        <v>184</v>
      </c>
      <c r="F2478" s="16" t="s">
        <v>691</v>
      </c>
      <c r="G2478" s="16" t="s">
        <v>3034</v>
      </c>
      <c r="H2478" s="16" t="s">
        <v>793</v>
      </c>
      <c r="I2478" s="16" t="s">
        <v>1130</v>
      </c>
    </row>
    <row r="2479" ht="242.25" customHeight="1">
      <c r="B2479" s="32" t="str">
        <f>IMAGE("https://gymvisual.com/18055-catalog_default/kettlebell-split-snatch.jpg",4,500,500)</f>
        <v/>
      </c>
      <c r="C2479" s="30">
        <v>2478.0</v>
      </c>
      <c r="D2479" s="16" t="s">
        <v>3192</v>
      </c>
      <c r="E2479" s="16" t="s">
        <v>184</v>
      </c>
      <c r="F2479" s="16" t="s">
        <v>185</v>
      </c>
      <c r="G2479" s="16" t="s">
        <v>3034</v>
      </c>
      <c r="H2479" s="16" t="s">
        <v>220</v>
      </c>
      <c r="I2479" s="16" t="s">
        <v>220</v>
      </c>
    </row>
    <row r="2480" ht="242.25" customHeight="1">
      <c r="B2480" s="32" t="str">
        <f>IMAGE("https://gymvisual.com/17851-catalog_default/kettlebell-split-squat.jpg",4,500,500)</f>
        <v/>
      </c>
      <c r="C2480" s="30">
        <v>2479.0</v>
      </c>
      <c r="D2480" s="16" t="s">
        <v>3193</v>
      </c>
      <c r="E2480" s="16" t="s">
        <v>184</v>
      </c>
      <c r="F2480" s="16" t="s">
        <v>285</v>
      </c>
      <c r="G2480" s="16" t="s">
        <v>3034</v>
      </c>
      <c r="H2480" s="16" t="s">
        <v>220</v>
      </c>
      <c r="I2480" s="16" t="s">
        <v>220</v>
      </c>
    </row>
    <row r="2481" ht="242.25" customHeight="1">
      <c r="B2481" s="32" t="str">
        <f>IMAGE("https://gymvisual.com/16404-catalog_default/kettlebell-standing-bottoms-up-one-arm-shoulder-press.jpg",4,500,500)</f>
        <v/>
      </c>
      <c r="C2481" s="30">
        <v>2480.0</v>
      </c>
      <c r="D2481" s="16" t="s">
        <v>3194</v>
      </c>
      <c r="E2481" s="16" t="s">
        <v>184</v>
      </c>
      <c r="F2481" s="16" t="s">
        <v>228</v>
      </c>
      <c r="G2481" s="16" t="s">
        <v>3034</v>
      </c>
      <c r="H2481" s="16" t="s">
        <v>229</v>
      </c>
      <c r="I2481" s="16" t="s">
        <v>626</v>
      </c>
    </row>
    <row r="2482" ht="242.25" customHeight="1">
      <c r="B2482" s="32" t="str">
        <f>IMAGE("https://gymvisual.com/26082-catalog_default/kettlebell-standing-calf-raise.jpg",4,500,500)</f>
        <v/>
      </c>
      <c r="C2482" s="30">
        <v>2481.0</v>
      </c>
      <c r="D2482" s="16" t="s">
        <v>3195</v>
      </c>
      <c r="E2482" s="16" t="s">
        <v>184</v>
      </c>
      <c r="F2482" s="16" t="s">
        <v>325</v>
      </c>
      <c r="G2482" s="16" t="s">
        <v>3034</v>
      </c>
      <c r="H2482" s="16" t="s">
        <v>220</v>
      </c>
      <c r="I2482" s="16" t="s">
        <v>220</v>
      </c>
    </row>
    <row r="2483" ht="242.25" customHeight="1">
      <c r="B2483" s="32" t="str">
        <f>IMAGE("https://gymvisual.com/26100-catalog_default/kettlebell-standing-one-arm-extension.jpg",4,500,500)</f>
        <v/>
      </c>
      <c r="C2483" s="30">
        <v>2482.0</v>
      </c>
      <c r="D2483" s="16" t="s">
        <v>3196</v>
      </c>
      <c r="E2483" s="16" t="s">
        <v>184</v>
      </c>
      <c r="F2483" s="16" t="s">
        <v>219</v>
      </c>
      <c r="G2483" s="16" t="s">
        <v>3034</v>
      </c>
      <c r="H2483" s="16" t="s">
        <v>220</v>
      </c>
      <c r="I2483" s="16" t="s">
        <v>220</v>
      </c>
    </row>
    <row r="2484" ht="242.25" customHeight="1">
      <c r="B2484" s="32" t="str">
        <f>IMAGE("https://gymvisual.com/19555-catalog_default/kettlebell-standing-slingshots-female.jpg",4,500,500)</f>
        <v/>
      </c>
      <c r="C2484" s="30">
        <v>2483.0</v>
      </c>
      <c r="D2484" s="16" t="s">
        <v>3197</v>
      </c>
      <c r="E2484" s="16" t="s">
        <v>184</v>
      </c>
      <c r="F2484" s="16" t="s">
        <v>228</v>
      </c>
      <c r="G2484" s="16" t="s">
        <v>3034</v>
      </c>
      <c r="H2484" s="16" t="s">
        <v>220</v>
      </c>
      <c r="I2484" s="16" t="s">
        <v>220</v>
      </c>
    </row>
    <row r="2485" ht="242.25" customHeight="1">
      <c r="B2485" s="32" t="str">
        <f>IMAGE("https://gymvisual.com/19469-catalog_default/kettlebell-step-up.jpg",4,500,500)</f>
        <v/>
      </c>
      <c r="C2485" s="30">
        <v>2484.0</v>
      </c>
      <c r="D2485" s="16" t="s">
        <v>3198</v>
      </c>
      <c r="E2485" s="16" t="s">
        <v>184</v>
      </c>
      <c r="F2485" s="16" t="s">
        <v>285</v>
      </c>
      <c r="G2485" s="16" t="s">
        <v>3034</v>
      </c>
      <c r="H2485" s="16" t="s">
        <v>220</v>
      </c>
      <c r="I2485" s="16" t="s">
        <v>220</v>
      </c>
    </row>
    <row r="2486" ht="242.25" customHeight="1">
      <c r="B2486" s="32" t="str">
        <f>IMAGE("https://gymvisual.com/19501-catalog_default/kettlebell-step-up-version-2.jpg",4,500,500)</f>
        <v/>
      </c>
      <c r="C2486" s="30">
        <v>2485.0</v>
      </c>
      <c r="D2486" s="16" t="s">
        <v>3199</v>
      </c>
      <c r="E2486" s="16" t="s">
        <v>184</v>
      </c>
      <c r="F2486" s="16" t="s">
        <v>285</v>
      </c>
      <c r="G2486" s="16" t="s">
        <v>3034</v>
      </c>
      <c r="H2486" s="16" t="s">
        <v>189</v>
      </c>
      <c r="I2486" s="16" t="s">
        <v>190</v>
      </c>
    </row>
    <row r="2487" ht="242.25" customHeight="1">
      <c r="B2487" s="32" t="str">
        <f>IMAGE("https://gymvisual.com/16398-catalog_default/kettlebell-straight-leg-deadlift.jpg",4,500,500)</f>
        <v/>
      </c>
      <c r="C2487" s="30">
        <v>2486.0</v>
      </c>
      <c r="D2487" s="16" t="s">
        <v>3200</v>
      </c>
      <c r="E2487" s="16" t="s">
        <v>184</v>
      </c>
      <c r="F2487" s="16" t="s">
        <v>185</v>
      </c>
      <c r="G2487" s="16" t="s">
        <v>3034</v>
      </c>
      <c r="H2487" s="16" t="s">
        <v>267</v>
      </c>
      <c r="I2487" s="16" t="s">
        <v>3201</v>
      </c>
    </row>
    <row r="2488" ht="242.25" customHeight="1">
      <c r="B2488" s="32" t="str">
        <f>IMAGE("https://gymvisual.com/14203-catalog_default/kettlebell-strict-press.jpg",4,500,500)</f>
        <v/>
      </c>
      <c r="C2488" s="30">
        <v>2487.0</v>
      </c>
      <c r="D2488" s="16" t="s">
        <v>3202</v>
      </c>
      <c r="E2488" s="16" t="s">
        <v>184</v>
      </c>
      <c r="F2488" s="16" t="s">
        <v>228</v>
      </c>
      <c r="G2488" s="16" t="s">
        <v>3034</v>
      </c>
      <c r="H2488" s="16" t="s">
        <v>229</v>
      </c>
      <c r="I2488" s="16" t="s">
        <v>626</v>
      </c>
    </row>
    <row r="2489" ht="242.25" customHeight="1">
      <c r="B2489" s="32" t="str">
        <f>IMAGE("https://gymvisual.com/17967-catalog_default/kettlebell-suitcase-deadlift-male.jpg",4,500,500)</f>
        <v/>
      </c>
      <c r="C2489" s="30">
        <v>2488.0</v>
      </c>
      <c r="D2489" s="16" t="s">
        <v>3203</v>
      </c>
      <c r="E2489" s="16" t="s">
        <v>184</v>
      </c>
      <c r="F2489" s="16" t="s">
        <v>185</v>
      </c>
      <c r="G2489" s="16" t="s">
        <v>3034</v>
      </c>
      <c r="H2489" s="16" t="s">
        <v>187</v>
      </c>
      <c r="I2489" s="16" t="s">
        <v>482</v>
      </c>
    </row>
    <row r="2490" ht="242.25" customHeight="1">
      <c r="B2490" s="32" t="str">
        <f>IMAGE("https://gymvisual.com/17825-catalog_default/kettlebell-sumo-deadlift.jpg",4,500,500)</f>
        <v/>
      </c>
      <c r="C2490" s="30">
        <v>2489.0</v>
      </c>
      <c r="D2490" s="16" t="s">
        <v>3204</v>
      </c>
      <c r="E2490" s="16" t="s">
        <v>184</v>
      </c>
      <c r="F2490" s="16" t="s">
        <v>185</v>
      </c>
      <c r="G2490" s="16" t="s">
        <v>3034</v>
      </c>
      <c r="H2490" s="16" t="s">
        <v>220</v>
      </c>
      <c r="I2490" s="16" t="s">
        <v>220</v>
      </c>
    </row>
    <row r="2491" ht="242.25" customHeight="1">
      <c r="B2491" s="32" t="str">
        <f>IMAGE("https://gymvisual.com/17965-catalog_default/kettlebell-sumo-deadlift-with-high-pull-male.jpg",4,500,500)</f>
        <v/>
      </c>
      <c r="C2491" s="30">
        <v>2490.0</v>
      </c>
      <c r="D2491" s="16" t="s">
        <v>3205</v>
      </c>
      <c r="E2491" s="16" t="s">
        <v>184</v>
      </c>
      <c r="F2491" s="16" t="s">
        <v>185</v>
      </c>
      <c r="G2491" s="16" t="s">
        <v>3034</v>
      </c>
      <c r="H2491" s="16" t="s">
        <v>189</v>
      </c>
      <c r="I2491" s="16" t="s">
        <v>1121</v>
      </c>
    </row>
    <row r="2492" ht="242.25" customHeight="1">
      <c r="B2492" s="32" t="str">
        <f>IMAGE("https://gymvisual.com/1651-catalog_default/3-4-sit-up.jpg",4,500,500)</f>
        <v/>
      </c>
      <c r="C2492" s="30">
        <v>2491.0</v>
      </c>
      <c r="D2492" s="16" t="s">
        <v>3206</v>
      </c>
      <c r="E2492" s="16" t="s">
        <v>184</v>
      </c>
      <c r="F2492" s="16" t="s">
        <v>192</v>
      </c>
      <c r="G2492" s="16" t="s">
        <v>3034</v>
      </c>
      <c r="H2492" s="16" t="s">
        <v>3207</v>
      </c>
      <c r="I2492" s="16" t="s">
        <v>220</v>
      </c>
    </row>
    <row r="2493" ht="242.25" customHeight="1">
      <c r="B2493" s="32" t="str">
        <f>IMAGE("https://gymvisual.com/17879-catalog_default/kettlebell-sumo-squat-male.jpg",4,500,500)</f>
        <v/>
      </c>
      <c r="C2493" s="30">
        <v>2492.0</v>
      </c>
      <c r="D2493" s="16" t="s">
        <v>3208</v>
      </c>
      <c r="E2493" s="16" t="s">
        <v>184</v>
      </c>
      <c r="F2493" s="16" t="s">
        <v>185</v>
      </c>
      <c r="G2493" s="16" t="s">
        <v>3034</v>
      </c>
      <c r="H2493" s="16" t="s">
        <v>220</v>
      </c>
      <c r="I2493" s="16" t="s">
        <v>220</v>
      </c>
    </row>
    <row r="2494" ht="242.25" customHeight="1">
      <c r="B2494" s="32" t="str">
        <f>IMAGE("https://gymvisual.com/24111-catalog_default/kettlebell-sumo-squat-version-2.jpg",4,500,500)</f>
        <v/>
      </c>
      <c r="C2494" s="30">
        <v>2493.0</v>
      </c>
      <c r="D2494" s="16" t="s">
        <v>3209</v>
      </c>
      <c r="E2494" s="16" t="s">
        <v>184</v>
      </c>
      <c r="F2494" s="16" t="s">
        <v>185</v>
      </c>
      <c r="G2494" s="16" t="s">
        <v>3034</v>
      </c>
      <c r="H2494" s="16" t="s">
        <v>220</v>
      </c>
      <c r="I2494" s="16" t="s">
        <v>220</v>
      </c>
    </row>
    <row r="2495" ht="242.25" customHeight="1">
      <c r="B2495" s="32" t="str">
        <f>IMAGE("https://gymvisual.com/1654-catalog_default/3-4-sit-up.jpg",4,500,500)</f>
        <v/>
      </c>
      <c r="C2495" s="30">
        <v>2494.0</v>
      </c>
      <c r="D2495" s="16" t="s">
        <v>3210</v>
      </c>
      <c r="E2495" s="16" t="s">
        <v>184</v>
      </c>
      <c r="F2495" s="16" t="s">
        <v>285</v>
      </c>
      <c r="G2495" s="16" t="s">
        <v>3034</v>
      </c>
      <c r="H2495" s="16" t="s">
        <v>2060</v>
      </c>
      <c r="I2495" s="16" t="s">
        <v>2061</v>
      </c>
    </row>
    <row r="2496" ht="242.25" customHeight="1">
      <c r="B2496" s="32" t="str">
        <f>IMAGE("https://gymvisual.com/11170-catalog_default/kettlebell-swing-female.jpg",4,500,500)</f>
        <v/>
      </c>
      <c r="C2496" s="30">
        <v>2495.0</v>
      </c>
      <c r="D2496" s="16" t="s">
        <v>3211</v>
      </c>
      <c r="E2496" s="16" t="s">
        <v>184</v>
      </c>
      <c r="F2496" s="16" t="s">
        <v>691</v>
      </c>
      <c r="G2496" s="16" t="s">
        <v>3034</v>
      </c>
      <c r="H2496" s="16" t="s">
        <v>2060</v>
      </c>
      <c r="I2496" s="16" t="s">
        <v>2061</v>
      </c>
    </row>
    <row r="2497" ht="242.25" customHeight="1">
      <c r="B2497" s="32" t="str">
        <f>IMAGE("https://gymvisual.com/23062-catalog_default/kettlebell-swing-clean-grip-front-squat-overhead-press.jpg",4,500,500)</f>
        <v/>
      </c>
      <c r="C2497" s="30">
        <v>2496.0</v>
      </c>
      <c r="D2497" s="16" t="s">
        <v>3212</v>
      </c>
      <c r="E2497" s="16" t="s">
        <v>184</v>
      </c>
      <c r="F2497" s="16" t="s">
        <v>185</v>
      </c>
      <c r="G2497" s="16" t="s">
        <v>3034</v>
      </c>
      <c r="H2497" s="16" t="s">
        <v>220</v>
      </c>
      <c r="I2497" s="16" t="s">
        <v>220</v>
      </c>
    </row>
    <row r="2498" ht="242.25" customHeight="1">
      <c r="B2498" s="32" t="str">
        <f>IMAGE("https://gymvisual.com/1657-catalog_default/3-4-sit-up.jpg",4,500,500)</f>
        <v/>
      </c>
      <c r="C2498" s="30">
        <v>2497.0</v>
      </c>
      <c r="D2498" s="16" t="s">
        <v>3213</v>
      </c>
      <c r="E2498" s="16" t="s">
        <v>184</v>
      </c>
      <c r="F2498" s="16" t="s">
        <v>228</v>
      </c>
      <c r="G2498" s="16" t="s">
        <v>3034</v>
      </c>
      <c r="H2498" s="16" t="s">
        <v>3214</v>
      </c>
      <c r="I2498" s="16" t="s">
        <v>220</v>
      </c>
    </row>
    <row r="2499" ht="242.25" customHeight="1">
      <c r="B2499" s="32" t="str">
        <f>IMAGE("https://gymvisual.com/19521-catalog_default/kettlebell-thruster-female.jpg",4,500,500)</f>
        <v/>
      </c>
      <c r="C2499" s="30">
        <v>2498.0</v>
      </c>
      <c r="D2499" s="16" t="s">
        <v>3215</v>
      </c>
      <c r="E2499" s="16" t="s">
        <v>184</v>
      </c>
      <c r="F2499" s="16" t="s">
        <v>764</v>
      </c>
      <c r="G2499" s="16" t="s">
        <v>3034</v>
      </c>
      <c r="H2499" s="16" t="s">
        <v>220</v>
      </c>
      <c r="I2499" s="16" t="s">
        <v>220</v>
      </c>
    </row>
    <row r="2500" ht="242.25" customHeight="1">
      <c r="B2500" s="32" t="str">
        <f>IMAGE("https://gymvisual.com/13261-catalog_default/3-4-sit-up.jpg",4,500,500)</f>
        <v/>
      </c>
      <c r="C2500" s="30">
        <v>2499.0</v>
      </c>
      <c r="D2500" s="16" t="s">
        <v>3216</v>
      </c>
      <c r="E2500" s="16" t="s">
        <v>184</v>
      </c>
      <c r="F2500" s="16" t="s">
        <v>285</v>
      </c>
      <c r="G2500" s="16" t="s">
        <v>3034</v>
      </c>
      <c r="H2500" s="16" t="s">
        <v>3217</v>
      </c>
      <c r="I2500" s="16" t="s">
        <v>220</v>
      </c>
    </row>
    <row r="2501" ht="242.25" customHeight="1">
      <c r="B2501" s="32" t="str">
        <f>IMAGE("https://gymvisual.com/17847-catalog_default/kettlebell-turkish-get-up-to-hand.jpg",4,500,500)</f>
        <v/>
      </c>
      <c r="C2501" s="30">
        <v>2500.0</v>
      </c>
      <c r="D2501" s="16" t="s">
        <v>3218</v>
      </c>
      <c r="E2501" s="16" t="s">
        <v>184</v>
      </c>
      <c r="F2501" s="16" t="s">
        <v>285</v>
      </c>
      <c r="G2501" s="16" t="s">
        <v>3034</v>
      </c>
      <c r="H2501" s="16" t="s">
        <v>220</v>
      </c>
      <c r="I2501" s="16" t="s">
        <v>220</v>
      </c>
    </row>
    <row r="2502" ht="242.25" customHeight="1">
      <c r="B2502" s="32" t="str">
        <f>IMAGE("https://gymvisual.com/1662-catalog_default/3-4-sit-up.jpg",4,500,500)</f>
        <v/>
      </c>
      <c r="C2502" s="30">
        <v>2501.0</v>
      </c>
      <c r="D2502" s="16" t="s">
        <v>3219</v>
      </c>
      <c r="E2502" s="16" t="s">
        <v>184</v>
      </c>
      <c r="F2502" s="16" t="s">
        <v>228</v>
      </c>
      <c r="G2502" s="16" t="s">
        <v>3034</v>
      </c>
      <c r="H2502" s="16" t="s">
        <v>220</v>
      </c>
      <c r="I2502" s="16" t="s">
        <v>220</v>
      </c>
    </row>
    <row r="2503" ht="242.25" customHeight="1">
      <c r="B2503" s="32" t="str">
        <f>IMAGE("https://gymvisual.com/1665-catalog_default/3-4-sit-up.jpg",4,500,500)</f>
        <v/>
      </c>
      <c r="C2503" s="30">
        <v>2502.0</v>
      </c>
      <c r="D2503" s="16" t="s">
        <v>3220</v>
      </c>
      <c r="E2503" s="16" t="s">
        <v>184</v>
      </c>
      <c r="F2503" s="16" t="s">
        <v>228</v>
      </c>
      <c r="G2503" s="16" t="s">
        <v>3034</v>
      </c>
      <c r="H2503" s="16" t="s">
        <v>229</v>
      </c>
      <c r="I2503" s="16" t="s">
        <v>230</v>
      </c>
    </row>
    <row r="2504" ht="242.25" customHeight="1">
      <c r="B2504" s="32" t="str">
        <f>IMAGE("https://gymvisual.com/14181-catalog_default/kettlebell-two-arm-row.jpg",4,500,500)</f>
        <v/>
      </c>
      <c r="C2504" s="30">
        <v>2503.0</v>
      </c>
      <c r="D2504" s="16" t="s">
        <v>3221</v>
      </c>
      <c r="E2504" s="16" t="s">
        <v>184</v>
      </c>
      <c r="F2504" s="16" t="s">
        <v>192</v>
      </c>
      <c r="G2504" s="16" t="s">
        <v>3034</v>
      </c>
      <c r="H2504" s="16" t="s">
        <v>329</v>
      </c>
      <c r="I2504" s="16" t="s">
        <v>457</v>
      </c>
    </row>
    <row r="2505" ht="242.25" customHeight="1">
      <c r="B2505" s="32" t="str">
        <f>IMAGE("https://gymvisual.com/19485-catalog_default/kettlebell-upright-row.jpg",4,500,500)</f>
        <v/>
      </c>
      <c r="C2505" s="30">
        <v>2504.0</v>
      </c>
      <c r="D2505" s="16" t="s">
        <v>3222</v>
      </c>
      <c r="E2505" s="16" t="s">
        <v>184</v>
      </c>
      <c r="F2505" s="16" t="s">
        <v>228</v>
      </c>
      <c r="G2505" s="16" t="s">
        <v>3034</v>
      </c>
      <c r="H2505" s="16" t="s">
        <v>544</v>
      </c>
      <c r="I2505" s="16" t="s">
        <v>713</v>
      </c>
    </row>
    <row r="2506" ht="242.25" customHeight="1">
      <c r="B2506" s="32" t="str">
        <f>IMAGE("https://gymvisual.com/1668-catalog_default/3-4-sit-up.jpg",4,500,500)</f>
        <v/>
      </c>
      <c r="C2506" s="30">
        <v>2505.0</v>
      </c>
      <c r="D2506" s="16" t="s">
        <v>3223</v>
      </c>
      <c r="E2506" s="16" t="s">
        <v>184</v>
      </c>
      <c r="F2506" s="16" t="s">
        <v>254</v>
      </c>
      <c r="G2506" s="16" t="s">
        <v>3034</v>
      </c>
      <c r="H2506" s="16" t="s">
        <v>424</v>
      </c>
      <c r="I2506" s="16" t="s">
        <v>476</v>
      </c>
    </row>
    <row r="2507" ht="242.25" customHeight="1">
      <c r="B2507" s="32" t="str">
        <f>IMAGE("https://gymvisual.com/19525-catalog_default/kettlebell-windmill-female.jpg",4,500,500)</f>
        <v/>
      </c>
      <c r="C2507" s="30">
        <v>2506.0</v>
      </c>
      <c r="D2507" s="16" t="s">
        <v>3224</v>
      </c>
      <c r="E2507" s="16" t="s">
        <v>184</v>
      </c>
      <c r="F2507" s="16" t="s">
        <v>254</v>
      </c>
      <c r="G2507" s="16" t="s">
        <v>3034</v>
      </c>
      <c r="H2507" s="16" t="s">
        <v>220</v>
      </c>
      <c r="I2507" s="16" t="s">
        <v>220</v>
      </c>
    </row>
    <row r="2508" ht="242.25" customHeight="1">
      <c r="B2508" s="32" t="str">
        <f>IMAGE("https://gymvisual.com/26098-catalog_default/kettlebell-wrist-curl.jpg",4,500,500)</f>
        <v/>
      </c>
      <c r="C2508" s="30">
        <v>2507.0</v>
      </c>
      <c r="D2508" s="16" t="s">
        <v>3225</v>
      </c>
      <c r="E2508" s="16" t="s">
        <v>184</v>
      </c>
      <c r="F2508" s="16" t="s">
        <v>214</v>
      </c>
      <c r="G2508" s="16" t="s">
        <v>3034</v>
      </c>
      <c r="H2508" s="16" t="s">
        <v>220</v>
      </c>
      <c r="I2508" s="16" t="s">
        <v>220</v>
      </c>
    </row>
    <row r="2509" ht="242.25" customHeight="1">
      <c r="B2509" s="32" t="str">
        <f>IMAGE("https://gymvisual.com/19475-catalog_default/kettlebells-sumo-deadlift.jpg",4,500,500)</f>
        <v/>
      </c>
      <c r="C2509" s="30">
        <v>2508.0</v>
      </c>
      <c r="D2509" s="16" t="s">
        <v>3226</v>
      </c>
      <c r="E2509" s="16" t="s">
        <v>184</v>
      </c>
      <c r="F2509" s="16" t="s">
        <v>185</v>
      </c>
      <c r="G2509" s="16" t="s">
        <v>3034</v>
      </c>
      <c r="H2509" s="16" t="s">
        <v>220</v>
      </c>
      <c r="I2509" s="16" t="s">
        <v>220</v>
      </c>
    </row>
    <row r="2510" ht="242.25" hidden="1" customHeight="1">
      <c r="B2510" s="32" t="str">
        <f>IMAGE("https://gymvisual.com/1671-catalog_default/3-4-sit-up.jpg",4,500,500)</f>
        <v/>
      </c>
      <c r="C2510" s="30">
        <v>2509.0</v>
      </c>
      <c r="D2510" s="16" t="s">
        <v>3227</v>
      </c>
      <c r="E2510" s="16" t="s">
        <v>184</v>
      </c>
      <c r="F2510" s="16" t="s">
        <v>285</v>
      </c>
      <c r="G2510" s="16" t="s">
        <v>255</v>
      </c>
      <c r="H2510" s="16" t="s">
        <v>854</v>
      </c>
      <c r="I2510" s="16" t="s">
        <v>190</v>
      </c>
    </row>
    <row r="2511" ht="242.25" hidden="1" customHeight="1">
      <c r="B2511" s="32" t="str">
        <f>IMAGE("https://gymvisual.com/1676-catalog_default/3-4-sit-up.jpg",4,500,500)</f>
        <v/>
      </c>
      <c r="C2511" s="30">
        <v>2510.0</v>
      </c>
      <c r="D2511" s="16" t="s">
        <v>3228</v>
      </c>
      <c r="E2511" s="16" t="s">
        <v>184</v>
      </c>
      <c r="F2511" s="16" t="s">
        <v>185</v>
      </c>
      <c r="G2511" s="16" t="s">
        <v>255</v>
      </c>
      <c r="H2511" s="16" t="s">
        <v>187</v>
      </c>
      <c r="I2511" s="16" t="s">
        <v>3229</v>
      </c>
    </row>
    <row r="2512" ht="242.25" hidden="1" customHeight="1">
      <c r="B2512" s="32" t="str">
        <f>IMAGE("https://gymvisual.com/1673-catalog_default/3-4-sit-up.jpg",4,500,500)</f>
        <v/>
      </c>
      <c r="C2512" s="30">
        <v>2511.0</v>
      </c>
      <c r="D2512" s="16" t="s">
        <v>3230</v>
      </c>
      <c r="E2512" s="16" t="s">
        <v>184</v>
      </c>
      <c r="F2512" s="16" t="s">
        <v>185</v>
      </c>
      <c r="G2512" s="16" t="s">
        <v>255</v>
      </c>
      <c r="H2512" s="16" t="s">
        <v>187</v>
      </c>
      <c r="I2512" s="16" t="s">
        <v>3229</v>
      </c>
    </row>
    <row r="2513" ht="242.25" hidden="1" customHeight="1">
      <c r="B2513" s="32" t="str">
        <f>IMAGE("https://gymvisual.com/24330-catalog_default/kipping-handstand-push-up.jpg",4,500,500)</f>
        <v/>
      </c>
      <c r="C2513" s="30">
        <v>2512.0</v>
      </c>
      <c r="D2513" s="16" t="s">
        <v>3231</v>
      </c>
      <c r="E2513" s="16" t="s">
        <v>184</v>
      </c>
      <c r="F2513" s="16" t="s">
        <v>228</v>
      </c>
      <c r="G2513" s="16" t="s">
        <v>255</v>
      </c>
      <c r="H2513" s="16" t="s">
        <v>220</v>
      </c>
      <c r="I2513" s="16" t="s">
        <v>220</v>
      </c>
    </row>
    <row r="2514" ht="242.25" hidden="1" customHeight="1">
      <c r="B2514" s="32" t="str">
        <f>IMAGE("https://gymvisual.com/1679-catalog_default/3-4-sit-up.jpg",4,500,500)</f>
        <v/>
      </c>
      <c r="C2514" s="30">
        <v>2513.0</v>
      </c>
      <c r="D2514" s="16" t="s">
        <v>3232</v>
      </c>
      <c r="E2514" s="16" t="s">
        <v>184</v>
      </c>
      <c r="F2514" s="16" t="s">
        <v>192</v>
      </c>
      <c r="G2514" s="16" t="s">
        <v>255</v>
      </c>
      <c r="H2514" s="16" t="s">
        <v>1230</v>
      </c>
      <c r="I2514" s="16" t="s">
        <v>3233</v>
      </c>
    </row>
    <row r="2515" ht="242.25" hidden="1" customHeight="1">
      <c r="B2515" s="32" t="str">
        <f>IMAGE("https://gymvisual.com/18802-catalog_default/knee-raise-male.jpg",4,500,500)</f>
        <v/>
      </c>
      <c r="C2515" s="30">
        <v>2514.0</v>
      </c>
      <c r="D2515" s="16" t="s">
        <v>3234</v>
      </c>
      <c r="E2515" s="16" t="s">
        <v>184</v>
      </c>
      <c r="F2515" s="16" t="s">
        <v>285</v>
      </c>
      <c r="G2515" s="16" t="s">
        <v>255</v>
      </c>
      <c r="H2515" s="16" t="s">
        <v>189</v>
      </c>
      <c r="I2515" s="16" t="s">
        <v>220</v>
      </c>
    </row>
    <row r="2516" ht="242.25" hidden="1" customHeight="1">
      <c r="B2516" s="32" t="str">
        <f>IMAGE("https://gymvisual.com/14370-catalog_default/knee-touch-crunch.jpg",4,500,500)</f>
        <v/>
      </c>
      <c r="C2516" s="30">
        <v>2515.0</v>
      </c>
      <c r="D2516" s="16" t="s">
        <v>3235</v>
      </c>
      <c r="E2516" s="16" t="s">
        <v>184</v>
      </c>
      <c r="F2516" s="16" t="s">
        <v>254</v>
      </c>
      <c r="G2516" s="16" t="s">
        <v>255</v>
      </c>
      <c r="H2516" s="16" t="s">
        <v>256</v>
      </c>
      <c r="I2516" s="16" t="s">
        <v>257</v>
      </c>
    </row>
    <row r="2517" ht="242.25" hidden="1" customHeight="1">
      <c r="B2517" s="32" t="str">
        <f>IMAGE("https://gymvisual.com/22141-catalog_default/knee-touch-crunch-female.jpg",4,500,500)</f>
        <v/>
      </c>
      <c r="C2517" s="30">
        <v>2516.0</v>
      </c>
      <c r="D2517" s="16" t="s">
        <v>3236</v>
      </c>
      <c r="E2517" s="16" t="s">
        <v>184</v>
      </c>
      <c r="F2517" s="16" t="s">
        <v>254</v>
      </c>
      <c r="G2517" s="16" t="s">
        <v>255</v>
      </c>
      <c r="H2517" s="16" t="s">
        <v>220</v>
      </c>
      <c r="I2517" s="16" t="s">
        <v>220</v>
      </c>
    </row>
    <row r="2518" ht="242.25" hidden="1" customHeight="1">
      <c r="B2518" s="32" t="str">
        <f>IMAGE("https://gymvisual.com/24057-catalog_default/knee-tuck-oblique-crunch.jpg",4,500,500)</f>
        <v/>
      </c>
      <c r="C2518" s="30">
        <v>2517.0</v>
      </c>
      <c r="D2518" s="16" t="s">
        <v>3237</v>
      </c>
      <c r="E2518" s="16" t="s">
        <v>184</v>
      </c>
      <c r="F2518" s="16" t="s">
        <v>254</v>
      </c>
      <c r="G2518" s="16" t="s">
        <v>255</v>
      </c>
      <c r="H2518" s="16" t="s">
        <v>220</v>
      </c>
      <c r="I2518" s="16" t="s">
        <v>220</v>
      </c>
    </row>
    <row r="2519" ht="242.25" hidden="1" customHeight="1">
      <c r="B2519" s="32" t="str">
        <f>IMAGE("https://gymvisual.com/20479-catalog_default/kneeling-abdominal-draw-in.jpg",4,500,500)</f>
        <v/>
      </c>
      <c r="C2519" s="30">
        <v>2518.0</v>
      </c>
      <c r="D2519" s="16" t="s">
        <v>3238</v>
      </c>
      <c r="E2519" s="16" t="s">
        <v>184</v>
      </c>
      <c r="F2519" s="16" t="s">
        <v>254</v>
      </c>
      <c r="G2519" s="16" t="s">
        <v>255</v>
      </c>
      <c r="H2519" s="16" t="s">
        <v>256</v>
      </c>
      <c r="I2519" s="16" t="s">
        <v>220</v>
      </c>
    </row>
    <row r="2520" ht="242.25" hidden="1" customHeight="1">
      <c r="B2520" s="32" t="str">
        <f>IMAGE("https://gymvisual.com/20730-catalog_default/kneeling-assisted-sliding-chin-up.jpg",4,500,500)</f>
        <v/>
      </c>
      <c r="C2520" s="30">
        <v>2519.0</v>
      </c>
      <c r="D2520" s="16" t="s">
        <v>3239</v>
      </c>
      <c r="E2520" s="16" t="s">
        <v>184</v>
      </c>
      <c r="F2520" s="16" t="s">
        <v>192</v>
      </c>
      <c r="G2520" s="16" t="s">
        <v>255</v>
      </c>
      <c r="H2520" s="16" t="s">
        <v>329</v>
      </c>
      <c r="I2520" s="16" t="s">
        <v>3240</v>
      </c>
    </row>
    <row r="2521" ht="242.25" customHeight="1">
      <c r="B2521" s="32" t="str">
        <f>IMAGE("https://gymvisual.com/12194-catalog_default/kneeling-battling-ropes.jpg",4,500,500)</f>
        <v/>
      </c>
      <c r="C2521" s="30">
        <v>2520.0</v>
      </c>
      <c r="D2521" s="16" t="s">
        <v>3241</v>
      </c>
      <c r="E2521" s="16" t="s">
        <v>184</v>
      </c>
      <c r="F2521" s="16" t="s">
        <v>321</v>
      </c>
      <c r="G2521" s="16" t="s">
        <v>1160</v>
      </c>
      <c r="H2521" s="16" t="s">
        <v>220</v>
      </c>
      <c r="I2521" s="16" t="s">
        <v>220</v>
      </c>
    </row>
    <row r="2522" ht="242.25" hidden="1" customHeight="1">
      <c r="B2522" s="32" t="str">
        <f>IMAGE("https://gymvisual.com/13994-catalog_default/kneeling-cobra-push-up.jpg",4,500,500)</f>
        <v/>
      </c>
      <c r="C2522" s="30">
        <v>2521.0</v>
      </c>
      <c r="D2522" s="16" t="s">
        <v>3242</v>
      </c>
      <c r="E2522" s="16" t="s">
        <v>184</v>
      </c>
      <c r="F2522" s="16" t="s">
        <v>1798</v>
      </c>
      <c r="G2522" s="16" t="s">
        <v>255</v>
      </c>
      <c r="H2522" s="16" t="s">
        <v>1799</v>
      </c>
      <c r="I2522" s="16" t="s">
        <v>382</v>
      </c>
    </row>
    <row r="2523" ht="242.25" hidden="1" customHeight="1">
      <c r="B2523" s="32" t="str">
        <f>IMAGE("https://gymvisual.com/24673-catalog_default/kneeling-forward-hip-circles.jpg",4,500,500)</f>
        <v/>
      </c>
      <c r="C2523" s="30">
        <v>2522.0</v>
      </c>
      <c r="D2523" s="16" t="s">
        <v>3243</v>
      </c>
      <c r="E2523" s="16" t="s">
        <v>184</v>
      </c>
      <c r="F2523" s="16" t="s">
        <v>185</v>
      </c>
      <c r="G2523" s="16" t="s">
        <v>255</v>
      </c>
      <c r="H2523" s="16" t="s">
        <v>220</v>
      </c>
      <c r="I2523" s="16" t="s">
        <v>220</v>
      </c>
    </row>
    <row r="2524" ht="242.25" hidden="1" customHeight="1">
      <c r="B2524" s="32" t="str">
        <f>IMAGE("https://gymvisual.com/22434-catalog_default/kneeling-half-triceps-extension.jpg",4,500,500)</f>
        <v/>
      </c>
      <c r="C2524" s="30">
        <v>2523.0</v>
      </c>
      <c r="D2524" s="16" t="s">
        <v>3244</v>
      </c>
      <c r="E2524" s="16" t="s">
        <v>184</v>
      </c>
      <c r="F2524" s="16" t="s">
        <v>219</v>
      </c>
      <c r="G2524" s="16" t="s">
        <v>255</v>
      </c>
      <c r="H2524" s="16" t="s">
        <v>220</v>
      </c>
      <c r="I2524" s="16" t="s">
        <v>220</v>
      </c>
    </row>
    <row r="2525" ht="242.25" hidden="1" customHeight="1">
      <c r="B2525" s="32" t="str">
        <f>IMAGE("https://gymvisual.com/1685-catalog_default/3-4-sit-up.jpg",4,500,500)</f>
        <v/>
      </c>
      <c r="C2525" s="30">
        <v>2524.0</v>
      </c>
      <c r="D2525" s="16" t="s">
        <v>3245</v>
      </c>
      <c r="E2525" s="16" t="s">
        <v>184</v>
      </c>
      <c r="F2525" s="16" t="s">
        <v>285</v>
      </c>
      <c r="G2525" s="16" t="s">
        <v>255</v>
      </c>
      <c r="H2525" s="16" t="s">
        <v>189</v>
      </c>
      <c r="I2525" s="16" t="s">
        <v>220</v>
      </c>
    </row>
    <row r="2526" ht="242.25" hidden="1" customHeight="1">
      <c r="B2526" s="32" t="str">
        <f>IMAGE("https://gymvisual.com/22785-catalog_default/kneeling-hip-thrust-female.jpg",4,500,500)</f>
        <v/>
      </c>
      <c r="C2526" s="30">
        <v>2525.0</v>
      </c>
      <c r="D2526" s="16" t="s">
        <v>3246</v>
      </c>
      <c r="E2526" s="16" t="s">
        <v>184</v>
      </c>
      <c r="F2526" s="16" t="s">
        <v>185</v>
      </c>
      <c r="G2526" s="16" t="s">
        <v>255</v>
      </c>
      <c r="H2526" s="16" t="s">
        <v>187</v>
      </c>
      <c r="I2526" s="16" t="s">
        <v>854</v>
      </c>
    </row>
    <row r="2527" ht="242.25" hidden="1" customHeight="1">
      <c r="B2527" s="32" t="str">
        <f>IMAGE("https://gymvisual.com/22797-catalog_default/kneeling-leg-half-circle-female.jpg",4,500,500)</f>
        <v/>
      </c>
      <c r="C2527" s="30">
        <v>2526.0</v>
      </c>
      <c r="D2527" s="16" t="s">
        <v>3247</v>
      </c>
      <c r="E2527" s="16" t="s">
        <v>184</v>
      </c>
      <c r="F2527" s="16" t="s">
        <v>185</v>
      </c>
      <c r="G2527" s="16" t="s">
        <v>255</v>
      </c>
      <c r="H2527" s="16" t="s">
        <v>3248</v>
      </c>
      <c r="I2527" s="16" t="s">
        <v>1323</v>
      </c>
    </row>
    <row r="2528" ht="242.25" hidden="1" customHeight="1">
      <c r="B2528" s="32" t="str">
        <f>IMAGE("https://gymvisual.com/23661-catalog_default/kneeling-leg-half-circle-male.jpg",4,500,500)</f>
        <v/>
      </c>
      <c r="C2528" s="30">
        <v>2527.0</v>
      </c>
      <c r="D2528" s="16" t="s">
        <v>3249</v>
      </c>
      <c r="E2528" s="16" t="s">
        <v>184</v>
      </c>
      <c r="F2528" s="16" t="s">
        <v>185</v>
      </c>
      <c r="G2528" s="16" t="s">
        <v>255</v>
      </c>
      <c r="H2528" s="16" t="s">
        <v>3248</v>
      </c>
      <c r="I2528" s="16" t="s">
        <v>1323</v>
      </c>
    </row>
    <row r="2529" ht="242.25" hidden="1" customHeight="1">
      <c r="B2529" s="32" t="str">
        <f>IMAGE("https://gymvisual.com/22518-catalog_default/kneeling-modified-hindu-push-up-male.jpg",4,500,500)</f>
        <v/>
      </c>
      <c r="C2529" s="30">
        <v>2528.0</v>
      </c>
      <c r="D2529" s="16" t="s">
        <v>3250</v>
      </c>
      <c r="E2529" s="16" t="s">
        <v>184</v>
      </c>
      <c r="F2529" s="16" t="s">
        <v>254</v>
      </c>
      <c r="G2529" s="16" t="s">
        <v>255</v>
      </c>
      <c r="H2529" s="16" t="s">
        <v>220</v>
      </c>
      <c r="I2529" s="16" t="s">
        <v>220</v>
      </c>
    </row>
    <row r="2530" ht="242.25" hidden="1" customHeight="1">
      <c r="B2530" s="32" t="str">
        <f>IMAGE("https://gymvisual.com/22831-catalog_default/kneeling-plank-female.jpg",4,500,500)</f>
        <v/>
      </c>
      <c r="C2530" s="30">
        <v>2529.0</v>
      </c>
      <c r="D2530" s="16" t="s">
        <v>3251</v>
      </c>
      <c r="E2530" s="16" t="s">
        <v>184</v>
      </c>
      <c r="F2530" s="16" t="s">
        <v>254</v>
      </c>
      <c r="G2530" s="16" t="s">
        <v>255</v>
      </c>
      <c r="H2530" s="16" t="s">
        <v>305</v>
      </c>
      <c r="I2530" s="16" t="s">
        <v>3252</v>
      </c>
    </row>
    <row r="2531" ht="242.25" hidden="1" customHeight="1">
      <c r="B2531" s="32" t="str">
        <f>IMAGE("https://gymvisual.com/13501-catalog_default/kneeling-plank-male.jpg",4,500,500)</f>
        <v/>
      </c>
      <c r="C2531" s="30">
        <v>2530.0</v>
      </c>
      <c r="D2531" s="16" t="s">
        <v>3253</v>
      </c>
      <c r="E2531" s="16" t="s">
        <v>184</v>
      </c>
      <c r="F2531" s="16" t="s">
        <v>254</v>
      </c>
      <c r="G2531" s="16" t="s">
        <v>255</v>
      </c>
      <c r="H2531" s="16" t="s">
        <v>256</v>
      </c>
      <c r="I2531" s="16" t="s">
        <v>3254</v>
      </c>
    </row>
    <row r="2532" ht="242.25" hidden="1" customHeight="1">
      <c r="B2532" s="32" t="str">
        <f>IMAGE("https://gymvisual.com/13503-catalog_default/kneeling-plank-tap-shoulder-male.jpg",4,500,500)</f>
        <v/>
      </c>
      <c r="C2532" s="30">
        <v>2531.0</v>
      </c>
      <c r="D2532" s="16" t="s">
        <v>3255</v>
      </c>
      <c r="E2532" s="16" t="s">
        <v>184</v>
      </c>
      <c r="F2532" s="16" t="s">
        <v>254</v>
      </c>
      <c r="G2532" s="16" t="s">
        <v>255</v>
      </c>
      <c r="H2532" s="16" t="s">
        <v>220</v>
      </c>
      <c r="I2532" s="16" t="s">
        <v>220</v>
      </c>
    </row>
    <row r="2533" ht="242.25" hidden="1" customHeight="1">
      <c r="B2533" s="32" t="str">
        <f>IMAGE("https://gymvisual.com/23633-catalog_default/kneeling-pulse.jpg",4,500,500)</f>
        <v/>
      </c>
      <c r="C2533" s="30">
        <v>2532.0</v>
      </c>
      <c r="D2533" s="16" t="s">
        <v>3256</v>
      </c>
      <c r="E2533" s="16" t="s">
        <v>184</v>
      </c>
      <c r="F2533" s="16" t="s">
        <v>185</v>
      </c>
      <c r="G2533" s="16" t="s">
        <v>255</v>
      </c>
      <c r="H2533" s="16" t="s">
        <v>267</v>
      </c>
      <c r="I2533" s="16" t="s">
        <v>188</v>
      </c>
    </row>
    <row r="2534" ht="242.25" hidden="1" customHeight="1">
      <c r="B2534" s="32" t="str">
        <f>IMAGE("https://gymvisual.com/23937-catalog_default/kneeling-pulse-male.jpg",4,500,500)</f>
        <v/>
      </c>
      <c r="C2534" s="30">
        <v>2533.0</v>
      </c>
      <c r="D2534" s="16" t="s">
        <v>3257</v>
      </c>
      <c r="E2534" s="16" t="s">
        <v>184</v>
      </c>
      <c r="F2534" s="16" t="s">
        <v>185</v>
      </c>
      <c r="G2534" s="16" t="s">
        <v>255</v>
      </c>
      <c r="H2534" s="16" t="s">
        <v>267</v>
      </c>
      <c r="I2534" s="16" t="s">
        <v>188</v>
      </c>
    </row>
    <row r="2535" ht="242.25" hidden="1" customHeight="1">
      <c r="B2535" s="32" t="str">
        <f>IMAGE("https://gymvisual.com/12897-catalog_default/kneeling-push-up-male.jpg",4,500,500)</f>
        <v/>
      </c>
      <c r="C2535" s="30">
        <v>2534.0</v>
      </c>
      <c r="D2535" s="16" t="s">
        <v>3258</v>
      </c>
      <c r="E2535" s="16" t="s">
        <v>184</v>
      </c>
      <c r="F2535" s="16" t="s">
        <v>234</v>
      </c>
      <c r="G2535" s="16" t="s">
        <v>255</v>
      </c>
      <c r="H2535" s="16" t="s">
        <v>235</v>
      </c>
      <c r="I2535" s="16" t="s">
        <v>243</v>
      </c>
    </row>
    <row r="2536" ht="242.25" hidden="1" customHeight="1">
      <c r="B2536" s="32" t="str">
        <f>IMAGE("https://gymvisual.com/14000-catalog_default/kneeling-rotational-push-up.jpg",4,500,500)</f>
        <v/>
      </c>
      <c r="C2536" s="30">
        <v>2535.0</v>
      </c>
      <c r="D2536" s="16" t="s">
        <v>3259</v>
      </c>
      <c r="E2536" s="16" t="s">
        <v>184</v>
      </c>
      <c r="F2536" s="16" t="s">
        <v>3260</v>
      </c>
      <c r="G2536" s="16" t="s">
        <v>255</v>
      </c>
      <c r="H2536" s="16" t="s">
        <v>1874</v>
      </c>
      <c r="I2536" s="16" t="s">
        <v>3261</v>
      </c>
    </row>
    <row r="2537" ht="242.25" hidden="1" customHeight="1">
      <c r="B2537" s="32" t="str">
        <f>IMAGE("https://gymvisual.com/17935-catalog_default/kneeling-scapular-push-up-male.jpg",4,500,500)</f>
        <v/>
      </c>
      <c r="C2537" s="30">
        <v>2536.0</v>
      </c>
      <c r="D2537" s="16" t="s">
        <v>3262</v>
      </c>
      <c r="E2537" s="16" t="s">
        <v>184</v>
      </c>
      <c r="F2537" s="16" t="s">
        <v>192</v>
      </c>
      <c r="G2537" s="16" t="s">
        <v>255</v>
      </c>
      <c r="H2537" s="16" t="s">
        <v>220</v>
      </c>
      <c r="I2537" s="16" t="s">
        <v>220</v>
      </c>
    </row>
    <row r="2538" ht="242.25" hidden="1" customHeight="1">
      <c r="B2538" s="32" t="str">
        <f>IMAGE("https://gymvisual.com/22157-catalog_default/kneeling-shoulder-tap.jpg",4,500,500)</f>
        <v/>
      </c>
      <c r="C2538" s="30">
        <v>2537.0</v>
      </c>
      <c r="D2538" s="16" t="s">
        <v>3263</v>
      </c>
      <c r="E2538" s="16" t="s">
        <v>184</v>
      </c>
      <c r="F2538" s="16" t="s">
        <v>234</v>
      </c>
      <c r="G2538" s="16" t="s">
        <v>255</v>
      </c>
      <c r="H2538" s="16" t="s">
        <v>235</v>
      </c>
      <c r="I2538" s="16" t="s">
        <v>2985</v>
      </c>
    </row>
    <row r="2539" ht="242.25" hidden="1" customHeight="1">
      <c r="B2539" s="32" t="str">
        <f>IMAGE("https://gymvisual.com/23641-catalog_default/kneeling-shoulder-tap-female.jpg",4,500,500)</f>
        <v/>
      </c>
      <c r="C2539" s="30">
        <v>2538.0</v>
      </c>
      <c r="D2539" s="16" t="s">
        <v>3264</v>
      </c>
      <c r="E2539" s="16" t="s">
        <v>184</v>
      </c>
      <c r="F2539" s="16" t="s">
        <v>254</v>
      </c>
      <c r="G2539" s="16" t="s">
        <v>255</v>
      </c>
      <c r="H2539" s="16" t="s">
        <v>235</v>
      </c>
      <c r="I2539" s="16" t="s">
        <v>3265</v>
      </c>
    </row>
    <row r="2540" ht="242.25" hidden="1" customHeight="1">
      <c r="B2540" s="32" t="str">
        <f>IMAGE("https://gymvisual.com/23637-catalog_default/kneeling-shoulder-tap-push-up-female.jpg",4,500,500)</f>
        <v/>
      </c>
      <c r="C2540" s="30">
        <v>2539.0</v>
      </c>
      <c r="D2540" s="16" t="s">
        <v>3266</v>
      </c>
      <c r="E2540" s="16" t="s">
        <v>184</v>
      </c>
      <c r="F2540" s="16" t="s">
        <v>321</v>
      </c>
      <c r="G2540" s="16" t="s">
        <v>255</v>
      </c>
      <c r="H2540" s="16" t="s">
        <v>235</v>
      </c>
      <c r="I2540" s="16" t="s">
        <v>3267</v>
      </c>
    </row>
    <row r="2541" ht="242.25" hidden="1" customHeight="1">
      <c r="B2541" s="32" t="str">
        <f>IMAGE("https://gymvisual.com/22795-catalog_default/kneeling-side-leg-to-kick-female.jpg",4,500,500)</f>
        <v/>
      </c>
      <c r="C2541" s="30">
        <v>2540.0</v>
      </c>
      <c r="D2541" s="16" t="s">
        <v>3268</v>
      </c>
      <c r="E2541" s="16" t="s">
        <v>184</v>
      </c>
      <c r="F2541" s="16" t="s">
        <v>185</v>
      </c>
      <c r="G2541" s="16" t="s">
        <v>255</v>
      </c>
      <c r="H2541" s="16" t="s">
        <v>3269</v>
      </c>
      <c r="I2541" s="16" t="s">
        <v>3270</v>
      </c>
    </row>
    <row r="2542" ht="242.25" hidden="1" customHeight="1">
      <c r="B2542" s="32" t="str">
        <f>IMAGE("https://gymvisual.com/23657-catalog_default/kneeling-side-leg-to-kick-male.jpg",4,500,500)</f>
        <v/>
      </c>
      <c r="C2542" s="30">
        <v>2541.0</v>
      </c>
      <c r="D2542" s="16" t="s">
        <v>3271</v>
      </c>
      <c r="E2542" s="16" t="s">
        <v>184</v>
      </c>
      <c r="F2542" s="16" t="s">
        <v>185</v>
      </c>
      <c r="G2542" s="16" t="s">
        <v>255</v>
      </c>
      <c r="H2542" s="16" t="s">
        <v>295</v>
      </c>
      <c r="I2542" s="16" t="s">
        <v>476</v>
      </c>
    </row>
    <row r="2543" ht="242.25" hidden="1" customHeight="1">
      <c r="B2543" s="32" t="str">
        <f>IMAGE("https://gymvisual.com/24685-catalog_default/kneeling-staggered-push-up-female.jpg",4,500,500)</f>
        <v/>
      </c>
      <c r="C2543" s="30">
        <v>2542.0</v>
      </c>
      <c r="D2543" s="16" t="s">
        <v>3272</v>
      </c>
      <c r="E2543" s="16" t="s">
        <v>184</v>
      </c>
      <c r="F2543" s="16" t="s">
        <v>234</v>
      </c>
      <c r="G2543" s="16" t="s">
        <v>255</v>
      </c>
      <c r="H2543" s="16" t="s">
        <v>220</v>
      </c>
      <c r="I2543" s="16" t="s">
        <v>220</v>
      </c>
    </row>
    <row r="2544" ht="242.25" hidden="1" customHeight="1">
      <c r="B2544" s="32" t="str">
        <f>IMAGE("https://gymvisual.com/22287-catalog_default/kneeling-straight-leg-kickback-version-2-female.jpg",4,500,500)</f>
        <v/>
      </c>
      <c r="C2544" s="30">
        <v>2543.0</v>
      </c>
      <c r="D2544" s="16" t="s">
        <v>3273</v>
      </c>
      <c r="E2544" s="16" t="s">
        <v>184</v>
      </c>
      <c r="F2544" s="16" t="s">
        <v>185</v>
      </c>
      <c r="G2544" s="16" t="s">
        <v>255</v>
      </c>
      <c r="H2544" s="16" t="s">
        <v>220</v>
      </c>
      <c r="I2544" s="16" t="s">
        <v>220</v>
      </c>
    </row>
    <row r="2545" ht="242.25" hidden="1" customHeight="1">
      <c r="B2545" s="32" t="str">
        <f>IMAGE("https://gymvisual.com/22440-catalog_default/kneeling-straight-leg-side-kick-female.jpg",4,500,500)</f>
        <v/>
      </c>
      <c r="C2545" s="30">
        <v>2544.0</v>
      </c>
      <c r="D2545" s="16" t="s">
        <v>3274</v>
      </c>
      <c r="E2545" s="16" t="s">
        <v>184</v>
      </c>
      <c r="F2545" s="16" t="s">
        <v>185</v>
      </c>
      <c r="G2545" s="16" t="s">
        <v>255</v>
      </c>
      <c r="H2545" s="16" t="s">
        <v>220</v>
      </c>
      <c r="I2545" s="16" t="s">
        <v>220</v>
      </c>
    </row>
    <row r="2546" ht="242.25" hidden="1" customHeight="1">
      <c r="B2546" s="32" t="str">
        <f>IMAGE("https://gymvisual.com/14141-catalog_default/kneeling-wide-hand-push-up.jpg",4,500,500)</f>
        <v/>
      </c>
      <c r="C2546" s="30">
        <v>2545.0</v>
      </c>
      <c r="D2546" s="16" t="s">
        <v>3275</v>
      </c>
      <c r="E2546" s="16" t="s">
        <v>184</v>
      </c>
      <c r="F2546" s="16" t="s">
        <v>234</v>
      </c>
      <c r="G2546" s="16" t="s">
        <v>255</v>
      </c>
      <c r="H2546" s="16" t="s">
        <v>347</v>
      </c>
      <c r="I2546" s="16" t="s">
        <v>382</v>
      </c>
    </row>
    <row r="2547" ht="242.25" hidden="1" customHeight="1">
      <c r="B2547" s="32" t="str">
        <f>IMAGE("https://gymvisual.com/18019-catalog_default/knuckle-push-up.jpg",4,500,500)</f>
        <v/>
      </c>
      <c r="C2547" s="30">
        <v>2546.0</v>
      </c>
      <c r="D2547" s="16" t="s">
        <v>3276</v>
      </c>
      <c r="E2547" s="16" t="s">
        <v>184</v>
      </c>
      <c r="F2547" s="16" t="s">
        <v>234</v>
      </c>
      <c r="G2547" s="16" t="s">
        <v>255</v>
      </c>
      <c r="H2547" s="16" t="s">
        <v>220</v>
      </c>
      <c r="I2547" s="16" t="s">
        <v>220</v>
      </c>
    </row>
    <row r="2548" ht="242.25" hidden="1" customHeight="1">
      <c r="B2548" s="32" t="str">
        <f>IMAGE("https://gymvisual.com/13513-catalog_default/korean-dips.jpg",4,500,500)</f>
        <v/>
      </c>
      <c r="C2548" s="30">
        <v>2547.0</v>
      </c>
      <c r="D2548" s="16" t="s">
        <v>3277</v>
      </c>
      <c r="E2548" s="16" t="s">
        <v>184</v>
      </c>
      <c r="F2548" s="16" t="s">
        <v>234</v>
      </c>
      <c r="G2548" s="16" t="s">
        <v>255</v>
      </c>
      <c r="H2548" s="16" t="s">
        <v>235</v>
      </c>
      <c r="I2548" s="16" t="s">
        <v>3278</v>
      </c>
    </row>
    <row r="2549" ht="242.25" hidden="1" customHeight="1">
      <c r="B2549" s="32" t="str">
        <f>IMAGE("https://gymvisual.com/13876-catalog_default/l-pull-up.jpg",4,500,500)</f>
        <v/>
      </c>
      <c r="C2549" s="30">
        <v>2548.0</v>
      </c>
      <c r="D2549" s="16" t="s">
        <v>3279</v>
      </c>
      <c r="E2549" s="16" t="s">
        <v>184</v>
      </c>
      <c r="F2549" s="16" t="s">
        <v>361</v>
      </c>
      <c r="G2549" s="16" t="s">
        <v>255</v>
      </c>
      <c r="H2549" s="16" t="s">
        <v>220</v>
      </c>
      <c r="I2549" s="16" t="s">
        <v>220</v>
      </c>
    </row>
    <row r="2550" ht="242.25" hidden="1" customHeight="1">
      <c r="B2550" s="32" t="str">
        <f>IMAGE("https://gymvisual.com/6243-catalog_default/l-sit.jpg",4,500,500)</f>
        <v/>
      </c>
      <c r="C2550" s="30">
        <v>2549.0</v>
      </c>
      <c r="D2550" s="16" t="s">
        <v>3280</v>
      </c>
      <c r="E2550" s="16" t="s">
        <v>184</v>
      </c>
      <c r="F2550" s="16" t="s">
        <v>254</v>
      </c>
      <c r="G2550" s="16" t="s">
        <v>255</v>
      </c>
      <c r="H2550" s="16" t="s">
        <v>3281</v>
      </c>
      <c r="I2550" s="16" t="s">
        <v>220</v>
      </c>
    </row>
    <row r="2551" ht="242.25" customHeight="1">
      <c r="A2551" s="32" t="b">
        <v>0</v>
      </c>
      <c r="B2551" s="32" t="str">
        <f>IMAGE("https://gymvisual.com/1691-catalog_default/3-4-sit-up.jpg",4,500,500)</f>
        <v/>
      </c>
      <c r="C2551" s="30">
        <v>2550.0</v>
      </c>
      <c r="D2551" s="16" t="s">
        <v>3282</v>
      </c>
      <c r="E2551" s="16" t="s">
        <v>184</v>
      </c>
      <c r="F2551" s="16" t="s">
        <v>254</v>
      </c>
      <c r="G2551" s="16" t="s">
        <v>186</v>
      </c>
      <c r="H2551" s="16" t="s">
        <v>257</v>
      </c>
      <c r="I2551" s="16" t="s">
        <v>256</v>
      </c>
    </row>
    <row r="2552" ht="242.25" hidden="1" customHeight="1">
      <c r="B2552" s="32" t="str">
        <f>IMAGE("https://gymvisual.com/14274-catalog_default/landmine-180-female.jpg",4,500,500)</f>
        <v/>
      </c>
      <c r="C2552" s="30">
        <v>2551.0</v>
      </c>
      <c r="D2552" s="16" t="s">
        <v>3283</v>
      </c>
      <c r="E2552" s="16" t="s">
        <v>184</v>
      </c>
      <c r="F2552" s="16" t="s">
        <v>254</v>
      </c>
      <c r="G2552" s="16" t="s">
        <v>346</v>
      </c>
      <c r="H2552" s="16" t="s">
        <v>257</v>
      </c>
      <c r="I2552" s="16" t="s">
        <v>256</v>
      </c>
    </row>
    <row r="2553" ht="242.25" hidden="1" customHeight="1">
      <c r="B2553" s="32" t="str">
        <f>IMAGE("https://gymvisual.com/17193-catalog_default/landmine-floor-one-arm-chest-fly.jpg",4,500,500)</f>
        <v/>
      </c>
      <c r="C2553" s="30">
        <v>2552.0</v>
      </c>
      <c r="D2553" s="16" t="s">
        <v>3284</v>
      </c>
      <c r="E2553" s="16" t="s">
        <v>184</v>
      </c>
      <c r="F2553" s="16" t="s">
        <v>234</v>
      </c>
      <c r="G2553" s="16" t="s">
        <v>346</v>
      </c>
      <c r="H2553" s="16" t="s">
        <v>235</v>
      </c>
      <c r="I2553" s="16" t="s">
        <v>236</v>
      </c>
    </row>
    <row r="2554" ht="242.25" customHeight="1">
      <c r="A2554" s="32" t="b">
        <v>0</v>
      </c>
      <c r="B2554" s="32" t="str">
        <f>IMAGE("https://gymvisual.com/17650-catalog_default/landmine-front-squat.jpg",4,500,500)</f>
        <v/>
      </c>
      <c r="C2554" s="30">
        <v>2553.0</v>
      </c>
      <c r="D2554" s="16" t="s">
        <v>3285</v>
      </c>
      <c r="E2554" s="16" t="s">
        <v>184</v>
      </c>
      <c r="F2554" s="16" t="s">
        <v>294</v>
      </c>
      <c r="G2554" s="16" t="s">
        <v>186</v>
      </c>
      <c r="H2554" s="16" t="s">
        <v>189</v>
      </c>
      <c r="I2554" s="16" t="s">
        <v>190</v>
      </c>
    </row>
    <row r="2555" ht="242.25" customHeight="1">
      <c r="A2555" s="32" t="b">
        <v>0</v>
      </c>
      <c r="B2555" s="32" t="str">
        <f>IMAGE("https://gymvisual.com/24826-catalog_default/landmine-hack-squat.jpg",4,500,500)</f>
        <v/>
      </c>
      <c r="C2555" s="30">
        <v>2554.0</v>
      </c>
      <c r="D2555" s="16" t="s">
        <v>3286</v>
      </c>
      <c r="E2555" s="16" t="s">
        <v>184</v>
      </c>
      <c r="F2555" s="16" t="s">
        <v>285</v>
      </c>
      <c r="G2555" s="16" t="s">
        <v>186</v>
      </c>
      <c r="H2555" s="16" t="s">
        <v>189</v>
      </c>
      <c r="I2555" s="16" t="s">
        <v>190</v>
      </c>
    </row>
    <row r="2556" ht="242.25" hidden="1" customHeight="1">
      <c r="B2556" s="32" t="str">
        <f>IMAGE("https://gymvisual.com/14062-catalog_default/landmine-kneeling-one-arm-shoulder-press.jpg",4,500,500)</f>
        <v/>
      </c>
      <c r="C2556" s="30">
        <v>2555.0</v>
      </c>
      <c r="D2556" s="16" t="s">
        <v>3287</v>
      </c>
      <c r="E2556" s="16" t="s">
        <v>184</v>
      </c>
      <c r="F2556" s="16" t="s">
        <v>228</v>
      </c>
      <c r="G2556" s="16" t="s">
        <v>346</v>
      </c>
      <c r="H2556" s="16" t="s">
        <v>229</v>
      </c>
      <c r="I2556" s="16" t="s">
        <v>626</v>
      </c>
    </row>
    <row r="2557" ht="242.25" customHeight="1">
      <c r="A2557" s="32" t="b">
        <v>0</v>
      </c>
      <c r="B2557" s="32" t="str">
        <f>IMAGE("https://gymvisual.com/24834-catalog_default/landmine-kneeling-one-arm-shoulder-press-version-2.jpg",4,500,500)</f>
        <v/>
      </c>
      <c r="C2557" s="30">
        <v>2556.0</v>
      </c>
      <c r="D2557" s="16" t="s">
        <v>3288</v>
      </c>
      <c r="E2557" s="16" t="s">
        <v>184</v>
      </c>
      <c r="F2557" s="16" t="s">
        <v>228</v>
      </c>
      <c r="G2557" s="16" t="s">
        <v>222</v>
      </c>
      <c r="H2557" s="16" t="s">
        <v>229</v>
      </c>
      <c r="I2557" s="16" t="s">
        <v>626</v>
      </c>
    </row>
    <row r="2558" ht="242.25" hidden="1" customHeight="1">
      <c r="B2558" s="32" t="str">
        <f>IMAGE("https://gymvisual.com/17189-catalog_default/landmine-kneeling-squeeze-press.jpg",4,500,500)</f>
        <v/>
      </c>
      <c r="C2558" s="30">
        <v>2557.0</v>
      </c>
      <c r="D2558" s="16" t="s">
        <v>3289</v>
      </c>
      <c r="E2558" s="16" t="s">
        <v>184</v>
      </c>
      <c r="F2558" s="16" t="s">
        <v>234</v>
      </c>
      <c r="G2558" s="16" t="s">
        <v>346</v>
      </c>
      <c r="H2558" s="16" t="s">
        <v>415</v>
      </c>
      <c r="I2558" s="16" t="s">
        <v>2329</v>
      </c>
    </row>
    <row r="2559" ht="242.25" customHeight="1">
      <c r="A2559" s="32" t="b">
        <v>0</v>
      </c>
      <c r="B2559" s="32" t="str">
        <f>IMAGE("https://gymvisual.com/20551-catalog_default/landmine-kneeling-thruster-press.jpg",4,500,500)</f>
        <v/>
      </c>
      <c r="C2559" s="30">
        <v>2558.0</v>
      </c>
      <c r="D2559" s="16" t="s">
        <v>3290</v>
      </c>
      <c r="E2559" s="16" t="s">
        <v>184</v>
      </c>
      <c r="F2559" s="16" t="s">
        <v>691</v>
      </c>
      <c r="G2559" s="16" t="s">
        <v>186</v>
      </c>
      <c r="H2559" s="16" t="s">
        <v>793</v>
      </c>
      <c r="I2559" s="16" t="s">
        <v>3291</v>
      </c>
    </row>
    <row r="2560" ht="242.25" customHeight="1">
      <c r="A2560" s="32" t="b">
        <v>0</v>
      </c>
      <c r="B2560" s="32" t="str">
        <f>IMAGE("https://gymvisual.com/12992-catalog_default/landmine-lateral-raise.jpg",4,500,500)</f>
        <v/>
      </c>
      <c r="C2560" s="30">
        <v>2559.0</v>
      </c>
      <c r="D2560" s="16" t="s">
        <v>3292</v>
      </c>
      <c r="E2560" s="16" t="s">
        <v>184</v>
      </c>
      <c r="F2560" s="16" t="s">
        <v>228</v>
      </c>
      <c r="G2560" s="16" t="s">
        <v>186</v>
      </c>
      <c r="H2560" s="16" t="s">
        <v>544</v>
      </c>
      <c r="I2560" s="16" t="s">
        <v>3293</v>
      </c>
    </row>
    <row r="2561" ht="242.25" customHeight="1">
      <c r="A2561" s="32" t="b">
        <v>0</v>
      </c>
      <c r="B2561" s="32" t="str">
        <f>IMAGE("https://gymvisual.com/22843-catalog_default/landmine-one-arm-bent-over-row-version-2.jpg",4,500,500)</f>
        <v/>
      </c>
      <c r="C2561" s="30">
        <v>2560.0</v>
      </c>
      <c r="D2561" s="16" t="s">
        <v>3294</v>
      </c>
      <c r="E2561" s="16" t="s">
        <v>184</v>
      </c>
      <c r="F2561" s="16" t="s">
        <v>192</v>
      </c>
      <c r="G2561" s="16" t="s">
        <v>186</v>
      </c>
      <c r="H2561" s="16" t="s">
        <v>570</v>
      </c>
      <c r="I2561" s="16" t="s">
        <v>447</v>
      </c>
    </row>
    <row r="2562" ht="242.25" hidden="1" customHeight="1">
      <c r="B2562" s="32" t="str">
        <f>IMAGE("https://gymvisual.com/17529-catalog_default/landmine-one-arm-bent-over-bench-row.jpg",4,500,500)</f>
        <v/>
      </c>
      <c r="C2562" s="30">
        <v>2561.0</v>
      </c>
      <c r="D2562" s="16" t="s">
        <v>3295</v>
      </c>
      <c r="E2562" s="16" t="s">
        <v>184</v>
      </c>
      <c r="F2562" s="16" t="s">
        <v>192</v>
      </c>
      <c r="G2562" s="16" t="s">
        <v>346</v>
      </c>
      <c r="H2562" s="16" t="s">
        <v>329</v>
      </c>
      <c r="I2562" s="16" t="s">
        <v>447</v>
      </c>
    </row>
    <row r="2563" ht="242.25" hidden="1" customHeight="1">
      <c r="B2563" s="32" t="str">
        <f>IMAGE("https://gymvisual.com/17527-catalog_default/landmine-one-arm-bent-over-row.jpg",4,500,500)</f>
        <v/>
      </c>
      <c r="C2563" s="30">
        <v>2562.0</v>
      </c>
      <c r="D2563" s="16" t="s">
        <v>3296</v>
      </c>
      <c r="E2563" s="16" t="s">
        <v>184</v>
      </c>
      <c r="F2563" s="16" t="s">
        <v>192</v>
      </c>
      <c r="G2563" s="16" t="s">
        <v>346</v>
      </c>
      <c r="H2563" s="16" t="s">
        <v>329</v>
      </c>
      <c r="I2563" s="16" t="s">
        <v>447</v>
      </c>
    </row>
    <row r="2564" ht="242.25" hidden="1" customHeight="1">
      <c r="B2564" s="32" t="str">
        <f>IMAGE("https://gymvisual.com/24687-catalog_default/landmine-one-leg-stiff-leg-deadlift.jpg",4,500,500)</f>
        <v/>
      </c>
      <c r="C2564" s="30">
        <v>2563.0</v>
      </c>
      <c r="D2564" s="16" t="s">
        <v>3297</v>
      </c>
      <c r="E2564" s="16" t="s">
        <v>184</v>
      </c>
      <c r="F2564" s="16" t="s">
        <v>185</v>
      </c>
      <c r="G2564" s="16" t="s">
        <v>255</v>
      </c>
      <c r="H2564" s="16" t="s">
        <v>220</v>
      </c>
      <c r="I2564" s="16" t="s">
        <v>220</v>
      </c>
    </row>
    <row r="2565" ht="242.25" hidden="1" customHeight="1">
      <c r="B2565" s="32" t="str">
        <f>IMAGE("https://gymvisual.com/24113-catalog_default/landmine-press.jpg",4,500,500)</f>
        <v/>
      </c>
      <c r="C2565" s="30">
        <v>2564.0</v>
      </c>
      <c r="D2565" s="16" t="s">
        <v>3298</v>
      </c>
      <c r="E2565" s="16" t="s">
        <v>184</v>
      </c>
      <c r="F2565" s="16" t="s">
        <v>228</v>
      </c>
      <c r="G2565" s="16" t="s">
        <v>255</v>
      </c>
      <c r="H2565" s="16" t="s">
        <v>220</v>
      </c>
      <c r="I2565" s="16" t="s">
        <v>220</v>
      </c>
    </row>
    <row r="2566" ht="242.25" hidden="1" customHeight="1">
      <c r="B2566" s="32" t="str">
        <f>IMAGE("https://gymvisual.com/17185-catalog_default/landmine-rear-lunge.jpg",4,500,500)</f>
        <v/>
      </c>
      <c r="C2566" s="30">
        <v>2565.0</v>
      </c>
      <c r="D2566" s="16" t="s">
        <v>3299</v>
      </c>
      <c r="E2566" s="16" t="s">
        <v>184</v>
      </c>
      <c r="F2566" s="16" t="s">
        <v>294</v>
      </c>
      <c r="G2566" s="16" t="s">
        <v>346</v>
      </c>
      <c r="H2566" s="16" t="s">
        <v>189</v>
      </c>
      <c r="I2566" s="16" t="s">
        <v>190</v>
      </c>
    </row>
    <row r="2567" ht="242.25" hidden="1" customHeight="1">
      <c r="B2567" s="32" t="str">
        <f>IMAGE("https://gymvisual.com/17531-catalog_default/landmine-rear-lunge-version-2.jpg",4,500,500)</f>
        <v/>
      </c>
      <c r="C2567" s="30">
        <v>2566.0</v>
      </c>
      <c r="D2567" s="16" t="s">
        <v>3300</v>
      </c>
      <c r="E2567" s="16" t="s">
        <v>184</v>
      </c>
      <c r="F2567" s="16" t="s">
        <v>294</v>
      </c>
      <c r="G2567" s="16" t="s">
        <v>346</v>
      </c>
      <c r="H2567" s="16" t="s">
        <v>189</v>
      </c>
      <c r="I2567" s="16" t="s">
        <v>190</v>
      </c>
    </row>
    <row r="2568" ht="242.25" customHeight="1">
      <c r="B2568" s="32" t="str">
        <f>IMAGE("https://gymvisual.com/18039-catalog_default/landmine-resistance-band-one-arm-shoulder-press.jpg",4,500,500)</f>
        <v/>
      </c>
      <c r="C2568" s="30">
        <v>2567.0</v>
      </c>
      <c r="D2568" s="16" t="s">
        <v>3301</v>
      </c>
      <c r="E2568" s="16" t="s">
        <v>184</v>
      </c>
      <c r="F2568" s="16" t="s">
        <v>228</v>
      </c>
      <c r="G2568" s="16" t="s">
        <v>523</v>
      </c>
      <c r="H2568" s="16" t="s">
        <v>220</v>
      </c>
      <c r="I2568" s="16" t="s">
        <v>220</v>
      </c>
    </row>
    <row r="2569" ht="242.25" customHeight="1">
      <c r="A2569" s="32" t="b">
        <v>0</v>
      </c>
      <c r="B2569" s="32" t="str">
        <f>IMAGE("https://gymvisual.com/17927-catalog_default/landmine-romanian-deadlift-male.jpg",4,500,500)</f>
        <v/>
      </c>
      <c r="C2569" s="30">
        <v>2568.0</v>
      </c>
      <c r="D2569" s="16" t="s">
        <v>3302</v>
      </c>
      <c r="E2569" s="16" t="s">
        <v>184</v>
      </c>
      <c r="F2569" s="16" t="s">
        <v>185</v>
      </c>
      <c r="G2569" s="16" t="s">
        <v>186</v>
      </c>
      <c r="H2569" s="16" t="s">
        <v>267</v>
      </c>
      <c r="I2569" s="16" t="s">
        <v>975</v>
      </c>
    </row>
    <row r="2570" ht="242.25" customHeight="1">
      <c r="A2570" s="32" t="b">
        <v>0</v>
      </c>
      <c r="B2570" s="32" t="str">
        <f>IMAGE("https://gymvisual.com/17652-catalog_default/landmine-romanian-deadlift-version-2.jpg",4,500,500)</f>
        <v/>
      </c>
      <c r="C2570" s="30">
        <v>2569.0</v>
      </c>
      <c r="D2570" s="16" t="s">
        <v>3303</v>
      </c>
      <c r="E2570" s="16" t="s">
        <v>184</v>
      </c>
      <c r="F2570" s="16" t="s">
        <v>185</v>
      </c>
      <c r="G2570" s="16" t="s">
        <v>186</v>
      </c>
      <c r="H2570" s="16" t="s">
        <v>267</v>
      </c>
      <c r="I2570" s="16" t="s">
        <v>3201</v>
      </c>
    </row>
    <row r="2571" ht="242.25" hidden="1" customHeight="1">
      <c r="B2571" s="32" t="str">
        <f>IMAGE("https://gymvisual.com/23897-catalog_default/landmine-single-arm-press.jpg",4,500,500)</f>
        <v/>
      </c>
      <c r="C2571" s="30">
        <v>2570.0</v>
      </c>
      <c r="D2571" s="16" t="s">
        <v>3304</v>
      </c>
      <c r="E2571" s="16" t="s">
        <v>184</v>
      </c>
      <c r="F2571" s="16" t="s">
        <v>228</v>
      </c>
      <c r="G2571" s="16" t="s">
        <v>255</v>
      </c>
      <c r="H2571" s="16" t="s">
        <v>347</v>
      </c>
      <c r="I2571" s="16" t="s">
        <v>382</v>
      </c>
    </row>
    <row r="2572" ht="242.25" hidden="1" customHeight="1">
      <c r="B2572" s="32" t="str">
        <f>IMAGE("https://gymvisual.com/17183-catalog_default/landmine-single-leg-landmine-rdl.jpg",4,500,500)</f>
        <v/>
      </c>
      <c r="C2572" s="30">
        <v>2571.0</v>
      </c>
      <c r="D2572" s="16" t="s">
        <v>3305</v>
      </c>
      <c r="E2572" s="16" t="s">
        <v>184</v>
      </c>
      <c r="F2572" s="16" t="s">
        <v>185</v>
      </c>
      <c r="G2572" s="16" t="s">
        <v>346</v>
      </c>
      <c r="H2572" s="16" t="s">
        <v>267</v>
      </c>
      <c r="I2572" s="16" t="s">
        <v>188</v>
      </c>
    </row>
    <row r="2573" ht="242.25" hidden="1" customHeight="1">
      <c r="B2573" s="32" t="str">
        <f>IMAGE("https://gymvisual.com/13195-catalog_default/landmine-squat-and-press.jpg",4,500,500)</f>
        <v/>
      </c>
      <c r="C2573" s="30">
        <v>2572.0</v>
      </c>
      <c r="D2573" s="16" t="s">
        <v>3306</v>
      </c>
      <c r="E2573" s="16" t="s">
        <v>184</v>
      </c>
      <c r="F2573" s="16" t="s">
        <v>1129</v>
      </c>
      <c r="G2573" s="16" t="s">
        <v>346</v>
      </c>
      <c r="H2573" s="16" t="s">
        <v>793</v>
      </c>
      <c r="I2573" s="16" t="s">
        <v>220</v>
      </c>
    </row>
    <row r="2574" ht="242.25" hidden="1" customHeight="1">
      <c r="B2574" s="32" t="str">
        <f>IMAGE("https://gymvisual.com/13295-catalog_default/landmine-squat-and-press-female.jpg",4,500,500)</f>
        <v/>
      </c>
      <c r="C2574" s="30">
        <v>2573.0</v>
      </c>
      <c r="D2574" s="16" t="s">
        <v>3307</v>
      </c>
      <c r="E2574" s="16" t="s">
        <v>184</v>
      </c>
      <c r="F2574" s="16" t="s">
        <v>691</v>
      </c>
      <c r="G2574" s="16" t="s">
        <v>346</v>
      </c>
      <c r="H2574" s="16" t="s">
        <v>220</v>
      </c>
      <c r="I2574" s="16" t="s">
        <v>220</v>
      </c>
    </row>
    <row r="2575" ht="242.25" customHeight="1">
      <c r="A2575" s="32" t="b">
        <v>0</v>
      </c>
      <c r="B2575" s="32" t="str">
        <f>IMAGE("https://gymvisual.com/17881-catalog_default/landmine-sumo-squat-male.jpg",4,500,500)</f>
        <v/>
      </c>
      <c r="C2575" s="30">
        <v>2574.0</v>
      </c>
      <c r="D2575" s="16" t="s">
        <v>3308</v>
      </c>
      <c r="E2575" s="16" t="s">
        <v>184</v>
      </c>
      <c r="F2575" s="16" t="s">
        <v>185</v>
      </c>
      <c r="G2575" s="16" t="s">
        <v>186</v>
      </c>
      <c r="H2575" s="16" t="s">
        <v>189</v>
      </c>
      <c r="I2575" s="16" t="s">
        <v>902</v>
      </c>
    </row>
    <row r="2576" ht="242.25" customHeight="1">
      <c r="A2576" s="32" t="b">
        <v>0</v>
      </c>
      <c r="B2576" s="32" t="str">
        <f>IMAGE("https://gymvisual.com/20065-catalog_default/lateral-raise-arms-wrong-right.jpg",4,500,500)</f>
        <v/>
      </c>
      <c r="C2576" s="30">
        <v>2575.0</v>
      </c>
      <c r="D2576" s="16" t="s">
        <v>3309</v>
      </c>
      <c r="E2576" s="16" t="s">
        <v>184</v>
      </c>
      <c r="F2576" s="16" t="s">
        <v>228</v>
      </c>
      <c r="G2576" s="16" t="s">
        <v>222</v>
      </c>
      <c r="H2576" s="16" t="s">
        <v>220</v>
      </c>
      <c r="I2576" s="16" t="s">
        <v>220</v>
      </c>
    </row>
    <row r="2577" ht="242.25" hidden="1" customHeight="1">
      <c r="B2577" s="32" t="str">
        <f>IMAGE("https://gymvisual.com/16520-catalog_default/lateral-raise-with-towel.jpg",4,500,500)</f>
        <v/>
      </c>
      <c r="C2577" s="30">
        <v>2576.0</v>
      </c>
      <c r="D2577" s="16" t="s">
        <v>3310</v>
      </c>
      <c r="E2577" s="16" t="s">
        <v>184</v>
      </c>
      <c r="F2577" s="16" t="s">
        <v>228</v>
      </c>
      <c r="G2577" s="16" t="s">
        <v>255</v>
      </c>
      <c r="H2577" s="16" t="s">
        <v>544</v>
      </c>
      <c r="I2577" s="16" t="s">
        <v>545</v>
      </c>
    </row>
    <row r="2578" ht="242.25" hidden="1" customHeight="1">
      <c r="B2578" s="32" t="str">
        <f>IMAGE("https://gymvisual.com/6407-catalog_default/lateral-side-plank.jpg",4,500,500)</f>
        <v/>
      </c>
      <c r="C2578" s="30">
        <v>2577.0</v>
      </c>
      <c r="D2578" s="16" t="s">
        <v>3311</v>
      </c>
      <c r="E2578" s="16" t="s">
        <v>184</v>
      </c>
      <c r="F2578" s="16" t="s">
        <v>185</v>
      </c>
      <c r="G2578" s="16" t="s">
        <v>255</v>
      </c>
      <c r="H2578" s="16" t="s">
        <v>508</v>
      </c>
      <c r="I2578" s="16" t="s">
        <v>2802</v>
      </c>
    </row>
    <row r="2579" ht="242.25" hidden="1" customHeight="1">
      <c r="B2579" s="32" t="str">
        <f>IMAGE("https://gymvisual.com/6405-catalog_default/lateral-side-plank-bent-leg.jpg",4,500,500)</f>
        <v/>
      </c>
      <c r="C2579" s="30">
        <v>2578.0</v>
      </c>
      <c r="D2579" s="16" t="s">
        <v>3312</v>
      </c>
      <c r="E2579" s="16" t="s">
        <v>184</v>
      </c>
      <c r="F2579" s="16" t="s">
        <v>185</v>
      </c>
      <c r="G2579" s="16" t="s">
        <v>255</v>
      </c>
      <c r="H2579" s="16" t="s">
        <v>508</v>
      </c>
      <c r="I2579" s="16" t="s">
        <v>424</v>
      </c>
    </row>
    <row r="2580" ht="242.25" hidden="1" customHeight="1">
      <c r="B2580" s="32" t="str">
        <f>IMAGE("https://gymvisual.com/1702-catalog_default/3-4-sit-up.jpg",4,500,500)</f>
        <v/>
      </c>
      <c r="C2580" s="30">
        <v>2579.0</v>
      </c>
      <c r="D2580" s="16" t="s">
        <v>3313</v>
      </c>
      <c r="E2580" s="16" t="s">
        <v>184</v>
      </c>
      <c r="F2580" s="16" t="s">
        <v>185</v>
      </c>
      <c r="G2580" s="16" t="s">
        <v>255</v>
      </c>
      <c r="H2580" s="16" t="s">
        <v>189</v>
      </c>
      <c r="I2580" s="16" t="s">
        <v>2046</v>
      </c>
    </row>
    <row r="2581" ht="242.25" hidden="1" customHeight="1">
      <c r="B2581" s="32" t="str">
        <f>IMAGE("https://gymvisual.com/23921-catalog_default/lateral-step-up.jpg",4,500,500)</f>
        <v/>
      </c>
      <c r="C2581" s="30">
        <v>2580.0</v>
      </c>
      <c r="D2581" s="16" t="s">
        <v>3313</v>
      </c>
      <c r="E2581" s="16" t="s">
        <v>184</v>
      </c>
      <c r="F2581" s="16" t="s">
        <v>285</v>
      </c>
      <c r="G2581" s="16" t="s">
        <v>255</v>
      </c>
      <c r="H2581" s="16" t="s">
        <v>189</v>
      </c>
      <c r="I2581" s="16" t="s">
        <v>190</v>
      </c>
    </row>
    <row r="2582" ht="242.25" hidden="1" customHeight="1">
      <c r="B2582" s="32" t="str">
        <f>IMAGE("https://gymvisual.com/23923-catalog_default/lateral-step-up-with-knee-drive.jpg",4,500,500)</f>
        <v/>
      </c>
      <c r="C2582" s="30">
        <v>2581.0</v>
      </c>
      <c r="D2582" s="16" t="s">
        <v>3314</v>
      </c>
      <c r="E2582" s="16" t="s">
        <v>184</v>
      </c>
      <c r="F2582" s="16" t="s">
        <v>285</v>
      </c>
      <c r="G2582" s="16" t="s">
        <v>255</v>
      </c>
      <c r="H2582" s="16" t="s">
        <v>2952</v>
      </c>
      <c r="I2582" s="16" t="s">
        <v>3315</v>
      </c>
    </row>
    <row r="2583" ht="242.25" hidden="1" customHeight="1">
      <c r="B2583" s="32" t="str">
        <f>IMAGE("https://gymvisual.com/22478-catalog_default/leg-assisted-ring-pull-up.jpg",4,500,500)</f>
        <v/>
      </c>
      <c r="C2583" s="30">
        <v>2582.0</v>
      </c>
      <c r="D2583" s="16" t="s">
        <v>3316</v>
      </c>
      <c r="E2583" s="16" t="s">
        <v>184</v>
      </c>
      <c r="F2583" s="16" t="s">
        <v>192</v>
      </c>
      <c r="G2583" s="16" t="s">
        <v>255</v>
      </c>
      <c r="H2583" s="16" t="s">
        <v>220</v>
      </c>
      <c r="I2583" s="16" t="s">
        <v>220</v>
      </c>
    </row>
    <row r="2584" ht="242.25" hidden="1" customHeight="1">
      <c r="B2584" s="32" t="str">
        <f>IMAGE("https://gymvisual.com/1708-catalog_default/3-4-sit-up.jpg",4,500,500)</f>
        <v/>
      </c>
      <c r="C2584" s="30">
        <v>2583.0</v>
      </c>
      <c r="D2584" s="16" t="s">
        <v>3317</v>
      </c>
      <c r="E2584" s="16" t="s">
        <v>184</v>
      </c>
      <c r="F2584" s="16" t="s">
        <v>254</v>
      </c>
      <c r="G2584" s="16" t="s">
        <v>255</v>
      </c>
      <c r="H2584" s="16" t="s">
        <v>257</v>
      </c>
      <c r="I2584" s="16" t="s">
        <v>3318</v>
      </c>
    </row>
    <row r="2585" ht="242.25" customHeight="1">
      <c r="B2585" s="32" t="str">
        <f>IMAGE("https://gymvisual.com/1711-catalog_default/3-4-sit-up.jpg",4,500,500)</f>
        <v/>
      </c>
      <c r="C2585" s="30">
        <v>2584.0</v>
      </c>
      <c r="D2585" s="16" t="s">
        <v>3319</v>
      </c>
      <c r="E2585" s="16" t="s">
        <v>184</v>
      </c>
      <c r="F2585" s="16" t="s">
        <v>285</v>
      </c>
      <c r="G2585" s="16" t="s">
        <v>399</v>
      </c>
      <c r="H2585" s="16" t="s">
        <v>188</v>
      </c>
      <c r="I2585" s="16" t="s">
        <v>665</v>
      </c>
    </row>
    <row r="2586" ht="242.25" customHeight="1">
      <c r="B2586" s="32" t="str">
        <f>IMAGE("https://gymvisual.com/14276-catalog_default/leg-extension-crunch-with-stability-ball-male.jpg",4,500,500)</f>
        <v/>
      </c>
      <c r="C2586" s="30">
        <v>2585.0</v>
      </c>
      <c r="D2586" s="16" t="s">
        <v>3320</v>
      </c>
      <c r="E2586" s="16" t="s">
        <v>184</v>
      </c>
      <c r="F2586" s="16" t="s">
        <v>3321</v>
      </c>
      <c r="G2586" s="16" t="s">
        <v>399</v>
      </c>
      <c r="H2586" s="16" t="s">
        <v>3322</v>
      </c>
      <c r="I2586" s="16" t="s">
        <v>3323</v>
      </c>
    </row>
    <row r="2587" ht="242.25" hidden="1" customHeight="1">
      <c r="B2587" s="32" t="str">
        <f>IMAGE("https://gymvisual.com/19441-catalog_default/leg-extension-plank.jpg",4,500,500)</f>
        <v/>
      </c>
      <c r="C2587" s="30">
        <v>2586.0</v>
      </c>
      <c r="D2587" s="16" t="s">
        <v>3324</v>
      </c>
      <c r="E2587" s="16" t="s">
        <v>184</v>
      </c>
      <c r="F2587" s="16" t="s">
        <v>254</v>
      </c>
      <c r="G2587" s="16" t="s">
        <v>255</v>
      </c>
      <c r="H2587" s="16" t="s">
        <v>220</v>
      </c>
      <c r="I2587" s="16" t="s">
        <v>220</v>
      </c>
    </row>
    <row r="2588" ht="242.25" hidden="1" customHeight="1">
      <c r="B2588" s="32" t="str">
        <f>IMAGE("https://gymvisual.com/22787-catalog_default/leg-over-knee-glute-bridge-female.jpg",4,500,500)</f>
        <v/>
      </c>
      <c r="C2588" s="30">
        <v>2587.0</v>
      </c>
      <c r="D2588" s="16" t="s">
        <v>3325</v>
      </c>
      <c r="E2588" s="16" t="s">
        <v>184</v>
      </c>
      <c r="F2588" s="16" t="s">
        <v>185</v>
      </c>
      <c r="G2588" s="16" t="s">
        <v>255</v>
      </c>
      <c r="H2588" s="16" t="s">
        <v>187</v>
      </c>
      <c r="I2588" s="16" t="s">
        <v>854</v>
      </c>
    </row>
    <row r="2589" ht="242.25" hidden="1" customHeight="1">
      <c r="B2589" s="32" t="str">
        <f>IMAGE("https://gymvisual.com/23655-catalog_default/leg-over-knee-glute-bridge-male.jpg",4,500,500)</f>
        <v/>
      </c>
      <c r="C2589" s="30">
        <v>2588.0</v>
      </c>
      <c r="D2589" s="16" t="s">
        <v>3326</v>
      </c>
      <c r="E2589" s="16" t="s">
        <v>184</v>
      </c>
      <c r="F2589" s="16" t="s">
        <v>185</v>
      </c>
      <c r="G2589" s="16" t="s">
        <v>255</v>
      </c>
      <c r="H2589" s="16" t="s">
        <v>187</v>
      </c>
      <c r="I2589" s="16" t="s">
        <v>854</v>
      </c>
    </row>
    <row r="2590" ht="242.25" hidden="1" customHeight="1">
      <c r="B2590" s="32" t="str">
        <f>IMAGE("https://gymvisual.com/1714-catalog_default/3-4-sit-up.jpg",4,500,500)</f>
        <v/>
      </c>
      <c r="C2590" s="30">
        <v>2589.0</v>
      </c>
      <c r="D2590" s="16" t="s">
        <v>3327</v>
      </c>
      <c r="E2590" s="16" t="s">
        <v>184</v>
      </c>
      <c r="F2590" s="16" t="s">
        <v>254</v>
      </c>
      <c r="G2590" s="16" t="s">
        <v>255</v>
      </c>
      <c r="H2590" s="16" t="s">
        <v>256</v>
      </c>
      <c r="I2590" s="16" t="s">
        <v>1707</v>
      </c>
    </row>
    <row r="2591" ht="242.25" hidden="1" customHeight="1">
      <c r="B2591" s="32" t="str">
        <f>IMAGE("https://gymvisual.com/17849-catalog_default/leg-raise-dragon-flag.jpg",4,500,500)</f>
        <v/>
      </c>
      <c r="C2591" s="30">
        <v>2590.0</v>
      </c>
      <c r="D2591" s="16" t="s">
        <v>3328</v>
      </c>
      <c r="E2591" s="16" t="s">
        <v>184</v>
      </c>
      <c r="F2591" s="16" t="s">
        <v>254</v>
      </c>
      <c r="G2591" s="16" t="s">
        <v>255</v>
      </c>
      <c r="H2591" s="16" t="s">
        <v>220</v>
      </c>
      <c r="I2591" s="16" t="s">
        <v>220</v>
      </c>
    </row>
    <row r="2592" ht="242.25" hidden="1" customHeight="1">
      <c r="B2592" s="32" t="str">
        <f>IMAGE("https://gymvisual.com/7689-catalog_default/leg-raise-hip-lift.jpg",4,500,500)</f>
        <v/>
      </c>
      <c r="C2592" s="30">
        <v>2591.0</v>
      </c>
      <c r="D2592" s="16" t="s">
        <v>3329</v>
      </c>
      <c r="E2592" s="16" t="s">
        <v>184</v>
      </c>
      <c r="F2592" s="16" t="s">
        <v>254</v>
      </c>
      <c r="G2592" s="16" t="s">
        <v>255</v>
      </c>
      <c r="H2592" s="16" t="s">
        <v>305</v>
      </c>
      <c r="I2592" s="16" t="s">
        <v>311</v>
      </c>
    </row>
    <row r="2593" ht="242.25" hidden="1" customHeight="1">
      <c r="B2593" s="32" t="str">
        <f>IMAGE("https://gymvisual.com/7698-catalog_default/leg-raise-hip-lift-with-head-up.jpg",4,500,500)</f>
        <v/>
      </c>
      <c r="C2593" s="30">
        <v>2592.0</v>
      </c>
      <c r="D2593" s="16" t="s">
        <v>3330</v>
      </c>
      <c r="E2593" s="16" t="s">
        <v>184</v>
      </c>
      <c r="F2593" s="16" t="s">
        <v>254</v>
      </c>
      <c r="G2593" s="16" t="s">
        <v>255</v>
      </c>
      <c r="H2593" s="16" t="s">
        <v>305</v>
      </c>
      <c r="I2593" s="16" t="s">
        <v>600</v>
      </c>
    </row>
    <row r="2594" ht="242.25" hidden="1" customHeight="1">
      <c r="B2594" s="32" t="str">
        <f>IMAGE("https://gymvisual.com/22839-catalog_default/leg-raise-oblique-crunch.jpg",4,500,500)</f>
        <v/>
      </c>
      <c r="C2594" s="30">
        <v>2593.0</v>
      </c>
      <c r="D2594" s="16" t="s">
        <v>3331</v>
      </c>
      <c r="E2594" s="16" t="s">
        <v>184</v>
      </c>
      <c r="F2594" s="16" t="s">
        <v>254</v>
      </c>
      <c r="G2594" s="16" t="s">
        <v>255</v>
      </c>
      <c r="H2594" s="16" t="s">
        <v>3332</v>
      </c>
      <c r="I2594" s="16" t="s">
        <v>3333</v>
      </c>
    </row>
    <row r="2595" ht="242.25" hidden="1" customHeight="1">
      <c r="B2595" s="32" t="str">
        <f>IMAGE("https://gymvisual.com/7695-catalog_default/leg-raise-slightly-bent-knee.jpg",4,500,500)</f>
        <v/>
      </c>
      <c r="C2595" s="30">
        <v>2594.0</v>
      </c>
      <c r="D2595" s="16" t="s">
        <v>3334</v>
      </c>
      <c r="E2595" s="16" t="s">
        <v>184</v>
      </c>
      <c r="F2595" s="16" t="s">
        <v>254</v>
      </c>
      <c r="G2595" s="16" t="s">
        <v>255</v>
      </c>
      <c r="H2595" s="16" t="s">
        <v>220</v>
      </c>
      <c r="I2595" s="16" t="s">
        <v>220</v>
      </c>
    </row>
    <row r="2596" ht="242.25" hidden="1" customHeight="1">
      <c r="B2596" s="32" t="str">
        <f>IMAGE("https://gymvisual.com/24772-catalog_default/lever-ab-coaster-crunch-female.jpg",4,500,500)</f>
        <v/>
      </c>
      <c r="C2596" s="30">
        <v>2595.0</v>
      </c>
      <c r="D2596" s="16" t="s">
        <v>3335</v>
      </c>
      <c r="E2596" s="16" t="s">
        <v>184</v>
      </c>
      <c r="F2596" s="16" t="s">
        <v>254</v>
      </c>
      <c r="G2596" s="16" t="s">
        <v>346</v>
      </c>
      <c r="H2596" s="16" t="s">
        <v>220</v>
      </c>
      <c r="I2596" s="16" t="s">
        <v>220</v>
      </c>
    </row>
    <row r="2597" ht="242.25" hidden="1" customHeight="1">
      <c r="B2597" s="32" t="str">
        <f>IMAGE("https://gymvisual.com/11807-catalog_default/lever-abduction-squat-female.jpg",4,500,500)</f>
        <v/>
      </c>
      <c r="C2597" s="30">
        <v>2596.0</v>
      </c>
      <c r="D2597" s="16" t="s">
        <v>3336</v>
      </c>
      <c r="E2597" s="16" t="s">
        <v>184</v>
      </c>
      <c r="F2597" s="16" t="s">
        <v>185</v>
      </c>
      <c r="G2597" s="16" t="s">
        <v>346</v>
      </c>
      <c r="H2597" s="16" t="s">
        <v>220</v>
      </c>
      <c r="I2597" s="16" t="s">
        <v>220</v>
      </c>
    </row>
    <row r="2598" ht="242.25" hidden="1" customHeight="1">
      <c r="B2598" s="32" t="str">
        <f>IMAGE("https://gymvisual.com/11810-catalog_default/lever-adduction-thrust-female.jpg",4,500,500)</f>
        <v/>
      </c>
      <c r="C2598" s="30">
        <v>2597.0</v>
      </c>
      <c r="D2598" s="16" t="s">
        <v>3337</v>
      </c>
      <c r="E2598" s="16" t="s">
        <v>184</v>
      </c>
      <c r="F2598" s="16" t="s">
        <v>185</v>
      </c>
      <c r="G2598" s="16" t="s">
        <v>346</v>
      </c>
      <c r="H2598" s="16" t="s">
        <v>220</v>
      </c>
      <c r="I2598" s="16" t="s">
        <v>220</v>
      </c>
    </row>
    <row r="2599" ht="242.25" hidden="1" customHeight="1">
      <c r="B2599" s="32" t="str">
        <f>IMAGE("https://gymvisual.com/2930-catalog_default/lever-alternate-biceps-curl.jpg",4,500,500)</f>
        <v/>
      </c>
      <c r="C2599" s="30">
        <v>2598.0</v>
      </c>
      <c r="D2599" s="16" t="s">
        <v>3338</v>
      </c>
      <c r="E2599" s="16" t="s">
        <v>184</v>
      </c>
      <c r="F2599" s="16" t="s">
        <v>219</v>
      </c>
      <c r="G2599" s="16" t="s">
        <v>346</v>
      </c>
      <c r="H2599" s="16" t="s">
        <v>508</v>
      </c>
      <c r="I2599" s="16" t="s">
        <v>220</v>
      </c>
    </row>
    <row r="2600" ht="242.25" hidden="1" customHeight="1">
      <c r="B2600" s="32" t="str">
        <f>IMAGE("https://gymvisual.com/7726-catalog_default/lever-alternate-leg-extension-plate-loaded.jpg",4,500,500)</f>
        <v/>
      </c>
      <c r="C2600" s="30">
        <v>2599.0</v>
      </c>
      <c r="D2600" s="16" t="s">
        <v>3339</v>
      </c>
      <c r="E2600" s="16" t="s">
        <v>184</v>
      </c>
      <c r="F2600" s="16" t="s">
        <v>285</v>
      </c>
      <c r="G2600" s="16" t="s">
        <v>346</v>
      </c>
      <c r="H2600" s="16" t="s">
        <v>552</v>
      </c>
      <c r="I2600" s="16" t="s">
        <v>220</v>
      </c>
    </row>
    <row r="2601" ht="242.25" hidden="1" customHeight="1">
      <c r="B2601" s="32" t="str">
        <f>IMAGE("https://gymvisual.com/9720-catalog_default/lever-alternate-leg-press-plate-loaded.jpg",4,500,500)</f>
        <v/>
      </c>
      <c r="C2601" s="30">
        <v>2600.0</v>
      </c>
      <c r="D2601" s="16" t="s">
        <v>3340</v>
      </c>
      <c r="E2601" s="16" t="s">
        <v>184</v>
      </c>
      <c r="F2601" s="16" t="s">
        <v>294</v>
      </c>
      <c r="G2601" s="16" t="s">
        <v>346</v>
      </c>
      <c r="H2601" s="16" t="s">
        <v>220</v>
      </c>
      <c r="I2601" s="16" t="s">
        <v>220</v>
      </c>
    </row>
    <row r="2602" ht="242.25" hidden="1" customHeight="1">
      <c r="B2602" s="32" t="str">
        <f>IMAGE("https://gymvisual.com/13461-catalog_default/lever-alternating-narrow-grip-seated-row-plate-loaded-female.jpg",4,500,500)</f>
        <v/>
      </c>
      <c r="C2602" s="30">
        <v>2601.0</v>
      </c>
      <c r="D2602" s="16" t="s">
        <v>3341</v>
      </c>
      <c r="E2602" s="16" t="s">
        <v>184</v>
      </c>
      <c r="F2602" s="16" t="s">
        <v>192</v>
      </c>
      <c r="G2602" s="16" t="s">
        <v>346</v>
      </c>
      <c r="H2602" s="16" t="s">
        <v>220</v>
      </c>
      <c r="I2602" s="16" t="s">
        <v>220</v>
      </c>
    </row>
    <row r="2603" ht="242.25" hidden="1" customHeight="1">
      <c r="B2603" s="32" t="str">
        <f>IMAGE("https://gymvisual.com/16056-catalog_default/3-4-sit-up.jpg",4,500,500)</f>
        <v/>
      </c>
      <c r="C2603" s="30">
        <v>2602.0</v>
      </c>
      <c r="D2603" s="16" t="s">
        <v>3342</v>
      </c>
      <c r="E2603" s="16" t="s">
        <v>184</v>
      </c>
      <c r="F2603" s="16" t="s">
        <v>192</v>
      </c>
      <c r="G2603" s="16" t="s">
        <v>346</v>
      </c>
      <c r="H2603" s="16" t="s">
        <v>300</v>
      </c>
      <c r="I2603" s="16" t="s">
        <v>3343</v>
      </c>
    </row>
    <row r="2604" ht="242.25" hidden="1" customHeight="1">
      <c r="B2604" s="32" t="str">
        <f>IMAGE("https://gymvisual.com/11816-catalog_default/lever-assisted-leg-press-female.jpg",4,500,500)</f>
        <v/>
      </c>
      <c r="C2604" s="30">
        <v>2603.0</v>
      </c>
      <c r="D2604" s="16" t="s">
        <v>3344</v>
      </c>
      <c r="E2604" s="16" t="s">
        <v>184</v>
      </c>
      <c r="F2604" s="16" t="s">
        <v>185</v>
      </c>
      <c r="G2604" s="16" t="s">
        <v>346</v>
      </c>
      <c r="H2604" s="16" t="s">
        <v>220</v>
      </c>
      <c r="I2604" s="16" t="s">
        <v>220</v>
      </c>
    </row>
    <row r="2605" ht="242.25" hidden="1" customHeight="1">
      <c r="B2605" s="32" t="str">
        <f>IMAGE("https://gymvisual.com/1723-catalog_default/3-4-sit-up.jpg",4,500,500)</f>
        <v/>
      </c>
      <c r="C2605" s="30">
        <v>2604.0</v>
      </c>
      <c r="D2605" s="16" t="s">
        <v>3345</v>
      </c>
      <c r="E2605" s="16" t="s">
        <v>184</v>
      </c>
      <c r="F2605" s="16" t="s">
        <v>254</v>
      </c>
      <c r="G2605" s="16" t="s">
        <v>346</v>
      </c>
      <c r="H2605" s="16" t="s">
        <v>275</v>
      </c>
      <c r="I2605" s="16" t="s">
        <v>220</v>
      </c>
    </row>
    <row r="2606" ht="242.25" hidden="1" customHeight="1">
      <c r="B2606" s="32" t="str">
        <f>IMAGE("https://gymvisual.com/14278-catalog_default/lever-back-extension-female.jpg",4,500,500)</f>
        <v/>
      </c>
      <c r="C2606" s="30">
        <v>2605.0</v>
      </c>
      <c r="D2606" s="16" t="s">
        <v>3346</v>
      </c>
      <c r="E2606" s="16" t="s">
        <v>184</v>
      </c>
      <c r="F2606" s="16" t="s">
        <v>185</v>
      </c>
      <c r="G2606" s="16" t="s">
        <v>346</v>
      </c>
      <c r="H2606" s="16" t="s">
        <v>275</v>
      </c>
      <c r="I2606" s="16" t="s">
        <v>220</v>
      </c>
    </row>
    <row r="2607" ht="242.25" hidden="1" customHeight="1">
      <c r="B2607" s="32" t="str">
        <f>IMAGE("https://gymvisual.com/9685-catalog_default/lever-back-extension-version-2.jpg",4,500,500)</f>
        <v/>
      </c>
      <c r="C2607" s="30">
        <v>2606.0</v>
      </c>
      <c r="D2607" s="16" t="s">
        <v>3347</v>
      </c>
      <c r="E2607" s="16" t="s">
        <v>184</v>
      </c>
      <c r="F2607" s="16" t="s">
        <v>3183</v>
      </c>
      <c r="G2607" s="16" t="s">
        <v>346</v>
      </c>
      <c r="H2607" s="16" t="s">
        <v>220</v>
      </c>
      <c r="I2607" s="16" t="s">
        <v>220</v>
      </c>
    </row>
    <row r="2608" ht="242.25" hidden="1" customHeight="1">
      <c r="B2608" s="32" t="str">
        <f>IMAGE("https://gymvisual.com/18059-catalog_default/lever-banded-chest-press.jpg",4,500,500)</f>
        <v/>
      </c>
      <c r="C2608" s="30">
        <v>2607.0</v>
      </c>
      <c r="D2608" s="16" t="s">
        <v>3348</v>
      </c>
      <c r="E2608" s="16" t="s">
        <v>184</v>
      </c>
      <c r="F2608" s="16" t="s">
        <v>234</v>
      </c>
      <c r="G2608" s="16" t="s">
        <v>346</v>
      </c>
      <c r="H2608" s="16" t="s">
        <v>220</v>
      </c>
      <c r="I2608" s="16" t="s">
        <v>220</v>
      </c>
    </row>
    <row r="2609" ht="242.25" hidden="1" customHeight="1">
      <c r="B2609" s="32" t="str">
        <f>IMAGE("https://gymvisual.com/12230-catalog_default/lever-belt-squat.jpg",4,500,500)</f>
        <v/>
      </c>
      <c r="C2609" s="30">
        <v>2608.0</v>
      </c>
      <c r="D2609" s="16" t="s">
        <v>3349</v>
      </c>
      <c r="E2609" s="16" t="s">
        <v>184</v>
      </c>
      <c r="F2609" s="16" t="s">
        <v>285</v>
      </c>
      <c r="G2609" s="16" t="s">
        <v>346</v>
      </c>
      <c r="H2609" s="16" t="s">
        <v>220</v>
      </c>
      <c r="I2609" s="16" t="s">
        <v>220</v>
      </c>
    </row>
    <row r="2610" ht="242.25" customHeight="1">
      <c r="A2610" s="32" t="b">
        <v>0</v>
      </c>
      <c r="B2610" s="32" t="str">
        <f>IMAGE("https://gymvisual.com/1726-catalog_default/3-4-sit-up.jpg",4,500,500)</f>
        <v/>
      </c>
      <c r="C2610" s="30">
        <v>2609.0</v>
      </c>
      <c r="D2610" s="16" t="s">
        <v>3350</v>
      </c>
      <c r="E2610" s="16" t="s">
        <v>184</v>
      </c>
      <c r="F2610" s="16" t="s">
        <v>192</v>
      </c>
      <c r="G2610" s="16" t="s">
        <v>186</v>
      </c>
      <c r="H2610" s="16" t="s">
        <v>329</v>
      </c>
      <c r="I2610" s="16" t="s">
        <v>457</v>
      </c>
    </row>
    <row r="2611" ht="242.25" hidden="1" customHeight="1">
      <c r="B2611" s="32" t="str">
        <f>IMAGE("https://gymvisual.com/13463-catalog_default/lever-bent-over-row-plate-loaded-female.jpg",4,500,500)</f>
        <v/>
      </c>
      <c r="C2611" s="30">
        <v>2610.0</v>
      </c>
      <c r="D2611" s="16" t="s">
        <v>3351</v>
      </c>
      <c r="E2611" s="16" t="s">
        <v>184</v>
      </c>
      <c r="F2611" s="16" t="s">
        <v>192</v>
      </c>
      <c r="G2611" s="16" t="s">
        <v>346</v>
      </c>
      <c r="H2611" s="16" t="s">
        <v>220</v>
      </c>
      <c r="I2611" s="16" t="s">
        <v>220</v>
      </c>
    </row>
    <row r="2612" ht="242.25" hidden="1" customHeight="1">
      <c r="B2612" s="32" t="str">
        <f>IMAGE("https://gymvisual.com/22446-catalog_default/lever-bent-over-wide-row-plate-loaded.jpg",4,500,500)</f>
        <v/>
      </c>
      <c r="C2612" s="30">
        <v>2611.0</v>
      </c>
      <c r="D2612" s="16" t="s">
        <v>3352</v>
      </c>
      <c r="E2612" s="16" t="s">
        <v>184</v>
      </c>
      <c r="F2612" s="16" t="s">
        <v>192</v>
      </c>
      <c r="G2612" s="16" t="s">
        <v>346</v>
      </c>
      <c r="H2612" s="16" t="s">
        <v>220</v>
      </c>
      <c r="I2612" s="16" t="s">
        <v>220</v>
      </c>
    </row>
    <row r="2613" ht="242.25" hidden="1" customHeight="1">
      <c r="B2613" s="32" t="str">
        <f>IMAGE("https://gymvisual.com/12874-catalog_default/lever-bent-over-row-with-v-bar-plate-loaded.jpg",4,500,500)</f>
        <v/>
      </c>
      <c r="C2613" s="30">
        <v>2612.0</v>
      </c>
      <c r="D2613" s="16" t="s">
        <v>3353</v>
      </c>
      <c r="E2613" s="16" t="s">
        <v>184</v>
      </c>
      <c r="F2613" s="16" t="s">
        <v>192</v>
      </c>
      <c r="G2613" s="16" t="s">
        <v>346</v>
      </c>
      <c r="H2613" s="16" t="s">
        <v>329</v>
      </c>
      <c r="I2613" s="16" t="s">
        <v>447</v>
      </c>
    </row>
    <row r="2614" ht="242.25" hidden="1" customHeight="1">
      <c r="B2614" s="32" t="str">
        <f>IMAGE("https://gymvisual.com/1729-catalog_default/3-4-sit-up.jpg",4,500,500)</f>
        <v/>
      </c>
      <c r="C2614" s="30">
        <v>2613.0</v>
      </c>
      <c r="D2614" s="16" t="s">
        <v>3354</v>
      </c>
      <c r="E2614" s="16" t="s">
        <v>184</v>
      </c>
      <c r="F2614" s="16" t="s">
        <v>219</v>
      </c>
      <c r="G2614" s="16" t="s">
        <v>346</v>
      </c>
      <c r="H2614" s="16" t="s">
        <v>232</v>
      </c>
      <c r="I2614" s="16" t="s">
        <v>241</v>
      </c>
    </row>
    <row r="2615" ht="242.25" hidden="1" customHeight="1">
      <c r="B2615" s="32" t="str">
        <f>IMAGE("https://gymvisual.com/13465-catalog_default/lever-bicep-curl-female.jpg",4,500,500)</f>
        <v/>
      </c>
      <c r="C2615" s="30">
        <v>2614.0</v>
      </c>
      <c r="D2615" s="16" t="s">
        <v>3355</v>
      </c>
      <c r="E2615" s="16" t="s">
        <v>184</v>
      </c>
      <c r="F2615" s="16" t="s">
        <v>219</v>
      </c>
      <c r="G2615" s="16" t="s">
        <v>346</v>
      </c>
      <c r="H2615" s="16" t="s">
        <v>220</v>
      </c>
      <c r="I2615" s="16" t="s">
        <v>220</v>
      </c>
    </row>
    <row r="2616" ht="242.25" hidden="1" customHeight="1">
      <c r="B2616" s="32" t="str">
        <f>IMAGE("https://gymvisual.com/18744-catalog_default/lever-biceps-curl.jpg",4,500,500)</f>
        <v/>
      </c>
      <c r="C2616" s="30">
        <v>2615.0</v>
      </c>
      <c r="D2616" s="16" t="s">
        <v>3356</v>
      </c>
      <c r="E2616" s="16" t="s">
        <v>184</v>
      </c>
      <c r="F2616" s="16" t="s">
        <v>219</v>
      </c>
      <c r="G2616" s="16" t="s">
        <v>346</v>
      </c>
      <c r="H2616" s="16" t="s">
        <v>220</v>
      </c>
      <c r="I2616" s="16" t="s">
        <v>220</v>
      </c>
    </row>
    <row r="2617" ht="242.25" hidden="1" customHeight="1">
      <c r="B2617" s="32" t="str">
        <f>IMAGE("https://gymvisual.com/7715-catalog_default/lever-cable-rear-pulldown.jpg",4,500,500)</f>
        <v/>
      </c>
      <c r="C2617" s="30">
        <v>2616.0</v>
      </c>
      <c r="D2617" s="16" t="s">
        <v>3357</v>
      </c>
      <c r="E2617" s="16" t="s">
        <v>184</v>
      </c>
      <c r="F2617" s="16" t="s">
        <v>192</v>
      </c>
      <c r="G2617" s="16" t="s">
        <v>346</v>
      </c>
      <c r="H2617" s="16" t="s">
        <v>220</v>
      </c>
      <c r="I2617" s="16" t="s">
        <v>220</v>
      </c>
    </row>
    <row r="2618" ht="242.25" hidden="1" customHeight="1">
      <c r="B2618" s="32" t="str">
        <f>IMAGE("https://gymvisual.com/7714-catalog_default/lever-cable-shoulder-press.jpg",4,500,500)</f>
        <v/>
      </c>
      <c r="C2618" s="30">
        <v>2617.0</v>
      </c>
      <c r="D2618" s="16" t="s">
        <v>3358</v>
      </c>
      <c r="E2618" s="16" t="s">
        <v>184</v>
      </c>
      <c r="F2618" s="16" t="s">
        <v>228</v>
      </c>
      <c r="G2618" s="16" t="s">
        <v>346</v>
      </c>
      <c r="H2618" s="16" t="s">
        <v>220</v>
      </c>
      <c r="I2618" s="16" t="s">
        <v>220</v>
      </c>
    </row>
    <row r="2619" ht="242.25" hidden="1" customHeight="1">
      <c r="B2619" s="32" t="str">
        <f>IMAGE("https://gymvisual.com/9722-catalog_default/lever-calf-press-plate-loaded.jpg",4,500,500)</f>
        <v/>
      </c>
      <c r="C2619" s="30">
        <v>2618.0</v>
      </c>
      <c r="D2619" s="16" t="s">
        <v>3359</v>
      </c>
      <c r="E2619" s="16" t="s">
        <v>184</v>
      </c>
      <c r="F2619" s="16" t="s">
        <v>325</v>
      </c>
      <c r="G2619" s="16" t="s">
        <v>346</v>
      </c>
      <c r="H2619" s="16" t="s">
        <v>220</v>
      </c>
      <c r="I2619" s="16" t="s">
        <v>220</v>
      </c>
    </row>
    <row r="2620" ht="242.25" hidden="1" customHeight="1">
      <c r="B2620" s="32" t="str">
        <f>IMAGE("https://gymvisual.com/4591-catalog_default/lever-calf-raise-bench-press-machine.jpg",4,500,500)</f>
        <v/>
      </c>
      <c r="C2620" s="30">
        <v>2619.0</v>
      </c>
      <c r="D2620" s="16" t="s">
        <v>3360</v>
      </c>
      <c r="E2620" s="16" t="s">
        <v>184</v>
      </c>
      <c r="F2620" s="16" t="s">
        <v>325</v>
      </c>
      <c r="G2620" s="16" t="s">
        <v>346</v>
      </c>
      <c r="H2620" s="16" t="s">
        <v>368</v>
      </c>
      <c r="I2620" s="16" t="s">
        <v>463</v>
      </c>
    </row>
    <row r="2621" ht="242.25" hidden="1" customHeight="1">
      <c r="B2621" s="32" t="str">
        <f>IMAGE("https://gymvisual.com/2936-catalog_default/lever-chair-squat.jpg",4,500,500)</f>
        <v/>
      </c>
      <c r="C2621" s="30">
        <v>2620.0</v>
      </c>
      <c r="D2621" s="16" t="s">
        <v>3361</v>
      </c>
      <c r="E2621" s="16" t="s">
        <v>184</v>
      </c>
      <c r="F2621" s="16" t="s">
        <v>285</v>
      </c>
      <c r="G2621" s="16" t="s">
        <v>346</v>
      </c>
      <c r="H2621" s="16" t="s">
        <v>189</v>
      </c>
      <c r="I2621" s="16" t="s">
        <v>190</v>
      </c>
    </row>
    <row r="2622" ht="242.25" hidden="1" customHeight="1">
      <c r="B2622" s="32" t="str">
        <f>IMAGE("https://gymvisual.com/1735-catalog_default/3-4-sit-up.jpg",4,500,500)</f>
        <v/>
      </c>
      <c r="C2622" s="30">
        <v>2621.0</v>
      </c>
      <c r="D2622" s="16" t="s">
        <v>3362</v>
      </c>
      <c r="E2622" s="16" t="s">
        <v>184</v>
      </c>
      <c r="F2622" s="16" t="s">
        <v>234</v>
      </c>
      <c r="G2622" s="16" t="s">
        <v>346</v>
      </c>
      <c r="H2622" s="16" t="s">
        <v>347</v>
      </c>
      <c r="I2622" s="16" t="s">
        <v>382</v>
      </c>
    </row>
    <row r="2623" ht="242.25" hidden="1" customHeight="1">
      <c r="B2623" s="32" t="str">
        <f>IMAGE("https://gymvisual.com/10996-catalog_default/lever-chest-press-female.jpg",4,500,500)</f>
        <v/>
      </c>
      <c r="C2623" s="30">
        <v>2622.0</v>
      </c>
      <c r="D2623" s="16" t="s">
        <v>3363</v>
      </c>
      <c r="E2623" s="16" t="s">
        <v>184</v>
      </c>
      <c r="F2623" s="16" t="s">
        <v>234</v>
      </c>
      <c r="G2623" s="16" t="s">
        <v>346</v>
      </c>
      <c r="H2623" s="16" t="s">
        <v>220</v>
      </c>
      <c r="I2623" s="16" t="s">
        <v>220</v>
      </c>
    </row>
    <row r="2624" ht="242.25" hidden="1" customHeight="1">
      <c r="B2624" s="32" t="str">
        <f>IMAGE("https://gymvisual.com/1732-catalog_default/3-4-sit-up.jpg",4,500,500)</f>
        <v/>
      </c>
      <c r="C2624" s="30">
        <v>2623.0</v>
      </c>
      <c r="D2624" s="16" t="s">
        <v>3364</v>
      </c>
      <c r="E2624" s="16" t="s">
        <v>184</v>
      </c>
      <c r="F2624" s="16" t="s">
        <v>234</v>
      </c>
      <c r="G2624" s="16" t="s">
        <v>346</v>
      </c>
      <c r="H2624" s="16" t="s">
        <v>347</v>
      </c>
      <c r="I2624" s="16" t="s">
        <v>382</v>
      </c>
    </row>
    <row r="2625" ht="242.25" hidden="1" customHeight="1">
      <c r="B2625" s="32" t="str">
        <f>IMAGE("https://gymvisual.com/10993-catalog_default/lever-chest-press-plate-loaded-female.jpg",4,500,500)</f>
        <v/>
      </c>
      <c r="C2625" s="30">
        <v>2624.0</v>
      </c>
      <c r="D2625" s="16" t="s">
        <v>3365</v>
      </c>
      <c r="E2625" s="16" t="s">
        <v>184</v>
      </c>
      <c r="F2625" s="16" t="s">
        <v>234</v>
      </c>
      <c r="G2625" s="16" t="s">
        <v>346</v>
      </c>
      <c r="H2625" s="16" t="s">
        <v>347</v>
      </c>
      <c r="I2625" s="16" t="s">
        <v>382</v>
      </c>
    </row>
    <row r="2626" ht="242.25" hidden="1" customHeight="1">
      <c r="B2626" s="32" t="str">
        <f>IMAGE("https://gymvisual.com/6468-catalog_default/lever-chest-press-version-2.jpg",4,500,500)</f>
        <v/>
      </c>
      <c r="C2626" s="30">
        <v>2625.0</v>
      </c>
      <c r="D2626" s="16" t="s">
        <v>3366</v>
      </c>
      <c r="E2626" s="16" t="s">
        <v>184</v>
      </c>
      <c r="F2626" s="16" t="s">
        <v>234</v>
      </c>
      <c r="G2626" s="16" t="s">
        <v>346</v>
      </c>
      <c r="H2626" s="16" t="s">
        <v>347</v>
      </c>
      <c r="I2626" s="16" t="s">
        <v>382</v>
      </c>
    </row>
    <row r="2627" ht="242.25" hidden="1" customHeight="1">
      <c r="B2627" s="32" t="str">
        <f>IMAGE("https://gymvisual.com/9700-catalog_default/lever-chest-press-version-4.jpg",4,500,500)</f>
        <v/>
      </c>
      <c r="C2627" s="30">
        <v>2626.0</v>
      </c>
      <c r="D2627" s="16" t="s">
        <v>3367</v>
      </c>
      <c r="E2627" s="16" t="s">
        <v>184</v>
      </c>
      <c r="F2627" s="16" t="s">
        <v>234</v>
      </c>
      <c r="G2627" s="16" t="s">
        <v>346</v>
      </c>
      <c r="H2627" s="16" t="s">
        <v>347</v>
      </c>
      <c r="I2627" s="16" t="s">
        <v>382</v>
      </c>
    </row>
    <row r="2628" ht="242.25" hidden="1" customHeight="1">
      <c r="B2628" s="32" t="str">
        <f>IMAGE("https://gymvisual.com/13641-catalog_default/lever-crossovers.jpg",4,500,500)</f>
        <v/>
      </c>
      <c r="C2628" s="30">
        <v>2627.0</v>
      </c>
      <c r="D2628" s="16" t="s">
        <v>3368</v>
      </c>
      <c r="E2628" s="16" t="s">
        <v>184</v>
      </c>
      <c r="F2628" s="16" t="s">
        <v>234</v>
      </c>
      <c r="G2628" s="16" t="s">
        <v>346</v>
      </c>
      <c r="H2628" s="16" t="s">
        <v>347</v>
      </c>
      <c r="I2628" s="16" t="s">
        <v>220</v>
      </c>
    </row>
    <row r="2629" ht="242.25" hidden="1" customHeight="1">
      <c r="B2629" s="32" t="str">
        <f>IMAGE("https://gymvisual.com/1738-catalog_default/3-4-sit-up.jpg",4,500,500)</f>
        <v/>
      </c>
      <c r="C2629" s="30">
        <v>2628.0</v>
      </c>
      <c r="D2629" s="16" t="s">
        <v>3369</v>
      </c>
      <c r="E2629" s="16" t="s">
        <v>184</v>
      </c>
      <c r="F2629" s="16" t="s">
        <v>285</v>
      </c>
      <c r="G2629" s="16" t="s">
        <v>346</v>
      </c>
      <c r="H2629" s="16" t="s">
        <v>189</v>
      </c>
      <c r="I2629" s="16" t="s">
        <v>190</v>
      </c>
    </row>
    <row r="2630" ht="242.25" hidden="1" customHeight="1">
      <c r="B2630" s="32" t="str">
        <f>IMAGE("https://gymvisual.com/13467-catalog_default/lever-deadlift-plate-loaded-female.jpg",4,500,500)</f>
        <v/>
      </c>
      <c r="C2630" s="30">
        <v>2629.0</v>
      </c>
      <c r="D2630" s="16" t="s">
        <v>3370</v>
      </c>
      <c r="E2630" s="16" t="s">
        <v>184</v>
      </c>
      <c r="F2630" s="16" t="s">
        <v>294</v>
      </c>
      <c r="G2630" s="16" t="s">
        <v>346</v>
      </c>
      <c r="H2630" s="16" t="s">
        <v>220</v>
      </c>
      <c r="I2630" s="16" t="s">
        <v>220</v>
      </c>
    </row>
    <row r="2631" ht="242.25" hidden="1" customHeight="1">
      <c r="B2631" s="32" t="str">
        <f>IMAGE("https://gymvisual.com/5989-catalog_default/lever-decline-chest-press.jpg",4,500,500)</f>
        <v/>
      </c>
      <c r="C2631" s="30">
        <v>2630.0</v>
      </c>
      <c r="D2631" s="16" t="s">
        <v>3371</v>
      </c>
      <c r="E2631" s="16" t="s">
        <v>184</v>
      </c>
      <c r="F2631" s="16" t="s">
        <v>234</v>
      </c>
      <c r="G2631" s="16" t="s">
        <v>346</v>
      </c>
      <c r="H2631" s="16" t="s">
        <v>347</v>
      </c>
      <c r="I2631" s="16" t="s">
        <v>382</v>
      </c>
    </row>
    <row r="2632" ht="242.25" hidden="1" customHeight="1">
      <c r="B2632" s="32" t="str">
        <f>IMAGE("https://gymvisual.com/10987-catalog_default/lever-decline-chest-press-female.jpg",4,500,500)</f>
        <v/>
      </c>
      <c r="C2632" s="30">
        <v>2631.0</v>
      </c>
      <c r="D2632" s="16" t="s">
        <v>3372</v>
      </c>
      <c r="E2632" s="16" t="s">
        <v>184</v>
      </c>
      <c r="F2632" s="16" t="s">
        <v>234</v>
      </c>
      <c r="G2632" s="16" t="s">
        <v>346</v>
      </c>
      <c r="H2632" s="16" t="s">
        <v>220</v>
      </c>
      <c r="I2632" s="16" t="s">
        <v>220</v>
      </c>
    </row>
    <row r="2633" ht="242.25" hidden="1" customHeight="1">
      <c r="B2633" s="32" t="str">
        <f>IMAGE("https://gymvisual.com/9703-catalog_default/lever-decline-chest-press-version-2.jpg",4,500,500)</f>
        <v/>
      </c>
      <c r="C2633" s="30">
        <v>2632.0</v>
      </c>
      <c r="D2633" s="16" t="s">
        <v>3373</v>
      </c>
      <c r="E2633" s="16" t="s">
        <v>184</v>
      </c>
      <c r="F2633" s="16" t="s">
        <v>234</v>
      </c>
      <c r="G2633" s="16" t="s">
        <v>346</v>
      </c>
      <c r="H2633" s="16" t="s">
        <v>347</v>
      </c>
      <c r="I2633" s="16" t="s">
        <v>382</v>
      </c>
    </row>
    <row r="2634" ht="242.25" hidden="1" customHeight="1">
      <c r="B2634" s="32" t="str">
        <f>IMAGE("https://gymvisual.com/7710-catalog_default/lever-decline-sit-up.jpg",4,500,500)</f>
        <v/>
      </c>
      <c r="C2634" s="30">
        <v>2633.0</v>
      </c>
      <c r="D2634" s="16" t="s">
        <v>3374</v>
      </c>
      <c r="E2634" s="16" t="s">
        <v>184</v>
      </c>
      <c r="F2634" s="16" t="s">
        <v>254</v>
      </c>
      <c r="G2634" s="16" t="s">
        <v>346</v>
      </c>
      <c r="H2634" s="16" t="s">
        <v>220</v>
      </c>
      <c r="I2634" s="16" t="s">
        <v>220</v>
      </c>
    </row>
    <row r="2635" ht="242.25" hidden="1" customHeight="1">
      <c r="B2635" s="32" t="str">
        <f>IMAGE("https://gymvisual.com/5939-catalog_default/lever-donkey-calf-raise.jpg",4,500,500)</f>
        <v/>
      </c>
      <c r="C2635" s="30">
        <v>2634.0</v>
      </c>
      <c r="D2635" s="16" t="s">
        <v>3375</v>
      </c>
      <c r="E2635" s="16" t="s">
        <v>184</v>
      </c>
      <c r="F2635" s="16" t="s">
        <v>325</v>
      </c>
      <c r="G2635" s="16" t="s">
        <v>346</v>
      </c>
      <c r="H2635" s="16" t="s">
        <v>368</v>
      </c>
      <c r="I2635" s="16" t="s">
        <v>463</v>
      </c>
    </row>
    <row r="2636" ht="242.25" hidden="1" customHeight="1">
      <c r="B2636" s="32" t="str">
        <f>IMAGE("https://gymvisual.com/1741-catalog_default/3-4-sit-up.jpg",4,500,500)</f>
        <v/>
      </c>
      <c r="C2636" s="30">
        <v>2635.0</v>
      </c>
      <c r="D2636" s="16" t="s">
        <v>3376</v>
      </c>
      <c r="E2636" s="16" t="s">
        <v>184</v>
      </c>
      <c r="F2636" s="16" t="s">
        <v>192</v>
      </c>
      <c r="G2636" s="16" t="s">
        <v>346</v>
      </c>
      <c r="H2636" s="16" t="s">
        <v>300</v>
      </c>
      <c r="I2636" s="16" t="s">
        <v>387</v>
      </c>
    </row>
    <row r="2637" ht="242.25" hidden="1" customHeight="1">
      <c r="B2637" s="32" t="str">
        <f>IMAGE("https://gymvisual.com/2937-catalog_default/lever-full-squat.jpg",4,500,500)</f>
        <v/>
      </c>
      <c r="C2637" s="30">
        <v>2636.0</v>
      </c>
      <c r="D2637" s="16" t="s">
        <v>3377</v>
      </c>
      <c r="E2637" s="16" t="s">
        <v>184</v>
      </c>
      <c r="F2637" s="16" t="s">
        <v>285</v>
      </c>
      <c r="G2637" s="16" t="s">
        <v>346</v>
      </c>
      <c r="H2637" s="16" t="s">
        <v>347</v>
      </c>
      <c r="I2637" s="16" t="s">
        <v>382</v>
      </c>
    </row>
    <row r="2638" ht="242.25" hidden="1" customHeight="1">
      <c r="B2638" s="32" t="str">
        <f>IMAGE("https://gymvisual.com/1744-catalog_default/3-4-sit-up.jpg",4,500,500)</f>
        <v/>
      </c>
      <c r="C2638" s="30">
        <v>2637.0</v>
      </c>
      <c r="D2638" s="16" t="s">
        <v>3378</v>
      </c>
      <c r="E2638" s="16" t="s">
        <v>184</v>
      </c>
      <c r="F2638" s="16" t="s">
        <v>192</v>
      </c>
      <c r="G2638" s="16" t="s">
        <v>346</v>
      </c>
      <c r="H2638" s="16" t="s">
        <v>238</v>
      </c>
      <c r="I2638" s="16" t="s">
        <v>1621</v>
      </c>
    </row>
    <row r="2639" ht="242.25" hidden="1" customHeight="1">
      <c r="B2639" s="32" t="str">
        <f>IMAGE("https://gymvisual.com/6454-catalog_default/lever-gripless-shrug-version-2.jpg",4,500,500)</f>
        <v/>
      </c>
      <c r="C2639" s="30">
        <v>2638.0</v>
      </c>
      <c r="D2639" s="16" t="s">
        <v>3379</v>
      </c>
      <c r="E2639" s="16" t="s">
        <v>184</v>
      </c>
      <c r="F2639" s="16" t="s">
        <v>192</v>
      </c>
      <c r="G2639" s="16" t="s">
        <v>346</v>
      </c>
      <c r="H2639" s="16" t="s">
        <v>238</v>
      </c>
      <c r="I2639" s="16" t="s">
        <v>618</v>
      </c>
    </row>
    <row r="2640" ht="242.25" hidden="1" customHeight="1">
      <c r="B2640" s="32" t="str">
        <f>IMAGE("https://gymvisual.com/9721-catalog_default/lever-gripper-hands-plate-loaded.jpg",4,500,500)</f>
        <v/>
      </c>
      <c r="C2640" s="30">
        <v>2639.0</v>
      </c>
      <c r="D2640" s="16" t="s">
        <v>3380</v>
      </c>
      <c r="E2640" s="16" t="s">
        <v>184</v>
      </c>
      <c r="F2640" s="16" t="s">
        <v>214</v>
      </c>
      <c r="G2640" s="16" t="s">
        <v>346</v>
      </c>
      <c r="H2640" s="16" t="s">
        <v>220</v>
      </c>
      <c r="I2640" s="16" t="s">
        <v>220</v>
      </c>
    </row>
    <row r="2641" ht="242.25" hidden="1" customHeight="1">
      <c r="B2641" s="32" t="str">
        <f>IMAGE("https://gymvisual.com/7087-catalog_default/lever-hammer-grip-preacher-curl.jpg",4,500,500)</f>
        <v/>
      </c>
      <c r="C2641" s="30">
        <v>2640.0</v>
      </c>
      <c r="D2641" s="16" t="s">
        <v>3381</v>
      </c>
      <c r="E2641" s="16" t="s">
        <v>184</v>
      </c>
      <c r="F2641" s="16" t="s">
        <v>219</v>
      </c>
      <c r="G2641" s="16" t="s">
        <v>346</v>
      </c>
      <c r="H2641" s="16" t="s">
        <v>220</v>
      </c>
      <c r="I2641" s="16" t="s">
        <v>220</v>
      </c>
    </row>
    <row r="2642" ht="242.25" hidden="1" customHeight="1">
      <c r="B2642" s="32" t="str">
        <f>IMAGE("https://gymvisual.com/1747-catalog_default/3-4-sit-up.jpg",4,500,500)</f>
        <v/>
      </c>
      <c r="C2642" s="30">
        <v>2641.0</v>
      </c>
      <c r="D2642" s="16" t="s">
        <v>3382</v>
      </c>
      <c r="E2642" s="16" t="s">
        <v>184</v>
      </c>
      <c r="F2642" s="16" t="s">
        <v>192</v>
      </c>
      <c r="G2642" s="16" t="s">
        <v>346</v>
      </c>
      <c r="H2642" s="16" t="s">
        <v>329</v>
      </c>
      <c r="I2642" s="16" t="s">
        <v>457</v>
      </c>
    </row>
    <row r="2643" ht="242.25" hidden="1" customHeight="1">
      <c r="B2643" s="32" t="str">
        <f>IMAGE("https://gymvisual.com/12225-catalog_default/lever-high-row-plate-loaded.jpg",4,500,500)</f>
        <v/>
      </c>
      <c r="C2643" s="30">
        <v>2642.0</v>
      </c>
      <c r="D2643" s="16" t="s">
        <v>3382</v>
      </c>
      <c r="E2643" s="16" t="s">
        <v>184</v>
      </c>
      <c r="F2643" s="16" t="s">
        <v>192</v>
      </c>
      <c r="G2643" s="16" t="s">
        <v>346</v>
      </c>
      <c r="H2643" s="16" t="s">
        <v>570</v>
      </c>
      <c r="I2643" s="16" t="s">
        <v>447</v>
      </c>
    </row>
    <row r="2644" ht="242.25" hidden="1" customHeight="1">
      <c r="B2644" s="32" t="str">
        <f>IMAGE("https://gymvisual.com/13469-catalog_default/lever-high-row-plate-loaded-female.jpg",4,500,500)</f>
        <v/>
      </c>
      <c r="C2644" s="30">
        <v>2643.0</v>
      </c>
      <c r="D2644" s="16" t="s">
        <v>3383</v>
      </c>
      <c r="E2644" s="16" t="s">
        <v>184</v>
      </c>
      <c r="F2644" s="16" t="s">
        <v>192</v>
      </c>
      <c r="G2644" s="16" t="s">
        <v>346</v>
      </c>
      <c r="H2644" s="16" t="s">
        <v>570</v>
      </c>
      <c r="I2644" s="16" t="s">
        <v>447</v>
      </c>
    </row>
    <row r="2645" ht="242.25" hidden="1" customHeight="1">
      <c r="B2645" s="32" t="str">
        <f>IMAGE("https://gymvisual.com/12226-catalog_default/lever-high-row-plate-loaded-version-3.jpg",4,500,500)</f>
        <v/>
      </c>
      <c r="C2645" s="30">
        <v>2644.0</v>
      </c>
      <c r="D2645" s="16" t="s">
        <v>3384</v>
      </c>
      <c r="E2645" s="16" t="s">
        <v>184</v>
      </c>
      <c r="F2645" s="16" t="s">
        <v>192</v>
      </c>
      <c r="G2645" s="16" t="s">
        <v>346</v>
      </c>
      <c r="H2645" s="16" t="s">
        <v>570</v>
      </c>
      <c r="I2645" s="16" t="s">
        <v>447</v>
      </c>
    </row>
    <row r="2646" ht="242.25" hidden="1" customHeight="1">
      <c r="B2646" s="32" t="str">
        <f>IMAGE("https://gymvisual.com/9719-catalog_default/lever-hip-extension-version-2.jpg",4,500,500)</f>
        <v/>
      </c>
      <c r="C2646" s="30">
        <v>2645.0</v>
      </c>
      <c r="D2646" s="16" t="s">
        <v>3385</v>
      </c>
      <c r="E2646" s="16" t="s">
        <v>184</v>
      </c>
      <c r="F2646" s="16" t="s">
        <v>185</v>
      </c>
      <c r="G2646" s="16" t="s">
        <v>346</v>
      </c>
      <c r="H2646" s="16" t="s">
        <v>220</v>
      </c>
      <c r="I2646" s="16" t="s">
        <v>220</v>
      </c>
    </row>
    <row r="2647" ht="242.25" hidden="1" customHeight="1">
      <c r="B2647" s="32" t="str">
        <f>IMAGE("https://gymvisual.com/8778-catalog_default/lever-hip-thrust.jpg",4,500,500)</f>
        <v/>
      </c>
      <c r="C2647" s="30">
        <v>2646.0</v>
      </c>
      <c r="D2647" s="16" t="s">
        <v>3386</v>
      </c>
      <c r="E2647" s="16" t="s">
        <v>184</v>
      </c>
      <c r="F2647" s="16" t="s">
        <v>185</v>
      </c>
      <c r="G2647" s="16" t="s">
        <v>346</v>
      </c>
      <c r="H2647" s="16" t="s">
        <v>187</v>
      </c>
      <c r="I2647" s="16" t="s">
        <v>2646</v>
      </c>
    </row>
    <row r="2648" ht="242.25" hidden="1" customHeight="1">
      <c r="B2648" s="32" t="str">
        <f>IMAGE("https://gymvisual.com/14125-catalog_default/lever-hip-thrust-plate-loaded-female.jpg",4,500,500)</f>
        <v/>
      </c>
      <c r="C2648" s="30">
        <v>2647.0</v>
      </c>
      <c r="D2648" s="16" t="s">
        <v>3387</v>
      </c>
      <c r="E2648" s="16" t="s">
        <v>184</v>
      </c>
      <c r="F2648" s="16" t="s">
        <v>185</v>
      </c>
      <c r="G2648" s="16" t="s">
        <v>346</v>
      </c>
      <c r="H2648" s="16" t="s">
        <v>187</v>
      </c>
      <c r="I2648" s="16" t="s">
        <v>188</v>
      </c>
    </row>
    <row r="2649" ht="242.25" hidden="1" customHeight="1">
      <c r="B2649" s="32" t="str">
        <f>IMAGE("https://gymvisual.com/11798-catalog_default/lever-hip-thrust-version-2-female.jpg",4,500,500)</f>
        <v/>
      </c>
      <c r="C2649" s="30">
        <v>2648.0</v>
      </c>
      <c r="D2649" s="16" t="s">
        <v>3388</v>
      </c>
      <c r="E2649" s="16" t="s">
        <v>184</v>
      </c>
      <c r="F2649" s="16" t="s">
        <v>185</v>
      </c>
      <c r="G2649" s="16" t="s">
        <v>346</v>
      </c>
      <c r="H2649" s="16" t="s">
        <v>187</v>
      </c>
      <c r="I2649" s="16" t="s">
        <v>188</v>
      </c>
    </row>
    <row r="2650" ht="242.25" hidden="1" customHeight="1">
      <c r="B2650" s="32" t="str">
        <f>IMAGE("https://gymvisual.com/11795-catalog_default/lever-hip-thrust-with-stepbox-version-2-female.jpg",4,500,500)</f>
        <v/>
      </c>
      <c r="C2650" s="30">
        <v>2649.0</v>
      </c>
      <c r="D2650" s="16" t="s">
        <v>3389</v>
      </c>
      <c r="E2650" s="16" t="s">
        <v>184</v>
      </c>
      <c r="F2650" s="16" t="s">
        <v>185</v>
      </c>
      <c r="G2650" s="16" t="s">
        <v>346</v>
      </c>
      <c r="H2650" s="16" t="s">
        <v>187</v>
      </c>
      <c r="I2650" s="16" t="s">
        <v>188</v>
      </c>
    </row>
    <row r="2651" ht="242.25" customHeight="1">
      <c r="B2651" s="32" t="str">
        <f>IMAGE("https://gymvisual.com/8783-catalog_default/lever-hip-thrust-with-resistance-band.jpg",4,500,500)</f>
        <v/>
      </c>
      <c r="C2651" s="30">
        <v>2650.0</v>
      </c>
      <c r="D2651" s="16" t="s">
        <v>3390</v>
      </c>
      <c r="E2651" s="16" t="s">
        <v>184</v>
      </c>
      <c r="F2651" s="16" t="s">
        <v>185</v>
      </c>
      <c r="G2651" s="16" t="s">
        <v>3391</v>
      </c>
      <c r="H2651" s="16" t="s">
        <v>187</v>
      </c>
      <c r="I2651" s="16" t="s">
        <v>854</v>
      </c>
    </row>
    <row r="2652" ht="242.25" hidden="1" customHeight="1">
      <c r="B2652" s="32" t="str">
        <f>IMAGE("https://gymvisual.com/12231-catalog_default/lever-horizontal-leg-press.jpg",4,500,500)</f>
        <v/>
      </c>
      <c r="C2652" s="30">
        <v>2651.0</v>
      </c>
      <c r="D2652" s="16" t="s">
        <v>3392</v>
      </c>
      <c r="E2652" s="16" t="s">
        <v>184</v>
      </c>
      <c r="F2652" s="16" t="s">
        <v>285</v>
      </c>
      <c r="G2652" s="16" t="s">
        <v>346</v>
      </c>
      <c r="H2652" s="16" t="s">
        <v>220</v>
      </c>
      <c r="I2652" s="16" t="s">
        <v>220</v>
      </c>
    </row>
    <row r="2653" ht="242.25" hidden="1" customHeight="1">
      <c r="B2653" s="32" t="str">
        <f>IMAGE("https://gymvisual.com/10304-catalog_default/lever-horizontal-leg-press-female.jpg",4,500,500)</f>
        <v/>
      </c>
      <c r="C2653" s="30">
        <v>2652.0</v>
      </c>
      <c r="D2653" s="16" t="s">
        <v>3393</v>
      </c>
      <c r="E2653" s="16" t="s">
        <v>184</v>
      </c>
      <c r="F2653" s="16" t="s">
        <v>285</v>
      </c>
      <c r="G2653" s="16" t="s">
        <v>346</v>
      </c>
      <c r="H2653" s="16" t="s">
        <v>189</v>
      </c>
      <c r="I2653" s="16" t="s">
        <v>190</v>
      </c>
    </row>
    <row r="2654" ht="242.25" hidden="1" customHeight="1">
      <c r="B2654" s="32" t="str">
        <f>IMAGE("https://gymvisual.com/2773-catalog_default/lever-horizontal-one-leg-press.jpg",4,500,500)</f>
        <v/>
      </c>
      <c r="C2654" s="30">
        <v>2653.0</v>
      </c>
      <c r="D2654" s="16" t="s">
        <v>3394</v>
      </c>
      <c r="E2654" s="16" t="s">
        <v>184</v>
      </c>
      <c r="F2654" s="16" t="s">
        <v>185</v>
      </c>
      <c r="G2654" s="16" t="s">
        <v>346</v>
      </c>
      <c r="H2654" s="16" t="s">
        <v>1878</v>
      </c>
      <c r="I2654" s="16" t="s">
        <v>857</v>
      </c>
    </row>
    <row r="2655" ht="242.25" hidden="1" customHeight="1">
      <c r="B2655" s="32" t="str">
        <f>IMAGE("https://gymvisual.com/10753-catalog_default/lever-horizontal-one-leg-press.jpg",4,500,500)</f>
        <v/>
      </c>
      <c r="C2655" s="30">
        <v>2654.0</v>
      </c>
      <c r="D2655" s="16" t="s">
        <v>3394</v>
      </c>
      <c r="E2655" s="16" t="s">
        <v>184</v>
      </c>
      <c r="F2655" s="16" t="s">
        <v>285</v>
      </c>
      <c r="G2655" s="16" t="s">
        <v>346</v>
      </c>
      <c r="H2655" s="16" t="s">
        <v>189</v>
      </c>
      <c r="I2655" s="16" t="s">
        <v>1939</v>
      </c>
    </row>
    <row r="2656" ht="242.25" hidden="1" customHeight="1">
      <c r="B2656" s="32" t="str">
        <f>IMAGE("https://gymvisual.com/5988-catalog_default/lever-incline-chest-press.jpg",4,500,500)</f>
        <v/>
      </c>
      <c r="C2656" s="30">
        <v>2655.0</v>
      </c>
      <c r="D2656" s="16" t="s">
        <v>3395</v>
      </c>
      <c r="E2656" s="16" t="s">
        <v>184</v>
      </c>
      <c r="F2656" s="16" t="s">
        <v>234</v>
      </c>
      <c r="G2656" s="16" t="s">
        <v>346</v>
      </c>
      <c r="H2656" s="16" t="s">
        <v>415</v>
      </c>
      <c r="I2656" s="16" t="s">
        <v>243</v>
      </c>
    </row>
    <row r="2657" ht="242.25" hidden="1" customHeight="1">
      <c r="B2657" s="32" t="str">
        <f>IMAGE("https://gymvisual.com/10990-catalog_default/lever-incline-chest-press-female.jpg",4,500,500)</f>
        <v/>
      </c>
      <c r="C2657" s="30">
        <v>2656.0</v>
      </c>
      <c r="D2657" s="16" t="s">
        <v>3396</v>
      </c>
      <c r="E2657" s="16" t="s">
        <v>184</v>
      </c>
      <c r="F2657" s="16" t="s">
        <v>234</v>
      </c>
      <c r="G2657" s="16" t="s">
        <v>346</v>
      </c>
      <c r="H2657" s="16" t="s">
        <v>220</v>
      </c>
      <c r="I2657" s="16" t="s">
        <v>220</v>
      </c>
    </row>
    <row r="2658" ht="242.25" hidden="1" customHeight="1">
      <c r="B2658" s="32" t="str">
        <f>IMAGE("https://gymvisual.com/24824-catalog_default/lever-incline-chest-press-plate-loaded.jpg",4,500,500)</f>
        <v/>
      </c>
      <c r="C2658" s="30">
        <v>2657.0</v>
      </c>
      <c r="D2658" s="16" t="s">
        <v>3397</v>
      </c>
      <c r="E2658" s="16" t="s">
        <v>184</v>
      </c>
      <c r="F2658" s="16" t="s">
        <v>234</v>
      </c>
      <c r="G2658" s="16" t="s">
        <v>346</v>
      </c>
      <c r="H2658" s="16" t="s">
        <v>415</v>
      </c>
      <c r="I2658" s="16" t="s">
        <v>243</v>
      </c>
    </row>
    <row r="2659" ht="242.25" hidden="1" customHeight="1">
      <c r="B2659" s="32" t="str">
        <f>IMAGE("https://gymvisual.com/6425-catalog_default/lever-incline-chest-press-versions-2.jpg",4,500,500)</f>
        <v/>
      </c>
      <c r="C2659" s="30">
        <v>2658.0</v>
      </c>
      <c r="D2659" s="16" t="s">
        <v>3398</v>
      </c>
      <c r="E2659" s="16" t="s">
        <v>184</v>
      </c>
      <c r="F2659" s="16" t="s">
        <v>234</v>
      </c>
      <c r="G2659" s="16" t="s">
        <v>346</v>
      </c>
      <c r="H2659" s="16" t="s">
        <v>415</v>
      </c>
      <c r="I2659" s="16" t="s">
        <v>243</v>
      </c>
    </row>
    <row r="2660" ht="242.25" hidden="1" customHeight="1">
      <c r="B2660" s="32" t="str">
        <f>IMAGE("https://gymvisual.com/25894-catalog_default/lever-incline-fly-male.jpg",4,500,500)</f>
        <v/>
      </c>
      <c r="C2660" s="30">
        <v>2659.0</v>
      </c>
      <c r="D2660" s="16" t="s">
        <v>3399</v>
      </c>
      <c r="E2660" s="16" t="s">
        <v>184</v>
      </c>
      <c r="F2660" s="16" t="s">
        <v>234</v>
      </c>
      <c r="G2660" s="16" t="s">
        <v>346</v>
      </c>
      <c r="H2660" s="16" t="s">
        <v>235</v>
      </c>
      <c r="I2660" s="16" t="s">
        <v>229</v>
      </c>
    </row>
    <row r="2661" ht="242.25" hidden="1" customHeight="1">
      <c r="B2661" s="32" t="str">
        <f>IMAGE("https://gymvisual.com/4523-catalog_default/lever-incline-hammer-chest-press.jpg",4,500,500)</f>
        <v/>
      </c>
      <c r="C2661" s="30">
        <v>2660.0</v>
      </c>
      <c r="D2661" s="16" t="s">
        <v>3400</v>
      </c>
      <c r="E2661" s="16" t="s">
        <v>184</v>
      </c>
      <c r="F2661" s="16" t="s">
        <v>234</v>
      </c>
      <c r="G2661" s="16" t="s">
        <v>346</v>
      </c>
      <c r="H2661" s="16" t="s">
        <v>415</v>
      </c>
      <c r="I2661" s="16" t="s">
        <v>2329</v>
      </c>
    </row>
    <row r="2662" ht="242.25" hidden="1" customHeight="1">
      <c r="B2662" s="32" t="str">
        <f>IMAGE("https://gymvisual.com/14280-catalog_default/lever-incline-hammer-chest-press-female.jpg",4,500,500)</f>
        <v/>
      </c>
      <c r="C2662" s="30">
        <v>2661.0</v>
      </c>
      <c r="D2662" s="16" t="s">
        <v>3401</v>
      </c>
      <c r="E2662" s="16" t="s">
        <v>184</v>
      </c>
      <c r="F2662" s="16" t="s">
        <v>234</v>
      </c>
      <c r="G2662" s="16" t="s">
        <v>346</v>
      </c>
      <c r="H2662" s="16" t="s">
        <v>415</v>
      </c>
      <c r="I2662" s="16" t="s">
        <v>243</v>
      </c>
    </row>
    <row r="2663" ht="242.25" hidden="1" customHeight="1">
      <c r="B2663" s="32" t="str">
        <f>IMAGE("https://gymvisual.com/19411-catalog_default/lever-incline-one-arm-chest-press-plate-loaded.jpg",4,500,500)</f>
        <v/>
      </c>
      <c r="C2663" s="30">
        <v>2662.0</v>
      </c>
      <c r="D2663" s="16" t="s">
        <v>3402</v>
      </c>
      <c r="E2663" s="16" t="s">
        <v>184</v>
      </c>
      <c r="F2663" s="16" t="s">
        <v>234</v>
      </c>
      <c r="G2663" s="16" t="s">
        <v>346</v>
      </c>
      <c r="H2663" s="16" t="s">
        <v>220</v>
      </c>
      <c r="I2663" s="16" t="s">
        <v>220</v>
      </c>
    </row>
    <row r="2664" ht="242.25" hidden="1" customHeight="1">
      <c r="B2664" s="32" t="str">
        <f>IMAGE("https://gymvisual.com/10076-catalog_default/3-4-sit-up.jpg",4,500,500)</f>
        <v/>
      </c>
      <c r="C2664" s="30">
        <v>2663.0</v>
      </c>
      <c r="D2664" s="16" t="s">
        <v>3403</v>
      </c>
      <c r="E2664" s="16" t="s">
        <v>184</v>
      </c>
      <c r="F2664" s="16" t="s">
        <v>285</v>
      </c>
      <c r="G2664" s="16" t="s">
        <v>346</v>
      </c>
      <c r="H2664" s="16" t="s">
        <v>188</v>
      </c>
      <c r="I2664" s="16" t="s">
        <v>561</v>
      </c>
    </row>
    <row r="2665" ht="242.25" hidden="1" customHeight="1">
      <c r="B2665" s="32" t="str">
        <f>IMAGE("https://gymvisual.com/14282-catalog_default/lever-kneeling-leg-curl-plate-loaded-female.jpg",4,500,500)</f>
        <v/>
      </c>
      <c r="C2665" s="30">
        <v>2664.0</v>
      </c>
      <c r="D2665" s="16" t="s">
        <v>3404</v>
      </c>
      <c r="E2665" s="16" t="s">
        <v>184</v>
      </c>
      <c r="F2665" s="16" t="s">
        <v>285</v>
      </c>
      <c r="G2665" s="16" t="s">
        <v>346</v>
      </c>
      <c r="H2665" s="16" t="s">
        <v>188</v>
      </c>
      <c r="I2665" s="16" t="s">
        <v>368</v>
      </c>
    </row>
    <row r="2666" ht="242.25" hidden="1" customHeight="1">
      <c r="B2666" s="32" t="str">
        <f>IMAGE("https://gymvisual.com/11813-catalog_default/lever-kneeling-reverse-hyperextension-female.jpg",4,500,500)</f>
        <v/>
      </c>
      <c r="C2666" s="30">
        <v>2665.0</v>
      </c>
      <c r="D2666" s="16" t="s">
        <v>3405</v>
      </c>
      <c r="E2666" s="16" t="s">
        <v>184</v>
      </c>
      <c r="F2666" s="16" t="s">
        <v>185</v>
      </c>
      <c r="G2666" s="16" t="s">
        <v>346</v>
      </c>
      <c r="H2666" s="16" t="s">
        <v>220</v>
      </c>
      <c r="I2666" s="16" t="s">
        <v>220</v>
      </c>
    </row>
    <row r="2667" ht="242.25" hidden="1" customHeight="1">
      <c r="B2667" s="32" t="str">
        <f>IMAGE("https://gymvisual.com/1753-catalog_default/3-4-sit-up.jpg",4,500,500)</f>
        <v/>
      </c>
      <c r="C2667" s="30">
        <v>2666.0</v>
      </c>
      <c r="D2667" s="16" t="s">
        <v>3406</v>
      </c>
      <c r="E2667" s="16" t="s">
        <v>184</v>
      </c>
      <c r="F2667" s="16" t="s">
        <v>254</v>
      </c>
      <c r="G2667" s="16" t="s">
        <v>346</v>
      </c>
      <c r="H2667" s="16" t="s">
        <v>257</v>
      </c>
      <c r="I2667" s="16" t="s">
        <v>220</v>
      </c>
    </row>
    <row r="2668" ht="242.25" hidden="1" customHeight="1">
      <c r="B2668" s="32" t="str">
        <f>IMAGE("https://gymvisual.com/7722-catalog_default/lever-lateral-pulldown-plate-loaded.jpg",4,500,500)</f>
        <v/>
      </c>
      <c r="C2668" s="30">
        <v>2667.0</v>
      </c>
      <c r="D2668" s="16" t="s">
        <v>3407</v>
      </c>
      <c r="E2668" s="16" t="s">
        <v>184</v>
      </c>
      <c r="F2668" s="16" t="s">
        <v>192</v>
      </c>
      <c r="G2668" s="16" t="s">
        <v>346</v>
      </c>
      <c r="H2668" s="16" t="s">
        <v>300</v>
      </c>
      <c r="I2668" s="16" t="s">
        <v>387</v>
      </c>
    </row>
    <row r="2669" ht="242.25" hidden="1" customHeight="1">
      <c r="B2669" s="32" t="str">
        <f>IMAGE("https://gymvisual.com/1756-catalog_default/3-4-sit-up.jpg",4,500,500)</f>
        <v/>
      </c>
      <c r="C2669" s="30">
        <v>2668.0</v>
      </c>
      <c r="D2669" s="16" t="s">
        <v>3408</v>
      </c>
      <c r="E2669" s="16" t="s">
        <v>184</v>
      </c>
      <c r="F2669" s="16" t="s">
        <v>228</v>
      </c>
      <c r="G2669" s="16" t="s">
        <v>346</v>
      </c>
      <c r="H2669" s="16" t="s">
        <v>544</v>
      </c>
      <c r="I2669" s="16" t="s">
        <v>545</v>
      </c>
    </row>
    <row r="2670" ht="242.25" hidden="1" customHeight="1">
      <c r="B2670" s="32" t="str">
        <f>IMAGE("https://gymvisual.com/14322-catalog_default/lever-lateral-raise-female.jpg",4,500,500)</f>
        <v/>
      </c>
      <c r="C2670" s="30">
        <v>2669.0</v>
      </c>
      <c r="D2670" s="16" t="s">
        <v>3409</v>
      </c>
      <c r="E2670" s="16" t="s">
        <v>184</v>
      </c>
      <c r="F2670" s="16" t="s">
        <v>228</v>
      </c>
      <c r="G2670" s="16" t="s">
        <v>346</v>
      </c>
      <c r="H2670" s="16" t="s">
        <v>544</v>
      </c>
      <c r="I2670" s="16" t="s">
        <v>545</v>
      </c>
    </row>
    <row r="2671" ht="242.25" hidden="1" customHeight="1">
      <c r="B2671" s="32" t="str">
        <f>IMAGE("https://gymvisual.com/7728-catalog_default/lever-lateral-raise-plate-loaded.jpg",4,500,500)</f>
        <v/>
      </c>
      <c r="C2671" s="30">
        <v>2670.0</v>
      </c>
      <c r="D2671" s="16" t="s">
        <v>3410</v>
      </c>
      <c r="E2671" s="16" t="s">
        <v>184</v>
      </c>
      <c r="F2671" s="16" t="s">
        <v>228</v>
      </c>
      <c r="G2671" s="16" t="s">
        <v>346</v>
      </c>
      <c r="H2671" s="16" t="s">
        <v>544</v>
      </c>
      <c r="I2671" s="16" t="s">
        <v>545</v>
      </c>
    </row>
    <row r="2672" ht="242.25" hidden="1" customHeight="1">
      <c r="B2672" s="32" t="str">
        <f>IMAGE("https://gymvisual.com/13639-catalog_default/lever-lateral-raise-version-2.jpg",4,500,500)</f>
        <v/>
      </c>
      <c r="C2672" s="30">
        <v>2671.0</v>
      </c>
      <c r="D2672" s="16" t="s">
        <v>3411</v>
      </c>
      <c r="E2672" s="16" t="s">
        <v>184</v>
      </c>
      <c r="F2672" s="16" t="s">
        <v>228</v>
      </c>
      <c r="G2672" s="16" t="s">
        <v>346</v>
      </c>
      <c r="H2672" s="16" t="s">
        <v>544</v>
      </c>
      <c r="I2672" s="16" t="s">
        <v>220</v>
      </c>
    </row>
    <row r="2673" ht="242.25" hidden="1" customHeight="1">
      <c r="B2673" s="32" t="str">
        <f>IMAGE("https://gymvisual.com/12228-catalog_default/lever-lateral-wide-pulldown.jpg",4,500,500)</f>
        <v/>
      </c>
      <c r="C2673" s="30">
        <v>2672.0</v>
      </c>
      <c r="D2673" s="16" t="s">
        <v>3412</v>
      </c>
      <c r="E2673" s="16" t="s">
        <v>184</v>
      </c>
      <c r="F2673" s="16" t="s">
        <v>192</v>
      </c>
      <c r="G2673" s="16" t="s">
        <v>346</v>
      </c>
      <c r="H2673" s="16" t="s">
        <v>300</v>
      </c>
      <c r="I2673" s="16" t="s">
        <v>3413</v>
      </c>
    </row>
    <row r="2674" ht="242.25" hidden="1" customHeight="1">
      <c r="B2674" s="32" t="str">
        <f>IMAGE("https://gymvisual.com/1759-catalog_default/3-4-sit-up.jpg",4,500,500)</f>
        <v/>
      </c>
      <c r="C2674" s="30">
        <v>2673.0</v>
      </c>
      <c r="D2674" s="16" t="s">
        <v>3414</v>
      </c>
      <c r="E2674" s="16" t="s">
        <v>184</v>
      </c>
      <c r="F2674" s="16" t="s">
        <v>285</v>
      </c>
      <c r="G2674" s="16" t="s">
        <v>346</v>
      </c>
      <c r="H2674" s="16" t="s">
        <v>552</v>
      </c>
      <c r="I2674" s="16" t="s">
        <v>220</v>
      </c>
    </row>
    <row r="2675" ht="242.25" hidden="1" customHeight="1">
      <c r="B2675" s="32" t="str">
        <f>IMAGE("https://gymvisual.com/8953-catalog_default/lever-leg-extension-female.jpg",4,500,500)</f>
        <v/>
      </c>
      <c r="C2675" s="30">
        <v>2674.0</v>
      </c>
      <c r="D2675" s="16" t="s">
        <v>3415</v>
      </c>
      <c r="E2675" s="16" t="s">
        <v>184</v>
      </c>
      <c r="F2675" s="16" t="s">
        <v>285</v>
      </c>
      <c r="G2675" s="16" t="s">
        <v>346</v>
      </c>
      <c r="H2675" s="16" t="s">
        <v>552</v>
      </c>
      <c r="I2675" s="16" t="s">
        <v>220</v>
      </c>
    </row>
    <row r="2676" ht="242.25" hidden="1" customHeight="1">
      <c r="B2676" s="32" t="str">
        <f>IMAGE("https://gymvisual.com/7725-catalog_default/lever-leg-extension-plate-loaded.jpg",4,500,500)</f>
        <v/>
      </c>
      <c r="C2676" s="30">
        <v>2675.0</v>
      </c>
      <c r="D2676" s="16" t="s">
        <v>3416</v>
      </c>
      <c r="E2676" s="16" t="s">
        <v>184</v>
      </c>
      <c r="F2676" s="16" t="s">
        <v>285</v>
      </c>
      <c r="G2676" s="16" t="s">
        <v>346</v>
      </c>
      <c r="H2676" s="16" t="s">
        <v>220</v>
      </c>
      <c r="I2676" s="16" t="s">
        <v>220</v>
      </c>
    </row>
    <row r="2677" ht="242.25" hidden="1" customHeight="1">
      <c r="B2677" s="32" t="str">
        <f>IMAGE("https://gymvisual.com/18061-catalog_default/lever-low-row-plate-loaded.jpg",4,500,500)</f>
        <v/>
      </c>
      <c r="C2677" s="30">
        <v>2676.0</v>
      </c>
      <c r="D2677" s="16" t="s">
        <v>3417</v>
      </c>
      <c r="E2677" s="16" t="s">
        <v>184</v>
      </c>
      <c r="F2677" s="16" t="s">
        <v>192</v>
      </c>
      <c r="G2677" s="16" t="s">
        <v>346</v>
      </c>
      <c r="H2677" s="16" t="s">
        <v>570</v>
      </c>
      <c r="I2677" s="16" t="s">
        <v>447</v>
      </c>
    </row>
    <row r="2678" ht="242.25" hidden="1" customHeight="1">
      <c r="B2678" s="32" t="str">
        <f>IMAGE("https://gymvisual.com/17857-catalog_default/lever-lying-banded-t-bar-row.jpg",4,500,500)</f>
        <v/>
      </c>
      <c r="C2678" s="30">
        <v>2677.0</v>
      </c>
      <c r="D2678" s="16" t="s">
        <v>3418</v>
      </c>
      <c r="E2678" s="16" t="s">
        <v>184</v>
      </c>
      <c r="F2678" s="16" t="s">
        <v>192</v>
      </c>
      <c r="G2678" s="16" t="s">
        <v>346</v>
      </c>
      <c r="H2678" s="16" t="s">
        <v>220</v>
      </c>
      <c r="I2678" s="16" t="s">
        <v>220</v>
      </c>
    </row>
    <row r="2679" ht="242.25" hidden="1" customHeight="1">
      <c r="B2679" s="32" t="str">
        <f>IMAGE("https://gymvisual.com/2939-catalog_default/lever-lying-chest-press-plate-loaded.jpg",4,500,500)</f>
        <v/>
      </c>
      <c r="C2679" s="30">
        <v>2678.0</v>
      </c>
      <c r="D2679" s="16" t="s">
        <v>3419</v>
      </c>
      <c r="E2679" s="16" t="s">
        <v>184</v>
      </c>
      <c r="F2679" s="16" t="s">
        <v>234</v>
      </c>
      <c r="G2679" s="16" t="s">
        <v>346</v>
      </c>
      <c r="H2679" s="16" t="s">
        <v>347</v>
      </c>
      <c r="I2679" s="16" t="s">
        <v>382</v>
      </c>
    </row>
    <row r="2680" ht="242.25" hidden="1" customHeight="1">
      <c r="B2680" s="32" t="str">
        <f>IMAGE("https://gymvisual.com/14284-catalog_default/lever-lying-chest-press-plate-loaded-female.jpg",4,500,500)</f>
        <v/>
      </c>
      <c r="C2680" s="30">
        <v>2679.0</v>
      </c>
      <c r="D2680" s="16" t="s">
        <v>3420</v>
      </c>
      <c r="E2680" s="16" t="s">
        <v>184</v>
      </c>
      <c r="F2680" s="16" t="s">
        <v>234</v>
      </c>
      <c r="G2680" s="16" t="s">
        <v>346</v>
      </c>
      <c r="H2680" s="16" t="s">
        <v>235</v>
      </c>
      <c r="I2680" s="16" t="s">
        <v>243</v>
      </c>
    </row>
    <row r="2681" ht="242.25" hidden="1" customHeight="1">
      <c r="B2681" s="32" t="str">
        <f>IMAGE("https://gymvisual.com/9697-catalog_default/lever-lying-crunch.jpg",4,500,500)</f>
        <v/>
      </c>
      <c r="C2681" s="30">
        <v>2680.0</v>
      </c>
      <c r="D2681" s="16" t="s">
        <v>3421</v>
      </c>
      <c r="E2681" s="16" t="s">
        <v>184</v>
      </c>
      <c r="F2681" s="16" t="s">
        <v>254</v>
      </c>
      <c r="G2681" s="16" t="s">
        <v>346</v>
      </c>
      <c r="H2681" s="16" t="s">
        <v>256</v>
      </c>
      <c r="I2681" s="16" t="s">
        <v>257</v>
      </c>
    </row>
    <row r="2682" ht="242.25" hidden="1" customHeight="1">
      <c r="B2682" s="32" t="str">
        <f>IMAGE("https://gymvisual.com/10139-catalog_default/lever-lying-crunch-version-2-female.jpg",4,500,500)</f>
        <v/>
      </c>
      <c r="C2682" s="30">
        <v>2681.0</v>
      </c>
      <c r="D2682" s="16" t="s">
        <v>3422</v>
      </c>
      <c r="E2682" s="16" t="s">
        <v>184</v>
      </c>
      <c r="F2682" s="16" t="s">
        <v>254</v>
      </c>
      <c r="G2682" s="16" t="s">
        <v>346</v>
      </c>
      <c r="H2682" s="16" t="s">
        <v>256</v>
      </c>
      <c r="I2682" s="16" t="s">
        <v>257</v>
      </c>
    </row>
    <row r="2683" ht="242.25" hidden="1" customHeight="1">
      <c r="B2683" s="32" t="str">
        <f>IMAGE("https://gymvisual.com/1762-catalog_default/3-4-sit-up.jpg",4,500,500)</f>
        <v/>
      </c>
      <c r="C2683" s="30">
        <v>2682.0</v>
      </c>
      <c r="D2683" s="16" t="s">
        <v>3423</v>
      </c>
      <c r="E2683" s="16" t="s">
        <v>184</v>
      </c>
      <c r="F2683" s="16" t="s">
        <v>285</v>
      </c>
      <c r="G2683" s="16" t="s">
        <v>346</v>
      </c>
      <c r="H2683" s="16" t="s">
        <v>188</v>
      </c>
      <c r="I2683" s="16" t="s">
        <v>561</v>
      </c>
    </row>
    <row r="2684" ht="242.25" hidden="1" customHeight="1">
      <c r="B2684" s="32" t="str">
        <f>IMAGE("https://gymvisual.com/9583-catalog_default/lever-lying-leg-curl-female.jpg",4,500,500)</f>
        <v/>
      </c>
      <c r="C2684" s="30">
        <v>2683.0</v>
      </c>
      <c r="D2684" s="16" t="s">
        <v>3424</v>
      </c>
      <c r="E2684" s="16" t="s">
        <v>184</v>
      </c>
      <c r="F2684" s="16" t="s">
        <v>285</v>
      </c>
      <c r="G2684" s="16" t="s">
        <v>346</v>
      </c>
      <c r="H2684" s="16" t="s">
        <v>188</v>
      </c>
      <c r="I2684" s="16" t="s">
        <v>665</v>
      </c>
    </row>
    <row r="2685" ht="242.25" hidden="1" customHeight="1">
      <c r="B2685" s="32" t="str">
        <f>IMAGE("https://gymvisual.com/7706-catalog_default/lever-lying-leg-raise-bent-knee.jpg",4,500,500)</f>
        <v/>
      </c>
      <c r="C2685" s="30">
        <v>2684.0</v>
      </c>
      <c r="D2685" s="16" t="s">
        <v>3425</v>
      </c>
      <c r="E2685" s="16" t="s">
        <v>184</v>
      </c>
      <c r="F2685" s="16" t="s">
        <v>254</v>
      </c>
      <c r="G2685" s="16" t="s">
        <v>346</v>
      </c>
      <c r="H2685" s="16" t="s">
        <v>305</v>
      </c>
      <c r="I2685" s="16" t="s">
        <v>289</v>
      </c>
    </row>
    <row r="2686" ht="242.25" hidden="1" customHeight="1">
      <c r="B2686" s="32" t="str">
        <f>IMAGE("https://gymvisual.com/6837-catalog_default/lever-lying-single-leg-curl.jpg",4,500,500)</f>
        <v/>
      </c>
      <c r="C2686" s="30">
        <v>2685.0</v>
      </c>
      <c r="D2686" s="16" t="s">
        <v>3426</v>
      </c>
      <c r="E2686" s="16" t="s">
        <v>184</v>
      </c>
      <c r="F2686" s="16" t="s">
        <v>285</v>
      </c>
      <c r="G2686" s="16" t="s">
        <v>346</v>
      </c>
      <c r="H2686" s="16" t="s">
        <v>188</v>
      </c>
      <c r="I2686" s="16" t="s">
        <v>665</v>
      </c>
    </row>
    <row r="2687" ht="242.25" hidden="1" customHeight="1">
      <c r="B2687" s="32" t="str">
        <f>IMAGE("https://gymvisual.com/22155-catalog_default/lever-lying-single-leg-curl-female.jpg",4,500,500)</f>
        <v/>
      </c>
      <c r="C2687" s="30">
        <v>2686.0</v>
      </c>
      <c r="D2687" s="16" t="s">
        <v>3427</v>
      </c>
      <c r="E2687" s="16" t="s">
        <v>184</v>
      </c>
      <c r="F2687" s="16" t="s">
        <v>285</v>
      </c>
      <c r="G2687" s="16" t="s">
        <v>346</v>
      </c>
      <c r="H2687" s="16" t="s">
        <v>188</v>
      </c>
      <c r="I2687" s="16" t="s">
        <v>665</v>
      </c>
    </row>
    <row r="2688" ht="242.25" hidden="1" customHeight="1">
      <c r="B2688" s="32" t="str">
        <f>IMAGE("https://gymvisual.com/4520-catalog_default/lever-lying-t-bar-row.jpg",4,500,500)</f>
        <v/>
      </c>
      <c r="C2688" s="30">
        <v>2687.0</v>
      </c>
      <c r="D2688" s="16" t="s">
        <v>3428</v>
      </c>
      <c r="E2688" s="16" t="s">
        <v>184</v>
      </c>
      <c r="F2688" s="16" t="s">
        <v>192</v>
      </c>
      <c r="G2688" s="16" t="s">
        <v>346</v>
      </c>
      <c r="H2688" s="16" t="s">
        <v>329</v>
      </c>
      <c r="I2688" s="16" t="s">
        <v>3429</v>
      </c>
    </row>
    <row r="2689" ht="242.25" hidden="1" customHeight="1">
      <c r="B2689" s="32" t="str">
        <f>IMAGE("https://gymvisual.com/12857-catalog_default/lever-lying-two-one-leg-curl.jpg",4,500,500)</f>
        <v/>
      </c>
      <c r="C2689" s="30">
        <v>2688.0</v>
      </c>
      <c r="D2689" s="16" t="s">
        <v>3430</v>
      </c>
      <c r="E2689" s="16" t="s">
        <v>184</v>
      </c>
      <c r="F2689" s="16" t="s">
        <v>285</v>
      </c>
      <c r="G2689" s="16" t="s">
        <v>346</v>
      </c>
      <c r="H2689" s="16" t="s">
        <v>188</v>
      </c>
      <c r="I2689" s="16" t="s">
        <v>368</v>
      </c>
    </row>
    <row r="2690" ht="242.25" hidden="1" customHeight="1">
      <c r="B2690" s="32" t="str">
        <f>IMAGE("https://gymvisual.com/1765-catalog_default/3-4-sit-up.jpg",4,500,500)</f>
        <v/>
      </c>
      <c r="C2690" s="30">
        <v>2689.0</v>
      </c>
      <c r="D2690" s="16" t="s">
        <v>3431</v>
      </c>
      <c r="E2690" s="16" t="s">
        <v>184</v>
      </c>
      <c r="F2690" s="16" t="s">
        <v>228</v>
      </c>
      <c r="G2690" s="16" t="s">
        <v>346</v>
      </c>
      <c r="H2690" s="16" t="s">
        <v>229</v>
      </c>
      <c r="I2690" s="16" t="s">
        <v>626</v>
      </c>
    </row>
    <row r="2691" ht="242.25" hidden="1" customHeight="1">
      <c r="B2691" s="32" t="str">
        <f>IMAGE("https://gymvisual.com/13471-catalog_default/lever-military-press-plate-loaded-female.jpg",4,500,500)</f>
        <v/>
      </c>
      <c r="C2691" s="30">
        <v>2690.0</v>
      </c>
      <c r="D2691" s="16" t="s">
        <v>3432</v>
      </c>
      <c r="E2691" s="16" t="s">
        <v>184</v>
      </c>
      <c r="F2691" s="16" t="s">
        <v>228</v>
      </c>
      <c r="G2691" s="16" t="s">
        <v>346</v>
      </c>
      <c r="H2691" s="16" t="s">
        <v>229</v>
      </c>
      <c r="I2691" s="16" t="s">
        <v>230</v>
      </c>
    </row>
    <row r="2692" ht="242.25" hidden="1" customHeight="1">
      <c r="B2692" s="32" t="str">
        <f>IMAGE("https://gymvisual.com/13473-catalog_default/lever-narrow-grip-seated-row-plate-loaded-female.jpg",4,500,500)</f>
        <v/>
      </c>
      <c r="C2692" s="30">
        <v>2691.0</v>
      </c>
      <c r="D2692" s="16" t="s">
        <v>3433</v>
      </c>
      <c r="E2692" s="16" t="s">
        <v>184</v>
      </c>
      <c r="F2692" s="16" t="s">
        <v>192</v>
      </c>
      <c r="G2692" s="16" t="s">
        <v>346</v>
      </c>
      <c r="H2692" s="16" t="s">
        <v>220</v>
      </c>
      <c r="I2692" s="16" t="s">
        <v>220</v>
      </c>
    </row>
    <row r="2693" ht="242.25" hidden="1" customHeight="1">
      <c r="B2693" s="32" t="str">
        <f>IMAGE("https://gymvisual.com/9715-catalog_default/lever-neck-extension-plate-loaded.jpg",4,500,500)</f>
        <v/>
      </c>
      <c r="C2693" s="30">
        <v>2692.0</v>
      </c>
      <c r="D2693" s="16" t="s">
        <v>3434</v>
      </c>
      <c r="E2693" s="16" t="s">
        <v>184</v>
      </c>
      <c r="F2693" s="16" t="s">
        <v>351</v>
      </c>
      <c r="G2693" s="16" t="s">
        <v>346</v>
      </c>
      <c r="H2693" s="16" t="s">
        <v>220</v>
      </c>
      <c r="I2693" s="16" t="s">
        <v>220</v>
      </c>
    </row>
    <row r="2694" ht="242.25" hidden="1" customHeight="1">
      <c r="B2694" s="32" t="str">
        <f>IMAGE("https://gymvisual.com/9716-catalog_default/lever-neck-left-side-flexion-plate-loaded.jpg",4,500,500)</f>
        <v/>
      </c>
      <c r="C2694" s="30">
        <v>2693.0</v>
      </c>
      <c r="D2694" s="16" t="s">
        <v>3435</v>
      </c>
      <c r="E2694" s="16" t="s">
        <v>184</v>
      </c>
      <c r="F2694" s="16" t="s">
        <v>351</v>
      </c>
      <c r="G2694" s="16" t="s">
        <v>346</v>
      </c>
      <c r="H2694" s="16" t="s">
        <v>220</v>
      </c>
      <c r="I2694" s="16" t="s">
        <v>220</v>
      </c>
    </row>
    <row r="2695" ht="242.25" hidden="1" customHeight="1">
      <c r="B2695" s="32" t="str">
        <f>IMAGE("https://gymvisual.com/9717-catalog_default/lever-neck-right-side-flexion-plate-loaded.jpg",4,500,500)</f>
        <v/>
      </c>
      <c r="C2695" s="30">
        <v>2694.0</v>
      </c>
      <c r="D2695" s="16" t="s">
        <v>3436</v>
      </c>
      <c r="E2695" s="16" t="s">
        <v>184</v>
      </c>
      <c r="F2695" s="16" t="s">
        <v>351</v>
      </c>
      <c r="G2695" s="16" t="s">
        <v>346</v>
      </c>
      <c r="H2695" s="16" t="s">
        <v>220</v>
      </c>
      <c r="I2695" s="16" t="s">
        <v>220</v>
      </c>
    </row>
    <row r="2696" ht="242.25" hidden="1" customHeight="1">
      <c r="B2696" s="32" t="str">
        <f>IMAGE("https://gymvisual.com/23441-catalog_default/lever-neutral-grip-seated-row-plate-loaded.jpg",4,500,500)</f>
        <v/>
      </c>
      <c r="C2696" s="30">
        <v>2695.0</v>
      </c>
      <c r="D2696" s="16" t="s">
        <v>3437</v>
      </c>
      <c r="E2696" s="16" t="s">
        <v>184</v>
      </c>
      <c r="F2696" s="16" t="s">
        <v>192</v>
      </c>
      <c r="G2696" s="16" t="s">
        <v>346</v>
      </c>
      <c r="H2696" s="16" t="s">
        <v>329</v>
      </c>
      <c r="I2696" s="16" t="s">
        <v>457</v>
      </c>
    </row>
    <row r="2697" ht="242.25" customHeight="1">
      <c r="A2697" s="32" t="b">
        <v>0</v>
      </c>
      <c r="B2697" s="32" t="str">
        <f>IMAGE("https://gymvisual.com/1771-catalog_default/3-4-sit-up.jpg",4,500,500)</f>
        <v/>
      </c>
      <c r="C2697" s="30">
        <v>2696.0</v>
      </c>
      <c r="D2697" s="16" t="s">
        <v>3438</v>
      </c>
      <c r="E2697" s="16" t="s">
        <v>184</v>
      </c>
      <c r="F2697" s="16" t="s">
        <v>192</v>
      </c>
      <c r="G2697" s="16" t="s">
        <v>186</v>
      </c>
      <c r="H2697" s="16" t="s">
        <v>329</v>
      </c>
      <c r="I2697" s="16" t="s">
        <v>457</v>
      </c>
    </row>
    <row r="2698" ht="242.25" hidden="1" customHeight="1">
      <c r="B2698" s="32" t="str">
        <f>IMAGE("https://gymvisual.com/13291-catalog_default/lever-one-arm-chest-press-plate-loaded.jpg",4,500,500)</f>
        <v/>
      </c>
      <c r="C2698" s="30">
        <v>2697.0</v>
      </c>
      <c r="D2698" s="16" t="s">
        <v>3439</v>
      </c>
      <c r="E2698" s="16" t="s">
        <v>184</v>
      </c>
      <c r="F2698" s="16" t="s">
        <v>234</v>
      </c>
      <c r="G2698" s="16" t="s">
        <v>346</v>
      </c>
      <c r="H2698" s="16" t="s">
        <v>220</v>
      </c>
      <c r="I2698" s="16" t="s">
        <v>220</v>
      </c>
    </row>
    <row r="2699" ht="242.25" hidden="1" customHeight="1">
      <c r="B2699" s="32" t="str">
        <f>IMAGE("https://gymvisual.com/13293-catalog_default/lever-one-arm-chest-press-plate-loaded-female.jpg",4,500,500)</f>
        <v/>
      </c>
      <c r="C2699" s="30">
        <v>2698.0</v>
      </c>
      <c r="D2699" s="16" t="s">
        <v>3440</v>
      </c>
      <c r="E2699" s="16" t="s">
        <v>184</v>
      </c>
      <c r="F2699" s="16" t="s">
        <v>234</v>
      </c>
      <c r="G2699" s="16" t="s">
        <v>346</v>
      </c>
      <c r="H2699" s="16" t="s">
        <v>220</v>
      </c>
      <c r="I2699" s="16" t="s">
        <v>220</v>
      </c>
    </row>
    <row r="2700" ht="242.25" hidden="1" customHeight="1">
      <c r="B2700" s="32" t="str">
        <f>IMAGE("https://gymvisual.com/24766-catalog_default/lever-one-arm-incline-chest-press-plate-loaded.jpg",4,500,500)</f>
        <v/>
      </c>
      <c r="C2700" s="30">
        <v>2699.0</v>
      </c>
      <c r="D2700" s="16" t="s">
        <v>3441</v>
      </c>
      <c r="E2700" s="16" t="s">
        <v>184</v>
      </c>
      <c r="F2700" s="16" t="s">
        <v>234</v>
      </c>
      <c r="G2700" s="16" t="s">
        <v>346</v>
      </c>
      <c r="H2700" s="16" t="s">
        <v>220</v>
      </c>
      <c r="I2700" s="16" t="s">
        <v>220</v>
      </c>
    </row>
    <row r="2701" ht="242.25" hidden="1" customHeight="1">
      <c r="B2701" s="32" t="str">
        <f>IMAGE("https://gymvisual.com/6047-catalog_default/lever-one-arm-lateral-high-row.jpg",4,500,500)</f>
        <v/>
      </c>
      <c r="C2701" s="30">
        <v>2700.0</v>
      </c>
      <c r="D2701" s="16" t="s">
        <v>3442</v>
      </c>
      <c r="E2701" s="16" t="s">
        <v>184</v>
      </c>
      <c r="F2701" s="16" t="s">
        <v>192</v>
      </c>
      <c r="G2701" s="16" t="s">
        <v>346</v>
      </c>
      <c r="H2701" s="16" t="s">
        <v>329</v>
      </c>
      <c r="I2701" s="16" t="s">
        <v>457</v>
      </c>
    </row>
    <row r="2702" ht="242.25" hidden="1" customHeight="1">
      <c r="B2702" s="32" t="str">
        <f>IMAGE("https://gymvisual.com/6038-catalog_default/lever-one-arm-lateral-wide-pulldown-plate-loaded.jpg",4,500,500)</f>
        <v/>
      </c>
      <c r="C2702" s="30">
        <v>2701.0</v>
      </c>
      <c r="D2702" s="16" t="s">
        <v>3443</v>
      </c>
      <c r="E2702" s="16" t="s">
        <v>184</v>
      </c>
      <c r="F2702" s="16" t="s">
        <v>192</v>
      </c>
      <c r="G2702" s="16" t="s">
        <v>346</v>
      </c>
      <c r="H2702" s="16" t="s">
        <v>300</v>
      </c>
      <c r="I2702" s="16" t="s">
        <v>3444</v>
      </c>
    </row>
    <row r="2703" ht="242.25" hidden="1" customHeight="1">
      <c r="B2703" s="32" t="str">
        <f>IMAGE("https://gymvisual.com/18063-catalog_default/lever-one-arm-low-row-plate-loaded.jpg",4,500,500)</f>
        <v/>
      </c>
      <c r="C2703" s="30">
        <v>2702.0</v>
      </c>
      <c r="D2703" s="16" t="s">
        <v>3445</v>
      </c>
      <c r="E2703" s="16" t="s">
        <v>184</v>
      </c>
      <c r="F2703" s="16" t="s">
        <v>192</v>
      </c>
      <c r="G2703" s="16" t="s">
        <v>346</v>
      </c>
      <c r="H2703" s="16" t="s">
        <v>220</v>
      </c>
      <c r="I2703" s="16" t="s">
        <v>220</v>
      </c>
    </row>
    <row r="2704" ht="242.25" hidden="1" customHeight="1">
      <c r="B2704" s="32" t="str">
        <f>IMAGE("https://gymvisual.com/4606-catalog_default/lever-one-arm-seated-row-seated-row-machine.jpg",4,500,500)</f>
        <v/>
      </c>
      <c r="C2704" s="30">
        <v>2703.0</v>
      </c>
      <c r="D2704" s="16" t="s">
        <v>3446</v>
      </c>
      <c r="E2704" s="16" t="s">
        <v>184</v>
      </c>
      <c r="F2704" s="16" t="s">
        <v>192</v>
      </c>
      <c r="G2704" s="16" t="s">
        <v>346</v>
      </c>
      <c r="H2704" s="16" t="s">
        <v>329</v>
      </c>
      <c r="I2704" s="16" t="s">
        <v>457</v>
      </c>
    </row>
    <row r="2705" ht="242.25" hidden="1" customHeight="1">
      <c r="B2705" s="32" t="str">
        <f>IMAGE("https://gymvisual.com/1774-catalog_default/3-4-sit-up.jpg",4,500,500)</f>
        <v/>
      </c>
      <c r="C2705" s="30">
        <v>2704.0</v>
      </c>
      <c r="D2705" s="16" t="s">
        <v>3447</v>
      </c>
      <c r="E2705" s="16" t="s">
        <v>184</v>
      </c>
      <c r="F2705" s="16" t="s">
        <v>228</v>
      </c>
      <c r="G2705" s="16" t="s">
        <v>346</v>
      </c>
      <c r="H2705" s="16" t="s">
        <v>229</v>
      </c>
      <c r="I2705" s="16" t="s">
        <v>3448</v>
      </c>
    </row>
    <row r="2706" ht="242.25" hidden="1" customHeight="1">
      <c r="B2706" s="32" t="str">
        <f>IMAGE("https://gymvisual.com/25657-catalog_default/lever-one-arm-side-chest-press-male.jpg",4,500,500)</f>
        <v/>
      </c>
      <c r="C2706" s="30">
        <v>2705.0</v>
      </c>
      <c r="D2706" s="16" t="s">
        <v>3449</v>
      </c>
      <c r="E2706" s="16" t="s">
        <v>184</v>
      </c>
      <c r="F2706" s="16" t="s">
        <v>234</v>
      </c>
      <c r="G2706" s="16" t="s">
        <v>346</v>
      </c>
      <c r="H2706" s="16" t="s">
        <v>220</v>
      </c>
      <c r="I2706" s="16" t="s">
        <v>220</v>
      </c>
    </row>
    <row r="2707" ht="242.25" hidden="1" customHeight="1">
      <c r="B2707" s="32" t="str">
        <f>IMAGE("https://gymvisual.com/6818-catalog_default/lever-one-leg-extension.jpg",4,500,500)</f>
        <v/>
      </c>
      <c r="C2707" s="30">
        <v>2706.0</v>
      </c>
      <c r="D2707" s="16" t="s">
        <v>3450</v>
      </c>
      <c r="E2707" s="16" t="s">
        <v>184</v>
      </c>
      <c r="F2707" s="16" t="s">
        <v>285</v>
      </c>
      <c r="G2707" s="16" t="s">
        <v>346</v>
      </c>
      <c r="H2707" s="16" t="s">
        <v>552</v>
      </c>
      <c r="I2707" s="16" t="s">
        <v>220</v>
      </c>
    </row>
    <row r="2708" ht="242.25" hidden="1" customHeight="1">
      <c r="B2708" s="32" t="str">
        <f>IMAGE("https://gymvisual.com/1777-catalog_default/3-4-sit-up.jpg",4,500,500)</f>
        <v/>
      </c>
      <c r="C2708" s="30">
        <v>2707.0</v>
      </c>
      <c r="D2708" s="16" t="s">
        <v>3451</v>
      </c>
      <c r="E2708" s="16" t="s">
        <v>184</v>
      </c>
      <c r="F2708" s="16" t="s">
        <v>219</v>
      </c>
      <c r="G2708" s="16" t="s">
        <v>346</v>
      </c>
      <c r="H2708" s="16" t="s">
        <v>223</v>
      </c>
      <c r="I2708" s="16" t="s">
        <v>394</v>
      </c>
    </row>
    <row r="2709" ht="242.25" hidden="1" customHeight="1">
      <c r="B2709" s="32" t="str">
        <f>IMAGE("https://gymvisual.com/2927-catalog_default/lever-parallel-chest-press.jpg",4,500,500)</f>
        <v/>
      </c>
      <c r="C2709" s="30">
        <v>2708.0</v>
      </c>
      <c r="D2709" s="16" t="s">
        <v>3452</v>
      </c>
      <c r="E2709" s="16" t="s">
        <v>184</v>
      </c>
      <c r="F2709" s="16" t="s">
        <v>234</v>
      </c>
      <c r="G2709" s="16" t="s">
        <v>346</v>
      </c>
      <c r="H2709" s="16" t="s">
        <v>187</v>
      </c>
      <c r="I2709" s="16" t="s">
        <v>188</v>
      </c>
    </row>
    <row r="2710" ht="242.25" hidden="1" customHeight="1">
      <c r="B2710" s="32" t="str">
        <f>IMAGE("https://gymvisual.com/2928-catalog_default/lever-pec-deck-fly.jpg",4,500,500)</f>
        <v/>
      </c>
      <c r="C2710" s="30">
        <v>2709.0</v>
      </c>
      <c r="D2710" s="16" t="s">
        <v>3453</v>
      </c>
      <c r="E2710" s="16" t="s">
        <v>184</v>
      </c>
      <c r="F2710" s="16" t="s">
        <v>234</v>
      </c>
      <c r="G2710" s="16" t="s">
        <v>346</v>
      </c>
      <c r="H2710" s="16" t="s">
        <v>241</v>
      </c>
      <c r="I2710" s="16" t="s">
        <v>292</v>
      </c>
    </row>
    <row r="2711" ht="242.25" hidden="1" customHeight="1">
      <c r="B2711" s="32" t="str">
        <f>IMAGE("https://gymvisual.com/10522-catalog_default/lever-pec-deck-fly-female.jpg",4,500,500)</f>
        <v/>
      </c>
      <c r="C2711" s="30">
        <v>2710.0</v>
      </c>
      <c r="D2711" s="16" t="s">
        <v>3454</v>
      </c>
      <c r="E2711" s="16" t="s">
        <v>184</v>
      </c>
      <c r="F2711" s="16" t="s">
        <v>234</v>
      </c>
      <c r="G2711" s="16" t="s">
        <v>346</v>
      </c>
      <c r="H2711" s="16" t="s">
        <v>347</v>
      </c>
      <c r="I2711" s="16" t="s">
        <v>389</v>
      </c>
    </row>
    <row r="2712" ht="242.25" hidden="1" customHeight="1">
      <c r="B2712" s="32" t="str">
        <f>IMAGE("https://gymvisual.com/20033-catalog_default/lever-pendulum-squat-plate-loaded.jpg",4,500,500)</f>
        <v/>
      </c>
      <c r="C2712" s="30">
        <v>2711.0</v>
      </c>
      <c r="D2712" s="16" t="s">
        <v>3455</v>
      </c>
      <c r="E2712" s="16" t="s">
        <v>184</v>
      </c>
      <c r="F2712" s="16" t="s">
        <v>294</v>
      </c>
      <c r="G2712" s="16" t="s">
        <v>346</v>
      </c>
      <c r="H2712" s="16" t="s">
        <v>189</v>
      </c>
      <c r="I2712" s="16" t="s">
        <v>190</v>
      </c>
    </row>
    <row r="2713" ht="242.25" hidden="1" customHeight="1">
      <c r="B2713" s="32" t="str">
        <f>IMAGE("https://gymvisual.com/2938-catalog_default/lever-pistol-squat.jpg",4,500,500)</f>
        <v/>
      </c>
      <c r="C2713" s="30">
        <v>2712.0</v>
      </c>
      <c r="D2713" s="16" t="s">
        <v>3456</v>
      </c>
      <c r="E2713" s="16" t="s">
        <v>184</v>
      </c>
      <c r="F2713" s="16" t="s">
        <v>285</v>
      </c>
      <c r="G2713" s="16" t="s">
        <v>346</v>
      </c>
      <c r="H2713" s="16" t="s">
        <v>3457</v>
      </c>
      <c r="I2713" s="16" t="s">
        <v>3458</v>
      </c>
    </row>
    <row r="2714" ht="242.25" hidden="1" customHeight="1">
      <c r="B2714" s="32" t="str">
        <f>IMAGE("https://gymvisual.com/20601-catalog_default/3-4-sit-up.jpg",4,500,500)</f>
        <v/>
      </c>
      <c r="C2714" s="30">
        <v>2713.0</v>
      </c>
      <c r="D2714" s="16" t="s">
        <v>3459</v>
      </c>
      <c r="E2714" s="16" t="s">
        <v>184</v>
      </c>
      <c r="F2714" s="16" t="s">
        <v>219</v>
      </c>
      <c r="G2714" s="16" t="s">
        <v>346</v>
      </c>
      <c r="H2714" s="16" t="s">
        <v>232</v>
      </c>
      <c r="I2714" s="16" t="s">
        <v>233</v>
      </c>
    </row>
    <row r="2715" ht="242.25" hidden="1" customHeight="1">
      <c r="B2715" s="32" t="str">
        <f>IMAGE("https://gymvisual.com/7724-catalog_default/lever-preacher-curl-plate-loaded.jpg",4,500,500)</f>
        <v/>
      </c>
      <c r="C2715" s="30">
        <v>2714.0</v>
      </c>
      <c r="D2715" s="16" t="s">
        <v>3460</v>
      </c>
      <c r="E2715" s="16" t="s">
        <v>184</v>
      </c>
      <c r="F2715" s="16" t="s">
        <v>219</v>
      </c>
      <c r="G2715" s="16" t="s">
        <v>346</v>
      </c>
      <c r="H2715" s="16" t="s">
        <v>232</v>
      </c>
      <c r="I2715" s="16" t="s">
        <v>233</v>
      </c>
    </row>
    <row r="2716" ht="242.25" hidden="1" customHeight="1">
      <c r="B2716" s="32" t="str">
        <f>IMAGE("https://gymvisual.com/12223-catalog_default/lever-preacher-curl-plate-loaded.jpg",4,500,500)</f>
        <v/>
      </c>
      <c r="C2716" s="30">
        <v>2715.0</v>
      </c>
      <c r="D2716" s="16" t="s">
        <v>3460</v>
      </c>
      <c r="E2716" s="16" t="s">
        <v>184</v>
      </c>
      <c r="F2716" s="16" t="s">
        <v>219</v>
      </c>
      <c r="G2716" s="16" t="s">
        <v>346</v>
      </c>
      <c r="H2716" s="16" t="s">
        <v>232</v>
      </c>
      <c r="I2716" s="16" t="s">
        <v>233</v>
      </c>
    </row>
    <row r="2717" ht="242.25" hidden="1" customHeight="1">
      <c r="B2717" s="32" t="str">
        <f>IMAGE("https://gymvisual.com/13475-catalog_default/lever-preacher-curl-plate-loaded-female.jpg",4,500,500)</f>
        <v/>
      </c>
      <c r="C2717" s="30">
        <v>2716.0</v>
      </c>
      <c r="D2717" s="16" t="s">
        <v>3461</v>
      </c>
      <c r="E2717" s="16" t="s">
        <v>184</v>
      </c>
      <c r="F2717" s="16" t="s">
        <v>219</v>
      </c>
      <c r="G2717" s="16" t="s">
        <v>346</v>
      </c>
      <c r="H2717" s="16" t="s">
        <v>220</v>
      </c>
      <c r="I2717" s="16" t="s">
        <v>220</v>
      </c>
    </row>
    <row r="2718" ht="242.25" hidden="1" customHeight="1">
      <c r="B2718" s="32" t="str">
        <f>IMAGE("https://gymvisual.com/20594-catalog_default/lever-preacher-curl-turned-torso.jpg",4,500,500)</f>
        <v/>
      </c>
      <c r="C2718" s="30">
        <v>2717.0</v>
      </c>
      <c r="D2718" s="16" t="s">
        <v>3462</v>
      </c>
      <c r="E2718" s="16" t="s">
        <v>184</v>
      </c>
      <c r="F2718" s="16" t="s">
        <v>219</v>
      </c>
      <c r="G2718" s="16" t="s">
        <v>346</v>
      </c>
      <c r="H2718" s="16" t="s">
        <v>232</v>
      </c>
      <c r="I2718" s="16" t="s">
        <v>233</v>
      </c>
    </row>
    <row r="2719" ht="242.25" hidden="1" customHeight="1">
      <c r="B2719" s="32" t="str">
        <f>IMAGE("https://gymvisual.com/7085-catalog_default/lever-preacher-curl-version-2.jpg",4,500,500)</f>
        <v/>
      </c>
      <c r="C2719" s="30">
        <v>2718.0</v>
      </c>
      <c r="D2719" s="16" t="s">
        <v>3463</v>
      </c>
      <c r="E2719" s="16" t="s">
        <v>184</v>
      </c>
      <c r="F2719" s="16" t="s">
        <v>219</v>
      </c>
      <c r="G2719" s="16" t="s">
        <v>346</v>
      </c>
      <c r="H2719" s="16" t="s">
        <v>232</v>
      </c>
      <c r="I2719" s="16" t="s">
        <v>233</v>
      </c>
    </row>
    <row r="2720" ht="242.25" hidden="1" customHeight="1">
      <c r="B2720" s="32" t="str">
        <f>IMAGE("https://gymvisual.com/12058-catalog_default/lever-preacher-curl-version-2-female.jpg",4,500,500)</f>
        <v/>
      </c>
      <c r="C2720" s="30">
        <v>2719.0</v>
      </c>
      <c r="D2720" s="16" t="s">
        <v>3464</v>
      </c>
      <c r="E2720" s="16" t="s">
        <v>184</v>
      </c>
      <c r="F2720" s="16" t="s">
        <v>219</v>
      </c>
      <c r="G2720" s="16" t="s">
        <v>346</v>
      </c>
      <c r="H2720" s="16" t="s">
        <v>232</v>
      </c>
      <c r="I2720" s="16" t="s">
        <v>233</v>
      </c>
    </row>
    <row r="2721" ht="242.25" hidden="1" customHeight="1">
      <c r="B2721" s="32" t="str">
        <f>IMAGE("https://gymvisual.com/23447-catalog_default/lever-pronated-grip-seated-row-plate-loaded.jpg",4,500,500)</f>
        <v/>
      </c>
      <c r="C2721" s="30">
        <v>2720.0</v>
      </c>
      <c r="D2721" s="16" t="s">
        <v>3465</v>
      </c>
      <c r="E2721" s="16" t="s">
        <v>184</v>
      </c>
      <c r="F2721" s="16" t="s">
        <v>192</v>
      </c>
      <c r="G2721" s="16" t="s">
        <v>346</v>
      </c>
      <c r="H2721" s="16" t="s">
        <v>570</v>
      </c>
      <c r="I2721" s="16" t="s">
        <v>447</v>
      </c>
    </row>
    <row r="2722" ht="242.25" hidden="1" customHeight="1">
      <c r="B2722" s="32" t="str">
        <f>IMAGE("https://gymvisual.com/23451-catalog_default/lever-pronated-grip-seated-scapular-retraction-shrug-plate-loaded.jpg",4,500,500)</f>
        <v/>
      </c>
      <c r="C2722" s="30">
        <v>2721.0</v>
      </c>
      <c r="D2722" s="16" t="s">
        <v>3466</v>
      </c>
      <c r="E2722" s="16" t="s">
        <v>184</v>
      </c>
      <c r="F2722" s="16" t="s">
        <v>192</v>
      </c>
      <c r="G2722" s="16" t="s">
        <v>346</v>
      </c>
      <c r="H2722" s="16" t="s">
        <v>3467</v>
      </c>
      <c r="I2722" s="16" t="s">
        <v>3468</v>
      </c>
    </row>
    <row r="2723" ht="242.25" hidden="1" customHeight="1">
      <c r="B2723" s="32" t="str">
        <f>IMAGE("https://gymvisual.com/9718-catalog_default/lever-pullover-plate-loaded.jpg",4,500,500)</f>
        <v/>
      </c>
      <c r="C2723" s="30">
        <v>2722.0</v>
      </c>
      <c r="D2723" s="16" t="s">
        <v>3469</v>
      </c>
      <c r="E2723" s="16" t="s">
        <v>184</v>
      </c>
      <c r="F2723" s="16" t="s">
        <v>192</v>
      </c>
      <c r="G2723" s="16" t="s">
        <v>346</v>
      </c>
      <c r="H2723" s="16" t="s">
        <v>347</v>
      </c>
      <c r="I2723" s="16" t="s">
        <v>2362</v>
      </c>
    </row>
    <row r="2724" ht="242.25" hidden="1" customHeight="1">
      <c r="B2724" s="32" t="str">
        <f>IMAGE("https://gymvisual.com/19425-catalog_default/lever-reverse-grip-high-row-plate-loaded.jpg",4,500,500)</f>
        <v/>
      </c>
      <c r="C2724" s="30">
        <v>2723.0</v>
      </c>
      <c r="D2724" s="16" t="s">
        <v>3470</v>
      </c>
      <c r="E2724" s="16" t="s">
        <v>184</v>
      </c>
      <c r="F2724" s="16" t="s">
        <v>192</v>
      </c>
      <c r="G2724" s="16" t="s">
        <v>346</v>
      </c>
      <c r="H2724" s="16" t="s">
        <v>220</v>
      </c>
      <c r="I2724" s="16" t="s">
        <v>220</v>
      </c>
    </row>
    <row r="2725" ht="242.25" hidden="1" customHeight="1">
      <c r="B2725" s="32" t="str">
        <f>IMAGE("https://gymvisual.com/10897-catalog_default/lever-reverse-grip-lateral-pulldown-plate-loaded.jpg",4,500,500)</f>
        <v/>
      </c>
      <c r="C2725" s="30">
        <v>2724.0</v>
      </c>
      <c r="D2725" s="16" t="s">
        <v>3471</v>
      </c>
      <c r="E2725" s="16" t="s">
        <v>184</v>
      </c>
      <c r="F2725" s="16" t="s">
        <v>192</v>
      </c>
      <c r="G2725" s="16" t="s">
        <v>346</v>
      </c>
      <c r="H2725" s="16" t="s">
        <v>300</v>
      </c>
      <c r="I2725" s="16" t="s">
        <v>708</v>
      </c>
    </row>
    <row r="2726" ht="242.25" hidden="1" customHeight="1">
      <c r="B2726" s="32" t="str">
        <f>IMAGE("https://gymvisual.com/7089-catalog_default/lever-reverse-grip-preacher-curl.jpg",4,500,500)</f>
        <v/>
      </c>
      <c r="C2726" s="30">
        <v>2725.0</v>
      </c>
      <c r="D2726" s="16" t="s">
        <v>3472</v>
      </c>
      <c r="E2726" s="16" t="s">
        <v>184</v>
      </c>
      <c r="F2726" s="16" t="s">
        <v>219</v>
      </c>
      <c r="G2726" s="16" t="s">
        <v>346</v>
      </c>
      <c r="H2726" s="16" t="s">
        <v>220</v>
      </c>
      <c r="I2726" s="16" t="s">
        <v>220</v>
      </c>
    </row>
    <row r="2727" ht="242.25" hidden="1" customHeight="1">
      <c r="B2727" s="32" t="str">
        <f>IMAGE("https://gymvisual.com/6039-catalog_default/lever-reverse-grip-vertical-row.jpg",4,500,500)</f>
        <v/>
      </c>
      <c r="C2727" s="30">
        <v>2726.0</v>
      </c>
      <c r="D2727" s="16" t="s">
        <v>3473</v>
      </c>
      <c r="E2727" s="16" t="s">
        <v>184</v>
      </c>
      <c r="F2727" s="16" t="s">
        <v>192</v>
      </c>
      <c r="G2727" s="16" t="s">
        <v>346</v>
      </c>
      <c r="H2727" s="16" t="s">
        <v>329</v>
      </c>
      <c r="I2727" s="16" t="s">
        <v>457</v>
      </c>
    </row>
    <row r="2728" ht="242.25" hidden="1" customHeight="1">
      <c r="B2728" s="32" t="str">
        <f>IMAGE("https://gymvisual.com/11387-catalog_default/lever-reverse-grip-vertical-row-female.jpg",4,500,500)</f>
        <v/>
      </c>
      <c r="C2728" s="30">
        <v>2727.0</v>
      </c>
      <c r="D2728" s="16" t="s">
        <v>3474</v>
      </c>
      <c r="E2728" s="16" t="s">
        <v>184</v>
      </c>
      <c r="F2728" s="16" t="s">
        <v>192</v>
      </c>
      <c r="G2728" s="16" t="s">
        <v>346</v>
      </c>
      <c r="H2728" s="16" t="s">
        <v>220</v>
      </c>
      <c r="I2728" s="16" t="s">
        <v>220</v>
      </c>
    </row>
    <row r="2729" ht="242.25" hidden="1" customHeight="1">
      <c r="B2729" s="32" t="str">
        <f>IMAGE("https://gymvisual.com/1783-catalog_default/3-4-sit-up.jpg",4,500,500)</f>
        <v/>
      </c>
      <c r="C2729" s="30">
        <v>2728.0</v>
      </c>
      <c r="D2729" s="16" t="s">
        <v>3475</v>
      </c>
      <c r="E2729" s="16" t="s">
        <v>184</v>
      </c>
      <c r="F2729" s="16" t="s">
        <v>185</v>
      </c>
      <c r="G2729" s="16" t="s">
        <v>346</v>
      </c>
      <c r="H2729" s="16" t="s">
        <v>187</v>
      </c>
      <c r="I2729" s="16" t="s">
        <v>188</v>
      </c>
    </row>
    <row r="2730" ht="242.25" hidden="1" customHeight="1">
      <c r="B2730" s="32" t="str">
        <f>IMAGE("https://gymvisual.com/12749-catalog_default/lever-reverse-hyperextension-plate-loaded-female.jpg",4,500,500)</f>
        <v/>
      </c>
      <c r="C2730" s="30">
        <v>2729.0</v>
      </c>
      <c r="D2730" s="16" t="s">
        <v>3476</v>
      </c>
      <c r="E2730" s="16" t="s">
        <v>184</v>
      </c>
      <c r="F2730" s="16" t="s">
        <v>185</v>
      </c>
      <c r="G2730" s="16" t="s">
        <v>346</v>
      </c>
      <c r="H2730" s="16" t="s">
        <v>267</v>
      </c>
      <c r="I2730" s="16" t="s">
        <v>188</v>
      </c>
    </row>
    <row r="2731" ht="242.25" hidden="1" customHeight="1">
      <c r="B2731" s="32" t="str">
        <f>IMAGE("https://gymvisual.com/17991-catalog_default/lever-reverse-shoulder-press-plate-loaded.jpg",4,500,500)</f>
        <v/>
      </c>
      <c r="C2731" s="30">
        <v>2730.0</v>
      </c>
      <c r="D2731" s="16" t="s">
        <v>3477</v>
      </c>
      <c r="E2731" s="16" t="s">
        <v>184</v>
      </c>
      <c r="F2731" s="16" t="s">
        <v>228</v>
      </c>
      <c r="G2731" s="16" t="s">
        <v>346</v>
      </c>
      <c r="H2731" s="16" t="s">
        <v>220</v>
      </c>
      <c r="I2731" s="16" t="s">
        <v>220</v>
      </c>
    </row>
    <row r="2732" ht="242.25" hidden="1" customHeight="1">
      <c r="B2732" s="32" t="str">
        <f>IMAGE("https://gymvisual.com/6040-catalog_default/lever-reverse-t-bar-row.jpg",4,500,500)</f>
        <v/>
      </c>
      <c r="C2732" s="30">
        <v>2731.0</v>
      </c>
      <c r="D2732" s="16" t="s">
        <v>3478</v>
      </c>
      <c r="E2732" s="16" t="s">
        <v>184</v>
      </c>
      <c r="F2732" s="16" t="s">
        <v>192</v>
      </c>
      <c r="G2732" s="16" t="s">
        <v>346</v>
      </c>
      <c r="H2732" s="16" t="s">
        <v>329</v>
      </c>
      <c r="I2732" s="16" t="s">
        <v>457</v>
      </c>
    </row>
    <row r="2733" ht="242.25" hidden="1" customHeight="1">
      <c r="B2733" s="32" t="str">
        <f>IMAGE("https://gymvisual.com/13477-catalog_default/lever-reverse-t-bar-row-female.jpg",4,500,500)</f>
        <v/>
      </c>
      <c r="C2733" s="30">
        <v>2732.0</v>
      </c>
      <c r="D2733" s="16" t="s">
        <v>3479</v>
      </c>
      <c r="E2733" s="16" t="s">
        <v>184</v>
      </c>
      <c r="F2733" s="16" t="s">
        <v>192</v>
      </c>
      <c r="G2733" s="16" t="s">
        <v>346</v>
      </c>
      <c r="H2733" s="16" t="s">
        <v>570</v>
      </c>
      <c r="I2733" s="16" t="s">
        <v>447</v>
      </c>
    </row>
    <row r="2734" ht="242.25" hidden="1" customHeight="1">
      <c r="B2734" s="32" t="str">
        <f>IMAGE("https://gymvisual.com/24324-catalog_default/lever-reverse-vertical-hack-squat.jpg",4,500,500)</f>
        <v/>
      </c>
      <c r="C2734" s="30">
        <v>2733.0</v>
      </c>
      <c r="D2734" s="16" t="s">
        <v>3480</v>
      </c>
      <c r="E2734" s="16" t="s">
        <v>184</v>
      </c>
      <c r="F2734" s="16" t="s">
        <v>185</v>
      </c>
      <c r="G2734" s="16" t="s">
        <v>346</v>
      </c>
      <c r="H2734" s="16" t="s">
        <v>189</v>
      </c>
      <c r="I2734" s="16" t="s">
        <v>190</v>
      </c>
    </row>
    <row r="2735" ht="242.25" hidden="1" customHeight="1">
      <c r="B2735" s="32" t="str">
        <f>IMAGE("https://gymvisual.com/10143-catalog_default/lever-rotary-calf.jpg",4,500,500)</f>
        <v/>
      </c>
      <c r="C2735" s="30">
        <v>2734.0</v>
      </c>
      <c r="D2735" s="16" t="s">
        <v>3481</v>
      </c>
      <c r="E2735" s="16" t="s">
        <v>184</v>
      </c>
      <c r="F2735" s="16" t="s">
        <v>325</v>
      </c>
      <c r="G2735" s="16" t="s">
        <v>346</v>
      </c>
      <c r="H2735" s="16" t="s">
        <v>368</v>
      </c>
      <c r="I2735" s="16" t="s">
        <v>463</v>
      </c>
    </row>
    <row r="2736" ht="242.25" hidden="1" customHeight="1">
      <c r="B2736" s="32" t="str">
        <f>IMAGE("https://gymvisual.com/13479-catalog_default/lever-rotary-calf-female.jpg",4,500,500)</f>
        <v/>
      </c>
      <c r="C2736" s="30">
        <v>2735.0</v>
      </c>
      <c r="D2736" s="16" t="s">
        <v>3482</v>
      </c>
      <c r="E2736" s="16" t="s">
        <v>184</v>
      </c>
      <c r="F2736" s="16" t="s">
        <v>325</v>
      </c>
      <c r="G2736" s="16" t="s">
        <v>346</v>
      </c>
      <c r="H2736" s="16" t="s">
        <v>368</v>
      </c>
      <c r="I2736" s="16" t="s">
        <v>463</v>
      </c>
    </row>
    <row r="2737" ht="242.25" hidden="1" customHeight="1">
      <c r="B2737" s="32" t="str">
        <f>IMAGE("https://gymvisual.com/4608-catalog_default/lever-row-plate-loaded.jpg",4,500,500)</f>
        <v/>
      </c>
      <c r="C2737" s="30">
        <v>2736.0</v>
      </c>
      <c r="D2737" s="16" t="s">
        <v>3483</v>
      </c>
      <c r="E2737" s="16" t="s">
        <v>184</v>
      </c>
      <c r="F2737" s="16" t="s">
        <v>192</v>
      </c>
      <c r="G2737" s="16" t="s">
        <v>346</v>
      </c>
      <c r="H2737" s="16" t="s">
        <v>329</v>
      </c>
      <c r="I2737" s="16" t="s">
        <v>457</v>
      </c>
    </row>
    <row r="2738" ht="242.25" hidden="1" customHeight="1">
      <c r="B2738" s="32" t="str">
        <f>IMAGE("https://gymvisual.com/10055-catalog_default/lever-seated-calf-press.jpg",4,500,500)</f>
        <v/>
      </c>
      <c r="C2738" s="30">
        <v>2737.0</v>
      </c>
      <c r="D2738" s="16" t="s">
        <v>3484</v>
      </c>
      <c r="E2738" s="16" t="s">
        <v>184</v>
      </c>
      <c r="F2738" s="16" t="s">
        <v>325</v>
      </c>
      <c r="G2738" s="16" t="s">
        <v>346</v>
      </c>
      <c r="H2738" s="16" t="s">
        <v>368</v>
      </c>
      <c r="I2738" s="16" t="s">
        <v>463</v>
      </c>
    </row>
    <row r="2739" ht="242.25" hidden="1" customHeight="1">
      <c r="B2739" s="32" t="str">
        <f>IMAGE("https://gymvisual.com/11233-catalog_default/lever-seated-calf-press-female.jpg",4,500,500)</f>
        <v/>
      </c>
      <c r="C2739" s="30">
        <v>2738.0</v>
      </c>
      <c r="D2739" s="16" t="s">
        <v>3485</v>
      </c>
      <c r="E2739" s="16" t="s">
        <v>184</v>
      </c>
      <c r="F2739" s="16" t="s">
        <v>325</v>
      </c>
      <c r="G2739" s="16" t="s">
        <v>346</v>
      </c>
      <c r="H2739" s="16" t="s">
        <v>368</v>
      </c>
      <c r="I2739" s="16" t="s">
        <v>463</v>
      </c>
    </row>
    <row r="2740" ht="242.25" hidden="1" customHeight="1">
      <c r="B2740" s="32" t="str">
        <f>IMAGE("https://gymvisual.com/1786-catalog_default/3-4-sit-up.jpg",4,500,500)</f>
        <v/>
      </c>
      <c r="C2740" s="30">
        <v>2739.0</v>
      </c>
      <c r="D2740" s="16" t="s">
        <v>3486</v>
      </c>
      <c r="E2740" s="16" t="s">
        <v>184</v>
      </c>
      <c r="F2740" s="16" t="s">
        <v>325</v>
      </c>
      <c r="G2740" s="16" t="s">
        <v>346</v>
      </c>
      <c r="H2740" s="16" t="s">
        <v>463</v>
      </c>
      <c r="I2740" s="16" t="s">
        <v>368</v>
      </c>
    </row>
    <row r="2741" ht="242.25" hidden="1" customHeight="1">
      <c r="B2741" s="32" t="str">
        <f>IMAGE("https://gymvisual.com/13481-catalog_default/lever-seated-calf-raise-plate-loaded-female.jpg",4,500,500)</f>
        <v/>
      </c>
      <c r="C2741" s="30">
        <v>2740.0</v>
      </c>
      <c r="D2741" s="16" t="s">
        <v>3487</v>
      </c>
      <c r="E2741" s="16" t="s">
        <v>184</v>
      </c>
      <c r="F2741" s="16" t="s">
        <v>325</v>
      </c>
      <c r="G2741" s="16" t="s">
        <v>346</v>
      </c>
      <c r="H2741" s="16" t="s">
        <v>368</v>
      </c>
      <c r="I2741" s="16" t="s">
        <v>463</v>
      </c>
    </row>
    <row r="2742" ht="242.25" hidden="1" customHeight="1">
      <c r="B2742" s="32" t="str">
        <f>IMAGE("https://gymvisual.com/12229-catalog_default/lever-seated-calf-raise-plate-loaded-version-2.jpg",4,500,500)</f>
        <v/>
      </c>
      <c r="C2742" s="30">
        <v>2741.0</v>
      </c>
      <c r="D2742" s="16" t="s">
        <v>3488</v>
      </c>
      <c r="E2742" s="16" t="s">
        <v>184</v>
      </c>
      <c r="F2742" s="16" t="s">
        <v>325</v>
      </c>
      <c r="G2742" s="16" t="s">
        <v>346</v>
      </c>
      <c r="H2742" s="16" t="s">
        <v>368</v>
      </c>
      <c r="I2742" s="16" t="s">
        <v>463</v>
      </c>
    </row>
    <row r="2743" ht="242.25" hidden="1" customHeight="1">
      <c r="B2743" s="32" t="str">
        <f>IMAGE("https://gymvisual.com/6462-catalog_default/lever-seated-crunch.jpg",4,500,500)</f>
        <v/>
      </c>
      <c r="C2743" s="30">
        <v>2742.0</v>
      </c>
      <c r="D2743" s="16" t="s">
        <v>3489</v>
      </c>
      <c r="E2743" s="16" t="s">
        <v>184</v>
      </c>
      <c r="F2743" s="16" t="s">
        <v>254</v>
      </c>
      <c r="G2743" s="16" t="s">
        <v>346</v>
      </c>
      <c r="H2743" s="16" t="s">
        <v>256</v>
      </c>
      <c r="I2743" s="16" t="s">
        <v>257</v>
      </c>
    </row>
    <row r="2744" ht="242.25" hidden="1" customHeight="1">
      <c r="B2744" s="32" t="str">
        <f>IMAGE("https://gymvisual.com/1789-catalog_default/3-4-sit-up.jpg",4,500,500)</f>
        <v/>
      </c>
      <c r="C2744" s="30">
        <v>2743.0</v>
      </c>
      <c r="D2744" s="16" t="s">
        <v>3490</v>
      </c>
      <c r="E2744" s="16" t="s">
        <v>184</v>
      </c>
      <c r="F2744" s="16" t="s">
        <v>254</v>
      </c>
      <c r="G2744" s="16" t="s">
        <v>346</v>
      </c>
      <c r="H2744" s="16" t="s">
        <v>256</v>
      </c>
      <c r="I2744" s="16" t="s">
        <v>257</v>
      </c>
    </row>
    <row r="2745" ht="242.25" hidden="1" customHeight="1">
      <c r="B2745" s="32" t="str">
        <f>IMAGE("https://gymvisual.com/16616-catalog_default/lever-seated-crunch-chest-pad-female.jpg",4,500,500)</f>
        <v/>
      </c>
      <c r="C2745" s="30">
        <v>2744.0</v>
      </c>
      <c r="D2745" s="16" t="s">
        <v>3491</v>
      </c>
      <c r="E2745" s="16" t="s">
        <v>184</v>
      </c>
      <c r="F2745" s="16" t="s">
        <v>254</v>
      </c>
      <c r="G2745" s="16" t="s">
        <v>346</v>
      </c>
      <c r="H2745" s="16" t="s">
        <v>256</v>
      </c>
      <c r="I2745" s="16" t="s">
        <v>257</v>
      </c>
    </row>
    <row r="2746" ht="242.25" hidden="1" customHeight="1">
      <c r="B2746" s="32" t="str">
        <f>IMAGE("https://gymvisual.com/10960-catalog_default/lever-seated-crunch-female.jpg",4,500,500)</f>
        <v/>
      </c>
      <c r="C2746" s="30">
        <v>2745.0</v>
      </c>
      <c r="D2746" s="16" t="s">
        <v>3492</v>
      </c>
      <c r="E2746" s="16" t="s">
        <v>184</v>
      </c>
      <c r="F2746" s="16" t="s">
        <v>254</v>
      </c>
      <c r="G2746" s="16" t="s">
        <v>346</v>
      </c>
      <c r="H2746" s="16" t="s">
        <v>256</v>
      </c>
      <c r="I2746" s="16" t="s">
        <v>257</v>
      </c>
    </row>
    <row r="2747" ht="242.25" hidden="1" customHeight="1">
      <c r="B2747" s="32" t="str">
        <f>IMAGE("https://gymvisual.com/9691-catalog_default/lever-seated-crunch-hands-pad.jpg",4,500,500)</f>
        <v/>
      </c>
      <c r="C2747" s="30">
        <v>2746.0</v>
      </c>
      <c r="D2747" s="16" t="s">
        <v>3493</v>
      </c>
      <c r="E2747" s="16" t="s">
        <v>184</v>
      </c>
      <c r="F2747" s="16" t="s">
        <v>254</v>
      </c>
      <c r="G2747" s="16" t="s">
        <v>346</v>
      </c>
      <c r="H2747" s="16" t="s">
        <v>256</v>
      </c>
      <c r="I2747" s="16" t="s">
        <v>257</v>
      </c>
    </row>
    <row r="2748" ht="242.25" hidden="1" customHeight="1">
      <c r="B2748" s="32" t="str">
        <f>IMAGE("https://gymvisual.com/16676-catalog_default/lever-seated-crunch-version-2.jpg",4,500,500)</f>
        <v/>
      </c>
      <c r="C2748" s="30">
        <v>2747.0</v>
      </c>
      <c r="D2748" s="16" t="s">
        <v>3494</v>
      </c>
      <c r="E2748" s="16" t="s">
        <v>184</v>
      </c>
      <c r="F2748" s="16" t="s">
        <v>254</v>
      </c>
      <c r="G2748" s="16" t="s">
        <v>346</v>
      </c>
      <c r="H2748" s="16" t="s">
        <v>256</v>
      </c>
      <c r="I2748" s="16" t="s">
        <v>257</v>
      </c>
    </row>
    <row r="2749" ht="242.25" hidden="1" customHeight="1">
      <c r="B2749" s="32" t="str">
        <f>IMAGE("https://gymvisual.com/6460-catalog_default/lever-seated-dip.jpg",4,500,500)</f>
        <v/>
      </c>
      <c r="C2749" s="30">
        <v>2748.0</v>
      </c>
      <c r="D2749" s="16" t="s">
        <v>3495</v>
      </c>
      <c r="E2749" s="16" t="s">
        <v>184</v>
      </c>
      <c r="F2749" s="16" t="s">
        <v>219</v>
      </c>
      <c r="G2749" s="16" t="s">
        <v>346</v>
      </c>
      <c r="H2749" s="16" t="s">
        <v>223</v>
      </c>
      <c r="I2749" s="16" t="s">
        <v>394</v>
      </c>
    </row>
    <row r="2750" ht="242.25" hidden="1" customHeight="1">
      <c r="B2750" s="32" t="str">
        <f>IMAGE("https://gymvisual.com/9664-catalog_default/lever-seated-dip-female.jpg",4,500,500)</f>
        <v/>
      </c>
      <c r="C2750" s="30">
        <v>2749.0</v>
      </c>
      <c r="D2750" s="16" t="s">
        <v>3496</v>
      </c>
      <c r="E2750" s="16" t="s">
        <v>184</v>
      </c>
      <c r="F2750" s="16" t="s">
        <v>219</v>
      </c>
      <c r="G2750" s="16" t="s">
        <v>346</v>
      </c>
      <c r="H2750" s="16" t="s">
        <v>223</v>
      </c>
      <c r="I2750" s="16" t="s">
        <v>394</v>
      </c>
    </row>
    <row r="2751" ht="242.25" hidden="1" customHeight="1">
      <c r="B2751" s="32" t="str">
        <f>IMAGE("https://gymvisual.com/1792-catalog_default/3-4-sit-up.jpg",4,500,500)</f>
        <v/>
      </c>
      <c r="C2751" s="30">
        <v>2750.0</v>
      </c>
      <c r="D2751" s="16" t="s">
        <v>3497</v>
      </c>
      <c r="E2751" s="16" t="s">
        <v>184</v>
      </c>
      <c r="F2751" s="16" t="s">
        <v>234</v>
      </c>
      <c r="G2751" s="16" t="s">
        <v>346</v>
      </c>
      <c r="H2751" s="16" t="s">
        <v>347</v>
      </c>
      <c r="I2751" s="16" t="s">
        <v>2466</v>
      </c>
    </row>
    <row r="2752" ht="242.25" hidden="1" customHeight="1">
      <c r="B2752" s="32" t="str">
        <f>IMAGE("https://gymvisual.com/9679-catalog_default/lever-seated-fly-female.jpg",4,500,500)</f>
        <v/>
      </c>
      <c r="C2752" s="30">
        <v>2751.0</v>
      </c>
      <c r="D2752" s="16" t="s">
        <v>3498</v>
      </c>
      <c r="E2752" s="16" t="s">
        <v>184</v>
      </c>
      <c r="F2752" s="16" t="s">
        <v>234</v>
      </c>
      <c r="G2752" s="16" t="s">
        <v>346</v>
      </c>
      <c r="H2752" s="16" t="s">
        <v>235</v>
      </c>
      <c r="I2752" s="16" t="s">
        <v>236</v>
      </c>
    </row>
    <row r="2753" ht="242.25" hidden="1" customHeight="1">
      <c r="B2753" s="32" t="str">
        <f>IMAGE("https://gymvisual.com/17761-catalog_default/lever-seated-full-crunch.jpg",4,500,500)</f>
        <v/>
      </c>
      <c r="C2753" s="30">
        <v>2752.0</v>
      </c>
      <c r="D2753" s="16" t="s">
        <v>3499</v>
      </c>
      <c r="E2753" s="16" t="s">
        <v>184</v>
      </c>
      <c r="F2753" s="16" t="s">
        <v>254</v>
      </c>
      <c r="G2753" s="16" t="s">
        <v>346</v>
      </c>
      <c r="H2753" s="16" t="s">
        <v>220</v>
      </c>
      <c r="I2753" s="16" t="s">
        <v>220</v>
      </c>
    </row>
    <row r="2754" ht="242.25" hidden="1" customHeight="1">
      <c r="B2754" s="32" t="str">
        <f>IMAGE("https://gymvisual.com/16674-catalog_default/lever-seated-good-morning.jpg",4,500,500)</f>
        <v/>
      </c>
      <c r="C2754" s="30">
        <v>2753.0</v>
      </c>
      <c r="D2754" s="16" t="s">
        <v>3500</v>
      </c>
      <c r="E2754" s="16" t="s">
        <v>184</v>
      </c>
      <c r="F2754" s="16" t="s">
        <v>185</v>
      </c>
      <c r="G2754" s="16" t="s">
        <v>346</v>
      </c>
      <c r="H2754" s="16" t="s">
        <v>267</v>
      </c>
      <c r="I2754" s="16" t="s">
        <v>220</v>
      </c>
    </row>
    <row r="2755" ht="242.25" hidden="1" customHeight="1">
      <c r="B2755" s="32" t="str">
        <f>IMAGE("https://gymvisual.com/12283-catalog_default/lever-seated-hammer-grip-shoulder-press.jpg",4,500,500)</f>
        <v/>
      </c>
      <c r="C2755" s="30">
        <v>2754.0</v>
      </c>
      <c r="D2755" s="16" t="s">
        <v>3501</v>
      </c>
      <c r="E2755" s="16" t="s">
        <v>184</v>
      </c>
      <c r="F2755" s="16" t="s">
        <v>228</v>
      </c>
      <c r="G2755" s="16" t="s">
        <v>346</v>
      </c>
      <c r="H2755" s="16" t="s">
        <v>229</v>
      </c>
      <c r="I2755" s="16" t="s">
        <v>3502</v>
      </c>
    </row>
    <row r="2756" ht="242.25" hidden="1" customHeight="1">
      <c r="B2756" s="32" t="str">
        <f>IMAGE("https://gymvisual.com/12715-catalog_default/3-4-sit-up.jpg",4,500,500)</f>
        <v/>
      </c>
      <c r="C2756" s="30">
        <v>2755.0</v>
      </c>
      <c r="D2756" s="16" t="s">
        <v>3503</v>
      </c>
      <c r="E2756" s="16" t="s">
        <v>184</v>
      </c>
      <c r="F2756" s="16" t="s">
        <v>185</v>
      </c>
      <c r="G2756" s="16" t="s">
        <v>346</v>
      </c>
      <c r="H2756" s="16" t="s">
        <v>1240</v>
      </c>
      <c r="I2756" s="16" t="s">
        <v>476</v>
      </c>
    </row>
    <row r="2757" ht="242.25" hidden="1" customHeight="1">
      <c r="B2757" s="32" t="str">
        <f>IMAGE("https://gymvisual.com/14286-catalog_default/lever-seated-hip-abduction-female.jpg",4,500,500)</f>
        <v/>
      </c>
      <c r="C2757" s="30">
        <v>2756.0</v>
      </c>
      <c r="D2757" s="16" t="s">
        <v>3504</v>
      </c>
      <c r="E2757" s="16" t="s">
        <v>184</v>
      </c>
      <c r="F2757" s="16" t="s">
        <v>185</v>
      </c>
      <c r="G2757" s="16" t="s">
        <v>346</v>
      </c>
      <c r="H2757" s="16" t="s">
        <v>475</v>
      </c>
      <c r="I2757" s="16" t="s">
        <v>476</v>
      </c>
    </row>
    <row r="2758" ht="242.25" hidden="1" customHeight="1">
      <c r="B2758" s="32" t="str">
        <f>IMAGE("https://gymvisual.com/7721-catalog_default/lever-seated-hip-abduction-version-2.jpg",4,500,500)</f>
        <v/>
      </c>
      <c r="C2758" s="30">
        <v>2757.0</v>
      </c>
      <c r="D2758" s="16" t="s">
        <v>3505</v>
      </c>
      <c r="E2758" s="16" t="s">
        <v>184</v>
      </c>
      <c r="F2758" s="16" t="s">
        <v>185</v>
      </c>
      <c r="G2758" s="16" t="s">
        <v>346</v>
      </c>
      <c r="H2758" s="16" t="s">
        <v>220</v>
      </c>
      <c r="I2758" s="16" t="s">
        <v>220</v>
      </c>
    </row>
    <row r="2759" ht="242.25" hidden="1" customHeight="1">
      <c r="B2759" s="32" t="str">
        <f>IMAGE("https://gymvisual.com/11218-catalog_default/lever-seated-hip-abduction-version-2-female.jpg",4,500,500)</f>
        <v/>
      </c>
      <c r="C2759" s="30">
        <v>2758.0</v>
      </c>
      <c r="D2759" s="16" t="s">
        <v>3506</v>
      </c>
      <c r="E2759" s="16" t="s">
        <v>184</v>
      </c>
      <c r="F2759" s="16" t="s">
        <v>185</v>
      </c>
      <c r="G2759" s="16" t="s">
        <v>346</v>
      </c>
      <c r="H2759" s="16" t="s">
        <v>220</v>
      </c>
      <c r="I2759" s="16" t="s">
        <v>220</v>
      </c>
    </row>
    <row r="2760" ht="242.25" hidden="1" customHeight="1">
      <c r="B2760" s="32" t="str">
        <f>IMAGE("https://gymvisual.com/24924-catalog_default/3-4-sit-up.jpg",4,500,500)</f>
        <v/>
      </c>
      <c r="C2760" s="30">
        <v>2759.0</v>
      </c>
      <c r="D2760" s="16" t="s">
        <v>3507</v>
      </c>
      <c r="E2760" s="16" t="s">
        <v>184</v>
      </c>
      <c r="F2760" s="16" t="s">
        <v>285</v>
      </c>
      <c r="G2760" s="16" t="s">
        <v>346</v>
      </c>
      <c r="H2760" s="16" t="s">
        <v>511</v>
      </c>
      <c r="I2760" s="16" t="s">
        <v>3508</v>
      </c>
    </row>
    <row r="2761" ht="242.25" hidden="1" customHeight="1">
      <c r="B2761" s="32" t="str">
        <f>IMAGE("https://gymvisual.com/14288-catalog_default/lever-seated-hip-adduction-female.jpg",4,500,500)</f>
        <v/>
      </c>
      <c r="C2761" s="30">
        <v>2760.0</v>
      </c>
      <c r="D2761" s="16" t="s">
        <v>3509</v>
      </c>
      <c r="E2761" s="16" t="s">
        <v>184</v>
      </c>
      <c r="F2761" s="16" t="s">
        <v>185</v>
      </c>
      <c r="G2761" s="16" t="s">
        <v>346</v>
      </c>
      <c r="H2761" s="16" t="s">
        <v>514</v>
      </c>
      <c r="I2761" s="16" t="s">
        <v>515</v>
      </c>
    </row>
    <row r="2762" ht="242.25" hidden="1" customHeight="1">
      <c r="B2762" s="32" t="str">
        <f>IMAGE("https://gymvisual.com/7719-catalog_default/lever-seated-hip-adduction-version-2.jpg",4,500,500)</f>
        <v/>
      </c>
      <c r="C2762" s="30">
        <v>2761.0</v>
      </c>
      <c r="D2762" s="16" t="s">
        <v>3510</v>
      </c>
      <c r="E2762" s="16" t="s">
        <v>184</v>
      </c>
      <c r="F2762" s="16" t="s">
        <v>185</v>
      </c>
      <c r="G2762" s="16" t="s">
        <v>346</v>
      </c>
      <c r="H2762" s="16" t="s">
        <v>220</v>
      </c>
      <c r="I2762" s="16" t="s">
        <v>220</v>
      </c>
    </row>
    <row r="2763" ht="242.25" hidden="1" customHeight="1">
      <c r="B2763" s="32" t="str">
        <f>IMAGE("https://gymvisual.com/11215-catalog_default/lever-seated-hip-adduction-version-2-female.jpg",4,500,500)</f>
        <v/>
      </c>
      <c r="C2763" s="30">
        <v>2762.0</v>
      </c>
      <c r="D2763" s="16" t="s">
        <v>3511</v>
      </c>
      <c r="E2763" s="16" t="s">
        <v>184</v>
      </c>
      <c r="F2763" s="16" t="s">
        <v>185</v>
      </c>
      <c r="G2763" s="16" t="s">
        <v>346</v>
      </c>
      <c r="H2763" s="16" t="s">
        <v>220</v>
      </c>
      <c r="I2763" s="16" t="s">
        <v>220</v>
      </c>
    </row>
    <row r="2764" ht="242.25" hidden="1" customHeight="1">
      <c r="B2764" s="32" t="str">
        <f>IMAGE("https://gymvisual.com/16735-catalog_default/lever-seated-horizontal-leg-press.jpg",4,500,500)</f>
        <v/>
      </c>
      <c r="C2764" s="30">
        <v>2763.0</v>
      </c>
      <c r="D2764" s="16" t="s">
        <v>3512</v>
      </c>
      <c r="E2764" s="16" t="s">
        <v>184</v>
      </c>
      <c r="F2764" s="16" t="s">
        <v>294</v>
      </c>
      <c r="G2764" s="16" t="s">
        <v>346</v>
      </c>
      <c r="H2764" s="16" t="s">
        <v>189</v>
      </c>
      <c r="I2764" s="16" t="s">
        <v>190</v>
      </c>
    </row>
    <row r="2765" ht="242.25" hidden="1" customHeight="1">
      <c r="B2765" s="32" t="str">
        <f>IMAGE("https://gymvisual.com/17763-catalog_default/lever-seated-left-side-crunch.jpg",4,500,500)</f>
        <v/>
      </c>
      <c r="C2765" s="30">
        <v>2764.0</v>
      </c>
      <c r="D2765" s="16" t="s">
        <v>3513</v>
      </c>
      <c r="E2765" s="16" t="s">
        <v>184</v>
      </c>
      <c r="F2765" s="16" t="s">
        <v>254</v>
      </c>
      <c r="G2765" s="16" t="s">
        <v>346</v>
      </c>
      <c r="H2765" s="16" t="s">
        <v>220</v>
      </c>
      <c r="I2765" s="16" t="s">
        <v>220</v>
      </c>
    </row>
    <row r="2766" ht="242.25" hidden="1" customHeight="1">
      <c r="B2766" s="32" t="str">
        <f>IMAGE("https://gymvisual.com/10481-catalog_default/3-4-sit-up.jpg",4,500,500)</f>
        <v/>
      </c>
      <c r="C2766" s="30">
        <v>2765.0</v>
      </c>
      <c r="D2766" s="16" t="s">
        <v>3514</v>
      </c>
      <c r="E2766" s="16" t="s">
        <v>184</v>
      </c>
      <c r="F2766" s="16" t="s">
        <v>285</v>
      </c>
      <c r="G2766" s="16" t="s">
        <v>346</v>
      </c>
      <c r="H2766" s="16" t="s">
        <v>188</v>
      </c>
      <c r="I2766" s="16" t="s">
        <v>2733</v>
      </c>
    </row>
    <row r="2767" ht="242.25" hidden="1" customHeight="1">
      <c r="B2767" s="32" t="str">
        <f>IMAGE("https://gymvisual.com/10483-catalog_default/lever-seated-leg-curl-female.jpg",4,500,500)</f>
        <v/>
      </c>
      <c r="C2767" s="30">
        <v>2766.0</v>
      </c>
      <c r="D2767" s="16" t="s">
        <v>3515</v>
      </c>
      <c r="E2767" s="16" t="s">
        <v>184</v>
      </c>
      <c r="F2767" s="16" t="s">
        <v>285</v>
      </c>
      <c r="G2767" s="16" t="s">
        <v>346</v>
      </c>
      <c r="H2767" s="16" t="s">
        <v>188</v>
      </c>
      <c r="I2767" s="16" t="s">
        <v>2733</v>
      </c>
    </row>
    <row r="2768" ht="242.25" hidden="1" customHeight="1">
      <c r="B2768" s="32" t="str">
        <f>IMAGE("https://gymvisual.com/13735-catalog_default/lever-seated-leg-extension-version-2.jpg",4,500,500)</f>
        <v/>
      </c>
      <c r="C2768" s="30">
        <v>2767.0</v>
      </c>
      <c r="D2768" s="16" t="s">
        <v>3516</v>
      </c>
      <c r="E2768" s="16" t="s">
        <v>184</v>
      </c>
      <c r="F2768" s="16" t="s">
        <v>285</v>
      </c>
      <c r="G2768" s="16" t="s">
        <v>346</v>
      </c>
      <c r="H2768" s="16" t="s">
        <v>552</v>
      </c>
      <c r="I2768" s="16" t="s">
        <v>220</v>
      </c>
    </row>
    <row r="2769" ht="242.25" hidden="1" customHeight="1">
      <c r="B2769" s="32" t="str">
        <f>IMAGE("https://gymvisual.com/9688-catalog_default/lever-seated-leg-press.jpg",4,500,500)</f>
        <v/>
      </c>
      <c r="C2769" s="30">
        <v>2768.0</v>
      </c>
      <c r="D2769" s="16" t="s">
        <v>3517</v>
      </c>
      <c r="E2769" s="16" t="s">
        <v>184</v>
      </c>
      <c r="F2769" s="16" t="s">
        <v>294</v>
      </c>
      <c r="G2769" s="16" t="s">
        <v>346</v>
      </c>
      <c r="H2769" s="16" t="s">
        <v>189</v>
      </c>
      <c r="I2769" s="16" t="s">
        <v>190</v>
      </c>
    </row>
    <row r="2770" ht="242.25" hidden="1" customHeight="1">
      <c r="B2770" s="32" t="str">
        <f>IMAGE("https://gymvisual.com/11372-catalog_default/lever-seated-leg-press-female.jpg",4,500,500)</f>
        <v/>
      </c>
      <c r="C2770" s="30">
        <v>2769.0</v>
      </c>
      <c r="D2770" s="16" t="s">
        <v>3518</v>
      </c>
      <c r="E2770" s="16" t="s">
        <v>184</v>
      </c>
      <c r="F2770" s="16" t="s">
        <v>294</v>
      </c>
      <c r="G2770" s="16" t="s">
        <v>346</v>
      </c>
      <c r="H2770" s="16" t="s">
        <v>220</v>
      </c>
      <c r="I2770" s="16" t="s">
        <v>220</v>
      </c>
    </row>
    <row r="2771" ht="242.25" hidden="1" customHeight="1">
      <c r="B2771" s="32" t="str">
        <f>IMAGE("https://gymvisual.com/13733-catalog_default/lever-seated-leg-press-version-2.jpg",4,500,500)</f>
        <v/>
      </c>
      <c r="C2771" s="30">
        <v>2770.0</v>
      </c>
      <c r="D2771" s="16" t="s">
        <v>3519</v>
      </c>
      <c r="E2771" s="16" t="s">
        <v>184</v>
      </c>
      <c r="F2771" s="16" t="s">
        <v>294</v>
      </c>
      <c r="G2771" s="16" t="s">
        <v>346</v>
      </c>
      <c r="H2771" s="16" t="s">
        <v>189</v>
      </c>
      <c r="I2771" s="16" t="s">
        <v>190</v>
      </c>
    </row>
    <row r="2772" ht="242.25" hidden="1" customHeight="1">
      <c r="B2772" s="32" t="str">
        <f>IMAGE("https://gymvisual.com/1804-catalog_default/3-4-sit-up.jpg",4,500,500)</f>
        <v/>
      </c>
      <c r="C2772" s="30">
        <v>2771.0</v>
      </c>
      <c r="D2772" s="16" t="s">
        <v>3520</v>
      </c>
      <c r="E2772" s="16" t="s">
        <v>184</v>
      </c>
      <c r="F2772" s="16" t="s">
        <v>254</v>
      </c>
      <c r="G2772" s="16" t="s">
        <v>346</v>
      </c>
      <c r="H2772" s="16" t="s">
        <v>256</v>
      </c>
      <c r="I2772" s="16" t="s">
        <v>257</v>
      </c>
    </row>
    <row r="2773" ht="242.25" hidden="1" customHeight="1">
      <c r="B2773" s="32" t="str">
        <f>IMAGE("https://gymvisual.com/14384-catalog_default/lever-seated-leg-raise-crunch-plate-loaded-female.jpg",4,500,500)</f>
        <v/>
      </c>
      <c r="C2773" s="30">
        <v>2772.0</v>
      </c>
      <c r="D2773" s="16" t="s">
        <v>3521</v>
      </c>
      <c r="E2773" s="16" t="s">
        <v>184</v>
      </c>
      <c r="F2773" s="16" t="s">
        <v>254</v>
      </c>
      <c r="G2773" s="16" t="s">
        <v>346</v>
      </c>
      <c r="H2773" s="16" t="s">
        <v>256</v>
      </c>
      <c r="I2773" s="16" t="s">
        <v>257</v>
      </c>
    </row>
    <row r="2774" ht="242.25" hidden="1" customHeight="1">
      <c r="B2774" s="32" t="str">
        <f>IMAGE("https://gymvisual.com/4584-catalog_default/lever-seated-one-leg-calf-raise.jpg",4,500,500)</f>
        <v/>
      </c>
      <c r="C2774" s="30">
        <v>2773.0</v>
      </c>
      <c r="D2774" s="16" t="s">
        <v>3522</v>
      </c>
      <c r="E2774" s="16" t="s">
        <v>184</v>
      </c>
      <c r="F2774" s="16" t="s">
        <v>325</v>
      </c>
      <c r="G2774" s="16" t="s">
        <v>346</v>
      </c>
      <c r="H2774" s="16" t="s">
        <v>463</v>
      </c>
      <c r="I2774" s="16" t="s">
        <v>368</v>
      </c>
    </row>
    <row r="2775" ht="242.25" hidden="1" customHeight="1">
      <c r="B2775" s="32" t="str">
        <f>IMAGE("https://gymvisual.com/26070-catalog_default/lever-seated-one-leg-curl.jpg",4,500,500)</f>
        <v/>
      </c>
      <c r="C2775" s="30">
        <v>2774.0</v>
      </c>
      <c r="D2775" s="16" t="s">
        <v>3523</v>
      </c>
      <c r="E2775" s="16" t="s">
        <v>184</v>
      </c>
      <c r="F2775" s="16" t="s">
        <v>285</v>
      </c>
      <c r="G2775" s="16" t="s">
        <v>346</v>
      </c>
      <c r="H2775" s="16" t="s">
        <v>188</v>
      </c>
      <c r="I2775" s="16" t="s">
        <v>665</v>
      </c>
    </row>
    <row r="2776" ht="242.25" hidden="1" customHeight="1">
      <c r="B2776" s="32" t="str">
        <f>IMAGE("https://gymvisual.com/6820-catalog_default/lever-seated-one-leg-squat.jpg",4,500,500)</f>
        <v/>
      </c>
      <c r="C2776" s="30">
        <v>2775.0</v>
      </c>
      <c r="D2776" s="16" t="s">
        <v>3524</v>
      </c>
      <c r="E2776" s="16" t="s">
        <v>184</v>
      </c>
      <c r="F2776" s="16" t="s">
        <v>285</v>
      </c>
      <c r="G2776" s="16" t="s">
        <v>346</v>
      </c>
      <c r="H2776" s="16" t="s">
        <v>220</v>
      </c>
      <c r="I2776" s="16" t="s">
        <v>220</v>
      </c>
    </row>
    <row r="2777" ht="242.25" hidden="1" customHeight="1">
      <c r="B2777" s="32" t="str">
        <f>IMAGE("https://gymvisual.com/6819-catalog_default/lever-seated-one-leg-wide-squat.jpg",4,500,500)</f>
        <v/>
      </c>
      <c r="C2777" s="30">
        <v>2776.0</v>
      </c>
      <c r="D2777" s="16" t="s">
        <v>3525</v>
      </c>
      <c r="E2777" s="16" t="s">
        <v>184</v>
      </c>
      <c r="F2777" s="16" t="s">
        <v>285</v>
      </c>
      <c r="G2777" s="16" t="s">
        <v>346</v>
      </c>
      <c r="H2777" s="16" t="s">
        <v>220</v>
      </c>
      <c r="I2777" s="16" t="s">
        <v>220</v>
      </c>
    </row>
    <row r="2778" ht="242.25" hidden="1" customHeight="1">
      <c r="B2778" s="32" t="str">
        <f>IMAGE("https://gymvisual.com/1810-catalog_default/3-4-sit-up.jpg",4,500,500)</f>
        <v/>
      </c>
      <c r="C2778" s="30">
        <v>2777.0</v>
      </c>
      <c r="D2778" s="16" t="s">
        <v>3526</v>
      </c>
      <c r="E2778" s="16" t="s">
        <v>184</v>
      </c>
      <c r="F2778" s="16" t="s">
        <v>228</v>
      </c>
      <c r="G2778" s="16" t="s">
        <v>346</v>
      </c>
      <c r="H2778" s="16" t="s">
        <v>408</v>
      </c>
      <c r="I2778" s="16" t="s">
        <v>452</v>
      </c>
    </row>
    <row r="2779" ht="242.25" hidden="1" customHeight="1">
      <c r="B2779" s="32" t="str">
        <f>IMAGE("https://gymvisual.com/12061-catalog_default/lever-seated-reverse-fly-female.jpg",4,500,500)</f>
        <v/>
      </c>
      <c r="C2779" s="30">
        <v>2778.0</v>
      </c>
      <c r="D2779" s="16" t="s">
        <v>3527</v>
      </c>
      <c r="E2779" s="16" t="s">
        <v>184</v>
      </c>
      <c r="F2779" s="16" t="s">
        <v>228</v>
      </c>
      <c r="G2779" s="16" t="s">
        <v>346</v>
      </c>
      <c r="H2779" s="16" t="s">
        <v>408</v>
      </c>
      <c r="I2779" s="16" t="s">
        <v>452</v>
      </c>
    </row>
    <row r="2780" ht="242.25" hidden="1" customHeight="1">
      <c r="B2780" s="32" t="str">
        <f>IMAGE("https://gymvisual.com/1807-catalog_default/3-4-sit-up.jpg",4,500,500)</f>
        <v/>
      </c>
      <c r="C2780" s="30">
        <v>2779.0</v>
      </c>
      <c r="D2780" s="16" t="s">
        <v>3528</v>
      </c>
      <c r="E2780" s="16" t="s">
        <v>184</v>
      </c>
      <c r="F2780" s="16" t="s">
        <v>228</v>
      </c>
      <c r="G2780" s="16" t="s">
        <v>346</v>
      </c>
      <c r="H2780" s="16" t="s">
        <v>408</v>
      </c>
      <c r="I2780" s="16" t="s">
        <v>731</v>
      </c>
    </row>
    <row r="2781" ht="242.25" hidden="1" customHeight="1">
      <c r="B2781" s="32" t="str">
        <f>IMAGE("https://gymvisual.com/17765-catalog_default/lever-seated-right-side-crunch.jpg",4,500,500)</f>
        <v/>
      </c>
      <c r="C2781" s="30">
        <v>2780.0</v>
      </c>
      <c r="D2781" s="16" t="s">
        <v>3529</v>
      </c>
      <c r="E2781" s="16" t="s">
        <v>184</v>
      </c>
      <c r="F2781" s="16" t="s">
        <v>254</v>
      </c>
      <c r="G2781" s="16" t="s">
        <v>346</v>
      </c>
      <c r="H2781" s="16" t="s">
        <v>220</v>
      </c>
      <c r="I2781" s="16" t="s">
        <v>220</v>
      </c>
    </row>
    <row r="2782" ht="242.25" hidden="1" customHeight="1">
      <c r="B2782" s="32" t="str">
        <f>IMAGE("https://gymvisual.com/6041-catalog_default/lever-seated-row.jpg",4,500,500)</f>
        <v/>
      </c>
      <c r="C2782" s="30">
        <v>2781.0</v>
      </c>
      <c r="D2782" s="16" t="s">
        <v>3530</v>
      </c>
      <c r="E2782" s="16" t="s">
        <v>184</v>
      </c>
      <c r="F2782" s="16" t="s">
        <v>192</v>
      </c>
      <c r="G2782" s="16" t="s">
        <v>346</v>
      </c>
      <c r="H2782" s="16" t="s">
        <v>329</v>
      </c>
      <c r="I2782" s="16" t="s">
        <v>457</v>
      </c>
    </row>
    <row r="2783" ht="242.25" hidden="1" customHeight="1">
      <c r="B2783" s="32" t="str">
        <f>IMAGE("https://gymvisual.com/9652-catalog_default/lever-seated-row-female.jpg",4,500,500)</f>
        <v/>
      </c>
      <c r="C2783" s="30">
        <v>2782.0</v>
      </c>
      <c r="D2783" s="16" t="s">
        <v>3531</v>
      </c>
      <c r="E2783" s="16" t="s">
        <v>184</v>
      </c>
      <c r="F2783" s="16" t="s">
        <v>192</v>
      </c>
      <c r="G2783" s="16" t="s">
        <v>346</v>
      </c>
      <c r="H2783" s="16" t="s">
        <v>570</v>
      </c>
      <c r="I2783" s="16" t="s">
        <v>447</v>
      </c>
    </row>
    <row r="2784" ht="242.25" hidden="1" customHeight="1">
      <c r="B2784" s="32" t="str">
        <f>IMAGE("https://gymvisual.com/12227-catalog_default/lever-seated-row-plate-loaded.jpg",4,500,500)</f>
        <v/>
      </c>
      <c r="C2784" s="30">
        <v>2783.0</v>
      </c>
      <c r="D2784" s="16" t="s">
        <v>3532</v>
      </c>
      <c r="E2784" s="16" t="s">
        <v>184</v>
      </c>
      <c r="F2784" s="16" t="s">
        <v>192</v>
      </c>
      <c r="G2784" s="16" t="s">
        <v>346</v>
      </c>
      <c r="H2784" s="16" t="s">
        <v>570</v>
      </c>
      <c r="I2784" s="16" t="s">
        <v>447</v>
      </c>
    </row>
    <row r="2785" ht="242.25" hidden="1" customHeight="1">
      <c r="B2785" s="32" t="str">
        <f>IMAGE("https://gymvisual.com/9682-catalog_default/lever-seated-row-version-2.jpg",4,500,500)</f>
        <v/>
      </c>
      <c r="C2785" s="30">
        <v>2784.0</v>
      </c>
      <c r="D2785" s="16" t="s">
        <v>3533</v>
      </c>
      <c r="E2785" s="16" t="s">
        <v>184</v>
      </c>
      <c r="F2785" s="16" t="s">
        <v>192</v>
      </c>
      <c r="G2785" s="16" t="s">
        <v>346</v>
      </c>
      <c r="H2785" s="16" t="s">
        <v>570</v>
      </c>
      <c r="I2785" s="16" t="s">
        <v>447</v>
      </c>
    </row>
    <row r="2786" ht="242.25" hidden="1" customHeight="1">
      <c r="B2786" s="32" t="str">
        <f>IMAGE("https://gymvisual.com/6466-catalog_default/lever-seated-shoulder-press.jpg",4,500,500)</f>
        <v/>
      </c>
      <c r="C2786" s="30">
        <v>2785.0</v>
      </c>
      <c r="D2786" s="16" t="s">
        <v>3534</v>
      </c>
      <c r="E2786" s="16" t="s">
        <v>184</v>
      </c>
      <c r="F2786" s="16" t="s">
        <v>228</v>
      </c>
      <c r="G2786" s="16" t="s">
        <v>346</v>
      </c>
      <c r="H2786" s="16" t="s">
        <v>229</v>
      </c>
      <c r="I2786" s="16" t="s">
        <v>626</v>
      </c>
    </row>
    <row r="2787" ht="242.25" hidden="1" customHeight="1">
      <c r="B2787" s="32" t="str">
        <f>IMAGE("https://gymvisual.com/12053-catalog_default/lever-seated-shoulder-press-female.jpg",4,500,500)</f>
        <v/>
      </c>
      <c r="C2787" s="30">
        <v>2786.0</v>
      </c>
      <c r="D2787" s="16" t="s">
        <v>3535</v>
      </c>
      <c r="E2787" s="16" t="s">
        <v>184</v>
      </c>
      <c r="F2787" s="16" t="s">
        <v>228</v>
      </c>
      <c r="G2787" s="16" t="s">
        <v>346</v>
      </c>
      <c r="H2787" s="16" t="s">
        <v>229</v>
      </c>
      <c r="I2787" s="16" t="s">
        <v>230</v>
      </c>
    </row>
    <row r="2788" ht="242.25" hidden="1" customHeight="1">
      <c r="B2788" s="32" t="str">
        <f>IMAGE("https://gymvisual.com/4603-catalog_default/lever-seated-squat.jpg",4,500,500)</f>
        <v/>
      </c>
      <c r="C2788" s="30">
        <v>2787.0</v>
      </c>
      <c r="D2788" s="16" t="s">
        <v>3536</v>
      </c>
      <c r="E2788" s="16" t="s">
        <v>184</v>
      </c>
      <c r="F2788" s="16" t="s">
        <v>285</v>
      </c>
      <c r="G2788" s="16" t="s">
        <v>346</v>
      </c>
      <c r="H2788" s="16" t="s">
        <v>189</v>
      </c>
      <c r="I2788" s="16" t="s">
        <v>190</v>
      </c>
    </row>
    <row r="2789" ht="242.25" hidden="1" customHeight="1">
      <c r="B2789" s="32" t="str">
        <f>IMAGE("https://gymvisual.com/11378-catalog_default/lever-seated-squat-calf-raise-on-leg-press-female.jpg",4,500,500)</f>
        <v/>
      </c>
      <c r="C2789" s="30">
        <v>2788.0</v>
      </c>
      <c r="D2789" s="16" t="s">
        <v>3537</v>
      </c>
      <c r="E2789" s="16" t="s">
        <v>184</v>
      </c>
      <c r="F2789" s="16" t="s">
        <v>294</v>
      </c>
      <c r="G2789" s="16" t="s">
        <v>346</v>
      </c>
      <c r="H2789" s="16" t="s">
        <v>220</v>
      </c>
      <c r="I2789" s="16" t="s">
        <v>220</v>
      </c>
    </row>
    <row r="2790" ht="242.25" hidden="1" customHeight="1">
      <c r="B2790" s="32" t="str">
        <f>IMAGE("https://gymvisual.com/6082-catalog_default/lever-seated-squat-calf-raise-on-leg-press-machine.jpg",4,500,500)</f>
        <v/>
      </c>
      <c r="C2790" s="30">
        <v>2789.0</v>
      </c>
      <c r="D2790" s="16" t="s">
        <v>3538</v>
      </c>
      <c r="E2790" s="16" t="s">
        <v>184</v>
      </c>
      <c r="F2790" s="16" t="s">
        <v>325</v>
      </c>
      <c r="G2790" s="16" t="s">
        <v>346</v>
      </c>
      <c r="H2790" s="16" t="s">
        <v>3539</v>
      </c>
      <c r="I2790" s="16" t="s">
        <v>3540</v>
      </c>
    </row>
    <row r="2791" ht="242.25" hidden="1" customHeight="1">
      <c r="B2791" s="32" t="str">
        <f>IMAGE("https://gymvisual.com/6464-catalog_default/lever-seated-twist.jpg",4,500,500)</f>
        <v/>
      </c>
      <c r="C2791" s="30">
        <v>2790.0</v>
      </c>
      <c r="D2791" s="16" t="s">
        <v>3541</v>
      </c>
      <c r="E2791" s="16" t="s">
        <v>184</v>
      </c>
      <c r="F2791" s="16" t="s">
        <v>254</v>
      </c>
      <c r="G2791" s="16" t="s">
        <v>346</v>
      </c>
      <c r="H2791" s="16" t="s">
        <v>257</v>
      </c>
      <c r="I2791" s="16" t="s">
        <v>220</v>
      </c>
    </row>
    <row r="2792" ht="242.25" hidden="1" customHeight="1">
      <c r="B2792" s="32" t="str">
        <f>IMAGE("https://gymvisual.com/10957-catalog_default/lever-seated-twist-female.jpg",4,500,500)</f>
        <v/>
      </c>
      <c r="C2792" s="30">
        <v>2791.0</v>
      </c>
      <c r="D2792" s="16" t="s">
        <v>3542</v>
      </c>
      <c r="E2792" s="16" t="s">
        <v>184</v>
      </c>
      <c r="F2792" s="16" t="s">
        <v>254</v>
      </c>
      <c r="G2792" s="16" t="s">
        <v>346</v>
      </c>
      <c r="H2792" s="16" t="s">
        <v>220</v>
      </c>
      <c r="I2792" s="16" t="s">
        <v>220</v>
      </c>
    </row>
    <row r="2793" ht="242.25" hidden="1" customHeight="1">
      <c r="B2793" s="32" t="str">
        <f>IMAGE("https://gymvisual.com/6821-catalog_default/lever-seated-wide-squat.jpg",4,500,500)</f>
        <v/>
      </c>
      <c r="C2793" s="30">
        <v>2792.0</v>
      </c>
      <c r="D2793" s="16" t="s">
        <v>3543</v>
      </c>
      <c r="E2793" s="16" t="s">
        <v>184</v>
      </c>
      <c r="F2793" s="16" t="s">
        <v>285</v>
      </c>
      <c r="G2793" s="16" t="s">
        <v>346</v>
      </c>
      <c r="H2793" s="16" t="s">
        <v>220</v>
      </c>
      <c r="I2793" s="16" t="s">
        <v>220</v>
      </c>
    </row>
    <row r="2794" ht="242.25" hidden="1" customHeight="1">
      <c r="B2794" s="32" t="str">
        <f>IMAGE("https://gymvisual.com/1813-catalog_default/3-4-sit-up.jpg",4,500,500)</f>
        <v/>
      </c>
      <c r="C2794" s="30">
        <v>2793.0</v>
      </c>
      <c r="D2794" s="16" t="s">
        <v>3544</v>
      </c>
      <c r="E2794" s="16" t="s">
        <v>184</v>
      </c>
      <c r="F2794" s="16" t="s">
        <v>228</v>
      </c>
      <c r="G2794" s="16" t="s">
        <v>346</v>
      </c>
      <c r="H2794" s="16" t="s">
        <v>1224</v>
      </c>
      <c r="I2794" s="16" t="s">
        <v>3545</v>
      </c>
    </row>
    <row r="2795" ht="242.25" hidden="1" customHeight="1">
      <c r="B2795" s="32" t="str">
        <f>IMAGE("https://gymvisual.com/9817-catalog_default/lever-shoulder-press-plate-loaded-version-3.jpg",4,500,500)</f>
        <v/>
      </c>
      <c r="C2795" s="30">
        <v>2794.0</v>
      </c>
      <c r="D2795" s="16" t="s">
        <v>3546</v>
      </c>
      <c r="E2795" s="16" t="s">
        <v>184</v>
      </c>
      <c r="F2795" s="16" t="s">
        <v>228</v>
      </c>
      <c r="G2795" s="16" t="s">
        <v>346</v>
      </c>
      <c r="H2795" s="16" t="s">
        <v>229</v>
      </c>
      <c r="I2795" s="16" t="s">
        <v>626</v>
      </c>
    </row>
    <row r="2796" ht="242.25" hidden="1" customHeight="1">
      <c r="B2796" s="32" t="str">
        <f>IMAGE("https://gymvisual.com/2645-catalog_default/lever-shoulder-press-plate-loaded-version-2.jpg",4,500,500)</f>
        <v/>
      </c>
      <c r="C2796" s="30">
        <v>2795.0</v>
      </c>
      <c r="D2796" s="16" t="s">
        <v>3547</v>
      </c>
      <c r="E2796" s="16" t="s">
        <v>184</v>
      </c>
      <c r="F2796" s="16" t="s">
        <v>228</v>
      </c>
      <c r="G2796" s="16" t="s">
        <v>346</v>
      </c>
      <c r="H2796" s="16" t="s">
        <v>229</v>
      </c>
      <c r="I2796" s="16" t="s">
        <v>626</v>
      </c>
    </row>
    <row r="2797" ht="242.25" hidden="1" customHeight="1">
      <c r="B2797" s="32" t="str">
        <f>IMAGE("https://gymvisual.com/4592-catalog_default/lever-shrug-bench-press-machine.jpg",4,500,500)</f>
        <v/>
      </c>
      <c r="C2797" s="30">
        <v>2796.0</v>
      </c>
      <c r="D2797" s="16" t="s">
        <v>3548</v>
      </c>
      <c r="E2797" s="16" t="s">
        <v>184</v>
      </c>
      <c r="F2797" s="16" t="s">
        <v>192</v>
      </c>
      <c r="G2797" s="16" t="s">
        <v>346</v>
      </c>
      <c r="H2797" s="16" t="s">
        <v>238</v>
      </c>
      <c r="I2797" s="16" t="s">
        <v>618</v>
      </c>
    </row>
    <row r="2798" ht="242.25" hidden="1" customHeight="1">
      <c r="B2798" s="32" t="str">
        <f>IMAGE("https://gymvisual.com/1816-catalog_default/3-4-sit-up.jpg",4,500,500)</f>
        <v/>
      </c>
      <c r="C2798" s="30">
        <v>2797.0</v>
      </c>
      <c r="D2798" s="16" t="s">
        <v>3549</v>
      </c>
      <c r="E2798" s="16" t="s">
        <v>184</v>
      </c>
      <c r="F2798" s="16" t="s">
        <v>192</v>
      </c>
      <c r="G2798" s="16" t="s">
        <v>346</v>
      </c>
      <c r="H2798" s="16" t="s">
        <v>238</v>
      </c>
      <c r="I2798" s="16" t="s">
        <v>618</v>
      </c>
    </row>
    <row r="2799" ht="242.25" hidden="1" customHeight="1">
      <c r="B2799" s="32" t="str">
        <f>IMAGE("https://gymvisual.com/13483-catalog_default/lever-shrug-plate-loaded-female.jpg",4,500,500)</f>
        <v/>
      </c>
      <c r="C2799" s="30">
        <v>2798.0</v>
      </c>
      <c r="D2799" s="16" t="s">
        <v>3550</v>
      </c>
      <c r="E2799" s="16" t="s">
        <v>184</v>
      </c>
      <c r="F2799" s="16" t="s">
        <v>192</v>
      </c>
      <c r="G2799" s="16" t="s">
        <v>346</v>
      </c>
      <c r="H2799" s="16" t="s">
        <v>238</v>
      </c>
      <c r="I2799" s="16" t="s">
        <v>618</v>
      </c>
    </row>
    <row r="2800" ht="242.25" hidden="1" customHeight="1">
      <c r="B2800" s="32" t="str">
        <f>IMAGE("https://gymvisual.com/2932-catalog_default/lever-side-hip-abduction.jpg",4,500,500)</f>
        <v/>
      </c>
      <c r="C2800" s="30">
        <v>2799.0</v>
      </c>
      <c r="D2800" s="16" t="s">
        <v>3551</v>
      </c>
      <c r="E2800" s="16" t="s">
        <v>184</v>
      </c>
      <c r="F2800" s="16" t="s">
        <v>185</v>
      </c>
      <c r="G2800" s="16" t="s">
        <v>346</v>
      </c>
      <c r="H2800" s="16" t="s">
        <v>271</v>
      </c>
      <c r="I2800" s="16" t="s">
        <v>3552</v>
      </c>
    </row>
    <row r="2801" ht="242.25" hidden="1" customHeight="1">
      <c r="B2801" s="32" t="str">
        <f>IMAGE("https://gymvisual.com/11836-catalog_default/lever-side-hip-abduction-female.jpg",4,500,500)</f>
        <v/>
      </c>
      <c r="C2801" s="30">
        <v>2800.0</v>
      </c>
      <c r="D2801" s="16" t="s">
        <v>3553</v>
      </c>
      <c r="E2801" s="16" t="s">
        <v>184</v>
      </c>
      <c r="F2801" s="16" t="s">
        <v>185</v>
      </c>
      <c r="G2801" s="16" t="s">
        <v>346</v>
      </c>
      <c r="H2801" s="16" t="s">
        <v>508</v>
      </c>
      <c r="I2801" s="16" t="s">
        <v>220</v>
      </c>
    </row>
    <row r="2802" ht="242.25" hidden="1" customHeight="1">
      <c r="B2802" s="32" t="str">
        <f>IMAGE("https://gymvisual.com/2933-catalog_default/lever-side-hip-adduction.jpg",4,500,500)</f>
        <v/>
      </c>
      <c r="C2802" s="30">
        <v>2801.0</v>
      </c>
      <c r="D2802" s="16" t="s">
        <v>3554</v>
      </c>
      <c r="E2802" s="16" t="s">
        <v>184</v>
      </c>
      <c r="F2802" s="16" t="s">
        <v>185</v>
      </c>
      <c r="G2802" s="16" t="s">
        <v>346</v>
      </c>
      <c r="H2802" s="16" t="s">
        <v>187</v>
      </c>
      <c r="I2802" s="16" t="s">
        <v>220</v>
      </c>
    </row>
    <row r="2803" ht="242.25" hidden="1" customHeight="1">
      <c r="B2803" s="32" t="str">
        <f>IMAGE("https://gymvisual.com/23436-catalog_default/lever-single-arm-neutral-grip-seated-row-plate-loaded.jpg",4,500,500)</f>
        <v/>
      </c>
      <c r="C2803" s="30">
        <v>2802.0</v>
      </c>
      <c r="D2803" s="16" t="s">
        <v>3555</v>
      </c>
      <c r="E2803" s="16" t="s">
        <v>184</v>
      </c>
      <c r="F2803" s="16" t="s">
        <v>192</v>
      </c>
      <c r="G2803" s="16" t="s">
        <v>346</v>
      </c>
      <c r="H2803" s="16" t="s">
        <v>329</v>
      </c>
      <c r="I2803" s="16" t="s">
        <v>457</v>
      </c>
    </row>
    <row r="2804" ht="242.25" hidden="1" customHeight="1">
      <c r="B2804" s="32" t="str">
        <f>IMAGE("https://gymvisual.com/23945-catalog_default/lever-single-leg-extension-plate-loaded.jpg",4,500,500)</f>
        <v/>
      </c>
      <c r="C2804" s="30">
        <v>2803.0</v>
      </c>
      <c r="D2804" s="16" t="s">
        <v>3556</v>
      </c>
      <c r="E2804" s="16" t="s">
        <v>184</v>
      </c>
      <c r="F2804" s="16" t="s">
        <v>285</v>
      </c>
      <c r="G2804" s="16" t="s">
        <v>346</v>
      </c>
      <c r="H2804" s="16" t="s">
        <v>552</v>
      </c>
      <c r="I2804" s="16" t="s">
        <v>220</v>
      </c>
    </row>
    <row r="2805" ht="242.25" hidden="1" customHeight="1">
      <c r="B2805" s="32" t="str">
        <f>IMAGE("https://gymvisual.com/8784-catalog_default/lever-single-leg-hip-thrust.jpg",4,500,500)</f>
        <v/>
      </c>
      <c r="C2805" s="30">
        <v>2804.0</v>
      </c>
      <c r="D2805" s="16" t="s">
        <v>3557</v>
      </c>
      <c r="E2805" s="16" t="s">
        <v>184</v>
      </c>
      <c r="F2805" s="16" t="s">
        <v>185</v>
      </c>
      <c r="G2805" s="16" t="s">
        <v>346</v>
      </c>
      <c r="H2805" s="16" t="s">
        <v>187</v>
      </c>
      <c r="I2805" s="16" t="s">
        <v>854</v>
      </c>
    </row>
    <row r="2806" ht="242.25" hidden="1" customHeight="1">
      <c r="B2806" s="32" t="str">
        <f>IMAGE("https://gymvisual.com/7727-catalog_default/lever-squat-plate-loaded.jpg",4,500,500)</f>
        <v/>
      </c>
      <c r="C2806" s="30">
        <v>2805.0</v>
      </c>
      <c r="D2806" s="16" t="s">
        <v>3558</v>
      </c>
      <c r="E2806" s="16" t="s">
        <v>184</v>
      </c>
      <c r="F2806" s="16" t="s">
        <v>285</v>
      </c>
      <c r="G2806" s="16" t="s">
        <v>346</v>
      </c>
      <c r="H2806" s="16" t="s">
        <v>189</v>
      </c>
      <c r="I2806" s="16" t="s">
        <v>190</v>
      </c>
    </row>
    <row r="2807" ht="242.25" hidden="1" customHeight="1">
      <c r="B2807" s="32" t="str">
        <f>IMAGE("https://gymvisual.com/1819-catalog_default/3-4-sit-up.jpg",4,500,500)</f>
        <v/>
      </c>
      <c r="C2807" s="30">
        <v>2806.0</v>
      </c>
      <c r="D2807" s="16" t="s">
        <v>3559</v>
      </c>
      <c r="E2807" s="16" t="s">
        <v>184</v>
      </c>
      <c r="F2807" s="16" t="s">
        <v>325</v>
      </c>
      <c r="G2807" s="16" t="s">
        <v>346</v>
      </c>
      <c r="H2807" s="16" t="s">
        <v>368</v>
      </c>
      <c r="I2807" s="16" t="s">
        <v>463</v>
      </c>
    </row>
    <row r="2808" ht="242.25" hidden="1" customHeight="1">
      <c r="B2808" s="32" t="str">
        <f>IMAGE("https://gymvisual.com/9547-catalog_default/lever-standing-calf-raise-female.jpg",4,500,500)</f>
        <v/>
      </c>
      <c r="C2808" s="30">
        <v>2807.0</v>
      </c>
      <c r="D2808" s="16" t="s">
        <v>3560</v>
      </c>
      <c r="E2808" s="16" t="s">
        <v>184</v>
      </c>
      <c r="F2808" s="16" t="s">
        <v>325</v>
      </c>
      <c r="G2808" s="16" t="s">
        <v>346</v>
      </c>
      <c r="H2808" s="16" t="s">
        <v>368</v>
      </c>
      <c r="I2808" s="16" t="s">
        <v>463</v>
      </c>
    </row>
    <row r="2809" ht="242.25" hidden="1" customHeight="1">
      <c r="B2809" s="32" t="str">
        <f>IMAGE("https://gymvisual.com/16672-catalog_default/lever-standing-chest-press.jpg",4,500,500)</f>
        <v/>
      </c>
      <c r="C2809" s="30">
        <v>2808.0</v>
      </c>
      <c r="D2809" s="16" t="s">
        <v>3561</v>
      </c>
      <c r="E2809" s="16" t="s">
        <v>184</v>
      </c>
      <c r="F2809" s="16" t="s">
        <v>234</v>
      </c>
      <c r="G2809" s="16" t="s">
        <v>346</v>
      </c>
      <c r="H2809" s="16" t="s">
        <v>235</v>
      </c>
      <c r="I2809" s="16" t="s">
        <v>243</v>
      </c>
    </row>
    <row r="2810" ht="242.25" hidden="1" customHeight="1">
      <c r="B2810" s="32" t="str">
        <f>IMAGE("https://gymvisual.com/2929-catalog_default/lever-standing-hip-extension.jpg",4,500,500)</f>
        <v/>
      </c>
      <c r="C2810" s="30">
        <v>2809.0</v>
      </c>
      <c r="D2810" s="16" t="s">
        <v>3562</v>
      </c>
      <c r="E2810" s="16" t="s">
        <v>184</v>
      </c>
      <c r="F2810" s="16" t="s">
        <v>185</v>
      </c>
      <c r="G2810" s="16" t="s">
        <v>346</v>
      </c>
      <c r="H2810" s="16" t="s">
        <v>223</v>
      </c>
      <c r="I2810" s="16" t="s">
        <v>220</v>
      </c>
    </row>
    <row r="2811" ht="242.25" hidden="1" customHeight="1">
      <c r="B2811" s="32" t="str">
        <f>IMAGE("https://gymvisual.com/14388-catalog_default/lever-standing-hip-extension-female.jpg",4,500,500)</f>
        <v/>
      </c>
      <c r="C2811" s="30">
        <v>2810.0</v>
      </c>
      <c r="D2811" s="16" t="s">
        <v>3563</v>
      </c>
      <c r="E2811" s="16" t="s">
        <v>184</v>
      </c>
      <c r="F2811" s="16" t="s">
        <v>185</v>
      </c>
      <c r="G2811" s="16" t="s">
        <v>346</v>
      </c>
      <c r="H2811" s="16" t="s">
        <v>187</v>
      </c>
      <c r="I2811" s="16" t="s">
        <v>188</v>
      </c>
    </row>
    <row r="2812" ht="242.25" hidden="1" customHeight="1">
      <c r="B2812" s="32" t="str">
        <f>IMAGE("https://gymvisual.com/18766-catalog_default/lever-standing-leg-curl.jpg",4,500,500)</f>
        <v/>
      </c>
      <c r="C2812" s="30">
        <v>2811.0</v>
      </c>
      <c r="D2812" s="16" t="s">
        <v>3564</v>
      </c>
      <c r="E2812" s="16" t="s">
        <v>184</v>
      </c>
      <c r="F2812" s="16" t="s">
        <v>285</v>
      </c>
      <c r="G2812" s="16" t="s">
        <v>346</v>
      </c>
      <c r="H2812" s="16" t="s">
        <v>220</v>
      </c>
      <c r="I2812" s="16" t="s">
        <v>220</v>
      </c>
    </row>
    <row r="2813" ht="242.25" hidden="1" customHeight="1">
      <c r="B2813" s="32" t="str">
        <f>IMAGE("https://gymvisual.com/2934-catalog_default/lever-standing-leg-raise.jpg",4,500,500)</f>
        <v/>
      </c>
      <c r="C2813" s="30">
        <v>2812.0</v>
      </c>
      <c r="D2813" s="16" t="s">
        <v>3565</v>
      </c>
      <c r="E2813" s="16" t="s">
        <v>184</v>
      </c>
      <c r="F2813" s="16" t="s">
        <v>185</v>
      </c>
      <c r="G2813" s="16" t="s">
        <v>346</v>
      </c>
      <c r="H2813" s="16" t="s">
        <v>189</v>
      </c>
      <c r="I2813" s="16" t="s">
        <v>190</v>
      </c>
    </row>
    <row r="2814" ht="242.25" hidden="1" customHeight="1">
      <c r="B2814" s="32" t="str">
        <f>IMAGE("https://gymvisual.com/2935-catalog_default/lever-standing-rear-kick.jpg",4,500,500)</f>
        <v/>
      </c>
      <c r="C2814" s="30">
        <v>2813.0</v>
      </c>
      <c r="D2814" s="16" t="s">
        <v>3566</v>
      </c>
      <c r="E2814" s="16" t="s">
        <v>184</v>
      </c>
      <c r="F2814" s="16" t="s">
        <v>185</v>
      </c>
      <c r="G2814" s="16" t="s">
        <v>346</v>
      </c>
      <c r="H2814" s="16" t="s">
        <v>189</v>
      </c>
      <c r="I2814" s="16" t="s">
        <v>190</v>
      </c>
    </row>
    <row r="2815" ht="242.25" hidden="1" customHeight="1">
      <c r="B2815" s="32" t="str">
        <f>IMAGE("https://gymvisual.com/14290-catalog_default/lever-standing-rear-kick-female.jpg",4,500,500)</f>
        <v/>
      </c>
      <c r="C2815" s="30">
        <v>2814.0</v>
      </c>
      <c r="D2815" s="16" t="s">
        <v>3567</v>
      </c>
      <c r="E2815" s="16" t="s">
        <v>184</v>
      </c>
      <c r="F2815" s="16" t="s">
        <v>185</v>
      </c>
      <c r="G2815" s="16" t="s">
        <v>346</v>
      </c>
      <c r="H2815" s="16" t="s">
        <v>187</v>
      </c>
      <c r="I2815" s="16" t="s">
        <v>220</v>
      </c>
    </row>
    <row r="2816" ht="242.25" hidden="1" customHeight="1">
      <c r="B2816" s="32" t="str">
        <f>IMAGE("https://gymvisual.com/15656-catalog_default/3-4-sit-up.jpg",4,500,500)</f>
        <v/>
      </c>
      <c r="C2816" s="30">
        <v>2815.0</v>
      </c>
      <c r="D2816" s="16" t="s">
        <v>3568</v>
      </c>
      <c r="E2816" s="16" t="s">
        <v>184</v>
      </c>
      <c r="F2816" s="16" t="s">
        <v>192</v>
      </c>
      <c r="G2816" s="16" t="s">
        <v>346</v>
      </c>
      <c r="H2816" s="16" t="s">
        <v>329</v>
      </c>
      <c r="I2816" s="16" t="s">
        <v>457</v>
      </c>
    </row>
    <row r="2817" ht="242.25" hidden="1" customHeight="1">
      <c r="B2817" s="32" t="str">
        <f>IMAGE("https://gymvisual.com/6042-catalog_default/lever-t-bar-reverse-grip-row.jpg",4,500,500)</f>
        <v/>
      </c>
      <c r="C2817" s="30">
        <v>2816.0</v>
      </c>
      <c r="D2817" s="16" t="s">
        <v>3569</v>
      </c>
      <c r="E2817" s="16" t="s">
        <v>184</v>
      </c>
      <c r="F2817" s="16" t="s">
        <v>192</v>
      </c>
      <c r="G2817" s="16" t="s">
        <v>346</v>
      </c>
      <c r="H2817" s="16" t="s">
        <v>329</v>
      </c>
      <c r="I2817" s="16" t="s">
        <v>457</v>
      </c>
    </row>
    <row r="2818" ht="242.25" hidden="1" customHeight="1">
      <c r="B2818" s="32" t="str">
        <f>IMAGE("https://gymvisual.com/22554-catalog_default/lever-t-bar-romanian-deadlift.jpg",4,500,500)</f>
        <v/>
      </c>
      <c r="C2818" s="30">
        <v>2817.0</v>
      </c>
      <c r="D2818" s="16" t="s">
        <v>3570</v>
      </c>
      <c r="E2818" s="16" t="s">
        <v>184</v>
      </c>
      <c r="F2818" s="16" t="s">
        <v>185</v>
      </c>
      <c r="G2818" s="16" t="s">
        <v>346</v>
      </c>
      <c r="H2818" s="16" t="s">
        <v>220</v>
      </c>
      <c r="I2818" s="16" t="s">
        <v>220</v>
      </c>
    </row>
    <row r="2819" ht="242.25" hidden="1" customHeight="1">
      <c r="B2819" s="32" t="str">
        <f>IMAGE("https://gymvisual.com/19373-catalog_default/lever-t-bar-row-plate-loaded-female.jpg",4,500,500)</f>
        <v/>
      </c>
      <c r="C2819" s="30">
        <v>2818.0</v>
      </c>
      <c r="D2819" s="16" t="s">
        <v>3571</v>
      </c>
      <c r="E2819" s="16" t="s">
        <v>184</v>
      </c>
      <c r="F2819" s="16" t="s">
        <v>192</v>
      </c>
      <c r="G2819" s="16" t="s">
        <v>346</v>
      </c>
      <c r="H2819" s="16" t="s">
        <v>570</v>
      </c>
      <c r="I2819" s="16" t="s">
        <v>447</v>
      </c>
    </row>
    <row r="2820" ht="242.25" hidden="1" customHeight="1">
      <c r="B2820" s="32" t="str">
        <f>IMAGE("https://gymvisual.com/24053-catalog_default/lever-total-abdominal-crunch.jpg",4,500,500)</f>
        <v/>
      </c>
      <c r="C2820" s="30">
        <v>2819.0</v>
      </c>
      <c r="D2820" s="16" t="s">
        <v>3572</v>
      </c>
      <c r="E2820" s="16" t="s">
        <v>184</v>
      </c>
      <c r="F2820" s="16" t="s">
        <v>254</v>
      </c>
      <c r="G2820" s="16" t="s">
        <v>346</v>
      </c>
      <c r="H2820" s="16" t="s">
        <v>256</v>
      </c>
      <c r="I2820" s="16" t="s">
        <v>257</v>
      </c>
    </row>
    <row r="2821" ht="242.25" hidden="1" customHeight="1">
      <c r="B2821" s="32" t="str">
        <f>IMAGE("https://gymvisual.com/7723-catalog_default/lever-triceps-dip-plate-loaded.jpg",4,500,500)</f>
        <v/>
      </c>
      <c r="C2821" s="30">
        <v>2820.0</v>
      </c>
      <c r="D2821" s="16" t="s">
        <v>3573</v>
      </c>
      <c r="E2821" s="16" t="s">
        <v>184</v>
      </c>
      <c r="F2821" s="16" t="s">
        <v>219</v>
      </c>
      <c r="G2821" s="16" t="s">
        <v>346</v>
      </c>
      <c r="H2821" s="16" t="s">
        <v>223</v>
      </c>
      <c r="I2821" s="16" t="s">
        <v>394</v>
      </c>
    </row>
    <row r="2822" ht="242.25" hidden="1" customHeight="1">
      <c r="B2822" s="32" t="str">
        <f>IMAGE("https://gymvisual.com/1825-catalog_default/3-4-sit-up.jpg",4,500,500)</f>
        <v/>
      </c>
      <c r="C2822" s="30">
        <v>2821.0</v>
      </c>
      <c r="D2822" s="16" t="s">
        <v>3574</v>
      </c>
      <c r="E2822" s="16" t="s">
        <v>184</v>
      </c>
      <c r="F2822" s="16" t="s">
        <v>219</v>
      </c>
      <c r="G2822" s="16" t="s">
        <v>346</v>
      </c>
      <c r="H2822" s="16" t="s">
        <v>223</v>
      </c>
      <c r="I2822" s="16" t="s">
        <v>220</v>
      </c>
    </row>
    <row r="2823" ht="242.25" hidden="1" customHeight="1">
      <c r="B2823" s="32" t="str">
        <f>IMAGE("https://gymvisual.com/2931-catalog_default/lever-triceps-extension.jpg",4,500,500)</f>
        <v/>
      </c>
      <c r="C2823" s="30">
        <v>2822.0</v>
      </c>
      <c r="D2823" s="16" t="s">
        <v>3574</v>
      </c>
      <c r="E2823" s="16" t="s">
        <v>184</v>
      </c>
      <c r="F2823" s="16" t="s">
        <v>219</v>
      </c>
      <c r="G2823" s="16" t="s">
        <v>346</v>
      </c>
      <c r="H2823" s="16" t="s">
        <v>511</v>
      </c>
      <c r="I2823" s="16" t="s">
        <v>3575</v>
      </c>
    </row>
    <row r="2824" ht="242.25" hidden="1" customHeight="1">
      <c r="B2824" s="32" t="str">
        <f>IMAGE("https://gymvisual.com/14292-catalog_default/lever-triceps-extension-female.jpg",4,500,500)</f>
        <v/>
      </c>
      <c r="C2824" s="30">
        <v>2823.0</v>
      </c>
      <c r="D2824" s="16" t="s">
        <v>3576</v>
      </c>
      <c r="E2824" s="16" t="s">
        <v>184</v>
      </c>
      <c r="F2824" s="16" t="s">
        <v>219</v>
      </c>
      <c r="G2824" s="16" t="s">
        <v>346</v>
      </c>
      <c r="H2824" s="16" t="s">
        <v>223</v>
      </c>
      <c r="I2824" s="16" t="s">
        <v>220</v>
      </c>
    </row>
    <row r="2825" ht="242.25" hidden="1" customHeight="1">
      <c r="B2825" s="32" t="str">
        <f>IMAGE("https://gymvisual.com/12059-catalog_default/lever-triceps-extension-version-2-female.jpg",4,500,500)</f>
        <v/>
      </c>
      <c r="C2825" s="30">
        <v>2824.0</v>
      </c>
      <c r="D2825" s="16" t="s">
        <v>3577</v>
      </c>
      <c r="E2825" s="16" t="s">
        <v>184</v>
      </c>
      <c r="F2825" s="16" t="s">
        <v>219</v>
      </c>
      <c r="G2825" s="16" t="s">
        <v>346</v>
      </c>
      <c r="H2825" s="16" t="s">
        <v>223</v>
      </c>
      <c r="I2825" s="16" t="s">
        <v>220</v>
      </c>
    </row>
    <row r="2826" ht="242.25" hidden="1" customHeight="1">
      <c r="B2826" s="32" t="str">
        <f>IMAGE("https://gymvisual.com/22656-catalog_default/lever-trunk-rotation.jpg",4,500,500)</f>
        <v/>
      </c>
      <c r="C2826" s="30">
        <v>2825.0</v>
      </c>
      <c r="D2826" s="16" t="s">
        <v>3578</v>
      </c>
      <c r="E2826" s="16" t="s">
        <v>184</v>
      </c>
      <c r="F2826" s="16" t="s">
        <v>254</v>
      </c>
      <c r="G2826" s="16" t="s">
        <v>346</v>
      </c>
      <c r="H2826" s="16" t="s">
        <v>257</v>
      </c>
      <c r="I2826" s="16" t="s">
        <v>256</v>
      </c>
    </row>
    <row r="2827" ht="242.25" hidden="1" customHeight="1">
      <c r="B2827" s="32" t="str">
        <f>IMAGE("https://gymvisual.com/1828-catalog_default/3-4-sit-up.jpg",4,500,500)</f>
        <v/>
      </c>
      <c r="C2827" s="30">
        <v>2826.0</v>
      </c>
      <c r="D2827" s="16" t="s">
        <v>3579</v>
      </c>
      <c r="E2827" s="16" t="s">
        <v>184</v>
      </c>
      <c r="F2827" s="16" t="s">
        <v>254</v>
      </c>
      <c r="G2827" s="16" t="s">
        <v>346</v>
      </c>
      <c r="H2827" s="16" t="s">
        <v>257</v>
      </c>
      <c r="I2827" s="16" t="s">
        <v>271</v>
      </c>
    </row>
    <row r="2828" ht="242.25" hidden="1" customHeight="1">
      <c r="B2828" s="32" t="str">
        <f>IMAGE("https://gymvisual.com/6004-catalog_default/lever-unilateral-row.jpg",4,500,500)</f>
        <v/>
      </c>
      <c r="C2828" s="30">
        <v>2827.0</v>
      </c>
      <c r="D2828" s="16" t="s">
        <v>3580</v>
      </c>
      <c r="E2828" s="16" t="s">
        <v>184</v>
      </c>
      <c r="F2828" s="16" t="s">
        <v>192</v>
      </c>
      <c r="G2828" s="16" t="s">
        <v>346</v>
      </c>
      <c r="H2828" s="16" t="s">
        <v>329</v>
      </c>
      <c r="I2828" s="16" t="s">
        <v>457</v>
      </c>
    </row>
    <row r="2829" ht="242.25" hidden="1" customHeight="1">
      <c r="B2829" s="32" t="str">
        <f>IMAGE("https://gymvisual.com/21008-catalog_default/lever-vmx-multy-mode-rope-lat-pulldown.jpg",4,500,500)</f>
        <v/>
      </c>
      <c r="C2829" s="30">
        <v>2828.0</v>
      </c>
      <c r="D2829" s="16" t="s">
        <v>3581</v>
      </c>
      <c r="E2829" s="16" t="s">
        <v>184</v>
      </c>
      <c r="F2829" s="16" t="s">
        <v>192</v>
      </c>
      <c r="G2829" s="16" t="s">
        <v>346</v>
      </c>
      <c r="H2829" s="16" t="s">
        <v>300</v>
      </c>
      <c r="I2829" s="16" t="s">
        <v>3582</v>
      </c>
    </row>
    <row r="2830" ht="242.25" customHeight="1">
      <c r="B2830" s="32" t="str">
        <f>IMAGE("https://gymvisual.com/1831-catalog_default/3-4-sit-up.jpg",4,500,500)</f>
        <v/>
      </c>
      <c r="C2830" s="30">
        <v>2829.0</v>
      </c>
      <c r="D2830" s="16" t="s">
        <v>3583</v>
      </c>
      <c r="E2830" s="16" t="s">
        <v>184</v>
      </c>
      <c r="F2830" s="16" t="s">
        <v>192</v>
      </c>
      <c r="G2830" s="16" t="s">
        <v>1160</v>
      </c>
      <c r="H2830" s="16" t="s">
        <v>329</v>
      </c>
      <c r="I2830" s="16" t="s">
        <v>457</v>
      </c>
    </row>
    <row r="2831" ht="242.25" hidden="1" customHeight="1">
      <c r="B2831" s="32" t="str">
        <f>IMAGE("https://gymvisual.com/22109-catalog_default/long-arm-crunch.jpg",4,500,500)</f>
        <v/>
      </c>
      <c r="C2831" s="30">
        <v>2830.0</v>
      </c>
      <c r="D2831" s="16" t="s">
        <v>3584</v>
      </c>
      <c r="E2831" s="16" t="s">
        <v>184</v>
      </c>
      <c r="F2831" s="16" t="s">
        <v>254</v>
      </c>
      <c r="G2831" s="16" t="s">
        <v>255</v>
      </c>
      <c r="H2831" s="16" t="s">
        <v>256</v>
      </c>
      <c r="I2831" s="16" t="s">
        <v>257</v>
      </c>
    </row>
    <row r="2832" ht="242.25" hidden="1" customHeight="1">
      <c r="B2832" s="32" t="str">
        <f>IMAGE("https://gymvisual.com/22758-catalog_default/long-arm-crunch-female.jpg",4,500,500)</f>
        <v/>
      </c>
      <c r="C2832" s="30">
        <v>2831.0</v>
      </c>
      <c r="D2832" s="16" t="s">
        <v>3585</v>
      </c>
      <c r="E2832" s="16" t="s">
        <v>184</v>
      </c>
      <c r="F2832" s="16" t="s">
        <v>254</v>
      </c>
      <c r="G2832" s="16" t="s">
        <v>255</v>
      </c>
      <c r="H2832" s="16" t="s">
        <v>220</v>
      </c>
      <c r="I2832" s="16" t="s">
        <v>220</v>
      </c>
    </row>
    <row r="2833" ht="242.25" hidden="1" customHeight="1">
      <c r="B2833" s="32" t="str">
        <f>IMAGE("https://gymvisual.com/22458-catalog_default/long-lever-decline-sit-up-female.jpg",4,500,500)</f>
        <v/>
      </c>
      <c r="C2833" s="30">
        <v>2832.0</v>
      </c>
      <c r="D2833" s="16" t="s">
        <v>3586</v>
      </c>
      <c r="E2833" s="16" t="s">
        <v>184</v>
      </c>
      <c r="F2833" s="16" t="s">
        <v>254</v>
      </c>
      <c r="G2833" s="16" t="s">
        <v>346</v>
      </c>
      <c r="H2833" s="16" t="s">
        <v>220</v>
      </c>
      <c r="I2833" s="16" t="s">
        <v>220</v>
      </c>
    </row>
    <row r="2834" ht="242.25" hidden="1" customHeight="1">
      <c r="B2834" s="32" t="str">
        <f>IMAGE("https://gymvisual.com/22484-catalog_default/long-lever-lying-back-extension.jpg",4,500,500)</f>
        <v/>
      </c>
      <c r="C2834" s="30">
        <v>2833.0</v>
      </c>
      <c r="D2834" s="16" t="s">
        <v>3587</v>
      </c>
      <c r="E2834" s="16" t="s">
        <v>184</v>
      </c>
      <c r="F2834" s="16" t="s">
        <v>185</v>
      </c>
      <c r="G2834" s="16" t="s">
        <v>346</v>
      </c>
      <c r="H2834" s="16" t="s">
        <v>220</v>
      </c>
      <c r="I2834" s="16" t="s">
        <v>220</v>
      </c>
    </row>
    <row r="2835" ht="242.25" hidden="1" customHeight="1">
      <c r="B2835" s="32" t="str">
        <f>IMAGE("https://gymvisual.com/12406-catalog_default/low-glute-bridge-on-floor.jpg",4,500,500)</f>
        <v/>
      </c>
      <c r="C2835" s="30">
        <v>2834.0</v>
      </c>
      <c r="D2835" s="16" t="s">
        <v>3588</v>
      </c>
      <c r="E2835" s="16" t="s">
        <v>184</v>
      </c>
      <c r="F2835" s="16" t="s">
        <v>185</v>
      </c>
      <c r="G2835" s="16" t="s">
        <v>255</v>
      </c>
      <c r="H2835" s="16" t="s">
        <v>187</v>
      </c>
      <c r="I2835" s="16" t="s">
        <v>220</v>
      </c>
    </row>
    <row r="2836" ht="242.25" hidden="1" customHeight="1">
      <c r="B2836" s="32" t="str">
        <f>IMAGE("https://gymvisual.com/12409-catalog_default/low-glute-bridge-on-floor-female.jpg",4,500,500)</f>
        <v/>
      </c>
      <c r="C2836" s="30">
        <v>2835.0</v>
      </c>
      <c r="D2836" s="16" t="s">
        <v>3589</v>
      </c>
      <c r="E2836" s="16" t="s">
        <v>184</v>
      </c>
      <c r="F2836" s="16" t="s">
        <v>185</v>
      </c>
      <c r="G2836" s="16" t="s">
        <v>255</v>
      </c>
      <c r="H2836" s="16" t="s">
        <v>187</v>
      </c>
      <c r="I2836" s="16" t="s">
        <v>220</v>
      </c>
    </row>
    <row r="2837" ht="242.25" hidden="1" customHeight="1">
      <c r="B2837" s="32" t="str">
        <f>IMAGE("https://gymvisual.com/6043-catalog_default/lower-back-curl.jpg",4,500,500)</f>
        <v/>
      </c>
      <c r="C2837" s="30">
        <v>2836.0</v>
      </c>
      <c r="D2837" s="16" t="s">
        <v>3590</v>
      </c>
      <c r="E2837" s="16" t="s">
        <v>184</v>
      </c>
      <c r="F2837" s="16" t="s">
        <v>192</v>
      </c>
      <c r="G2837" s="16" t="s">
        <v>255</v>
      </c>
      <c r="H2837" s="16" t="s">
        <v>275</v>
      </c>
      <c r="I2837" s="16" t="s">
        <v>220</v>
      </c>
    </row>
    <row r="2838" ht="242.25" hidden="1" customHeight="1">
      <c r="B2838" s="32" t="str">
        <f>IMAGE("https://gymvisual.com/1839-catalog_default/3-4-sit-up.jpg",4,500,500)</f>
        <v/>
      </c>
      <c r="C2838" s="30">
        <v>2837.0</v>
      </c>
      <c r="D2838" s="16" t="s">
        <v>3591</v>
      </c>
      <c r="E2838" s="16" t="s">
        <v>184</v>
      </c>
      <c r="F2838" s="16" t="s">
        <v>185</v>
      </c>
      <c r="G2838" s="16" t="s">
        <v>255</v>
      </c>
      <c r="H2838" s="16" t="s">
        <v>189</v>
      </c>
      <c r="I2838" s="16" t="s">
        <v>190</v>
      </c>
    </row>
    <row r="2839" ht="242.25" hidden="1" customHeight="1">
      <c r="B2839" s="32" t="str">
        <f>IMAGE("https://gymvisual.com/20060-catalog_default/lunge-thighs-wrong-right.jpg",4,500,500)</f>
        <v/>
      </c>
      <c r="C2839" s="30">
        <v>2838.0</v>
      </c>
      <c r="D2839" s="16" t="s">
        <v>3592</v>
      </c>
      <c r="E2839" s="16" t="s">
        <v>184</v>
      </c>
      <c r="F2839" s="16" t="s">
        <v>285</v>
      </c>
      <c r="G2839" s="16" t="s">
        <v>255</v>
      </c>
      <c r="H2839" s="16" t="s">
        <v>220</v>
      </c>
      <c r="I2839" s="16" t="s">
        <v>220</v>
      </c>
    </row>
    <row r="2840" ht="242.25" hidden="1" customHeight="1">
      <c r="B2840" s="32" t="str">
        <f>IMAGE("https://gymvisual.com/1837-catalog_default/3-4-sit-up.jpg",4,500,500)</f>
        <v/>
      </c>
      <c r="C2840" s="30">
        <v>2839.0</v>
      </c>
      <c r="D2840" s="16" t="s">
        <v>3593</v>
      </c>
      <c r="E2840" s="16" t="s">
        <v>184</v>
      </c>
      <c r="F2840" s="16" t="s">
        <v>285</v>
      </c>
      <c r="G2840" s="16" t="s">
        <v>255</v>
      </c>
      <c r="H2840" s="16" t="s">
        <v>3594</v>
      </c>
      <c r="I2840" s="16" t="s">
        <v>3595</v>
      </c>
    </row>
    <row r="2841" ht="242.25" hidden="1" customHeight="1">
      <c r="B2841" s="32" t="str">
        <f>IMAGE("https://gymvisual.com/14226-catalog_default/lunge-with-leg-lift.jpg",4,500,500)</f>
        <v/>
      </c>
      <c r="C2841" s="30">
        <v>2840.0</v>
      </c>
      <c r="D2841" s="16" t="s">
        <v>3596</v>
      </c>
      <c r="E2841" s="16" t="s">
        <v>184</v>
      </c>
      <c r="F2841" s="16" t="s">
        <v>285</v>
      </c>
      <c r="G2841" s="16" t="s">
        <v>255</v>
      </c>
      <c r="H2841" s="16" t="s">
        <v>189</v>
      </c>
      <c r="I2841" s="16" t="s">
        <v>190</v>
      </c>
    </row>
    <row r="2842" ht="242.25" hidden="1" customHeight="1">
      <c r="B2842" s="32" t="str">
        <f>IMAGE("https://gymvisual.com/7310-catalog_default/lunge-with-twist.jpg",4,500,500)</f>
        <v/>
      </c>
      <c r="C2842" s="30">
        <v>2841.0</v>
      </c>
      <c r="D2842" s="16" t="s">
        <v>3597</v>
      </c>
      <c r="E2842" s="16" t="s">
        <v>184</v>
      </c>
      <c r="F2842" s="16" t="s">
        <v>254</v>
      </c>
      <c r="G2842" s="16" t="s">
        <v>255</v>
      </c>
      <c r="H2842" s="16" t="s">
        <v>524</v>
      </c>
      <c r="I2842" s="16" t="s">
        <v>190</v>
      </c>
    </row>
    <row r="2843" ht="242.25" hidden="1" customHeight="1">
      <c r="B2843" s="32" t="str">
        <f>IMAGE("https://gymvisual.com/19033-catalog_default/lying-ab-press-female.jpg",4,500,500)</f>
        <v/>
      </c>
      <c r="C2843" s="30">
        <v>2842.0</v>
      </c>
      <c r="D2843" s="16" t="s">
        <v>3598</v>
      </c>
      <c r="E2843" s="16" t="s">
        <v>184</v>
      </c>
      <c r="F2843" s="16" t="s">
        <v>254</v>
      </c>
      <c r="G2843" s="16" t="s">
        <v>255</v>
      </c>
      <c r="H2843" s="16" t="s">
        <v>256</v>
      </c>
      <c r="I2843" s="16" t="s">
        <v>271</v>
      </c>
    </row>
    <row r="2844" ht="242.25" hidden="1" customHeight="1">
      <c r="B2844" s="32" t="str">
        <f>IMAGE("https://gymvisual.com/19029-catalog_default/lying-ab-press-male.jpg",4,500,500)</f>
        <v/>
      </c>
      <c r="C2844" s="30">
        <v>2843.0</v>
      </c>
      <c r="D2844" s="16" t="s">
        <v>3599</v>
      </c>
      <c r="E2844" s="16" t="s">
        <v>184</v>
      </c>
      <c r="F2844" s="16" t="s">
        <v>254</v>
      </c>
      <c r="G2844" s="16" t="s">
        <v>255</v>
      </c>
      <c r="H2844" s="16" t="s">
        <v>256</v>
      </c>
      <c r="I2844" s="16" t="s">
        <v>271</v>
      </c>
    </row>
    <row r="2845" ht="242.25" hidden="1" customHeight="1">
      <c r="B2845" s="32" t="str">
        <f>IMAGE("https://gymvisual.com/23679-catalog_default/lying-air-cycles.jpg",4,500,500)</f>
        <v/>
      </c>
      <c r="C2845" s="30">
        <v>2844.0</v>
      </c>
      <c r="D2845" s="16" t="s">
        <v>3600</v>
      </c>
      <c r="E2845" s="16" t="s">
        <v>184</v>
      </c>
      <c r="F2845" s="16" t="s">
        <v>321</v>
      </c>
      <c r="G2845" s="16" t="s">
        <v>255</v>
      </c>
      <c r="H2845" s="16" t="s">
        <v>220</v>
      </c>
      <c r="I2845" s="16" t="s">
        <v>220</v>
      </c>
    </row>
    <row r="2846" ht="242.25" hidden="1" customHeight="1">
      <c r="B2846" s="32" t="str">
        <f>IMAGE("https://gymvisual.com/23681-catalog_default/lying-air-cycles-female.jpg",4,500,500)</f>
        <v/>
      </c>
      <c r="C2846" s="30">
        <v>2845.0</v>
      </c>
      <c r="D2846" s="16" t="s">
        <v>3601</v>
      </c>
      <c r="E2846" s="16" t="s">
        <v>184</v>
      </c>
      <c r="F2846" s="16" t="s">
        <v>321</v>
      </c>
      <c r="G2846" s="16" t="s">
        <v>255</v>
      </c>
      <c r="H2846" s="16" t="s">
        <v>220</v>
      </c>
      <c r="I2846" s="16" t="s">
        <v>220</v>
      </c>
    </row>
    <row r="2847" ht="242.25" hidden="1" customHeight="1">
      <c r="B2847" s="32" t="str">
        <f>IMAGE("https://gymvisual.com/1845-catalog_default/3-4-sit-up.jpg",4,500,500)</f>
        <v/>
      </c>
      <c r="C2847" s="30">
        <v>2846.0</v>
      </c>
      <c r="D2847" s="16" t="s">
        <v>3602</v>
      </c>
      <c r="E2847" s="16" t="s">
        <v>184</v>
      </c>
      <c r="F2847" s="16" t="s">
        <v>185</v>
      </c>
      <c r="G2847" s="16" t="s">
        <v>255</v>
      </c>
      <c r="H2847" s="16" t="s">
        <v>187</v>
      </c>
      <c r="I2847" s="16" t="s">
        <v>188</v>
      </c>
    </row>
    <row r="2848" ht="242.25" hidden="1" customHeight="1">
      <c r="B2848" s="32" t="str">
        <f>IMAGE("https://gymvisual.com/24081-catalog_default/lying-alternate-toe-touch-floor.jpg",4,500,500)</f>
        <v/>
      </c>
      <c r="C2848" s="30">
        <v>2847.0</v>
      </c>
      <c r="D2848" s="16" t="s">
        <v>3603</v>
      </c>
      <c r="E2848" s="16" t="s">
        <v>184</v>
      </c>
      <c r="F2848" s="16" t="s">
        <v>185</v>
      </c>
      <c r="G2848" s="16" t="s">
        <v>255</v>
      </c>
      <c r="H2848" s="16" t="s">
        <v>220</v>
      </c>
      <c r="I2848" s="16" t="s">
        <v>220</v>
      </c>
    </row>
    <row r="2849" ht="242.25" hidden="1" customHeight="1">
      <c r="B2849" s="32" t="str">
        <f>IMAGE("https://gymvisual.com/23567-catalog_default/lying-around-the-world.jpg",4,500,500)</f>
        <v/>
      </c>
      <c r="C2849" s="30">
        <v>2848.0</v>
      </c>
      <c r="D2849" s="16" t="s">
        <v>3604</v>
      </c>
      <c r="E2849" s="16" t="s">
        <v>184</v>
      </c>
      <c r="F2849" s="16" t="s">
        <v>228</v>
      </c>
      <c r="G2849" s="16" t="s">
        <v>255</v>
      </c>
      <c r="H2849" s="16" t="s">
        <v>1997</v>
      </c>
      <c r="I2849" s="16" t="s">
        <v>3605</v>
      </c>
    </row>
    <row r="2850" ht="242.25" hidden="1" customHeight="1">
      <c r="B2850" s="32" t="str">
        <f>IMAGE("https://gymvisual.com/23685-catalog_default/lying-around-the-world-female.jpg",4,500,500)</f>
        <v/>
      </c>
      <c r="C2850" s="30">
        <v>2849.0</v>
      </c>
      <c r="D2850" s="16" t="s">
        <v>3606</v>
      </c>
      <c r="E2850" s="16" t="s">
        <v>184</v>
      </c>
      <c r="F2850" s="16" t="s">
        <v>228</v>
      </c>
      <c r="G2850" s="16" t="s">
        <v>255</v>
      </c>
      <c r="H2850" s="16" t="s">
        <v>408</v>
      </c>
      <c r="I2850" s="16" t="s">
        <v>3607</v>
      </c>
    </row>
    <row r="2851" ht="242.25" hidden="1" customHeight="1">
      <c r="B2851" s="32" t="str">
        <f>IMAGE("https://gymvisual.com/23875-catalog_default/lying-bent-knee-figure-8.jpg",4,500,500)</f>
        <v/>
      </c>
      <c r="C2851" s="30">
        <v>2850.0</v>
      </c>
      <c r="D2851" s="16" t="s">
        <v>3608</v>
      </c>
      <c r="E2851" s="16" t="s">
        <v>184</v>
      </c>
      <c r="F2851" s="16" t="s">
        <v>185</v>
      </c>
      <c r="G2851" s="16" t="s">
        <v>255</v>
      </c>
      <c r="H2851" s="16" t="s">
        <v>3609</v>
      </c>
      <c r="I2851" s="16" t="s">
        <v>3610</v>
      </c>
    </row>
    <row r="2852" ht="242.25" hidden="1" customHeight="1">
      <c r="B2852" s="32" t="str">
        <f>IMAGE("https://gymvisual.com/23853-catalog_default/lying-bent-legs-raise.jpg",4,500,500)</f>
        <v/>
      </c>
      <c r="C2852" s="30">
        <v>2851.0</v>
      </c>
      <c r="D2852" s="16" t="s">
        <v>3611</v>
      </c>
      <c r="E2852" s="16" t="s">
        <v>184</v>
      </c>
      <c r="F2852" s="16" t="s">
        <v>254</v>
      </c>
      <c r="G2852" s="16" t="s">
        <v>255</v>
      </c>
      <c r="H2852" s="16" t="s">
        <v>220</v>
      </c>
      <c r="I2852" s="16" t="s">
        <v>220</v>
      </c>
    </row>
    <row r="2853" ht="242.25" customHeight="1">
      <c r="B2853" s="32" t="str">
        <f>IMAGE("https://gymvisual.com/14143-catalog_default/lying-biceps-curl-with-towel.jpg",4,500,500)</f>
        <v/>
      </c>
      <c r="C2853" s="30">
        <v>2852.0</v>
      </c>
      <c r="D2853" s="16" t="s">
        <v>3612</v>
      </c>
      <c r="E2853" s="16" t="s">
        <v>184</v>
      </c>
      <c r="F2853" s="16" t="s">
        <v>219</v>
      </c>
      <c r="G2853" s="16" t="s">
        <v>396</v>
      </c>
      <c r="H2853" s="16" t="s">
        <v>217</v>
      </c>
      <c r="I2853" s="16" t="s">
        <v>216</v>
      </c>
    </row>
    <row r="2854" ht="242.25" hidden="1" customHeight="1">
      <c r="B2854" s="32" t="str">
        <f>IMAGE("https://gymvisual.com/25831-catalog_default/lying-bicycle-crunch.jpg",4,500,500)</f>
        <v/>
      </c>
      <c r="C2854" s="30">
        <v>2853.0</v>
      </c>
      <c r="D2854" s="16" t="s">
        <v>3613</v>
      </c>
      <c r="E2854" s="16" t="s">
        <v>184</v>
      </c>
      <c r="F2854" s="16" t="s">
        <v>254</v>
      </c>
      <c r="G2854" s="16" t="s">
        <v>255</v>
      </c>
      <c r="H2854" s="16" t="s">
        <v>2868</v>
      </c>
      <c r="I2854" s="16" t="s">
        <v>1306</v>
      </c>
    </row>
    <row r="2855" ht="242.25" hidden="1" customHeight="1">
      <c r="B2855" s="32" t="str">
        <f>IMAGE("https://gymvisual.com/24093-catalog_default/lying-chin-tucks.jpg",4,500,500)</f>
        <v/>
      </c>
      <c r="C2855" s="30">
        <v>2854.0</v>
      </c>
      <c r="D2855" s="16" t="s">
        <v>3614</v>
      </c>
      <c r="E2855" s="16" t="s">
        <v>184</v>
      </c>
      <c r="F2855" s="16" t="s">
        <v>351</v>
      </c>
      <c r="G2855" s="16" t="s">
        <v>255</v>
      </c>
      <c r="H2855" s="16" t="s">
        <v>220</v>
      </c>
      <c r="I2855" s="16" t="s">
        <v>220</v>
      </c>
    </row>
    <row r="2856" ht="242.25" hidden="1" customHeight="1">
      <c r="B2856" s="32" t="str">
        <f>IMAGE("https://gymvisual.com/22803-catalog_default/lying-criss-cross-legs.jpg",4,500,500)</f>
        <v/>
      </c>
      <c r="C2856" s="30">
        <v>2855.0</v>
      </c>
      <c r="D2856" s="16" t="s">
        <v>3615</v>
      </c>
      <c r="E2856" s="16" t="s">
        <v>184</v>
      </c>
      <c r="F2856" s="16" t="s">
        <v>185</v>
      </c>
      <c r="G2856" s="16" t="s">
        <v>255</v>
      </c>
      <c r="H2856" s="16" t="s">
        <v>3616</v>
      </c>
      <c r="I2856" s="16" t="s">
        <v>3617</v>
      </c>
    </row>
    <row r="2857" ht="242.25" hidden="1" customHeight="1">
      <c r="B2857" s="32" t="str">
        <f>IMAGE("https://gymvisual.com/16609-catalog_default/lying-double-legs-biceps-curl-with-towel.jpg",4,500,500)</f>
        <v/>
      </c>
      <c r="C2857" s="30">
        <v>2856.0</v>
      </c>
      <c r="D2857" s="16" t="s">
        <v>3618</v>
      </c>
      <c r="E2857" s="16" t="s">
        <v>184</v>
      </c>
      <c r="F2857" s="16" t="s">
        <v>219</v>
      </c>
      <c r="G2857" s="16" t="s">
        <v>255</v>
      </c>
      <c r="H2857" s="16" t="s">
        <v>241</v>
      </c>
      <c r="I2857" s="16" t="s">
        <v>292</v>
      </c>
    </row>
    <row r="2858" ht="242.25" hidden="1" customHeight="1">
      <c r="B2858" s="32" t="str">
        <f>IMAGE("https://gymvisual.com/22097-catalog_default/lying-double-legs-hammer-curl-with-towel.jpg",4,500,500)</f>
        <v/>
      </c>
      <c r="C2858" s="30">
        <v>2857.0</v>
      </c>
      <c r="D2858" s="16" t="s">
        <v>3619</v>
      </c>
      <c r="E2858" s="16" t="s">
        <v>184</v>
      </c>
      <c r="F2858" s="16" t="s">
        <v>219</v>
      </c>
      <c r="G2858" s="16" t="s">
        <v>255</v>
      </c>
      <c r="H2858" s="16" t="s">
        <v>216</v>
      </c>
      <c r="I2858" s="16" t="s">
        <v>217</v>
      </c>
    </row>
    <row r="2859" ht="242.25" hidden="1" customHeight="1">
      <c r="B2859" s="32" t="str">
        <f>IMAGE("https://gymvisual.com/9798-catalog_default/lying-elbow-to-knee.jpg",4,500,500)</f>
        <v/>
      </c>
      <c r="C2859" s="30">
        <v>2858.0</v>
      </c>
      <c r="D2859" s="16" t="s">
        <v>3620</v>
      </c>
      <c r="E2859" s="16" t="s">
        <v>184</v>
      </c>
      <c r="F2859" s="16" t="s">
        <v>254</v>
      </c>
      <c r="G2859" s="16" t="s">
        <v>255</v>
      </c>
      <c r="H2859" s="16" t="s">
        <v>257</v>
      </c>
      <c r="I2859" s="16" t="s">
        <v>256</v>
      </c>
    </row>
    <row r="2860" ht="242.25" hidden="1" customHeight="1">
      <c r="B2860" s="32" t="str">
        <f>IMAGE("https://gymvisual.com/22422-catalog_default/lying-flat-hip-raise-female.jpg",4,500,500)</f>
        <v/>
      </c>
      <c r="C2860" s="30">
        <v>2859.0</v>
      </c>
      <c r="D2860" s="16" t="s">
        <v>3621</v>
      </c>
      <c r="E2860" s="16" t="s">
        <v>184</v>
      </c>
      <c r="F2860" s="16" t="s">
        <v>254</v>
      </c>
      <c r="G2860" s="16" t="s">
        <v>255</v>
      </c>
      <c r="H2860" s="16" t="s">
        <v>220</v>
      </c>
      <c r="I2860" s="16" t="s">
        <v>220</v>
      </c>
    </row>
    <row r="2861" ht="242.25" hidden="1" customHeight="1">
      <c r="B2861" s="32" t="str">
        <f>IMAGE("https://gymvisual.com/24121-catalog_default/lying-floor-fly.jpg",4,500,500)</f>
        <v/>
      </c>
      <c r="C2861" s="30">
        <v>2860.0</v>
      </c>
      <c r="D2861" s="16" t="s">
        <v>3622</v>
      </c>
      <c r="E2861" s="16" t="s">
        <v>184</v>
      </c>
      <c r="F2861" s="16" t="s">
        <v>234</v>
      </c>
      <c r="G2861" s="16" t="s">
        <v>255</v>
      </c>
      <c r="H2861" s="16" t="s">
        <v>220</v>
      </c>
      <c r="I2861" s="16" t="s">
        <v>220</v>
      </c>
    </row>
    <row r="2862" ht="242.25" hidden="1" customHeight="1">
      <c r="B2862" s="32" t="str">
        <f>IMAGE("https://gymvisual.com/22095-catalog_default/lying-floor-hyperextension.jpg",4,500,500)</f>
        <v/>
      </c>
      <c r="C2862" s="30">
        <v>2861.0</v>
      </c>
      <c r="D2862" s="16" t="s">
        <v>3623</v>
      </c>
      <c r="E2862" s="16" t="s">
        <v>184</v>
      </c>
      <c r="F2862" s="16" t="s">
        <v>185</v>
      </c>
      <c r="G2862" s="16" t="s">
        <v>255</v>
      </c>
      <c r="H2862" s="16" t="s">
        <v>275</v>
      </c>
      <c r="I2862" s="16" t="s">
        <v>2412</v>
      </c>
    </row>
    <row r="2863" ht="242.25" hidden="1" customHeight="1">
      <c r="B2863" s="32" t="str">
        <f>IMAGE("https://gymvisual.com/22712-catalog_default/lying-floor-hyperextension-with-towel.jpg",4,500,500)</f>
        <v/>
      </c>
      <c r="C2863" s="30">
        <v>2862.0</v>
      </c>
      <c r="D2863" s="16" t="s">
        <v>3624</v>
      </c>
      <c r="E2863" s="16" t="s">
        <v>184</v>
      </c>
      <c r="F2863" s="16" t="s">
        <v>185</v>
      </c>
      <c r="G2863" s="16" t="s">
        <v>255</v>
      </c>
      <c r="H2863" s="16" t="s">
        <v>275</v>
      </c>
      <c r="I2863" s="16" t="s">
        <v>2412</v>
      </c>
    </row>
    <row r="2864" ht="242.25" hidden="1" customHeight="1">
      <c r="B2864" s="32" t="str">
        <f>IMAGE("https://gymvisual.com/14006-catalog_default/lying-floor-row-with-bent-knee.jpg",4,500,500)</f>
        <v/>
      </c>
      <c r="C2864" s="30">
        <v>2863.0</v>
      </c>
      <c r="D2864" s="16" t="s">
        <v>3625</v>
      </c>
      <c r="E2864" s="16" t="s">
        <v>184</v>
      </c>
      <c r="F2864" s="16" t="s">
        <v>192</v>
      </c>
      <c r="G2864" s="16" t="s">
        <v>255</v>
      </c>
      <c r="H2864" s="16" t="s">
        <v>3626</v>
      </c>
      <c r="I2864" s="16" t="s">
        <v>408</v>
      </c>
    </row>
    <row r="2865" ht="242.25" hidden="1" customHeight="1">
      <c r="B2865" s="32" t="str">
        <f>IMAGE("https://gymvisual.com/1854-catalog_default/3-4-sit-up.jpg",4,500,500)</f>
        <v/>
      </c>
      <c r="C2865" s="30">
        <v>2864.0</v>
      </c>
      <c r="D2865" s="16" t="s">
        <v>3627</v>
      </c>
      <c r="E2865" s="16" t="s">
        <v>184</v>
      </c>
      <c r="F2865" s="16" t="s">
        <v>185</v>
      </c>
      <c r="G2865" s="16" t="s">
        <v>255</v>
      </c>
      <c r="H2865" s="16" t="s">
        <v>271</v>
      </c>
      <c r="I2865" s="16" t="s">
        <v>3552</v>
      </c>
    </row>
    <row r="2866" ht="242.25" customHeight="1">
      <c r="B2866" s="32" t="str">
        <f>IMAGE("https://gymvisual.com/1857-catalog_default/3-4-sit-up.jpg",4,500,500)</f>
        <v/>
      </c>
      <c r="C2866" s="30">
        <v>2865.0</v>
      </c>
      <c r="D2866" s="16" t="s">
        <v>3628</v>
      </c>
      <c r="E2866" s="16" t="s">
        <v>184</v>
      </c>
      <c r="F2866" s="16" t="s">
        <v>185</v>
      </c>
      <c r="G2866" s="16" t="s">
        <v>399</v>
      </c>
      <c r="H2866" s="16" t="s">
        <v>187</v>
      </c>
      <c r="I2866" s="16" t="s">
        <v>188</v>
      </c>
    </row>
    <row r="2867" ht="242.25" customHeight="1">
      <c r="B2867" s="32" t="str">
        <f>IMAGE("https://gymvisual.com/26068-catalog_default/lying-hip-lift-on-stability-ball-ii.jpg",4,500,500)</f>
        <v/>
      </c>
      <c r="C2867" s="30">
        <v>2866.0</v>
      </c>
      <c r="D2867" s="16" t="s">
        <v>3629</v>
      </c>
      <c r="E2867" s="16" t="s">
        <v>184</v>
      </c>
      <c r="F2867" s="16" t="s">
        <v>185</v>
      </c>
      <c r="G2867" s="16" t="s">
        <v>399</v>
      </c>
      <c r="H2867" s="16" t="s">
        <v>187</v>
      </c>
      <c r="I2867" s="16" t="s">
        <v>188</v>
      </c>
    </row>
    <row r="2868" ht="242.25" hidden="1" customHeight="1">
      <c r="B2868" s="32" t="str">
        <f>IMAGE("https://gymvisual.com/19017-catalog_default/3-4-sit-up.jpg",4,500,500)</f>
        <v/>
      </c>
      <c r="C2868" s="30">
        <v>2867.0</v>
      </c>
      <c r="D2868" s="16" t="s">
        <v>3630</v>
      </c>
      <c r="E2868" s="16" t="s">
        <v>184</v>
      </c>
      <c r="F2868" s="16" t="s">
        <v>185</v>
      </c>
      <c r="G2868" s="16" t="s">
        <v>255</v>
      </c>
      <c r="H2868" s="16" t="s">
        <v>271</v>
      </c>
      <c r="I2868" s="16" t="s">
        <v>566</v>
      </c>
    </row>
    <row r="2869" ht="242.25" hidden="1" customHeight="1">
      <c r="B2869" s="32" t="str">
        <f>IMAGE("https://gymvisual.com/22420-catalog_default/lying-incline-hip-raise-female.jpg",4,500,500)</f>
        <v/>
      </c>
      <c r="C2869" s="30">
        <v>2868.0</v>
      </c>
      <c r="D2869" s="16" t="s">
        <v>3631</v>
      </c>
      <c r="E2869" s="16" t="s">
        <v>184</v>
      </c>
      <c r="F2869" s="16" t="s">
        <v>254</v>
      </c>
      <c r="G2869" s="16" t="s">
        <v>255</v>
      </c>
      <c r="H2869" s="16" t="s">
        <v>220</v>
      </c>
      <c r="I2869" s="16" t="s">
        <v>220</v>
      </c>
    </row>
    <row r="2870" ht="242.25" hidden="1" customHeight="1">
      <c r="B2870" s="32" t="str">
        <f>IMAGE("https://gymvisual.com/22821-catalog_default/lying-lat-pulldown.jpg",4,500,500)</f>
        <v/>
      </c>
      <c r="C2870" s="30">
        <v>2869.0</v>
      </c>
      <c r="D2870" s="16" t="s">
        <v>3632</v>
      </c>
      <c r="E2870" s="16" t="s">
        <v>184</v>
      </c>
      <c r="F2870" s="16" t="s">
        <v>192</v>
      </c>
      <c r="G2870" s="16" t="s">
        <v>255</v>
      </c>
      <c r="H2870" s="16" t="s">
        <v>404</v>
      </c>
      <c r="I2870" s="16" t="s">
        <v>447</v>
      </c>
    </row>
    <row r="2871" ht="242.25" hidden="1" customHeight="1">
      <c r="B2871" s="32" t="str">
        <f>IMAGE("https://gymvisual.com/22829-catalog_default/lying-leg-cross.jpg",4,500,500)</f>
        <v/>
      </c>
      <c r="C2871" s="30">
        <v>2870.0</v>
      </c>
      <c r="D2871" s="16" t="s">
        <v>3633</v>
      </c>
      <c r="E2871" s="16" t="s">
        <v>184</v>
      </c>
      <c r="F2871" s="16" t="s">
        <v>254</v>
      </c>
      <c r="G2871" s="16" t="s">
        <v>255</v>
      </c>
      <c r="H2871" s="16" t="s">
        <v>3634</v>
      </c>
      <c r="I2871" s="16" t="s">
        <v>3635</v>
      </c>
    </row>
    <row r="2872" ht="242.25" hidden="1" customHeight="1">
      <c r="B2872" s="32" t="str">
        <f>IMAGE("https://gymvisual.com/22524-catalog_default/lying-leg-figure-eight.jpg",4,500,500)</f>
        <v/>
      </c>
      <c r="C2872" s="30">
        <v>2871.0</v>
      </c>
      <c r="D2872" s="16" t="s">
        <v>3636</v>
      </c>
      <c r="E2872" s="16" t="s">
        <v>184</v>
      </c>
      <c r="F2872" s="16" t="s">
        <v>254</v>
      </c>
      <c r="G2872" s="16" t="s">
        <v>255</v>
      </c>
      <c r="H2872" s="16" t="s">
        <v>220</v>
      </c>
      <c r="I2872" s="16" t="s">
        <v>220</v>
      </c>
    </row>
    <row r="2873" ht="242.25" hidden="1" customHeight="1">
      <c r="B2873" s="32" t="str">
        <f>IMAGE("https://gymvisual.com/10966-catalog_default/lying-leg-hip-raise-female.jpg",4,500,500)</f>
        <v/>
      </c>
      <c r="C2873" s="30">
        <v>2872.0</v>
      </c>
      <c r="D2873" s="16" t="s">
        <v>3637</v>
      </c>
      <c r="E2873" s="16" t="s">
        <v>184</v>
      </c>
      <c r="F2873" s="16" t="s">
        <v>254</v>
      </c>
      <c r="G2873" s="16" t="s">
        <v>255</v>
      </c>
      <c r="H2873" s="16" t="s">
        <v>305</v>
      </c>
      <c r="I2873" s="16" t="s">
        <v>600</v>
      </c>
    </row>
    <row r="2874" ht="242.25" hidden="1" customHeight="1">
      <c r="B2874" s="32" t="str">
        <f>IMAGE("https://gymvisual.com/13758-catalog_default/lying-leg-hip-raise-on-floor.jpg",4,500,500)</f>
        <v/>
      </c>
      <c r="C2874" s="30">
        <v>2873.0</v>
      </c>
      <c r="D2874" s="16" t="s">
        <v>3638</v>
      </c>
      <c r="E2874" s="16" t="s">
        <v>184</v>
      </c>
      <c r="F2874" s="16" t="s">
        <v>254</v>
      </c>
      <c r="G2874" s="16" t="s">
        <v>255</v>
      </c>
      <c r="H2874" s="16" t="s">
        <v>305</v>
      </c>
      <c r="I2874" s="16" t="s">
        <v>220</v>
      </c>
    </row>
    <row r="2875" ht="242.25" hidden="1" customHeight="1">
      <c r="B2875" s="32" t="str">
        <f>IMAGE("https://gymvisual.com/22736-catalog_default/lying-leg-hip-raise-on-floor-version-2.jpg",4,500,500)</f>
        <v/>
      </c>
      <c r="C2875" s="30">
        <v>2874.0</v>
      </c>
      <c r="D2875" s="16" t="s">
        <v>3639</v>
      </c>
      <c r="E2875" s="16" t="s">
        <v>184</v>
      </c>
      <c r="F2875" s="16" t="s">
        <v>254</v>
      </c>
      <c r="G2875" s="16" t="s">
        <v>255</v>
      </c>
      <c r="H2875" s="16" t="s">
        <v>305</v>
      </c>
      <c r="I2875" s="16" t="s">
        <v>600</v>
      </c>
    </row>
    <row r="2876" ht="242.25" hidden="1" customHeight="1">
      <c r="B2876" s="32" t="str">
        <f>IMAGE("https://gymvisual.com/17573-catalog_default/lying-leg-hip-side-raise-on-floor.jpg",4,500,500)</f>
        <v/>
      </c>
      <c r="C2876" s="30">
        <v>2875.0</v>
      </c>
      <c r="D2876" s="16" t="s">
        <v>3640</v>
      </c>
      <c r="E2876" s="16" t="s">
        <v>184</v>
      </c>
      <c r="F2876" s="16" t="s">
        <v>310</v>
      </c>
      <c r="G2876" s="16" t="s">
        <v>255</v>
      </c>
      <c r="H2876" s="16" t="s">
        <v>263</v>
      </c>
      <c r="I2876" s="16" t="s">
        <v>3641</v>
      </c>
    </row>
    <row r="2877" ht="242.25" hidden="1" customHeight="1">
      <c r="B2877" s="32" t="str">
        <f>IMAGE("https://gymvisual.com/4376-catalog_default/lying-leg-raise.jpg",4,500,500)</f>
        <v/>
      </c>
      <c r="C2877" s="30">
        <v>2876.0</v>
      </c>
      <c r="D2877" s="16" t="s">
        <v>3642</v>
      </c>
      <c r="E2877" s="16" t="s">
        <v>184</v>
      </c>
      <c r="F2877" s="16" t="s">
        <v>254</v>
      </c>
      <c r="G2877" s="16" t="s">
        <v>255</v>
      </c>
      <c r="H2877" s="16" t="s">
        <v>256</v>
      </c>
      <c r="I2877" s="16" t="s">
        <v>3643</v>
      </c>
    </row>
    <row r="2878" ht="242.25" hidden="1" customHeight="1">
      <c r="B2878" s="32" t="str">
        <f>IMAGE("https://gymvisual.com/22341-catalog_default/lying-leg-raise-female.jpg",4,500,500)</f>
        <v/>
      </c>
      <c r="C2878" s="30">
        <v>2877.0</v>
      </c>
      <c r="D2878" s="16" t="s">
        <v>3644</v>
      </c>
      <c r="E2878" s="16" t="s">
        <v>184</v>
      </c>
      <c r="F2878" s="16" t="s">
        <v>254</v>
      </c>
      <c r="G2878" s="16" t="s">
        <v>255</v>
      </c>
      <c r="H2878" s="16" t="s">
        <v>220</v>
      </c>
      <c r="I2878" s="16" t="s">
        <v>220</v>
      </c>
    </row>
    <row r="2879" ht="242.25" hidden="1" customHeight="1">
      <c r="B2879" s="32" t="str">
        <f>IMAGE("https://gymvisual.com/22504-catalog_default/lying-leg-raise-female.jpg",4,500,500)</f>
        <v/>
      </c>
      <c r="C2879" s="30">
        <v>2878.0</v>
      </c>
      <c r="D2879" s="16" t="s">
        <v>3644</v>
      </c>
      <c r="E2879" s="16" t="s">
        <v>184</v>
      </c>
      <c r="F2879" s="16" t="s">
        <v>254</v>
      </c>
      <c r="G2879" s="16" t="s">
        <v>255</v>
      </c>
      <c r="H2879" s="16" t="s">
        <v>220</v>
      </c>
      <c r="I2879" s="16" t="s">
        <v>220</v>
      </c>
    </row>
    <row r="2880" ht="242.25" hidden="1" customHeight="1">
      <c r="B2880" s="32" t="str">
        <f>IMAGE("https://gymvisual.com/23599-catalog_default/lying-leg-raise-modified.jpg",4,500,500)</f>
        <v/>
      </c>
      <c r="C2880" s="30">
        <v>2879.0</v>
      </c>
      <c r="D2880" s="16" t="s">
        <v>3645</v>
      </c>
      <c r="E2880" s="16" t="s">
        <v>184</v>
      </c>
      <c r="F2880" s="16" t="s">
        <v>185</v>
      </c>
      <c r="G2880" s="16" t="s">
        <v>255</v>
      </c>
      <c r="H2880" s="16" t="s">
        <v>305</v>
      </c>
      <c r="I2880" s="16" t="s">
        <v>289</v>
      </c>
    </row>
    <row r="2881" ht="242.25" hidden="1" customHeight="1">
      <c r="B2881" s="32" t="str">
        <f>IMAGE("https://gymvisual.com/4621-catalog_default/lying-leg-raise-and-hold.jpg",4,500,500)</f>
        <v/>
      </c>
      <c r="C2881" s="30">
        <v>2880.0</v>
      </c>
      <c r="D2881" s="16" t="s">
        <v>3646</v>
      </c>
      <c r="E2881" s="16" t="s">
        <v>184</v>
      </c>
      <c r="F2881" s="16" t="s">
        <v>185</v>
      </c>
      <c r="G2881" s="16" t="s">
        <v>255</v>
      </c>
      <c r="H2881" s="16" t="s">
        <v>271</v>
      </c>
      <c r="I2881" s="16" t="s">
        <v>3322</v>
      </c>
    </row>
    <row r="2882" ht="242.25" hidden="1" customHeight="1">
      <c r="B2882" s="32" t="str">
        <f>IMAGE("https://gymvisual.com/1863-catalog_default/3-4-sit-up.jpg",4,500,500)</f>
        <v/>
      </c>
      <c r="C2882" s="30">
        <v>2881.0</v>
      </c>
      <c r="D2882" s="16" t="s">
        <v>3647</v>
      </c>
      <c r="E2882" s="16" t="s">
        <v>184</v>
      </c>
      <c r="F2882" s="16" t="s">
        <v>254</v>
      </c>
      <c r="G2882" s="16" t="s">
        <v>255</v>
      </c>
      <c r="H2882" s="16" t="s">
        <v>305</v>
      </c>
      <c r="I2882" s="16" t="s">
        <v>3648</v>
      </c>
    </row>
    <row r="2883" ht="242.25" hidden="1" customHeight="1">
      <c r="B2883" s="32" t="str">
        <f>IMAGE("https://gymvisual.com/2634-catalog_default/lying-leg-hip-raise.jpg",4,500,500)</f>
        <v/>
      </c>
      <c r="C2883" s="30">
        <v>2882.0</v>
      </c>
      <c r="D2883" s="16" t="s">
        <v>3649</v>
      </c>
      <c r="E2883" s="16" t="s">
        <v>184</v>
      </c>
      <c r="F2883" s="16" t="s">
        <v>254</v>
      </c>
      <c r="G2883" s="16" t="s">
        <v>255</v>
      </c>
      <c r="H2883" s="16" t="s">
        <v>305</v>
      </c>
      <c r="I2883" s="16" t="s">
        <v>371</v>
      </c>
    </row>
    <row r="2884" ht="242.25" hidden="1" customHeight="1">
      <c r="B2884" s="32" t="str">
        <f>IMAGE("https://gymvisual.com/24061-catalog_default/lying-prone-a.jpg",4,500,500)</f>
        <v/>
      </c>
      <c r="C2884" s="30">
        <v>2883.0</v>
      </c>
      <c r="D2884" s="16" t="s">
        <v>3650</v>
      </c>
      <c r="E2884" s="16" t="s">
        <v>184</v>
      </c>
      <c r="F2884" s="16" t="s">
        <v>192</v>
      </c>
      <c r="G2884" s="16" t="s">
        <v>255</v>
      </c>
      <c r="H2884" s="16" t="s">
        <v>220</v>
      </c>
      <c r="I2884" s="16" t="s">
        <v>220</v>
      </c>
    </row>
    <row r="2885" ht="242.25" hidden="1" customHeight="1">
      <c r="B2885" s="32" t="str">
        <f>IMAGE("https://gymvisual.com/24063-catalog_default/lying-prone-t.jpg",4,500,500)</f>
        <v/>
      </c>
      <c r="C2885" s="30">
        <v>2884.0</v>
      </c>
      <c r="D2885" s="16" t="s">
        <v>3651</v>
      </c>
      <c r="E2885" s="16" t="s">
        <v>184</v>
      </c>
      <c r="F2885" s="16" t="s">
        <v>192</v>
      </c>
      <c r="G2885" s="16" t="s">
        <v>255</v>
      </c>
      <c r="H2885" s="16" t="s">
        <v>220</v>
      </c>
      <c r="I2885" s="16" t="s">
        <v>220</v>
      </c>
    </row>
    <row r="2886" ht="242.25" hidden="1" customHeight="1">
      <c r="B2886" s="32" t="str">
        <f>IMAGE("https://gymvisual.com/24065-catalog_default/lying-prone-w.jpg",4,500,500)</f>
        <v/>
      </c>
      <c r="C2886" s="30">
        <v>2885.0</v>
      </c>
      <c r="D2886" s="16" t="s">
        <v>3652</v>
      </c>
      <c r="E2886" s="16" t="s">
        <v>184</v>
      </c>
      <c r="F2886" s="16" t="s">
        <v>192</v>
      </c>
      <c r="G2886" s="16" t="s">
        <v>255</v>
      </c>
      <c r="H2886" s="16" t="s">
        <v>220</v>
      </c>
      <c r="I2886" s="16" t="s">
        <v>220</v>
      </c>
    </row>
    <row r="2887" ht="242.25" hidden="1" customHeight="1">
      <c r="B2887" s="32" t="str">
        <f>IMAGE("https://gymvisual.com/24067-catalog_default/lying-prone-w-to-t.jpg",4,500,500)</f>
        <v/>
      </c>
      <c r="C2887" s="30">
        <v>2886.0</v>
      </c>
      <c r="D2887" s="16" t="s">
        <v>3653</v>
      </c>
      <c r="E2887" s="16" t="s">
        <v>184</v>
      </c>
      <c r="F2887" s="16" t="s">
        <v>192</v>
      </c>
      <c r="G2887" s="16" t="s">
        <v>255</v>
      </c>
      <c r="H2887" s="16" t="s">
        <v>220</v>
      </c>
      <c r="I2887" s="16" t="s">
        <v>220</v>
      </c>
    </row>
    <row r="2888" ht="242.25" hidden="1" customHeight="1">
      <c r="B2888" s="32" t="str">
        <f>IMAGE("https://gymvisual.com/24069-catalog_default/lying-prone-w-to-y.jpg",4,500,500)</f>
        <v/>
      </c>
      <c r="C2888" s="30">
        <v>2887.0</v>
      </c>
      <c r="D2888" s="16" t="s">
        <v>3654</v>
      </c>
      <c r="E2888" s="16" t="s">
        <v>184</v>
      </c>
      <c r="F2888" s="16" t="s">
        <v>192</v>
      </c>
      <c r="G2888" s="16" t="s">
        <v>255</v>
      </c>
      <c r="H2888" s="16" t="s">
        <v>220</v>
      </c>
      <c r="I2888" s="16" t="s">
        <v>220</v>
      </c>
    </row>
    <row r="2889" ht="242.25" hidden="1" customHeight="1">
      <c r="B2889" s="32" t="str">
        <f>IMAGE("https://gymvisual.com/19908-catalog_default/lying-rear-lateral-raise.jpg",4,500,500)</f>
        <v/>
      </c>
      <c r="C2889" s="30">
        <v>2888.0</v>
      </c>
      <c r="D2889" s="16" t="s">
        <v>3655</v>
      </c>
      <c r="E2889" s="16" t="s">
        <v>184</v>
      </c>
      <c r="F2889" s="16" t="s">
        <v>228</v>
      </c>
      <c r="G2889" s="16" t="s">
        <v>255</v>
      </c>
      <c r="H2889" s="16" t="s">
        <v>408</v>
      </c>
      <c r="I2889" s="16" t="s">
        <v>731</v>
      </c>
    </row>
    <row r="2890" ht="242.25" hidden="1" customHeight="1">
      <c r="B2890" s="32" t="str">
        <f>IMAGE("https://gymvisual.com/1866-catalog_default/3-4-sit-up.jpg",4,500,500)</f>
        <v/>
      </c>
      <c r="C2890" s="30">
        <v>2889.0</v>
      </c>
      <c r="D2890" s="16" t="s">
        <v>3656</v>
      </c>
      <c r="E2890" s="16" t="s">
        <v>184</v>
      </c>
      <c r="F2890" s="16" t="s">
        <v>254</v>
      </c>
      <c r="G2890" s="16" t="s">
        <v>255</v>
      </c>
      <c r="H2890" s="16" t="s">
        <v>305</v>
      </c>
      <c r="I2890" s="16" t="s">
        <v>2482</v>
      </c>
    </row>
    <row r="2891" ht="242.25" hidden="1" customHeight="1">
      <c r="B2891" s="32" t="str">
        <f>IMAGE("https://gymvisual.com/1869-catalog_default/3-4-sit-up.jpg",4,500,500)</f>
        <v/>
      </c>
      <c r="C2891" s="30">
        <v>2890.0</v>
      </c>
      <c r="D2891" s="16" t="s">
        <v>3657</v>
      </c>
      <c r="E2891" s="16" t="s">
        <v>184</v>
      </c>
      <c r="F2891" s="16" t="s">
        <v>185</v>
      </c>
      <c r="G2891" s="16" t="s">
        <v>255</v>
      </c>
      <c r="H2891" s="16" t="s">
        <v>271</v>
      </c>
      <c r="I2891" s="16" t="s">
        <v>303</v>
      </c>
    </row>
    <row r="2892" ht="242.25" hidden="1" customHeight="1">
      <c r="B2892" s="32" t="str">
        <f>IMAGE("https://gymvisual.com/23625-catalog_default/lying-side-to-side-knee.jpg",4,500,500)</f>
        <v/>
      </c>
      <c r="C2892" s="30">
        <v>2891.0</v>
      </c>
      <c r="D2892" s="16" t="s">
        <v>3658</v>
      </c>
      <c r="E2892" s="16" t="s">
        <v>184</v>
      </c>
      <c r="F2892" s="16" t="s">
        <v>185</v>
      </c>
      <c r="G2892" s="16" t="s">
        <v>255</v>
      </c>
      <c r="H2892" s="16" t="s">
        <v>3634</v>
      </c>
      <c r="I2892" s="16" t="s">
        <v>3659</v>
      </c>
    </row>
    <row r="2893" ht="242.25" hidden="1" customHeight="1">
      <c r="B2893" s="32" t="str">
        <f>IMAGE("https://gymvisual.com/2613-catalog_default/3-4-sit-up.jpg",4,500,500)</f>
        <v/>
      </c>
      <c r="C2893" s="30">
        <v>2892.0</v>
      </c>
      <c r="D2893" s="16" t="s">
        <v>3660</v>
      </c>
      <c r="E2893" s="16" t="s">
        <v>184</v>
      </c>
      <c r="F2893" s="16" t="s">
        <v>185</v>
      </c>
      <c r="G2893" s="16" t="s">
        <v>255</v>
      </c>
      <c r="H2893" s="16" t="s">
        <v>271</v>
      </c>
      <c r="I2893" s="16" t="s">
        <v>563</v>
      </c>
    </row>
    <row r="2894" ht="242.25" hidden="1" customHeight="1">
      <c r="B2894" s="32" t="str">
        <f>IMAGE("https://gymvisual.com/4440-catalog_default/lying-simultaneous-alternating-straight-leg-raise.jpg",4,500,500)</f>
        <v/>
      </c>
      <c r="C2894" s="30">
        <v>2893.0</v>
      </c>
      <c r="D2894" s="16" t="s">
        <v>3661</v>
      </c>
      <c r="E2894" s="16" t="s">
        <v>184</v>
      </c>
      <c r="F2894" s="16" t="s">
        <v>185</v>
      </c>
      <c r="G2894" s="16" t="s">
        <v>255</v>
      </c>
      <c r="H2894" s="16" t="s">
        <v>271</v>
      </c>
      <c r="I2894" s="16" t="s">
        <v>566</v>
      </c>
    </row>
    <row r="2895" ht="242.25" hidden="1" customHeight="1">
      <c r="B2895" s="32" t="str">
        <f>IMAGE("https://gymvisual.com/22099-catalog_default/lying-single-legs-reverse-biceps-curl-with-towel.jpg",4,500,500)</f>
        <v/>
      </c>
      <c r="C2895" s="30">
        <v>2894.0</v>
      </c>
      <c r="D2895" s="16" t="s">
        <v>3662</v>
      </c>
      <c r="E2895" s="16" t="s">
        <v>184</v>
      </c>
      <c r="F2895" s="16" t="s">
        <v>214</v>
      </c>
      <c r="G2895" s="16" t="s">
        <v>255</v>
      </c>
      <c r="H2895" s="16" t="s">
        <v>216</v>
      </c>
      <c r="I2895" s="16" t="s">
        <v>217</v>
      </c>
    </row>
    <row r="2896" ht="242.25" hidden="1" customHeight="1">
      <c r="B2896" s="32" t="str">
        <f>IMAGE("https://gymvisual.com/7607-catalog_default/lying-single-straight-leg-hip-extension.jpg",4,500,500)</f>
        <v/>
      </c>
      <c r="C2896" s="30">
        <v>2895.0</v>
      </c>
      <c r="D2896" s="16" t="s">
        <v>3663</v>
      </c>
      <c r="E2896" s="16" t="s">
        <v>184</v>
      </c>
      <c r="F2896" s="16" t="s">
        <v>285</v>
      </c>
      <c r="G2896" s="16" t="s">
        <v>255</v>
      </c>
      <c r="H2896" s="16" t="s">
        <v>220</v>
      </c>
      <c r="I2896" s="16" t="s">
        <v>220</v>
      </c>
    </row>
    <row r="2897" ht="242.25" hidden="1" customHeight="1">
      <c r="B2897" s="32" t="str">
        <f>IMAGE("https://gymvisual.com/14008-catalog_default/lying-straight-leg-marches.jpg",4,500,500)</f>
        <v/>
      </c>
      <c r="C2897" s="30">
        <v>2896.0</v>
      </c>
      <c r="D2897" s="16" t="s">
        <v>3664</v>
      </c>
      <c r="E2897" s="16" t="s">
        <v>184</v>
      </c>
      <c r="F2897" s="16" t="s">
        <v>310</v>
      </c>
      <c r="G2897" s="16" t="s">
        <v>255</v>
      </c>
      <c r="H2897" s="16" t="s">
        <v>2868</v>
      </c>
      <c r="I2897" s="16" t="s">
        <v>1204</v>
      </c>
    </row>
    <row r="2898" ht="242.25" hidden="1" customHeight="1">
      <c r="B2898" s="32" t="str">
        <f>IMAGE("https://gymvisual.com/4443-catalog_default/lying-straight-leg-raise-version-2.jpg",4,500,500)</f>
        <v/>
      </c>
      <c r="C2898" s="30">
        <v>2897.0</v>
      </c>
      <c r="D2898" s="16" t="s">
        <v>3665</v>
      </c>
      <c r="E2898" s="16" t="s">
        <v>184</v>
      </c>
      <c r="F2898" s="16" t="s">
        <v>185</v>
      </c>
      <c r="G2898" s="16" t="s">
        <v>255</v>
      </c>
      <c r="H2898" s="16" t="s">
        <v>271</v>
      </c>
      <c r="I2898" s="16" t="s">
        <v>566</v>
      </c>
    </row>
    <row r="2899" ht="242.25" hidden="1" customHeight="1">
      <c r="B2899" s="32" t="str">
        <f>IMAGE("https://gymvisual.com/5990-catalog_default/machine-inner-chest-press.jpg",4,500,500)</f>
        <v/>
      </c>
      <c r="C2899" s="30">
        <v>2898.0</v>
      </c>
      <c r="D2899" s="16" t="s">
        <v>3666</v>
      </c>
      <c r="E2899" s="16" t="s">
        <v>184</v>
      </c>
      <c r="F2899" s="16" t="s">
        <v>234</v>
      </c>
      <c r="G2899" s="16" t="s">
        <v>346</v>
      </c>
      <c r="H2899" s="16" t="s">
        <v>347</v>
      </c>
      <c r="I2899" s="16" t="s">
        <v>382</v>
      </c>
    </row>
    <row r="2900" ht="242.25" hidden="1" customHeight="1">
      <c r="B2900" s="32" t="str">
        <f>IMAGE("https://gymvisual.com/1875-catalog_default/3-4-sit-up.jpg",4,500,500)</f>
        <v/>
      </c>
      <c r="C2900" s="30">
        <v>2899.0</v>
      </c>
      <c r="D2900" s="16" t="s">
        <v>3667</v>
      </c>
      <c r="E2900" s="16" t="s">
        <v>184</v>
      </c>
      <c r="F2900" s="16" t="s">
        <v>285</v>
      </c>
      <c r="G2900" s="16" t="s">
        <v>255</v>
      </c>
      <c r="H2900" s="16" t="s">
        <v>189</v>
      </c>
      <c r="I2900" s="16" t="s">
        <v>190</v>
      </c>
    </row>
    <row r="2901" ht="242.25" hidden="1" customHeight="1">
      <c r="B2901" s="32" t="str">
        <f>IMAGE("https://gymvisual.com/23601-catalog_default/marching-on-spot.jpg",4,500,500)</f>
        <v/>
      </c>
      <c r="C2901" s="30">
        <v>2900.0</v>
      </c>
      <c r="D2901" s="16" t="s">
        <v>3668</v>
      </c>
      <c r="E2901" s="16" t="s">
        <v>184</v>
      </c>
      <c r="F2901" s="16" t="s">
        <v>1162</v>
      </c>
      <c r="G2901" s="16" t="s">
        <v>255</v>
      </c>
      <c r="H2901" s="16" t="s">
        <v>220</v>
      </c>
      <c r="I2901" s="16" t="s">
        <v>220</v>
      </c>
    </row>
    <row r="2902" ht="242.25" customHeight="1">
      <c r="B2902" s="32" t="str">
        <f>IMAGE("https://gymvisual.com/19419-catalog_default/medicine-ball-around-head-rotation.jpg",4,500,500)</f>
        <v/>
      </c>
      <c r="C2902" s="30">
        <v>2901.0</v>
      </c>
      <c r="D2902" s="16" t="s">
        <v>3669</v>
      </c>
      <c r="E2902" s="16" t="s">
        <v>184</v>
      </c>
      <c r="F2902" s="16" t="s">
        <v>228</v>
      </c>
      <c r="G2902" s="16" t="s">
        <v>373</v>
      </c>
      <c r="H2902" s="16" t="s">
        <v>220</v>
      </c>
      <c r="I2902" s="16" t="s">
        <v>220</v>
      </c>
    </row>
    <row r="2903" ht="242.25" customHeight="1">
      <c r="B2903" s="32" t="str">
        <f>IMAGE("https://gymvisual.com/13840-catalog_default/medicine-ball-backward-throw.jpg",4,500,500)</f>
        <v/>
      </c>
      <c r="C2903" s="30">
        <v>2902.0</v>
      </c>
      <c r="D2903" s="16" t="s">
        <v>3670</v>
      </c>
      <c r="E2903" s="16" t="s">
        <v>184</v>
      </c>
      <c r="F2903" s="16" t="s">
        <v>185</v>
      </c>
      <c r="G2903" s="16" t="s">
        <v>373</v>
      </c>
      <c r="H2903" s="16" t="s">
        <v>1114</v>
      </c>
      <c r="I2903" s="16" t="s">
        <v>220</v>
      </c>
    </row>
    <row r="2904" ht="242.25" customHeight="1">
      <c r="B2904" s="32" t="str">
        <f>IMAGE("https://gymvisual.com/6044-catalog_default/medicine-ball-catch-and-overhead-throw.jpg",4,500,500)</f>
        <v/>
      </c>
      <c r="C2904" s="30">
        <v>2903.0</v>
      </c>
      <c r="D2904" s="16" t="s">
        <v>3671</v>
      </c>
      <c r="E2904" s="16" t="s">
        <v>184</v>
      </c>
      <c r="F2904" s="16" t="s">
        <v>192</v>
      </c>
      <c r="G2904" s="16" t="s">
        <v>373</v>
      </c>
      <c r="H2904" s="16" t="s">
        <v>3672</v>
      </c>
      <c r="I2904" s="16" t="s">
        <v>3673</v>
      </c>
    </row>
    <row r="2905" ht="242.25" customHeight="1">
      <c r="B2905" s="32" t="str">
        <f>IMAGE("https://gymvisual.com/5991-catalog_default/medicine-ball-chest-pass.jpg",4,500,500)</f>
        <v/>
      </c>
      <c r="C2905" s="30">
        <v>2904.0</v>
      </c>
      <c r="D2905" s="16" t="s">
        <v>3674</v>
      </c>
      <c r="E2905" s="16" t="s">
        <v>184</v>
      </c>
      <c r="F2905" s="16" t="s">
        <v>234</v>
      </c>
      <c r="G2905" s="16" t="s">
        <v>373</v>
      </c>
      <c r="H2905" s="16" t="s">
        <v>347</v>
      </c>
      <c r="I2905" s="16" t="s">
        <v>382</v>
      </c>
    </row>
    <row r="2906" ht="242.25" customHeight="1">
      <c r="B2906" s="32" t="str">
        <f>IMAGE("https://gymvisual.com/24486-catalog_default/medicine-ball-chest-pass-against-wall.jpg",4,500,500)</f>
        <v/>
      </c>
      <c r="C2906" s="30">
        <v>2905.0</v>
      </c>
      <c r="D2906" s="16" t="s">
        <v>3675</v>
      </c>
      <c r="E2906" s="16" t="s">
        <v>184</v>
      </c>
      <c r="F2906" s="16" t="s">
        <v>234</v>
      </c>
      <c r="G2906" s="16" t="s">
        <v>373</v>
      </c>
      <c r="H2906" s="16" t="s">
        <v>220</v>
      </c>
      <c r="I2906" s="16" t="s">
        <v>220</v>
      </c>
    </row>
    <row r="2907" ht="242.25" customHeight="1">
      <c r="B2907" s="32" t="str">
        <f>IMAGE("https://gymvisual.com/6001-catalog_default/medicine-ball-chest-push-from-3-point-stance.jpg",4,500,500)</f>
        <v/>
      </c>
      <c r="C2907" s="30">
        <v>2906.0</v>
      </c>
      <c r="D2907" s="16" t="s">
        <v>3676</v>
      </c>
      <c r="E2907" s="16" t="s">
        <v>184</v>
      </c>
      <c r="F2907" s="16" t="s">
        <v>234</v>
      </c>
      <c r="G2907" s="16" t="s">
        <v>373</v>
      </c>
      <c r="H2907" s="16" t="s">
        <v>347</v>
      </c>
      <c r="I2907" s="16" t="s">
        <v>3677</v>
      </c>
    </row>
    <row r="2908" ht="242.25" customHeight="1">
      <c r="B2908" s="32" t="str">
        <f>IMAGE("https://gymvisual.com/5993-catalog_default/medicine-ball-chest-push-multiple-response.jpg",4,500,500)</f>
        <v/>
      </c>
      <c r="C2908" s="30">
        <v>2907.0</v>
      </c>
      <c r="D2908" s="16" t="s">
        <v>3678</v>
      </c>
      <c r="E2908" s="16" t="s">
        <v>184</v>
      </c>
      <c r="F2908" s="16" t="s">
        <v>234</v>
      </c>
      <c r="G2908" s="16" t="s">
        <v>373</v>
      </c>
      <c r="H2908" s="16" t="s">
        <v>347</v>
      </c>
      <c r="I2908" s="16" t="s">
        <v>3679</v>
      </c>
    </row>
    <row r="2909" ht="242.25" customHeight="1">
      <c r="B2909" s="32" t="str">
        <f>IMAGE("https://gymvisual.com/5994-catalog_default/medicine-ball-chest-push-single-response.jpg",4,500,500)</f>
        <v/>
      </c>
      <c r="C2909" s="30">
        <v>2908.0</v>
      </c>
      <c r="D2909" s="16" t="s">
        <v>823</v>
      </c>
      <c r="E2909" s="16" t="s">
        <v>184</v>
      </c>
      <c r="F2909" s="16" t="s">
        <v>234</v>
      </c>
      <c r="G2909" s="16" t="s">
        <v>373</v>
      </c>
      <c r="H2909" s="16" t="s">
        <v>347</v>
      </c>
      <c r="I2909" s="16" t="s">
        <v>3680</v>
      </c>
    </row>
    <row r="2910" ht="242.25" customHeight="1">
      <c r="B2910" s="32" t="str">
        <f>IMAGE("https://gymvisual.com/6003-catalog_default/medicine-ball-chest-push-with-run-release.jpg",4,500,500)</f>
        <v/>
      </c>
      <c r="C2910" s="30">
        <v>2909.0</v>
      </c>
      <c r="D2910" s="16" t="s">
        <v>3681</v>
      </c>
      <c r="E2910" s="16" t="s">
        <v>184</v>
      </c>
      <c r="F2910" s="16" t="s">
        <v>234</v>
      </c>
      <c r="G2910" s="16" t="s">
        <v>373</v>
      </c>
      <c r="H2910" s="16" t="s">
        <v>347</v>
      </c>
      <c r="I2910" s="16" t="s">
        <v>3673</v>
      </c>
    </row>
    <row r="2911" ht="242.25" customHeight="1">
      <c r="B2911" s="32" t="str">
        <f>IMAGE("https://gymvisual.com/7355-catalog_default/medicine-ball-close-grip-push-up.jpg",4,500,500)</f>
        <v/>
      </c>
      <c r="C2911" s="30">
        <v>2910.0</v>
      </c>
      <c r="D2911" s="16" t="s">
        <v>3682</v>
      </c>
      <c r="E2911" s="16" t="s">
        <v>184</v>
      </c>
      <c r="F2911" s="16" t="s">
        <v>219</v>
      </c>
      <c r="G2911" s="16" t="s">
        <v>373</v>
      </c>
      <c r="H2911" s="16" t="s">
        <v>223</v>
      </c>
      <c r="I2911" s="16" t="s">
        <v>472</v>
      </c>
    </row>
    <row r="2912" ht="242.25" customHeight="1">
      <c r="B2912" s="32" t="str">
        <f>IMAGE("https://gymvisual.com/18720-catalog_default/medicine-ball-crunch.jpg",4,500,500)</f>
        <v/>
      </c>
      <c r="C2912" s="30">
        <v>2911.0</v>
      </c>
      <c r="D2912" s="16" t="s">
        <v>3683</v>
      </c>
      <c r="E2912" s="16" t="s">
        <v>184</v>
      </c>
      <c r="F2912" s="16" t="s">
        <v>254</v>
      </c>
      <c r="G2912" s="16" t="s">
        <v>373</v>
      </c>
      <c r="H2912" s="16" t="s">
        <v>220</v>
      </c>
      <c r="I2912" s="16" t="s">
        <v>220</v>
      </c>
    </row>
    <row r="2913" ht="242.25" customHeight="1">
      <c r="B2913" s="32" t="str">
        <f>IMAGE("https://gymvisual.com/17899-catalog_default/medicine-ball-half-kneeling-chest-push-male.jpg",4,500,500)</f>
        <v/>
      </c>
      <c r="C2913" s="30">
        <v>2912.0</v>
      </c>
      <c r="D2913" s="16" t="s">
        <v>3684</v>
      </c>
      <c r="E2913" s="16" t="s">
        <v>184</v>
      </c>
      <c r="F2913" s="16" t="s">
        <v>234</v>
      </c>
      <c r="G2913" s="16" t="s">
        <v>373</v>
      </c>
      <c r="H2913" s="16" t="s">
        <v>220</v>
      </c>
      <c r="I2913" s="16" t="s">
        <v>220</v>
      </c>
    </row>
    <row r="2914" ht="242.25" customHeight="1">
      <c r="B2914" s="32" t="str">
        <f>IMAGE("https://gymvisual.com/20471-catalog_default/medicine-ball-lunge-with-biceps-curl.jpg",4,500,500)</f>
        <v/>
      </c>
      <c r="C2914" s="30">
        <v>2913.0</v>
      </c>
      <c r="D2914" s="16" t="s">
        <v>3685</v>
      </c>
      <c r="E2914" s="16" t="s">
        <v>184</v>
      </c>
      <c r="F2914" s="16" t="s">
        <v>3686</v>
      </c>
      <c r="G2914" s="16" t="s">
        <v>373</v>
      </c>
      <c r="H2914" s="16" t="s">
        <v>2779</v>
      </c>
      <c r="I2914" s="16" t="s">
        <v>3687</v>
      </c>
    </row>
    <row r="2915" ht="242.25" customHeight="1">
      <c r="B2915" s="32" t="str">
        <f>IMAGE("https://gymvisual.com/22837-catalog_default/medicine-ball-lying-leg-raise.jpg",4,500,500)</f>
        <v/>
      </c>
      <c r="C2915" s="30">
        <v>2914.0</v>
      </c>
      <c r="D2915" s="16" t="s">
        <v>3688</v>
      </c>
      <c r="E2915" s="16" t="s">
        <v>184</v>
      </c>
      <c r="F2915" s="16" t="s">
        <v>254</v>
      </c>
      <c r="G2915" s="16" t="s">
        <v>373</v>
      </c>
      <c r="H2915" s="16" t="s">
        <v>305</v>
      </c>
      <c r="I2915" s="16" t="s">
        <v>1306</v>
      </c>
    </row>
    <row r="2916" ht="242.25" customHeight="1">
      <c r="B2916" s="32" t="str">
        <f>IMAGE("https://gymvisual.com/6045-catalog_default/medicine-ball-overhead-slam.jpg",4,500,500)</f>
        <v/>
      </c>
      <c r="C2916" s="30">
        <v>2915.0</v>
      </c>
      <c r="D2916" s="16" t="s">
        <v>3689</v>
      </c>
      <c r="E2916" s="16" t="s">
        <v>184</v>
      </c>
      <c r="F2916" s="16" t="s">
        <v>192</v>
      </c>
      <c r="G2916" s="16" t="s">
        <v>373</v>
      </c>
      <c r="H2916" s="16" t="s">
        <v>329</v>
      </c>
      <c r="I2916" s="16" t="s">
        <v>3690</v>
      </c>
    </row>
    <row r="2917" ht="242.25" customHeight="1">
      <c r="B2917" s="32" t="str">
        <f>IMAGE("https://gymvisual.com/11194-catalog_default/medicine-ball-overhead-slam-female.jpg",4,500,500)</f>
        <v/>
      </c>
      <c r="C2917" s="30">
        <v>2916.0</v>
      </c>
      <c r="D2917" s="16" t="s">
        <v>3691</v>
      </c>
      <c r="E2917" s="16" t="s">
        <v>184</v>
      </c>
      <c r="F2917" s="16" t="s">
        <v>310</v>
      </c>
      <c r="G2917" s="16" t="s">
        <v>373</v>
      </c>
      <c r="H2917" s="16" t="s">
        <v>1230</v>
      </c>
      <c r="I2917" s="16" t="s">
        <v>3692</v>
      </c>
    </row>
    <row r="2918" ht="242.25" customHeight="1">
      <c r="B2918" s="32" t="str">
        <f>IMAGE("https://gymvisual.com/7343-catalog_default/medicine-ball-reverse-wood-chop-squat.jpg",4,500,500)</f>
        <v/>
      </c>
      <c r="C2918" s="30">
        <v>2917.0</v>
      </c>
      <c r="D2918" s="16" t="s">
        <v>3693</v>
      </c>
      <c r="E2918" s="16" t="s">
        <v>184</v>
      </c>
      <c r="F2918" s="16" t="s">
        <v>254</v>
      </c>
      <c r="G2918" s="16" t="s">
        <v>373</v>
      </c>
      <c r="H2918" s="16" t="s">
        <v>220</v>
      </c>
      <c r="I2918" s="16" t="s">
        <v>220</v>
      </c>
    </row>
    <row r="2919" ht="242.25" customHeight="1">
      <c r="B2919" s="32" t="str">
        <f>IMAGE("https://gymvisual.com/7349-catalog_default/medicine-ball-rotational-throw.jpg",4,500,500)</f>
        <v/>
      </c>
      <c r="C2919" s="30">
        <v>2918.0</v>
      </c>
      <c r="D2919" s="16" t="s">
        <v>3694</v>
      </c>
      <c r="E2919" s="16" t="s">
        <v>184</v>
      </c>
      <c r="F2919" s="16" t="s">
        <v>254</v>
      </c>
      <c r="G2919" s="16" t="s">
        <v>373</v>
      </c>
      <c r="H2919" s="16" t="s">
        <v>220</v>
      </c>
      <c r="I2919" s="16" t="s">
        <v>220</v>
      </c>
    </row>
    <row r="2920" ht="242.25" customHeight="1">
      <c r="B2920" s="32" t="str">
        <f>IMAGE("https://gymvisual.com/7331-catalog_default/medicine-ball-single-leg-deadlift.jpg",4,500,500)</f>
        <v/>
      </c>
      <c r="C2920" s="30">
        <v>2919.0</v>
      </c>
      <c r="D2920" s="16" t="s">
        <v>3695</v>
      </c>
      <c r="E2920" s="16" t="s">
        <v>184</v>
      </c>
      <c r="F2920" s="16" t="s">
        <v>185</v>
      </c>
      <c r="G2920" s="16" t="s">
        <v>373</v>
      </c>
      <c r="H2920" s="16" t="s">
        <v>220</v>
      </c>
      <c r="I2920" s="16" t="s">
        <v>220</v>
      </c>
    </row>
    <row r="2921" ht="242.25" customHeight="1">
      <c r="B2921" s="32" t="str">
        <f>IMAGE("https://gymvisual.com/1878-catalog_default/3-4-sit-up.jpg",4,500,500)</f>
        <v/>
      </c>
      <c r="C2921" s="30">
        <v>2920.0</v>
      </c>
      <c r="D2921" s="16" t="s">
        <v>3696</v>
      </c>
      <c r="E2921" s="16" t="s">
        <v>184</v>
      </c>
      <c r="F2921" s="16" t="s">
        <v>254</v>
      </c>
      <c r="G2921" s="16" t="s">
        <v>373</v>
      </c>
      <c r="H2921" s="16" t="s">
        <v>305</v>
      </c>
      <c r="I2921" s="16" t="s">
        <v>3697</v>
      </c>
    </row>
    <row r="2922" ht="242.25" customHeight="1">
      <c r="B2922" s="32" t="str">
        <f>IMAGE("https://gymvisual.com/13842-catalog_default/medicine-ball-standing-overhead-throw.jpg",4,500,500)</f>
        <v/>
      </c>
      <c r="C2922" s="30">
        <v>2921.0</v>
      </c>
      <c r="D2922" s="16" t="s">
        <v>3698</v>
      </c>
      <c r="E2922" s="16" t="s">
        <v>184</v>
      </c>
      <c r="F2922" s="16" t="s">
        <v>1894</v>
      </c>
      <c r="G2922" s="16" t="s">
        <v>373</v>
      </c>
      <c r="H2922" s="16" t="s">
        <v>2400</v>
      </c>
      <c r="I2922" s="16" t="s">
        <v>545</v>
      </c>
    </row>
    <row r="2923" ht="242.25" customHeight="1">
      <c r="B2923" s="32" t="str">
        <f>IMAGE("https://gymvisual.com/7469-catalog_default/medicine-ball-supine-chest-throw.jpg",4,500,500)</f>
        <v/>
      </c>
      <c r="C2923" s="30">
        <v>2922.0</v>
      </c>
      <c r="D2923" s="16" t="s">
        <v>3699</v>
      </c>
      <c r="E2923" s="16" t="s">
        <v>184</v>
      </c>
      <c r="F2923" s="16" t="s">
        <v>219</v>
      </c>
      <c r="G2923" s="16" t="s">
        <v>373</v>
      </c>
      <c r="H2923" s="16" t="s">
        <v>220</v>
      </c>
      <c r="I2923" s="16" t="s">
        <v>220</v>
      </c>
    </row>
    <row r="2924" ht="242.25" customHeight="1">
      <c r="B2924" s="32" t="str">
        <f>IMAGE("https://gymvisual.com/24488-catalog_default/medicine-ball-throw-squat-with-wall.jpg",4,500,500)</f>
        <v/>
      </c>
      <c r="C2924" s="30">
        <v>2923.0</v>
      </c>
      <c r="D2924" s="16" t="s">
        <v>3700</v>
      </c>
      <c r="E2924" s="16" t="s">
        <v>184</v>
      </c>
      <c r="F2924" s="16" t="s">
        <v>228</v>
      </c>
      <c r="G2924" s="16" t="s">
        <v>373</v>
      </c>
      <c r="H2924" s="16" t="s">
        <v>220</v>
      </c>
      <c r="I2924" s="16" t="s">
        <v>220</v>
      </c>
    </row>
    <row r="2925" ht="242.25" hidden="1" customHeight="1">
      <c r="B2925" s="32" t="str">
        <f>IMAGE("https://gymvisual.com/23565-catalog_default/mid-air-lateral-raises-with-switching-palms.jpg",4,500,500)</f>
        <v/>
      </c>
      <c r="C2925" s="30">
        <v>2924.0</v>
      </c>
      <c r="D2925" s="16" t="s">
        <v>3701</v>
      </c>
      <c r="E2925" s="16" t="s">
        <v>184</v>
      </c>
      <c r="F2925" s="16" t="s">
        <v>228</v>
      </c>
      <c r="G2925" s="16" t="s">
        <v>255</v>
      </c>
      <c r="H2925" s="16" t="s">
        <v>544</v>
      </c>
      <c r="I2925" s="16" t="s">
        <v>545</v>
      </c>
    </row>
    <row r="2926" ht="242.25" hidden="1" customHeight="1">
      <c r="B2926" s="32" t="str">
        <f>IMAGE("https://gymvisual.com/1883-catalog_default/3-4-sit-up.jpg",4,500,500)</f>
        <v/>
      </c>
      <c r="C2926" s="30">
        <v>2925.0</v>
      </c>
      <c r="D2926" s="16" t="s">
        <v>3702</v>
      </c>
      <c r="E2926" s="16" t="s">
        <v>184</v>
      </c>
      <c r="F2926" s="16" t="s">
        <v>192</v>
      </c>
      <c r="G2926" s="16" t="s">
        <v>255</v>
      </c>
      <c r="H2926" s="16" t="s">
        <v>300</v>
      </c>
      <c r="I2926" s="16" t="s">
        <v>3703</v>
      </c>
    </row>
    <row r="2927" ht="242.25" hidden="1" customHeight="1">
      <c r="B2927" s="32" t="str">
        <f>IMAGE("https://gymvisual.com/6273-catalog_default/modified-push-up-to-forearms.jpg",4,500,500)</f>
        <v/>
      </c>
      <c r="C2927" s="30">
        <v>2926.0</v>
      </c>
      <c r="D2927" s="16" t="s">
        <v>3704</v>
      </c>
      <c r="E2927" s="16" t="s">
        <v>184</v>
      </c>
      <c r="F2927" s="16" t="s">
        <v>214</v>
      </c>
      <c r="G2927" s="16" t="s">
        <v>255</v>
      </c>
      <c r="H2927" s="16" t="s">
        <v>3705</v>
      </c>
      <c r="I2927" s="16" t="s">
        <v>804</v>
      </c>
    </row>
    <row r="2928" ht="242.25" hidden="1" customHeight="1">
      <c r="B2928" s="32" t="str">
        <f>IMAGE("https://gymvisual.com/1895-catalog_default/3-4-sit-up.jpg",4,500,500)</f>
        <v/>
      </c>
      <c r="C2928" s="30">
        <v>2927.0</v>
      </c>
      <c r="D2928" s="16" t="s">
        <v>3706</v>
      </c>
      <c r="E2928" s="16" t="s">
        <v>184</v>
      </c>
      <c r="F2928" s="16" t="s">
        <v>192</v>
      </c>
      <c r="G2928" s="16" t="s">
        <v>255</v>
      </c>
      <c r="H2928" s="16" t="s">
        <v>300</v>
      </c>
      <c r="I2928" s="16" t="s">
        <v>3707</v>
      </c>
    </row>
    <row r="2929" ht="242.25" hidden="1" customHeight="1">
      <c r="B2929" s="32" t="str">
        <f>IMAGE("https://gymvisual.com/6242-catalog_default/muscle-up-on-vertical-bar.jpg",4,500,500)</f>
        <v/>
      </c>
      <c r="C2929" s="30">
        <v>2928.0</v>
      </c>
      <c r="D2929" s="16" t="s">
        <v>3708</v>
      </c>
      <c r="E2929" s="16" t="s">
        <v>184</v>
      </c>
      <c r="F2929" s="16" t="s">
        <v>192</v>
      </c>
      <c r="G2929" s="16" t="s">
        <v>255</v>
      </c>
      <c r="H2929" s="16" t="s">
        <v>3709</v>
      </c>
      <c r="I2929" s="16" t="s">
        <v>220</v>
      </c>
    </row>
    <row r="2930" ht="242.25" customHeight="1">
      <c r="B2930" s="32" t="str">
        <f>IMAGE("https://gymvisual.com/21026-catalog_default/myotatic-crunch-on-bosu-ball.jpg",4,500,500)</f>
        <v/>
      </c>
      <c r="C2930" s="30">
        <v>2929.0</v>
      </c>
      <c r="D2930" s="16" t="s">
        <v>3710</v>
      </c>
      <c r="E2930" s="16" t="s">
        <v>184</v>
      </c>
      <c r="F2930" s="16" t="s">
        <v>254</v>
      </c>
      <c r="G2930" s="16" t="s">
        <v>316</v>
      </c>
      <c r="H2930" s="16" t="s">
        <v>256</v>
      </c>
      <c r="I2930" s="16" t="s">
        <v>257</v>
      </c>
    </row>
    <row r="2931" ht="242.25" hidden="1" customHeight="1">
      <c r="B2931" s="32" t="str">
        <f>IMAGE("https://gymvisual.com/1898-catalog_default/3-4-sit-up.jpg",4,500,500)</f>
        <v/>
      </c>
      <c r="C2931" s="30">
        <v>2930.0</v>
      </c>
      <c r="D2931" s="16" t="s">
        <v>3711</v>
      </c>
      <c r="E2931" s="16" t="s">
        <v>184</v>
      </c>
      <c r="F2931" s="16" t="s">
        <v>254</v>
      </c>
      <c r="G2931" s="16" t="s">
        <v>255</v>
      </c>
      <c r="H2931" s="16" t="s">
        <v>256</v>
      </c>
      <c r="I2931" s="16" t="s">
        <v>1316</v>
      </c>
    </row>
    <row r="2932" ht="242.25" customHeight="1">
      <c r="B2932" s="32" t="str">
        <f>IMAGE("https://gymvisual.com/10031-catalog_default/narrow-push-up-on-exercise-ball.jpg",4,500,500)</f>
        <v/>
      </c>
      <c r="C2932" s="30">
        <v>2931.0</v>
      </c>
      <c r="D2932" s="16" t="s">
        <v>3712</v>
      </c>
      <c r="E2932" s="16" t="s">
        <v>184</v>
      </c>
      <c r="F2932" s="16" t="s">
        <v>219</v>
      </c>
      <c r="G2932" s="16" t="s">
        <v>399</v>
      </c>
      <c r="H2932" s="16" t="s">
        <v>223</v>
      </c>
      <c r="I2932" s="16" t="s">
        <v>472</v>
      </c>
    </row>
    <row r="2933" ht="242.25" hidden="1" customHeight="1">
      <c r="B2933" s="32" t="str">
        <f>IMAGE("https://gymvisual.com/20706-catalog_default/narrow-seated-chin-up.jpg",4,500,500)</f>
        <v/>
      </c>
      <c r="C2933" s="30">
        <v>2932.0</v>
      </c>
      <c r="D2933" s="16" t="s">
        <v>3713</v>
      </c>
      <c r="E2933" s="16" t="s">
        <v>184</v>
      </c>
      <c r="F2933" s="16" t="s">
        <v>192</v>
      </c>
      <c r="G2933" s="16" t="s">
        <v>255</v>
      </c>
      <c r="H2933" s="16" t="s">
        <v>329</v>
      </c>
      <c r="I2933" s="16" t="s">
        <v>357</v>
      </c>
    </row>
    <row r="2934" ht="242.25" hidden="1" customHeight="1">
      <c r="B2934" s="32" t="str">
        <f>IMAGE("https://gymvisual.com/13747-catalog_default/narrow-squat-from-deficit.jpg",4,500,500)</f>
        <v/>
      </c>
      <c r="C2934" s="30">
        <v>2933.0</v>
      </c>
      <c r="D2934" s="16" t="s">
        <v>3714</v>
      </c>
      <c r="E2934" s="16" t="s">
        <v>184</v>
      </c>
      <c r="F2934" s="16" t="s">
        <v>294</v>
      </c>
      <c r="G2934" s="16" t="s">
        <v>255</v>
      </c>
      <c r="H2934" s="16" t="s">
        <v>189</v>
      </c>
      <c r="I2934" s="16" t="s">
        <v>190</v>
      </c>
    </row>
    <row r="2935" ht="242.25" hidden="1" customHeight="1">
      <c r="B2935" s="32" t="str">
        <f>IMAGE("https://gymvisual.com/22472-catalog_default/narrow-top-half-pull-up-female.jpg",4,500,500)</f>
        <v/>
      </c>
      <c r="C2935" s="30">
        <v>2934.0</v>
      </c>
      <c r="D2935" s="16" t="s">
        <v>3715</v>
      </c>
      <c r="E2935" s="16" t="s">
        <v>184</v>
      </c>
      <c r="F2935" s="16" t="s">
        <v>192</v>
      </c>
      <c r="G2935" s="16" t="s">
        <v>255</v>
      </c>
      <c r="H2935" s="16" t="s">
        <v>220</v>
      </c>
      <c r="I2935" s="16" t="s">
        <v>220</v>
      </c>
    </row>
    <row r="2936" ht="242.25" hidden="1" customHeight="1">
      <c r="B2936" s="32" t="str">
        <f>IMAGE("https://gymvisual.com/1901-catalog_default/3-4-sit-up.jpg",4,500,500)</f>
        <v/>
      </c>
      <c r="C2936" s="30">
        <v>2935.0</v>
      </c>
      <c r="D2936" s="16" t="s">
        <v>3716</v>
      </c>
      <c r="E2936" s="16" t="s">
        <v>184</v>
      </c>
      <c r="F2936" s="16" t="s">
        <v>351</v>
      </c>
      <c r="G2936" s="16" t="s">
        <v>255</v>
      </c>
      <c r="H2936" s="16" t="s">
        <v>3717</v>
      </c>
      <c r="I2936" s="16" t="s">
        <v>238</v>
      </c>
    </row>
    <row r="2937" ht="242.25" hidden="1" customHeight="1">
      <c r="B2937" s="32" t="str">
        <f>IMAGE("https://gymvisual.com/1904-catalog_default/3-4-sit-up.jpg",4,500,500)</f>
        <v/>
      </c>
      <c r="C2937" s="30">
        <v>2936.0</v>
      </c>
      <c r="D2937" s="16" t="s">
        <v>3718</v>
      </c>
      <c r="E2937" s="16" t="s">
        <v>184</v>
      </c>
      <c r="F2937" s="16" t="s">
        <v>254</v>
      </c>
      <c r="G2937" s="16" t="s">
        <v>255</v>
      </c>
      <c r="H2937" s="16" t="s">
        <v>256</v>
      </c>
      <c r="I2937" s="16" t="s">
        <v>257</v>
      </c>
    </row>
    <row r="2938" ht="242.25" hidden="1" customHeight="1">
      <c r="B2938" s="32" t="str">
        <f>IMAGE("https://gymvisual.com/22514-catalog_default/negative-dragon-flag.jpg",4,500,500)</f>
        <v/>
      </c>
      <c r="C2938" s="30">
        <v>2937.0</v>
      </c>
      <c r="D2938" s="16" t="s">
        <v>3719</v>
      </c>
      <c r="E2938" s="16" t="s">
        <v>184</v>
      </c>
      <c r="F2938" s="16" t="s">
        <v>254</v>
      </c>
      <c r="G2938" s="16" t="s">
        <v>255</v>
      </c>
      <c r="H2938" s="16" t="s">
        <v>305</v>
      </c>
      <c r="I2938" s="16" t="s">
        <v>600</v>
      </c>
    </row>
    <row r="2939" ht="242.25" hidden="1" customHeight="1">
      <c r="B2939" s="32" t="str">
        <f>IMAGE("https://gymvisual.com/20540-catalog_default/negative-dragon-flag-female.jpg",4,500,500)</f>
        <v/>
      </c>
      <c r="C2939" s="30">
        <v>2938.0</v>
      </c>
      <c r="D2939" s="16" t="s">
        <v>3720</v>
      </c>
      <c r="E2939" s="16" t="s">
        <v>184</v>
      </c>
      <c r="F2939" s="16" t="s">
        <v>254</v>
      </c>
      <c r="G2939" s="16" t="s">
        <v>255</v>
      </c>
      <c r="H2939" s="16" t="s">
        <v>3721</v>
      </c>
      <c r="I2939" s="16" t="s">
        <v>3722</v>
      </c>
    </row>
    <row r="2940" ht="242.25" hidden="1" customHeight="1">
      <c r="B2940" s="32" t="str">
        <f>IMAGE("https://gymvisual.com/24691-catalog_default/negative-push-up.jpg",4,500,500)</f>
        <v/>
      </c>
      <c r="C2940" s="30">
        <v>2939.0</v>
      </c>
      <c r="D2940" s="16" t="s">
        <v>3723</v>
      </c>
      <c r="E2940" s="16" t="s">
        <v>184</v>
      </c>
      <c r="F2940" s="16" t="s">
        <v>234</v>
      </c>
      <c r="G2940" s="16" t="s">
        <v>255</v>
      </c>
      <c r="H2940" s="16" t="s">
        <v>220</v>
      </c>
      <c r="I2940" s="16" t="s">
        <v>220</v>
      </c>
    </row>
    <row r="2941" ht="242.25" hidden="1" customHeight="1">
      <c r="B2941" s="32" t="str">
        <f>IMAGE("https://gymvisual.com/6719-catalog_default/oblique-crunch-version-2.jpg",4,500,500)</f>
        <v/>
      </c>
      <c r="C2941" s="30">
        <v>2940.0</v>
      </c>
      <c r="D2941" s="16" t="s">
        <v>3724</v>
      </c>
      <c r="E2941" s="16" t="s">
        <v>184</v>
      </c>
      <c r="F2941" s="16" t="s">
        <v>254</v>
      </c>
      <c r="G2941" s="16" t="s">
        <v>255</v>
      </c>
      <c r="H2941" s="16" t="s">
        <v>257</v>
      </c>
      <c r="I2941" s="16" t="s">
        <v>256</v>
      </c>
    </row>
    <row r="2942" ht="242.25" hidden="1" customHeight="1">
      <c r="B2942" s="32" t="str">
        <f>IMAGE("https://gymvisual.com/10954-catalog_default/oblique-crunch-version-2-female.jpg",4,500,500)</f>
        <v/>
      </c>
      <c r="C2942" s="30">
        <v>2941.0</v>
      </c>
      <c r="D2942" s="16" t="s">
        <v>3725</v>
      </c>
      <c r="E2942" s="16" t="s">
        <v>184</v>
      </c>
      <c r="F2942" s="16" t="s">
        <v>254</v>
      </c>
      <c r="G2942" s="16" t="s">
        <v>255</v>
      </c>
      <c r="H2942" s="16" t="s">
        <v>220</v>
      </c>
      <c r="I2942" s="16" t="s">
        <v>220</v>
      </c>
    </row>
    <row r="2943" ht="242.25" hidden="1" customHeight="1">
      <c r="B2943" s="32" t="str">
        <f>IMAGE("https://gymvisual.com/1907-catalog_default/3-4-sit-up.jpg",4,500,500)</f>
        <v/>
      </c>
      <c r="C2943" s="30">
        <v>2942.0</v>
      </c>
      <c r="D2943" s="16" t="s">
        <v>3726</v>
      </c>
      <c r="E2943" s="16" t="s">
        <v>184</v>
      </c>
      <c r="F2943" s="16" t="s">
        <v>254</v>
      </c>
      <c r="G2943" s="16" t="s">
        <v>255</v>
      </c>
      <c r="H2943" s="16" t="s">
        <v>257</v>
      </c>
      <c r="I2943" s="16" t="s">
        <v>256</v>
      </c>
    </row>
    <row r="2944" ht="242.25" hidden="1" customHeight="1">
      <c r="B2944" s="32" t="str">
        <f>IMAGE("https://gymvisual.com/13608-catalog_default/oblique-crunches-with-bent-knee-leg-lift.jpg",4,500,500)</f>
        <v/>
      </c>
      <c r="C2944" s="30">
        <v>2943.0</v>
      </c>
      <c r="D2944" s="16" t="s">
        <v>3727</v>
      </c>
      <c r="E2944" s="16" t="s">
        <v>184</v>
      </c>
      <c r="F2944" s="16" t="s">
        <v>254</v>
      </c>
      <c r="G2944" s="16" t="s">
        <v>255</v>
      </c>
      <c r="H2944" s="16" t="s">
        <v>3728</v>
      </c>
      <c r="I2944" s="16" t="s">
        <v>3729</v>
      </c>
    </row>
    <row r="2945" ht="242.25" hidden="1" customHeight="1">
      <c r="B2945" s="32" t="str">
        <f>IMAGE("https://gymvisual.com/13610-catalog_default/oblique-crunches-with-straight-leg-lift.jpg",4,500,500)</f>
        <v/>
      </c>
      <c r="C2945" s="30">
        <v>2944.0</v>
      </c>
      <c r="D2945" s="16" t="s">
        <v>3730</v>
      </c>
      <c r="E2945" s="16" t="s">
        <v>184</v>
      </c>
      <c r="F2945" s="16" t="s">
        <v>254</v>
      </c>
      <c r="G2945" s="16" t="s">
        <v>255</v>
      </c>
      <c r="H2945" s="16" t="s">
        <v>3731</v>
      </c>
      <c r="I2945" s="16" t="s">
        <v>256</v>
      </c>
    </row>
    <row r="2946" ht="242.25" hidden="1" customHeight="1">
      <c r="B2946" s="32" t="str">
        <f>IMAGE("https://gymvisual.com/14040-catalog_default/oblique-v-up-on-floor.jpg",4,500,500)</f>
        <v/>
      </c>
      <c r="C2946" s="30">
        <v>2945.0</v>
      </c>
      <c r="D2946" s="16" t="s">
        <v>3732</v>
      </c>
      <c r="E2946" s="16" t="s">
        <v>184</v>
      </c>
      <c r="F2946" s="16" t="s">
        <v>310</v>
      </c>
      <c r="G2946" s="16" t="s">
        <v>255</v>
      </c>
      <c r="H2946" s="16" t="s">
        <v>3733</v>
      </c>
      <c r="I2946" s="16" t="s">
        <v>3734</v>
      </c>
    </row>
    <row r="2947" ht="242.25" customHeight="1">
      <c r="A2947" s="32" t="b">
        <v>0</v>
      </c>
      <c r="B2947" s="32" t="str">
        <f>IMAGE("https://gymvisual.com/20477-catalog_default/old-school-reverse-extensions.jpg",4,500,500)</f>
        <v/>
      </c>
      <c r="C2947" s="30">
        <v>2946.0</v>
      </c>
      <c r="D2947" s="16" t="s">
        <v>3735</v>
      </c>
      <c r="E2947" s="16" t="s">
        <v>184</v>
      </c>
      <c r="F2947" s="16" t="s">
        <v>3736</v>
      </c>
      <c r="G2947" s="16" t="s">
        <v>186</v>
      </c>
      <c r="H2947" s="16" t="s">
        <v>3737</v>
      </c>
      <c r="I2947" s="16" t="s">
        <v>3738</v>
      </c>
    </row>
    <row r="2948" ht="242.25" customHeight="1">
      <c r="A2948" s="32" t="b">
        <v>0</v>
      </c>
      <c r="B2948" s="32" t="str">
        <f>IMAGE("https://gymvisual.com/20511-catalog_default/old-school-reverse-extensions-female.jpg",4,500,500)</f>
        <v/>
      </c>
      <c r="C2948" s="30">
        <v>2947.0</v>
      </c>
      <c r="D2948" s="16" t="s">
        <v>3739</v>
      </c>
      <c r="E2948" s="16" t="s">
        <v>184</v>
      </c>
      <c r="F2948" s="16" t="s">
        <v>3736</v>
      </c>
      <c r="G2948" s="16" t="s">
        <v>186</v>
      </c>
      <c r="H2948" s="16" t="s">
        <v>3737</v>
      </c>
      <c r="I2948" s="16" t="s">
        <v>3740</v>
      </c>
    </row>
    <row r="2949" ht="242.25" customHeight="1">
      <c r="B2949" s="32" t="str">
        <f>IMAGE("https://gymvisual.com/1910-catalog_default/3-4-sit-up.jpg",4,500,500)</f>
        <v/>
      </c>
      <c r="C2949" s="30">
        <v>2948.0</v>
      </c>
      <c r="D2949" s="16" t="s">
        <v>3741</v>
      </c>
      <c r="E2949" s="16" t="s">
        <v>184</v>
      </c>
      <c r="F2949" s="16" t="s">
        <v>214</v>
      </c>
      <c r="G2949" s="16" t="s">
        <v>3742</v>
      </c>
      <c r="H2949" s="16" t="s">
        <v>216</v>
      </c>
      <c r="I2949" s="16" t="s">
        <v>217</v>
      </c>
    </row>
    <row r="2950" ht="242.25" customHeight="1">
      <c r="B2950" s="32" t="str">
        <f>IMAGE("https://gymvisual.com/1913-catalog_default/3-4-sit-up.jpg",4,500,500)</f>
        <v/>
      </c>
      <c r="C2950" s="30">
        <v>2949.0</v>
      </c>
      <c r="D2950" s="16" t="s">
        <v>3743</v>
      </c>
      <c r="E2950" s="16" t="s">
        <v>184</v>
      </c>
      <c r="F2950" s="16" t="s">
        <v>219</v>
      </c>
      <c r="G2950" s="16" t="s">
        <v>3742</v>
      </c>
      <c r="H2950" s="16" t="s">
        <v>223</v>
      </c>
      <c r="I2950" s="16" t="s">
        <v>220</v>
      </c>
    </row>
    <row r="2951" ht="242.25" hidden="1" customHeight="1">
      <c r="B2951" s="32" t="str">
        <f>IMAGE("https://gymvisual.com/6046-catalog_default/one-arm-against-wall.jpg",4,500,500)</f>
        <v/>
      </c>
      <c r="C2951" s="30">
        <v>2950.0</v>
      </c>
      <c r="D2951" s="16" t="s">
        <v>3744</v>
      </c>
      <c r="E2951" s="16" t="s">
        <v>184</v>
      </c>
      <c r="F2951" s="16" t="s">
        <v>192</v>
      </c>
      <c r="G2951" s="16" t="s">
        <v>255</v>
      </c>
      <c r="H2951" s="16" t="s">
        <v>1934</v>
      </c>
      <c r="I2951" s="16" t="s">
        <v>220</v>
      </c>
    </row>
    <row r="2952" ht="242.25" hidden="1" customHeight="1">
      <c r="B2952" s="32" t="str">
        <f>IMAGE("https://gymvisual.com/1916-catalog_default/3-4-sit-up.jpg",4,500,500)</f>
        <v/>
      </c>
      <c r="C2952" s="30">
        <v>2951.0</v>
      </c>
      <c r="D2952" s="16" t="s">
        <v>3745</v>
      </c>
      <c r="E2952" s="16" t="s">
        <v>184</v>
      </c>
      <c r="F2952" s="16" t="s">
        <v>192</v>
      </c>
      <c r="G2952" s="16" t="s">
        <v>255</v>
      </c>
      <c r="H2952" s="16" t="s">
        <v>300</v>
      </c>
      <c r="I2952" s="16" t="s">
        <v>535</v>
      </c>
    </row>
    <row r="2953" ht="242.25" hidden="1" customHeight="1">
      <c r="B2953" s="32" t="str">
        <f>IMAGE("https://gymvisual.com/1919-catalog_default/3-4-sit-up.jpg",4,500,500)</f>
        <v/>
      </c>
      <c r="C2953" s="30">
        <v>2952.0</v>
      </c>
      <c r="D2953" s="16" t="s">
        <v>3746</v>
      </c>
      <c r="E2953" s="16" t="s">
        <v>184</v>
      </c>
      <c r="F2953" s="16" t="s">
        <v>219</v>
      </c>
      <c r="G2953" s="16" t="s">
        <v>255</v>
      </c>
      <c r="H2953" s="16" t="s">
        <v>223</v>
      </c>
      <c r="I2953" s="16" t="s">
        <v>3747</v>
      </c>
    </row>
    <row r="2954" ht="242.25" hidden="1" customHeight="1">
      <c r="B2954" s="32" t="str">
        <f>IMAGE("https://gymvisual.com/17389-catalog_default/one-arm-front-plank.jpg",4,500,500)</f>
        <v/>
      </c>
      <c r="C2954" s="30">
        <v>2953.0</v>
      </c>
      <c r="D2954" s="16" t="s">
        <v>3748</v>
      </c>
      <c r="E2954" s="16" t="s">
        <v>184</v>
      </c>
      <c r="F2954" s="16" t="s">
        <v>254</v>
      </c>
      <c r="G2954" s="16" t="s">
        <v>255</v>
      </c>
      <c r="H2954" s="16" t="s">
        <v>260</v>
      </c>
      <c r="I2954" s="16" t="s">
        <v>3749</v>
      </c>
    </row>
    <row r="2955" ht="242.25" customHeight="1">
      <c r="B2955" s="32" t="str">
        <f>IMAGE("https://gymvisual.com/1922-catalog_default/3-4-sit-up.jpg",4,500,500)</f>
        <v/>
      </c>
      <c r="C2955" s="30">
        <v>2954.0</v>
      </c>
      <c r="D2955" s="16" t="s">
        <v>3750</v>
      </c>
      <c r="E2955" s="16" t="s">
        <v>184</v>
      </c>
      <c r="F2955" s="16" t="s">
        <v>254</v>
      </c>
      <c r="G2955" s="16" t="s">
        <v>373</v>
      </c>
      <c r="H2955" s="16" t="s">
        <v>260</v>
      </c>
      <c r="I2955" s="16" t="s">
        <v>220</v>
      </c>
    </row>
    <row r="2956" ht="242.25" hidden="1" customHeight="1">
      <c r="B2956" s="32" t="str">
        <f>IMAGE("https://gymvisual.com/7613-catalog_default/one-arm-towel-row.jpg",4,500,500)</f>
        <v/>
      </c>
      <c r="C2956" s="30">
        <v>2955.0</v>
      </c>
      <c r="D2956" s="16" t="s">
        <v>3751</v>
      </c>
      <c r="E2956" s="16" t="s">
        <v>184</v>
      </c>
      <c r="F2956" s="16" t="s">
        <v>192</v>
      </c>
      <c r="G2956" s="16" t="s">
        <v>255</v>
      </c>
      <c r="H2956" s="16" t="s">
        <v>220</v>
      </c>
      <c r="I2956" s="16" t="s">
        <v>220</v>
      </c>
    </row>
    <row r="2957" ht="242.25" customHeight="1">
      <c r="A2957" s="32" t="b">
        <v>0</v>
      </c>
      <c r="B2957" s="32" t="str">
        <f>IMAGE("https://gymvisual.com/24717-catalog_default/one-arm-twisted-clean-and-press.jpg",4,500,500)</f>
        <v/>
      </c>
      <c r="C2957" s="30">
        <v>2956.0</v>
      </c>
      <c r="D2957" s="16" t="s">
        <v>3752</v>
      </c>
      <c r="E2957" s="16" t="s">
        <v>184</v>
      </c>
      <c r="F2957" s="16" t="s">
        <v>764</v>
      </c>
      <c r="G2957" s="16" t="s">
        <v>186</v>
      </c>
      <c r="H2957" s="16" t="s">
        <v>220</v>
      </c>
      <c r="I2957" s="16" t="s">
        <v>220</v>
      </c>
    </row>
    <row r="2958" ht="242.25" hidden="1" customHeight="1">
      <c r="B2958" s="32" t="str">
        <f>IMAGE("https://gymvisual.com/6048-catalog_default/one-handed-hang.jpg",4,500,500)</f>
        <v/>
      </c>
      <c r="C2958" s="30">
        <v>2957.0</v>
      </c>
      <c r="D2958" s="16" t="s">
        <v>3753</v>
      </c>
      <c r="E2958" s="16" t="s">
        <v>184</v>
      </c>
      <c r="F2958" s="16" t="s">
        <v>192</v>
      </c>
      <c r="G2958" s="16" t="s">
        <v>255</v>
      </c>
      <c r="H2958" s="16" t="s">
        <v>1934</v>
      </c>
      <c r="I2958" s="16" t="s">
        <v>220</v>
      </c>
    </row>
    <row r="2959" ht="242.25" hidden="1" customHeight="1">
      <c r="B2959" s="32" t="str">
        <f>IMAGE("https://gymvisual.com/6083-catalog_default/one-leg-donkey-calf-raise.jpg",4,500,500)</f>
        <v/>
      </c>
      <c r="C2959" s="30">
        <v>2958.0</v>
      </c>
      <c r="D2959" s="16" t="s">
        <v>3754</v>
      </c>
      <c r="E2959" s="16" t="s">
        <v>184</v>
      </c>
      <c r="F2959" s="16" t="s">
        <v>325</v>
      </c>
      <c r="G2959" s="16" t="s">
        <v>255</v>
      </c>
      <c r="H2959" s="16" t="s">
        <v>368</v>
      </c>
      <c r="I2959" s="16" t="s">
        <v>463</v>
      </c>
    </row>
    <row r="2960" ht="242.25" hidden="1" customHeight="1">
      <c r="B2960" s="32" t="str">
        <f>IMAGE("https://gymvisual.com/6084-catalog_default/one-leg-floor-calf-raise.jpg",4,500,500)</f>
        <v/>
      </c>
      <c r="C2960" s="30">
        <v>2959.0</v>
      </c>
      <c r="D2960" s="16" t="s">
        <v>3755</v>
      </c>
      <c r="E2960" s="16" t="s">
        <v>184</v>
      </c>
      <c r="F2960" s="16" t="s">
        <v>325</v>
      </c>
      <c r="G2960" s="16" t="s">
        <v>255</v>
      </c>
      <c r="H2960" s="16" t="s">
        <v>368</v>
      </c>
      <c r="I2960" s="16" t="s">
        <v>463</v>
      </c>
    </row>
    <row r="2961" ht="242.25" hidden="1" customHeight="1">
      <c r="B2961" s="32" t="str">
        <f>IMAGE("https://gymvisual.com/11405-catalog_default/one-leg-floor-calf-raise-female.jpg",4,500,500)</f>
        <v/>
      </c>
      <c r="C2961" s="30">
        <v>2960.0</v>
      </c>
      <c r="D2961" s="16" t="s">
        <v>3756</v>
      </c>
      <c r="E2961" s="16" t="s">
        <v>184</v>
      </c>
      <c r="F2961" s="16" t="s">
        <v>325</v>
      </c>
      <c r="G2961" s="16" t="s">
        <v>255</v>
      </c>
      <c r="H2961" s="16" t="s">
        <v>368</v>
      </c>
      <c r="I2961" s="16" t="s">
        <v>463</v>
      </c>
    </row>
    <row r="2962" ht="242.25" hidden="1" customHeight="1">
      <c r="B2962" s="32" t="str">
        <f>IMAGE("https://gymvisual.com/2960-catalog_default/one-leg-kickback-with-bench-support.jpg",4,500,500)</f>
        <v/>
      </c>
      <c r="C2962" s="30">
        <v>2961.0</v>
      </c>
      <c r="D2962" s="16" t="s">
        <v>3757</v>
      </c>
      <c r="E2962" s="16" t="s">
        <v>184</v>
      </c>
      <c r="F2962" s="16" t="s">
        <v>185</v>
      </c>
      <c r="G2962" s="16" t="s">
        <v>255</v>
      </c>
      <c r="H2962" s="16" t="s">
        <v>187</v>
      </c>
      <c r="I2962" s="16" t="s">
        <v>188</v>
      </c>
    </row>
    <row r="2963" ht="242.25" hidden="1" customHeight="1">
      <c r="B2963" s="32" t="str">
        <f>IMAGE("https://gymvisual.com/6825-catalog_default/one-leg-quarter-squat.jpg",4,500,500)</f>
        <v/>
      </c>
      <c r="C2963" s="30">
        <v>2962.0</v>
      </c>
      <c r="D2963" s="16" t="s">
        <v>3758</v>
      </c>
      <c r="E2963" s="16" t="s">
        <v>184</v>
      </c>
      <c r="F2963" s="16" t="s">
        <v>285</v>
      </c>
      <c r="G2963" s="16" t="s">
        <v>255</v>
      </c>
      <c r="H2963" s="16" t="s">
        <v>189</v>
      </c>
      <c r="I2963" s="16" t="s">
        <v>190</v>
      </c>
    </row>
    <row r="2964" ht="242.25" hidden="1" customHeight="1">
      <c r="B2964" s="32" t="str">
        <f>IMAGE("https://gymvisual.com/6419-catalog_default/one-leg-squat.jpg",4,500,500)</f>
        <v/>
      </c>
      <c r="C2964" s="30">
        <v>2963.0</v>
      </c>
      <c r="D2964" s="16" t="s">
        <v>3759</v>
      </c>
      <c r="E2964" s="16" t="s">
        <v>184</v>
      </c>
      <c r="F2964" s="16" t="s">
        <v>185</v>
      </c>
      <c r="G2964" s="16" t="s">
        <v>255</v>
      </c>
      <c r="H2964" s="16" t="s">
        <v>189</v>
      </c>
      <c r="I2964" s="16" t="s">
        <v>190</v>
      </c>
    </row>
    <row r="2965" ht="242.25" hidden="1" customHeight="1">
      <c r="B2965" s="32" t="str">
        <f>IMAGE("https://gymvisual.com/18718-catalog_default/one-side-archer-push-up.jpg",4,500,500)</f>
        <v/>
      </c>
      <c r="C2965" s="30">
        <v>2964.0</v>
      </c>
      <c r="D2965" s="16" t="s">
        <v>3760</v>
      </c>
      <c r="E2965" s="16" t="s">
        <v>184</v>
      </c>
      <c r="F2965" s="16" t="s">
        <v>234</v>
      </c>
      <c r="G2965" s="16" t="s">
        <v>255</v>
      </c>
      <c r="H2965" s="16" t="s">
        <v>235</v>
      </c>
      <c r="I2965" s="16" t="s">
        <v>3267</v>
      </c>
    </row>
    <row r="2966" ht="242.25" hidden="1" customHeight="1">
      <c r="B2966" s="32" t="str">
        <f>IMAGE("https://gymvisual.com/22827-catalog_default/opposite-crunch.jpg",4,500,500)</f>
        <v/>
      </c>
      <c r="C2966" s="30">
        <v>2965.0</v>
      </c>
      <c r="D2966" s="16" t="s">
        <v>3761</v>
      </c>
      <c r="E2966" s="16" t="s">
        <v>184</v>
      </c>
      <c r="F2966" s="16" t="s">
        <v>254</v>
      </c>
      <c r="G2966" s="16" t="s">
        <v>255</v>
      </c>
      <c r="H2966" s="16" t="s">
        <v>263</v>
      </c>
      <c r="I2966" s="16" t="s">
        <v>1306</v>
      </c>
    </row>
    <row r="2967" ht="242.25" customHeight="1">
      <c r="B2967" s="32" t="str">
        <f>IMAGE("https://gymvisual.com/1925-catalog_default/3-4-sit-up.jpg",4,500,500)</f>
        <v/>
      </c>
      <c r="C2967" s="30">
        <v>2966.0</v>
      </c>
      <c r="D2967" s="16" t="s">
        <v>3762</v>
      </c>
      <c r="E2967" s="16" t="s">
        <v>184</v>
      </c>
      <c r="F2967" s="16" t="s">
        <v>254</v>
      </c>
      <c r="G2967" s="16" t="s">
        <v>396</v>
      </c>
      <c r="H2967" s="16" t="s">
        <v>305</v>
      </c>
      <c r="I2967" s="16" t="s">
        <v>3763</v>
      </c>
    </row>
    <row r="2968" ht="242.25" customHeight="1">
      <c r="B2968" s="32" t="str">
        <f>IMAGE("https://gymvisual.com/17067-catalog_default/otis-up-female.jpg",4,500,500)</f>
        <v/>
      </c>
      <c r="C2968" s="30">
        <v>2967.0</v>
      </c>
      <c r="D2968" s="16" t="s">
        <v>3764</v>
      </c>
      <c r="E2968" s="16" t="s">
        <v>184</v>
      </c>
      <c r="F2968" s="16" t="s">
        <v>3765</v>
      </c>
      <c r="G2968" s="16" t="s">
        <v>396</v>
      </c>
      <c r="H2968" s="16" t="s">
        <v>3766</v>
      </c>
      <c r="I2968" s="16" t="s">
        <v>3767</v>
      </c>
    </row>
    <row r="2969" ht="242.25" hidden="1" customHeight="1">
      <c r="B2969" s="32" t="str">
        <f>IMAGE("https://gymvisual.com/1928-catalog_default/3-4-sit-up.jpg",4,500,500)</f>
        <v/>
      </c>
      <c r="C2969" s="30">
        <v>2968.0</v>
      </c>
      <c r="D2969" s="16" t="s">
        <v>3768</v>
      </c>
      <c r="E2969" s="16" t="s">
        <v>184</v>
      </c>
      <c r="F2969" s="16" t="s">
        <v>185</v>
      </c>
      <c r="G2969" s="16" t="s">
        <v>255</v>
      </c>
      <c r="H2969" s="16" t="s">
        <v>2364</v>
      </c>
      <c r="I2969" s="16" t="s">
        <v>3769</v>
      </c>
    </row>
    <row r="2970" ht="242.25" hidden="1" customHeight="1">
      <c r="B2970" s="32" t="str">
        <f>IMAGE("https://gymvisual.com/23647-catalog_default/overhead-clap-female.jpg",4,500,500)</f>
        <v/>
      </c>
      <c r="C2970" s="30">
        <v>2969.0</v>
      </c>
      <c r="D2970" s="16" t="s">
        <v>3770</v>
      </c>
      <c r="E2970" s="16" t="s">
        <v>184</v>
      </c>
      <c r="F2970" s="16" t="s">
        <v>228</v>
      </c>
      <c r="G2970" s="16" t="s">
        <v>255</v>
      </c>
      <c r="H2970" s="16" t="s">
        <v>454</v>
      </c>
      <c r="I2970" s="16" t="s">
        <v>389</v>
      </c>
    </row>
    <row r="2971" ht="242.25" hidden="1" customHeight="1">
      <c r="B2971" s="32" t="str">
        <f>IMAGE("https://gymvisual.com/16532-catalog_default/overhead-triceps-extension-with-bed-sheet.jpg",4,500,500)</f>
        <v/>
      </c>
      <c r="C2971" s="30">
        <v>2970.0</v>
      </c>
      <c r="D2971" s="16" t="s">
        <v>3771</v>
      </c>
      <c r="E2971" s="16" t="s">
        <v>184</v>
      </c>
      <c r="F2971" s="16" t="s">
        <v>219</v>
      </c>
      <c r="G2971" s="16" t="s">
        <v>255</v>
      </c>
      <c r="H2971" s="16" t="s">
        <v>223</v>
      </c>
      <c r="I2971" s="16" t="s">
        <v>220</v>
      </c>
    </row>
    <row r="2972" ht="242.25" hidden="1" customHeight="1">
      <c r="B2972" s="32" t="str">
        <f>IMAGE("https://gymvisual.com/23649-catalog_default/palm-up-palm-down-rotation-female.jpg",4,500,500)</f>
        <v/>
      </c>
      <c r="C2972" s="30">
        <v>2971.0</v>
      </c>
      <c r="D2972" s="16" t="s">
        <v>3772</v>
      </c>
      <c r="E2972" s="16" t="s">
        <v>184</v>
      </c>
      <c r="F2972" s="16" t="s">
        <v>228</v>
      </c>
      <c r="G2972" s="16" t="s">
        <v>255</v>
      </c>
      <c r="H2972" s="16" t="s">
        <v>3773</v>
      </c>
      <c r="I2972" s="16" t="s">
        <v>220</v>
      </c>
    </row>
    <row r="2973" ht="242.25" hidden="1" customHeight="1">
      <c r="B2973" s="32" t="str">
        <f>IMAGE("https://gymvisual.com/24123-catalog_default/palm-up-palm-down-rotation-male.jpg",4,500,500)</f>
        <v/>
      </c>
      <c r="C2973" s="30">
        <v>2972.0</v>
      </c>
      <c r="D2973" s="16" t="s">
        <v>3774</v>
      </c>
      <c r="E2973" s="16" t="s">
        <v>184</v>
      </c>
      <c r="F2973" s="16" t="s">
        <v>228</v>
      </c>
      <c r="G2973" s="16" t="s">
        <v>255</v>
      </c>
      <c r="H2973" s="16" t="s">
        <v>220</v>
      </c>
      <c r="I2973" s="16" t="s">
        <v>220</v>
      </c>
    </row>
    <row r="2974" ht="242.25" hidden="1" customHeight="1">
      <c r="B2974" s="32" t="str">
        <f>IMAGE("https://gymvisual.com/12553-catalog_default/pelvic-tilt.jpg",4,500,500)</f>
        <v/>
      </c>
      <c r="C2974" s="30">
        <v>2973.0</v>
      </c>
      <c r="D2974" s="16" t="s">
        <v>3775</v>
      </c>
      <c r="E2974" s="16" t="s">
        <v>184</v>
      </c>
      <c r="F2974" s="16" t="s">
        <v>254</v>
      </c>
      <c r="G2974" s="16" t="s">
        <v>255</v>
      </c>
      <c r="H2974" s="16" t="s">
        <v>2848</v>
      </c>
      <c r="I2974" s="16" t="s">
        <v>3776</v>
      </c>
    </row>
    <row r="2975" ht="242.25" hidden="1" customHeight="1">
      <c r="B2975" s="32" t="str">
        <f>IMAGE("https://gymvisual.com/12554-catalog_default/pelvic-tilt-female.jpg",4,500,500)</f>
        <v/>
      </c>
      <c r="C2975" s="30">
        <v>2974.0</v>
      </c>
      <c r="D2975" s="16" t="s">
        <v>3777</v>
      </c>
      <c r="E2975" s="16" t="s">
        <v>184</v>
      </c>
      <c r="F2975" s="16" t="s">
        <v>310</v>
      </c>
      <c r="G2975" s="16" t="s">
        <v>255</v>
      </c>
      <c r="H2975" s="16" t="s">
        <v>2848</v>
      </c>
      <c r="I2975" s="16" t="s">
        <v>3776</v>
      </c>
    </row>
    <row r="2976" ht="242.25" hidden="1" customHeight="1">
      <c r="B2976" s="32" t="str">
        <f>IMAGE("https://gymvisual.com/17152-catalog_default/pike-press-between-benches.jpg",4,500,500)</f>
        <v/>
      </c>
      <c r="C2976" s="30">
        <v>2975.0</v>
      </c>
      <c r="D2976" s="16" t="s">
        <v>3778</v>
      </c>
      <c r="E2976" s="16" t="s">
        <v>184</v>
      </c>
      <c r="F2976" s="16" t="s">
        <v>228</v>
      </c>
      <c r="G2976" s="16" t="s">
        <v>255</v>
      </c>
      <c r="H2976" s="16" t="s">
        <v>229</v>
      </c>
      <c r="I2976" s="16" t="s">
        <v>3779</v>
      </c>
    </row>
    <row r="2977" ht="242.25" hidden="1" customHeight="1">
      <c r="B2977" s="32" t="str">
        <f>IMAGE("https://gymvisual.com/12186-catalog_default/pike-push-up.jpg",4,500,500)</f>
        <v/>
      </c>
      <c r="C2977" s="30">
        <v>2976.0</v>
      </c>
      <c r="D2977" s="16" t="s">
        <v>3780</v>
      </c>
      <c r="E2977" s="16" t="s">
        <v>184</v>
      </c>
      <c r="F2977" s="16" t="s">
        <v>234</v>
      </c>
      <c r="G2977" s="16" t="s">
        <v>255</v>
      </c>
      <c r="H2977" s="16" t="s">
        <v>229</v>
      </c>
      <c r="I2977" s="16" t="s">
        <v>3781</v>
      </c>
    </row>
    <row r="2978" ht="242.25" hidden="1" customHeight="1">
      <c r="B2978" s="32" t="str">
        <f>IMAGE("https://gymvisual.com/13729-catalog_default/pike-push-up-on-bench-version-2.jpg",4,500,500)</f>
        <v/>
      </c>
      <c r="C2978" s="30">
        <v>2977.0</v>
      </c>
      <c r="D2978" s="16" t="s">
        <v>3782</v>
      </c>
      <c r="E2978" s="16" t="s">
        <v>184</v>
      </c>
      <c r="F2978" s="16" t="s">
        <v>234</v>
      </c>
      <c r="G2978" s="16" t="s">
        <v>255</v>
      </c>
      <c r="H2978" s="16" t="s">
        <v>235</v>
      </c>
      <c r="I2978" s="16" t="s">
        <v>3783</v>
      </c>
    </row>
    <row r="2979" ht="242.25" hidden="1" customHeight="1">
      <c r="B2979" s="32" t="str">
        <f>IMAGE("https://gymvisual.com/13765-catalog_default/pike-push-up-between-benches.jpg",4,500,500)</f>
        <v/>
      </c>
      <c r="C2979" s="30">
        <v>2978.0</v>
      </c>
      <c r="D2979" s="16" t="s">
        <v>3784</v>
      </c>
      <c r="E2979" s="16" t="s">
        <v>184</v>
      </c>
      <c r="F2979" s="16" t="s">
        <v>228</v>
      </c>
      <c r="G2979" s="16" t="s">
        <v>255</v>
      </c>
      <c r="H2979" s="16" t="s">
        <v>229</v>
      </c>
      <c r="I2979" s="16" t="s">
        <v>3785</v>
      </c>
    </row>
    <row r="2980" ht="242.25" hidden="1" customHeight="1">
      <c r="B2980" s="32" t="str">
        <f>IMAGE("https://gymvisual.com/13767-catalog_default/pike-push-up-between-chairs.jpg",4,500,500)</f>
        <v/>
      </c>
      <c r="C2980" s="30">
        <v>2979.0</v>
      </c>
      <c r="D2980" s="16" t="s">
        <v>3786</v>
      </c>
      <c r="E2980" s="16" t="s">
        <v>184</v>
      </c>
      <c r="F2980" s="16" t="s">
        <v>228</v>
      </c>
      <c r="G2980" s="16" t="s">
        <v>255</v>
      </c>
      <c r="H2980" s="16" t="s">
        <v>229</v>
      </c>
      <c r="I2980" s="16" t="s">
        <v>3787</v>
      </c>
    </row>
    <row r="2981" ht="242.25" hidden="1" customHeight="1">
      <c r="B2981" s="32" t="str">
        <f>IMAGE("https://gymvisual.com/22631-catalog_default/pike-push-up-female.jpg",4,500,500)</f>
        <v/>
      </c>
      <c r="C2981" s="30">
        <v>2980.0</v>
      </c>
      <c r="D2981" s="16" t="s">
        <v>3788</v>
      </c>
      <c r="E2981" s="16" t="s">
        <v>184</v>
      </c>
      <c r="F2981" s="16" t="s">
        <v>234</v>
      </c>
      <c r="G2981" s="16" t="s">
        <v>255</v>
      </c>
      <c r="H2981" s="16" t="s">
        <v>472</v>
      </c>
      <c r="I2981" s="16" t="s">
        <v>3789</v>
      </c>
    </row>
    <row r="2982" ht="242.25" hidden="1" customHeight="1">
      <c r="B2982" s="32" t="str">
        <f>IMAGE("https://gymvisual.com/11988-catalog_default/pike-push-up-on-bench.jpg",4,500,500)</f>
        <v/>
      </c>
      <c r="C2982" s="30">
        <v>2981.0</v>
      </c>
      <c r="D2982" s="16" t="s">
        <v>3790</v>
      </c>
      <c r="E2982" s="16" t="s">
        <v>184</v>
      </c>
      <c r="F2982" s="16" t="s">
        <v>234</v>
      </c>
      <c r="G2982" s="16" t="s">
        <v>255</v>
      </c>
      <c r="H2982" s="16" t="s">
        <v>220</v>
      </c>
      <c r="I2982" s="16" t="s">
        <v>220</v>
      </c>
    </row>
    <row r="2983" ht="242.25" hidden="1" customHeight="1">
      <c r="B2983" s="32" t="str">
        <f>IMAGE("https://gymvisual.com/11989-catalog_default/pike-push-up-on-bench-female.jpg",4,500,500)</f>
        <v/>
      </c>
      <c r="C2983" s="30">
        <v>2982.0</v>
      </c>
      <c r="D2983" s="16" t="s">
        <v>3791</v>
      </c>
      <c r="E2983" s="16" t="s">
        <v>184</v>
      </c>
      <c r="F2983" s="16" t="s">
        <v>234</v>
      </c>
      <c r="G2983" s="16" t="s">
        <v>255</v>
      </c>
      <c r="H2983" s="16" t="s">
        <v>220</v>
      </c>
      <c r="I2983" s="16" t="s">
        <v>220</v>
      </c>
    </row>
    <row r="2984" ht="242.25" hidden="1" customHeight="1">
      <c r="B2984" s="32" t="str">
        <f>IMAGE("https://gymvisual.com/13309-catalog_default/pistol-squat-to-box.jpg",4,500,500)</f>
        <v/>
      </c>
      <c r="C2984" s="30">
        <v>2983.0</v>
      </c>
      <c r="D2984" s="16" t="s">
        <v>3792</v>
      </c>
      <c r="E2984" s="16" t="s">
        <v>184</v>
      </c>
      <c r="F2984" s="16" t="s">
        <v>285</v>
      </c>
      <c r="G2984" s="16" t="s">
        <v>255</v>
      </c>
      <c r="H2984" s="16" t="s">
        <v>220</v>
      </c>
      <c r="I2984" s="16" t="s">
        <v>220</v>
      </c>
    </row>
    <row r="2985" ht="242.25" hidden="1" customHeight="1">
      <c r="B2985" s="32" t="str">
        <f>IMAGE("https://gymvisual.com/13311-catalog_default/pistol-squat-to-box-female.jpg",4,500,500)</f>
        <v/>
      </c>
      <c r="C2985" s="30">
        <v>2984.0</v>
      </c>
      <c r="D2985" s="16" t="s">
        <v>3793</v>
      </c>
      <c r="E2985" s="16" t="s">
        <v>184</v>
      </c>
      <c r="F2985" s="16" t="s">
        <v>285</v>
      </c>
      <c r="G2985" s="16" t="s">
        <v>255</v>
      </c>
      <c r="H2985" s="16" t="s">
        <v>220</v>
      </c>
      <c r="I2985" s="16" t="s">
        <v>220</v>
      </c>
    </row>
    <row r="2986" ht="242.25" hidden="1" customHeight="1">
      <c r="B2986" s="32" t="str">
        <f>IMAGE("https://gymvisual.com/10227-catalog_default/plank-butt-wrong-right.jpg",4,500,500)</f>
        <v/>
      </c>
      <c r="C2986" s="30">
        <v>2985.0</v>
      </c>
      <c r="D2986" s="16" t="s">
        <v>3794</v>
      </c>
      <c r="E2986" s="16" t="s">
        <v>184</v>
      </c>
      <c r="F2986" s="16" t="s">
        <v>254</v>
      </c>
      <c r="G2986" s="16" t="s">
        <v>255</v>
      </c>
      <c r="H2986" s="16" t="s">
        <v>220</v>
      </c>
      <c r="I2986" s="16" t="s">
        <v>220</v>
      </c>
    </row>
    <row r="2987" ht="242.25" hidden="1" customHeight="1">
      <c r="B2987" s="32" t="str">
        <f>IMAGE("https://gymvisual.com/6456-catalog_default/plank-arm-lifts.jpg",4,500,500)</f>
        <v/>
      </c>
      <c r="C2987" s="30">
        <v>2986.0</v>
      </c>
      <c r="D2987" s="16" t="s">
        <v>3795</v>
      </c>
      <c r="E2987" s="16" t="s">
        <v>184</v>
      </c>
      <c r="F2987" s="16" t="s">
        <v>192</v>
      </c>
      <c r="G2987" s="16" t="s">
        <v>255</v>
      </c>
      <c r="H2987" s="16" t="s">
        <v>256</v>
      </c>
      <c r="I2987" s="16" t="s">
        <v>300</v>
      </c>
    </row>
    <row r="2988" ht="242.25" hidden="1" customHeight="1">
      <c r="B2988" s="32" t="str">
        <f>IMAGE("https://gymvisual.com/24665-catalog_default/plank-jack-female.jpg",4,500,500)</f>
        <v/>
      </c>
      <c r="C2988" s="30">
        <v>2987.0</v>
      </c>
      <c r="D2988" s="16" t="s">
        <v>3796</v>
      </c>
      <c r="E2988" s="16" t="s">
        <v>184</v>
      </c>
      <c r="F2988" s="16" t="s">
        <v>254</v>
      </c>
      <c r="G2988" s="16" t="s">
        <v>255</v>
      </c>
      <c r="H2988" s="16" t="s">
        <v>220</v>
      </c>
      <c r="I2988" s="16" t="s">
        <v>220</v>
      </c>
    </row>
    <row r="2989" ht="242.25" hidden="1" customHeight="1">
      <c r="B2989" s="32" t="str">
        <f>IMAGE("https://gymvisual.com/23575-catalog_default/plank-jack-male.jpg",4,500,500)</f>
        <v/>
      </c>
      <c r="C2989" s="30">
        <v>2988.0</v>
      </c>
      <c r="D2989" s="16" t="s">
        <v>3797</v>
      </c>
      <c r="E2989" s="16" t="s">
        <v>184</v>
      </c>
      <c r="F2989" s="16" t="s">
        <v>254</v>
      </c>
      <c r="G2989" s="16" t="s">
        <v>255</v>
      </c>
      <c r="H2989" s="16" t="s">
        <v>3798</v>
      </c>
      <c r="I2989" s="16" t="s">
        <v>3799</v>
      </c>
    </row>
    <row r="2990" ht="242.25" hidden="1" customHeight="1">
      <c r="B2990" s="32" t="str">
        <f>IMAGE("https://gymvisual.com/23925-catalog_default/plank-jack-slide-with-towel.jpg",4,500,500)</f>
        <v/>
      </c>
      <c r="C2990" s="30">
        <v>2989.0</v>
      </c>
      <c r="D2990" s="16" t="s">
        <v>3800</v>
      </c>
      <c r="E2990" s="16" t="s">
        <v>184</v>
      </c>
      <c r="F2990" s="16" t="s">
        <v>254</v>
      </c>
      <c r="G2990" s="16" t="s">
        <v>255</v>
      </c>
      <c r="H2990" s="16" t="s">
        <v>2845</v>
      </c>
      <c r="I2990" s="16" t="s">
        <v>3801</v>
      </c>
    </row>
    <row r="2991" ht="242.25" hidden="1" customHeight="1">
      <c r="B2991" s="32" t="str">
        <f>IMAGE("https://gymvisual.com/26072-catalog_default/plank-lateral-raise.jpg",4,500,500)</f>
        <v/>
      </c>
      <c r="C2991" s="30">
        <v>2990.0</v>
      </c>
      <c r="D2991" s="16" t="s">
        <v>3802</v>
      </c>
      <c r="E2991" s="16" t="s">
        <v>184</v>
      </c>
      <c r="F2991" s="16" t="s">
        <v>254</v>
      </c>
      <c r="G2991" s="16" t="s">
        <v>255</v>
      </c>
      <c r="H2991" s="16" t="s">
        <v>220</v>
      </c>
      <c r="I2991" s="16" t="s">
        <v>220</v>
      </c>
    </row>
    <row r="2992" ht="242.25" hidden="1" customHeight="1">
      <c r="B2992" s="32" t="str">
        <f>IMAGE("https://gymvisual.com/23927-catalog_default/plank-on-hands.jpg",4,500,500)</f>
        <v/>
      </c>
      <c r="C2992" s="30">
        <v>2991.0</v>
      </c>
      <c r="D2992" s="16" t="s">
        <v>3803</v>
      </c>
      <c r="E2992" s="16" t="s">
        <v>184</v>
      </c>
      <c r="F2992" s="16" t="s">
        <v>254</v>
      </c>
      <c r="G2992" s="16" t="s">
        <v>255</v>
      </c>
      <c r="H2992" s="16" t="s">
        <v>256</v>
      </c>
      <c r="I2992" s="16" t="s">
        <v>3801</v>
      </c>
    </row>
    <row r="2993" ht="242.25" customHeight="1">
      <c r="B2993" s="32" t="str">
        <f>IMAGE("https://gymvisual.com/4605-catalog_default/plate-hyperextension.jpg",4,500,500)</f>
        <v/>
      </c>
      <c r="C2993" s="30">
        <v>2992.0</v>
      </c>
      <c r="D2993" s="16" t="s">
        <v>3804</v>
      </c>
      <c r="E2993" s="16" t="s">
        <v>184</v>
      </c>
      <c r="F2993" s="16" t="s">
        <v>185</v>
      </c>
      <c r="G2993" s="16" t="s">
        <v>396</v>
      </c>
      <c r="H2993" s="16" t="s">
        <v>275</v>
      </c>
      <c r="I2993" s="16" t="s">
        <v>2412</v>
      </c>
    </row>
    <row r="2994" ht="242.25" customHeight="1">
      <c r="B2994" s="32" t="str">
        <f>IMAGE("https://gymvisual.com/2955-catalog_default/plate-pinch.jpg",4,500,500)</f>
        <v/>
      </c>
      <c r="C2994" s="30">
        <v>2993.0</v>
      </c>
      <c r="D2994" s="16" t="s">
        <v>3805</v>
      </c>
      <c r="E2994" s="16" t="s">
        <v>184</v>
      </c>
      <c r="F2994" s="16" t="s">
        <v>214</v>
      </c>
      <c r="G2994" s="16" t="s">
        <v>396</v>
      </c>
      <c r="H2994" s="16" t="s">
        <v>604</v>
      </c>
      <c r="I2994" s="16" t="s">
        <v>3806</v>
      </c>
    </row>
    <row r="2995" ht="242.25" hidden="1" customHeight="1">
      <c r="B2995" s="32" t="str">
        <f>IMAGE("https://gymvisual.com/5995-catalog_default/plyo-push-up.jpg",4,500,500)</f>
        <v/>
      </c>
      <c r="C2995" s="30">
        <v>2994.0</v>
      </c>
      <c r="D2995" s="16" t="s">
        <v>3807</v>
      </c>
      <c r="E2995" s="16" t="s">
        <v>184</v>
      </c>
      <c r="F2995" s="16" t="s">
        <v>234</v>
      </c>
      <c r="G2995" s="16" t="s">
        <v>255</v>
      </c>
      <c r="H2995" s="16" t="s">
        <v>347</v>
      </c>
      <c r="I2995" s="16" t="s">
        <v>3808</v>
      </c>
    </row>
    <row r="2996" ht="242.25" hidden="1" customHeight="1">
      <c r="B2996" s="32" t="str">
        <f>IMAGE("https://gymvisual.com/1943-catalog_default/3-4-sit-up.jpg",4,500,500)</f>
        <v/>
      </c>
      <c r="C2996" s="30">
        <v>2995.0</v>
      </c>
      <c r="D2996" s="16" t="s">
        <v>3809</v>
      </c>
      <c r="E2996" s="16" t="s">
        <v>184</v>
      </c>
      <c r="F2996" s="16" t="s">
        <v>285</v>
      </c>
      <c r="G2996" s="16" t="s">
        <v>255</v>
      </c>
      <c r="H2996" s="16" t="s">
        <v>3810</v>
      </c>
      <c r="I2996" s="16" t="s">
        <v>1115</v>
      </c>
    </row>
    <row r="2997" ht="242.25" hidden="1" customHeight="1">
      <c r="B2997" s="32" t="str">
        <f>IMAGE("https://gymvisual.com/23911-catalog_default/posterior-neck-isometric.jpg",4,500,500)</f>
        <v/>
      </c>
      <c r="C2997" s="30">
        <v>2996.0</v>
      </c>
      <c r="D2997" s="16" t="s">
        <v>3811</v>
      </c>
      <c r="E2997" s="16" t="s">
        <v>184</v>
      </c>
      <c r="F2997" s="16" t="s">
        <v>351</v>
      </c>
      <c r="G2997" s="16" t="s">
        <v>255</v>
      </c>
      <c r="H2997" s="16" t="s">
        <v>3717</v>
      </c>
      <c r="I2997" s="16" t="s">
        <v>220</v>
      </c>
    </row>
    <row r="2998" ht="242.25" hidden="1" customHeight="1">
      <c r="B2998" s="32" t="str">
        <f>IMAGE("https://gymvisual.com/12492-catalog_default/potty-squat.jpg",4,500,500)</f>
        <v/>
      </c>
      <c r="C2998" s="30">
        <v>2997.0</v>
      </c>
      <c r="D2998" s="16" t="s">
        <v>3812</v>
      </c>
      <c r="E2998" s="16" t="s">
        <v>184</v>
      </c>
      <c r="F2998" s="16" t="s">
        <v>254</v>
      </c>
      <c r="G2998" s="16" t="s">
        <v>255</v>
      </c>
      <c r="H2998" s="16" t="s">
        <v>256</v>
      </c>
      <c r="I2998" s="16" t="s">
        <v>257</v>
      </c>
    </row>
    <row r="2999" ht="242.25" hidden="1" customHeight="1">
      <c r="B2999" s="32" t="str">
        <f>IMAGE("https://gymvisual.com/12489-catalog_default/potty-squat-female.jpg",4,500,500)</f>
        <v/>
      </c>
      <c r="C2999" s="30">
        <v>2998.0</v>
      </c>
      <c r="D2999" s="16" t="s">
        <v>3813</v>
      </c>
      <c r="E2999" s="16" t="s">
        <v>184</v>
      </c>
      <c r="F2999" s="16" t="s">
        <v>254</v>
      </c>
      <c r="G2999" s="16" t="s">
        <v>255</v>
      </c>
      <c r="H2999" s="16" t="s">
        <v>256</v>
      </c>
      <c r="I2999" s="16" t="s">
        <v>257</v>
      </c>
    </row>
    <row r="3000" ht="242.25" hidden="1" customHeight="1">
      <c r="B3000" s="32" t="str">
        <f>IMAGE("https://gymvisual.com/12527-catalog_default/potty-squat-with-support.jpg",4,500,500)</f>
        <v/>
      </c>
      <c r="C3000" s="30">
        <v>2999.0</v>
      </c>
      <c r="D3000" s="16" t="s">
        <v>3814</v>
      </c>
      <c r="E3000" s="16" t="s">
        <v>184</v>
      </c>
      <c r="F3000" s="16" t="s">
        <v>185</v>
      </c>
      <c r="G3000" s="16" t="s">
        <v>255</v>
      </c>
      <c r="H3000" s="16" t="s">
        <v>189</v>
      </c>
      <c r="I3000" s="16" t="s">
        <v>190</v>
      </c>
    </row>
    <row r="3001" ht="242.25" hidden="1" customHeight="1">
      <c r="B3001" s="32" t="str">
        <f>IMAGE("https://gymvisual.com/12526-catalog_default/potty-squat-with-support-female.jpg",4,500,500)</f>
        <v/>
      </c>
      <c r="C3001" s="30">
        <v>3000.0</v>
      </c>
      <c r="D3001" s="16" t="s">
        <v>3815</v>
      </c>
      <c r="E3001" s="16" t="s">
        <v>184</v>
      </c>
      <c r="F3001" s="16" t="s">
        <v>185</v>
      </c>
      <c r="G3001" s="16" t="s">
        <v>255</v>
      </c>
      <c r="H3001" s="16" t="s">
        <v>189</v>
      </c>
      <c r="I3001" s="16" t="s">
        <v>190</v>
      </c>
    </row>
    <row r="3002" ht="242.25" customHeight="1">
      <c r="A3002" s="32" t="b">
        <v>0</v>
      </c>
      <c r="B3002" s="32" t="str">
        <f>IMAGE("https://gymvisual.com/20636-catalog_default/3-4-sit-up.jpg",4,500,500)</f>
        <v/>
      </c>
      <c r="C3002" s="30">
        <v>3001.0</v>
      </c>
      <c r="D3002" s="16" t="s">
        <v>3816</v>
      </c>
      <c r="E3002" s="16" t="s">
        <v>184</v>
      </c>
      <c r="F3002" s="16" t="s">
        <v>285</v>
      </c>
      <c r="G3002" s="16" t="s">
        <v>186</v>
      </c>
      <c r="H3002" s="16" t="s">
        <v>795</v>
      </c>
      <c r="I3002" s="16" t="s">
        <v>220</v>
      </c>
    </row>
    <row r="3003" ht="242.25" hidden="1" customHeight="1">
      <c r="B3003" s="32" t="str">
        <f>IMAGE("https://gymvisual.com/14450-catalog_default/power-point-plank.jpg",4,500,500)</f>
        <v/>
      </c>
      <c r="C3003" s="30">
        <v>3002.0</v>
      </c>
      <c r="D3003" s="16" t="s">
        <v>3817</v>
      </c>
      <c r="E3003" s="16" t="s">
        <v>184</v>
      </c>
      <c r="F3003" s="16" t="s">
        <v>285</v>
      </c>
      <c r="G3003" s="16" t="s">
        <v>255</v>
      </c>
      <c r="H3003" s="16" t="s">
        <v>3818</v>
      </c>
      <c r="I3003" s="16" t="s">
        <v>220</v>
      </c>
    </row>
    <row r="3004" ht="242.25" hidden="1" customHeight="1">
      <c r="B3004" s="32" t="str">
        <f>IMAGE("https://gymvisual.com/14137-catalog_default/power-push-aways.jpg",4,500,500)</f>
        <v/>
      </c>
      <c r="C3004" s="30">
        <v>3003.0</v>
      </c>
      <c r="D3004" s="16" t="s">
        <v>3819</v>
      </c>
      <c r="E3004" s="16" t="s">
        <v>184</v>
      </c>
      <c r="F3004" s="16" t="s">
        <v>1888</v>
      </c>
      <c r="G3004" s="16" t="s">
        <v>255</v>
      </c>
      <c r="H3004" s="16" t="s">
        <v>3820</v>
      </c>
      <c r="I3004" s="16" t="s">
        <v>3821</v>
      </c>
    </row>
    <row r="3005" ht="242.25" customHeight="1">
      <c r="B3005" s="32" t="str">
        <f>IMAGE("https://gymvisual.com/12169-catalog_default/power-sled-backward-push.jpg",4,500,500)</f>
        <v/>
      </c>
      <c r="C3005" s="30">
        <v>3004.0</v>
      </c>
      <c r="D3005" s="16" t="s">
        <v>3822</v>
      </c>
      <c r="E3005" s="16" t="s">
        <v>184</v>
      </c>
      <c r="F3005" s="16" t="s">
        <v>285</v>
      </c>
      <c r="G3005" s="16" t="s">
        <v>3823</v>
      </c>
      <c r="H3005" s="16" t="s">
        <v>220</v>
      </c>
      <c r="I3005" s="16" t="s">
        <v>220</v>
      </c>
    </row>
    <row r="3006" ht="242.25" customHeight="1">
      <c r="B3006" s="32" t="str">
        <f>IMAGE("https://gymvisual.com/12163-catalog_default/power-sled-biceps-curl.jpg",4,500,500)</f>
        <v/>
      </c>
      <c r="C3006" s="30">
        <v>3005.0</v>
      </c>
      <c r="D3006" s="16" t="s">
        <v>3824</v>
      </c>
      <c r="E3006" s="16" t="s">
        <v>184</v>
      </c>
      <c r="F3006" s="16" t="s">
        <v>219</v>
      </c>
      <c r="G3006" s="16" t="s">
        <v>3823</v>
      </c>
      <c r="H3006" s="16" t="s">
        <v>220</v>
      </c>
      <c r="I3006" s="16" t="s">
        <v>220</v>
      </c>
    </row>
    <row r="3007" ht="242.25" customHeight="1">
      <c r="B3007" s="32" t="str">
        <f>IMAGE("https://gymvisual.com/24675-catalog_default/power-sled-drag.jpg",4,500,500)</f>
        <v/>
      </c>
      <c r="C3007" s="30">
        <v>3006.0</v>
      </c>
      <c r="D3007" s="16" t="s">
        <v>3825</v>
      </c>
      <c r="E3007" s="16" t="s">
        <v>184</v>
      </c>
      <c r="F3007" s="16" t="s">
        <v>764</v>
      </c>
      <c r="G3007" s="16" t="s">
        <v>3823</v>
      </c>
      <c r="H3007" s="16" t="s">
        <v>220</v>
      </c>
      <c r="I3007" s="16" t="s">
        <v>220</v>
      </c>
    </row>
    <row r="3008" ht="242.25" customHeight="1">
      <c r="B3008" s="32" t="str">
        <f>IMAGE("https://gymvisual.com/12171-catalog_default/power-sled-high-pull.jpg",4,500,500)</f>
        <v/>
      </c>
      <c r="C3008" s="30">
        <v>3007.0</v>
      </c>
      <c r="D3008" s="16" t="s">
        <v>3826</v>
      </c>
      <c r="E3008" s="16" t="s">
        <v>184</v>
      </c>
      <c r="F3008" s="16" t="s">
        <v>228</v>
      </c>
      <c r="G3008" s="16" t="s">
        <v>3823</v>
      </c>
      <c r="H3008" s="16" t="s">
        <v>220</v>
      </c>
      <c r="I3008" s="16" t="s">
        <v>220</v>
      </c>
    </row>
    <row r="3009" ht="242.25" customHeight="1">
      <c r="B3009" s="32" t="str">
        <f>IMAGE("https://gymvisual.com/11248-catalog_default/power-sled-pull-row-female.jpg",4,500,500)</f>
        <v/>
      </c>
      <c r="C3009" s="30">
        <v>3008.0</v>
      </c>
      <c r="D3009" s="16" t="s">
        <v>3827</v>
      </c>
      <c r="E3009" s="16" t="s">
        <v>184</v>
      </c>
      <c r="F3009" s="16" t="s">
        <v>484</v>
      </c>
      <c r="G3009" s="16" t="s">
        <v>3823</v>
      </c>
      <c r="H3009" s="16" t="s">
        <v>220</v>
      </c>
      <c r="I3009" s="16" t="s">
        <v>220</v>
      </c>
    </row>
    <row r="3010" ht="242.25" customHeight="1">
      <c r="B3010" s="32" t="str">
        <f>IMAGE("https://gymvisual.com/10677-catalog_default/power-sled-push-female.jpg",4,500,500)</f>
        <v/>
      </c>
      <c r="C3010" s="30">
        <v>3009.0</v>
      </c>
      <c r="D3010" s="16" t="s">
        <v>3828</v>
      </c>
      <c r="E3010" s="16" t="s">
        <v>184</v>
      </c>
      <c r="F3010" s="16" t="s">
        <v>285</v>
      </c>
      <c r="G3010" s="16" t="s">
        <v>3823</v>
      </c>
      <c r="H3010" s="16" t="s">
        <v>3829</v>
      </c>
      <c r="I3010" s="16" t="s">
        <v>220</v>
      </c>
    </row>
    <row r="3011" ht="242.25" customHeight="1">
      <c r="B3011" s="32" t="str">
        <f>IMAGE("https://gymvisual.com/12166-catalog_default/power-sled-rear-batwing.jpg",4,500,500)</f>
        <v/>
      </c>
      <c r="C3011" s="30">
        <v>3010.0</v>
      </c>
      <c r="D3011" s="16" t="s">
        <v>3830</v>
      </c>
      <c r="E3011" s="16" t="s">
        <v>184</v>
      </c>
      <c r="F3011" s="16" t="s">
        <v>285</v>
      </c>
      <c r="G3011" s="16" t="s">
        <v>3823</v>
      </c>
      <c r="H3011" s="16" t="s">
        <v>220</v>
      </c>
      <c r="I3011" s="16" t="s">
        <v>220</v>
      </c>
    </row>
    <row r="3012" ht="242.25" customHeight="1">
      <c r="B3012" s="32" t="str">
        <f>IMAGE("https://gymvisual.com/12168-catalog_default/power-sled-rear-drag.jpg",4,500,500)</f>
        <v/>
      </c>
      <c r="C3012" s="30">
        <v>3011.0</v>
      </c>
      <c r="D3012" s="16" t="s">
        <v>3831</v>
      </c>
      <c r="E3012" s="16" t="s">
        <v>184</v>
      </c>
      <c r="F3012" s="16" t="s">
        <v>285</v>
      </c>
      <c r="G3012" s="16" t="s">
        <v>3823</v>
      </c>
      <c r="H3012" s="16" t="s">
        <v>220</v>
      </c>
      <c r="I3012" s="16" t="s">
        <v>220</v>
      </c>
    </row>
    <row r="3013" ht="242.25" customHeight="1">
      <c r="B3013" s="32" t="str">
        <f>IMAGE("https://gymvisual.com/12167-catalog_default/power-sled-rear-fly.jpg",4,500,500)</f>
        <v/>
      </c>
      <c r="C3013" s="30">
        <v>3012.0</v>
      </c>
      <c r="D3013" s="16" t="s">
        <v>3832</v>
      </c>
      <c r="E3013" s="16" t="s">
        <v>184</v>
      </c>
      <c r="F3013" s="16" t="s">
        <v>228</v>
      </c>
      <c r="G3013" s="16" t="s">
        <v>3823</v>
      </c>
      <c r="H3013" s="16" t="s">
        <v>220</v>
      </c>
      <c r="I3013" s="16" t="s">
        <v>220</v>
      </c>
    </row>
    <row r="3014" ht="242.25" customHeight="1">
      <c r="B3014" s="32" t="str">
        <f>IMAGE("https://gymvisual.com/11984-catalog_default/power-sled-rear-lunge.jpg",4,500,500)</f>
        <v/>
      </c>
      <c r="C3014" s="30">
        <v>3013.0</v>
      </c>
      <c r="D3014" s="16" t="s">
        <v>3833</v>
      </c>
      <c r="E3014" s="16" t="s">
        <v>184</v>
      </c>
      <c r="F3014" s="16" t="s">
        <v>285</v>
      </c>
      <c r="G3014" s="16" t="s">
        <v>3823</v>
      </c>
      <c r="H3014" s="16" t="s">
        <v>220</v>
      </c>
      <c r="I3014" s="16" t="s">
        <v>220</v>
      </c>
    </row>
    <row r="3015" ht="242.25" customHeight="1">
      <c r="B3015" s="32" t="str">
        <f>IMAGE("https://gymvisual.com/12165-catalog_default/power-sled-rear-lunge.jpg",4,500,500)</f>
        <v/>
      </c>
      <c r="C3015" s="30">
        <v>3014.0</v>
      </c>
      <c r="D3015" s="16" t="s">
        <v>3833</v>
      </c>
      <c r="E3015" s="16" t="s">
        <v>184</v>
      </c>
      <c r="F3015" s="16" t="s">
        <v>185</v>
      </c>
      <c r="G3015" s="16" t="s">
        <v>3823</v>
      </c>
      <c r="H3015" s="16" t="s">
        <v>220</v>
      </c>
      <c r="I3015" s="16" t="s">
        <v>220</v>
      </c>
    </row>
    <row r="3016" ht="242.25" customHeight="1">
      <c r="B3016" s="32" t="str">
        <f>IMAGE("https://gymvisual.com/11983-catalog_default/power-sled-rear-lunge-female.jpg",4,500,500)</f>
        <v/>
      </c>
      <c r="C3016" s="30">
        <v>3015.0</v>
      </c>
      <c r="D3016" s="16" t="s">
        <v>3834</v>
      </c>
      <c r="E3016" s="16" t="s">
        <v>184</v>
      </c>
      <c r="F3016" s="16" t="s">
        <v>285</v>
      </c>
      <c r="G3016" s="16" t="s">
        <v>3823</v>
      </c>
      <c r="H3016" s="16" t="s">
        <v>220</v>
      </c>
      <c r="I3016" s="16" t="s">
        <v>220</v>
      </c>
    </row>
    <row r="3017" ht="242.25" customHeight="1">
      <c r="B3017" s="32" t="str">
        <f>IMAGE("https://gymvisual.com/12164-catalog_default/power-sled-rear-lunge-row.jpg",4,500,500)</f>
        <v/>
      </c>
      <c r="C3017" s="30">
        <v>3016.0</v>
      </c>
      <c r="D3017" s="16" t="s">
        <v>3835</v>
      </c>
      <c r="E3017" s="16" t="s">
        <v>184</v>
      </c>
      <c r="F3017" s="16" t="s">
        <v>192</v>
      </c>
      <c r="G3017" s="16" t="s">
        <v>3823</v>
      </c>
      <c r="H3017" s="16" t="s">
        <v>220</v>
      </c>
      <c r="I3017" s="16" t="s">
        <v>220</v>
      </c>
    </row>
    <row r="3018" ht="242.25" customHeight="1">
      <c r="B3018" s="32" t="str">
        <f>IMAGE("https://gymvisual.com/17939-catalog_default/power-sled-triceps-extension-male.jpg",4,500,500)</f>
        <v/>
      </c>
      <c r="C3018" s="30">
        <v>3017.0</v>
      </c>
      <c r="D3018" s="16" t="s">
        <v>3836</v>
      </c>
      <c r="E3018" s="16" t="s">
        <v>184</v>
      </c>
      <c r="F3018" s="16" t="s">
        <v>219</v>
      </c>
      <c r="G3018" s="16" t="s">
        <v>3823</v>
      </c>
      <c r="H3018" s="16" t="s">
        <v>220</v>
      </c>
      <c r="I3018" s="16" t="s">
        <v>220</v>
      </c>
    </row>
    <row r="3019" ht="242.25" hidden="1" customHeight="1">
      <c r="B3019" s="32" t="str">
        <f>IMAGE("https://gymvisual.com/23677-catalog_default/prayer-push-female.jpg",4,500,500)</f>
        <v/>
      </c>
      <c r="C3019" s="30">
        <v>3018.0</v>
      </c>
      <c r="D3019" s="16" t="s">
        <v>3837</v>
      </c>
      <c r="E3019" s="16" t="s">
        <v>184</v>
      </c>
      <c r="F3019" s="16" t="s">
        <v>228</v>
      </c>
      <c r="G3019" s="16" t="s">
        <v>255</v>
      </c>
      <c r="H3019" s="16" t="s">
        <v>454</v>
      </c>
      <c r="I3019" s="16" t="s">
        <v>3448</v>
      </c>
    </row>
    <row r="3020" ht="242.25" customHeight="1">
      <c r="B3020" s="32" t="str">
        <f>IMAGE("https://gymvisual.com/10196-catalog_default/preacher-curl-wrists-wrong-right.jpg",4,500,500)</f>
        <v/>
      </c>
      <c r="C3020" s="30">
        <v>3019.0</v>
      </c>
      <c r="D3020" s="16" t="s">
        <v>3838</v>
      </c>
      <c r="E3020" s="16" t="s">
        <v>184</v>
      </c>
      <c r="F3020" s="16" t="s">
        <v>219</v>
      </c>
      <c r="G3020" s="16" t="s">
        <v>2745</v>
      </c>
      <c r="H3020" s="16" t="s">
        <v>220</v>
      </c>
      <c r="I3020" s="16" t="s">
        <v>220</v>
      </c>
    </row>
    <row r="3021" ht="242.25" hidden="1" customHeight="1">
      <c r="B3021" s="32" t="str">
        <f>IMAGE("https://gymvisual.com/24055-catalog_default/press-under.jpg",4,500,500)</f>
        <v/>
      </c>
      <c r="C3021" s="30">
        <v>3020.0</v>
      </c>
      <c r="D3021" s="16" t="s">
        <v>3839</v>
      </c>
      <c r="E3021" s="16" t="s">
        <v>184</v>
      </c>
      <c r="F3021" s="16" t="s">
        <v>764</v>
      </c>
      <c r="G3021" s="16" t="s">
        <v>255</v>
      </c>
      <c r="H3021" s="16" t="s">
        <v>220</v>
      </c>
      <c r="I3021" s="16" t="s">
        <v>220</v>
      </c>
    </row>
    <row r="3022" ht="242.25" hidden="1" customHeight="1">
      <c r="B3022" s="32" t="str">
        <f>IMAGE("https://gymvisual.com/19445-catalog_default/prisoner-get-up.jpg",4,500,500)</f>
        <v/>
      </c>
      <c r="C3022" s="30">
        <v>3021.0</v>
      </c>
      <c r="D3022" s="16" t="s">
        <v>3840</v>
      </c>
      <c r="E3022" s="16" t="s">
        <v>184</v>
      </c>
      <c r="F3022" s="16" t="s">
        <v>285</v>
      </c>
      <c r="G3022" s="16" t="s">
        <v>255</v>
      </c>
      <c r="H3022" s="16" t="s">
        <v>220</v>
      </c>
      <c r="I3022" s="16" t="s">
        <v>220</v>
      </c>
    </row>
    <row r="3023" ht="242.25" hidden="1" customHeight="1">
      <c r="B3023" s="32" t="str">
        <f>IMAGE("https://gymvisual.com/12881-catalog_default/prisoner-half-sit-up-male.jpg",4,500,500)</f>
        <v/>
      </c>
      <c r="C3023" s="30">
        <v>3022.0</v>
      </c>
      <c r="D3023" s="16" t="s">
        <v>3841</v>
      </c>
      <c r="E3023" s="16" t="s">
        <v>184</v>
      </c>
      <c r="F3023" s="16" t="s">
        <v>254</v>
      </c>
      <c r="G3023" s="16" t="s">
        <v>255</v>
      </c>
      <c r="H3023" s="16" t="s">
        <v>305</v>
      </c>
      <c r="I3023" s="16" t="s">
        <v>3842</v>
      </c>
    </row>
    <row r="3024" ht="242.25" hidden="1" customHeight="1">
      <c r="B3024" s="32" t="str">
        <f>IMAGE("https://gymvisual.com/6827-catalog_default/prisoner-squat.jpg",4,500,500)</f>
        <v/>
      </c>
      <c r="C3024" s="30">
        <v>3023.0</v>
      </c>
      <c r="D3024" s="16" t="s">
        <v>3843</v>
      </c>
      <c r="E3024" s="16" t="s">
        <v>184</v>
      </c>
      <c r="F3024" s="16" t="s">
        <v>285</v>
      </c>
      <c r="G3024" s="16" t="s">
        <v>255</v>
      </c>
      <c r="H3024" s="16" t="s">
        <v>220</v>
      </c>
      <c r="I3024" s="16" t="s">
        <v>220</v>
      </c>
    </row>
    <row r="3025" ht="242.25" hidden="1" customHeight="1">
      <c r="B3025" s="32" t="str">
        <f>IMAGE("https://gymvisual.com/24089-catalog_default/prone-cervical-extension.jpg",4,500,500)</f>
        <v/>
      </c>
      <c r="C3025" s="30">
        <v>3024.0</v>
      </c>
      <c r="D3025" s="16" t="s">
        <v>3844</v>
      </c>
      <c r="E3025" s="16" t="s">
        <v>184</v>
      </c>
      <c r="F3025" s="16" t="s">
        <v>351</v>
      </c>
      <c r="G3025" s="16" t="s">
        <v>255</v>
      </c>
      <c r="H3025" s="16" t="s">
        <v>220</v>
      </c>
      <c r="I3025" s="16" t="s">
        <v>220</v>
      </c>
    </row>
    <row r="3026" ht="242.25" hidden="1" customHeight="1">
      <c r="B3026" s="32" t="str">
        <f>IMAGE("https://gymvisual.com/24091-catalog_default/prone-cervical-extension-isometric-hold.jpg",4,500,500)</f>
        <v/>
      </c>
      <c r="C3026" s="30">
        <v>3025.0</v>
      </c>
      <c r="D3026" s="16" t="s">
        <v>3845</v>
      </c>
      <c r="E3026" s="16" t="s">
        <v>184</v>
      </c>
      <c r="F3026" s="16" t="s">
        <v>351</v>
      </c>
      <c r="G3026" s="16" t="s">
        <v>255</v>
      </c>
      <c r="H3026" s="16" t="s">
        <v>220</v>
      </c>
      <c r="I3026" s="16" t="s">
        <v>220</v>
      </c>
    </row>
    <row r="3027" ht="242.25" hidden="1" customHeight="1">
      <c r="B3027" s="32" t="str">
        <f>IMAGE("https://gymvisual.com/12205-catalog_default/prone-single-arm-trap-raise.jpg",4,500,500)</f>
        <v/>
      </c>
      <c r="C3027" s="30">
        <v>3026.0</v>
      </c>
      <c r="D3027" s="16" t="s">
        <v>3846</v>
      </c>
      <c r="E3027" s="16" t="s">
        <v>184</v>
      </c>
      <c r="F3027" s="16" t="s">
        <v>192</v>
      </c>
      <c r="G3027" s="16" t="s">
        <v>255</v>
      </c>
      <c r="H3027" s="16" t="s">
        <v>220</v>
      </c>
      <c r="I3027" s="16" t="s">
        <v>220</v>
      </c>
    </row>
    <row r="3028" ht="242.25" customHeight="1">
      <c r="B3028" s="32" t="str">
        <f>IMAGE("https://gymvisual.com/7373-catalog_default/prone-twist-on-stability-ball.jpg",4,500,500)</f>
        <v/>
      </c>
      <c r="C3028" s="30">
        <v>3027.0</v>
      </c>
      <c r="D3028" s="16" t="s">
        <v>3847</v>
      </c>
      <c r="E3028" s="16" t="s">
        <v>184</v>
      </c>
      <c r="F3028" s="16" t="s">
        <v>254</v>
      </c>
      <c r="G3028" s="16" t="s">
        <v>399</v>
      </c>
      <c r="H3028" s="16" t="s">
        <v>220</v>
      </c>
      <c r="I3028" s="16" t="s">
        <v>220</v>
      </c>
    </row>
    <row r="3029" ht="242.25" hidden="1" customHeight="1">
      <c r="B3029" s="32" t="str">
        <f>IMAGE("https://gymvisual.com/25671-catalog_default/prone-y-raise-male.jpg",4,500,500)</f>
        <v/>
      </c>
      <c r="C3029" s="30">
        <v>3028.0</v>
      </c>
      <c r="D3029" s="16" t="s">
        <v>3848</v>
      </c>
      <c r="E3029" s="16" t="s">
        <v>184</v>
      </c>
      <c r="F3029" s="16" t="s">
        <v>192</v>
      </c>
      <c r="G3029" s="16" t="s">
        <v>255</v>
      </c>
      <c r="H3029" s="16" t="s">
        <v>220</v>
      </c>
      <c r="I3029" s="16" t="s">
        <v>220</v>
      </c>
    </row>
    <row r="3030" ht="242.25" hidden="1" customHeight="1">
      <c r="B3030" s="32" t="str">
        <f>IMAGE("https://gymvisual.com/22710-catalog_default/pseudo-planche-push-up.jpg",4,500,500)</f>
        <v/>
      </c>
      <c r="C3030" s="30">
        <v>3029.0</v>
      </c>
      <c r="D3030" s="16" t="s">
        <v>3849</v>
      </c>
      <c r="E3030" s="16" t="s">
        <v>184</v>
      </c>
      <c r="F3030" s="16" t="s">
        <v>234</v>
      </c>
      <c r="G3030" s="16" t="s">
        <v>255</v>
      </c>
      <c r="H3030" s="16" t="s">
        <v>3850</v>
      </c>
      <c r="I3030" s="16" t="s">
        <v>3851</v>
      </c>
    </row>
    <row r="3031" ht="242.25" hidden="1" customHeight="1">
      <c r="B3031" s="32" t="str">
        <f>IMAGE("https://gymvisual.com/1953-catalog_default/3-4-sit-up.jpg",4,500,500)</f>
        <v/>
      </c>
      <c r="C3031" s="30">
        <v>3030.0</v>
      </c>
      <c r="D3031" s="16" t="s">
        <v>3852</v>
      </c>
      <c r="E3031" s="16" t="s">
        <v>184</v>
      </c>
      <c r="F3031" s="16" t="s">
        <v>192</v>
      </c>
      <c r="G3031" s="16" t="s">
        <v>255</v>
      </c>
      <c r="H3031" s="16" t="s">
        <v>300</v>
      </c>
      <c r="I3031" s="16" t="s">
        <v>3853</v>
      </c>
    </row>
    <row r="3032" ht="242.25" customHeight="1">
      <c r="B3032" s="32" t="str">
        <f>IMAGE("https://gymvisual.com/1950-catalog_default/3-4-sit-up.jpg",4,500,500)</f>
        <v/>
      </c>
      <c r="C3032" s="30">
        <v>3031.0</v>
      </c>
      <c r="D3032" s="16" t="s">
        <v>3854</v>
      </c>
      <c r="E3032" s="16" t="s">
        <v>184</v>
      </c>
      <c r="F3032" s="16" t="s">
        <v>254</v>
      </c>
      <c r="G3032" s="16" t="s">
        <v>399</v>
      </c>
      <c r="H3032" s="16" t="s">
        <v>305</v>
      </c>
      <c r="I3032" s="16" t="s">
        <v>3855</v>
      </c>
    </row>
    <row r="3033" ht="242.25" hidden="1" customHeight="1">
      <c r="B3033" s="32" t="str">
        <f>IMAGE("https://gymvisual.com/1956-catalog_default/3-4-sit-up.jpg",4,500,500)</f>
        <v/>
      </c>
      <c r="C3033" s="30">
        <v>3032.0</v>
      </c>
      <c r="D3033" s="16" t="s">
        <v>3856</v>
      </c>
      <c r="E3033" s="16" t="s">
        <v>184</v>
      </c>
      <c r="F3033" s="16" t="s">
        <v>192</v>
      </c>
      <c r="G3033" s="16" t="s">
        <v>255</v>
      </c>
      <c r="H3033" s="16" t="s">
        <v>300</v>
      </c>
      <c r="I3033" s="16" t="s">
        <v>387</v>
      </c>
    </row>
    <row r="3034" ht="242.25" hidden="1" customHeight="1">
      <c r="B3034" s="32" t="str">
        <f>IMAGE("https://gymvisual.com/22289-catalog_default/pull-up-negative-female.jpg",4,500,500)</f>
        <v/>
      </c>
      <c r="C3034" s="30">
        <v>3033.0</v>
      </c>
      <c r="D3034" s="16" t="s">
        <v>3857</v>
      </c>
      <c r="E3034" s="16" t="s">
        <v>184</v>
      </c>
      <c r="F3034" s="16" t="s">
        <v>192</v>
      </c>
      <c r="G3034" s="16" t="s">
        <v>255</v>
      </c>
      <c r="H3034" s="16" t="s">
        <v>220</v>
      </c>
      <c r="I3034" s="16" t="s">
        <v>220</v>
      </c>
    </row>
    <row r="3035" ht="242.25" hidden="1" customHeight="1">
      <c r="B3035" s="32" t="str">
        <f>IMAGE("https://gymvisual.com/13990-catalog_default/pull-up-with-bent-knee-between-chairs.jpg",4,500,500)</f>
        <v/>
      </c>
      <c r="C3035" s="30">
        <v>3034.0</v>
      </c>
      <c r="D3035" s="16" t="s">
        <v>3858</v>
      </c>
      <c r="E3035" s="16" t="s">
        <v>184</v>
      </c>
      <c r="F3035" s="16" t="s">
        <v>192</v>
      </c>
      <c r="G3035" s="16" t="s">
        <v>255</v>
      </c>
      <c r="H3035" s="16" t="s">
        <v>300</v>
      </c>
      <c r="I3035" s="16" t="s">
        <v>445</v>
      </c>
    </row>
    <row r="3036" ht="242.25" hidden="1" customHeight="1">
      <c r="B3036" s="32" t="str">
        <f>IMAGE("https://gymvisual.com/12188-catalog_default/pulse-row-female.jpg",4,500,500)</f>
        <v/>
      </c>
      <c r="C3036" s="30">
        <v>3035.0</v>
      </c>
      <c r="D3036" s="16" t="s">
        <v>3859</v>
      </c>
      <c r="E3036" s="16" t="s">
        <v>184</v>
      </c>
      <c r="F3036" s="16" t="s">
        <v>192</v>
      </c>
      <c r="G3036" s="16" t="s">
        <v>255</v>
      </c>
      <c r="H3036" s="16" t="s">
        <v>570</v>
      </c>
      <c r="I3036" s="16" t="s">
        <v>447</v>
      </c>
    </row>
    <row r="3037" ht="242.25" hidden="1" customHeight="1">
      <c r="B3037" s="32" t="str">
        <f>IMAGE("https://gymvisual.com/22576-catalog_default/pulse-row-male.jpg",4,500,500)</f>
        <v/>
      </c>
      <c r="C3037" s="30">
        <v>3036.0</v>
      </c>
      <c r="D3037" s="16" t="s">
        <v>3860</v>
      </c>
      <c r="E3037" s="16" t="s">
        <v>184</v>
      </c>
      <c r="F3037" s="16" t="s">
        <v>192</v>
      </c>
      <c r="G3037" s="16" t="s">
        <v>255</v>
      </c>
      <c r="H3037" s="16" t="s">
        <v>731</v>
      </c>
      <c r="I3037" s="16" t="s">
        <v>408</v>
      </c>
    </row>
    <row r="3038" ht="242.25" hidden="1" customHeight="1">
      <c r="B3038" s="32" t="str">
        <f>IMAGE("https://gymvisual.com/13936-catalog_default/pulse-up.jpg",4,500,500)</f>
        <v/>
      </c>
      <c r="C3038" s="30">
        <v>3037.0</v>
      </c>
      <c r="D3038" s="16" t="s">
        <v>3861</v>
      </c>
      <c r="E3038" s="16" t="s">
        <v>184</v>
      </c>
      <c r="F3038" s="16" t="s">
        <v>254</v>
      </c>
      <c r="G3038" s="16" t="s">
        <v>255</v>
      </c>
      <c r="H3038" s="16" t="s">
        <v>256</v>
      </c>
      <c r="I3038" s="16" t="s">
        <v>3862</v>
      </c>
    </row>
    <row r="3039" ht="242.25" customHeight="1">
      <c r="A3039" s="32" t="b">
        <v>0</v>
      </c>
      <c r="B3039" s="32" t="str">
        <f>IMAGE("https://gymvisual.com/4568-catalog_default/push-press.jpg",4,500,500)</f>
        <v/>
      </c>
      <c r="C3039" s="30">
        <v>3038.0</v>
      </c>
      <c r="D3039" s="16" t="s">
        <v>3863</v>
      </c>
      <c r="E3039" s="16" t="s">
        <v>184</v>
      </c>
      <c r="F3039" s="16" t="s">
        <v>228</v>
      </c>
      <c r="G3039" s="16" t="s">
        <v>186</v>
      </c>
      <c r="H3039" s="16" t="s">
        <v>3864</v>
      </c>
      <c r="I3039" s="16" t="s">
        <v>220</v>
      </c>
    </row>
    <row r="3040" ht="242.25" customHeight="1">
      <c r="B3040" s="32" t="str">
        <f>IMAGE("https://gymvisual.com/11534-catalog_default/push-up-on-stability-ball-female.jpg",4,500,500)</f>
        <v/>
      </c>
      <c r="C3040" s="30">
        <v>3039.0</v>
      </c>
      <c r="D3040" s="16" t="s">
        <v>3865</v>
      </c>
      <c r="E3040" s="16" t="s">
        <v>184</v>
      </c>
      <c r="F3040" s="16" t="s">
        <v>234</v>
      </c>
      <c r="G3040" s="16" t="s">
        <v>399</v>
      </c>
      <c r="H3040" s="16" t="s">
        <v>220</v>
      </c>
      <c r="I3040" s="16" t="s">
        <v>220</v>
      </c>
    </row>
    <row r="3041" ht="242.25" customHeight="1">
      <c r="B3041" s="32" t="str">
        <f>IMAGE("https://gymvisual.com/5996-catalog_default/push-up-on-bosu-ball.jpg",4,500,500)</f>
        <v/>
      </c>
      <c r="C3041" s="30">
        <v>3040.0</v>
      </c>
      <c r="D3041" s="16" t="s">
        <v>3866</v>
      </c>
      <c r="E3041" s="16" t="s">
        <v>184</v>
      </c>
      <c r="F3041" s="16" t="s">
        <v>234</v>
      </c>
      <c r="G3041" s="16" t="s">
        <v>316</v>
      </c>
      <c r="H3041" s="16" t="s">
        <v>347</v>
      </c>
      <c r="I3041" s="16" t="s">
        <v>3020</v>
      </c>
    </row>
    <row r="3042" ht="242.25" hidden="1" customHeight="1">
      <c r="B3042" s="32" t="str">
        <f>IMAGE("https://gymvisual.com/18740-catalog_default/push-with-chair.jpg",4,500,500)</f>
        <v/>
      </c>
      <c r="C3042" s="30">
        <v>3041.0</v>
      </c>
      <c r="D3042" s="16" t="s">
        <v>3867</v>
      </c>
      <c r="E3042" s="16" t="s">
        <v>184</v>
      </c>
      <c r="F3042" s="16" t="s">
        <v>234</v>
      </c>
      <c r="G3042" s="16" t="s">
        <v>255</v>
      </c>
      <c r="H3042" s="16" t="s">
        <v>220</v>
      </c>
      <c r="I3042" s="16" t="s">
        <v>220</v>
      </c>
    </row>
    <row r="3043" ht="242.25" hidden="1" customHeight="1">
      <c r="B3043" s="32" t="str">
        <f>IMAGE("https://gymvisual.com/10080-catalog_default/3-4-sit-up.jpg",4,500,500)</f>
        <v/>
      </c>
      <c r="C3043" s="30">
        <v>3042.0</v>
      </c>
      <c r="D3043" s="16" t="s">
        <v>3868</v>
      </c>
      <c r="E3043" s="16" t="s">
        <v>184</v>
      </c>
      <c r="F3043" s="16" t="s">
        <v>234</v>
      </c>
      <c r="G3043" s="16" t="s">
        <v>255</v>
      </c>
      <c r="H3043" s="16" t="s">
        <v>347</v>
      </c>
      <c r="I3043" s="16" t="s">
        <v>382</v>
      </c>
    </row>
    <row r="3044" ht="242.25" hidden="1" customHeight="1">
      <c r="B3044" s="32" t="str">
        <f>IMAGE("https://gymvisual.com/1995-catalog_default/3-4-sit-up.jpg",4,500,500)</f>
        <v/>
      </c>
      <c r="C3044" s="30">
        <v>3043.0</v>
      </c>
      <c r="D3044" s="16" t="s">
        <v>3868</v>
      </c>
      <c r="E3044" s="16" t="s">
        <v>184</v>
      </c>
      <c r="F3044" s="16" t="s">
        <v>234</v>
      </c>
      <c r="G3044" s="16" t="s">
        <v>255</v>
      </c>
      <c r="H3044" s="16" t="s">
        <v>347</v>
      </c>
      <c r="I3044" s="16" t="s">
        <v>382</v>
      </c>
    </row>
    <row r="3045" ht="242.25" customHeight="1">
      <c r="B3045" s="32" t="str">
        <f>IMAGE("https://gymvisual.com/20755-catalog_default/3-4-sit-up.jpg",4,500,500)</f>
        <v/>
      </c>
      <c r="C3045" s="30">
        <v>3044.0</v>
      </c>
      <c r="D3045" s="16" t="s">
        <v>3869</v>
      </c>
      <c r="E3045" s="16" t="s">
        <v>184</v>
      </c>
      <c r="F3045" s="16" t="s">
        <v>234</v>
      </c>
      <c r="G3045" s="16" t="s">
        <v>316</v>
      </c>
      <c r="H3045" s="16" t="s">
        <v>347</v>
      </c>
      <c r="I3045" s="16" t="s">
        <v>382</v>
      </c>
    </row>
    <row r="3046" ht="242.25" hidden="1" customHeight="1">
      <c r="B3046" s="32" t="str">
        <f>IMAGE("https://gymvisual.com/4446-catalog_default/push-up-on-knees.jpg",4,500,500)</f>
        <v/>
      </c>
      <c r="C3046" s="30">
        <v>3045.0</v>
      </c>
      <c r="D3046" s="16" t="s">
        <v>3870</v>
      </c>
      <c r="E3046" s="16" t="s">
        <v>184</v>
      </c>
      <c r="F3046" s="16" t="s">
        <v>234</v>
      </c>
      <c r="G3046" s="16" t="s">
        <v>255</v>
      </c>
      <c r="H3046" s="16" t="s">
        <v>347</v>
      </c>
      <c r="I3046" s="16" t="s">
        <v>382</v>
      </c>
    </row>
    <row r="3047" ht="242.25" customHeight="1">
      <c r="B3047" s="32" t="str">
        <f>IMAGE("https://gymvisual.com/1965-catalog_default/3-4-sit-up.jpg",4,500,500)</f>
        <v/>
      </c>
      <c r="C3047" s="30">
        <v>3046.0</v>
      </c>
      <c r="D3047" s="16" t="s">
        <v>3871</v>
      </c>
      <c r="E3047" s="16" t="s">
        <v>184</v>
      </c>
      <c r="F3047" s="16" t="s">
        <v>234</v>
      </c>
      <c r="G3047" s="16" t="s">
        <v>399</v>
      </c>
      <c r="H3047" s="16" t="s">
        <v>347</v>
      </c>
      <c r="I3047" s="16" t="s">
        <v>382</v>
      </c>
    </row>
    <row r="3048" ht="242.25" customHeight="1">
      <c r="B3048" s="32" t="str">
        <f>IMAGE("https://gymvisual.com/1968-catalog_default/3-4-sit-up.jpg",4,500,500)</f>
        <v/>
      </c>
      <c r="C3048" s="30">
        <v>3047.0</v>
      </c>
      <c r="D3048" s="16" t="s">
        <v>3872</v>
      </c>
      <c r="E3048" s="16" t="s">
        <v>184</v>
      </c>
      <c r="F3048" s="16" t="s">
        <v>234</v>
      </c>
      <c r="G3048" s="16" t="s">
        <v>399</v>
      </c>
      <c r="H3048" s="16" t="s">
        <v>235</v>
      </c>
      <c r="I3048" s="16" t="s">
        <v>243</v>
      </c>
    </row>
    <row r="3049" ht="242.25" customHeight="1">
      <c r="B3049" s="32" t="str">
        <f>IMAGE("https://gymvisual.com/1971-catalog_default/3-4-sit-up.jpg",4,500,500)</f>
        <v/>
      </c>
      <c r="C3049" s="30">
        <v>3048.0</v>
      </c>
      <c r="D3049" s="16" t="s">
        <v>3873</v>
      </c>
      <c r="E3049" s="16" t="s">
        <v>184</v>
      </c>
      <c r="F3049" s="16" t="s">
        <v>234</v>
      </c>
      <c r="G3049" s="16" t="s">
        <v>399</v>
      </c>
      <c r="H3049" s="16" t="s">
        <v>347</v>
      </c>
      <c r="I3049" s="16" t="s">
        <v>382</v>
      </c>
    </row>
    <row r="3050" ht="242.25" hidden="1" customHeight="1">
      <c r="B3050" s="32" t="str">
        <f>IMAGE("https://gymvisual.com/1977-catalog_default/3-4-sit-up.jpg",4,500,500)</f>
        <v/>
      </c>
      <c r="C3050" s="30">
        <v>3049.0</v>
      </c>
      <c r="D3050" s="16" t="s">
        <v>3874</v>
      </c>
      <c r="E3050" s="16" t="s">
        <v>184</v>
      </c>
      <c r="F3050" s="16" t="s">
        <v>234</v>
      </c>
      <c r="G3050" s="16" t="s">
        <v>255</v>
      </c>
      <c r="H3050" s="16" t="s">
        <v>347</v>
      </c>
      <c r="I3050" s="16" t="s">
        <v>382</v>
      </c>
    </row>
    <row r="3051" ht="242.25" hidden="1" customHeight="1">
      <c r="B3051" s="32" t="str">
        <f>IMAGE("https://gymvisual.com/10768-catalog_default/push-up-wall-female.jpg",4,500,500)</f>
        <v/>
      </c>
      <c r="C3051" s="30">
        <v>3050.0</v>
      </c>
      <c r="D3051" s="16" t="s">
        <v>3875</v>
      </c>
      <c r="E3051" s="16" t="s">
        <v>184</v>
      </c>
      <c r="F3051" s="16" t="s">
        <v>234</v>
      </c>
      <c r="G3051" s="16" t="s">
        <v>255</v>
      </c>
      <c r="H3051" s="16" t="s">
        <v>235</v>
      </c>
      <c r="I3051" s="16" t="s">
        <v>243</v>
      </c>
    </row>
    <row r="3052" ht="242.25" hidden="1" customHeight="1">
      <c r="B3052" s="32" t="str">
        <f>IMAGE("https://gymvisual.com/1974-catalog_default/3-4-sit-up.jpg",4,500,500)</f>
        <v/>
      </c>
      <c r="C3052" s="30">
        <v>3051.0</v>
      </c>
      <c r="D3052" s="16" t="s">
        <v>3876</v>
      </c>
      <c r="E3052" s="16" t="s">
        <v>184</v>
      </c>
      <c r="F3052" s="16" t="s">
        <v>234</v>
      </c>
      <c r="G3052" s="16" t="s">
        <v>255</v>
      </c>
      <c r="H3052" s="16" t="s">
        <v>347</v>
      </c>
      <c r="I3052" s="16" t="s">
        <v>382</v>
      </c>
    </row>
    <row r="3053" ht="242.25" hidden="1" customHeight="1">
      <c r="B3053" s="32" t="str">
        <f>IMAGE("https://gymvisual.com/6502-catalog_default/push-up-with-push-up-handles.jpg",4,500,500)</f>
        <v/>
      </c>
      <c r="C3053" s="30">
        <v>3052.0</v>
      </c>
      <c r="D3053" s="16" t="s">
        <v>3877</v>
      </c>
      <c r="E3053" s="16" t="s">
        <v>184</v>
      </c>
      <c r="F3053" s="16" t="s">
        <v>234</v>
      </c>
      <c r="G3053" s="16" t="s">
        <v>255</v>
      </c>
      <c r="H3053" s="16" t="s">
        <v>347</v>
      </c>
      <c r="I3053" s="16" t="s">
        <v>382</v>
      </c>
    </row>
    <row r="3054" ht="242.25" hidden="1" customHeight="1">
      <c r="B3054" s="32" t="str">
        <f>IMAGE("https://gymvisual.com/10202-catalog_default/push-up-end-position-wrong-right.jpg",4,500,500)</f>
        <v/>
      </c>
      <c r="C3054" s="30">
        <v>3053.0</v>
      </c>
      <c r="D3054" s="16" t="s">
        <v>3878</v>
      </c>
      <c r="E3054" s="16" t="s">
        <v>184</v>
      </c>
      <c r="F3054" s="16" t="s">
        <v>234</v>
      </c>
      <c r="G3054" s="16" t="s">
        <v>255</v>
      </c>
      <c r="H3054" s="16" t="s">
        <v>220</v>
      </c>
      <c r="I3054" s="16" t="s">
        <v>220</v>
      </c>
    </row>
    <row r="3055" ht="242.25" hidden="1" customHeight="1">
      <c r="B3055" s="32" t="str">
        <f>IMAGE("https://gymvisual.com/10200-catalog_default/push-up-start-position-wrong-right.jpg",4,500,500)</f>
        <v/>
      </c>
      <c r="C3055" s="30">
        <v>3054.0</v>
      </c>
      <c r="D3055" s="16" t="s">
        <v>3879</v>
      </c>
      <c r="E3055" s="16" t="s">
        <v>184</v>
      </c>
      <c r="F3055" s="16" t="s">
        <v>234</v>
      </c>
      <c r="G3055" s="16" t="s">
        <v>255</v>
      </c>
      <c r="H3055" s="16" t="s">
        <v>220</v>
      </c>
      <c r="I3055" s="16" t="s">
        <v>220</v>
      </c>
    </row>
    <row r="3056" ht="242.25" hidden="1" customHeight="1">
      <c r="B3056" s="32" t="str">
        <f>IMAGE("https://gymvisual.com/22291-catalog_default/push-up-and-triceps-dip-on-parallel-bars.jpg",4,500,500)</f>
        <v/>
      </c>
      <c r="C3056" s="30">
        <v>3055.0</v>
      </c>
      <c r="D3056" s="16" t="s">
        <v>3880</v>
      </c>
      <c r="E3056" s="16" t="s">
        <v>184</v>
      </c>
      <c r="F3056" s="16" t="s">
        <v>234</v>
      </c>
      <c r="G3056" s="16" t="s">
        <v>255</v>
      </c>
      <c r="H3056" s="16" t="s">
        <v>220</v>
      </c>
      <c r="I3056" s="16" t="s">
        <v>220</v>
      </c>
    </row>
    <row r="3057" ht="242.25" customHeight="1">
      <c r="A3057" s="32" t="b">
        <v>0</v>
      </c>
      <c r="B3057" s="32" t="str">
        <f>IMAGE("https://gymvisual.com/1980-catalog_default/3-4-sit-up.jpg",4,500,500)</f>
        <v/>
      </c>
      <c r="C3057" s="30">
        <v>3056.0</v>
      </c>
      <c r="D3057" s="16" t="s">
        <v>3881</v>
      </c>
      <c r="E3057" s="16" t="s">
        <v>184</v>
      </c>
      <c r="F3057" s="16" t="s">
        <v>228</v>
      </c>
      <c r="G3057" s="16" t="s">
        <v>222</v>
      </c>
      <c r="H3057" s="16" t="s">
        <v>223</v>
      </c>
      <c r="I3057" s="16" t="s">
        <v>472</v>
      </c>
    </row>
    <row r="3058" ht="242.25" hidden="1" customHeight="1">
      <c r="B3058" s="32" t="str">
        <f>IMAGE("https://gymvisual.com/20692-catalog_default/push-up-hand-by-hand.jpg",4,500,500)</f>
        <v/>
      </c>
      <c r="C3058" s="30">
        <v>3057.0</v>
      </c>
      <c r="D3058" s="16" t="s">
        <v>3882</v>
      </c>
      <c r="E3058" s="16" t="s">
        <v>184</v>
      </c>
      <c r="F3058" s="16" t="s">
        <v>1894</v>
      </c>
      <c r="G3058" s="16" t="s">
        <v>255</v>
      </c>
      <c r="H3058" s="16" t="s">
        <v>2400</v>
      </c>
      <c r="I3058" s="16" t="s">
        <v>229</v>
      </c>
    </row>
    <row r="3059" ht="242.25" hidden="1" customHeight="1">
      <c r="B3059" s="32" t="str">
        <f>IMAGE("https://gymvisual.com/24669-catalog_default/push-up-in-child-pose.jpg",4,500,500)</f>
        <v/>
      </c>
      <c r="C3059" s="30">
        <v>3058.0</v>
      </c>
      <c r="D3059" s="16" t="s">
        <v>3883</v>
      </c>
      <c r="E3059" s="16" t="s">
        <v>184</v>
      </c>
      <c r="F3059" s="16" t="s">
        <v>234</v>
      </c>
      <c r="G3059" s="16" t="s">
        <v>255</v>
      </c>
      <c r="H3059" s="16" t="s">
        <v>220</v>
      </c>
      <c r="I3059" s="16" t="s">
        <v>220</v>
      </c>
    </row>
    <row r="3060" ht="242.25" hidden="1" customHeight="1">
      <c r="B3060" s="32" t="str">
        <f>IMAGE("https://gymvisual.com/1983-catalog_default/3-4-sit-up.jpg",4,500,500)</f>
        <v/>
      </c>
      <c r="C3060" s="30">
        <v>3059.0</v>
      </c>
      <c r="D3060" s="16" t="s">
        <v>3884</v>
      </c>
      <c r="E3060" s="16" t="s">
        <v>184</v>
      </c>
      <c r="F3060" s="16" t="s">
        <v>185</v>
      </c>
      <c r="G3060" s="16" t="s">
        <v>255</v>
      </c>
      <c r="H3060" s="16" t="s">
        <v>3885</v>
      </c>
      <c r="I3060" s="16" t="s">
        <v>382</v>
      </c>
    </row>
    <row r="3061" ht="242.25" hidden="1" customHeight="1">
      <c r="B3061" s="32" t="str">
        <f>IMAGE("https://gymvisual.com/24671-catalog_default/push-up-jack.jpg",4,500,500)</f>
        <v/>
      </c>
      <c r="C3061" s="30">
        <v>3060.0</v>
      </c>
      <c r="D3061" s="16" t="s">
        <v>3886</v>
      </c>
      <c r="E3061" s="16" t="s">
        <v>184</v>
      </c>
      <c r="F3061" s="16" t="s">
        <v>234</v>
      </c>
      <c r="G3061" s="16" t="s">
        <v>255</v>
      </c>
      <c r="H3061" s="16" t="s">
        <v>220</v>
      </c>
      <c r="I3061" s="16" t="s">
        <v>220</v>
      </c>
    </row>
    <row r="3062" ht="242.25" customHeight="1">
      <c r="B3062" s="32" t="str">
        <f>IMAGE("https://gymvisual.com/1989-catalog_default/3-4-sit-up.jpg",4,500,500)</f>
        <v/>
      </c>
      <c r="C3062" s="30">
        <v>3061.0</v>
      </c>
      <c r="D3062" s="16" t="s">
        <v>3887</v>
      </c>
      <c r="E3062" s="16" t="s">
        <v>184</v>
      </c>
      <c r="F3062" s="16" t="s">
        <v>234</v>
      </c>
      <c r="G3062" s="16" t="s">
        <v>373</v>
      </c>
      <c r="H3062" s="16" t="s">
        <v>347</v>
      </c>
      <c r="I3062" s="16" t="s">
        <v>382</v>
      </c>
    </row>
    <row r="3063" ht="242.25" hidden="1" customHeight="1">
      <c r="B3063" s="32" t="str">
        <f>IMAGE("https://gymvisual.com/6401-catalog_default/push-up-on-forearms.jpg",4,500,500)</f>
        <v/>
      </c>
      <c r="C3063" s="30">
        <v>3062.0</v>
      </c>
      <c r="D3063" s="16" t="s">
        <v>3888</v>
      </c>
      <c r="E3063" s="16" t="s">
        <v>184</v>
      </c>
      <c r="F3063" s="16" t="s">
        <v>219</v>
      </c>
      <c r="G3063" s="16" t="s">
        <v>255</v>
      </c>
      <c r="H3063" s="16" t="s">
        <v>223</v>
      </c>
      <c r="I3063" s="16" t="s">
        <v>472</v>
      </c>
    </row>
    <row r="3064" ht="242.25" hidden="1" customHeight="1">
      <c r="B3064" s="32" t="str">
        <f>IMAGE("https://gymvisual.com/12551-catalog_default/push-up-plus.jpg",4,500,500)</f>
        <v/>
      </c>
      <c r="C3064" s="30">
        <v>3063.0</v>
      </c>
      <c r="D3064" s="16" t="s">
        <v>3889</v>
      </c>
      <c r="E3064" s="16" t="s">
        <v>184</v>
      </c>
      <c r="F3064" s="16" t="s">
        <v>234</v>
      </c>
      <c r="G3064" s="16" t="s">
        <v>255</v>
      </c>
      <c r="H3064" s="16" t="s">
        <v>3890</v>
      </c>
      <c r="I3064" s="16" t="s">
        <v>3891</v>
      </c>
    </row>
    <row r="3065" ht="242.25" hidden="1" customHeight="1">
      <c r="B3065" s="32" t="str">
        <f>IMAGE("https://gymvisual.com/12552-catalog_default/push-up-plus-female.jpg",4,500,500)</f>
        <v/>
      </c>
      <c r="C3065" s="30">
        <v>3064.0</v>
      </c>
      <c r="D3065" s="16" t="s">
        <v>3892</v>
      </c>
      <c r="E3065" s="16" t="s">
        <v>184</v>
      </c>
      <c r="F3065" s="16" t="s">
        <v>234</v>
      </c>
      <c r="G3065" s="16" t="s">
        <v>255</v>
      </c>
      <c r="H3065" s="16" t="s">
        <v>3890</v>
      </c>
      <c r="I3065" s="16" t="s">
        <v>3891</v>
      </c>
    </row>
    <row r="3066" ht="242.25" hidden="1" customHeight="1">
      <c r="B3066" s="32" t="str">
        <f>IMAGE("https://gymvisual.com/14177-catalog_default/3-4-sit-up.jpg",4,500,500)</f>
        <v/>
      </c>
      <c r="C3066" s="30">
        <v>3065.0</v>
      </c>
      <c r="D3066" s="16" t="s">
        <v>3893</v>
      </c>
      <c r="E3066" s="16" t="s">
        <v>184</v>
      </c>
      <c r="F3066" s="16" t="s">
        <v>234</v>
      </c>
      <c r="G3066" s="16" t="s">
        <v>255</v>
      </c>
      <c r="H3066" s="16" t="s">
        <v>1874</v>
      </c>
      <c r="I3066" s="16" t="s">
        <v>3894</v>
      </c>
    </row>
    <row r="3067" ht="242.25" hidden="1" customHeight="1">
      <c r="B3067" s="32" t="str">
        <f>IMAGE("https://gymvisual.com/22402-catalog_default/push-up-to-side-plank-version-2.jpg",4,500,500)</f>
        <v/>
      </c>
      <c r="C3067" s="30">
        <v>3066.0</v>
      </c>
      <c r="D3067" s="16" t="s">
        <v>3895</v>
      </c>
      <c r="E3067" s="16" t="s">
        <v>184</v>
      </c>
      <c r="F3067" s="16" t="s">
        <v>234</v>
      </c>
      <c r="G3067" s="16" t="s">
        <v>255</v>
      </c>
      <c r="H3067" s="16" t="s">
        <v>220</v>
      </c>
      <c r="I3067" s="16" t="s">
        <v>220</v>
      </c>
    </row>
    <row r="3068" ht="242.25" hidden="1" customHeight="1">
      <c r="B3068" s="32" t="str">
        <f>IMAGE("https://gymvisual.com/22404-catalog_default/push-up-with-knee-drive.jpg",4,500,500)</f>
        <v/>
      </c>
      <c r="C3068" s="30">
        <v>3067.0</v>
      </c>
      <c r="D3068" s="16" t="s">
        <v>3896</v>
      </c>
      <c r="E3068" s="16" t="s">
        <v>184</v>
      </c>
      <c r="F3068" s="16" t="s">
        <v>254</v>
      </c>
      <c r="G3068" s="16" t="s">
        <v>255</v>
      </c>
      <c r="H3068" s="16" t="s">
        <v>220</v>
      </c>
      <c r="I3068" s="16" t="s">
        <v>220</v>
      </c>
    </row>
    <row r="3069" ht="242.25" hidden="1" customHeight="1">
      <c r="B3069" s="32" t="str">
        <f>IMAGE("https://gymvisual.com/23617-catalog_default/pvc-external-rotation.jpg",4,500,500)</f>
        <v/>
      </c>
      <c r="C3069" s="30">
        <v>3068.0</v>
      </c>
      <c r="D3069" s="16" t="s">
        <v>3897</v>
      </c>
      <c r="E3069" s="16" t="s">
        <v>184</v>
      </c>
      <c r="F3069" s="16" t="s">
        <v>192</v>
      </c>
      <c r="G3069" s="16" t="s">
        <v>255</v>
      </c>
      <c r="H3069" s="16" t="s">
        <v>3898</v>
      </c>
      <c r="I3069" s="16" t="s">
        <v>220</v>
      </c>
    </row>
    <row r="3070" ht="242.25" customHeight="1">
      <c r="B3070" s="32" t="str">
        <f>IMAGE("https://gymvisual.com/22608-catalog_default/pvc-good-morning.jpg",4,500,500)</f>
        <v/>
      </c>
      <c r="C3070" s="30">
        <v>3069.0</v>
      </c>
      <c r="D3070" s="16" t="s">
        <v>3899</v>
      </c>
      <c r="E3070" s="16" t="s">
        <v>184</v>
      </c>
      <c r="F3070" s="16" t="s">
        <v>185</v>
      </c>
      <c r="G3070" s="16" t="s">
        <v>727</v>
      </c>
      <c r="H3070" s="16" t="s">
        <v>188</v>
      </c>
      <c r="I3070" s="16" t="s">
        <v>857</v>
      </c>
    </row>
    <row r="3071" ht="242.25" customHeight="1">
      <c r="B3071" s="32" t="str">
        <f>IMAGE("https://gymvisual.com/22612-catalog_default/pvc-hip-hinge.jpg",4,500,500)</f>
        <v/>
      </c>
      <c r="C3071" s="30">
        <v>3070.0</v>
      </c>
      <c r="D3071" s="16" t="s">
        <v>3900</v>
      </c>
      <c r="E3071" s="16" t="s">
        <v>184</v>
      </c>
      <c r="F3071" s="16" t="s">
        <v>185</v>
      </c>
      <c r="G3071" s="16" t="s">
        <v>727</v>
      </c>
      <c r="H3071" s="16" t="s">
        <v>187</v>
      </c>
      <c r="I3071" s="16" t="s">
        <v>188</v>
      </c>
    </row>
    <row r="3072" ht="242.25" hidden="1" customHeight="1">
      <c r="B3072" s="32" t="str">
        <f>IMAGE("https://gymvisual.com/23621-catalog_default/pvc-overhead-squat.jpg",4,500,500)</f>
        <v/>
      </c>
      <c r="C3072" s="30">
        <v>3071.0</v>
      </c>
      <c r="D3072" s="16" t="s">
        <v>3901</v>
      </c>
      <c r="E3072" s="16" t="s">
        <v>184</v>
      </c>
      <c r="F3072" s="16" t="s">
        <v>285</v>
      </c>
      <c r="G3072" s="16" t="s">
        <v>255</v>
      </c>
      <c r="H3072" s="16" t="s">
        <v>189</v>
      </c>
      <c r="I3072" s="16" t="s">
        <v>190</v>
      </c>
    </row>
    <row r="3073" ht="242.25" hidden="1" customHeight="1">
      <c r="B3073" s="32" t="str">
        <f>IMAGE("https://gymvisual.com/23623-catalog_default/pvc-pass-through.jpg",4,500,500)</f>
        <v/>
      </c>
      <c r="C3073" s="30">
        <v>3072.0</v>
      </c>
      <c r="D3073" s="16" t="s">
        <v>3902</v>
      </c>
      <c r="E3073" s="16" t="s">
        <v>184</v>
      </c>
      <c r="F3073" s="16" t="s">
        <v>228</v>
      </c>
      <c r="G3073" s="16" t="s">
        <v>255</v>
      </c>
      <c r="H3073" s="16" t="s">
        <v>333</v>
      </c>
      <c r="I3073" s="16" t="s">
        <v>3903</v>
      </c>
    </row>
    <row r="3074" ht="242.25" hidden="1" customHeight="1">
      <c r="B3074" s="32" t="str">
        <f>IMAGE("https://gymvisual.com/22823-catalog_default/quadruped-leg-curl.jpg",4,500,500)</f>
        <v/>
      </c>
      <c r="C3074" s="30">
        <v>3073.0</v>
      </c>
      <c r="D3074" s="16" t="s">
        <v>3904</v>
      </c>
      <c r="E3074" s="16" t="s">
        <v>184</v>
      </c>
      <c r="F3074" s="16" t="s">
        <v>285</v>
      </c>
      <c r="G3074" s="16" t="s">
        <v>255</v>
      </c>
      <c r="H3074" s="16" t="s">
        <v>188</v>
      </c>
      <c r="I3074" s="16" t="s">
        <v>665</v>
      </c>
    </row>
    <row r="3075" ht="242.25" hidden="1" customHeight="1">
      <c r="B3075" s="32" t="str">
        <f>IMAGE("https://gymvisual.com/12877-catalog_default/quarter-sit-up.jpg",4,500,500)</f>
        <v/>
      </c>
      <c r="C3075" s="30">
        <v>3074.0</v>
      </c>
      <c r="D3075" s="16" t="s">
        <v>3905</v>
      </c>
      <c r="E3075" s="16" t="s">
        <v>184</v>
      </c>
      <c r="F3075" s="16" t="s">
        <v>254</v>
      </c>
      <c r="G3075" s="16" t="s">
        <v>255</v>
      </c>
      <c r="H3075" s="16" t="s">
        <v>256</v>
      </c>
      <c r="I3075" s="16" t="s">
        <v>257</v>
      </c>
    </row>
    <row r="3076" ht="242.25" hidden="1" customHeight="1">
      <c r="B3076" s="32" t="str">
        <f>IMAGE("https://gymvisual.com/1998-catalog_default/3-4-sit-up.jpg",4,500,500)</f>
        <v/>
      </c>
      <c r="C3076" s="30">
        <v>3075.0</v>
      </c>
      <c r="D3076" s="16" t="s">
        <v>3906</v>
      </c>
      <c r="E3076" s="16" t="s">
        <v>184</v>
      </c>
      <c r="F3076" s="16" t="s">
        <v>234</v>
      </c>
      <c r="G3076" s="16" t="s">
        <v>255</v>
      </c>
      <c r="H3076" s="16" t="s">
        <v>347</v>
      </c>
      <c r="I3076" s="16" t="s">
        <v>3907</v>
      </c>
    </row>
    <row r="3077" ht="242.25" hidden="1" customHeight="1">
      <c r="B3077" s="32" t="str">
        <f>IMAGE("https://gymvisual.com/2001-catalog_default/3-4-sit-up.jpg",4,500,500)</f>
        <v/>
      </c>
      <c r="C3077" s="30">
        <v>3076.0</v>
      </c>
      <c r="D3077" s="16" t="s">
        <v>3908</v>
      </c>
      <c r="E3077" s="16" t="s">
        <v>184</v>
      </c>
      <c r="F3077" s="16" t="s">
        <v>234</v>
      </c>
      <c r="G3077" s="16" t="s">
        <v>255</v>
      </c>
      <c r="H3077" s="16" t="s">
        <v>347</v>
      </c>
      <c r="I3077" s="16" t="s">
        <v>3909</v>
      </c>
    </row>
    <row r="3078" ht="242.25" hidden="1" customHeight="1">
      <c r="B3078" s="32" t="str">
        <f>IMAGE("https://gymvisual.com/25118-catalog_default/3-4-sit-up.jpg",4,500,500)</f>
        <v/>
      </c>
      <c r="C3078" s="30">
        <v>3077.0</v>
      </c>
      <c r="D3078" s="16" t="s">
        <v>3910</v>
      </c>
      <c r="E3078" s="16" t="s">
        <v>184</v>
      </c>
      <c r="F3078" s="16" t="s">
        <v>254</v>
      </c>
      <c r="G3078" s="16" t="s">
        <v>255</v>
      </c>
      <c r="H3078" s="16" t="s">
        <v>187</v>
      </c>
      <c r="I3078" s="16" t="s">
        <v>854</v>
      </c>
    </row>
    <row r="3079" ht="242.25" hidden="1" customHeight="1">
      <c r="B3079" s="32" t="str">
        <f>IMAGE("https://gymvisual.com/16530-catalog_default/rear-delt-fly-with-bed-sheet.jpg",4,500,500)</f>
        <v/>
      </c>
      <c r="C3079" s="30">
        <v>3078.0</v>
      </c>
      <c r="D3079" s="16" t="s">
        <v>3911</v>
      </c>
      <c r="E3079" s="16" t="s">
        <v>184</v>
      </c>
      <c r="F3079" s="16" t="s">
        <v>228</v>
      </c>
      <c r="G3079" s="16" t="s">
        <v>255</v>
      </c>
      <c r="H3079" s="16" t="s">
        <v>408</v>
      </c>
      <c r="I3079" s="16" t="s">
        <v>452</v>
      </c>
    </row>
    <row r="3080" ht="242.25" hidden="1" customHeight="1">
      <c r="B3080" s="32" t="str">
        <f>IMAGE("https://gymvisual.com/16534-catalog_default/rear-delt-row-with-bed-sheet.jpg",4,500,500)</f>
        <v/>
      </c>
      <c r="C3080" s="30">
        <v>3079.0</v>
      </c>
      <c r="D3080" s="16" t="s">
        <v>3912</v>
      </c>
      <c r="E3080" s="16" t="s">
        <v>184</v>
      </c>
      <c r="F3080" s="16" t="s">
        <v>192</v>
      </c>
      <c r="G3080" s="16" t="s">
        <v>255</v>
      </c>
      <c r="H3080" s="16" t="s">
        <v>329</v>
      </c>
      <c r="I3080" s="16" t="s">
        <v>447</v>
      </c>
    </row>
    <row r="3081" ht="242.25" hidden="1" customHeight="1">
      <c r="B3081" s="32" t="str">
        <f>IMAGE("https://gymvisual.com/20986-catalog_default/rear-lunge-from-deficit.jpg",4,500,500)</f>
        <v/>
      </c>
      <c r="C3081" s="30">
        <v>3080.0</v>
      </c>
      <c r="D3081" s="16" t="s">
        <v>3913</v>
      </c>
      <c r="E3081" s="16" t="s">
        <v>184</v>
      </c>
      <c r="F3081" s="16" t="s">
        <v>294</v>
      </c>
      <c r="G3081" s="16" t="s">
        <v>255</v>
      </c>
      <c r="H3081" s="16" t="s">
        <v>189</v>
      </c>
      <c r="I3081" s="16" t="s">
        <v>190</v>
      </c>
    </row>
    <row r="3082" ht="242.25" customHeight="1">
      <c r="B3082" s="32" t="str">
        <f>IMAGE("https://gymvisual.com/12198-catalog_default/rear-lunge-with-battling-ropes.jpg",4,500,500)</f>
        <v/>
      </c>
      <c r="C3082" s="30">
        <v>3081.0</v>
      </c>
      <c r="D3082" s="16" t="s">
        <v>3914</v>
      </c>
      <c r="E3082" s="16" t="s">
        <v>184</v>
      </c>
      <c r="F3082" s="16" t="s">
        <v>321</v>
      </c>
      <c r="G3082" s="16" t="s">
        <v>1160</v>
      </c>
      <c r="H3082" s="16" t="s">
        <v>220</v>
      </c>
      <c r="I3082" s="16" t="s">
        <v>220</v>
      </c>
    </row>
    <row r="3083" ht="242.25" hidden="1" customHeight="1">
      <c r="B3083" s="32" t="str">
        <f>IMAGE("https://gymvisual.com/2010-catalog_default/3-4-sit-up.jpg",4,500,500)</f>
        <v/>
      </c>
      <c r="C3083" s="30">
        <v>3082.0</v>
      </c>
      <c r="D3083" s="16" t="s">
        <v>3915</v>
      </c>
      <c r="E3083" s="16" t="s">
        <v>184</v>
      </c>
      <c r="F3083" s="16" t="s">
        <v>192</v>
      </c>
      <c r="G3083" s="16" t="s">
        <v>255</v>
      </c>
      <c r="H3083" s="16" t="s">
        <v>300</v>
      </c>
      <c r="I3083" s="16" t="s">
        <v>3916</v>
      </c>
    </row>
    <row r="3084" ht="242.25" hidden="1" customHeight="1">
      <c r="B3084" s="32" t="str">
        <f>IMAGE("https://gymvisual.com/24770-catalog_default/rear-shift-lunge-from-deficit.jpg",4,500,500)</f>
        <v/>
      </c>
      <c r="C3084" s="30">
        <v>3083.0</v>
      </c>
      <c r="D3084" s="16" t="s">
        <v>3917</v>
      </c>
      <c r="E3084" s="16" t="s">
        <v>184</v>
      </c>
      <c r="F3084" s="16" t="s">
        <v>285</v>
      </c>
      <c r="G3084" s="16" t="s">
        <v>255</v>
      </c>
      <c r="H3084" s="16" t="s">
        <v>220</v>
      </c>
      <c r="I3084" s="16" t="s">
        <v>220</v>
      </c>
    </row>
    <row r="3085" ht="242.25" customHeight="1">
      <c r="B3085" s="32" t="str">
        <f>IMAGE("https://gymvisual.com/17749-catalog_default/resistance-band-45-degrees-hyperextension.jpg",4,500,500)</f>
        <v/>
      </c>
      <c r="C3085" s="30">
        <v>3084.0</v>
      </c>
      <c r="D3085" s="16" t="s">
        <v>3918</v>
      </c>
      <c r="E3085" s="16" t="s">
        <v>184</v>
      </c>
      <c r="F3085" s="16" t="s">
        <v>185</v>
      </c>
      <c r="G3085" s="16" t="s">
        <v>523</v>
      </c>
      <c r="H3085" s="16" t="s">
        <v>220</v>
      </c>
      <c r="I3085" s="16" t="s">
        <v>220</v>
      </c>
    </row>
    <row r="3086" ht="242.25" customHeight="1">
      <c r="B3086" s="32" t="str">
        <f>IMAGE("https://gymvisual.com/17919-catalog_default/resistance-band-adduction-split-squat-male.jpg",4,500,500)</f>
        <v/>
      </c>
      <c r="C3086" s="30">
        <v>3085.0</v>
      </c>
      <c r="D3086" s="16" t="s">
        <v>3919</v>
      </c>
      <c r="E3086" s="16" t="s">
        <v>184</v>
      </c>
      <c r="F3086" s="16" t="s">
        <v>285</v>
      </c>
      <c r="G3086" s="16" t="s">
        <v>523</v>
      </c>
      <c r="H3086" s="16" t="s">
        <v>220</v>
      </c>
      <c r="I3086" s="16" t="s">
        <v>220</v>
      </c>
    </row>
    <row r="3087" ht="242.25" customHeight="1">
      <c r="B3087" s="32" t="str">
        <f>IMAGE("https://gymvisual.com/10503-catalog_default/resistance-band-air-bike.jpg",4,500,500)</f>
        <v/>
      </c>
      <c r="C3087" s="30">
        <v>3086.0</v>
      </c>
      <c r="D3087" s="16" t="s">
        <v>3920</v>
      </c>
      <c r="E3087" s="16" t="s">
        <v>184</v>
      </c>
      <c r="F3087" s="16" t="s">
        <v>254</v>
      </c>
      <c r="G3087" s="16" t="s">
        <v>523</v>
      </c>
      <c r="H3087" s="16" t="s">
        <v>1328</v>
      </c>
      <c r="I3087" s="16" t="s">
        <v>3921</v>
      </c>
    </row>
    <row r="3088" ht="242.25" customHeight="1">
      <c r="B3088" s="32" t="str">
        <f>IMAGE("https://gymvisual.com/17731-catalog_default/resistance-band-anti-rotation-dead-bug.jpg",4,500,500)</f>
        <v/>
      </c>
      <c r="C3088" s="30">
        <v>3087.0</v>
      </c>
      <c r="D3088" s="16" t="s">
        <v>3922</v>
      </c>
      <c r="E3088" s="16" t="s">
        <v>184</v>
      </c>
      <c r="F3088" s="16" t="s">
        <v>254</v>
      </c>
      <c r="G3088" s="16" t="s">
        <v>523</v>
      </c>
      <c r="H3088" s="16" t="s">
        <v>220</v>
      </c>
      <c r="I3088" s="16" t="s">
        <v>220</v>
      </c>
    </row>
    <row r="3089" ht="242.25" customHeight="1">
      <c r="B3089" s="32" t="str">
        <f>IMAGE("https://gymvisual.com/18043-catalog_default/resistance-band-assisted-nordic-hamstring-curl.jpg",4,500,500)</f>
        <v/>
      </c>
      <c r="C3089" s="30">
        <v>3088.0</v>
      </c>
      <c r="D3089" s="16" t="s">
        <v>3923</v>
      </c>
      <c r="E3089" s="16" t="s">
        <v>184</v>
      </c>
      <c r="F3089" s="16" t="s">
        <v>285</v>
      </c>
      <c r="G3089" s="16" t="s">
        <v>523</v>
      </c>
      <c r="H3089" s="16" t="s">
        <v>220</v>
      </c>
      <c r="I3089" s="16" t="s">
        <v>220</v>
      </c>
    </row>
    <row r="3090" ht="242.25" customHeight="1">
      <c r="B3090" s="32" t="str">
        <f>IMAGE("https://gymvisual.com/8785-catalog_default/resistance-band-bent-leg-kickback-kneeling.jpg",4,500,500)</f>
        <v/>
      </c>
      <c r="C3090" s="30">
        <v>3089.0</v>
      </c>
      <c r="D3090" s="16" t="s">
        <v>3924</v>
      </c>
      <c r="E3090" s="16" t="s">
        <v>184</v>
      </c>
      <c r="F3090" s="16" t="s">
        <v>185</v>
      </c>
      <c r="G3090" s="16" t="s">
        <v>523</v>
      </c>
      <c r="H3090" s="16" t="s">
        <v>187</v>
      </c>
      <c r="I3090" s="16" t="s">
        <v>188</v>
      </c>
    </row>
    <row r="3091" ht="242.25" customHeight="1">
      <c r="B3091" s="32" t="str">
        <f>IMAGE("https://gymvisual.com/10501-catalog_default/resistance-band-bent-leg-side-kick-kneeling.jpg",4,500,500)</f>
        <v/>
      </c>
      <c r="C3091" s="30">
        <v>3090.0</v>
      </c>
      <c r="D3091" s="16" t="s">
        <v>3925</v>
      </c>
      <c r="E3091" s="16" t="s">
        <v>184</v>
      </c>
      <c r="F3091" s="16" t="s">
        <v>185</v>
      </c>
      <c r="G3091" s="16" t="s">
        <v>523</v>
      </c>
      <c r="H3091" s="16" t="s">
        <v>475</v>
      </c>
      <c r="I3091" s="16" t="s">
        <v>1206</v>
      </c>
    </row>
    <row r="3092" ht="242.25" customHeight="1">
      <c r="B3092" s="32" t="str">
        <f>IMAGE("https://gymvisual.com/19229-catalog_default/resistance-band-bent-over-neutral-grip-row.jpg",4,500,500)</f>
        <v/>
      </c>
      <c r="C3092" s="30">
        <v>3091.0</v>
      </c>
      <c r="D3092" s="16" t="s">
        <v>3926</v>
      </c>
      <c r="E3092" s="16" t="s">
        <v>184</v>
      </c>
      <c r="F3092" s="16" t="s">
        <v>192</v>
      </c>
      <c r="G3092" s="16" t="s">
        <v>523</v>
      </c>
      <c r="H3092" s="16" t="s">
        <v>329</v>
      </c>
      <c r="I3092" s="16" t="s">
        <v>357</v>
      </c>
    </row>
    <row r="3093" ht="242.25" customHeight="1">
      <c r="B3093" s="32" t="str">
        <f>IMAGE("https://gymvisual.com/17929-catalog_default/resistance-band-bent-over-rear-delt-fly-male.jpg",4,500,500)</f>
        <v/>
      </c>
      <c r="C3093" s="30">
        <v>3092.0</v>
      </c>
      <c r="D3093" s="16" t="s">
        <v>3927</v>
      </c>
      <c r="E3093" s="16" t="s">
        <v>184</v>
      </c>
      <c r="F3093" s="16" t="s">
        <v>228</v>
      </c>
      <c r="G3093" s="16" t="s">
        <v>523</v>
      </c>
      <c r="H3093" s="16" t="s">
        <v>220</v>
      </c>
      <c r="I3093" s="16" t="s">
        <v>220</v>
      </c>
    </row>
    <row r="3094" ht="242.25" customHeight="1">
      <c r="B3094" s="32" t="str">
        <f>IMAGE("https://gymvisual.com/17715-catalog_default/resistance-band-bent-over-row.jpg",4,500,500)</f>
        <v/>
      </c>
      <c r="C3094" s="30">
        <v>3093.0</v>
      </c>
      <c r="D3094" s="16" t="s">
        <v>3928</v>
      </c>
      <c r="E3094" s="16" t="s">
        <v>184</v>
      </c>
      <c r="F3094" s="16" t="s">
        <v>192</v>
      </c>
      <c r="G3094" s="16" t="s">
        <v>523</v>
      </c>
      <c r="H3094" s="16" t="s">
        <v>220</v>
      </c>
      <c r="I3094" s="16" t="s">
        <v>220</v>
      </c>
    </row>
    <row r="3095" ht="242.25" customHeight="1">
      <c r="B3095" s="32" t="str">
        <f>IMAGE("https://gymvisual.com/14032-catalog_default/resistance-band-bird-dog.jpg",4,500,500)</f>
        <v/>
      </c>
      <c r="C3095" s="30">
        <v>3094.0</v>
      </c>
      <c r="D3095" s="16" t="s">
        <v>3929</v>
      </c>
      <c r="E3095" s="16" t="s">
        <v>184</v>
      </c>
      <c r="F3095" s="16" t="s">
        <v>185</v>
      </c>
      <c r="G3095" s="16" t="s">
        <v>523</v>
      </c>
      <c r="H3095" s="16" t="s">
        <v>267</v>
      </c>
      <c r="I3095" s="16" t="s">
        <v>220</v>
      </c>
    </row>
    <row r="3096" ht="242.25" customHeight="1">
      <c r="B3096" s="32" t="str">
        <f>IMAGE("https://gymvisual.com/17713-catalog_default/resistance-band-cable-squat.jpg",4,500,500)</f>
        <v/>
      </c>
      <c r="C3096" s="30">
        <v>3095.0</v>
      </c>
      <c r="D3096" s="16" t="s">
        <v>3930</v>
      </c>
      <c r="E3096" s="16" t="s">
        <v>184</v>
      </c>
      <c r="F3096" s="16" t="s">
        <v>285</v>
      </c>
      <c r="G3096" s="16" t="s">
        <v>215</v>
      </c>
      <c r="H3096" s="16" t="s">
        <v>220</v>
      </c>
      <c r="I3096" s="16" t="s">
        <v>220</v>
      </c>
    </row>
    <row r="3097" ht="242.25" customHeight="1">
      <c r="B3097" s="32" t="str">
        <f>IMAGE("https://gymvisual.com/10508-catalog_default/resistance-band-calf-raise.jpg",4,500,500)</f>
        <v/>
      </c>
      <c r="C3097" s="30">
        <v>3096.0</v>
      </c>
      <c r="D3097" s="16" t="s">
        <v>3931</v>
      </c>
      <c r="E3097" s="16" t="s">
        <v>184</v>
      </c>
      <c r="F3097" s="16" t="s">
        <v>325</v>
      </c>
      <c r="G3097" s="16" t="s">
        <v>523</v>
      </c>
      <c r="H3097" s="16" t="s">
        <v>368</v>
      </c>
      <c r="I3097" s="16" t="s">
        <v>463</v>
      </c>
    </row>
    <row r="3098" ht="242.25" customHeight="1">
      <c r="B3098" s="32" t="str">
        <f>IMAGE("https://gymvisual.com/8786-catalog_default/resistance-band-clam.jpg",4,500,500)</f>
        <v/>
      </c>
      <c r="C3098" s="30">
        <v>3097.0</v>
      </c>
      <c r="D3098" s="16" t="s">
        <v>3932</v>
      </c>
      <c r="E3098" s="16" t="s">
        <v>184</v>
      </c>
      <c r="F3098" s="16" t="s">
        <v>185</v>
      </c>
      <c r="G3098" s="16" t="s">
        <v>523</v>
      </c>
      <c r="H3098" s="16" t="s">
        <v>475</v>
      </c>
      <c r="I3098" s="16" t="s">
        <v>476</v>
      </c>
    </row>
    <row r="3099" ht="242.25" customHeight="1">
      <c r="B3099" s="32" t="str">
        <f>IMAGE("https://gymvisual.com/17673-catalog_default/resistance-band-deadlift-with-single-arm-row.jpg",4,500,500)</f>
        <v/>
      </c>
      <c r="C3099" s="30">
        <v>3098.0</v>
      </c>
      <c r="D3099" s="16" t="s">
        <v>3933</v>
      </c>
      <c r="E3099" s="16" t="s">
        <v>184</v>
      </c>
      <c r="F3099" s="16" t="s">
        <v>192</v>
      </c>
      <c r="G3099" s="16" t="s">
        <v>523</v>
      </c>
      <c r="H3099" s="16" t="s">
        <v>220</v>
      </c>
      <c r="I3099" s="16" t="s">
        <v>220</v>
      </c>
    </row>
    <row r="3100" ht="242.25" customHeight="1">
      <c r="B3100" s="32" t="str">
        <f>IMAGE("https://gymvisual.com/19515-catalog_default/resistance-band-elevated-glute-bridge.jpg",4,500,500)</f>
        <v/>
      </c>
      <c r="C3100" s="30">
        <v>3099.0</v>
      </c>
      <c r="D3100" s="16" t="s">
        <v>3934</v>
      </c>
      <c r="E3100" s="16" t="s">
        <v>184</v>
      </c>
      <c r="F3100" s="16" t="s">
        <v>185</v>
      </c>
      <c r="G3100" s="16" t="s">
        <v>523</v>
      </c>
      <c r="H3100" s="16" t="s">
        <v>220</v>
      </c>
      <c r="I3100" s="16" t="s">
        <v>220</v>
      </c>
    </row>
    <row r="3101" ht="242.25" customHeight="1">
      <c r="B3101" s="32" t="str">
        <f>IMAGE("https://gymvisual.com/8787-catalog_default/resistance-band-external-rotation.jpg",4,500,500)</f>
        <v/>
      </c>
      <c r="C3101" s="30">
        <v>3100.0</v>
      </c>
      <c r="D3101" s="16" t="s">
        <v>3935</v>
      </c>
      <c r="E3101" s="16" t="s">
        <v>184</v>
      </c>
      <c r="F3101" s="16" t="s">
        <v>192</v>
      </c>
      <c r="G3101" s="16" t="s">
        <v>523</v>
      </c>
      <c r="H3101" s="16" t="s">
        <v>2197</v>
      </c>
      <c r="I3101" s="16" t="s">
        <v>1541</v>
      </c>
    </row>
    <row r="3102" ht="242.25" customHeight="1">
      <c r="B3102" s="32" t="str">
        <f>IMAGE("https://gymvisual.com/10506-catalog_default/resistance-band-floor-hyperextension.jpg",4,500,500)</f>
        <v/>
      </c>
      <c r="C3102" s="30">
        <v>3101.0</v>
      </c>
      <c r="D3102" s="16" t="s">
        <v>3936</v>
      </c>
      <c r="E3102" s="16" t="s">
        <v>184</v>
      </c>
      <c r="F3102" s="16" t="s">
        <v>192</v>
      </c>
      <c r="G3102" s="16" t="s">
        <v>523</v>
      </c>
      <c r="H3102" s="16" t="s">
        <v>275</v>
      </c>
      <c r="I3102" s="16" t="s">
        <v>2412</v>
      </c>
    </row>
    <row r="3103" ht="242.25" customHeight="1">
      <c r="B3103" s="32" t="str">
        <f>IMAGE("https://gymvisual.com/12513-catalog_default/resistance-band-foot-eversion.jpg",4,500,500)</f>
        <v/>
      </c>
      <c r="C3103" s="30">
        <v>3102.0</v>
      </c>
      <c r="D3103" s="16" t="s">
        <v>3937</v>
      </c>
      <c r="E3103" s="16" t="s">
        <v>184</v>
      </c>
      <c r="F3103" s="16" t="s">
        <v>325</v>
      </c>
      <c r="G3103" s="16" t="s">
        <v>523</v>
      </c>
      <c r="H3103" s="16" t="s">
        <v>220</v>
      </c>
      <c r="I3103" s="16" t="s">
        <v>220</v>
      </c>
    </row>
    <row r="3104" ht="242.25" customHeight="1">
      <c r="B3104" s="32" t="str">
        <f>IMAGE("https://gymvisual.com/12511-catalog_default/resistance-band-foot-external-rotation.jpg",4,500,500)</f>
        <v/>
      </c>
      <c r="C3104" s="30">
        <v>3103.0</v>
      </c>
      <c r="D3104" s="16" t="s">
        <v>3938</v>
      </c>
      <c r="E3104" s="16" t="s">
        <v>184</v>
      </c>
      <c r="F3104" s="16" t="s">
        <v>325</v>
      </c>
      <c r="G3104" s="16" t="s">
        <v>523</v>
      </c>
      <c r="H3104" s="16" t="s">
        <v>220</v>
      </c>
      <c r="I3104" s="16" t="s">
        <v>220</v>
      </c>
    </row>
    <row r="3105" ht="242.25" customHeight="1">
      <c r="B3105" s="32" t="str">
        <f>IMAGE("https://gymvisual.com/12514-catalog_default/resistance-band-foot-inversion.jpg",4,500,500)</f>
        <v/>
      </c>
      <c r="C3105" s="30">
        <v>3104.0</v>
      </c>
      <c r="D3105" s="16" t="s">
        <v>3939</v>
      </c>
      <c r="E3105" s="16" t="s">
        <v>184</v>
      </c>
      <c r="F3105" s="16" t="s">
        <v>325</v>
      </c>
      <c r="G3105" s="16" t="s">
        <v>523</v>
      </c>
      <c r="H3105" s="16" t="s">
        <v>220</v>
      </c>
      <c r="I3105" s="16" t="s">
        <v>220</v>
      </c>
    </row>
    <row r="3106" ht="242.25" customHeight="1">
      <c r="B3106" s="32" t="str">
        <f>IMAGE("https://gymvisual.com/12512-catalog_default/resistance-band-foot-plantar-flexion.jpg",4,500,500)</f>
        <v/>
      </c>
      <c r="C3106" s="30">
        <v>3105.0</v>
      </c>
      <c r="D3106" s="16" t="s">
        <v>3940</v>
      </c>
      <c r="E3106" s="16" t="s">
        <v>184</v>
      </c>
      <c r="F3106" s="16" t="s">
        <v>325</v>
      </c>
      <c r="G3106" s="16" t="s">
        <v>523</v>
      </c>
      <c r="H3106" s="16" t="s">
        <v>220</v>
      </c>
      <c r="I3106" s="16" t="s">
        <v>220</v>
      </c>
    </row>
    <row r="3107" ht="242.25" customHeight="1">
      <c r="B3107" s="32" t="str">
        <f>IMAGE("https://gymvisual.com/8788-catalog_default/resistance-band-front-plank-with-kicked-leg.jpg",4,500,500)</f>
        <v/>
      </c>
      <c r="C3107" s="30">
        <v>3106.0</v>
      </c>
      <c r="D3107" s="16" t="s">
        <v>3941</v>
      </c>
      <c r="E3107" s="16" t="s">
        <v>184</v>
      </c>
      <c r="F3107" s="16" t="s">
        <v>310</v>
      </c>
      <c r="G3107" s="16" t="s">
        <v>523</v>
      </c>
      <c r="H3107" s="16" t="s">
        <v>3942</v>
      </c>
      <c r="I3107" s="16" t="s">
        <v>3943</v>
      </c>
    </row>
    <row r="3108" ht="242.25" customHeight="1">
      <c r="B3108" s="32" t="str">
        <f>IMAGE("https://gymvisual.com/17681-catalog_default/resistance-band-front-plank-with-single-arm-pulldown.jpg",4,500,500)</f>
        <v/>
      </c>
      <c r="C3108" s="30">
        <v>3107.0</v>
      </c>
      <c r="D3108" s="16" t="s">
        <v>3944</v>
      </c>
      <c r="E3108" s="16" t="s">
        <v>184</v>
      </c>
      <c r="F3108" s="16" t="s">
        <v>192</v>
      </c>
      <c r="G3108" s="16" t="s">
        <v>523</v>
      </c>
      <c r="H3108" s="16" t="s">
        <v>220</v>
      </c>
      <c r="I3108" s="16" t="s">
        <v>220</v>
      </c>
    </row>
    <row r="3109" ht="242.25" customHeight="1">
      <c r="B3109" s="32" t="str">
        <f>IMAGE("https://gymvisual.com/8789-catalog_default/resistance-band-full-squat.jpg",4,500,500)</f>
        <v/>
      </c>
      <c r="C3109" s="30">
        <v>3108.0</v>
      </c>
      <c r="D3109" s="16" t="s">
        <v>3945</v>
      </c>
      <c r="E3109" s="16" t="s">
        <v>184</v>
      </c>
      <c r="F3109" s="16" t="s">
        <v>294</v>
      </c>
      <c r="G3109" s="16" t="s">
        <v>3946</v>
      </c>
      <c r="H3109" s="16" t="s">
        <v>189</v>
      </c>
      <c r="I3109" s="16" t="s">
        <v>190</v>
      </c>
    </row>
    <row r="3110" ht="242.25" customHeight="1">
      <c r="B3110" s="32" t="str">
        <f>IMAGE("https://gymvisual.com/8790-catalog_default/resistance-band-glute-bridge.jpg",4,500,500)</f>
        <v/>
      </c>
      <c r="C3110" s="30">
        <v>3109.0</v>
      </c>
      <c r="D3110" s="16" t="s">
        <v>3947</v>
      </c>
      <c r="E3110" s="16" t="s">
        <v>184</v>
      </c>
      <c r="F3110" s="16" t="s">
        <v>185</v>
      </c>
      <c r="G3110" s="16" t="s">
        <v>523</v>
      </c>
      <c r="H3110" s="16" t="s">
        <v>187</v>
      </c>
      <c r="I3110" s="16" t="s">
        <v>854</v>
      </c>
    </row>
    <row r="3111" ht="242.25" customHeight="1">
      <c r="B3111" s="32" t="str">
        <f>IMAGE("https://gymvisual.com/11224-catalog_default/resistance-band-glute-bridge-female.jpg",4,500,500)</f>
        <v/>
      </c>
      <c r="C3111" s="30">
        <v>3110.0</v>
      </c>
      <c r="D3111" s="16" t="s">
        <v>3948</v>
      </c>
      <c r="E3111" s="16" t="s">
        <v>184</v>
      </c>
      <c r="F3111" s="16" t="s">
        <v>185</v>
      </c>
      <c r="G3111" s="16" t="s">
        <v>523</v>
      </c>
      <c r="H3111" s="16" t="s">
        <v>220</v>
      </c>
      <c r="I3111" s="16" t="s">
        <v>220</v>
      </c>
    </row>
    <row r="3112" ht="242.25" customHeight="1">
      <c r="B3112" s="32" t="str">
        <f>IMAGE("https://gymvisual.com/18025-catalog_default/resistance-band-half-kneeling-face-pull.jpg",4,500,500)</f>
        <v/>
      </c>
      <c r="C3112" s="30">
        <v>3111.0</v>
      </c>
      <c r="D3112" s="16" t="s">
        <v>3949</v>
      </c>
      <c r="E3112" s="16" t="s">
        <v>184</v>
      </c>
      <c r="F3112" s="16" t="s">
        <v>228</v>
      </c>
      <c r="G3112" s="16" t="s">
        <v>523</v>
      </c>
      <c r="H3112" s="16" t="s">
        <v>408</v>
      </c>
      <c r="I3112" s="16" t="s">
        <v>3950</v>
      </c>
    </row>
    <row r="3113" ht="242.25" customHeight="1">
      <c r="B3113" s="32" t="str">
        <f>IMAGE("https://gymvisual.com/19727-catalog_default/resistance-band-hammer-curl.jpg",4,500,500)</f>
        <v/>
      </c>
      <c r="C3113" s="30">
        <v>3112.0</v>
      </c>
      <c r="D3113" s="16" t="s">
        <v>3951</v>
      </c>
      <c r="E3113" s="16" t="s">
        <v>184</v>
      </c>
      <c r="F3113" s="16" t="s">
        <v>214</v>
      </c>
      <c r="G3113" s="16" t="s">
        <v>523</v>
      </c>
      <c r="H3113" s="16" t="s">
        <v>216</v>
      </c>
      <c r="I3113" s="16" t="s">
        <v>217</v>
      </c>
    </row>
    <row r="3114" ht="242.25" customHeight="1">
      <c r="B3114" s="32" t="str">
        <f>IMAGE("https://gymvisual.com/11837-catalog_default/resistance-band-hip-thrust.jpg",4,500,500)</f>
        <v/>
      </c>
      <c r="C3114" s="30">
        <v>3113.0</v>
      </c>
      <c r="D3114" s="16" t="s">
        <v>3952</v>
      </c>
      <c r="E3114" s="16" t="s">
        <v>184</v>
      </c>
      <c r="F3114" s="16" t="s">
        <v>185</v>
      </c>
      <c r="G3114" s="16" t="s">
        <v>523</v>
      </c>
      <c r="H3114" s="16" t="s">
        <v>187</v>
      </c>
      <c r="I3114" s="16" t="s">
        <v>188</v>
      </c>
    </row>
    <row r="3115" ht="242.25" customHeight="1">
      <c r="B3115" s="32" t="str">
        <f>IMAGE("https://gymvisual.com/17833-catalog_default/resistance-band-hip-thrusts.jpg",4,500,500)</f>
        <v/>
      </c>
      <c r="C3115" s="30">
        <v>3114.0</v>
      </c>
      <c r="D3115" s="16" t="s">
        <v>3953</v>
      </c>
      <c r="E3115" s="16" t="s">
        <v>184</v>
      </c>
      <c r="F3115" s="16" t="s">
        <v>185</v>
      </c>
      <c r="G3115" s="16" t="s">
        <v>523</v>
      </c>
      <c r="H3115" s="16" t="s">
        <v>187</v>
      </c>
      <c r="I3115" s="16" t="s">
        <v>854</v>
      </c>
    </row>
    <row r="3116" ht="242.25" customHeight="1">
      <c r="B3116" s="32" t="str">
        <f>IMAGE("https://gymvisual.com/12988-catalog_default/resistance-band-hip-thrusts-on-knees-female.jpg",4,500,500)</f>
        <v/>
      </c>
      <c r="C3116" s="30">
        <v>3115.0</v>
      </c>
      <c r="D3116" s="16" t="s">
        <v>3954</v>
      </c>
      <c r="E3116" s="16" t="s">
        <v>184</v>
      </c>
      <c r="F3116" s="16" t="s">
        <v>185</v>
      </c>
      <c r="G3116" s="16" t="s">
        <v>523</v>
      </c>
      <c r="H3116" s="16" t="s">
        <v>187</v>
      </c>
      <c r="I3116" s="16" t="s">
        <v>188</v>
      </c>
    </row>
    <row r="3117" ht="242.25" customHeight="1">
      <c r="B3117" s="32" t="str">
        <f>IMAGE("https://gymvisual.com/18095-catalog_default/resistance-band-horizontal-pallof-press.jpg",4,500,500)</f>
        <v/>
      </c>
      <c r="C3117" s="30">
        <v>3116.0</v>
      </c>
      <c r="D3117" s="16" t="s">
        <v>3955</v>
      </c>
      <c r="E3117" s="16" t="s">
        <v>184</v>
      </c>
      <c r="F3117" s="16" t="s">
        <v>254</v>
      </c>
      <c r="G3117" s="16" t="s">
        <v>523</v>
      </c>
      <c r="H3117" s="16" t="s">
        <v>257</v>
      </c>
      <c r="I3117" s="16" t="s">
        <v>220</v>
      </c>
    </row>
    <row r="3118" ht="242.25" customHeight="1">
      <c r="B3118" s="32" t="str">
        <f>IMAGE("https://gymvisual.com/19427-catalog_default/resistance-band-inverted-row.jpg",4,500,500)</f>
        <v/>
      </c>
      <c r="C3118" s="30">
        <v>3117.0</v>
      </c>
      <c r="D3118" s="16" t="s">
        <v>3956</v>
      </c>
      <c r="E3118" s="16" t="s">
        <v>184</v>
      </c>
      <c r="F3118" s="16" t="s">
        <v>192</v>
      </c>
      <c r="G3118" s="16" t="s">
        <v>523</v>
      </c>
      <c r="H3118" s="16" t="s">
        <v>220</v>
      </c>
      <c r="I3118" s="16" t="s">
        <v>220</v>
      </c>
    </row>
    <row r="3119" ht="242.25" customHeight="1">
      <c r="B3119" s="32" t="str">
        <f>IMAGE("https://gymvisual.com/20397-catalog_default/resistance-band-kneeling-ab-crunch.jpg",4,500,500)</f>
        <v/>
      </c>
      <c r="C3119" s="30">
        <v>3118.0</v>
      </c>
      <c r="D3119" s="16" t="s">
        <v>3957</v>
      </c>
      <c r="E3119" s="16" t="s">
        <v>184</v>
      </c>
      <c r="F3119" s="16" t="s">
        <v>254</v>
      </c>
      <c r="G3119" s="16" t="s">
        <v>523</v>
      </c>
      <c r="H3119" s="16" t="s">
        <v>256</v>
      </c>
      <c r="I3119" s="16" t="s">
        <v>257</v>
      </c>
    </row>
    <row r="3120" ht="242.25" customHeight="1">
      <c r="B3120" s="32" t="str">
        <f>IMAGE("https://gymvisual.com/20407-catalog_default/resistance-band-kneeling-ab-crunch-version-2.jpg",4,500,500)</f>
        <v/>
      </c>
      <c r="C3120" s="30">
        <v>3119.0</v>
      </c>
      <c r="D3120" s="16" t="s">
        <v>3958</v>
      </c>
      <c r="E3120" s="16" t="s">
        <v>184</v>
      </c>
      <c r="F3120" s="16" t="s">
        <v>254</v>
      </c>
      <c r="G3120" s="16" t="s">
        <v>523</v>
      </c>
      <c r="H3120" s="16" t="s">
        <v>256</v>
      </c>
      <c r="I3120" s="16" t="s">
        <v>257</v>
      </c>
    </row>
    <row r="3121" ht="242.25" customHeight="1">
      <c r="B3121" s="32" t="str">
        <f>IMAGE("https://gymvisual.com/8791-catalog_default/resistance-band-kneeling-side-plank.jpg",4,500,500)</f>
        <v/>
      </c>
      <c r="C3121" s="30">
        <v>3120.0</v>
      </c>
      <c r="D3121" s="16" t="s">
        <v>3959</v>
      </c>
      <c r="E3121" s="16" t="s">
        <v>184</v>
      </c>
      <c r="F3121" s="16" t="s">
        <v>185</v>
      </c>
      <c r="G3121" s="16" t="s">
        <v>523</v>
      </c>
      <c r="H3121" s="16" t="s">
        <v>475</v>
      </c>
      <c r="I3121" s="16" t="s">
        <v>1206</v>
      </c>
    </row>
    <row r="3122" ht="242.25" customHeight="1">
      <c r="B3122" s="32" t="str">
        <f>IMAGE("https://gymvisual.com/20409-catalog_default/resistance-band-kneeling-woodchop.jpg",4,500,500)</f>
        <v/>
      </c>
      <c r="C3122" s="30">
        <v>3121.0</v>
      </c>
      <c r="D3122" s="16" t="s">
        <v>3960</v>
      </c>
      <c r="E3122" s="16" t="s">
        <v>184</v>
      </c>
      <c r="F3122" s="16" t="s">
        <v>254</v>
      </c>
      <c r="G3122" s="16" t="s">
        <v>523</v>
      </c>
      <c r="H3122" s="16" t="s">
        <v>1697</v>
      </c>
      <c r="I3122" s="16" t="s">
        <v>3961</v>
      </c>
    </row>
    <row r="3123" ht="242.25" customHeight="1">
      <c r="B3123" s="32" t="str">
        <f>IMAGE("https://gymvisual.com/10505-catalog_default/resistance-band-leg-curl.jpg",4,500,500)</f>
        <v/>
      </c>
      <c r="C3123" s="30">
        <v>3122.0</v>
      </c>
      <c r="D3123" s="16" t="s">
        <v>3962</v>
      </c>
      <c r="E3123" s="16" t="s">
        <v>184</v>
      </c>
      <c r="F3123" s="16" t="s">
        <v>285</v>
      </c>
      <c r="G3123" s="16" t="s">
        <v>523</v>
      </c>
      <c r="H3123" s="16" t="s">
        <v>188</v>
      </c>
      <c r="I3123" s="16" t="s">
        <v>552</v>
      </c>
    </row>
    <row r="3124" ht="242.25" customHeight="1">
      <c r="B3124" s="32" t="str">
        <f>IMAGE("https://gymvisual.com/17519-catalog_default/resistance-band-leg-curl-male.jpg",4,500,500)</f>
        <v/>
      </c>
      <c r="C3124" s="30">
        <v>3123.0</v>
      </c>
      <c r="D3124" s="16" t="s">
        <v>3963</v>
      </c>
      <c r="E3124" s="16" t="s">
        <v>184</v>
      </c>
      <c r="F3124" s="16" t="s">
        <v>285</v>
      </c>
      <c r="G3124" s="16" t="s">
        <v>523</v>
      </c>
      <c r="H3124" s="16" t="s">
        <v>188</v>
      </c>
      <c r="I3124" s="16" t="s">
        <v>561</v>
      </c>
    </row>
    <row r="3125" ht="242.25" customHeight="1">
      <c r="B3125" s="32" t="str">
        <f>IMAGE("https://gymvisual.com/12468-catalog_default/resistance-band-leg-extension.jpg",4,500,500)</f>
        <v/>
      </c>
      <c r="C3125" s="30">
        <v>3124.0</v>
      </c>
      <c r="D3125" s="16" t="s">
        <v>3964</v>
      </c>
      <c r="E3125" s="16" t="s">
        <v>184</v>
      </c>
      <c r="F3125" s="16" t="s">
        <v>285</v>
      </c>
      <c r="G3125" s="16" t="s">
        <v>523</v>
      </c>
      <c r="H3125" s="16" t="s">
        <v>552</v>
      </c>
      <c r="I3125" s="16" t="s">
        <v>3965</v>
      </c>
    </row>
    <row r="3126" ht="242.25" customHeight="1">
      <c r="B3126" s="32" t="str">
        <f>IMAGE("https://gymvisual.com/12471-catalog_default/resistance-band-leg-extension-female.jpg",4,500,500)</f>
        <v/>
      </c>
      <c r="C3126" s="30">
        <v>3125.0</v>
      </c>
      <c r="D3126" s="16" t="s">
        <v>3966</v>
      </c>
      <c r="E3126" s="16" t="s">
        <v>184</v>
      </c>
      <c r="F3126" s="16" t="s">
        <v>285</v>
      </c>
      <c r="G3126" s="16" t="s">
        <v>523</v>
      </c>
      <c r="H3126" s="16" t="s">
        <v>552</v>
      </c>
      <c r="I3126" s="16" t="s">
        <v>3965</v>
      </c>
    </row>
    <row r="3127" ht="242.25" customHeight="1">
      <c r="B3127" s="32" t="str">
        <f>IMAGE("https://gymvisual.com/8792-catalog_default/resistance-band-leg-kickback.jpg",4,500,500)</f>
        <v/>
      </c>
      <c r="C3127" s="30">
        <v>3126.0</v>
      </c>
      <c r="D3127" s="16" t="s">
        <v>3967</v>
      </c>
      <c r="E3127" s="16" t="s">
        <v>184</v>
      </c>
      <c r="F3127" s="16" t="s">
        <v>185</v>
      </c>
      <c r="G3127" s="16" t="s">
        <v>523</v>
      </c>
      <c r="H3127" s="16" t="s">
        <v>187</v>
      </c>
      <c r="I3127" s="16" t="s">
        <v>188</v>
      </c>
    </row>
    <row r="3128" ht="242.25" customHeight="1">
      <c r="B3128" s="32" t="str">
        <f>IMAGE("https://gymvisual.com/10502-catalog_default/resistance-band-leg-lift.jpg",4,500,500)</f>
        <v/>
      </c>
      <c r="C3128" s="30">
        <v>3127.0</v>
      </c>
      <c r="D3128" s="16" t="s">
        <v>3968</v>
      </c>
      <c r="E3128" s="16" t="s">
        <v>184</v>
      </c>
      <c r="F3128" s="16" t="s">
        <v>285</v>
      </c>
      <c r="G3128" s="16" t="s">
        <v>523</v>
      </c>
      <c r="H3128" s="16" t="s">
        <v>552</v>
      </c>
      <c r="I3128" s="16" t="s">
        <v>553</v>
      </c>
    </row>
    <row r="3129" ht="242.25" customHeight="1">
      <c r="B3129" s="32" t="str">
        <f>IMAGE("https://gymvisual.com/10507-catalog_default/resistance-band-lunge.jpg",4,500,500)</f>
        <v/>
      </c>
      <c r="C3129" s="30">
        <v>3128.0</v>
      </c>
      <c r="D3129" s="16" t="s">
        <v>3969</v>
      </c>
      <c r="E3129" s="16" t="s">
        <v>184</v>
      </c>
      <c r="F3129" s="16" t="s">
        <v>285</v>
      </c>
      <c r="G3129" s="16" t="s">
        <v>523</v>
      </c>
      <c r="H3129" s="16" t="s">
        <v>189</v>
      </c>
      <c r="I3129" s="16" t="s">
        <v>190</v>
      </c>
    </row>
    <row r="3130" ht="242.25" customHeight="1">
      <c r="B3130" s="32" t="str">
        <f>IMAGE("https://gymvisual.com/10504-catalog_default/resistance-band-lying-abduction.jpg",4,500,500)</f>
        <v/>
      </c>
      <c r="C3130" s="30">
        <v>3129.0</v>
      </c>
      <c r="D3130" s="16" t="s">
        <v>3970</v>
      </c>
      <c r="E3130" s="16" t="s">
        <v>184</v>
      </c>
      <c r="F3130" s="16" t="s">
        <v>185</v>
      </c>
      <c r="G3130" s="16" t="s">
        <v>523</v>
      </c>
      <c r="H3130" s="16" t="s">
        <v>475</v>
      </c>
      <c r="I3130" s="16" t="s">
        <v>476</v>
      </c>
    </row>
    <row r="3131" ht="242.25" customHeight="1">
      <c r="B3131" s="32" t="str">
        <f>IMAGE("https://gymvisual.com/8793-catalog_default/resistance-band-lying-leg-raise.jpg",4,500,500)</f>
        <v/>
      </c>
      <c r="C3131" s="30">
        <v>3130.0</v>
      </c>
      <c r="D3131" s="16" t="s">
        <v>3971</v>
      </c>
      <c r="E3131" s="16" t="s">
        <v>184</v>
      </c>
      <c r="F3131" s="16" t="s">
        <v>185</v>
      </c>
      <c r="G3131" s="16" t="s">
        <v>523</v>
      </c>
      <c r="H3131" s="16" t="s">
        <v>475</v>
      </c>
      <c r="I3131" s="16" t="s">
        <v>476</v>
      </c>
    </row>
    <row r="3132" ht="242.25" customHeight="1">
      <c r="B3132" s="32" t="str">
        <f>IMAGE("https://gymvisual.com/19227-catalog_default/resistance-band-one-arm-bent-over-row.jpg",4,500,500)</f>
        <v/>
      </c>
      <c r="C3132" s="30">
        <v>3131.0</v>
      </c>
      <c r="D3132" s="16" t="s">
        <v>3972</v>
      </c>
      <c r="E3132" s="16" t="s">
        <v>184</v>
      </c>
      <c r="F3132" s="16" t="s">
        <v>192</v>
      </c>
      <c r="G3132" s="16" t="s">
        <v>523</v>
      </c>
      <c r="H3132" s="16" t="s">
        <v>329</v>
      </c>
      <c r="I3132" s="16" t="s">
        <v>447</v>
      </c>
    </row>
    <row r="3133" ht="242.25" customHeight="1">
      <c r="B3133" s="32" t="str">
        <f>IMAGE("https://gymvisual.com/8795-catalog_default/resistance-band-one-leg-glute-bridge.jpg",4,500,500)</f>
        <v/>
      </c>
      <c r="C3133" s="30">
        <v>3132.0</v>
      </c>
      <c r="D3133" s="16" t="s">
        <v>3973</v>
      </c>
      <c r="E3133" s="16" t="s">
        <v>184</v>
      </c>
      <c r="F3133" s="16" t="s">
        <v>185</v>
      </c>
      <c r="G3133" s="16" t="s">
        <v>523</v>
      </c>
      <c r="H3133" s="16" t="s">
        <v>187</v>
      </c>
      <c r="I3133" s="16" t="s">
        <v>854</v>
      </c>
    </row>
    <row r="3134" ht="242.25" customHeight="1">
      <c r="B3134" s="32" t="str">
        <f>IMAGE("https://gymvisual.com/11227-catalog_default/resistance-band-one-leg-glute-bridge-female.jpg",4,500,500)</f>
        <v/>
      </c>
      <c r="C3134" s="30">
        <v>3133.0</v>
      </c>
      <c r="D3134" s="16" t="s">
        <v>3974</v>
      </c>
      <c r="E3134" s="16" t="s">
        <v>184</v>
      </c>
      <c r="F3134" s="16" t="s">
        <v>185</v>
      </c>
      <c r="G3134" s="16" t="s">
        <v>523</v>
      </c>
      <c r="H3134" s="16" t="s">
        <v>220</v>
      </c>
      <c r="I3134" s="16" t="s">
        <v>220</v>
      </c>
    </row>
    <row r="3135" ht="242.25" customHeight="1">
      <c r="B3135" s="32" t="str">
        <f>IMAGE("https://gymvisual.com/8794-catalog_default/resistance-band-one-leg-glute-bridge-with-straight-leg.jpg",4,500,500)</f>
        <v/>
      </c>
      <c r="C3135" s="30">
        <v>3134.0</v>
      </c>
      <c r="D3135" s="16" t="s">
        <v>3975</v>
      </c>
      <c r="E3135" s="16" t="s">
        <v>184</v>
      </c>
      <c r="F3135" s="16" t="s">
        <v>185</v>
      </c>
      <c r="G3135" s="16" t="s">
        <v>523</v>
      </c>
      <c r="H3135" s="16" t="s">
        <v>187</v>
      </c>
      <c r="I3135" s="16" t="s">
        <v>854</v>
      </c>
    </row>
    <row r="3136" ht="242.25" customHeight="1">
      <c r="B3136" s="32" t="str">
        <f>IMAGE("https://gymvisual.com/8797-catalog_default/resistance-band-one-leg-kickback.jpg",4,500,500)</f>
        <v/>
      </c>
      <c r="C3136" s="30">
        <v>3135.0</v>
      </c>
      <c r="D3136" s="16" t="s">
        <v>3976</v>
      </c>
      <c r="E3136" s="16" t="s">
        <v>184</v>
      </c>
      <c r="F3136" s="16" t="s">
        <v>185</v>
      </c>
      <c r="G3136" s="16" t="s">
        <v>523</v>
      </c>
      <c r="H3136" s="16" t="s">
        <v>187</v>
      </c>
      <c r="I3136" s="16" t="s">
        <v>188</v>
      </c>
    </row>
    <row r="3137" ht="242.25" customHeight="1">
      <c r="B3137" s="32" t="str">
        <f>IMAGE("https://gymvisual.com/8796-catalog_default/resistance-band-one-leg-kickback-bent-position.jpg",4,500,500)</f>
        <v/>
      </c>
      <c r="C3137" s="30">
        <v>3136.0</v>
      </c>
      <c r="D3137" s="16" t="s">
        <v>3977</v>
      </c>
      <c r="E3137" s="16" t="s">
        <v>184</v>
      </c>
      <c r="F3137" s="16" t="s">
        <v>185</v>
      </c>
      <c r="G3137" s="16" t="s">
        <v>523</v>
      </c>
      <c r="H3137" s="16" t="s">
        <v>187</v>
      </c>
      <c r="I3137" s="16" t="s">
        <v>188</v>
      </c>
    </row>
    <row r="3138" ht="242.25" customHeight="1">
      <c r="B3138" s="32" t="str">
        <f>IMAGE("https://gymvisual.com/17150-catalog_default/resistance-band-one-leg-kickback-bent-position-male.jpg",4,500,500)</f>
        <v/>
      </c>
      <c r="C3138" s="30">
        <v>3137.0</v>
      </c>
      <c r="D3138" s="16" t="s">
        <v>3978</v>
      </c>
      <c r="E3138" s="16" t="s">
        <v>184</v>
      </c>
      <c r="F3138" s="16" t="s">
        <v>185</v>
      </c>
      <c r="G3138" s="16" t="s">
        <v>523</v>
      </c>
      <c r="H3138" s="16" t="s">
        <v>187</v>
      </c>
      <c r="I3138" s="16" t="s">
        <v>188</v>
      </c>
    </row>
    <row r="3139" ht="242.25" customHeight="1">
      <c r="B3139" s="32" t="str">
        <f>IMAGE("https://gymvisual.com/20403-catalog_default/resistance-band-overhead-shoulder-press.jpg",4,500,500)</f>
        <v/>
      </c>
      <c r="C3139" s="30">
        <v>3138.0</v>
      </c>
      <c r="D3139" s="16" t="s">
        <v>3979</v>
      </c>
      <c r="E3139" s="16" t="s">
        <v>184</v>
      </c>
      <c r="F3139" s="16" t="s">
        <v>228</v>
      </c>
      <c r="G3139" s="16" t="s">
        <v>523</v>
      </c>
      <c r="H3139" s="16" t="s">
        <v>229</v>
      </c>
      <c r="I3139" s="16" t="s">
        <v>626</v>
      </c>
    </row>
    <row r="3140" ht="242.25" customHeight="1">
      <c r="B3140" s="32" t="str">
        <f>IMAGE("https://gymvisual.com/18015-catalog_default/resistance-band-overhead-squat.jpg",4,500,500)</f>
        <v/>
      </c>
      <c r="C3140" s="30">
        <v>3139.0</v>
      </c>
      <c r="D3140" s="16" t="s">
        <v>3980</v>
      </c>
      <c r="E3140" s="16" t="s">
        <v>184</v>
      </c>
      <c r="F3140" s="16" t="s">
        <v>185</v>
      </c>
      <c r="G3140" s="16" t="s">
        <v>523</v>
      </c>
      <c r="H3140" s="16" t="s">
        <v>220</v>
      </c>
      <c r="I3140" s="16" t="s">
        <v>220</v>
      </c>
    </row>
    <row r="3141" ht="242.25" customHeight="1">
      <c r="B3141" s="32" t="str">
        <f>IMAGE("https://gymvisual.com/8798-catalog_default/resistance-band-plank-march.jpg",4,500,500)</f>
        <v/>
      </c>
      <c r="C3141" s="30">
        <v>3140.0</v>
      </c>
      <c r="D3141" s="16" t="s">
        <v>3981</v>
      </c>
      <c r="E3141" s="16" t="s">
        <v>184</v>
      </c>
      <c r="F3141" s="16" t="s">
        <v>285</v>
      </c>
      <c r="G3141" s="16" t="s">
        <v>523</v>
      </c>
      <c r="H3141" s="16" t="s">
        <v>188</v>
      </c>
      <c r="I3141" s="16" t="s">
        <v>1332</v>
      </c>
    </row>
    <row r="3142" ht="242.25" customHeight="1">
      <c r="B3142" s="32" t="str">
        <f>IMAGE("https://gymvisual.com/11230-catalog_default/resistance-band-plank-march-female.jpg",4,500,500)</f>
        <v/>
      </c>
      <c r="C3142" s="30">
        <v>3141.0</v>
      </c>
      <c r="D3142" s="16" t="s">
        <v>3982</v>
      </c>
      <c r="E3142" s="16" t="s">
        <v>184</v>
      </c>
      <c r="F3142" s="16" t="s">
        <v>185</v>
      </c>
      <c r="G3142" s="16" t="s">
        <v>523</v>
      </c>
      <c r="H3142" s="16" t="s">
        <v>220</v>
      </c>
      <c r="I3142" s="16" t="s">
        <v>220</v>
      </c>
    </row>
    <row r="3143" ht="242.25" customHeight="1">
      <c r="B3143" s="32" t="str">
        <f>IMAGE("https://gymvisual.com/19225-catalog_default/resistance-band-pull-apart.jpg",4,500,500)</f>
        <v/>
      </c>
      <c r="C3143" s="30">
        <v>3142.0</v>
      </c>
      <c r="D3143" s="16" t="s">
        <v>3983</v>
      </c>
      <c r="E3143" s="16" t="s">
        <v>184</v>
      </c>
      <c r="F3143" s="16" t="s">
        <v>228</v>
      </c>
      <c r="G3143" s="16" t="s">
        <v>523</v>
      </c>
      <c r="H3143" s="16" t="s">
        <v>408</v>
      </c>
      <c r="I3143" s="16" t="s">
        <v>731</v>
      </c>
    </row>
    <row r="3144" ht="242.25" customHeight="1">
      <c r="B3144" s="32" t="str">
        <f>IMAGE("https://gymvisual.com/20996-catalog_default/resistance-band-pull-apart-45-degrees.jpg",4,500,500)</f>
        <v/>
      </c>
      <c r="C3144" s="30">
        <v>3143.0</v>
      </c>
      <c r="D3144" s="16" t="s">
        <v>3984</v>
      </c>
      <c r="E3144" s="16" t="s">
        <v>184</v>
      </c>
      <c r="F3144" s="16" t="s">
        <v>228</v>
      </c>
      <c r="G3144" s="16" t="s">
        <v>523</v>
      </c>
      <c r="H3144" s="16" t="s">
        <v>408</v>
      </c>
      <c r="I3144" s="16" t="s">
        <v>731</v>
      </c>
    </row>
    <row r="3145" ht="242.25" customHeight="1">
      <c r="B3145" s="32" t="str">
        <f>IMAGE("https://gymvisual.com/25725-catalog_default/resistance-band-pull-through-female.jpg",4,500,500)</f>
        <v/>
      </c>
      <c r="C3145" s="30">
        <v>3144.0</v>
      </c>
      <c r="D3145" s="16" t="s">
        <v>3985</v>
      </c>
      <c r="E3145" s="16" t="s">
        <v>184</v>
      </c>
      <c r="F3145" s="16" t="s">
        <v>185</v>
      </c>
      <c r="G3145" s="16" t="s">
        <v>523</v>
      </c>
      <c r="H3145" s="16" t="s">
        <v>187</v>
      </c>
      <c r="I3145" s="16" t="s">
        <v>188</v>
      </c>
    </row>
    <row r="3146" ht="242.25" customHeight="1">
      <c r="B3146" s="32" t="str">
        <f>IMAGE("https://gymvisual.com/19493-catalog_default/resistance-band-pullapart-pronated-at-90-degrees.jpg",4,500,500)</f>
        <v/>
      </c>
      <c r="C3146" s="30">
        <v>3145.0</v>
      </c>
      <c r="D3146" s="16" t="s">
        <v>3986</v>
      </c>
      <c r="E3146" s="16" t="s">
        <v>184</v>
      </c>
      <c r="F3146" s="16" t="s">
        <v>228</v>
      </c>
      <c r="G3146" s="16" t="s">
        <v>523</v>
      </c>
      <c r="H3146" s="16" t="s">
        <v>220</v>
      </c>
      <c r="I3146" s="16" t="s">
        <v>220</v>
      </c>
    </row>
    <row r="3147" ht="242.25" customHeight="1">
      <c r="B3147" s="32" t="str">
        <f>IMAGE("https://gymvisual.com/12195-catalog_default/resistance-band-pullapart-supination-at-90-degrees.jpg",4,500,500)</f>
        <v/>
      </c>
      <c r="C3147" s="30">
        <v>3146.0</v>
      </c>
      <c r="D3147" s="16" t="s">
        <v>3987</v>
      </c>
      <c r="E3147" s="16" t="s">
        <v>184</v>
      </c>
      <c r="F3147" s="16" t="s">
        <v>192</v>
      </c>
      <c r="G3147" s="16" t="s">
        <v>523</v>
      </c>
      <c r="H3147" s="16" t="s">
        <v>220</v>
      </c>
      <c r="I3147" s="16" t="s">
        <v>220</v>
      </c>
    </row>
    <row r="3148" ht="242.25" customHeight="1">
      <c r="B3148" s="32" t="str">
        <f>IMAGE("https://gymvisual.com/17695-catalog_default/resistance-band-punch.jpg",4,500,500)</f>
        <v/>
      </c>
      <c r="C3148" s="30">
        <v>3147.0</v>
      </c>
      <c r="D3148" s="16" t="s">
        <v>3988</v>
      </c>
      <c r="E3148" s="16" t="s">
        <v>184</v>
      </c>
      <c r="F3148" s="16" t="s">
        <v>234</v>
      </c>
      <c r="G3148" s="16" t="s">
        <v>523</v>
      </c>
      <c r="H3148" s="16" t="s">
        <v>220</v>
      </c>
      <c r="I3148" s="16" t="s">
        <v>220</v>
      </c>
    </row>
    <row r="3149" ht="242.25" customHeight="1">
      <c r="B3149" s="32" t="str">
        <f>IMAGE("https://gymvisual.com/19231-catalog_default/resistance-band-push-up.jpg",4,500,500)</f>
        <v/>
      </c>
      <c r="C3149" s="30">
        <v>3148.0</v>
      </c>
      <c r="D3149" s="16" t="s">
        <v>3989</v>
      </c>
      <c r="E3149" s="16" t="s">
        <v>184</v>
      </c>
      <c r="F3149" s="16" t="s">
        <v>234</v>
      </c>
      <c r="G3149" s="16" t="s">
        <v>523</v>
      </c>
      <c r="H3149" s="16" t="s">
        <v>235</v>
      </c>
      <c r="I3149" s="16" t="s">
        <v>1907</v>
      </c>
    </row>
    <row r="3150" ht="242.25" customHeight="1">
      <c r="B3150" s="32" t="str">
        <f>IMAGE("https://gymvisual.com/18007-catalog_default/resistance-band-rear-delt-row-male.jpg",4,500,500)</f>
        <v/>
      </c>
      <c r="C3150" s="30">
        <v>3149.0</v>
      </c>
      <c r="D3150" s="16" t="s">
        <v>3990</v>
      </c>
      <c r="E3150" s="16" t="s">
        <v>184</v>
      </c>
      <c r="F3150" s="16" t="s">
        <v>192</v>
      </c>
      <c r="G3150" s="16" t="s">
        <v>523</v>
      </c>
      <c r="H3150" s="16" t="s">
        <v>220</v>
      </c>
      <c r="I3150" s="16" t="s">
        <v>220</v>
      </c>
    </row>
    <row r="3151" ht="242.25" customHeight="1">
      <c r="B3151" s="32" t="str">
        <f>IMAGE("https://gymvisual.com/13211-catalog_default/resistance-band-rear-fly.jpg",4,500,500)</f>
        <v/>
      </c>
      <c r="C3151" s="30">
        <v>3150.0</v>
      </c>
      <c r="D3151" s="16" t="s">
        <v>3991</v>
      </c>
      <c r="E3151" s="16" t="s">
        <v>184</v>
      </c>
      <c r="F3151" s="16" t="s">
        <v>228</v>
      </c>
      <c r="G3151" s="16" t="s">
        <v>523</v>
      </c>
      <c r="H3151" s="16" t="s">
        <v>408</v>
      </c>
      <c r="I3151" s="16" t="s">
        <v>3992</v>
      </c>
    </row>
    <row r="3152" ht="242.25" customHeight="1">
      <c r="B3152" s="32" t="str">
        <f>IMAGE("https://gymvisual.com/8799-catalog_default/resistance-band-reverse-hyperextension.jpg",4,500,500)</f>
        <v/>
      </c>
      <c r="C3152" s="30">
        <v>3151.0</v>
      </c>
      <c r="D3152" s="16" t="s">
        <v>3993</v>
      </c>
      <c r="E3152" s="16" t="s">
        <v>184</v>
      </c>
      <c r="F3152" s="16" t="s">
        <v>185</v>
      </c>
      <c r="G3152" s="16" t="s">
        <v>523</v>
      </c>
      <c r="H3152" s="16" t="s">
        <v>187</v>
      </c>
      <c r="I3152" s="16" t="s">
        <v>188</v>
      </c>
    </row>
    <row r="3153" ht="242.25" customHeight="1">
      <c r="B3153" s="32" t="str">
        <f>IMAGE("https://gymvisual.com/12509-catalog_default/resistance-band-seated-biceps-curl.jpg",4,500,500)</f>
        <v/>
      </c>
      <c r="C3153" s="30">
        <v>3152.0</v>
      </c>
      <c r="D3153" s="16" t="s">
        <v>3994</v>
      </c>
      <c r="E3153" s="16" t="s">
        <v>184</v>
      </c>
      <c r="F3153" s="16" t="s">
        <v>219</v>
      </c>
      <c r="G3153" s="16" t="s">
        <v>523</v>
      </c>
      <c r="H3153" s="16" t="s">
        <v>220</v>
      </c>
      <c r="I3153" s="16" t="s">
        <v>220</v>
      </c>
    </row>
    <row r="3154" ht="242.25" customHeight="1">
      <c r="B3154" s="32" t="str">
        <f>IMAGE("https://gymvisual.com/12529-catalog_default/resistance-band-seated-biceps-curl-female.jpg",4,500,500)</f>
        <v/>
      </c>
      <c r="C3154" s="30">
        <v>3153.0</v>
      </c>
      <c r="D3154" s="16" t="s">
        <v>3995</v>
      </c>
      <c r="E3154" s="16" t="s">
        <v>184</v>
      </c>
      <c r="F3154" s="16" t="s">
        <v>219</v>
      </c>
      <c r="G3154" s="16" t="s">
        <v>523</v>
      </c>
      <c r="H3154" s="16" t="s">
        <v>241</v>
      </c>
      <c r="I3154" s="16" t="s">
        <v>292</v>
      </c>
    </row>
    <row r="3155" ht="242.25" customHeight="1">
      <c r="B3155" s="32" t="str">
        <f>IMAGE("https://gymvisual.com/12510-catalog_default/resistance-band-seated-chest-press.jpg",4,500,500)</f>
        <v/>
      </c>
      <c r="C3155" s="30">
        <v>3154.0</v>
      </c>
      <c r="D3155" s="16" t="s">
        <v>3996</v>
      </c>
      <c r="E3155" s="16" t="s">
        <v>184</v>
      </c>
      <c r="F3155" s="16" t="s">
        <v>234</v>
      </c>
      <c r="G3155" s="16" t="s">
        <v>523</v>
      </c>
      <c r="H3155" s="16" t="s">
        <v>220</v>
      </c>
      <c r="I3155" s="16" t="s">
        <v>220</v>
      </c>
    </row>
    <row r="3156" ht="242.25" customHeight="1">
      <c r="B3156" s="32" t="str">
        <f>IMAGE("https://gymvisual.com/12530-catalog_default/resistance-band-seated-chest-press-female.jpg",4,500,500)</f>
        <v/>
      </c>
      <c r="C3156" s="30">
        <v>3155.0</v>
      </c>
      <c r="D3156" s="16" t="s">
        <v>3997</v>
      </c>
      <c r="E3156" s="16" t="s">
        <v>184</v>
      </c>
      <c r="F3156" s="16" t="s">
        <v>234</v>
      </c>
      <c r="G3156" s="16" t="s">
        <v>523</v>
      </c>
      <c r="H3156" s="16" t="s">
        <v>235</v>
      </c>
      <c r="I3156" s="16" t="s">
        <v>243</v>
      </c>
    </row>
    <row r="3157" ht="242.25" customHeight="1">
      <c r="B3157" s="32" t="str">
        <f>IMAGE("https://gymvisual.com/19511-catalog_default/resistance-band-seated-face-pull.jpg",4,500,500)</f>
        <v/>
      </c>
      <c r="C3157" s="30">
        <v>3156.0</v>
      </c>
      <c r="D3157" s="16" t="s">
        <v>3998</v>
      </c>
      <c r="E3157" s="16" t="s">
        <v>184</v>
      </c>
      <c r="F3157" s="16" t="s">
        <v>228</v>
      </c>
      <c r="G3157" s="16" t="s">
        <v>523</v>
      </c>
      <c r="H3157" s="16" t="s">
        <v>220</v>
      </c>
      <c r="I3157" s="16" t="s">
        <v>220</v>
      </c>
    </row>
    <row r="3158" ht="242.25" customHeight="1">
      <c r="B3158" s="32" t="str">
        <f>IMAGE("https://gymvisual.com/12465-catalog_default/resistance-band-seated-hip-abduction.jpg",4,500,500)</f>
        <v/>
      </c>
      <c r="C3158" s="30">
        <v>3157.0</v>
      </c>
      <c r="D3158" s="16" t="s">
        <v>3999</v>
      </c>
      <c r="E3158" s="16" t="s">
        <v>184</v>
      </c>
      <c r="F3158" s="16" t="s">
        <v>185</v>
      </c>
      <c r="G3158" s="16" t="s">
        <v>523</v>
      </c>
      <c r="H3158" s="16" t="s">
        <v>475</v>
      </c>
      <c r="I3158" s="16" t="s">
        <v>476</v>
      </c>
    </row>
    <row r="3159" ht="242.25" customHeight="1">
      <c r="B3159" s="32" t="str">
        <f>IMAGE("https://gymvisual.com/12462-catalog_default/resistance-band-seated-hip-abduction-female.jpg",4,500,500)</f>
        <v/>
      </c>
      <c r="C3159" s="30">
        <v>3158.0</v>
      </c>
      <c r="D3159" s="16" t="s">
        <v>4000</v>
      </c>
      <c r="E3159" s="16" t="s">
        <v>184</v>
      </c>
      <c r="F3159" s="16" t="s">
        <v>185</v>
      </c>
      <c r="G3159" s="16" t="s">
        <v>523</v>
      </c>
      <c r="H3159" s="16" t="s">
        <v>475</v>
      </c>
      <c r="I3159" s="16" t="s">
        <v>476</v>
      </c>
    </row>
    <row r="3160" ht="242.25" customHeight="1">
      <c r="B3160" s="32" t="str">
        <f>IMAGE("https://gymvisual.com/20405-catalog_default/resistance-band-seated-leg-curl.jpg",4,500,500)</f>
        <v/>
      </c>
      <c r="C3160" s="30">
        <v>3159.0</v>
      </c>
      <c r="D3160" s="16" t="s">
        <v>4001</v>
      </c>
      <c r="E3160" s="16" t="s">
        <v>184</v>
      </c>
      <c r="F3160" s="16" t="s">
        <v>285</v>
      </c>
      <c r="G3160" s="16" t="s">
        <v>523</v>
      </c>
      <c r="H3160" s="16" t="s">
        <v>188</v>
      </c>
      <c r="I3160" s="16" t="s">
        <v>561</v>
      </c>
    </row>
    <row r="3161" ht="242.25" customHeight="1">
      <c r="B3161" s="32" t="str">
        <f>IMAGE("https://gymvisual.com/12508-catalog_default/resistance-band-seated-shoulder-press.jpg",4,500,500)</f>
        <v/>
      </c>
      <c r="C3161" s="30">
        <v>3160.0</v>
      </c>
      <c r="D3161" s="16" t="s">
        <v>4002</v>
      </c>
      <c r="E3161" s="16" t="s">
        <v>184</v>
      </c>
      <c r="F3161" s="16" t="s">
        <v>228</v>
      </c>
      <c r="G3161" s="16" t="s">
        <v>523</v>
      </c>
      <c r="H3161" s="16" t="s">
        <v>220</v>
      </c>
      <c r="I3161" s="16" t="s">
        <v>220</v>
      </c>
    </row>
    <row r="3162" ht="242.25" customHeight="1">
      <c r="B3162" s="32" t="str">
        <f>IMAGE("https://gymvisual.com/12528-catalog_default/resistance-band-seated-shoulder-press-female.jpg",4,500,500)</f>
        <v/>
      </c>
      <c r="C3162" s="30">
        <v>3161.0</v>
      </c>
      <c r="D3162" s="16" t="s">
        <v>4003</v>
      </c>
      <c r="E3162" s="16" t="s">
        <v>184</v>
      </c>
      <c r="F3162" s="16" t="s">
        <v>228</v>
      </c>
      <c r="G3162" s="16" t="s">
        <v>523</v>
      </c>
      <c r="H3162" s="16" t="s">
        <v>229</v>
      </c>
      <c r="I3162" s="16" t="s">
        <v>626</v>
      </c>
    </row>
    <row r="3163" ht="242.25" customHeight="1">
      <c r="B3163" s="32" t="str">
        <f>IMAGE("https://gymvisual.com/13795-catalog_default/resistance-band-seated-single-leg-curl.jpg",4,500,500)</f>
        <v/>
      </c>
      <c r="C3163" s="30">
        <v>3162.0</v>
      </c>
      <c r="D3163" s="16" t="s">
        <v>4004</v>
      </c>
      <c r="E3163" s="16" t="s">
        <v>184</v>
      </c>
      <c r="F3163" s="16" t="s">
        <v>285</v>
      </c>
      <c r="G3163" s="16" t="s">
        <v>523</v>
      </c>
      <c r="H3163" s="16" t="s">
        <v>188</v>
      </c>
      <c r="I3163" s="16" t="s">
        <v>3539</v>
      </c>
    </row>
    <row r="3164" ht="242.25" customHeight="1">
      <c r="B3164" s="32" t="str">
        <f>IMAGE("https://gymvisual.com/12550-catalog_default/resistance-band-seated-straight-back-row.jpg",4,500,500)</f>
        <v/>
      </c>
      <c r="C3164" s="30">
        <v>3163.0</v>
      </c>
      <c r="D3164" s="16" t="s">
        <v>4005</v>
      </c>
      <c r="E3164" s="16" t="s">
        <v>184</v>
      </c>
      <c r="F3164" s="16" t="s">
        <v>192</v>
      </c>
      <c r="G3164" s="16" t="s">
        <v>523</v>
      </c>
      <c r="H3164" s="16" t="s">
        <v>329</v>
      </c>
      <c r="I3164" s="16" t="s">
        <v>447</v>
      </c>
    </row>
    <row r="3165" ht="242.25" customHeight="1">
      <c r="B3165" s="32" t="str">
        <f>IMAGE("https://gymvisual.com/12549-catalog_default/resistance-band-seated-straight-back-row-female.jpg",4,500,500)</f>
        <v/>
      </c>
      <c r="C3165" s="30">
        <v>3164.0</v>
      </c>
      <c r="D3165" s="16" t="s">
        <v>4006</v>
      </c>
      <c r="E3165" s="16" t="s">
        <v>184</v>
      </c>
      <c r="F3165" s="16" t="s">
        <v>192</v>
      </c>
      <c r="G3165" s="16" t="s">
        <v>523</v>
      </c>
      <c r="H3165" s="16" t="s">
        <v>329</v>
      </c>
      <c r="I3165" s="16" t="s">
        <v>447</v>
      </c>
    </row>
    <row r="3166" ht="242.25" customHeight="1">
      <c r="B3166" s="32" t="str">
        <f>IMAGE("https://gymvisual.com/20167-catalog_default/resistance-band-serratus-wall-slide.jpg",4,500,500)</f>
        <v/>
      </c>
      <c r="C3166" s="30">
        <v>3165.0</v>
      </c>
      <c r="D3166" s="16" t="s">
        <v>4007</v>
      </c>
      <c r="E3166" s="16" t="s">
        <v>184</v>
      </c>
      <c r="F3166" s="16" t="s">
        <v>192</v>
      </c>
      <c r="G3166" s="16" t="s">
        <v>523</v>
      </c>
      <c r="H3166" s="16" t="s">
        <v>4008</v>
      </c>
      <c r="I3166" s="16" t="s">
        <v>1621</v>
      </c>
    </row>
    <row r="3167" ht="242.25" customHeight="1">
      <c r="B3167" s="32" t="str">
        <f>IMAGE("https://gymvisual.com/18097-catalog_default/resistance-band-shuttle.jpg",4,500,500)</f>
        <v/>
      </c>
      <c r="C3167" s="30">
        <v>3166.0</v>
      </c>
      <c r="D3167" s="16" t="s">
        <v>4009</v>
      </c>
      <c r="E3167" s="16" t="s">
        <v>184</v>
      </c>
      <c r="F3167" s="16" t="s">
        <v>185</v>
      </c>
      <c r="G3167" s="16" t="s">
        <v>523</v>
      </c>
      <c r="H3167" s="16" t="s">
        <v>220</v>
      </c>
      <c r="I3167" s="16" t="s">
        <v>220</v>
      </c>
    </row>
    <row r="3168" ht="242.25" customHeight="1">
      <c r="B3168" s="32" t="str">
        <f>IMAGE("https://gymvisual.com/8800-catalog_default/resistance-band-side-plank.jpg",4,500,500)</f>
        <v/>
      </c>
      <c r="C3168" s="30">
        <v>3167.0</v>
      </c>
      <c r="D3168" s="16" t="s">
        <v>4010</v>
      </c>
      <c r="E3168" s="16" t="s">
        <v>184</v>
      </c>
      <c r="F3168" s="16" t="s">
        <v>310</v>
      </c>
      <c r="G3168" s="16" t="s">
        <v>523</v>
      </c>
      <c r="H3168" s="16" t="s">
        <v>4011</v>
      </c>
      <c r="I3168" s="16" t="s">
        <v>476</v>
      </c>
    </row>
    <row r="3169" ht="242.25" customHeight="1">
      <c r="B3169" s="32" t="str">
        <f>IMAGE("https://gymvisual.com/17679-catalog_default/resistance-band-side-step-with-horizontal-pallof-hold.jpg",4,500,500)</f>
        <v/>
      </c>
      <c r="C3169" s="30">
        <v>3168.0</v>
      </c>
      <c r="D3169" s="16" t="s">
        <v>4012</v>
      </c>
      <c r="E3169" s="16" t="s">
        <v>184</v>
      </c>
      <c r="F3169" s="16" t="s">
        <v>254</v>
      </c>
      <c r="G3169" s="16" t="s">
        <v>523</v>
      </c>
      <c r="H3169" s="16" t="s">
        <v>220</v>
      </c>
      <c r="I3169" s="16" t="s">
        <v>220</v>
      </c>
    </row>
    <row r="3170" ht="242.25" customHeight="1">
      <c r="B3170" s="32" t="str">
        <f>IMAGE("https://gymvisual.com/20401-catalog_default/resistance-band-single-arm-overhead-shoulder-press.jpg",4,500,500)</f>
        <v/>
      </c>
      <c r="C3170" s="30">
        <v>3169.0</v>
      </c>
      <c r="D3170" s="16" t="s">
        <v>4013</v>
      </c>
      <c r="E3170" s="16" t="s">
        <v>184</v>
      </c>
      <c r="F3170" s="16" t="s">
        <v>228</v>
      </c>
      <c r="G3170" s="16" t="s">
        <v>523</v>
      </c>
      <c r="H3170" s="16" t="s">
        <v>229</v>
      </c>
      <c r="I3170" s="16" t="s">
        <v>626</v>
      </c>
    </row>
    <row r="3171" ht="242.25" customHeight="1">
      <c r="B3171" s="32" t="str">
        <f>IMAGE("https://gymvisual.com/17677-catalog_default/resistance-band-single-stiff-leg-deadlift-with-single-arm-row.jpg",4,500,500)</f>
        <v/>
      </c>
      <c r="C3171" s="30">
        <v>3170.0</v>
      </c>
      <c r="D3171" s="16" t="s">
        <v>4014</v>
      </c>
      <c r="E3171" s="16" t="s">
        <v>184</v>
      </c>
      <c r="F3171" s="16" t="s">
        <v>192</v>
      </c>
      <c r="G3171" s="16" t="s">
        <v>523</v>
      </c>
      <c r="H3171" s="16" t="s">
        <v>220</v>
      </c>
      <c r="I3171" s="16" t="s">
        <v>220</v>
      </c>
    </row>
    <row r="3172" ht="242.25" customHeight="1">
      <c r="B3172" s="32" t="str">
        <f>IMAGE("https://gymvisual.com/17689-catalog_default/resistance-band-skier.jpg",4,500,500)</f>
        <v/>
      </c>
      <c r="C3172" s="30">
        <v>3171.0</v>
      </c>
      <c r="D3172" s="16" t="s">
        <v>4015</v>
      </c>
      <c r="E3172" s="16" t="s">
        <v>184</v>
      </c>
      <c r="F3172" s="16" t="s">
        <v>192</v>
      </c>
      <c r="G3172" s="16" t="s">
        <v>523</v>
      </c>
      <c r="H3172" s="16" t="s">
        <v>220</v>
      </c>
      <c r="I3172" s="16" t="s">
        <v>220</v>
      </c>
    </row>
    <row r="3173" ht="242.25" customHeight="1">
      <c r="B3173" s="32" t="str">
        <f>IMAGE("https://gymvisual.com/17711-catalog_default/resistance-band-smith-squat.jpg",4,500,500)</f>
        <v/>
      </c>
      <c r="C3173" s="30">
        <v>3172.0</v>
      </c>
      <c r="D3173" s="16" t="s">
        <v>4016</v>
      </c>
      <c r="E3173" s="16" t="s">
        <v>184</v>
      </c>
      <c r="F3173" s="16" t="s">
        <v>285</v>
      </c>
      <c r="G3173" s="16" t="s">
        <v>4017</v>
      </c>
      <c r="H3173" s="16" t="s">
        <v>220</v>
      </c>
      <c r="I3173" s="16" t="s">
        <v>220</v>
      </c>
    </row>
    <row r="3174" ht="242.25" customHeight="1">
      <c r="B3174" s="32" t="str">
        <f>IMAGE("https://gymvisual.com/12208-catalog_default/resistance-band-spider-crawls.jpg",4,500,500)</f>
        <v/>
      </c>
      <c r="C3174" s="30">
        <v>3173.0</v>
      </c>
      <c r="D3174" s="16" t="s">
        <v>4018</v>
      </c>
      <c r="E3174" s="16" t="s">
        <v>184</v>
      </c>
      <c r="F3174" s="16" t="s">
        <v>192</v>
      </c>
      <c r="G3174" s="16" t="s">
        <v>523</v>
      </c>
      <c r="H3174" s="16" t="s">
        <v>220</v>
      </c>
      <c r="I3174" s="16" t="s">
        <v>220</v>
      </c>
    </row>
    <row r="3175" ht="242.25" customHeight="1">
      <c r="B3175" s="32" t="str">
        <f>IMAGE("https://gymvisual.com/19731-catalog_default/resistance-band-split-squat.jpg",4,500,500)</f>
        <v/>
      </c>
      <c r="C3175" s="30">
        <v>3174.0</v>
      </c>
      <c r="D3175" s="16" t="s">
        <v>4019</v>
      </c>
      <c r="E3175" s="16" t="s">
        <v>184</v>
      </c>
      <c r="F3175" s="16" t="s">
        <v>285</v>
      </c>
      <c r="G3175" s="16" t="s">
        <v>523</v>
      </c>
      <c r="H3175" s="16" t="s">
        <v>189</v>
      </c>
      <c r="I3175" s="16" t="s">
        <v>190</v>
      </c>
    </row>
    <row r="3176" ht="242.25" customHeight="1">
      <c r="B3176" s="32" t="str">
        <f>IMAGE("https://gymvisual.com/17693-catalog_default/resistance-band-split-squat-with-horizontal-pallof-hold.jpg",4,500,500)</f>
        <v/>
      </c>
      <c r="C3176" s="30">
        <v>3175.0</v>
      </c>
      <c r="D3176" s="16" t="s">
        <v>4020</v>
      </c>
      <c r="E3176" s="16" t="s">
        <v>184</v>
      </c>
      <c r="F3176" s="16" t="s">
        <v>254</v>
      </c>
      <c r="G3176" s="16" t="s">
        <v>523</v>
      </c>
      <c r="H3176" s="16" t="s">
        <v>220</v>
      </c>
      <c r="I3176" s="16" t="s">
        <v>220</v>
      </c>
    </row>
    <row r="3177" ht="242.25" customHeight="1">
      <c r="B3177" s="32" t="str">
        <f>IMAGE("https://gymvisual.com/19465-catalog_default/resistance-band-squat.jpg",4,500,500)</f>
        <v/>
      </c>
      <c r="C3177" s="30">
        <v>3176.0</v>
      </c>
      <c r="D3177" s="16" t="s">
        <v>4021</v>
      </c>
      <c r="E3177" s="16" t="s">
        <v>184</v>
      </c>
      <c r="F3177" s="16" t="s">
        <v>285</v>
      </c>
      <c r="G3177" s="16" t="s">
        <v>523</v>
      </c>
      <c r="H3177" s="16" t="s">
        <v>220</v>
      </c>
      <c r="I3177" s="16" t="s">
        <v>220</v>
      </c>
    </row>
    <row r="3178" ht="242.25" customHeight="1">
      <c r="B3178" s="32" t="str">
        <f>IMAGE("https://gymvisual.com/17691-catalog_default/resistance-band-squat-with-horizontal-pallof-hold.jpg",4,500,500)</f>
        <v/>
      </c>
      <c r="C3178" s="30">
        <v>3177.0</v>
      </c>
      <c r="D3178" s="16" t="s">
        <v>4022</v>
      </c>
      <c r="E3178" s="16" t="s">
        <v>184</v>
      </c>
      <c r="F3178" s="16" t="s">
        <v>254</v>
      </c>
      <c r="G3178" s="16" t="s">
        <v>523</v>
      </c>
      <c r="H3178" s="16" t="s">
        <v>220</v>
      </c>
      <c r="I3178" s="16" t="s">
        <v>220</v>
      </c>
    </row>
    <row r="3179" ht="242.25" customHeight="1">
      <c r="B3179" s="32" t="str">
        <f>IMAGE("https://gymvisual.com/17671-catalog_default/resistance-band-squat-with-single-arm-row.jpg",4,500,500)</f>
        <v/>
      </c>
      <c r="C3179" s="30">
        <v>3178.0</v>
      </c>
      <c r="D3179" s="16" t="s">
        <v>4023</v>
      </c>
      <c r="E3179" s="16" t="s">
        <v>184</v>
      </c>
      <c r="F3179" s="16" t="s">
        <v>192</v>
      </c>
      <c r="G3179" s="16" t="s">
        <v>523</v>
      </c>
      <c r="H3179" s="16" t="s">
        <v>220</v>
      </c>
      <c r="I3179" s="16" t="s">
        <v>220</v>
      </c>
    </row>
    <row r="3180" ht="242.25" customHeight="1">
      <c r="B3180" s="32" t="str">
        <f>IMAGE("https://gymvisual.com/20399-catalog_default/resistance-band-standing-ab-crunch.jpg",4,500,500)</f>
        <v/>
      </c>
      <c r="C3180" s="30">
        <v>3179.0</v>
      </c>
      <c r="D3180" s="16" t="s">
        <v>4024</v>
      </c>
      <c r="E3180" s="16" t="s">
        <v>184</v>
      </c>
      <c r="F3180" s="16" t="s">
        <v>254</v>
      </c>
      <c r="G3180" s="16" t="s">
        <v>523</v>
      </c>
      <c r="H3180" s="16" t="s">
        <v>256</v>
      </c>
      <c r="I3180" s="16" t="s">
        <v>257</v>
      </c>
    </row>
    <row r="3181" ht="242.25" customHeight="1">
      <c r="B3181" s="32" t="str">
        <f>IMAGE("https://gymvisual.com/17705-catalog_default/resistance-band-standing-hip-abduction.jpg",4,500,500)</f>
        <v/>
      </c>
      <c r="C3181" s="30">
        <v>3180.0</v>
      </c>
      <c r="D3181" s="16" t="s">
        <v>4025</v>
      </c>
      <c r="E3181" s="16" t="s">
        <v>184</v>
      </c>
      <c r="F3181" s="16" t="s">
        <v>185</v>
      </c>
      <c r="G3181" s="16" t="s">
        <v>523</v>
      </c>
      <c r="H3181" s="16" t="s">
        <v>220</v>
      </c>
      <c r="I3181" s="16" t="s">
        <v>220</v>
      </c>
    </row>
    <row r="3182" ht="242.25" customHeight="1">
      <c r="B3182" s="32" t="str">
        <f>IMAGE("https://gymvisual.com/19365-catalog_default/resistance-band-supine-hip-bridge-march.jpg",4,500,500)</f>
        <v/>
      </c>
      <c r="C3182" s="30">
        <v>3181.0</v>
      </c>
      <c r="D3182" s="16" t="s">
        <v>4026</v>
      </c>
      <c r="E3182" s="16" t="s">
        <v>184</v>
      </c>
      <c r="F3182" s="16" t="s">
        <v>294</v>
      </c>
      <c r="G3182" s="16" t="s">
        <v>523</v>
      </c>
      <c r="H3182" s="16" t="s">
        <v>2412</v>
      </c>
      <c r="I3182" s="16" t="s">
        <v>552</v>
      </c>
    </row>
    <row r="3183" ht="242.25" customHeight="1">
      <c r="B3183" s="32" t="str">
        <f>IMAGE("https://gymvisual.com/10570-catalog_default/resistance-band-toe-touch.jpg",4,500,500)</f>
        <v/>
      </c>
      <c r="C3183" s="30">
        <v>3182.0</v>
      </c>
      <c r="D3183" s="16" t="s">
        <v>4027</v>
      </c>
      <c r="E3183" s="16" t="s">
        <v>184</v>
      </c>
      <c r="F3183" s="16" t="s">
        <v>185</v>
      </c>
      <c r="G3183" s="16" t="s">
        <v>523</v>
      </c>
      <c r="H3183" s="16" t="s">
        <v>1240</v>
      </c>
      <c r="I3183" s="16" t="s">
        <v>220</v>
      </c>
    </row>
    <row r="3184" ht="242.25" customHeight="1">
      <c r="B3184" s="32" t="str">
        <f>IMAGE("https://gymvisual.com/19729-catalog_default/resistance-band-triceps-pushdown.jpg",4,500,500)</f>
        <v/>
      </c>
      <c r="C3184" s="30">
        <v>3183.0</v>
      </c>
      <c r="D3184" s="16" t="s">
        <v>4028</v>
      </c>
      <c r="E3184" s="16" t="s">
        <v>184</v>
      </c>
      <c r="F3184" s="16" t="s">
        <v>219</v>
      </c>
      <c r="G3184" s="16" t="s">
        <v>523</v>
      </c>
      <c r="H3184" s="16" t="s">
        <v>223</v>
      </c>
      <c r="I3184" s="16" t="s">
        <v>220</v>
      </c>
    </row>
    <row r="3185" ht="242.25" customHeight="1">
      <c r="B3185" s="32" t="str">
        <f>IMAGE("https://gymvisual.com/20519-catalog_default/resistance-band-triceps-pushdown-female.jpg",4,500,500)</f>
        <v/>
      </c>
      <c r="C3185" s="30">
        <v>3184.0</v>
      </c>
      <c r="D3185" s="16" t="s">
        <v>4029</v>
      </c>
      <c r="E3185" s="16" t="s">
        <v>184</v>
      </c>
      <c r="F3185" s="16" t="s">
        <v>219</v>
      </c>
      <c r="G3185" s="16" t="s">
        <v>523</v>
      </c>
      <c r="H3185" s="16" t="s">
        <v>223</v>
      </c>
      <c r="I3185" s="16" t="s">
        <v>220</v>
      </c>
    </row>
    <row r="3186" ht="242.25" customHeight="1">
      <c r="B3186" s="32" t="str">
        <f>IMAGE("https://gymvisual.com/14034-catalog_default/resistance-band-upper-body-dead-bug.jpg",4,500,500)</f>
        <v/>
      </c>
      <c r="C3186" s="30">
        <v>3185.0</v>
      </c>
      <c r="D3186" s="16" t="s">
        <v>4030</v>
      </c>
      <c r="E3186" s="16" t="s">
        <v>184</v>
      </c>
      <c r="F3186" s="16" t="s">
        <v>310</v>
      </c>
      <c r="G3186" s="16" t="s">
        <v>523</v>
      </c>
      <c r="H3186" s="16" t="s">
        <v>305</v>
      </c>
      <c r="I3186" s="16" t="s">
        <v>4031</v>
      </c>
    </row>
    <row r="3187" ht="242.25" customHeight="1">
      <c r="B3187" s="32" t="str">
        <f>IMAGE("https://gymvisual.com/17683-catalog_default/resistance-band-upper-body-lying-air-bike.jpg",4,500,500)</f>
        <v/>
      </c>
      <c r="C3187" s="30">
        <v>3186.0</v>
      </c>
      <c r="D3187" s="16" t="s">
        <v>4032</v>
      </c>
      <c r="E3187" s="16" t="s">
        <v>184</v>
      </c>
      <c r="F3187" s="16" t="s">
        <v>254</v>
      </c>
      <c r="G3187" s="16" t="s">
        <v>523</v>
      </c>
      <c r="H3187" s="16" t="s">
        <v>220</v>
      </c>
      <c r="I3187" s="16" t="s">
        <v>220</v>
      </c>
    </row>
    <row r="3188" ht="242.25" hidden="1" customHeight="1">
      <c r="B3188" s="32" t="str">
        <f>IMAGE("https://gymvisual.com/22293-catalog_default/reverse-back-extension-on-floor.jpg",4,500,500)</f>
        <v/>
      </c>
      <c r="C3188" s="30">
        <v>3187.0</v>
      </c>
      <c r="D3188" s="16" t="s">
        <v>4033</v>
      </c>
      <c r="E3188" s="16" t="s">
        <v>184</v>
      </c>
      <c r="F3188" s="16" t="s">
        <v>185</v>
      </c>
      <c r="G3188" s="16" t="s">
        <v>255</v>
      </c>
      <c r="H3188" s="16" t="s">
        <v>220</v>
      </c>
      <c r="I3188" s="16" t="s">
        <v>220</v>
      </c>
    </row>
    <row r="3189" ht="242.25" hidden="1" customHeight="1">
      <c r="B3189" s="32" t="str">
        <f>IMAGE("https://gymvisual.com/2013-catalog_default/3-4-sit-up.jpg",4,500,500)</f>
        <v/>
      </c>
      <c r="C3189" s="30">
        <v>3188.0</v>
      </c>
      <c r="D3189" s="16" t="s">
        <v>4034</v>
      </c>
      <c r="E3189" s="16" t="s">
        <v>184</v>
      </c>
      <c r="F3189" s="16" t="s">
        <v>254</v>
      </c>
      <c r="G3189" s="16" t="s">
        <v>255</v>
      </c>
      <c r="H3189" s="16" t="s">
        <v>256</v>
      </c>
      <c r="I3189" s="16" t="s">
        <v>257</v>
      </c>
    </row>
    <row r="3190" ht="242.25" hidden="1" customHeight="1">
      <c r="B3190" s="32" t="str">
        <f>IMAGE("https://gymvisual.com/7635-catalog_default/reverse-crunch.jpg",4,500,500)</f>
        <v/>
      </c>
      <c r="C3190" s="30">
        <v>3189.0</v>
      </c>
      <c r="D3190" s="16" t="s">
        <v>4034</v>
      </c>
      <c r="E3190" s="16" t="s">
        <v>184</v>
      </c>
      <c r="F3190" s="16" t="s">
        <v>254</v>
      </c>
      <c r="G3190" s="16" t="s">
        <v>255</v>
      </c>
      <c r="H3190" s="16" t="s">
        <v>256</v>
      </c>
      <c r="I3190" s="16" t="s">
        <v>257</v>
      </c>
    </row>
    <row r="3191" ht="242.25" hidden="1" customHeight="1">
      <c r="B3191" s="32" t="str">
        <f>IMAGE("https://gymvisual.com/22738-catalog_default/reverse-crunch-version-2.jpg",4,500,500)</f>
        <v/>
      </c>
      <c r="C3191" s="30">
        <v>3190.0</v>
      </c>
      <c r="D3191" s="16" t="s">
        <v>4035</v>
      </c>
      <c r="E3191" s="16" t="s">
        <v>184</v>
      </c>
      <c r="F3191" s="16" t="s">
        <v>254</v>
      </c>
      <c r="G3191" s="16" t="s">
        <v>255</v>
      </c>
      <c r="H3191" s="16" t="s">
        <v>305</v>
      </c>
      <c r="I3191" s="16" t="s">
        <v>600</v>
      </c>
    </row>
    <row r="3192" ht="242.25" hidden="1" customHeight="1">
      <c r="B3192" s="32" t="str">
        <f>IMAGE("https://gymvisual.com/22295-catalog_default/reverse-crunch-version-3.jpg",4,500,500)</f>
        <v/>
      </c>
      <c r="C3192" s="30">
        <v>3191.0</v>
      </c>
      <c r="D3192" s="16" t="s">
        <v>4036</v>
      </c>
      <c r="E3192" s="16" t="s">
        <v>184</v>
      </c>
      <c r="F3192" s="16" t="s">
        <v>254</v>
      </c>
      <c r="G3192" s="16" t="s">
        <v>255</v>
      </c>
      <c r="H3192" s="16" t="s">
        <v>220</v>
      </c>
      <c r="I3192" s="16" t="s">
        <v>220</v>
      </c>
    </row>
    <row r="3193" ht="242.25" hidden="1" customHeight="1">
      <c r="B3193" s="32" t="str">
        <f>IMAGE("https://gymvisual.com/18250-catalog_default/reverse-crunch-kick.jpg",4,500,500)</f>
        <v/>
      </c>
      <c r="C3193" s="30">
        <v>3192.0</v>
      </c>
      <c r="D3193" s="16" t="s">
        <v>4037</v>
      </c>
      <c r="E3193" s="16" t="s">
        <v>184</v>
      </c>
      <c r="F3193" s="16" t="s">
        <v>254</v>
      </c>
      <c r="G3193" s="16" t="s">
        <v>255</v>
      </c>
      <c r="H3193" s="16" t="s">
        <v>2640</v>
      </c>
      <c r="I3193" s="16" t="s">
        <v>1840</v>
      </c>
    </row>
    <row r="3194" ht="242.25" hidden="1" customHeight="1">
      <c r="B3194" s="32" t="str">
        <f>IMAGE("https://gymvisual.com/17895-catalog_default/reverse-crunch-to-dead-bug-male.jpg",4,500,500)</f>
        <v/>
      </c>
      <c r="C3194" s="30">
        <v>3193.0</v>
      </c>
      <c r="D3194" s="16" t="s">
        <v>4038</v>
      </c>
      <c r="E3194" s="16" t="s">
        <v>184</v>
      </c>
      <c r="F3194" s="16" t="s">
        <v>254</v>
      </c>
      <c r="G3194" s="16" t="s">
        <v>255</v>
      </c>
      <c r="H3194" s="16" t="s">
        <v>220</v>
      </c>
      <c r="I3194" s="16" t="s">
        <v>220</v>
      </c>
    </row>
    <row r="3195" ht="242.25" hidden="1" customHeight="1">
      <c r="B3195" s="32" t="str">
        <f>IMAGE("https://gymvisual.com/2016-catalog_default/3-4-sit-up.jpg",4,500,500)</f>
        <v/>
      </c>
      <c r="C3195" s="30">
        <v>3194.0</v>
      </c>
      <c r="D3195" s="16" t="s">
        <v>4039</v>
      </c>
      <c r="E3195" s="16" t="s">
        <v>184</v>
      </c>
      <c r="F3195" s="16" t="s">
        <v>219</v>
      </c>
      <c r="G3195" s="16" t="s">
        <v>255</v>
      </c>
      <c r="H3195" s="16" t="s">
        <v>223</v>
      </c>
      <c r="I3195" s="16" t="s">
        <v>472</v>
      </c>
    </row>
    <row r="3196" ht="242.25" hidden="1" customHeight="1">
      <c r="B3196" s="32" t="str">
        <f>IMAGE("https://gymvisual.com/18820-catalog_default/reverse-dip-female.jpg",4,500,500)</f>
        <v/>
      </c>
      <c r="C3196" s="30">
        <v>3195.0</v>
      </c>
      <c r="D3196" s="16" t="s">
        <v>4040</v>
      </c>
      <c r="E3196" s="16" t="s">
        <v>184</v>
      </c>
      <c r="F3196" s="16" t="s">
        <v>219</v>
      </c>
      <c r="G3196" s="16" t="s">
        <v>255</v>
      </c>
      <c r="H3196" s="16" t="s">
        <v>223</v>
      </c>
      <c r="I3196" s="16" t="s">
        <v>394</v>
      </c>
    </row>
    <row r="3197" ht="242.25" hidden="1" customHeight="1">
      <c r="B3197" s="32" t="str">
        <f>IMAGE("https://gymvisual.com/22297-catalog_default/reverse-flutter-kick-on-floor-hand-under-head.jpg",4,500,500)</f>
        <v/>
      </c>
      <c r="C3197" s="30">
        <v>3196.0</v>
      </c>
      <c r="D3197" s="16" t="s">
        <v>4041</v>
      </c>
      <c r="E3197" s="16" t="s">
        <v>184</v>
      </c>
      <c r="F3197" s="16" t="s">
        <v>185</v>
      </c>
      <c r="G3197" s="16" t="s">
        <v>255</v>
      </c>
      <c r="H3197" s="16" t="s">
        <v>220</v>
      </c>
      <c r="I3197" s="16" t="s">
        <v>220</v>
      </c>
    </row>
    <row r="3198" ht="242.25" hidden="1" customHeight="1">
      <c r="B3198" s="32" t="str">
        <f>IMAGE("https://gymvisual.com/22510-catalog_default/reverse-flutter-kick-on-floor-hand-under-head.jpg",4,500,500)</f>
        <v/>
      </c>
      <c r="C3198" s="30">
        <v>3197.0</v>
      </c>
      <c r="D3198" s="16" t="s">
        <v>4041</v>
      </c>
      <c r="E3198" s="16" t="s">
        <v>184</v>
      </c>
      <c r="F3198" s="16" t="s">
        <v>185</v>
      </c>
      <c r="G3198" s="16" t="s">
        <v>255</v>
      </c>
      <c r="H3198" s="16" t="s">
        <v>220</v>
      </c>
      <c r="I3198" s="16" t="s">
        <v>220</v>
      </c>
    </row>
    <row r="3199" ht="242.25" hidden="1" customHeight="1">
      <c r="B3199" s="32" t="str">
        <f>IMAGE("https://gymvisual.com/2019-catalog_default/3-4-sit-up.jpg",4,500,500)</f>
        <v/>
      </c>
      <c r="C3199" s="30">
        <v>3198.0</v>
      </c>
      <c r="D3199" s="16" t="s">
        <v>4042</v>
      </c>
      <c r="E3199" s="16" t="s">
        <v>184</v>
      </c>
      <c r="F3199" s="16" t="s">
        <v>192</v>
      </c>
      <c r="G3199" s="16" t="s">
        <v>346</v>
      </c>
      <c r="H3199" s="16" t="s">
        <v>300</v>
      </c>
      <c r="I3199" s="16" t="s">
        <v>1733</v>
      </c>
    </row>
    <row r="3200" ht="242.25" hidden="1" customHeight="1">
      <c r="B3200" s="32" t="str">
        <f>IMAGE("https://gymvisual.com/14294-catalog_default/reverse-grip-machine-lat-pulldown-female.jpg",4,500,500)</f>
        <v/>
      </c>
      <c r="C3200" s="30">
        <v>3199.0</v>
      </c>
      <c r="D3200" s="16" t="s">
        <v>4043</v>
      </c>
      <c r="E3200" s="16" t="s">
        <v>184</v>
      </c>
      <c r="F3200" s="16" t="s">
        <v>192</v>
      </c>
      <c r="G3200" s="16" t="s">
        <v>346</v>
      </c>
      <c r="H3200" s="16" t="s">
        <v>300</v>
      </c>
      <c r="I3200" s="16" t="s">
        <v>1733</v>
      </c>
    </row>
    <row r="3201" ht="242.25" hidden="1" customHeight="1">
      <c r="B3201" s="32" t="str">
        <f>IMAGE("https://gymvisual.com/2022-catalog_default/3-4-sit-up.jpg",4,500,500)</f>
        <v/>
      </c>
      <c r="C3201" s="30">
        <v>3200.0</v>
      </c>
      <c r="D3201" s="16" t="s">
        <v>4044</v>
      </c>
      <c r="E3201" s="16" t="s">
        <v>184</v>
      </c>
      <c r="F3201" s="16" t="s">
        <v>192</v>
      </c>
      <c r="G3201" s="16" t="s">
        <v>255</v>
      </c>
      <c r="H3201" s="16" t="s">
        <v>300</v>
      </c>
      <c r="I3201" s="16" t="s">
        <v>4045</v>
      </c>
    </row>
    <row r="3202" ht="242.25" hidden="1" customHeight="1">
      <c r="B3202" s="32" t="str">
        <f>IMAGE("https://gymvisual.com/17134-catalog_default/reverse-grip-pull-up-female.jpg",4,500,500)</f>
        <v/>
      </c>
      <c r="C3202" s="30">
        <v>3201.0</v>
      </c>
      <c r="D3202" s="16" t="s">
        <v>4046</v>
      </c>
      <c r="E3202" s="16" t="s">
        <v>184</v>
      </c>
      <c r="F3202" s="16" t="s">
        <v>192</v>
      </c>
      <c r="G3202" s="16" t="s">
        <v>255</v>
      </c>
      <c r="H3202" s="16" t="s">
        <v>329</v>
      </c>
      <c r="I3202" s="16" t="s">
        <v>357</v>
      </c>
    </row>
    <row r="3203" ht="242.25" customHeight="1">
      <c r="B3203" s="32" t="str">
        <f>IMAGE("https://gymvisual.com/2025-catalog_default/3-4-sit-up.jpg",4,500,500)</f>
        <v/>
      </c>
      <c r="C3203" s="30">
        <v>3202.0</v>
      </c>
      <c r="D3203" s="16" t="s">
        <v>4047</v>
      </c>
      <c r="E3203" s="16" t="s">
        <v>184</v>
      </c>
      <c r="F3203" s="16" t="s">
        <v>285</v>
      </c>
      <c r="G3203" s="16" t="s">
        <v>399</v>
      </c>
      <c r="H3203" s="16" t="s">
        <v>267</v>
      </c>
      <c r="I3203" s="16" t="s">
        <v>188</v>
      </c>
    </row>
    <row r="3204" ht="242.25" hidden="1" customHeight="1">
      <c r="B3204" s="32" t="str">
        <f>IMAGE("https://gymvisual.com/6275-catalog_default/reverse-hyper-on-flat-bench.jpg",4,500,500)</f>
        <v/>
      </c>
      <c r="C3204" s="30">
        <v>3203.0</v>
      </c>
      <c r="D3204" s="16" t="s">
        <v>4048</v>
      </c>
      <c r="E3204" s="16" t="s">
        <v>184</v>
      </c>
      <c r="F3204" s="16" t="s">
        <v>185</v>
      </c>
      <c r="G3204" s="16" t="s">
        <v>255</v>
      </c>
      <c r="H3204" s="16" t="s">
        <v>187</v>
      </c>
      <c r="I3204" s="16" t="s">
        <v>188</v>
      </c>
    </row>
    <row r="3205" ht="242.25" hidden="1" customHeight="1">
      <c r="B3205" s="32" t="str">
        <f>IMAGE("https://gymvisual.com/22474-catalog_default/reverse-leg-extension-female.jpg",4,500,500)</f>
        <v/>
      </c>
      <c r="C3205" s="30">
        <v>3204.0</v>
      </c>
      <c r="D3205" s="16" t="s">
        <v>4049</v>
      </c>
      <c r="E3205" s="16" t="s">
        <v>184</v>
      </c>
      <c r="F3205" s="16" t="s">
        <v>185</v>
      </c>
      <c r="G3205" s="16" t="s">
        <v>255</v>
      </c>
      <c r="H3205" s="16" t="s">
        <v>220</v>
      </c>
      <c r="I3205" s="16" t="s">
        <v>220</v>
      </c>
    </row>
    <row r="3206" ht="242.25" hidden="1" customHeight="1">
      <c r="B3206" s="32" t="str">
        <f>IMAGE("https://gymvisual.com/2028-catalog_default/3-4-sit-up.jpg",4,500,500)</f>
        <v/>
      </c>
      <c r="C3206" s="30">
        <v>3205.0</v>
      </c>
      <c r="D3206" s="16" t="s">
        <v>4050</v>
      </c>
      <c r="E3206" s="16" t="s">
        <v>184</v>
      </c>
      <c r="F3206" s="16" t="s">
        <v>285</v>
      </c>
      <c r="G3206" s="16" t="s">
        <v>255</v>
      </c>
      <c r="H3206" s="16" t="s">
        <v>189</v>
      </c>
      <c r="I3206" s="16" t="s">
        <v>683</v>
      </c>
    </row>
    <row r="3207" ht="242.25" hidden="1" customHeight="1">
      <c r="B3207" s="32" t="str">
        <f>IMAGE("https://gymvisual.com/20644-catalog_default/reverse-plank.jpg",4,500,500)</f>
        <v/>
      </c>
      <c r="C3207" s="30">
        <v>3206.0</v>
      </c>
      <c r="D3207" s="16" t="s">
        <v>4051</v>
      </c>
      <c r="E3207" s="16" t="s">
        <v>184</v>
      </c>
      <c r="F3207" s="16" t="s">
        <v>192</v>
      </c>
      <c r="G3207" s="16" t="s">
        <v>255</v>
      </c>
      <c r="H3207" s="16" t="s">
        <v>2848</v>
      </c>
      <c r="I3207" s="16" t="s">
        <v>4052</v>
      </c>
    </row>
    <row r="3208" ht="242.25" hidden="1" customHeight="1">
      <c r="B3208" s="32" t="str">
        <f>IMAGE("https://gymvisual.com/22486-catalog_default/reverse-plank-version-2.jpg",4,500,500)</f>
        <v/>
      </c>
      <c r="C3208" s="30">
        <v>3207.0</v>
      </c>
      <c r="D3208" s="16" t="s">
        <v>4053</v>
      </c>
      <c r="E3208" s="16" t="s">
        <v>184</v>
      </c>
      <c r="F3208" s="16" t="s">
        <v>254</v>
      </c>
      <c r="G3208" s="16" t="s">
        <v>255</v>
      </c>
      <c r="H3208" s="16" t="s">
        <v>220</v>
      </c>
      <c r="I3208" s="16" t="s">
        <v>220</v>
      </c>
    </row>
    <row r="3209" ht="242.25" hidden="1" customHeight="1">
      <c r="B3209" s="32" t="str">
        <f>IMAGE("https://gymvisual.com/24071-catalog_default/reverse-plank-on-elbows.jpg",4,500,500)</f>
        <v/>
      </c>
      <c r="C3209" s="30">
        <v>3208.0</v>
      </c>
      <c r="D3209" s="16" t="s">
        <v>4054</v>
      </c>
      <c r="E3209" s="16" t="s">
        <v>184</v>
      </c>
      <c r="F3209" s="16" t="s">
        <v>254</v>
      </c>
      <c r="G3209" s="16" t="s">
        <v>255</v>
      </c>
      <c r="H3209" s="16" t="s">
        <v>220</v>
      </c>
      <c r="I3209" s="16" t="s">
        <v>220</v>
      </c>
    </row>
    <row r="3210" ht="242.25" hidden="1" customHeight="1">
      <c r="B3210" s="32" t="str">
        <f>IMAGE("https://gymvisual.com/16607-catalog_default/reverse-push-up.jpg",4,500,500)</f>
        <v/>
      </c>
      <c r="C3210" s="30">
        <v>3209.0</v>
      </c>
      <c r="D3210" s="16" t="s">
        <v>4055</v>
      </c>
      <c r="E3210" s="16" t="s">
        <v>184</v>
      </c>
      <c r="F3210" s="16" t="s">
        <v>219</v>
      </c>
      <c r="G3210" s="16" t="s">
        <v>255</v>
      </c>
      <c r="H3210" s="16" t="s">
        <v>223</v>
      </c>
      <c r="I3210" s="16" t="s">
        <v>1817</v>
      </c>
    </row>
    <row r="3211" ht="242.25" hidden="1" customHeight="1">
      <c r="B3211" s="32" t="str">
        <f>IMAGE("https://gymvisual.com/22442-catalog_default/reverse-sliding-leg-curl-on-floor-with-towel.jpg",4,500,500)</f>
        <v/>
      </c>
      <c r="C3211" s="30">
        <v>3210.0</v>
      </c>
      <c r="D3211" s="16" t="s">
        <v>4056</v>
      </c>
      <c r="E3211" s="16" t="s">
        <v>184</v>
      </c>
      <c r="F3211" s="16" t="s">
        <v>285</v>
      </c>
      <c r="G3211" s="16" t="s">
        <v>255</v>
      </c>
      <c r="H3211" s="16" t="s">
        <v>220</v>
      </c>
      <c r="I3211" s="16" t="s">
        <v>220</v>
      </c>
    </row>
    <row r="3212" ht="242.25" hidden="1" customHeight="1">
      <c r="B3212" s="32" t="str">
        <f>IMAGE("https://gymvisual.com/22508-catalog_default/ring-alternate-superman-female.jpg",4,500,500)</f>
        <v/>
      </c>
      <c r="C3212" s="30">
        <v>3211.0</v>
      </c>
      <c r="D3212" s="16" t="s">
        <v>4057</v>
      </c>
      <c r="E3212" s="16" t="s">
        <v>184</v>
      </c>
      <c r="F3212" s="16" t="s">
        <v>254</v>
      </c>
      <c r="G3212" s="16" t="s">
        <v>255</v>
      </c>
      <c r="H3212" s="16" t="s">
        <v>220</v>
      </c>
      <c r="I3212" s="16" t="s">
        <v>220</v>
      </c>
    </row>
    <row r="3213" ht="242.25" hidden="1" customHeight="1">
      <c r="B3213" s="32" t="str">
        <f>IMAGE("https://gymvisual.com/22480-catalog_default/ring-chest-fly.jpg",4,500,500)</f>
        <v/>
      </c>
      <c r="C3213" s="30">
        <v>3212.0</v>
      </c>
      <c r="D3213" s="16" t="s">
        <v>4058</v>
      </c>
      <c r="E3213" s="16" t="s">
        <v>184</v>
      </c>
      <c r="F3213" s="16" t="s">
        <v>234</v>
      </c>
      <c r="G3213" s="16" t="s">
        <v>255</v>
      </c>
      <c r="H3213" s="16" t="s">
        <v>220</v>
      </c>
      <c r="I3213" s="16" t="s">
        <v>220</v>
      </c>
    </row>
    <row r="3214" ht="242.25" hidden="1" customHeight="1">
      <c r="B3214" s="32" t="str">
        <f>IMAGE("https://gymvisual.com/20638-catalog_default/3-4-sit-up.jpg",4,500,500)</f>
        <v/>
      </c>
      <c r="C3214" s="30">
        <v>3213.0</v>
      </c>
      <c r="D3214" s="16" t="s">
        <v>4059</v>
      </c>
      <c r="E3214" s="16" t="s">
        <v>184</v>
      </c>
      <c r="F3214" s="16" t="s">
        <v>219</v>
      </c>
      <c r="G3214" s="16" t="s">
        <v>255</v>
      </c>
      <c r="H3214" s="16" t="s">
        <v>223</v>
      </c>
      <c r="I3214" s="16" t="s">
        <v>472</v>
      </c>
    </row>
    <row r="3215" ht="242.25" hidden="1" customHeight="1">
      <c r="B3215" s="32" t="str">
        <f>IMAGE("https://gymvisual.com/22343-catalog_default/ring-elevated-row.jpg",4,500,500)</f>
        <v/>
      </c>
      <c r="C3215" s="30">
        <v>3214.0</v>
      </c>
      <c r="D3215" s="16" t="s">
        <v>4060</v>
      </c>
      <c r="E3215" s="16" t="s">
        <v>184</v>
      </c>
      <c r="F3215" s="16" t="s">
        <v>192</v>
      </c>
      <c r="G3215" s="16" t="s">
        <v>255</v>
      </c>
      <c r="H3215" s="16" t="s">
        <v>220</v>
      </c>
      <c r="I3215" s="16" t="s">
        <v>220</v>
      </c>
    </row>
    <row r="3216" ht="242.25" customHeight="1">
      <c r="B3216" s="32" t="str">
        <f>IMAGE("https://gymvisual.com/20507-catalog_default/ring-high-row.jpg",4,500,500)</f>
        <v/>
      </c>
      <c r="C3216" s="30">
        <v>3215.0</v>
      </c>
      <c r="D3216" s="16" t="s">
        <v>4061</v>
      </c>
      <c r="E3216" s="16" t="s">
        <v>184</v>
      </c>
      <c r="F3216" s="16" t="s">
        <v>192</v>
      </c>
      <c r="G3216" s="16" t="s">
        <v>3009</v>
      </c>
      <c r="H3216" s="16" t="s">
        <v>329</v>
      </c>
      <c r="I3216" s="16" t="s">
        <v>447</v>
      </c>
    </row>
    <row r="3217" ht="242.25" customHeight="1">
      <c r="B3217" s="32" t="str">
        <f>IMAGE("https://gymvisual.com/20521-catalog_default/ring-high-row-female.jpg",4,500,500)</f>
        <v/>
      </c>
      <c r="C3217" s="30">
        <v>3216.0</v>
      </c>
      <c r="D3217" s="16" t="s">
        <v>4062</v>
      </c>
      <c r="E3217" s="16" t="s">
        <v>184</v>
      </c>
      <c r="F3217" s="16" t="s">
        <v>192</v>
      </c>
      <c r="G3217" s="16" t="s">
        <v>3009</v>
      </c>
      <c r="H3217" s="16" t="s">
        <v>329</v>
      </c>
      <c r="I3217" s="16" t="s">
        <v>447</v>
      </c>
    </row>
    <row r="3218" ht="242.25" customHeight="1">
      <c r="B3218" s="32" t="str">
        <f>IMAGE("https://gymvisual.com/20728-catalog_default/ring-kneeling-ab-rollout.jpg",4,500,500)</f>
        <v/>
      </c>
      <c r="C3218" s="30">
        <v>3217.0</v>
      </c>
      <c r="D3218" s="16" t="s">
        <v>4063</v>
      </c>
      <c r="E3218" s="16" t="s">
        <v>184</v>
      </c>
      <c r="F3218" s="16" t="s">
        <v>254</v>
      </c>
      <c r="G3218" s="16" t="s">
        <v>3009</v>
      </c>
      <c r="H3218" s="16" t="s">
        <v>260</v>
      </c>
      <c r="I3218" s="16" t="s">
        <v>220</v>
      </c>
    </row>
    <row r="3219" ht="242.25" hidden="1" customHeight="1">
      <c r="B3219" s="32" t="str">
        <f>IMAGE("https://gymvisual.com/22345-catalog_default/ring-leg-curl.jpg",4,500,500)</f>
        <v/>
      </c>
      <c r="C3219" s="30">
        <v>3218.0</v>
      </c>
      <c r="D3219" s="16" t="s">
        <v>4064</v>
      </c>
      <c r="E3219" s="16" t="s">
        <v>184</v>
      </c>
      <c r="F3219" s="16" t="s">
        <v>285</v>
      </c>
      <c r="G3219" s="16" t="s">
        <v>255</v>
      </c>
      <c r="H3219" s="16" t="s">
        <v>220</v>
      </c>
      <c r="I3219" s="16" t="s">
        <v>220</v>
      </c>
    </row>
    <row r="3220" ht="242.25" hidden="1" customHeight="1">
      <c r="B3220" s="32" t="str">
        <f>IMAGE("https://gymvisual.com/22470-catalog_default/ring-leg-curl-version-2.jpg",4,500,500)</f>
        <v/>
      </c>
      <c r="C3220" s="30">
        <v>3219.0</v>
      </c>
      <c r="D3220" s="16" t="s">
        <v>4065</v>
      </c>
      <c r="E3220" s="16" t="s">
        <v>184</v>
      </c>
      <c r="F3220" s="16" t="s">
        <v>285</v>
      </c>
      <c r="G3220" s="16" t="s">
        <v>255</v>
      </c>
      <c r="H3220" s="16" t="s">
        <v>220</v>
      </c>
      <c r="I3220" s="16" t="s">
        <v>220</v>
      </c>
    </row>
    <row r="3221" ht="242.25" hidden="1" customHeight="1">
      <c r="B3221" s="32" t="str">
        <f>IMAGE("https://gymvisual.com/22347-catalog_default/ring-reverse-ab-rollout.jpg",4,500,500)</f>
        <v/>
      </c>
      <c r="C3221" s="30">
        <v>3220.0</v>
      </c>
      <c r="D3221" s="16" t="s">
        <v>4066</v>
      </c>
      <c r="E3221" s="16" t="s">
        <v>184</v>
      </c>
      <c r="F3221" s="16" t="s">
        <v>254</v>
      </c>
      <c r="G3221" s="16" t="s">
        <v>255</v>
      </c>
      <c r="H3221" s="16" t="s">
        <v>220</v>
      </c>
      <c r="I3221" s="16" t="s">
        <v>220</v>
      </c>
    </row>
    <row r="3222" ht="242.25" hidden="1" customHeight="1">
      <c r="B3222" s="32" t="str">
        <f>IMAGE("https://gymvisual.com/22482-catalog_default/ring-reverse-fly.jpg",4,500,500)</f>
        <v/>
      </c>
      <c r="C3222" s="30">
        <v>3221.0</v>
      </c>
      <c r="D3222" s="16" t="s">
        <v>4067</v>
      </c>
      <c r="E3222" s="16" t="s">
        <v>184</v>
      </c>
      <c r="F3222" s="16" t="s">
        <v>228</v>
      </c>
      <c r="G3222" s="16" t="s">
        <v>255</v>
      </c>
      <c r="H3222" s="16" t="s">
        <v>220</v>
      </c>
      <c r="I3222" s="16" t="s">
        <v>220</v>
      </c>
    </row>
    <row r="3223" ht="242.25" customHeight="1">
      <c r="B3223" s="32" t="str">
        <f>IMAGE("https://gymvisual.com/20732-catalog_default/ring-rollout-female.jpg",4,500,500)</f>
        <v/>
      </c>
      <c r="C3223" s="30">
        <v>3222.0</v>
      </c>
      <c r="D3223" s="16" t="s">
        <v>4068</v>
      </c>
      <c r="E3223" s="16" t="s">
        <v>184</v>
      </c>
      <c r="F3223" s="16" t="s">
        <v>254</v>
      </c>
      <c r="G3223" s="16" t="s">
        <v>3009</v>
      </c>
      <c r="H3223" s="16" t="s">
        <v>260</v>
      </c>
      <c r="I3223" s="16" t="s">
        <v>220</v>
      </c>
    </row>
    <row r="3224" ht="242.25" hidden="1" customHeight="1">
      <c r="B3224" s="32" t="str">
        <f>IMAGE("https://gymvisual.com/11613-catalog_default/rocky-pull-up-pulldown-female.jpg",4,500,500)</f>
        <v/>
      </c>
      <c r="C3224" s="30">
        <v>3223.0</v>
      </c>
      <c r="D3224" s="16" t="s">
        <v>4069</v>
      </c>
      <c r="E3224" s="16" t="s">
        <v>184</v>
      </c>
      <c r="F3224" s="16" t="s">
        <v>192</v>
      </c>
      <c r="G3224" s="16" t="s">
        <v>255</v>
      </c>
      <c r="H3224" s="16" t="s">
        <v>220</v>
      </c>
      <c r="I3224" s="16" t="s">
        <v>220</v>
      </c>
    </row>
    <row r="3225" ht="242.25" hidden="1" customHeight="1">
      <c r="B3225" s="32" t="str">
        <f>IMAGE("https://gymvisual.com/2034-catalog_default/3-4-sit-up.jpg",4,500,500)</f>
        <v/>
      </c>
      <c r="C3225" s="30">
        <v>3224.0</v>
      </c>
      <c r="D3225" s="16" t="s">
        <v>4070</v>
      </c>
      <c r="E3225" s="16" t="s">
        <v>184</v>
      </c>
      <c r="F3225" s="16" t="s">
        <v>192</v>
      </c>
      <c r="G3225" s="16" t="s">
        <v>255</v>
      </c>
      <c r="H3225" s="16" t="s">
        <v>300</v>
      </c>
      <c r="I3225" s="16" t="s">
        <v>535</v>
      </c>
    </row>
    <row r="3226" ht="242.25" hidden="1" customHeight="1">
      <c r="B3226" s="32" t="str">
        <f>IMAGE("https://gymvisual.com/2037-catalog_default/3-4-sit-up.jpg",4,500,500)</f>
        <v/>
      </c>
      <c r="C3226" s="30">
        <v>3225.0</v>
      </c>
      <c r="D3226" s="16" t="s">
        <v>4071</v>
      </c>
      <c r="E3226" s="16" t="s">
        <v>184</v>
      </c>
      <c r="F3226" s="16" t="s">
        <v>254</v>
      </c>
      <c r="G3226" s="16" t="s">
        <v>255</v>
      </c>
      <c r="H3226" s="16" t="s">
        <v>260</v>
      </c>
      <c r="I3226" s="16" t="s">
        <v>4072</v>
      </c>
    </row>
    <row r="3227" ht="242.25" hidden="1" customHeight="1">
      <c r="B3227" s="32" t="str">
        <f>IMAGE("https://gymvisual.com/13604-catalog_default/roman-chair-sit-up.jpg",4,500,500)</f>
        <v/>
      </c>
      <c r="C3227" s="30">
        <v>3226.0</v>
      </c>
      <c r="D3227" s="16" t="s">
        <v>4073</v>
      </c>
      <c r="E3227" s="16" t="s">
        <v>184</v>
      </c>
      <c r="F3227" s="16" t="s">
        <v>254</v>
      </c>
      <c r="G3227" s="16" t="s">
        <v>255</v>
      </c>
      <c r="H3227" s="16" t="s">
        <v>256</v>
      </c>
      <c r="I3227" s="16" t="s">
        <v>257</v>
      </c>
    </row>
    <row r="3228" ht="242.25" hidden="1" customHeight="1">
      <c r="B3228" s="32" t="str">
        <f>IMAGE("https://gymvisual.com/17781-catalog_default/romanian-chair-sit-up-version-2.jpg",4,500,500)</f>
        <v/>
      </c>
      <c r="C3228" s="30">
        <v>3227.0</v>
      </c>
      <c r="D3228" s="16" t="s">
        <v>4074</v>
      </c>
      <c r="E3228" s="16" t="s">
        <v>184</v>
      </c>
      <c r="F3228" s="16" t="s">
        <v>185</v>
      </c>
      <c r="G3228" s="16" t="s">
        <v>255</v>
      </c>
      <c r="H3228" s="16" t="s">
        <v>220</v>
      </c>
      <c r="I3228" s="16" t="s">
        <v>220</v>
      </c>
    </row>
    <row r="3229" ht="242.25" customHeight="1">
      <c r="B3229" s="32" t="str">
        <f>IMAGE("https://gymvisual.com/2039-catalog_default/3-4-sit-up.jpg",4,500,500)</f>
        <v/>
      </c>
      <c r="C3229" s="30">
        <v>3228.0</v>
      </c>
      <c r="D3229" s="16" t="s">
        <v>4075</v>
      </c>
      <c r="E3229" s="16" t="s">
        <v>184</v>
      </c>
      <c r="F3229" s="16" t="s">
        <v>192</v>
      </c>
      <c r="G3229" s="16" t="s">
        <v>1160</v>
      </c>
      <c r="H3229" s="16" t="s">
        <v>329</v>
      </c>
      <c r="I3229" s="16" t="s">
        <v>457</v>
      </c>
    </row>
    <row r="3230" ht="242.25" hidden="1" customHeight="1">
      <c r="B3230" s="32" t="str">
        <f>IMAGE("https://gymvisual.com/19341-catalog_default/3-4-sit-up.jpg",4,500,500)</f>
        <v/>
      </c>
      <c r="C3230" s="30">
        <v>3229.0</v>
      </c>
      <c r="D3230" s="16" t="s">
        <v>4076</v>
      </c>
      <c r="E3230" s="16" t="s">
        <v>184</v>
      </c>
      <c r="F3230" s="16" t="s">
        <v>254</v>
      </c>
      <c r="G3230" s="16" t="s">
        <v>255</v>
      </c>
      <c r="H3230" s="16" t="s">
        <v>1874</v>
      </c>
      <c r="I3230" s="16" t="s">
        <v>4077</v>
      </c>
    </row>
    <row r="3231" ht="242.25" hidden="1" customHeight="1">
      <c r="B3231" s="32" t="str">
        <f>IMAGE("https://gymvisual.com/2042-catalog_default/3-4-sit-up.jpg",4,500,500)</f>
        <v/>
      </c>
      <c r="C3231" s="30">
        <v>3230.0</v>
      </c>
      <c r="D3231" s="16" t="s">
        <v>4078</v>
      </c>
      <c r="E3231" s="16" t="s">
        <v>184</v>
      </c>
      <c r="F3231" s="16" t="s">
        <v>254</v>
      </c>
      <c r="G3231" s="16" t="s">
        <v>255</v>
      </c>
      <c r="H3231" s="16" t="s">
        <v>4079</v>
      </c>
      <c r="I3231" s="16" t="s">
        <v>4080</v>
      </c>
    </row>
    <row r="3232" ht="242.25" hidden="1" customHeight="1">
      <c r="B3232" s="32" t="str">
        <f>IMAGE("https://gymvisual.com/14133-catalog_default/rotational-push-up.jpg",4,500,500)</f>
        <v/>
      </c>
      <c r="C3232" s="30">
        <v>3231.0</v>
      </c>
      <c r="D3232" s="16" t="s">
        <v>4081</v>
      </c>
      <c r="E3232" s="16" t="s">
        <v>184</v>
      </c>
      <c r="F3232" s="16" t="s">
        <v>3260</v>
      </c>
      <c r="G3232" s="16" t="s">
        <v>255</v>
      </c>
      <c r="H3232" s="16" t="s">
        <v>1874</v>
      </c>
      <c r="I3232" s="16" t="s">
        <v>3261</v>
      </c>
    </row>
    <row r="3233" ht="242.25" hidden="1" customHeight="1">
      <c r="B3233" s="32" t="str">
        <f>IMAGE("https://gymvisual.com/23851-catalog_default/rounded-back-extension.jpg",4,500,500)</f>
        <v/>
      </c>
      <c r="C3233" s="30">
        <v>3232.0</v>
      </c>
      <c r="D3233" s="16" t="s">
        <v>4082</v>
      </c>
      <c r="E3233" s="16" t="s">
        <v>184</v>
      </c>
      <c r="F3233" s="16" t="s">
        <v>185</v>
      </c>
      <c r="G3233" s="16" t="s">
        <v>255</v>
      </c>
      <c r="H3233" s="16" t="s">
        <v>220</v>
      </c>
      <c r="I3233" s="16" t="s">
        <v>220</v>
      </c>
    </row>
    <row r="3234" ht="242.25" hidden="1" customHeight="1">
      <c r="B3234" s="32" t="str">
        <f>IMAGE("https://gymvisual.com/17542-catalog_default/3-4-sit-up.jpg",4,500,500)</f>
        <v/>
      </c>
      <c r="C3234" s="30">
        <v>3233.0</v>
      </c>
      <c r="D3234" s="16" t="s">
        <v>4083</v>
      </c>
      <c r="E3234" s="16" t="s">
        <v>184</v>
      </c>
      <c r="F3234" s="16" t="s">
        <v>254</v>
      </c>
      <c r="G3234" s="16" t="s">
        <v>255</v>
      </c>
      <c r="H3234" s="16" t="s">
        <v>257</v>
      </c>
      <c r="I3234" s="16" t="s">
        <v>271</v>
      </c>
    </row>
    <row r="3235" ht="242.25" hidden="1" customHeight="1">
      <c r="B3235" s="32" t="str">
        <f>IMAGE("https://gymvisual.com/11173-catalog_default/russian-twist-female.jpg",4,500,500)</f>
        <v/>
      </c>
      <c r="C3235" s="30">
        <v>3234.0</v>
      </c>
      <c r="D3235" s="16" t="s">
        <v>4084</v>
      </c>
      <c r="E3235" s="16" t="s">
        <v>184</v>
      </c>
      <c r="F3235" s="16" t="s">
        <v>254</v>
      </c>
      <c r="G3235" s="16" t="s">
        <v>255</v>
      </c>
      <c r="H3235" s="16" t="s">
        <v>257</v>
      </c>
      <c r="I3235" s="16" t="s">
        <v>271</v>
      </c>
    </row>
    <row r="3236" ht="242.25" customHeight="1">
      <c r="B3236" s="32" t="str">
        <f>IMAGE("https://gymvisual.com/2057-catalog_default/3-4-sit-up.jpg",4,500,500)</f>
        <v/>
      </c>
      <c r="C3236" s="30">
        <v>3235.0</v>
      </c>
      <c r="D3236" s="16" t="s">
        <v>4085</v>
      </c>
      <c r="E3236" s="16" t="s">
        <v>184</v>
      </c>
      <c r="F3236" s="16" t="s">
        <v>254</v>
      </c>
      <c r="G3236" s="16" t="s">
        <v>399</v>
      </c>
      <c r="H3236" s="16" t="s">
        <v>257</v>
      </c>
      <c r="I3236" s="16" t="s">
        <v>271</v>
      </c>
    </row>
    <row r="3237" ht="242.25" customHeight="1">
      <c r="B3237" s="32" t="str">
        <f>IMAGE("https://gymvisual.com/4623-catalog_default/russian-twist-with-medicine-ball.jpg",4,500,500)</f>
        <v/>
      </c>
      <c r="C3237" s="30">
        <v>3236.0</v>
      </c>
      <c r="D3237" s="16" t="s">
        <v>4086</v>
      </c>
      <c r="E3237" s="16" t="s">
        <v>184</v>
      </c>
      <c r="F3237" s="16" t="s">
        <v>254</v>
      </c>
      <c r="G3237" s="16" t="s">
        <v>373</v>
      </c>
      <c r="H3237" s="16" t="s">
        <v>257</v>
      </c>
      <c r="I3237" s="16" t="s">
        <v>256</v>
      </c>
    </row>
    <row r="3238" ht="242.25" hidden="1" customHeight="1">
      <c r="B3238" s="32" t="str">
        <f>IMAGE("https://gymvisual.com/22781-catalog_default/russian-twist-with-hands-on-chest-female.jpg",4,500,500)</f>
        <v/>
      </c>
      <c r="C3238" s="30">
        <v>3237.0</v>
      </c>
      <c r="D3238" s="16" t="s">
        <v>4087</v>
      </c>
      <c r="E3238" s="16" t="s">
        <v>184</v>
      </c>
      <c r="F3238" s="16" t="s">
        <v>254</v>
      </c>
      <c r="G3238" s="16" t="s">
        <v>255</v>
      </c>
      <c r="H3238" s="16" t="s">
        <v>257</v>
      </c>
      <c r="I3238" s="16" t="s">
        <v>271</v>
      </c>
    </row>
    <row r="3239" ht="242.25" hidden="1" customHeight="1">
      <c r="B3239" s="32" t="str">
        <f>IMAGE("https://gymvisual.com/18071-catalog_default/safety-bar-elevated-heel-squat.jpg",4,500,500)</f>
        <v/>
      </c>
      <c r="C3239" s="30">
        <v>3238.0</v>
      </c>
      <c r="D3239" s="16" t="s">
        <v>4088</v>
      </c>
      <c r="E3239" s="16" t="s">
        <v>184</v>
      </c>
      <c r="F3239" s="16" t="s">
        <v>285</v>
      </c>
      <c r="G3239" s="16" t="s">
        <v>255</v>
      </c>
      <c r="H3239" s="16" t="s">
        <v>220</v>
      </c>
      <c r="I3239" s="16" t="s">
        <v>220</v>
      </c>
    </row>
    <row r="3240" ht="242.25" hidden="1" customHeight="1">
      <c r="B3240" s="32" t="str">
        <f>IMAGE("https://gymvisual.com/18069-catalog_default/safety-bar-front-squat.jpg",4,500,500)</f>
        <v/>
      </c>
      <c r="C3240" s="30">
        <v>3239.0</v>
      </c>
      <c r="D3240" s="16" t="s">
        <v>4089</v>
      </c>
      <c r="E3240" s="16" t="s">
        <v>184</v>
      </c>
      <c r="F3240" s="16" t="s">
        <v>285</v>
      </c>
      <c r="G3240" s="16" t="s">
        <v>255</v>
      </c>
      <c r="H3240" s="16" t="s">
        <v>220</v>
      </c>
      <c r="I3240" s="16" t="s">
        <v>220</v>
      </c>
    </row>
    <row r="3241" ht="242.25" hidden="1" customHeight="1">
      <c r="B3241" s="32" t="str">
        <f>IMAGE("https://gymvisual.com/26126-catalog_default/safety-bar-good-morning-male.jpg",4,500,500)</f>
        <v/>
      </c>
      <c r="C3241" s="30">
        <v>3240.0</v>
      </c>
      <c r="D3241" s="16" t="s">
        <v>4090</v>
      </c>
      <c r="E3241" s="16" t="s">
        <v>184</v>
      </c>
      <c r="F3241" s="16" t="s">
        <v>185</v>
      </c>
      <c r="G3241" s="16" t="s">
        <v>255</v>
      </c>
      <c r="H3241" s="16" t="s">
        <v>220</v>
      </c>
      <c r="I3241" s="16" t="s">
        <v>220</v>
      </c>
    </row>
    <row r="3242" ht="242.25" customHeight="1">
      <c r="B3242" s="32" t="str">
        <f>IMAGE("https://gymvisual.com/7328-catalog_default/sagittal-plane-lunge-with-overhead-medicine-ball-press.jpg",4,500,500)</f>
        <v/>
      </c>
      <c r="C3242" s="30">
        <v>3241.0</v>
      </c>
      <c r="D3242" s="16" t="s">
        <v>4091</v>
      </c>
      <c r="E3242" s="16" t="s">
        <v>184</v>
      </c>
      <c r="F3242" s="16" t="s">
        <v>285</v>
      </c>
      <c r="G3242" s="16" t="s">
        <v>373</v>
      </c>
      <c r="H3242" s="16" t="s">
        <v>220</v>
      </c>
      <c r="I3242" s="16" t="s">
        <v>220</v>
      </c>
    </row>
    <row r="3243" ht="242.25" hidden="1" customHeight="1">
      <c r="B3243" s="32" t="str">
        <f>IMAGE("https://gymvisual.com/12403-catalog_default/scapula-dips.jpg",4,500,500)</f>
        <v/>
      </c>
      <c r="C3243" s="30">
        <v>3242.0</v>
      </c>
      <c r="D3243" s="16" t="s">
        <v>4092</v>
      </c>
      <c r="E3243" s="16" t="s">
        <v>184</v>
      </c>
      <c r="F3243" s="16" t="s">
        <v>192</v>
      </c>
      <c r="G3243" s="16" t="s">
        <v>255</v>
      </c>
      <c r="H3243" s="16" t="s">
        <v>239</v>
      </c>
      <c r="I3243" s="16" t="s">
        <v>4008</v>
      </c>
    </row>
    <row r="3244" ht="242.25" hidden="1" customHeight="1">
      <c r="B3244" s="32" t="str">
        <f>IMAGE("https://gymvisual.com/17274-catalog_default/scapula-dips-female.jpg",4,500,500)</f>
        <v/>
      </c>
      <c r="C3244" s="30">
        <v>3243.0</v>
      </c>
      <c r="D3244" s="16" t="s">
        <v>4093</v>
      </c>
      <c r="E3244" s="16" t="s">
        <v>184</v>
      </c>
      <c r="F3244" s="16" t="s">
        <v>192</v>
      </c>
      <c r="G3244" s="16" t="s">
        <v>255</v>
      </c>
      <c r="H3244" s="16" t="s">
        <v>239</v>
      </c>
      <c r="I3244" s="16" t="s">
        <v>4008</v>
      </c>
    </row>
    <row r="3245" ht="242.25" hidden="1" customHeight="1">
      <c r="B3245" s="32" t="str">
        <f>IMAGE("https://gymvisual.com/12430-catalog_default/scapula-push-up.jpg",4,500,500)</f>
        <v/>
      </c>
      <c r="C3245" s="30">
        <v>3244.0</v>
      </c>
      <c r="D3245" s="16" t="s">
        <v>4094</v>
      </c>
      <c r="E3245" s="16" t="s">
        <v>184</v>
      </c>
      <c r="F3245" s="16" t="s">
        <v>234</v>
      </c>
      <c r="G3245" s="16" t="s">
        <v>255</v>
      </c>
      <c r="H3245" s="16" t="s">
        <v>885</v>
      </c>
      <c r="I3245" s="16" t="s">
        <v>1621</v>
      </c>
    </row>
    <row r="3246" ht="242.25" hidden="1" customHeight="1">
      <c r="B3246" s="32" t="str">
        <f>IMAGE("https://gymvisual.com/2063-catalog_default/3-4-sit-up.jpg",4,500,500)</f>
        <v/>
      </c>
      <c r="C3246" s="30">
        <v>3245.0</v>
      </c>
      <c r="D3246" s="16" t="s">
        <v>4095</v>
      </c>
      <c r="E3246" s="16" t="s">
        <v>184</v>
      </c>
      <c r="F3246" s="16" t="s">
        <v>192</v>
      </c>
      <c r="G3246" s="16" t="s">
        <v>255</v>
      </c>
      <c r="H3246" s="16" t="s">
        <v>4096</v>
      </c>
      <c r="I3246" s="16" t="s">
        <v>300</v>
      </c>
    </row>
    <row r="3247" ht="242.25" hidden="1" customHeight="1">
      <c r="B3247" s="32" t="str">
        <f>IMAGE("https://gymvisual.com/12210-catalog_default/scapular-slide-back-to-wall.jpg",4,500,500)</f>
        <v/>
      </c>
      <c r="C3247" s="30">
        <v>3246.0</v>
      </c>
      <c r="D3247" s="16" t="s">
        <v>4097</v>
      </c>
      <c r="E3247" s="16" t="s">
        <v>184</v>
      </c>
      <c r="F3247" s="16" t="s">
        <v>192</v>
      </c>
      <c r="G3247" s="16" t="s">
        <v>255</v>
      </c>
      <c r="H3247" s="16" t="s">
        <v>4008</v>
      </c>
      <c r="I3247" s="16" t="s">
        <v>408</v>
      </c>
    </row>
    <row r="3248" ht="242.25" hidden="1" customHeight="1">
      <c r="B3248" s="32" t="str">
        <f>IMAGE("https://gymvisual.com/12084-catalog_default/scissors-advanced-female.jpg",4,500,500)</f>
        <v/>
      </c>
      <c r="C3248" s="30">
        <v>3247.0</v>
      </c>
      <c r="D3248" s="16" t="s">
        <v>4098</v>
      </c>
      <c r="E3248" s="16" t="s">
        <v>184</v>
      </c>
      <c r="F3248" s="16" t="s">
        <v>254</v>
      </c>
      <c r="G3248" s="16" t="s">
        <v>255</v>
      </c>
      <c r="H3248" s="16" t="s">
        <v>220</v>
      </c>
      <c r="I3248" s="16" t="s">
        <v>220</v>
      </c>
    </row>
    <row r="3249" ht="242.25" hidden="1" customHeight="1">
      <c r="B3249" s="32" t="str">
        <f>IMAGE("https://gymvisual.com/14236-catalog_default/scissors-advanced-male.jpg",4,500,500)</f>
        <v/>
      </c>
      <c r="C3249" s="30">
        <v>3248.0</v>
      </c>
      <c r="D3249" s="16" t="s">
        <v>4099</v>
      </c>
      <c r="E3249" s="16" t="s">
        <v>184</v>
      </c>
      <c r="F3249" s="16" t="s">
        <v>310</v>
      </c>
      <c r="G3249" s="16" t="s">
        <v>255</v>
      </c>
      <c r="H3249" s="16" t="s">
        <v>2845</v>
      </c>
      <c r="I3249" s="16" t="s">
        <v>4100</v>
      </c>
    </row>
    <row r="3250" ht="242.25" hidden="1" customHeight="1">
      <c r="B3250" s="32" t="str">
        <f>IMAGE("https://gymvisual.com/12083-catalog_default/scissors-beginner-female.jpg",4,500,500)</f>
        <v/>
      </c>
      <c r="C3250" s="30">
        <v>3249.0</v>
      </c>
      <c r="D3250" s="16" t="s">
        <v>4101</v>
      </c>
      <c r="E3250" s="16" t="s">
        <v>184</v>
      </c>
      <c r="F3250" s="16" t="s">
        <v>185</v>
      </c>
      <c r="G3250" s="16" t="s">
        <v>255</v>
      </c>
      <c r="H3250" s="16" t="s">
        <v>220</v>
      </c>
      <c r="I3250" s="16" t="s">
        <v>220</v>
      </c>
    </row>
    <row r="3251" ht="242.25" hidden="1" customHeight="1">
      <c r="B3251" s="32" t="str">
        <f>IMAGE("https://gymvisual.com/22111-catalog_default/seated-8-leg-crunch.jpg",4,500,500)</f>
        <v/>
      </c>
      <c r="C3251" s="30">
        <v>3250.0</v>
      </c>
      <c r="D3251" s="16" t="s">
        <v>4102</v>
      </c>
      <c r="E3251" s="16" t="s">
        <v>184</v>
      </c>
      <c r="F3251" s="16" t="s">
        <v>254</v>
      </c>
      <c r="G3251" s="16" t="s">
        <v>255</v>
      </c>
      <c r="H3251" s="16" t="s">
        <v>4103</v>
      </c>
      <c r="I3251" s="16" t="s">
        <v>4104</v>
      </c>
    </row>
    <row r="3252" ht="242.25" hidden="1" customHeight="1">
      <c r="B3252" s="32" t="str">
        <f>IMAGE("https://gymvisual.com/17294-catalog_default/seated-alternate-crunch.jpg",4,500,500)</f>
        <v/>
      </c>
      <c r="C3252" s="30">
        <v>3251.0</v>
      </c>
      <c r="D3252" s="16" t="s">
        <v>4105</v>
      </c>
      <c r="E3252" s="16" t="s">
        <v>184</v>
      </c>
      <c r="F3252" s="16" t="s">
        <v>310</v>
      </c>
      <c r="G3252" s="16" t="s">
        <v>255</v>
      </c>
      <c r="H3252" s="16" t="s">
        <v>305</v>
      </c>
      <c r="I3252" s="16" t="s">
        <v>1306</v>
      </c>
    </row>
    <row r="3253" ht="242.25" customHeight="1">
      <c r="B3253" s="32" t="str">
        <f>IMAGE("https://gymvisual.com/24129-catalog_default/seated-back-squeeze-female.jpg",4,500,500)</f>
        <v/>
      </c>
      <c r="C3253" s="30">
        <v>3252.0</v>
      </c>
      <c r="D3253" s="16" t="s">
        <v>4106</v>
      </c>
      <c r="E3253" s="16" t="s">
        <v>184</v>
      </c>
      <c r="F3253" s="16" t="s">
        <v>192</v>
      </c>
      <c r="G3253" s="16" t="s">
        <v>2745</v>
      </c>
      <c r="H3253" s="16" t="s">
        <v>220</v>
      </c>
      <c r="I3253" s="16" t="s">
        <v>220</v>
      </c>
    </row>
    <row r="3254" ht="242.25" hidden="1" customHeight="1">
      <c r="B3254" s="32" t="str">
        <f>IMAGE("https://gymvisual.com/24133-catalog_default/seated-back-twist-female.jpg",4,500,500)</f>
        <v/>
      </c>
      <c r="C3254" s="30">
        <v>3253.0</v>
      </c>
      <c r="D3254" s="16" t="s">
        <v>4107</v>
      </c>
      <c r="E3254" s="16" t="s">
        <v>184</v>
      </c>
      <c r="F3254" s="16" t="s">
        <v>254</v>
      </c>
      <c r="G3254" s="16" t="s">
        <v>255</v>
      </c>
      <c r="H3254" s="16" t="s">
        <v>220</v>
      </c>
      <c r="I3254" s="16" t="s">
        <v>220</v>
      </c>
    </row>
    <row r="3255" ht="242.25" customHeight="1">
      <c r="B3255" s="32" t="str">
        <f>IMAGE("https://gymvisual.com/24141-catalog_default/seated-ballerina-female.jpg",4,500,500)</f>
        <v/>
      </c>
      <c r="C3255" s="30">
        <v>3254.0</v>
      </c>
      <c r="D3255" s="16" t="s">
        <v>4108</v>
      </c>
      <c r="E3255" s="16" t="s">
        <v>184</v>
      </c>
      <c r="F3255" s="16" t="s">
        <v>228</v>
      </c>
      <c r="G3255" s="16" t="s">
        <v>399</v>
      </c>
      <c r="H3255" s="16" t="s">
        <v>220</v>
      </c>
      <c r="I3255" s="16" t="s">
        <v>220</v>
      </c>
    </row>
    <row r="3256" ht="242.25" hidden="1" customHeight="1">
      <c r="B3256" s="32" t="str">
        <f>IMAGE("https://gymvisual.com/24139-catalog_default/seated-behind-back-raise-female.jpg",4,500,500)</f>
        <v/>
      </c>
      <c r="C3256" s="30">
        <v>3255.0</v>
      </c>
      <c r="D3256" s="16" t="s">
        <v>4109</v>
      </c>
      <c r="E3256" s="16" t="s">
        <v>184</v>
      </c>
      <c r="F3256" s="16" t="s">
        <v>192</v>
      </c>
      <c r="G3256" s="16" t="s">
        <v>255</v>
      </c>
      <c r="H3256" s="16" t="s">
        <v>220</v>
      </c>
      <c r="I3256" s="16" t="s">
        <v>220</v>
      </c>
    </row>
    <row r="3257" ht="242.25" hidden="1" customHeight="1">
      <c r="B3257" s="32" t="str">
        <f>IMAGE("https://gymvisual.com/23689-catalog_default/seated-chest-clam.jpg",4,500,500)</f>
        <v/>
      </c>
      <c r="C3257" s="30">
        <v>3256.0</v>
      </c>
      <c r="D3257" s="16" t="s">
        <v>4110</v>
      </c>
      <c r="E3257" s="16" t="s">
        <v>184</v>
      </c>
      <c r="F3257" s="16" t="s">
        <v>234</v>
      </c>
      <c r="G3257" s="16" t="s">
        <v>255</v>
      </c>
      <c r="H3257" s="16" t="s">
        <v>472</v>
      </c>
      <c r="I3257" s="16" t="s">
        <v>220</v>
      </c>
    </row>
    <row r="3258" ht="242.25" hidden="1" customHeight="1">
      <c r="B3258" s="32" t="str">
        <f>IMAGE("https://gymvisual.com/24095-catalog_default/seated-chin-tuck.jpg",4,500,500)</f>
        <v/>
      </c>
      <c r="C3258" s="30">
        <v>3257.0</v>
      </c>
      <c r="D3258" s="16" t="s">
        <v>4111</v>
      </c>
      <c r="E3258" s="16" t="s">
        <v>184</v>
      </c>
      <c r="F3258" s="16" t="s">
        <v>351</v>
      </c>
      <c r="G3258" s="16" t="s">
        <v>255</v>
      </c>
      <c r="H3258" s="16" t="s">
        <v>220</v>
      </c>
      <c r="I3258" s="16" t="s">
        <v>220</v>
      </c>
    </row>
    <row r="3259" ht="242.25" hidden="1" customHeight="1">
      <c r="B3259" s="32" t="str">
        <f>IMAGE("https://gymvisual.com/20710-catalog_default/seated-chin-up.jpg",4,500,500)</f>
        <v/>
      </c>
      <c r="C3259" s="30">
        <v>3258.0</v>
      </c>
      <c r="D3259" s="16" t="s">
        <v>4112</v>
      </c>
      <c r="E3259" s="16" t="s">
        <v>184</v>
      </c>
      <c r="F3259" s="16" t="s">
        <v>192</v>
      </c>
      <c r="G3259" s="16" t="s">
        <v>255</v>
      </c>
      <c r="H3259" s="16" t="s">
        <v>329</v>
      </c>
      <c r="I3259" s="16" t="s">
        <v>447</v>
      </c>
    </row>
    <row r="3260" ht="242.25" hidden="1" customHeight="1">
      <c r="B3260" s="32" t="str">
        <f>IMAGE("https://gymvisual.com/20708-catalog_default/seated-chin-up-low-bar-position.jpg",4,500,500)</f>
        <v/>
      </c>
      <c r="C3260" s="30">
        <v>3259.0</v>
      </c>
      <c r="D3260" s="16" t="s">
        <v>4113</v>
      </c>
      <c r="E3260" s="16" t="s">
        <v>184</v>
      </c>
      <c r="F3260" s="16" t="s">
        <v>192</v>
      </c>
      <c r="G3260" s="16" t="s">
        <v>255</v>
      </c>
      <c r="H3260" s="16" t="s">
        <v>329</v>
      </c>
      <c r="I3260" s="16" t="s">
        <v>447</v>
      </c>
    </row>
    <row r="3261" ht="242.25" hidden="1" customHeight="1">
      <c r="B3261" s="32" t="str">
        <f>IMAGE("https://gymvisual.com/20505-catalog_default/seated-commando-pull-up.jpg",4,500,500)</f>
        <v/>
      </c>
      <c r="C3261" s="30">
        <v>3260.0</v>
      </c>
      <c r="D3261" s="16" t="s">
        <v>4114</v>
      </c>
      <c r="E3261" s="16" t="s">
        <v>184</v>
      </c>
      <c r="F3261" s="16" t="s">
        <v>361</v>
      </c>
      <c r="G3261" s="16" t="s">
        <v>255</v>
      </c>
      <c r="H3261" s="16" t="s">
        <v>329</v>
      </c>
      <c r="I3261" s="16" t="s">
        <v>357</v>
      </c>
    </row>
    <row r="3262" ht="242.25" hidden="1" customHeight="1">
      <c r="B3262" s="32" t="str">
        <f>IMAGE("https://gymvisual.com/13906-catalog_default/seated-flexion-and-extension-neck-male.jpg",4,500,500)</f>
        <v/>
      </c>
      <c r="C3262" s="30">
        <v>3261.0</v>
      </c>
      <c r="D3262" s="16" t="s">
        <v>4115</v>
      </c>
      <c r="E3262" s="16" t="s">
        <v>184</v>
      </c>
      <c r="F3262" s="16" t="s">
        <v>351</v>
      </c>
      <c r="G3262" s="16" t="s">
        <v>255</v>
      </c>
      <c r="H3262" s="16" t="s">
        <v>4116</v>
      </c>
      <c r="I3262" s="16" t="s">
        <v>220</v>
      </c>
    </row>
    <row r="3263" ht="242.25" hidden="1" customHeight="1">
      <c r="B3263" s="32" t="str">
        <f>IMAGE("https://gymvisual.com/17300-catalog_default/seated-flutter-kick.jpg",4,500,500)</f>
        <v/>
      </c>
      <c r="C3263" s="30">
        <v>3262.0</v>
      </c>
      <c r="D3263" s="16" t="s">
        <v>4117</v>
      </c>
      <c r="E3263" s="16" t="s">
        <v>184</v>
      </c>
      <c r="F3263" s="16" t="s">
        <v>254</v>
      </c>
      <c r="G3263" s="16" t="s">
        <v>255</v>
      </c>
      <c r="H3263" s="16" t="s">
        <v>305</v>
      </c>
      <c r="I3263" s="16" t="s">
        <v>600</v>
      </c>
    </row>
    <row r="3264" ht="242.25" hidden="1" customHeight="1">
      <c r="B3264" s="32" t="str">
        <f>IMAGE("https://gymvisual.com/24149-catalog_default/seated-foot-slide.jpg",4,500,500)</f>
        <v/>
      </c>
      <c r="C3264" s="30">
        <v>3263.0</v>
      </c>
      <c r="D3264" s="16" t="s">
        <v>4118</v>
      </c>
      <c r="E3264" s="16" t="s">
        <v>184</v>
      </c>
      <c r="F3264" s="16" t="s">
        <v>325</v>
      </c>
      <c r="G3264" s="16" t="s">
        <v>255</v>
      </c>
      <c r="H3264" s="16" t="s">
        <v>220</v>
      </c>
      <c r="I3264" s="16" t="s">
        <v>220</v>
      </c>
    </row>
    <row r="3265" ht="242.25" hidden="1" customHeight="1">
      <c r="B3265" s="32" t="str">
        <f>IMAGE("https://gymvisual.com/14028-catalog_default/seated-in-out-leg-raise-on-floor.jpg",4,500,500)</f>
        <v/>
      </c>
      <c r="C3265" s="30">
        <v>3264.0</v>
      </c>
      <c r="D3265" s="16" t="s">
        <v>4119</v>
      </c>
      <c r="E3265" s="16" t="s">
        <v>184</v>
      </c>
      <c r="F3265" s="16" t="s">
        <v>522</v>
      </c>
      <c r="G3265" s="16" t="s">
        <v>255</v>
      </c>
      <c r="H3265" s="16" t="s">
        <v>2640</v>
      </c>
      <c r="I3265" s="16" t="s">
        <v>1206</v>
      </c>
    </row>
    <row r="3266" ht="242.25" hidden="1" customHeight="1">
      <c r="B3266" s="32" t="str">
        <f>IMAGE("https://gymvisual.com/23589-catalog_default/seated-in-out-leg-raise-on-floor-female.jpg",4,500,500)</f>
        <v/>
      </c>
      <c r="C3266" s="30">
        <v>3265.0</v>
      </c>
      <c r="D3266" s="16" t="s">
        <v>4120</v>
      </c>
      <c r="E3266" s="16" t="s">
        <v>184</v>
      </c>
      <c r="F3266" s="16" t="s">
        <v>254</v>
      </c>
      <c r="G3266" s="16" t="s">
        <v>255</v>
      </c>
      <c r="H3266" s="16" t="s">
        <v>305</v>
      </c>
      <c r="I3266" s="16" t="s">
        <v>600</v>
      </c>
    </row>
    <row r="3267" ht="242.25" hidden="1" customHeight="1">
      <c r="B3267" s="32" t="str">
        <f>IMAGE("https://gymvisual.com/2066-catalog_default/3-4-sit-up.jpg",4,500,500)</f>
        <v/>
      </c>
      <c r="C3267" s="30">
        <v>3266.0</v>
      </c>
      <c r="D3267" s="16" t="s">
        <v>4121</v>
      </c>
      <c r="E3267" s="16" t="s">
        <v>184</v>
      </c>
      <c r="F3267" s="16" t="s">
        <v>254</v>
      </c>
      <c r="G3267" s="16" t="s">
        <v>255</v>
      </c>
      <c r="H3267" s="16" t="s">
        <v>256</v>
      </c>
      <c r="I3267" s="16" t="s">
        <v>424</v>
      </c>
    </row>
    <row r="3268" ht="242.25" hidden="1" customHeight="1">
      <c r="B3268" s="32" t="str">
        <f>IMAGE("https://gymvisual.com/11176-catalog_default/seated-leg-raise-female.jpg",4,500,500)</f>
        <v/>
      </c>
      <c r="C3268" s="30">
        <v>3267.0</v>
      </c>
      <c r="D3268" s="16" t="s">
        <v>4122</v>
      </c>
      <c r="E3268" s="16" t="s">
        <v>184</v>
      </c>
      <c r="F3268" s="16" t="s">
        <v>310</v>
      </c>
      <c r="G3268" s="16" t="s">
        <v>255</v>
      </c>
      <c r="H3268" s="16" t="s">
        <v>220</v>
      </c>
      <c r="I3268" s="16" t="s">
        <v>220</v>
      </c>
    </row>
    <row r="3269" ht="242.25" hidden="1" customHeight="1">
      <c r="B3269" s="32" t="str">
        <f>IMAGE("https://gymvisual.com/24135-catalog_default/seated-neck-tap-female.jpg",4,500,500)</f>
        <v/>
      </c>
      <c r="C3269" s="30">
        <v>3268.0</v>
      </c>
      <c r="D3269" s="16" t="s">
        <v>4123</v>
      </c>
      <c r="E3269" s="16" t="s">
        <v>184</v>
      </c>
      <c r="F3269" s="16" t="s">
        <v>219</v>
      </c>
      <c r="G3269" s="16" t="s">
        <v>255</v>
      </c>
      <c r="H3269" s="16" t="s">
        <v>220</v>
      </c>
      <c r="I3269" s="16" t="s">
        <v>220</v>
      </c>
    </row>
    <row r="3270" ht="242.25" hidden="1" customHeight="1">
      <c r="B3270" s="32" t="str">
        <f>IMAGE("https://gymvisual.com/20714-catalog_default/seated-pull-up.jpg",4,500,500)</f>
        <v/>
      </c>
      <c r="C3270" s="30">
        <v>3269.0</v>
      </c>
      <c r="D3270" s="16" t="s">
        <v>4124</v>
      </c>
      <c r="E3270" s="16" t="s">
        <v>184</v>
      </c>
      <c r="F3270" s="16" t="s">
        <v>192</v>
      </c>
      <c r="G3270" s="16" t="s">
        <v>255</v>
      </c>
      <c r="H3270" s="16" t="s">
        <v>329</v>
      </c>
      <c r="I3270" s="16" t="s">
        <v>447</v>
      </c>
    </row>
    <row r="3271" ht="242.25" hidden="1" customHeight="1">
      <c r="B3271" s="32" t="str">
        <f>IMAGE("https://gymvisual.com/22299-catalog_default/seated-pull-up-legs-elevated.jpg",4,500,500)</f>
        <v/>
      </c>
      <c r="C3271" s="30">
        <v>3270.0</v>
      </c>
      <c r="D3271" s="16" t="s">
        <v>4125</v>
      </c>
      <c r="E3271" s="16" t="s">
        <v>184</v>
      </c>
      <c r="F3271" s="16" t="s">
        <v>192</v>
      </c>
      <c r="G3271" s="16" t="s">
        <v>255</v>
      </c>
      <c r="H3271" s="16" t="s">
        <v>220</v>
      </c>
      <c r="I3271" s="16" t="s">
        <v>220</v>
      </c>
    </row>
    <row r="3272" ht="242.25" hidden="1" customHeight="1">
      <c r="B3272" s="32" t="str">
        <f>IMAGE("https://gymvisual.com/20712-catalog_default/seated-pull-up-low-bar-position.jpg",4,500,500)</f>
        <v/>
      </c>
      <c r="C3272" s="30">
        <v>3271.0</v>
      </c>
      <c r="D3272" s="16" t="s">
        <v>4126</v>
      </c>
      <c r="E3272" s="16" t="s">
        <v>184</v>
      </c>
      <c r="F3272" s="16" t="s">
        <v>192</v>
      </c>
      <c r="G3272" s="16" t="s">
        <v>255</v>
      </c>
      <c r="H3272" s="16" t="s">
        <v>329</v>
      </c>
      <c r="I3272" s="16" t="s">
        <v>447</v>
      </c>
    </row>
    <row r="3273" ht="242.25" hidden="1" customHeight="1">
      <c r="B3273" s="32" t="str">
        <f>IMAGE("https://gymvisual.com/14127-catalog_default/seated-pull-up-between-chairs.jpg",4,500,500)</f>
        <v/>
      </c>
      <c r="C3273" s="30">
        <v>3272.0</v>
      </c>
      <c r="D3273" s="16" t="s">
        <v>4127</v>
      </c>
      <c r="E3273" s="16" t="s">
        <v>184</v>
      </c>
      <c r="F3273" s="16" t="s">
        <v>192</v>
      </c>
      <c r="G3273" s="16" t="s">
        <v>255</v>
      </c>
      <c r="H3273" s="16" t="s">
        <v>300</v>
      </c>
      <c r="I3273" s="16" t="s">
        <v>3413</v>
      </c>
    </row>
    <row r="3274" ht="242.25" customHeight="1">
      <c r="B3274" s="32" t="str">
        <f>IMAGE("https://gymvisual.com/24137-catalog_default/seated-pulse-back-squeeze-female.jpg",4,500,500)</f>
        <v/>
      </c>
      <c r="C3274" s="30">
        <v>3273.0</v>
      </c>
      <c r="D3274" s="16" t="s">
        <v>4128</v>
      </c>
      <c r="E3274" s="16" t="s">
        <v>184</v>
      </c>
      <c r="F3274" s="16" t="s">
        <v>192</v>
      </c>
      <c r="G3274" s="16" t="s">
        <v>2745</v>
      </c>
      <c r="H3274" s="16" t="s">
        <v>220</v>
      </c>
      <c r="I3274" s="16" t="s">
        <v>220</v>
      </c>
    </row>
    <row r="3275" ht="242.25" hidden="1" customHeight="1">
      <c r="B3275" s="32" t="str">
        <f>IMAGE("https://gymvisual.com/22101-catalog_default/seated-row-with-towel.jpg",4,500,500)</f>
        <v/>
      </c>
      <c r="C3275" s="30">
        <v>3274.0</v>
      </c>
      <c r="D3275" s="16" t="s">
        <v>4129</v>
      </c>
      <c r="E3275" s="16" t="s">
        <v>184</v>
      </c>
      <c r="F3275" s="16" t="s">
        <v>192</v>
      </c>
      <c r="G3275" s="16" t="s">
        <v>255</v>
      </c>
      <c r="H3275" s="16" t="s">
        <v>570</v>
      </c>
      <c r="I3275" s="16" t="s">
        <v>447</v>
      </c>
    </row>
    <row r="3276" ht="242.25" hidden="1" customHeight="1">
      <c r="B3276" s="32" t="str">
        <f>IMAGE("https://gymvisual.com/2072-catalog_default/3-4-sit-up.jpg",4,500,500)</f>
        <v/>
      </c>
      <c r="C3276" s="30">
        <v>3275.0</v>
      </c>
      <c r="D3276" s="16" t="s">
        <v>4130</v>
      </c>
      <c r="E3276" s="16" t="s">
        <v>184</v>
      </c>
      <c r="F3276" s="16" t="s">
        <v>254</v>
      </c>
      <c r="G3276" s="16" t="s">
        <v>255</v>
      </c>
      <c r="H3276" s="16" t="s">
        <v>1328</v>
      </c>
      <c r="I3276" s="16" t="s">
        <v>190</v>
      </c>
    </row>
    <row r="3277" ht="242.25" hidden="1" customHeight="1">
      <c r="B3277" s="32" t="str">
        <f>IMAGE("https://gymvisual.com/17379-catalog_default/seated-side-to-side-leg-raise-crunch-on-floor.jpg",4,500,500)</f>
        <v/>
      </c>
      <c r="C3277" s="30">
        <v>3276.0</v>
      </c>
      <c r="D3277" s="16" t="s">
        <v>4131</v>
      </c>
      <c r="E3277" s="16" t="s">
        <v>184</v>
      </c>
      <c r="F3277" s="16" t="s">
        <v>254</v>
      </c>
      <c r="G3277" s="16" t="s">
        <v>255</v>
      </c>
      <c r="H3277" s="16" t="s">
        <v>263</v>
      </c>
      <c r="I3277" s="16" t="s">
        <v>4132</v>
      </c>
    </row>
    <row r="3278" ht="242.25" hidden="1" customHeight="1">
      <c r="B3278" s="32" t="str">
        <f>IMAGE("https://gymvisual.com/23691-catalog_default/seated-sky-look.jpg",4,500,500)</f>
        <v/>
      </c>
      <c r="C3278" s="30">
        <v>3277.0</v>
      </c>
      <c r="D3278" s="16" t="s">
        <v>4133</v>
      </c>
      <c r="E3278" s="16" t="s">
        <v>184</v>
      </c>
      <c r="F3278" s="16" t="s">
        <v>234</v>
      </c>
      <c r="G3278" s="16" t="s">
        <v>255</v>
      </c>
      <c r="H3278" s="16" t="s">
        <v>472</v>
      </c>
      <c r="I3278" s="16" t="s">
        <v>220</v>
      </c>
    </row>
    <row r="3279" ht="242.25" customHeight="1">
      <c r="B3279" s="32" t="str">
        <f>IMAGE("https://gymvisual.com/2080-catalog_default/3-4-sit-up.jpg",4,500,500)</f>
        <v/>
      </c>
      <c r="C3279" s="30">
        <v>3278.0</v>
      </c>
      <c r="D3279" s="16" t="s">
        <v>4134</v>
      </c>
      <c r="E3279" s="16" t="s">
        <v>184</v>
      </c>
      <c r="F3279" s="16" t="s">
        <v>254</v>
      </c>
      <c r="G3279" s="16" t="s">
        <v>399</v>
      </c>
      <c r="H3279" s="16" t="s">
        <v>257</v>
      </c>
      <c r="I3279" s="16" t="s">
        <v>271</v>
      </c>
    </row>
    <row r="3280" ht="242.25" hidden="1" customHeight="1">
      <c r="B3280" s="32" t="str">
        <f>IMAGE("https://gymvisual.com/2083-catalog_default/3-4-sit-up.jpg",4,500,500)</f>
        <v/>
      </c>
      <c r="C3280" s="30">
        <v>3279.0</v>
      </c>
      <c r="D3280" s="16" t="s">
        <v>4135</v>
      </c>
      <c r="E3280" s="16" t="s">
        <v>184</v>
      </c>
      <c r="F3280" s="16" t="s">
        <v>254</v>
      </c>
      <c r="G3280" s="16" t="s">
        <v>255</v>
      </c>
      <c r="H3280" s="16" t="s">
        <v>257</v>
      </c>
      <c r="I3280" s="16" t="s">
        <v>256</v>
      </c>
    </row>
    <row r="3281" ht="242.25" hidden="1" customHeight="1">
      <c r="B3281" s="32" t="str">
        <f>IMAGE("https://gymvisual.com/18828-catalog_default/seated-twist-straight-arm-male.jpg",4,500,500)</f>
        <v/>
      </c>
      <c r="C3281" s="30">
        <v>3280.0</v>
      </c>
      <c r="D3281" s="16" t="s">
        <v>4136</v>
      </c>
      <c r="E3281" s="16" t="s">
        <v>184</v>
      </c>
      <c r="F3281" s="16" t="s">
        <v>254</v>
      </c>
      <c r="G3281" s="16" t="s">
        <v>255</v>
      </c>
      <c r="H3281" s="16" t="s">
        <v>257</v>
      </c>
      <c r="I3281" s="16" t="s">
        <v>256</v>
      </c>
    </row>
    <row r="3282" ht="242.25" hidden="1" customHeight="1">
      <c r="B3282" s="32" t="str">
        <f>IMAGE("https://gymvisual.com/24131-catalog_default/seated-upper-body-rotation-female.jpg",4,500,500)</f>
        <v/>
      </c>
      <c r="C3282" s="30">
        <v>3281.0</v>
      </c>
      <c r="D3282" s="16" t="s">
        <v>4137</v>
      </c>
      <c r="E3282" s="16" t="s">
        <v>184</v>
      </c>
      <c r="F3282" s="16" t="s">
        <v>254</v>
      </c>
      <c r="G3282" s="16" t="s">
        <v>255</v>
      </c>
      <c r="H3282" s="16" t="s">
        <v>220</v>
      </c>
      <c r="I3282" s="16" t="s">
        <v>220</v>
      </c>
    </row>
    <row r="3283" ht="242.25" hidden="1" customHeight="1">
      <c r="B3283" s="32" t="str">
        <f>IMAGE("https://gymvisual.com/2089-catalog_default/3-4-sit-up.jpg",4,500,500)</f>
        <v/>
      </c>
      <c r="C3283" s="30">
        <v>3282.0</v>
      </c>
      <c r="D3283" s="16" t="s">
        <v>4138</v>
      </c>
      <c r="E3283" s="16" t="s">
        <v>184</v>
      </c>
      <c r="F3283" s="16" t="s">
        <v>285</v>
      </c>
      <c r="G3283" s="16" t="s">
        <v>255</v>
      </c>
      <c r="H3283" s="16" t="s">
        <v>188</v>
      </c>
      <c r="I3283" s="16" t="s">
        <v>4139</v>
      </c>
    </row>
    <row r="3284" ht="242.25" hidden="1" customHeight="1">
      <c r="B3284" s="32" t="str">
        <f>IMAGE("https://gymvisual.com/7594-catalog_default/self-assisted-inverse-leg-curl.jpg",4,500,500)</f>
        <v/>
      </c>
      <c r="C3284" s="30">
        <v>3283.0</v>
      </c>
      <c r="D3284" s="16" t="s">
        <v>4138</v>
      </c>
      <c r="E3284" s="16" t="s">
        <v>184</v>
      </c>
      <c r="F3284" s="16" t="s">
        <v>285</v>
      </c>
      <c r="G3284" s="16" t="s">
        <v>255</v>
      </c>
      <c r="H3284" s="16" t="s">
        <v>220</v>
      </c>
      <c r="I3284" s="16" t="s">
        <v>220</v>
      </c>
    </row>
    <row r="3285" ht="242.25" hidden="1" customHeight="1">
      <c r="B3285" s="32" t="str">
        <f>IMAGE("https://gymvisual.com/2086-catalog_default/3-4-sit-up.jpg",4,500,500)</f>
        <v/>
      </c>
      <c r="C3285" s="30">
        <v>3284.0</v>
      </c>
      <c r="D3285" s="16" t="s">
        <v>4140</v>
      </c>
      <c r="E3285" s="16" t="s">
        <v>184</v>
      </c>
      <c r="F3285" s="16" t="s">
        <v>285</v>
      </c>
      <c r="G3285" s="16" t="s">
        <v>255</v>
      </c>
      <c r="H3285" s="16" t="s">
        <v>188</v>
      </c>
      <c r="I3285" s="16" t="s">
        <v>4141</v>
      </c>
    </row>
    <row r="3286" ht="242.25" hidden="1" customHeight="1">
      <c r="B3286" s="32" t="str">
        <f>IMAGE("https://gymvisual.com/14014-catalog_default/self-assisted-inverted-pullover.jpg",4,500,500)</f>
        <v/>
      </c>
      <c r="C3286" s="30">
        <v>3285.0</v>
      </c>
      <c r="D3286" s="16" t="s">
        <v>4142</v>
      </c>
      <c r="E3286" s="16" t="s">
        <v>184</v>
      </c>
      <c r="F3286" s="16" t="s">
        <v>361</v>
      </c>
      <c r="G3286" s="16" t="s">
        <v>255</v>
      </c>
      <c r="H3286" s="16" t="s">
        <v>1230</v>
      </c>
      <c r="I3286" s="16" t="s">
        <v>220</v>
      </c>
    </row>
    <row r="3287" ht="242.25" hidden="1" customHeight="1">
      <c r="B3287" s="32" t="str">
        <f>IMAGE("https://gymvisual.com/13793-catalog_default/self-assisted-inverse-leg-curl-version-2.jpg",4,500,500)</f>
        <v/>
      </c>
      <c r="C3287" s="30">
        <v>3286.0</v>
      </c>
      <c r="D3287" s="16" t="s">
        <v>4143</v>
      </c>
      <c r="E3287" s="16" t="s">
        <v>184</v>
      </c>
      <c r="F3287" s="16" t="s">
        <v>285</v>
      </c>
      <c r="G3287" s="16" t="s">
        <v>255</v>
      </c>
      <c r="H3287" s="16" t="s">
        <v>188</v>
      </c>
      <c r="I3287" s="16" t="s">
        <v>368</v>
      </c>
    </row>
    <row r="3288" ht="242.25" hidden="1" customHeight="1">
      <c r="B3288" s="32" t="str">
        <f>IMAGE("https://gymvisual.com/20169-catalog_default/serratus-wall-slide.jpg",4,500,500)</f>
        <v/>
      </c>
      <c r="C3288" s="30">
        <v>3287.0</v>
      </c>
      <c r="D3288" s="16" t="s">
        <v>4144</v>
      </c>
      <c r="E3288" s="16" t="s">
        <v>184</v>
      </c>
      <c r="F3288" s="16" t="s">
        <v>192</v>
      </c>
      <c r="G3288" s="16" t="s">
        <v>255</v>
      </c>
      <c r="H3288" s="16" t="s">
        <v>4008</v>
      </c>
      <c r="I3288" s="16" t="s">
        <v>1621</v>
      </c>
    </row>
    <row r="3289" ht="242.25" hidden="1" customHeight="1">
      <c r="B3289" s="32" t="str">
        <f>IMAGE("https://gymvisual.com/12196-catalog_default/shoulder-flexion-back-to-wall.jpg",4,500,500)</f>
        <v/>
      </c>
      <c r="C3289" s="30">
        <v>3288.0</v>
      </c>
      <c r="D3289" s="16" t="s">
        <v>4145</v>
      </c>
      <c r="E3289" s="16" t="s">
        <v>184</v>
      </c>
      <c r="F3289" s="16" t="s">
        <v>192</v>
      </c>
      <c r="G3289" s="16" t="s">
        <v>255</v>
      </c>
      <c r="H3289" s="16" t="s">
        <v>220</v>
      </c>
      <c r="I3289" s="16" t="s">
        <v>220</v>
      </c>
    </row>
    <row r="3290" ht="242.25" hidden="1" customHeight="1">
      <c r="B3290" s="32" t="str">
        <f>IMAGE("https://gymvisual.com/7588-catalog_default/shoulder-grip-pull-up.jpg",4,500,500)</f>
        <v/>
      </c>
      <c r="C3290" s="30">
        <v>3289.0</v>
      </c>
      <c r="D3290" s="16" t="s">
        <v>4146</v>
      </c>
      <c r="E3290" s="16" t="s">
        <v>184</v>
      </c>
      <c r="F3290" s="16" t="s">
        <v>192</v>
      </c>
      <c r="G3290" s="16" t="s">
        <v>255</v>
      </c>
      <c r="H3290" s="16" t="s">
        <v>300</v>
      </c>
      <c r="I3290" s="16" t="s">
        <v>387</v>
      </c>
    </row>
    <row r="3291" ht="242.25" hidden="1" customHeight="1">
      <c r="B3291" s="32" t="str">
        <f>IMAGE("https://gymvisual.com/17144-catalog_default/shoulder-grip-pull-up-female.jpg",4,500,500)</f>
        <v/>
      </c>
      <c r="C3291" s="30">
        <v>3290.0</v>
      </c>
      <c r="D3291" s="16" t="s">
        <v>4147</v>
      </c>
      <c r="E3291" s="16" t="s">
        <v>184</v>
      </c>
      <c r="F3291" s="16" t="s">
        <v>192</v>
      </c>
      <c r="G3291" s="16" t="s">
        <v>255</v>
      </c>
      <c r="H3291" s="16" t="s">
        <v>300</v>
      </c>
      <c r="I3291" s="16" t="s">
        <v>535</v>
      </c>
    </row>
    <row r="3292" ht="242.25" hidden="1" customHeight="1">
      <c r="B3292" s="32" t="str">
        <f>IMAGE("https://gymvisual.com/2092-catalog_default/3-4-sit-up.jpg",4,500,500)</f>
        <v/>
      </c>
      <c r="C3292" s="30">
        <v>3291.0</v>
      </c>
      <c r="D3292" s="16" t="s">
        <v>4148</v>
      </c>
      <c r="E3292" s="16" t="s">
        <v>184</v>
      </c>
      <c r="F3292" s="16" t="s">
        <v>228</v>
      </c>
      <c r="G3292" s="16" t="s">
        <v>291</v>
      </c>
      <c r="H3292" s="16" t="s">
        <v>229</v>
      </c>
      <c r="I3292" s="16" t="s">
        <v>626</v>
      </c>
    </row>
    <row r="3293" ht="242.25" hidden="1" customHeight="1">
      <c r="B3293" s="32" t="str">
        <f>IMAGE("https://gymvisual.com/15149-catalog_default/shoulder-tap.jpg",4,500,500)</f>
        <v/>
      </c>
      <c r="C3293" s="30">
        <v>3292.0</v>
      </c>
      <c r="D3293" s="16" t="s">
        <v>4149</v>
      </c>
      <c r="E3293" s="16" t="s">
        <v>184</v>
      </c>
      <c r="F3293" s="16" t="s">
        <v>3260</v>
      </c>
      <c r="G3293" s="16" t="s">
        <v>255</v>
      </c>
      <c r="H3293" s="16" t="s">
        <v>4150</v>
      </c>
      <c r="I3293" s="16" t="s">
        <v>3267</v>
      </c>
    </row>
    <row r="3294" ht="242.25" hidden="1" customHeight="1">
      <c r="B3294" s="32" t="str">
        <f>IMAGE("https://gymvisual.com/23639-catalog_default/shoulder-tap-female.jpg",4,500,500)</f>
        <v/>
      </c>
      <c r="C3294" s="30">
        <v>3293.0</v>
      </c>
      <c r="D3294" s="16" t="s">
        <v>4151</v>
      </c>
      <c r="E3294" s="16" t="s">
        <v>184</v>
      </c>
      <c r="F3294" s="16" t="s">
        <v>254</v>
      </c>
      <c r="G3294" s="16" t="s">
        <v>255</v>
      </c>
      <c r="H3294" s="16" t="s">
        <v>235</v>
      </c>
      <c r="I3294" s="16" t="s">
        <v>3265</v>
      </c>
    </row>
    <row r="3295" ht="242.25" hidden="1" customHeight="1">
      <c r="B3295" s="32" t="str">
        <f>IMAGE("https://gymvisual.com/22632-catalog_default/shoulder-tap-push-up-female.jpg",4,500,500)</f>
        <v/>
      </c>
      <c r="C3295" s="30">
        <v>3294.0</v>
      </c>
      <c r="D3295" s="16" t="s">
        <v>4152</v>
      </c>
      <c r="E3295" s="16" t="s">
        <v>184</v>
      </c>
      <c r="F3295" s="16" t="s">
        <v>234</v>
      </c>
      <c r="G3295" s="16" t="s">
        <v>255</v>
      </c>
      <c r="H3295" s="16" t="s">
        <v>235</v>
      </c>
      <c r="I3295" s="16" t="s">
        <v>3267</v>
      </c>
    </row>
    <row r="3296" ht="242.25" hidden="1" customHeight="1">
      <c r="B3296" s="32" t="str">
        <f>IMAGE("https://gymvisual.com/23697-catalog_default/shoulder-width-neutral-grip-pull-up.jpg",4,500,500)</f>
        <v/>
      </c>
      <c r="C3296" s="30">
        <v>3295.0</v>
      </c>
      <c r="D3296" s="16" t="s">
        <v>4153</v>
      </c>
      <c r="E3296" s="16" t="s">
        <v>184</v>
      </c>
      <c r="F3296" s="16" t="s">
        <v>192</v>
      </c>
      <c r="G3296" s="16" t="s">
        <v>255</v>
      </c>
      <c r="H3296" s="16" t="s">
        <v>220</v>
      </c>
      <c r="I3296" s="16" t="s">
        <v>220</v>
      </c>
    </row>
    <row r="3297" ht="242.25" hidden="1" customHeight="1">
      <c r="B3297" s="32" t="str">
        <f>IMAGE("https://gymvisual.com/13695-catalog_default/shrimp-squat.jpg",4,500,500)</f>
        <v/>
      </c>
      <c r="C3297" s="30">
        <v>3296.0</v>
      </c>
      <c r="D3297" s="16" t="s">
        <v>4154</v>
      </c>
      <c r="E3297" s="16" t="s">
        <v>184</v>
      </c>
      <c r="F3297" s="16" t="s">
        <v>294</v>
      </c>
      <c r="G3297" s="16" t="s">
        <v>255</v>
      </c>
      <c r="H3297" s="16" t="s">
        <v>189</v>
      </c>
      <c r="I3297" s="16" t="s">
        <v>190</v>
      </c>
    </row>
    <row r="3298" ht="242.25" hidden="1" customHeight="1">
      <c r="B3298" s="32" t="str">
        <f>IMAGE("https://gymvisual.com/17995-catalog_default/shrug-on-parallel-bars.jpg",4,500,500)</f>
        <v/>
      </c>
      <c r="C3298" s="30">
        <v>3297.0</v>
      </c>
      <c r="D3298" s="16" t="s">
        <v>4155</v>
      </c>
      <c r="E3298" s="16" t="s">
        <v>184</v>
      </c>
      <c r="F3298" s="16" t="s">
        <v>192</v>
      </c>
      <c r="G3298" s="16" t="s">
        <v>255</v>
      </c>
      <c r="H3298" s="16" t="s">
        <v>220</v>
      </c>
      <c r="I3298" s="16" t="s">
        <v>220</v>
      </c>
    </row>
    <row r="3299" ht="242.25" hidden="1" customHeight="1">
      <c r="B3299" s="32" t="str">
        <f>IMAGE("https://gymvisual.com/22301-catalog_default/side-bench-squat.jpg",4,500,500)</f>
        <v/>
      </c>
      <c r="C3299" s="30">
        <v>3298.0</v>
      </c>
      <c r="D3299" s="16" t="s">
        <v>4156</v>
      </c>
      <c r="E3299" s="16" t="s">
        <v>184</v>
      </c>
      <c r="F3299" s="16" t="s">
        <v>285</v>
      </c>
      <c r="G3299" s="16" t="s">
        <v>255</v>
      </c>
      <c r="H3299" s="16" t="s">
        <v>220</v>
      </c>
      <c r="I3299" s="16" t="s">
        <v>220</v>
      </c>
    </row>
    <row r="3300" ht="242.25" customHeight="1">
      <c r="B3300" s="32" t="str">
        <f>IMAGE("https://gymvisual.com/2098-catalog_default/3-4-sit-up.jpg",4,500,500)</f>
        <v/>
      </c>
      <c r="C3300" s="30">
        <v>3299.0</v>
      </c>
      <c r="D3300" s="16" t="s">
        <v>4157</v>
      </c>
      <c r="E3300" s="16" t="s">
        <v>184</v>
      </c>
      <c r="F3300" s="16" t="s">
        <v>254</v>
      </c>
      <c r="G3300" s="16" t="s">
        <v>399</v>
      </c>
      <c r="H3300" s="16" t="s">
        <v>257</v>
      </c>
      <c r="I3300" s="16" t="s">
        <v>271</v>
      </c>
    </row>
    <row r="3301" ht="242.25" hidden="1" customHeight="1">
      <c r="B3301" s="32" t="str">
        <f>IMAGE("https://gymvisual.com/2116-catalog_default/3-4-sit-up.jpg",4,500,500)</f>
        <v/>
      </c>
      <c r="C3301" s="30">
        <v>3300.0</v>
      </c>
      <c r="D3301" s="16" t="s">
        <v>4158</v>
      </c>
      <c r="E3301" s="16" t="s">
        <v>184</v>
      </c>
      <c r="F3301" s="16" t="s">
        <v>254</v>
      </c>
      <c r="G3301" s="16" t="s">
        <v>255</v>
      </c>
      <c r="H3301" s="16" t="s">
        <v>257</v>
      </c>
      <c r="I3301" s="16" t="s">
        <v>4159</v>
      </c>
    </row>
    <row r="3302" ht="242.25" hidden="1" customHeight="1">
      <c r="B3302" s="32" t="str">
        <f>IMAGE("https://gymvisual.com/2101-catalog_default/3-4-sit-up.jpg",4,500,500)</f>
        <v/>
      </c>
      <c r="C3302" s="30">
        <v>3301.0</v>
      </c>
      <c r="D3302" s="16" t="s">
        <v>4160</v>
      </c>
      <c r="E3302" s="16" t="s">
        <v>184</v>
      </c>
      <c r="F3302" s="16" t="s">
        <v>285</v>
      </c>
      <c r="G3302" s="16" t="s">
        <v>255</v>
      </c>
      <c r="H3302" s="16" t="s">
        <v>2482</v>
      </c>
      <c r="I3302" s="16" t="s">
        <v>4161</v>
      </c>
    </row>
    <row r="3303" ht="242.25" hidden="1" customHeight="1">
      <c r="B3303" s="32" t="str">
        <f>IMAGE("https://gymvisual.com/2104-catalog_default/3-4-sit-up.jpg",4,500,500)</f>
        <v/>
      </c>
      <c r="C3303" s="30">
        <v>3302.0</v>
      </c>
      <c r="D3303" s="16" t="s">
        <v>4162</v>
      </c>
      <c r="E3303" s="16" t="s">
        <v>184</v>
      </c>
      <c r="F3303" s="16" t="s">
        <v>285</v>
      </c>
      <c r="G3303" s="16" t="s">
        <v>255</v>
      </c>
      <c r="H3303" s="16" t="s">
        <v>1328</v>
      </c>
      <c r="I3303" s="16" t="s">
        <v>4163</v>
      </c>
    </row>
    <row r="3304" ht="242.25" hidden="1" customHeight="1">
      <c r="B3304" s="32" t="str">
        <f>IMAGE("https://gymvisual.com/2113-catalog_default/3-4-sit-up.jpg",4,500,500)</f>
        <v/>
      </c>
      <c r="C3304" s="30">
        <v>3303.0</v>
      </c>
      <c r="D3304" s="16" t="s">
        <v>4164</v>
      </c>
      <c r="E3304" s="16" t="s">
        <v>184</v>
      </c>
      <c r="F3304" s="16" t="s">
        <v>254</v>
      </c>
      <c r="G3304" s="16" t="s">
        <v>255</v>
      </c>
      <c r="H3304" s="16" t="s">
        <v>257</v>
      </c>
      <c r="I3304" s="16" t="s">
        <v>4165</v>
      </c>
    </row>
    <row r="3305" ht="242.25" hidden="1" customHeight="1">
      <c r="B3305" s="32" t="str">
        <f>IMAGE("https://gymvisual.com/2110-catalog_default/3-4-sit-up.jpg",4,500,500)</f>
        <v/>
      </c>
      <c r="C3305" s="30">
        <v>3304.0</v>
      </c>
      <c r="D3305" s="16" t="s">
        <v>4166</v>
      </c>
      <c r="E3305" s="16" t="s">
        <v>184</v>
      </c>
      <c r="F3305" s="16" t="s">
        <v>185</v>
      </c>
      <c r="G3305" s="16" t="s">
        <v>255</v>
      </c>
      <c r="H3305" s="16" t="s">
        <v>508</v>
      </c>
      <c r="I3305" s="16" t="s">
        <v>424</v>
      </c>
    </row>
    <row r="3306" ht="242.25" hidden="1" customHeight="1">
      <c r="B3306" s="32" t="str">
        <f>IMAGE("https://gymvisual.com/7611-catalog_default/side-bridge-hip-abduction.jpg",4,500,500)</f>
        <v/>
      </c>
      <c r="C3306" s="30">
        <v>3305.0</v>
      </c>
      <c r="D3306" s="16" t="s">
        <v>4166</v>
      </c>
      <c r="E3306" s="16" t="s">
        <v>184</v>
      </c>
      <c r="F3306" s="16" t="s">
        <v>185</v>
      </c>
      <c r="G3306" s="16" t="s">
        <v>255</v>
      </c>
      <c r="H3306" s="16" t="s">
        <v>257</v>
      </c>
      <c r="I3306" s="16" t="s">
        <v>734</v>
      </c>
    </row>
    <row r="3307" ht="242.25" hidden="1" customHeight="1">
      <c r="B3307" s="32" t="str">
        <f>IMAGE("https://gymvisual.com/2107-catalog_default/3-4-sit-up.jpg",4,500,500)</f>
        <v/>
      </c>
      <c r="C3307" s="30">
        <v>3306.0</v>
      </c>
      <c r="D3307" s="16" t="s">
        <v>4167</v>
      </c>
      <c r="E3307" s="16" t="s">
        <v>184</v>
      </c>
      <c r="F3307" s="16" t="s">
        <v>185</v>
      </c>
      <c r="G3307" s="16" t="s">
        <v>255</v>
      </c>
      <c r="H3307" s="16" t="s">
        <v>1206</v>
      </c>
      <c r="I3307" s="16" t="s">
        <v>220</v>
      </c>
    </row>
    <row r="3308" ht="242.25" hidden="1" customHeight="1">
      <c r="B3308" s="32" t="str">
        <f>IMAGE("https://gymvisual.com/14232-catalog_default/side-bridge-with-arm-leg-swing.jpg",4,500,500)</f>
        <v/>
      </c>
      <c r="C3308" s="30">
        <v>3307.0</v>
      </c>
      <c r="D3308" s="16" t="s">
        <v>4168</v>
      </c>
      <c r="E3308" s="16" t="s">
        <v>184</v>
      </c>
      <c r="F3308" s="16" t="s">
        <v>1720</v>
      </c>
      <c r="G3308" s="16" t="s">
        <v>255</v>
      </c>
      <c r="H3308" s="16" t="s">
        <v>4169</v>
      </c>
      <c r="I3308" s="16" t="s">
        <v>4170</v>
      </c>
    </row>
    <row r="3309" ht="242.25" hidden="1" customHeight="1">
      <c r="B3309" s="32" t="str">
        <f>IMAGE("https://gymvisual.com/19039-catalog_default/side-bridge-with-bent-leg-female.jpg",4,500,500)</f>
        <v/>
      </c>
      <c r="C3309" s="30">
        <v>3308.0</v>
      </c>
      <c r="D3309" s="16" t="s">
        <v>4171</v>
      </c>
      <c r="E3309" s="16" t="s">
        <v>184</v>
      </c>
      <c r="F3309" s="16" t="s">
        <v>254</v>
      </c>
      <c r="G3309" s="16" t="s">
        <v>255</v>
      </c>
      <c r="H3309" s="16" t="s">
        <v>257</v>
      </c>
      <c r="I3309" s="16" t="s">
        <v>220</v>
      </c>
    </row>
    <row r="3310" ht="242.25" hidden="1" customHeight="1">
      <c r="B3310" s="32" t="str">
        <f>IMAGE("https://gymvisual.com/24075-catalog_default/side-bridge-with-bent-leg-male.jpg",4,500,500)</f>
        <v/>
      </c>
      <c r="C3310" s="30">
        <v>3309.0</v>
      </c>
      <c r="D3310" s="16" t="s">
        <v>4172</v>
      </c>
      <c r="E3310" s="16" t="s">
        <v>184</v>
      </c>
      <c r="F3310" s="16" t="s">
        <v>185</v>
      </c>
      <c r="G3310" s="16" t="s">
        <v>255</v>
      </c>
      <c r="H3310" s="16" t="s">
        <v>220</v>
      </c>
      <c r="I3310" s="16" t="s">
        <v>220</v>
      </c>
    </row>
    <row r="3311" ht="242.25" hidden="1" customHeight="1">
      <c r="B3311" s="32" t="str">
        <f>IMAGE("https://gymvisual.com/19025-catalog_default/side-bridge-with-straight-legs-female.jpg",4,500,500)</f>
        <v/>
      </c>
      <c r="C3311" s="30">
        <v>3310.0</v>
      </c>
      <c r="D3311" s="16" t="s">
        <v>4173</v>
      </c>
      <c r="E3311" s="16" t="s">
        <v>184</v>
      </c>
      <c r="F3311" s="16" t="s">
        <v>254</v>
      </c>
      <c r="G3311" s="16" t="s">
        <v>255</v>
      </c>
      <c r="H3311" s="16" t="s">
        <v>257</v>
      </c>
      <c r="I3311" s="16" t="s">
        <v>220</v>
      </c>
    </row>
    <row r="3312" ht="242.25" hidden="1" customHeight="1">
      <c r="B3312" s="32" t="str">
        <f>IMAGE("https://gymvisual.com/2122-catalog_default/3-4-sit-up.jpg",4,500,500)</f>
        <v/>
      </c>
      <c r="C3312" s="30">
        <v>3311.0</v>
      </c>
      <c r="D3312" s="16" t="s">
        <v>4174</v>
      </c>
      <c r="E3312" s="16" t="s">
        <v>184</v>
      </c>
      <c r="F3312" s="16" t="s">
        <v>254</v>
      </c>
      <c r="G3312" s="16" t="s">
        <v>255</v>
      </c>
      <c r="H3312" s="16" t="s">
        <v>257</v>
      </c>
      <c r="I3312" s="16" t="s">
        <v>256</v>
      </c>
    </row>
    <row r="3313" ht="242.25" hidden="1" customHeight="1">
      <c r="B3313" s="32" t="str">
        <f>IMAGE("https://gymvisual.com/2119-catalog_default/3-4-sit-up.jpg",4,500,500)</f>
        <v/>
      </c>
      <c r="C3313" s="30">
        <v>3312.0</v>
      </c>
      <c r="D3313" s="16" t="s">
        <v>4175</v>
      </c>
      <c r="E3313" s="16" t="s">
        <v>184</v>
      </c>
      <c r="F3313" s="16" t="s">
        <v>254</v>
      </c>
      <c r="G3313" s="16" t="s">
        <v>255</v>
      </c>
      <c r="H3313" s="16" t="s">
        <v>257</v>
      </c>
      <c r="I3313" s="16" t="s">
        <v>256</v>
      </c>
    </row>
    <row r="3314" ht="242.25" hidden="1" customHeight="1">
      <c r="B3314" s="32" t="str">
        <f>IMAGE("https://gymvisual.com/22793-catalog_default/side-crunch-version-2-female.jpg",4,500,500)</f>
        <v/>
      </c>
      <c r="C3314" s="30">
        <v>3313.0</v>
      </c>
      <c r="D3314" s="16" t="s">
        <v>4176</v>
      </c>
      <c r="E3314" s="16" t="s">
        <v>184</v>
      </c>
      <c r="F3314" s="16" t="s">
        <v>254</v>
      </c>
      <c r="G3314" s="16" t="s">
        <v>255</v>
      </c>
      <c r="H3314" s="16" t="s">
        <v>256</v>
      </c>
      <c r="I3314" s="16" t="s">
        <v>257</v>
      </c>
    </row>
    <row r="3315" ht="242.25" hidden="1" customHeight="1">
      <c r="B3315" s="32" t="str">
        <f>IMAGE("https://gymvisual.com/22303-catalog_default/side-crunch-with-hands-on-chest-female.jpg",4,500,500)</f>
        <v/>
      </c>
      <c r="C3315" s="30">
        <v>3314.0</v>
      </c>
      <c r="D3315" s="16" t="s">
        <v>4177</v>
      </c>
      <c r="E3315" s="16" t="s">
        <v>184</v>
      </c>
      <c r="F3315" s="16" t="s">
        <v>254</v>
      </c>
      <c r="G3315" s="16" t="s">
        <v>255</v>
      </c>
      <c r="H3315" s="16" t="s">
        <v>220</v>
      </c>
      <c r="I3315" s="16" t="s">
        <v>220</v>
      </c>
    </row>
    <row r="3316" ht="242.25" hidden="1" customHeight="1">
      <c r="B3316" s="32" t="str">
        <f>IMAGE("https://gymvisual.com/2125-catalog_default/3-4-sit-up.jpg",4,500,500)</f>
        <v/>
      </c>
      <c r="C3316" s="30">
        <v>3315.0</v>
      </c>
      <c r="D3316" s="16" t="s">
        <v>4178</v>
      </c>
      <c r="E3316" s="16" t="s">
        <v>184</v>
      </c>
      <c r="F3316" s="16" t="s">
        <v>254</v>
      </c>
      <c r="G3316" s="16" t="s">
        <v>255</v>
      </c>
      <c r="H3316" s="16" t="s">
        <v>257</v>
      </c>
      <c r="I3316" s="16" t="s">
        <v>220</v>
      </c>
    </row>
    <row r="3317" ht="242.25" hidden="1" customHeight="1">
      <c r="B3317" s="32" t="str">
        <f>IMAGE("https://gymvisual.com/14723-catalog_default/side-hip-abduction.jpg",4,500,500)</f>
        <v/>
      </c>
      <c r="C3317" s="30">
        <v>3316.0</v>
      </c>
      <c r="D3317" s="16" t="s">
        <v>4179</v>
      </c>
      <c r="E3317" s="16" t="s">
        <v>184</v>
      </c>
      <c r="F3317" s="16" t="s">
        <v>185</v>
      </c>
      <c r="G3317" s="16" t="s">
        <v>255</v>
      </c>
      <c r="H3317" s="16" t="s">
        <v>475</v>
      </c>
      <c r="I3317" s="16" t="s">
        <v>220</v>
      </c>
    </row>
    <row r="3318" ht="242.25" hidden="1" customHeight="1">
      <c r="B3318" s="32" t="str">
        <f>IMAGE("https://gymvisual.com/13287-catalog_default/side-lunge.jpg",4,500,500)</f>
        <v/>
      </c>
      <c r="C3318" s="30">
        <v>3317.0</v>
      </c>
      <c r="D3318" s="16" t="s">
        <v>4180</v>
      </c>
      <c r="E3318" s="16" t="s">
        <v>184</v>
      </c>
      <c r="F3318" s="16" t="s">
        <v>294</v>
      </c>
      <c r="G3318" s="16" t="s">
        <v>255</v>
      </c>
      <c r="H3318" s="16" t="s">
        <v>189</v>
      </c>
      <c r="I3318" s="16" t="s">
        <v>902</v>
      </c>
    </row>
    <row r="3319" ht="242.25" hidden="1" customHeight="1">
      <c r="B3319" s="32" t="str">
        <f>IMAGE("https://gymvisual.com/13289-catalog_default/side-lunge-female.jpg",4,500,500)</f>
        <v/>
      </c>
      <c r="C3319" s="30">
        <v>3318.0</v>
      </c>
      <c r="D3319" s="16" t="s">
        <v>4181</v>
      </c>
      <c r="E3319" s="16" t="s">
        <v>184</v>
      </c>
      <c r="F3319" s="16" t="s">
        <v>294</v>
      </c>
      <c r="G3319" s="16" t="s">
        <v>255</v>
      </c>
      <c r="H3319" s="16" t="s">
        <v>189</v>
      </c>
      <c r="I3319" s="16" t="s">
        <v>902</v>
      </c>
    </row>
    <row r="3320" ht="242.25" hidden="1" customHeight="1">
      <c r="B3320" s="32" t="str">
        <f>IMAGE("https://gymvisual.com/10568-catalog_default/side-lying-clam.jpg",4,500,500)</f>
        <v/>
      </c>
      <c r="C3320" s="30">
        <v>3319.0</v>
      </c>
      <c r="D3320" s="16" t="s">
        <v>4182</v>
      </c>
      <c r="E3320" s="16" t="s">
        <v>184</v>
      </c>
      <c r="F3320" s="16" t="s">
        <v>185</v>
      </c>
      <c r="G3320" s="16" t="s">
        <v>255</v>
      </c>
      <c r="H3320" s="16" t="s">
        <v>475</v>
      </c>
      <c r="I3320" s="16" t="s">
        <v>476</v>
      </c>
    </row>
    <row r="3321" ht="242.25" hidden="1" customHeight="1">
      <c r="B3321" s="32" t="str">
        <f>IMAGE("https://gymvisual.com/2134-catalog_default/side-lying-feet-raise.jpg",4,500,500)</f>
        <v/>
      </c>
      <c r="C3321" s="30">
        <v>3320.0</v>
      </c>
      <c r="D3321" s="16" t="s">
        <v>4183</v>
      </c>
      <c r="E3321" s="16" t="s">
        <v>184</v>
      </c>
      <c r="F3321" s="16" t="s">
        <v>285</v>
      </c>
      <c r="G3321" s="16" t="s">
        <v>255</v>
      </c>
      <c r="H3321" s="16" t="s">
        <v>4184</v>
      </c>
      <c r="I3321" s="16" t="s">
        <v>4185</v>
      </c>
    </row>
    <row r="3322" ht="242.25" hidden="1" customHeight="1">
      <c r="B3322" s="32" t="str">
        <f>IMAGE("https://gymvisual.com/23635-catalog_default/side-lying-hip-adduction-female.jpg",4,500,500)</f>
        <v/>
      </c>
      <c r="C3322" s="30">
        <v>3321.0</v>
      </c>
      <c r="D3322" s="16" t="s">
        <v>4186</v>
      </c>
      <c r="E3322" s="16" t="s">
        <v>184</v>
      </c>
      <c r="F3322" s="16" t="s">
        <v>185</v>
      </c>
      <c r="G3322" s="16" t="s">
        <v>255</v>
      </c>
      <c r="H3322" s="16" t="s">
        <v>4187</v>
      </c>
      <c r="I3322" s="16" t="s">
        <v>220</v>
      </c>
    </row>
    <row r="3323" ht="242.25" hidden="1" customHeight="1">
      <c r="B3323" s="32" t="str">
        <f>IMAGE("https://gymvisual.com/14552-catalog_default/side-lying-hip-adduction-male.jpg",4,500,500)</f>
        <v/>
      </c>
      <c r="C3323" s="30">
        <v>3322.0</v>
      </c>
      <c r="D3323" s="16" t="s">
        <v>4188</v>
      </c>
      <c r="E3323" s="16" t="s">
        <v>184</v>
      </c>
      <c r="F3323" s="16" t="s">
        <v>185</v>
      </c>
      <c r="G3323" s="16" t="s">
        <v>255</v>
      </c>
      <c r="H3323" s="16" t="s">
        <v>4187</v>
      </c>
      <c r="I3323" s="16" t="s">
        <v>3965</v>
      </c>
    </row>
    <row r="3324" ht="242.25" hidden="1" customHeight="1">
      <c r="B3324" s="32" t="str">
        <f>IMAGE("https://gymvisual.com/22720-catalog_default/side-lying-leg-circle.jpg",4,500,500)</f>
        <v/>
      </c>
      <c r="C3324" s="30">
        <v>3323.0</v>
      </c>
      <c r="D3324" s="16" t="s">
        <v>4189</v>
      </c>
      <c r="E3324" s="16" t="s">
        <v>184</v>
      </c>
      <c r="F3324" s="16" t="s">
        <v>185</v>
      </c>
      <c r="G3324" s="16" t="s">
        <v>255</v>
      </c>
      <c r="H3324" s="16" t="s">
        <v>1322</v>
      </c>
      <c r="I3324" s="16" t="s">
        <v>3617</v>
      </c>
    </row>
    <row r="3325" ht="242.25" hidden="1" customHeight="1">
      <c r="B3325" s="32" t="str">
        <f>IMAGE("https://gymvisual.com/17835-catalog_default/side-lying-leg-raise.jpg",4,500,500)</f>
        <v/>
      </c>
      <c r="C3325" s="30">
        <v>3324.0</v>
      </c>
      <c r="D3325" s="16" t="s">
        <v>4190</v>
      </c>
      <c r="E3325" s="16" t="s">
        <v>184</v>
      </c>
      <c r="F3325" s="16" t="s">
        <v>185</v>
      </c>
      <c r="G3325" s="16" t="s">
        <v>255</v>
      </c>
      <c r="H3325" s="16" t="s">
        <v>220</v>
      </c>
      <c r="I3325" s="16" t="s">
        <v>220</v>
      </c>
    </row>
    <row r="3326" ht="242.25" hidden="1" customHeight="1">
      <c r="B3326" s="32" t="str">
        <f>IMAGE("https://gymvisual.com/22809-catalog_default/side-lying-outward-knee-kick.jpg",4,500,500)</f>
        <v/>
      </c>
      <c r="C3326" s="30">
        <v>3325.0</v>
      </c>
      <c r="D3326" s="16" t="s">
        <v>4191</v>
      </c>
      <c r="E3326" s="16" t="s">
        <v>184</v>
      </c>
      <c r="F3326" s="16" t="s">
        <v>185</v>
      </c>
      <c r="G3326" s="16" t="s">
        <v>255</v>
      </c>
      <c r="H3326" s="16" t="s">
        <v>295</v>
      </c>
      <c r="I3326" s="16" t="s">
        <v>476</v>
      </c>
    </row>
    <row r="3327" ht="242.25" hidden="1" customHeight="1">
      <c r="B3327" s="32" t="str">
        <f>IMAGE("https://gymvisual.com/23631-catalog_default/side-lying-scissors.jpg",4,500,500)</f>
        <v/>
      </c>
      <c r="C3327" s="30">
        <v>3326.0</v>
      </c>
      <c r="D3327" s="16" t="s">
        <v>4192</v>
      </c>
      <c r="E3327" s="16" t="s">
        <v>184</v>
      </c>
      <c r="F3327" s="16" t="s">
        <v>185</v>
      </c>
      <c r="G3327" s="16" t="s">
        <v>255</v>
      </c>
      <c r="H3327" s="16" t="s">
        <v>475</v>
      </c>
      <c r="I3327" s="16" t="s">
        <v>476</v>
      </c>
    </row>
    <row r="3328" ht="242.25" hidden="1" customHeight="1">
      <c r="B3328" s="32" t="str">
        <f>IMAGE("https://gymvisual.com/22807-catalog_default/side-lying-scissors-male.jpg",4,500,500)</f>
        <v/>
      </c>
      <c r="C3328" s="30">
        <v>3327.0</v>
      </c>
      <c r="D3328" s="16" t="s">
        <v>4193</v>
      </c>
      <c r="E3328" s="16" t="s">
        <v>184</v>
      </c>
      <c r="F3328" s="16" t="s">
        <v>185</v>
      </c>
      <c r="G3328" s="16" t="s">
        <v>255</v>
      </c>
      <c r="H3328" s="16" t="s">
        <v>475</v>
      </c>
      <c r="I3328" s="16" t="s">
        <v>476</v>
      </c>
    </row>
    <row r="3329" ht="242.25" hidden="1" customHeight="1">
      <c r="B3329" s="32" t="str">
        <f>IMAGE("https://gymvisual.com/24301-catalog_default/side-plank.jpg",4,500,500)</f>
        <v/>
      </c>
      <c r="C3329" s="30">
        <v>3328.0</v>
      </c>
      <c r="D3329" s="16" t="s">
        <v>4194</v>
      </c>
      <c r="E3329" s="16" t="s">
        <v>184</v>
      </c>
      <c r="F3329" s="16" t="s">
        <v>254</v>
      </c>
      <c r="G3329" s="16" t="s">
        <v>255</v>
      </c>
      <c r="H3329" s="16" t="s">
        <v>257</v>
      </c>
      <c r="I3329" s="16" t="s">
        <v>220</v>
      </c>
    </row>
    <row r="3330" ht="242.25" hidden="1" customHeight="1">
      <c r="B3330" s="32" t="str">
        <f>IMAGE("https://gymvisual.com/12090-catalog_default/side-plank-beginner-female.jpg",4,500,500)</f>
        <v/>
      </c>
      <c r="C3330" s="30">
        <v>3329.0</v>
      </c>
      <c r="D3330" s="16" t="s">
        <v>4195</v>
      </c>
      <c r="E3330" s="16" t="s">
        <v>184</v>
      </c>
      <c r="F3330" s="16" t="s">
        <v>254</v>
      </c>
      <c r="G3330" s="16" t="s">
        <v>255</v>
      </c>
      <c r="H3330" s="16" t="s">
        <v>257</v>
      </c>
      <c r="I3330" s="16" t="s">
        <v>2066</v>
      </c>
    </row>
    <row r="3331" ht="242.25" hidden="1" customHeight="1">
      <c r="B3331" s="32" t="str">
        <f>IMAGE("https://gymvisual.com/2140-catalog_default/side-plank-version-2.jpg",4,500,500)</f>
        <v/>
      </c>
      <c r="C3331" s="30">
        <v>3330.0</v>
      </c>
      <c r="D3331" s="16" t="s">
        <v>4196</v>
      </c>
      <c r="E3331" s="16" t="s">
        <v>184</v>
      </c>
      <c r="F3331" s="16" t="s">
        <v>254</v>
      </c>
      <c r="G3331" s="16" t="s">
        <v>255</v>
      </c>
      <c r="H3331" s="16" t="s">
        <v>257</v>
      </c>
      <c r="I3331" s="16" t="s">
        <v>220</v>
      </c>
    </row>
    <row r="3332" ht="242.25" hidden="1" customHeight="1">
      <c r="B3332" s="32" t="str">
        <f>IMAGE("https://gymvisual.com/23665-catalog_default/side-plank-version-2-female.jpg",4,500,500)</f>
        <v/>
      </c>
      <c r="C3332" s="30">
        <v>3331.0</v>
      </c>
      <c r="D3332" s="16" t="s">
        <v>4197</v>
      </c>
      <c r="E3332" s="16" t="s">
        <v>184</v>
      </c>
      <c r="F3332" s="16" t="s">
        <v>254</v>
      </c>
      <c r="G3332" s="16" t="s">
        <v>255</v>
      </c>
      <c r="H3332" s="16" t="s">
        <v>4011</v>
      </c>
      <c r="I3332" s="16" t="s">
        <v>4198</v>
      </c>
    </row>
    <row r="3333" ht="242.25" hidden="1" customHeight="1">
      <c r="B3333" s="32" t="str">
        <f>IMAGE("https://gymvisual.com/10198-catalog_default/side-plank-butt-wrong-right.jpg",4,500,500)</f>
        <v/>
      </c>
      <c r="C3333" s="30">
        <v>3332.0</v>
      </c>
      <c r="D3333" s="16" t="s">
        <v>4199</v>
      </c>
      <c r="E3333" s="16" t="s">
        <v>184</v>
      </c>
      <c r="F3333" s="16" t="s">
        <v>254</v>
      </c>
      <c r="G3333" s="16" t="s">
        <v>255</v>
      </c>
      <c r="H3333" s="16" t="s">
        <v>220</v>
      </c>
      <c r="I3333" s="16" t="s">
        <v>220</v>
      </c>
    </row>
    <row r="3334" ht="242.25" hidden="1" customHeight="1">
      <c r="B3334" s="32" t="str">
        <f>IMAGE("https://gymvisual.com/7609-catalog_default/side-plank-hip-adduction.jpg",4,500,500)</f>
        <v/>
      </c>
      <c r="C3334" s="30">
        <v>3333.0</v>
      </c>
      <c r="D3334" s="16" t="s">
        <v>4200</v>
      </c>
      <c r="E3334" s="16" t="s">
        <v>184</v>
      </c>
      <c r="F3334" s="16" t="s">
        <v>185</v>
      </c>
      <c r="G3334" s="16" t="s">
        <v>255</v>
      </c>
      <c r="H3334" s="16" t="s">
        <v>3634</v>
      </c>
      <c r="I3334" s="16" t="s">
        <v>3617</v>
      </c>
    </row>
    <row r="3335" ht="242.25" hidden="1" customHeight="1">
      <c r="B3335" s="32" t="str">
        <f>IMAGE("https://gymvisual.com/13938-catalog_default/side-plank-hip-adduction-bent-knee.jpg",4,500,500)</f>
        <v/>
      </c>
      <c r="C3335" s="30">
        <v>3334.0</v>
      </c>
      <c r="D3335" s="16" t="s">
        <v>4201</v>
      </c>
      <c r="E3335" s="16" t="s">
        <v>184</v>
      </c>
      <c r="F3335" s="16" t="s">
        <v>185</v>
      </c>
      <c r="G3335" s="16" t="s">
        <v>255</v>
      </c>
      <c r="H3335" s="16" t="s">
        <v>4202</v>
      </c>
      <c r="I3335" s="16" t="s">
        <v>4203</v>
      </c>
    </row>
    <row r="3336" ht="242.25" hidden="1" customHeight="1">
      <c r="B3336" s="32" t="str">
        <f>IMAGE("https://gymvisual.com/22410-catalog_default/side-plank-leg-lift.jpg",4,500,500)</f>
        <v/>
      </c>
      <c r="C3336" s="30">
        <v>3335.0</v>
      </c>
      <c r="D3336" s="16" t="s">
        <v>4204</v>
      </c>
      <c r="E3336" s="16" t="s">
        <v>184</v>
      </c>
      <c r="F3336" s="16" t="s">
        <v>254</v>
      </c>
      <c r="G3336" s="16" t="s">
        <v>255</v>
      </c>
      <c r="H3336" s="16" t="s">
        <v>220</v>
      </c>
      <c r="I3336" s="16" t="s">
        <v>220</v>
      </c>
    </row>
    <row r="3337" ht="242.25" hidden="1" customHeight="1">
      <c r="B3337" s="32" t="str">
        <f>IMAGE("https://gymvisual.com/18258-catalog_default/side-plank-oblique-crunch.jpg",4,500,500)</f>
        <v/>
      </c>
      <c r="C3337" s="30">
        <v>3336.0</v>
      </c>
      <c r="D3337" s="16" t="s">
        <v>4205</v>
      </c>
      <c r="E3337" s="16" t="s">
        <v>184</v>
      </c>
      <c r="F3337" s="16" t="s">
        <v>254</v>
      </c>
      <c r="G3337" s="16" t="s">
        <v>255</v>
      </c>
      <c r="H3337" s="16" t="s">
        <v>3728</v>
      </c>
      <c r="I3337" s="16" t="s">
        <v>4206</v>
      </c>
    </row>
    <row r="3338" ht="242.25" hidden="1" customHeight="1">
      <c r="B3338" s="32" t="str">
        <f>IMAGE("https://gymvisual.com/22460-catalog_default/side-plank-with-raised-leg-version-2-female.jpg",4,500,500)</f>
        <v/>
      </c>
      <c r="C3338" s="30">
        <v>3337.0</v>
      </c>
      <c r="D3338" s="16" t="s">
        <v>4207</v>
      </c>
      <c r="E3338" s="16" t="s">
        <v>184</v>
      </c>
      <c r="F3338" s="16" t="s">
        <v>254</v>
      </c>
      <c r="G3338" s="16" t="s">
        <v>255</v>
      </c>
      <c r="H3338" s="16" t="s">
        <v>220</v>
      </c>
      <c r="I3338" s="16" t="s">
        <v>220</v>
      </c>
    </row>
    <row r="3339" ht="242.25" hidden="1" customHeight="1">
      <c r="B3339" s="32" t="str">
        <f>IMAGE("https://gymvisual.com/13263-catalog_default/side-push-up.jpg",4,500,500)</f>
        <v/>
      </c>
      <c r="C3339" s="30">
        <v>3338.0</v>
      </c>
      <c r="D3339" s="16" t="s">
        <v>4208</v>
      </c>
      <c r="E3339" s="16" t="s">
        <v>184</v>
      </c>
      <c r="F3339" s="16" t="s">
        <v>219</v>
      </c>
      <c r="G3339" s="16" t="s">
        <v>255</v>
      </c>
      <c r="H3339" s="16" t="s">
        <v>223</v>
      </c>
      <c r="I3339" s="16" t="s">
        <v>220</v>
      </c>
    </row>
    <row r="3340" ht="242.25" hidden="1" customHeight="1">
      <c r="B3340" s="32" t="str">
        <f>IMAGE("https://gymvisual.com/17191-catalog_default/side-push-up-with-towel.jpg",4,500,500)</f>
        <v/>
      </c>
      <c r="C3340" s="30">
        <v>3339.0</v>
      </c>
      <c r="D3340" s="16" t="s">
        <v>4209</v>
      </c>
      <c r="E3340" s="16" t="s">
        <v>184</v>
      </c>
      <c r="F3340" s="16" t="s">
        <v>234</v>
      </c>
      <c r="G3340" s="16" t="s">
        <v>255</v>
      </c>
      <c r="H3340" s="16" t="s">
        <v>235</v>
      </c>
      <c r="I3340" s="16" t="s">
        <v>4210</v>
      </c>
    </row>
    <row r="3341" ht="242.25" hidden="1" customHeight="1">
      <c r="B3341" s="32" t="str">
        <f>IMAGE("https://gymvisual.com/2150-catalog_default/side-sit-up.jpg",4,500,500)</f>
        <v/>
      </c>
      <c r="C3341" s="30">
        <v>3340.0</v>
      </c>
      <c r="D3341" s="16" t="s">
        <v>4211</v>
      </c>
      <c r="E3341" s="16" t="s">
        <v>184</v>
      </c>
      <c r="F3341" s="16" t="s">
        <v>254</v>
      </c>
      <c r="G3341" s="16" t="s">
        <v>255</v>
      </c>
      <c r="H3341" s="16" t="s">
        <v>257</v>
      </c>
      <c r="I3341" s="16" t="s">
        <v>256</v>
      </c>
    </row>
    <row r="3342" ht="242.25" hidden="1" customHeight="1">
      <c r="B3342" s="32" t="str">
        <f>IMAGE("https://gymvisual.com/22305-catalog_default/side-split-squat.jpg",4,500,500)</f>
        <v/>
      </c>
      <c r="C3342" s="30">
        <v>3341.0</v>
      </c>
      <c r="D3342" s="16" t="s">
        <v>4212</v>
      </c>
      <c r="E3342" s="16" t="s">
        <v>184</v>
      </c>
      <c r="F3342" s="16" t="s">
        <v>285</v>
      </c>
      <c r="G3342" s="16" t="s">
        <v>255</v>
      </c>
      <c r="H3342" s="16" t="s">
        <v>220</v>
      </c>
      <c r="I3342" s="16" t="s">
        <v>220</v>
      </c>
    </row>
    <row r="3343" ht="242.25" hidden="1" customHeight="1">
      <c r="B3343" s="32" t="str">
        <f>IMAGE("https://gymvisual.com/22307-catalog_default/side-squat.jpg",4,500,500)</f>
        <v/>
      </c>
      <c r="C3343" s="30">
        <v>3342.0</v>
      </c>
      <c r="D3343" s="16" t="s">
        <v>4213</v>
      </c>
      <c r="E3343" s="16" t="s">
        <v>184</v>
      </c>
      <c r="F3343" s="16" t="s">
        <v>285</v>
      </c>
      <c r="G3343" s="16" t="s">
        <v>255</v>
      </c>
      <c r="H3343" s="16" t="s">
        <v>189</v>
      </c>
      <c r="I3343" s="16" t="s">
        <v>902</v>
      </c>
    </row>
    <row r="3344" ht="242.25" hidden="1" customHeight="1">
      <c r="B3344" s="32" t="str">
        <f>IMAGE("https://gymvisual.com/17803-catalog_default/side-step-front-plank-female.jpg",4,500,500)</f>
        <v/>
      </c>
      <c r="C3344" s="30">
        <v>3343.0</v>
      </c>
      <c r="D3344" s="16" t="s">
        <v>4214</v>
      </c>
      <c r="E3344" s="16" t="s">
        <v>184</v>
      </c>
      <c r="F3344" s="16" t="s">
        <v>185</v>
      </c>
      <c r="G3344" s="16" t="s">
        <v>255</v>
      </c>
      <c r="H3344" s="16" t="s">
        <v>220</v>
      </c>
      <c r="I3344" s="16" t="s">
        <v>220</v>
      </c>
    </row>
    <row r="3345" ht="242.25" hidden="1" customHeight="1">
      <c r="B3345" s="32" t="str">
        <f>IMAGE("https://gymvisual.com/11276-catalog_default/side-to-side-leg-swings-female.jpg",4,500,500)</f>
        <v/>
      </c>
      <c r="C3345" s="30">
        <v>3344.0</v>
      </c>
      <c r="D3345" s="16" t="s">
        <v>4215</v>
      </c>
      <c r="E3345" s="16" t="s">
        <v>184</v>
      </c>
      <c r="F3345" s="16" t="s">
        <v>185</v>
      </c>
      <c r="G3345" s="16" t="s">
        <v>255</v>
      </c>
      <c r="H3345" s="16" t="s">
        <v>3616</v>
      </c>
      <c r="I3345" s="16" t="s">
        <v>3617</v>
      </c>
    </row>
    <row r="3346" ht="242.25" hidden="1" customHeight="1">
      <c r="B3346" s="32" t="str">
        <f>IMAGE("https://gymvisual.com/22777-catalog_default/side-to-side-leg-swings-male.jpg",4,500,500)</f>
        <v/>
      </c>
      <c r="C3346" s="30">
        <v>3345.0</v>
      </c>
      <c r="D3346" s="16" t="s">
        <v>4216</v>
      </c>
      <c r="E3346" s="16" t="s">
        <v>184</v>
      </c>
      <c r="F3346" s="16" t="s">
        <v>185</v>
      </c>
      <c r="G3346" s="16" t="s">
        <v>255</v>
      </c>
      <c r="H3346" s="16" t="s">
        <v>3616</v>
      </c>
      <c r="I3346" s="16" t="s">
        <v>3617</v>
      </c>
    </row>
    <row r="3347" ht="242.25" hidden="1" customHeight="1">
      <c r="B3347" s="32" t="str">
        <f>IMAGE("https://gymvisual.com/22464-catalog_default/side-to-wide-squat.jpg",4,500,500)</f>
        <v/>
      </c>
      <c r="C3347" s="30">
        <v>3346.0</v>
      </c>
      <c r="D3347" s="16" t="s">
        <v>4217</v>
      </c>
      <c r="E3347" s="16" t="s">
        <v>184</v>
      </c>
      <c r="F3347" s="16" t="s">
        <v>185</v>
      </c>
      <c r="G3347" s="16" t="s">
        <v>255</v>
      </c>
      <c r="H3347" s="16" t="s">
        <v>220</v>
      </c>
      <c r="I3347" s="16" t="s">
        <v>220</v>
      </c>
    </row>
    <row r="3348" ht="242.25" hidden="1" customHeight="1">
      <c r="B3348" s="32" t="str">
        <f>IMAGE("https://gymvisual.com/2156-catalog_default/side-to-side-chin.jpg",4,500,500)</f>
        <v/>
      </c>
      <c r="C3348" s="30">
        <v>3347.0</v>
      </c>
      <c r="D3348" s="16" t="s">
        <v>4218</v>
      </c>
      <c r="E3348" s="16" t="s">
        <v>184</v>
      </c>
      <c r="F3348" s="16" t="s">
        <v>192</v>
      </c>
      <c r="G3348" s="16" t="s">
        <v>255</v>
      </c>
      <c r="H3348" s="16" t="s">
        <v>300</v>
      </c>
      <c r="I3348" s="16" t="s">
        <v>535</v>
      </c>
    </row>
    <row r="3349" ht="242.25" hidden="1" customHeight="1">
      <c r="B3349" s="32" t="str">
        <f>IMAGE("https://gymvisual.com/2162-catalog_default/sideway-leg-bridge.jpg",4,500,500)</f>
        <v/>
      </c>
      <c r="C3349" s="30">
        <v>3348.0</v>
      </c>
      <c r="D3349" s="16" t="s">
        <v>4219</v>
      </c>
      <c r="E3349" s="16" t="s">
        <v>184</v>
      </c>
      <c r="F3349" s="16" t="s">
        <v>185</v>
      </c>
      <c r="G3349" s="16" t="s">
        <v>255</v>
      </c>
      <c r="H3349" s="16" t="s">
        <v>4220</v>
      </c>
      <c r="I3349" s="16" t="s">
        <v>4221</v>
      </c>
    </row>
    <row r="3350" ht="242.25" hidden="1" customHeight="1">
      <c r="B3350" s="32" t="str">
        <f>IMAGE("https://gymvisual.com/2165-catalog_default/sideways-lifts-vertical-straight-legs.jpg",4,500,500)</f>
        <v/>
      </c>
      <c r="C3350" s="30">
        <v>3349.0</v>
      </c>
      <c r="D3350" s="16" t="s">
        <v>4222</v>
      </c>
      <c r="E3350" s="16" t="s">
        <v>184</v>
      </c>
      <c r="F3350" s="16" t="s">
        <v>254</v>
      </c>
      <c r="G3350" s="16" t="s">
        <v>255</v>
      </c>
      <c r="H3350" s="16" t="s">
        <v>256</v>
      </c>
      <c r="I3350" s="16" t="s">
        <v>257</v>
      </c>
    </row>
    <row r="3351" ht="242.25" hidden="1" customHeight="1">
      <c r="B3351" s="32" t="str">
        <f>IMAGE("https://gymvisual.com/2168-catalog_default/sideways-lifts-vertical-turn-straight-legs.jpg",4,500,500)</f>
        <v/>
      </c>
      <c r="C3351" s="30">
        <v>3350.0</v>
      </c>
      <c r="D3351" s="16" t="s">
        <v>4223</v>
      </c>
      <c r="E3351" s="16" t="s">
        <v>184</v>
      </c>
      <c r="F3351" s="16" t="s">
        <v>254</v>
      </c>
      <c r="G3351" s="16" t="s">
        <v>255</v>
      </c>
      <c r="H3351" s="16" t="s">
        <v>257</v>
      </c>
      <c r="I3351" s="16" t="s">
        <v>256</v>
      </c>
    </row>
    <row r="3352" ht="242.25" customHeight="1">
      <c r="A3352" s="32" t="b">
        <v>0</v>
      </c>
      <c r="B3352" s="32" t="str">
        <f>IMAGE("https://gymvisual.com/23901-catalog_default/single-arm-overhead-dumbbell-squat.jpg",4,500,500)</f>
        <v/>
      </c>
      <c r="C3352" s="30">
        <v>3351.0</v>
      </c>
      <c r="D3352" s="16" t="s">
        <v>4224</v>
      </c>
      <c r="E3352" s="16" t="s">
        <v>184</v>
      </c>
      <c r="F3352" s="16" t="s">
        <v>285</v>
      </c>
      <c r="G3352" s="16" t="s">
        <v>222</v>
      </c>
      <c r="H3352" s="16" t="s">
        <v>189</v>
      </c>
      <c r="I3352" s="16" t="s">
        <v>190</v>
      </c>
    </row>
    <row r="3353" ht="242.25" hidden="1" customHeight="1">
      <c r="B3353" s="32" t="str">
        <f>IMAGE("https://gymvisual.com/2171-catalog_default/single-arm-push-up.jpg",4,500,500)</f>
        <v/>
      </c>
      <c r="C3353" s="30">
        <v>3352.0</v>
      </c>
      <c r="D3353" s="16" t="s">
        <v>4225</v>
      </c>
      <c r="E3353" s="16" t="s">
        <v>184</v>
      </c>
      <c r="F3353" s="16" t="s">
        <v>234</v>
      </c>
      <c r="G3353" s="16" t="s">
        <v>255</v>
      </c>
      <c r="H3353" s="16" t="s">
        <v>1895</v>
      </c>
      <c r="I3353" s="16" t="s">
        <v>2981</v>
      </c>
    </row>
    <row r="3354" ht="242.25" hidden="1" customHeight="1">
      <c r="B3354" s="32" t="str">
        <f>IMAGE("https://gymvisual.com/12371-catalog_default/single-arm-push-up-on-knees.jpg",4,500,500)</f>
        <v/>
      </c>
      <c r="C3354" s="30">
        <v>3353.0</v>
      </c>
      <c r="D3354" s="16" t="s">
        <v>4226</v>
      </c>
      <c r="E3354" s="16" t="s">
        <v>184</v>
      </c>
      <c r="F3354" s="16" t="s">
        <v>234</v>
      </c>
      <c r="G3354" s="16" t="s">
        <v>255</v>
      </c>
      <c r="H3354" s="16" t="s">
        <v>347</v>
      </c>
      <c r="I3354" s="16" t="s">
        <v>382</v>
      </c>
    </row>
    <row r="3355" ht="242.25" customHeight="1">
      <c r="B3355" s="32" t="str">
        <f>IMAGE("https://gymvisual.com/17943-catalog_default/single-arm-push-up-on-medicine-ball-male.jpg",4,500,500)</f>
        <v/>
      </c>
      <c r="C3355" s="30">
        <v>3354.0</v>
      </c>
      <c r="D3355" s="16" t="s">
        <v>4227</v>
      </c>
      <c r="E3355" s="16" t="s">
        <v>184</v>
      </c>
      <c r="F3355" s="16" t="s">
        <v>234</v>
      </c>
      <c r="G3355" s="16" t="s">
        <v>373</v>
      </c>
      <c r="H3355" s="16" t="s">
        <v>220</v>
      </c>
      <c r="I3355" s="16" t="s">
        <v>220</v>
      </c>
    </row>
    <row r="3356" ht="242.25" hidden="1" customHeight="1">
      <c r="B3356" s="32" t="str">
        <f>IMAGE("https://gymvisual.com/22179-catalog_default/single-arm-push-up-supported-wall.jpg",4,500,500)</f>
        <v/>
      </c>
      <c r="C3356" s="30">
        <v>3355.0</v>
      </c>
      <c r="D3356" s="16" t="s">
        <v>4228</v>
      </c>
      <c r="E3356" s="16" t="s">
        <v>184</v>
      </c>
      <c r="F3356" s="16" t="s">
        <v>234</v>
      </c>
      <c r="G3356" s="16" t="s">
        <v>255</v>
      </c>
      <c r="H3356" s="16" t="s">
        <v>235</v>
      </c>
      <c r="I3356" s="16" t="s">
        <v>243</v>
      </c>
    </row>
    <row r="3357" ht="242.25" hidden="1" customHeight="1">
      <c r="B3357" s="32" t="str">
        <f>IMAGE("https://gymvisual.com/12211-catalog_default/single-arm-scapula-push-up.jpg",4,500,500)</f>
        <v/>
      </c>
      <c r="C3357" s="30">
        <v>3356.0</v>
      </c>
      <c r="D3357" s="16" t="s">
        <v>4229</v>
      </c>
      <c r="E3357" s="16" t="s">
        <v>184</v>
      </c>
      <c r="F3357" s="16" t="s">
        <v>192</v>
      </c>
      <c r="G3357" s="16" t="s">
        <v>255</v>
      </c>
      <c r="H3357" s="16" t="s">
        <v>220</v>
      </c>
      <c r="I3357" s="16" t="s">
        <v>220</v>
      </c>
    </row>
    <row r="3358" ht="242.25" customHeight="1">
      <c r="A3358" s="32" t="b">
        <v>0</v>
      </c>
      <c r="B3358" s="32" t="str">
        <f>IMAGE("https://gymvisual.com/25899-catalog_default/single-arm-side-straight-arm-lat-pulldown-male.jpg",4,500,500)</f>
        <v/>
      </c>
      <c r="C3358" s="30">
        <v>3357.0</v>
      </c>
      <c r="D3358" s="16" t="s">
        <v>4230</v>
      </c>
      <c r="E3358" s="16" t="s">
        <v>184</v>
      </c>
      <c r="F3358" s="16" t="s">
        <v>192</v>
      </c>
      <c r="G3358" s="16" t="s">
        <v>215</v>
      </c>
      <c r="H3358" s="16" t="s">
        <v>300</v>
      </c>
      <c r="I3358" s="16" t="s">
        <v>4231</v>
      </c>
    </row>
    <row r="3359" ht="242.25" customHeight="1">
      <c r="A3359" s="32" t="b">
        <v>0</v>
      </c>
      <c r="B3359" s="32" t="str">
        <f>IMAGE("https://gymvisual.com/21032-catalog_default/single-dumbbell-decline-overhead-sit-up.jpg",4,500,500)</f>
        <v/>
      </c>
      <c r="C3359" s="30">
        <v>3358.0</v>
      </c>
      <c r="D3359" s="16" t="s">
        <v>4232</v>
      </c>
      <c r="E3359" s="16" t="s">
        <v>184</v>
      </c>
      <c r="F3359" s="16" t="s">
        <v>254</v>
      </c>
      <c r="G3359" s="16" t="s">
        <v>222</v>
      </c>
      <c r="H3359" s="16" t="s">
        <v>220</v>
      </c>
      <c r="I3359" s="16" t="s">
        <v>220</v>
      </c>
    </row>
    <row r="3360" ht="242.25" hidden="1" customHeight="1">
      <c r="B3360" s="32" t="str">
        <f>IMAGE("https://gymvisual.com/20716-catalog_default/single-leg-bench-squat.jpg",4,500,500)</f>
        <v/>
      </c>
      <c r="C3360" s="30">
        <v>3359.0</v>
      </c>
      <c r="D3360" s="16" t="s">
        <v>4233</v>
      </c>
      <c r="E3360" s="16" t="s">
        <v>184</v>
      </c>
      <c r="F3360" s="16" t="s">
        <v>285</v>
      </c>
      <c r="G3360" s="16" t="s">
        <v>255</v>
      </c>
      <c r="H3360" s="16" t="s">
        <v>189</v>
      </c>
      <c r="I3360" s="16" t="s">
        <v>190</v>
      </c>
    </row>
    <row r="3361" ht="242.25" hidden="1" customHeight="1">
      <c r="B3361" s="32" t="str">
        <f>IMAGE("https://gymvisual.com/12185-catalog_default/single-leg-bodyweight-deadlift-with-arm-and-leg-extended-female.jpg",4,500,500)</f>
        <v/>
      </c>
      <c r="C3361" s="30">
        <v>3360.0</v>
      </c>
      <c r="D3361" s="16" t="s">
        <v>4234</v>
      </c>
      <c r="E3361" s="16" t="s">
        <v>184</v>
      </c>
      <c r="F3361" s="16" t="s">
        <v>185</v>
      </c>
      <c r="G3361" s="16" t="s">
        <v>255</v>
      </c>
      <c r="H3361" s="16" t="s">
        <v>187</v>
      </c>
      <c r="I3361" s="16" t="s">
        <v>4235</v>
      </c>
    </row>
    <row r="3362" ht="242.25" hidden="1" customHeight="1">
      <c r="B3362" s="32" t="str">
        <f>IMAGE("https://gymvisual.com/2174-catalog_default/single-leg-bridge.jpg",4,500,500)</f>
        <v/>
      </c>
      <c r="C3362" s="30">
        <v>3361.0</v>
      </c>
      <c r="D3362" s="16" t="s">
        <v>4236</v>
      </c>
      <c r="E3362" s="16" t="s">
        <v>184</v>
      </c>
      <c r="F3362" s="16" t="s">
        <v>185</v>
      </c>
      <c r="G3362" s="16" t="s">
        <v>255</v>
      </c>
      <c r="H3362" s="16" t="s">
        <v>2848</v>
      </c>
      <c r="I3362" s="16" t="s">
        <v>4237</v>
      </c>
    </row>
    <row r="3363" ht="242.25" hidden="1" customHeight="1">
      <c r="B3363" s="32" t="str">
        <f>IMAGE("https://gymvisual.com/14230-catalog_default/single-leg-bridge-with-hip-flexion.jpg",4,500,500)</f>
        <v/>
      </c>
      <c r="C3363" s="30">
        <v>3362.0</v>
      </c>
      <c r="D3363" s="16" t="s">
        <v>4238</v>
      </c>
      <c r="E3363" s="16" t="s">
        <v>184</v>
      </c>
      <c r="F3363" s="16" t="s">
        <v>185</v>
      </c>
      <c r="G3363" s="16" t="s">
        <v>255</v>
      </c>
      <c r="H3363" s="16" t="s">
        <v>1332</v>
      </c>
      <c r="I3363" s="16" t="s">
        <v>188</v>
      </c>
    </row>
    <row r="3364" ht="242.25" customHeight="1">
      <c r="A3364" s="32" t="b">
        <v>0</v>
      </c>
      <c r="B3364" s="32" t="str">
        <f>IMAGE("https://gymvisual.com/2176-catalog_default/single-leg-calf-raise-on-a-dumbbell.jpg",4,500,500)</f>
        <v/>
      </c>
      <c r="C3364" s="30">
        <v>3363.0</v>
      </c>
      <c r="D3364" s="16" t="s">
        <v>4239</v>
      </c>
      <c r="E3364" s="16" t="s">
        <v>184</v>
      </c>
      <c r="F3364" s="16" t="s">
        <v>325</v>
      </c>
      <c r="G3364" s="16" t="s">
        <v>222</v>
      </c>
      <c r="H3364" s="16" t="s">
        <v>368</v>
      </c>
      <c r="I3364" s="16" t="s">
        <v>463</v>
      </c>
    </row>
    <row r="3365" ht="242.25" hidden="1" customHeight="1">
      <c r="B3365" s="32" t="str">
        <f>IMAGE("https://gymvisual.com/23879-catalog_default/single-leg-calf-raise-off-step.jpg",4,500,500)</f>
        <v/>
      </c>
      <c r="C3365" s="30">
        <v>3364.0</v>
      </c>
      <c r="D3365" s="16" t="s">
        <v>4240</v>
      </c>
      <c r="E3365" s="16" t="s">
        <v>184</v>
      </c>
      <c r="F3365" s="16" t="s">
        <v>325</v>
      </c>
      <c r="G3365" s="16" t="s">
        <v>255</v>
      </c>
      <c r="H3365" s="16" t="s">
        <v>368</v>
      </c>
      <c r="I3365" s="16" t="s">
        <v>463</v>
      </c>
    </row>
    <row r="3366" ht="242.25" hidden="1" customHeight="1">
      <c r="B3366" s="32" t="str">
        <f>IMAGE("https://gymvisual.com/14234-catalog_default/single-leg-deadlift-with-knee-lift.jpg",4,500,500)</f>
        <v/>
      </c>
      <c r="C3366" s="30">
        <v>3365.0</v>
      </c>
      <c r="D3366" s="16" t="s">
        <v>4241</v>
      </c>
      <c r="E3366" s="16" t="s">
        <v>184</v>
      </c>
      <c r="F3366" s="16" t="s">
        <v>691</v>
      </c>
      <c r="G3366" s="16" t="s">
        <v>255</v>
      </c>
      <c r="H3366" s="16" t="s">
        <v>2288</v>
      </c>
      <c r="I3366" s="16" t="s">
        <v>4242</v>
      </c>
    </row>
    <row r="3367" ht="242.25" hidden="1" customHeight="1">
      <c r="B3367" s="32" t="str">
        <f>IMAGE("https://gymvisual.com/23597-catalog_default/single-leg-dip-on-floor.jpg",4,500,500)</f>
        <v/>
      </c>
      <c r="C3367" s="30">
        <v>3366.0</v>
      </c>
      <c r="D3367" s="16" t="s">
        <v>4243</v>
      </c>
      <c r="E3367" s="16" t="s">
        <v>184</v>
      </c>
      <c r="F3367" s="16" t="s">
        <v>219</v>
      </c>
      <c r="G3367" s="16" t="s">
        <v>255</v>
      </c>
      <c r="H3367" s="16" t="s">
        <v>223</v>
      </c>
      <c r="I3367" s="16" t="s">
        <v>394</v>
      </c>
    </row>
    <row r="3368" ht="242.25" customHeight="1">
      <c r="B3368" s="32" t="str">
        <f>IMAGE("https://gymvisual.com/2179-catalog_default/single-leg-extension-on-stability-ball.jpg",4,500,500)</f>
        <v/>
      </c>
      <c r="C3368" s="30">
        <v>3367.0</v>
      </c>
      <c r="D3368" s="16" t="s">
        <v>4244</v>
      </c>
      <c r="E3368" s="16" t="s">
        <v>184</v>
      </c>
      <c r="F3368" s="16" t="s">
        <v>285</v>
      </c>
      <c r="G3368" s="16" t="s">
        <v>399</v>
      </c>
      <c r="H3368" s="16" t="s">
        <v>188</v>
      </c>
      <c r="I3368" s="16" t="s">
        <v>2733</v>
      </c>
    </row>
    <row r="3369" ht="242.25" hidden="1" customHeight="1">
      <c r="B3369" s="32" t="str">
        <f>IMAGE("https://gymvisual.com/7358-catalog_default/single-leg-foot-touch.jpg",4,500,500)</f>
        <v/>
      </c>
      <c r="C3369" s="30">
        <v>3368.0</v>
      </c>
      <c r="D3369" s="16" t="s">
        <v>4245</v>
      </c>
      <c r="E3369" s="16" t="s">
        <v>184</v>
      </c>
      <c r="F3369" s="16" t="s">
        <v>185</v>
      </c>
      <c r="G3369" s="16" t="s">
        <v>255</v>
      </c>
      <c r="H3369" s="16" t="s">
        <v>267</v>
      </c>
      <c r="I3369" s="16" t="s">
        <v>188</v>
      </c>
    </row>
    <row r="3370" ht="242.25" hidden="1" customHeight="1">
      <c r="B3370" s="32" t="str">
        <f>IMAGE("https://gymvisual.com/22309-catalog_default/single-leg-glute-bridge-arms-on-chest-female.jpg",4,500,500)</f>
        <v/>
      </c>
      <c r="C3370" s="30">
        <v>3369.0</v>
      </c>
      <c r="D3370" s="16" t="s">
        <v>4246</v>
      </c>
      <c r="E3370" s="16" t="s">
        <v>184</v>
      </c>
      <c r="F3370" s="16" t="s">
        <v>185</v>
      </c>
      <c r="G3370" s="16" t="s">
        <v>255</v>
      </c>
      <c r="H3370" s="16" t="s">
        <v>220</v>
      </c>
      <c r="I3370" s="16" t="s">
        <v>220</v>
      </c>
    </row>
    <row r="3371" ht="242.25" hidden="1" customHeight="1">
      <c r="B3371" s="32" t="str">
        <f>IMAGE("https://gymvisual.com/23933-catalog_default/single-leg-glute-bridge-with-external-rotation.jpg",4,500,500)</f>
        <v/>
      </c>
      <c r="C3371" s="30">
        <v>3370.0</v>
      </c>
      <c r="D3371" s="16" t="s">
        <v>4247</v>
      </c>
      <c r="E3371" s="16" t="s">
        <v>184</v>
      </c>
      <c r="F3371" s="16" t="s">
        <v>185</v>
      </c>
      <c r="G3371" s="16" t="s">
        <v>255</v>
      </c>
      <c r="H3371" s="16" t="s">
        <v>1322</v>
      </c>
      <c r="I3371" s="16" t="s">
        <v>3610</v>
      </c>
    </row>
    <row r="3372" ht="242.25" hidden="1" customHeight="1">
      <c r="B3372" s="32" t="str">
        <f>IMAGE("https://gymvisual.com/17821-catalog_default/single-leg-glute-bridge-with-knee-to-chest.jpg",4,500,500)</f>
        <v/>
      </c>
      <c r="C3372" s="30">
        <v>3371.0</v>
      </c>
      <c r="D3372" s="16" t="s">
        <v>4248</v>
      </c>
      <c r="E3372" s="16" t="s">
        <v>184</v>
      </c>
      <c r="F3372" s="16" t="s">
        <v>185</v>
      </c>
      <c r="G3372" s="16" t="s">
        <v>255</v>
      </c>
      <c r="H3372" s="16" t="s">
        <v>187</v>
      </c>
      <c r="I3372" s="16" t="s">
        <v>854</v>
      </c>
    </row>
    <row r="3373" ht="242.25" hidden="1" customHeight="1">
      <c r="B3373" s="32" t="str">
        <f>IMAGE("https://gymvisual.com/14004-catalog_default/single-leg-heel-touch-squat.jpg",4,500,500)</f>
        <v/>
      </c>
      <c r="C3373" s="30">
        <v>3372.0</v>
      </c>
      <c r="D3373" s="16" t="s">
        <v>4249</v>
      </c>
      <c r="E3373" s="16" t="s">
        <v>184</v>
      </c>
      <c r="F3373" s="16" t="s">
        <v>294</v>
      </c>
      <c r="G3373" s="16" t="s">
        <v>255</v>
      </c>
      <c r="H3373" s="16" t="s">
        <v>189</v>
      </c>
      <c r="I3373" s="16" t="s">
        <v>2046</v>
      </c>
    </row>
    <row r="3374" ht="242.25" hidden="1" customHeight="1">
      <c r="B3374" s="32" t="str">
        <f>IMAGE("https://gymvisual.com/2182-catalog_default/single-leg-hip-bridge-straight-leg.jpg",4,500,500)</f>
        <v/>
      </c>
      <c r="C3374" s="30">
        <v>3373.0</v>
      </c>
      <c r="D3374" s="16" t="s">
        <v>4250</v>
      </c>
      <c r="E3374" s="16" t="s">
        <v>184</v>
      </c>
      <c r="F3374" s="16" t="s">
        <v>185</v>
      </c>
      <c r="G3374" s="16" t="s">
        <v>255</v>
      </c>
      <c r="H3374" s="16" t="s">
        <v>187</v>
      </c>
      <c r="I3374" s="16" t="s">
        <v>552</v>
      </c>
    </row>
    <row r="3375" ht="242.25" hidden="1" customHeight="1">
      <c r="B3375" s="32" t="str">
        <f>IMAGE("https://gymvisual.com/13776-catalog_default/single-leg-hip-bridge-straight-leg-male.jpg",4,500,500)</f>
        <v/>
      </c>
      <c r="C3375" s="30">
        <v>3374.0</v>
      </c>
      <c r="D3375" s="16" t="s">
        <v>4251</v>
      </c>
      <c r="E3375" s="16" t="s">
        <v>184</v>
      </c>
      <c r="F3375" s="16" t="s">
        <v>185</v>
      </c>
      <c r="G3375" s="16" t="s">
        <v>255</v>
      </c>
      <c r="H3375" s="16" t="s">
        <v>187</v>
      </c>
      <c r="I3375" s="16" t="s">
        <v>188</v>
      </c>
    </row>
    <row r="3376" ht="242.25" hidden="1" customHeight="1">
      <c r="B3376" s="32" t="str">
        <f>IMAGE("https://gymvisual.com/20718-catalog_default/single-leg-hip-thrust-version-2-female.jpg",4,500,500)</f>
        <v/>
      </c>
      <c r="C3376" s="30">
        <v>3375.0</v>
      </c>
      <c r="D3376" s="16" t="s">
        <v>4252</v>
      </c>
      <c r="E3376" s="16" t="s">
        <v>184</v>
      </c>
      <c r="F3376" s="16" t="s">
        <v>185</v>
      </c>
      <c r="G3376" s="16" t="s">
        <v>255</v>
      </c>
      <c r="H3376" s="16" t="s">
        <v>187</v>
      </c>
      <c r="I3376" s="16" t="s">
        <v>854</v>
      </c>
    </row>
    <row r="3377" ht="242.25" customHeight="1">
      <c r="B3377" s="32" t="str">
        <f>IMAGE("https://gymvisual.com/8638-catalog_default/single-leg-hip-thrusts.jpg",4,500,500)</f>
        <v/>
      </c>
      <c r="C3377" s="30">
        <v>3376.0</v>
      </c>
      <c r="D3377" s="16" t="s">
        <v>4253</v>
      </c>
      <c r="E3377" s="16" t="s">
        <v>184</v>
      </c>
      <c r="F3377" s="16"/>
      <c r="G3377" s="16"/>
      <c r="H3377" s="16" t="s">
        <v>187</v>
      </c>
      <c r="I3377" s="16" t="s">
        <v>854</v>
      </c>
    </row>
    <row r="3378" ht="242.25" hidden="1" customHeight="1">
      <c r="B3378" s="32" t="str">
        <f>IMAGE("https://gymvisual.com/14002-catalog_default/single-leg-low-box-squat.jpg",4,500,500)</f>
        <v/>
      </c>
      <c r="C3378" s="30">
        <v>3377.0</v>
      </c>
      <c r="D3378" s="16" t="s">
        <v>4254</v>
      </c>
      <c r="E3378" s="16" t="s">
        <v>184</v>
      </c>
      <c r="F3378" s="16" t="s">
        <v>294</v>
      </c>
      <c r="G3378" s="16" t="s">
        <v>255</v>
      </c>
      <c r="H3378" s="16" t="s">
        <v>189</v>
      </c>
      <c r="I3378" s="16" t="s">
        <v>190</v>
      </c>
    </row>
    <row r="3379" ht="242.25" hidden="1" customHeight="1">
      <c r="B3379" s="32" t="str">
        <f>IMAGE("https://gymvisual.com/2185-catalog_default/single-leg-platform-slide.jpg",4,500,500)</f>
        <v/>
      </c>
      <c r="C3379" s="30">
        <v>3378.0</v>
      </c>
      <c r="D3379" s="16" t="s">
        <v>4255</v>
      </c>
      <c r="E3379" s="16" t="s">
        <v>184</v>
      </c>
      <c r="F3379" s="16" t="s">
        <v>285</v>
      </c>
      <c r="G3379" s="16" t="s">
        <v>255</v>
      </c>
      <c r="H3379" s="16" t="s">
        <v>188</v>
      </c>
      <c r="I3379" s="16" t="s">
        <v>368</v>
      </c>
    </row>
    <row r="3380" ht="242.25" hidden="1" customHeight="1">
      <c r="B3380" s="32" t="str">
        <f>IMAGE("https://gymvisual.com/6838-catalog_default/single-leg-push-off.jpg",4,500,500)</f>
        <v/>
      </c>
      <c r="C3380" s="30">
        <v>3379.0</v>
      </c>
      <c r="D3380" s="16" t="s">
        <v>4256</v>
      </c>
      <c r="E3380" s="16" t="s">
        <v>184</v>
      </c>
      <c r="F3380" s="16" t="s">
        <v>285</v>
      </c>
      <c r="G3380" s="16" t="s">
        <v>255</v>
      </c>
      <c r="H3380" s="16" t="s">
        <v>220</v>
      </c>
      <c r="I3380" s="16" t="s">
        <v>220</v>
      </c>
    </row>
    <row r="3381" ht="242.25" hidden="1" customHeight="1">
      <c r="B3381" s="32" t="str">
        <f>IMAGE("https://gymvisual.com/2188-catalog_default/single-leg-sit-wall.jpg",4,500,500)</f>
        <v/>
      </c>
      <c r="C3381" s="30">
        <v>3380.0</v>
      </c>
      <c r="D3381" s="16" t="s">
        <v>4257</v>
      </c>
      <c r="E3381" s="16" t="s">
        <v>184</v>
      </c>
      <c r="F3381" s="16" t="s">
        <v>285</v>
      </c>
      <c r="G3381" s="16" t="s">
        <v>255</v>
      </c>
      <c r="H3381" s="16" t="s">
        <v>552</v>
      </c>
      <c r="I3381" s="16" t="s">
        <v>4258</v>
      </c>
    </row>
    <row r="3382" ht="242.25" hidden="1" customHeight="1">
      <c r="B3382" s="32" t="str">
        <f>IMAGE("https://gymvisual.com/14038-catalog_default/single-leg-sliding-floor-bridge-curl-on-towel.jpg",4,500,500)</f>
        <v/>
      </c>
      <c r="C3382" s="30">
        <v>3381.0</v>
      </c>
      <c r="D3382" s="16" t="s">
        <v>4259</v>
      </c>
      <c r="E3382" s="16" t="s">
        <v>184</v>
      </c>
      <c r="F3382" s="16" t="s">
        <v>522</v>
      </c>
      <c r="G3382" s="16" t="s">
        <v>255</v>
      </c>
      <c r="H3382" s="16" t="s">
        <v>4260</v>
      </c>
      <c r="I3382" s="16" t="s">
        <v>220</v>
      </c>
    </row>
    <row r="3383" ht="242.25" hidden="1" customHeight="1">
      <c r="B3383" s="32" t="str">
        <f>IMAGE("https://gymvisual.com/2190-catalog_default/single-leg-squat-pistol.jpg",4,500,500)</f>
        <v/>
      </c>
      <c r="C3383" s="30">
        <v>3382.0</v>
      </c>
      <c r="D3383" s="16" t="s">
        <v>4261</v>
      </c>
      <c r="E3383" s="16" t="s">
        <v>184</v>
      </c>
      <c r="F3383" s="16" t="s">
        <v>185</v>
      </c>
      <c r="G3383" s="16" t="s">
        <v>255</v>
      </c>
      <c r="H3383" s="16" t="s">
        <v>189</v>
      </c>
      <c r="I3383" s="16" t="s">
        <v>190</v>
      </c>
    </row>
    <row r="3384" ht="242.25" hidden="1" customHeight="1">
      <c r="B3384" s="32" t="str">
        <f>IMAGE("https://gymvisual.com/7567-catalog_default/single-leg-squat-pistol-male.jpg",4,500,500)</f>
        <v/>
      </c>
      <c r="C3384" s="30">
        <v>3383.0</v>
      </c>
      <c r="D3384" s="16" t="s">
        <v>4262</v>
      </c>
      <c r="E3384" s="16" t="s">
        <v>184</v>
      </c>
      <c r="F3384" s="16" t="s">
        <v>285</v>
      </c>
      <c r="G3384" s="16" t="s">
        <v>255</v>
      </c>
      <c r="H3384" s="16" t="s">
        <v>189</v>
      </c>
      <c r="I3384" s="16" t="s">
        <v>190</v>
      </c>
    </row>
    <row r="3385" ht="242.25" hidden="1" customHeight="1">
      <c r="B3385" s="32" t="str">
        <f>IMAGE("https://gymvisual.com/20660-catalog_default/single-leg-squat-with-support-female.jpg",4,500,500)</f>
        <v/>
      </c>
      <c r="C3385" s="30">
        <v>3384.0</v>
      </c>
      <c r="D3385" s="16" t="s">
        <v>4263</v>
      </c>
      <c r="E3385" s="16" t="s">
        <v>184</v>
      </c>
      <c r="F3385" s="16" t="s">
        <v>285</v>
      </c>
      <c r="G3385" s="16" t="s">
        <v>255</v>
      </c>
      <c r="H3385" s="16" t="s">
        <v>189</v>
      </c>
      <c r="I3385" s="16" t="s">
        <v>190</v>
      </c>
    </row>
    <row r="3386" ht="242.25" hidden="1" customHeight="1">
      <c r="B3386" s="32" t="str">
        <f>IMAGE("https://gymvisual.com/10096-catalog_default/single-leg-squat-with-support-pistol.jpg",4,500,500)</f>
        <v/>
      </c>
      <c r="C3386" s="30">
        <v>3385.0</v>
      </c>
      <c r="D3386" s="16" t="s">
        <v>4264</v>
      </c>
      <c r="E3386" s="16" t="s">
        <v>184</v>
      </c>
      <c r="F3386" s="16" t="s">
        <v>285</v>
      </c>
      <c r="G3386" s="16" t="s">
        <v>255</v>
      </c>
      <c r="H3386" s="16" t="s">
        <v>189</v>
      </c>
      <c r="I3386" s="16" t="s">
        <v>190</v>
      </c>
    </row>
    <row r="3387" ht="242.25" hidden="1" customHeight="1">
      <c r="B3387" s="32" t="str">
        <f>IMAGE("https://gymvisual.com/16035-catalog_default/single-leg-step-up-female.jpg",4,500,500)</f>
        <v/>
      </c>
      <c r="C3387" s="30">
        <v>3386.0</v>
      </c>
      <c r="D3387" s="16" t="s">
        <v>4265</v>
      </c>
      <c r="E3387" s="16" t="s">
        <v>184</v>
      </c>
      <c r="F3387" s="16" t="s">
        <v>294</v>
      </c>
      <c r="G3387" s="16" t="s">
        <v>255</v>
      </c>
      <c r="H3387" s="16" t="s">
        <v>189</v>
      </c>
      <c r="I3387" s="16" t="s">
        <v>190</v>
      </c>
    </row>
    <row r="3388" ht="242.25" hidden="1" customHeight="1">
      <c r="B3388" s="32" t="str">
        <f>IMAGE("https://gymvisual.com/2193-catalog_default/single-leg-step-up.jpg",4,500,500)</f>
        <v/>
      </c>
      <c r="C3388" s="30">
        <v>3387.0</v>
      </c>
      <c r="D3388" s="16" t="s">
        <v>4266</v>
      </c>
      <c r="E3388" s="16" t="s">
        <v>184</v>
      </c>
      <c r="F3388" s="16" t="s">
        <v>285</v>
      </c>
      <c r="G3388" s="16" t="s">
        <v>255</v>
      </c>
      <c r="H3388" s="16" t="s">
        <v>189</v>
      </c>
      <c r="I3388" s="16" t="s">
        <v>2046</v>
      </c>
    </row>
    <row r="3389" ht="242.25" hidden="1" customHeight="1">
      <c r="B3389" s="32" t="str">
        <f>IMAGE("https://gymvisual.com/22315-catalog_default/single-leg-step-up-on-bench-female.jpg",4,500,500)</f>
        <v/>
      </c>
      <c r="C3389" s="30">
        <v>3388.0</v>
      </c>
      <c r="D3389" s="16" t="s">
        <v>4267</v>
      </c>
      <c r="E3389" s="16" t="s">
        <v>184</v>
      </c>
      <c r="F3389" s="16" t="s">
        <v>285</v>
      </c>
      <c r="G3389" s="16" t="s">
        <v>255</v>
      </c>
      <c r="H3389" s="16" t="s">
        <v>220</v>
      </c>
      <c r="I3389" s="16" t="s">
        <v>220</v>
      </c>
    </row>
    <row r="3390" ht="242.25" hidden="1" customHeight="1">
      <c r="B3390" s="32" t="str">
        <f>IMAGE("https://gymvisual.com/24494-catalog_default/single-straight-leg-glute-bridge-hold-female.jpg",4,500,500)</f>
        <v/>
      </c>
      <c r="C3390" s="30">
        <v>3389.0</v>
      </c>
      <c r="D3390" s="16" t="s">
        <v>4268</v>
      </c>
      <c r="E3390" s="16" t="s">
        <v>184</v>
      </c>
      <c r="F3390" s="16" t="s">
        <v>185</v>
      </c>
      <c r="G3390" s="16" t="s">
        <v>255</v>
      </c>
      <c r="H3390" s="16" t="s">
        <v>220</v>
      </c>
      <c r="I3390" s="16" t="s">
        <v>220</v>
      </c>
    </row>
    <row r="3391" ht="242.25" hidden="1" customHeight="1">
      <c r="B3391" s="32" t="str">
        <f>IMAGE("https://gymvisual.com/6508-catalog_default/sissy-squat.jpg",4,500,500)</f>
        <v/>
      </c>
      <c r="C3391" s="30">
        <v>3390.0</v>
      </c>
      <c r="D3391" s="16" t="s">
        <v>4269</v>
      </c>
      <c r="E3391" s="16" t="s">
        <v>184</v>
      </c>
      <c r="F3391" s="16" t="s">
        <v>285</v>
      </c>
      <c r="G3391" s="16" t="s">
        <v>255</v>
      </c>
      <c r="H3391" s="16" t="s">
        <v>552</v>
      </c>
      <c r="I3391" s="16" t="s">
        <v>220</v>
      </c>
    </row>
    <row r="3392" ht="242.25" hidden="1" customHeight="1">
      <c r="B3392" s="32" t="str">
        <f>IMAGE("https://gymvisual.com/2196-catalog_default/sit-wall.jpg",4,500,500)</f>
        <v/>
      </c>
      <c r="C3392" s="30">
        <v>3391.0</v>
      </c>
      <c r="D3392" s="16" t="s">
        <v>4270</v>
      </c>
      <c r="E3392" s="16" t="s">
        <v>184</v>
      </c>
      <c r="F3392" s="16" t="s">
        <v>285</v>
      </c>
      <c r="G3392" s="16" t="s">
        <v>255</v>
      </c>
      <c r="H3392" s="16" t="s">
        <v>189</v>
      </c>
      <c r="I3392" s="16" t="s">
        <v>190</v>
      </c>
    </row>
    <row r="3393" ht="242.25" hidden="1" customHeight="1">
      <c r="B3393" s="32" t="str">
        <f>IMAGE("https://gymvisual.com/6840-catalog_default/sit-squat.jpg",4,500,500)</f>
        <v/>
      </c>
      <c r="C3393" s="30">
        <v>3392.0</v>
      </c>
      <c r="D3393" s="16" t="s">
        <v>4271</v>
      </c>
      <c r="E3393" s="16" t="s">
        <v>184</v>
      </c>
      <c r="F3393" s="16" t="s">
        <v>285</v>
      </c>
      <c r="G3393" s="16" t="s">
        <v>255</v>
      </c>
      <c r="H3393" s="16" t="s">
        <v>220</v>
      </c>
      <c r="I3393" s="16" t="s">
        <v>220</v>
      </c>
    </row>
    <row r="3394" ht="242.25" hidden="1" customHeight="1">
      <c r="B3394" s="32" t="str">
        <f>IMAGE("https://gymvisual.com/13741-catalog_default/sit-up-with-chair-assisted.jpg",4,500,500)</f>
        <v/>
      </c>
      <c r="C3394" s="30">
        <v>3393.0</v>
      </c>
      <c r="D3394" s="16" t="s">
        <v>4272</v>
      </c>
      <c r="E3394" s="16" t="s">
        <v>184</v>
      </c>
      <c r="F3394" s="16" t="s">
        <v>254</v>
      </c>
      <c r="G3394" s="16" t="s">
        <v>255</v>
      </c>
      <c r="H3394" s="16" t="s">
        <v>256</v>
      </c>
      <c r="I3394" s="16" t="s">
        <v>257</v>
      </c>
    </row>
    <row r="3395" ht="242.25" hidden="1" customHeight="1">
      <c r="B3395" s="32" t="str">
        <f>IMAGE("https://gymvisual.com/2202-catalog_default/sit-up.jpg",4,500,500)</f>
        <v/>
      </c>
      <c r="C3395" s="30">
        <v>3394.0</v>
      </c>
      <c r="D3395" s="16" t="s">
        <v>4273</v>
      </c>
      <c r="E3395" s="16" t="s">
        <v>184</v>
      </c>
      <c r="F3395" s="16" t="s">
        <v>254</v>
      </c>
      <c r="G3395" s="16" t="s">
        <v>255</v>
      </c>
      <c r="H3395" s="16" t="s">
        <v>256</v>
      </c>
      <c r="I3395" s="16" t="s">
        <v>424</v>
      </c>
    </row>
    <row r="3396" ht="242.25" hidden="1" customHeight="1">
      <c r="B3396" s="32" t="str">
        <f>IMAGE("https://gymvisual.com/2199-catalog_default/sit-up-version-2.jpg",4,500,500)</f>
        <v/>
      </c>
      <c r="C3396" s="30">
        <v>3395.0</v>
      </c>
      <c r="D3396" s="16" t="s">
        <v>4274</v>
      </c>
      <c r="E3396" s="16" t="s">
        <v>184</v>
      </c>
      <c r="F3396" s="16" t="s">
        <v>254</v>
      </c>
      <c r="G3396" s="16" t="s">
        <v>255</v>
      </c>
      <c r="H3396" s="16" t="s">
        <v>305</v>
      </c>
      <c r="I3396" s="16" t="s">
        <v>593</v>
      </c>
    </row>
    <row r="3397" ht="242.25" hidden="1" customHeight="1">
      <c r="B3397" s="32" t="str">
        <f>IMAGE("https://gymvisual.com/14643-catalog_default/sit-up-with-arms-on-chest.jpg",4,500,500)</f>
        <v/>
      </c>
      <c r="C3397" s="30">
        <v>3396.0</v>
      </c>
      <c r="D3397" s="16" t="s">
        <v>4275</v>
      </c>
      <c r="E3397" s="16" t="s">
        <v>184</v>
      </c>
      <c r="F3397" s="16" t="s">
        <v>254</v>
      </c>
      <c r="G3397" s="16" t="s">
        <v>255</v>
      </c>
      <c r="H3397" s="16" t="s">
        <v>305</v>
      </c>
      <c r="I3397" s="16" t="s">
        <v>257</v>
      </c>
    </row>
    <row r="3398" ht="242.25" hidden="1" customHeight="1">
      <c r="B3398" s="32" t="str">
        <f>IMAGE("https://gymvisual.com/13697-catalog_default/skater-squat.jpg",4,500,500)</f>
        <v/>
      </c>
      <c r="C3398" s="30">
        <v>3397.0</v>
      </c>
      <c r="D3398" s="16" t="s">
        <v>4276</v>
      </c>
      <c r="E3398" s="16" t="s">
        <v>184</v>
      </c>
      <c r="F3398" s="16" t="s">
        <v>294</v>
      </c>
      <c r="G3398" s="16" t="s">
        <v>255</v>
      </c>
      <c r="H3398" s="16" t="s">
        <v>189</v>
      </c>
      <c r="I3398" s="16" t="s">
        <v>190</v>
      </c>
    </row>
    <row r="3399" ht="242.25" customHeight="1">
      <c r="B3399" s="32" t="str">
        <f>IMAGE("https://gymvisual.com/9586-catalog_default/sled-45-degrees-leg-press-female.jpg",4,500,500)</f>
        <v/>
      </c>
      <c r="C3399" s="30">
        <v>3398.0</v>
      </c>
      <c r="D3399" s="16" t="s">
        <v>4277</v>
      </c>
      <c r="E3399" s="16" t="s">
        <v>184</v>
      </c>
      <c r="F3399" s="16" t="s">
        <v>294</v>
      </c>
      <c r="G3399" s="16" t="s">
        <v>2893</v>
      </c>
      <c r="H3399" s="16" t="s">
        <v>189</v>
      </c>
      <c r="I3399" s="16" t="s">
        <v>190</v>
      </c>
    </row>
    <row r="3400" ht="242.25" customHeight="1">
      <c r="B3400" s="32" t="str">
        <f>IMAGE("https://gymvisual.com/14296-catalog_default/sled-45-degrees-narrow-stance-leg-press-female.jpg",4,500,500)</f>
        <v/>
      </c>
      <c r="C3400" s="30">
        <v>3399.0</v>
      </c>
      <c r="D3400" s="16" t="s">
        <v>4278</v>
      </c>
      <c r="E3400" s="16" t="s">
        <v>184</v>
      </c>
      <c r="F3400" s="16" t="s">
        <v>294</v>
      </c>
      <c r="G3400" s="16" t="s">
        <v>2893</v>
      </c>
      <c r="H3400" s="16" t="s">
        <v>189</v>
      </c>
      <c r="I3400" s="16" t="s">
        <v>190</v>
      </c>
    </row>
    <row r="3401" ht="242.25" customHeight="1">
      <c r="B3401" s="32" t="str">
        <f>IMAGE("https://gymvisual.com/6277-catalog_default/sled-45-degrees-one-leg-press.jpg",4,500,500)</f>
        <v/>
      </c>
      <c r="C3401" s="30">
        <v>3400.0</v>
      </c>
      <c r="D3401" s="16" t="s">
        <v>4279</v>
      </c>
      <c r="E3401" s="16" t="s">
        <v>184</v>
      </c>
      <c r="F3401" s="16" t="s">
        <v>185</v>
      </c>
      <c r="G3401" s="16" t="s">
        <v>2893</v>
      </c>
      <c r="H3401" s="16" t="s">
        <v>189</v>
      </c>
      <c r="I3401" s="16" t="s">
        <v>190</v>
      </c>
    </row>
    <row r="3402" ht="242.25" customHeight="1">
      <c r="B3402" s="32" t="str">
        <f>IMAGE("https://gymvisual.com/11375-catalog_default/sled-45-degrees-one-leg-press-female.jpg",4,500,500)</f>
        <v/>
      </c>
      <c r="C3402" s="30">
        <v>3401.0</v>
      </c>
      <c r="D3402" s="16" t="s">
        <v>4280</v>
      </c>
      <c r="E3402" s="16" t="s">
        <v>184</v>
      </c>
      <c r="F3402" s="16" t="s">
        <v>294</v>
      </c>
      <c r="G3402" s="16" t="s">
        <v>2893</v>
      </c>
      <c r="H3402" s="16" t="s">
        <v>220</v>
      </c>
      <c r="I3402" s="16" t="s">
        <v>220</v>
      </c>
    </row>
    <row r="3403" ht="242.25" customHeight="1">
      <c r="B3403" s="32" t="str">
        <f>IMAGE("https://gymvisual.com/14298-catalog_default/sled-45-degrees-wide-stance-leg-press-female.jpg",4,500,500)</f>
        <v/>
      </c>
      <c r="C3403" s="30">
        <v>3402.0</v>
      </c>
      <c r="D3403" s="16" t="s">
        <v>4281</v>
      </c>
      <c r="E3403" s="16" t="s">
        <v>184</v>
      </c>
      <c r="F3403" s="16" t="s">
        <v>294</v>
      </c>
      <c r="G3403" s="16" t="s">
        <v>2893</v>
      </c>
      <c r="H3403" s="16" t="s">
        <v>189</v>
      </c>
      <c r="I3403" s="16" t="s">
        <v>190</v>
      </c>
    </row>
    <row r="3404" ht="242.25" customHeight="1">
      <c r="B3404" s="32" t="str">
        <f>IMAGE("https://gymvisual.com/2208-catalog_default/sled-45-calf-press.jpg",4,500,500)</f>
        <v/>
      </c>
      <c r="C3404" s="30">
        <v>3403.0</v>
      </c>
      <c r="D3404" s="16" t="s">
        <v>4282</v>
      </c>
      <c r="E3404" s="16" t="s">
        <v>184</v>
      </c>
      <c r="F3404" s="16" t="s">
        <v>325</v>
      </c>
      <c r="G3404" s="16" t="s">
        <v>2893</v>
      </c>
      <c r="H3404" s="16" t="s">
        <v>368</v>
      </c>
      <c r="I3404" s="16" t="s">
        <v>463</v>
      </c>
    </row>
    <row r="3405" ht="242.25" customHeight="1">
      <c r="B3405" s="32" t="str">
        <f>IMAGE("https://gymvisual.com/2211-catalog_default/sled-45-leg-press.jpg",4,500,500)</f>
        <v/>
      </c>
      <c r="C3405" s="30">
        <v>3404.0</v>
      </c>
      <c r="D3405" s="16" t="s">
        <v>4283</v>
      </c>
      <c r="E3405" s="16" t="s">
        <v>184</v>
      </c>
      <c r="F3405" s="16" t="s">
        <v>185</v>
      </c>
      <c r="G3405" s="16" t="s">
        <v>2893</v>
      </c>
      <c r="H3405" s="16" t="s">
        <v>189</v>
      </c>
      <c r="I3405" s="16" t="s">
        <v>190</v>
      </c>
    </row>
    <row r="3406" ht="242.25" customHeight="1">
      <c r="B3406" s="32" t="str">
        <f>IMAGE("https://gymvisual.com/6474-catalog_default/sled-45-leg-press-back-pov.jpg",4,500,500)</f>
        <v/>
      </c>
      <c r="C3406" s="30">
        <v>3405.0</v>
      </c>
      <c r="D3406" s="16" t="s">
        <v>4284</v>
      </c>
      <c r="E3406" s="16" t="s">
        <v>184</v>
      </c>
      <c r="F3406" s="16" t="s">
        <v>285</v>
      </c>
      <c r="G3406" s="16" t="s">
        <v>2893</v>
      </c>
      <c r="H3406" s="16" t="s">
        <v>189</v>
      </c>
      <c r="I3406" s="16" t="s">
        <v>190</v>
      </c>
    </row>
    <row r="3407" ht="242.25" customHeight="1">
      <c r="B3407" s="32" t="str">
        <f>IMAGE("https://gymvisual.com/6476-catalog_default/sled-45-leg-press-side-pov.jpg",4,500,500)</f>
        <v/>
      </c>
      <c r="C3407" s="30">
        <v>3406.0</v>
      </c>
      <c r="D3407" s="16" t="s">
        <v>4285</v>
      </c>
      <c r="E3407" s="16" t="s">
        <v>184</v>
      </c>
      <c r="F3407" s="16" t="s">
        <v>285</v>
      </c>
      <c r="G3407" s="16" t="s">
        <v>2893</v>
      </c>
      <c r="H3407" s="16" t="s">
        <v>189</v>
      </c>
      <c r="I3407" s="16" t="s">
        <v>190</v>
      </c>
    </row>
    <row r="3408" ht="242.25" customHeight="1">
      <c r="B3408" s="32" t="str">
        <f>IMAGE("https://gymvisual.com/2214-catalog_default/sled-45-leg-wide-press.jpg",4,500,500)</f>
        <v/>
      </c>
      <c r="C3408" s="30">
        <v>3407.0</v>
      </c>
      <c r="D3408" s="16" t="s">
        <v>4286</v>
      </c>
      <c r="E3408" s="16" t="s">
        <v>184</v>
      </c>
      <c r="F3408" s="16" t="s">
        <v>285</v>
      </c>
      <c r="G3408" s="16" t="s">
        <v>2893</v>
      </c>
      <c r="H3408" s="16" t="s">
        <v>189</v>
      </c>
      <c r="I3408" s="16" t="s">
        <v>1121</v>
      </c>
    </row>
    <row r="3409" ht="242.25" customHeight="1">
      <c r="B3409" s="32" t="str">
        <f>IMAGE("https://gymvisual.com/6822-catalog_default/sled-45o-narrow-stance-leg-press.jpg",4,500,500)</f>
        <v/>
      </c>
      <c r="C3409" s="30">
        <v>3408.0</v>
      </c>
      <c r="D3409" s="16" t="s">
        <v>4287</v>
      </c>
      <c r="E3409" s="16" t="s">
        <v>184</v>
      </c>
      <c r="F3409" s="16" t="s">
        <v>285</v>
      </c>
      <c r="G3409" s="16" t="s">
        <v>2893</v>
      </c>
      <c r="H3409" s="16" t="s">
        <v>189</v>
      </c>
      <c r="I3409" s="16" t="s">
        <v>190</v>
      </c>
    </row>
    <row r="3410" ht="242.25" customHeight="1">
      <c r="B3410" s="32" t="str">
        <f>IMAGE("https://gymvisual.com/6088-catalog_default/sled-calf-press-on-leg-press.jpg",4,500,500)</f>
        <v/>
      </c>
      <c r="C3410" s="30">
        <v>3409.0</v>
      </c>
      <c r="D3410" s="16" t="s">
        <v>4288</v>
      </c>
      <c r="E3410" s="16" t="s">
        <v>184</v>
      </c>
      <c r="F3410" s="16" t="s">
        <v>325</v>
      </c>
      <c r="G3410" s="16" t="s">
        <v>2893</v>
      </c>
      <c r="H3410" s="16" t="s">
        <v>368</v>
      </c>
      <c r="I3410" s="16" t="s">
        <v>463</v>
      </c>
    </row>
    <row r="3411" ht="242.25" customHeight="1">
      <c r="B3411" s="32" t="str">
        <f>IMAGE("https://gymvisual.com/9550-catalog_default/sled-calf-press-on-leg-press-female.jpg",4,500,500)</f>
        <v/>
      </c>
      <c r="C3411" s="30">
        <v>3410.0</v>
      </c>
      <c r="D3411" s="16" t="s">
        <v>4289</v>
      </c>
      <c r="E3411" s="16" t="s">
        <v>184</v>
      </c>
      <c r="F3411" s="16" t="s">
        <v>325</v>
      </c>
      <c r="G3411" s="16" t="s">
        <v>2893</v>
      </c>
      <c r="H3411" s="16" t="s">
        <v>368</v>
      </c>
      <c r="I3411" s="16" t="s">
        <v>463</v>
      </c>
    </row>
    <row r="3412" ht="242.25" customHeight="1">
      <c r="B3412" s="32" t="str">
        <f>IMAGE("https://gymvisual.com/2217-catalog_default/sled-closer-hack-squat.jpg",4,500,500)</f>
        <v/>
      </c>
      <c r="C3412" s="30">
        <v>3411.0</v>
      </c>
      <c r="D3412" s="16" t="s">
        <v>4290</v>
      </c>
      <c r="E3412" s="16" t="s">
        <v>184</v>
      </c>
      <c r="F3412" s="16" t="s">
        <v>285</v>
      </c>
      <c r="G3412" s="16" t="s">
        <v>2893</v>
      </c>
      <c r="H3412" s="16" t="s">
        <v>189</v>
      </c>
      <c r="I3412" s="16" t="s">
        <v>190</v>
      </c>
    </row>
    <row r="3413" ht="242.25" customHeight="1">
      <c r="B3413" s="32" t="str">
        <f>IMAGE("https://gymvisual.com/20543-catalog_default/sled-forward-angled-calf-raise.jpg",4,500,500)</f>
        <v/>
      </c>
      <c r="C3413" s="30">
        <v>3412.0</v>
      </c>
      <c r="D3413" s="16" t="s">
        <v>4291</v>
      </c>
      <c r="E3413" s="16" t="s">
        <v>184</v>
      </c>
      <c r="F3413" s="16" t="s">
        <v>325</v>
      </c>
      <c r="G3413" s="16" t="s">
        <v>2893</v>
      </c>
      <c r="H3413" s="16" t="s">
        <v>368</v>
      </c>
      <c r="I3413" s="16" t="s">
        <v>463</v>
      </c>
    </row>
    <row r="3414" ht="242.25" customHeight="1">
      <c r="B3414" s="32" t="str">
        <f>IMAGE("https://gymvisual.com/8038-catalog_default/sled-full-hack-squat.jpg",4,500,500)</f>
        <v/>
      </c>
      <c r="C3414" s="30">
        <v>3413.0</v>
      </c>
      <c r="D3414" s="16" t="s">
        <v>4292</v>
      </c>
      <c r="E3414" s="16" t="s">
        <v>184</v>
      </c>
      <c r="F3414" s="16" t="s">
        <v>285</v>
      </c>
      <c r="G3414" s="16" t="s">
        <v>2893</v>
      </c>
      <c r="H3414" s="16" t="s">
        <v>220</v>
      </c>
      <c r="I3414" s="16" t="s">
        <v>220</v>
      </c>
    </row>
    <row r="3415" ht="242.25" customHeight="1">
      <c r="B3415" s="32" t="str">
        <f>IMAGE("https://gymvisual.com/11221-catalog_default/sled-full-hack-squat-female.jpg",4,500,500)</f>
        <v/>
      </c>
      <c r="C3415" s="30">
        <v>3414.0</v>
      </c>
      <c r="D3415" s="16" t="s">
        <v>4293</v>
      </c>
      <c r="E3415" s="16" t="s">
        <v>184</v>
      </c>
      <c r="F3415" s="16" t="s">
        <v>294</v>
      </c>
      <c r="G3415" s="16" t="s">
        <v>2893</v>
      </c>
      <c r="H3415" s="16" t="s">
        <v>220</v>
      </c>
      <c r="I3415" s="16" t="s">
        <v>220</v>
      </c>
    </row>
    <row r="3416" ht="242.25" customHeight="1">
      <c r="B3416" s="32" t="str">
        <f>IMAGE("https://gymvisual.com/25077-catalog_default/sled-hack-squat.jpg",4,500,500)</f>
        <v/>
      </c>
      <c r="C3416" s="30">
        <v>3415.0</v>
      </c>
      <c r="D3416" s="16" t="s">
        <v>4294</v>
      </c>
      <c r="E3416" s="16" t="s">
        <v>184</v>
      </c>
      <c r="F3416" s="16" t="s">
        <v>185</v>
      </c>
      <c r="G3416" s="16" t="s">
        <v>2893</v>
      </c>
      <c r="H3416" s="16" t="s">
        <v>189</v>
      </c>
      <c r="I3416" s="16" t="s">
        <v>190</v>
      </c>
    </row>
    <row r="3417" ht="242.25" customHeight="1">
      <c r="B3417" s="32" t="str">
        <f>IMAGE("https://gymvisual.com/10362-catalog_default/sled-hack-squat-female.jpg",4,500,500)</f>
        <v/>
      </c>
      <c r="C3417" s="30">
        <v>3416.0</v>
      </c>
      <c r="D3417" s="16" t="s">
        <v>4295</v>
      </c>
      <c r="E3417" s="16" t="s">
        <v>184</v>
      </c>
      <c r="F3417" s="16" t="s">
        <v>285</v>
      </c>
      <c r="G3417" s="16" t="s">
        <v>2893</v>
      </c>
      <c r="H3417" s="16" t="s">
        <v>189</v>
      </c>
      <c r="I3417" s="16" t="s">
        <v>190</v>
      </c>
    </row>
    <row r="3418" ht="242.25" customHeight="1">
      <c r="B3418" s="32" t="str">
        <f>IMAGE("https://gymvisual.com/10190-catalog_default/sled-hack-squat-legs-wrong-right.jpg",4,500,500)</f>
        <v/>
      </c>
      <c r="C3418" s="30">
        <v>3417.0</v>
      </c>
      <c r="D3418" s="16" t="s">
        <v>4296</v>
      </c>
      <c r="E3418" s="16" t="s">
        <v>184</v>
      </c>
      <c r="F3418" s="16" t="s">
        <v>285</v>
      </c>
      <c r="G3418" s="16" t="s">
        <v>2893</v>
      </c>
      <c r="H3418" s="16" t="s">
        <v>220</v>
      </c>
      <c r="I3418" s="16" t="s">
        <v>220</v>
      </c>
    </row>
    <row r="3419" ht="242.25" customHeight="1">
      <c r="B3419" s="32" t="str">
        <f>IMAGE("https://gymvisual.com/10052-catalog_default/sled-lying-calf-press.jpg",4,500,500)</f>
        <v/>
      </c>
      <c r="C3419" s="30">
        <v>3418.0</v>
      </c>
      <c r="D3419" s="16" t="s">
        <v>4297</v>
      </c>
      <c r="E3419" s="16" t="s">
        <v>184</v>
      </c>
      <c r="F3419" s="16" t="s">
        <v>325</v>
      </c>
      <c r="G3419" s="16" t="s">
        <v>2893</v>
      </c>
      <c r="H3419" s="16" t="s">
        <v>368</v>
      </c>
      <c r="I3419" s="16" t="s">
        <v>463</v>
      </c>
    </row>
    <row r="3420" ht="242.25" customHeight="1">
      <c r="B3420" s="32" t="str">
        <f>IMAGE("https://gymvisual.com/2226-catalog_default/sled-lying-squat.jpg",4,500,500)</f>
        <v/>
      </c>
      <c r="C3420" s="30">
        <v>3419.0</v>
      </c>
      <c r="D3420" s="16" t="s">
        <v>4298</v>
      </c>
      <c r="E3420" s="16" t="s">
        <v>184</v>
      </c>
      <c r="F3420" s="16" t="s">
        <v>285</v>
      </c>
      <c r="G3420" s="16" t="s">
        <v>2893</v>
      </c>
      <c r="H3420" s="16" t="s">
        <v>189</v>
      </c>
      <c r="I3420" s="16" t="s">
        <v>190</v>
      </c>
    </row>
    <row r="3421" ht="242.25" customHeight="1">
      <c r="B3421" s="32" t="str">
        <f>IMAGE("https://gymvisual.com/6089-catalog_default/sled-one-leg-calf-press-on-leg-press.jpg",4,500,500)</f>
        <v/>
      </c>
      <c r="C3421" s="30">
        <v>3420.0</v>
      </c>
      <c r="D3421" s="16" t="s">
        <v>4299</v>
      </c>
      <c r="E3421" s="16" t="s">
        <v>184</v>
      </c>
      <c r="F3421" s="16" t="s">
        <v>325</v>
      </c>
      <c r="G3421" s="16" t="s">
        <v>2893</v>
      </c>
      <c r="H3421" s="16" t="s">
        <v>368</v>
      </c>
      <c r="I3421" s="16" t="s">
        <v>463</v>
      </c>
    </row>
    <row r="3422" ht="242.25" customHeight="1">
      <c r="B3422" s="32" t="str">
        <f>IMAGE("https://gymvisual.com/6826-catalog_default/sled-one-leg-hack-squat.jpg",4,500,500)</f>
        <v/>
      </c>
      <c r="C3422" s="30">
        <v>3421.0</v>
      </c>
      <c r="D3422" s="16" t="s">
        <v>4300</v>
      </c>
      <c r="E3422" s="16" t="s">
        <v>184</v>
      </c>
      <c r="F3422" s="16" t="s">
        <v>285</v>
      </c>
      <c r="G3422" s="16" t="s">
        <v>2893</v>
      </c>
      <c r="H3422" s="16" t="s">
        <v>220</v>
      </c>
      <c r="I3422" s="16" t="s">
        <v>220</v>
      </c>
    </row>
    <row r="3423" ht="242.25" customHeight="1">
      <c r="B3423" s="32" t="str">
        <f>IMAGE("https://gymvisual.com/6830-catalog_default/sled-reverse-hack-squat.jpg",4,500,500)</f>
        <v/>
      </c>
      <c r="C3423" s="30">
        <v>3422.0</v>
      </c>
      <c r="D3423" s="16" t="s">
        <v>4301</v>
      </c>
      <c r="E3423" s="16" t="s">
        <v>184</v>
      </c>
      <c r="F3423" s="16" t="s">
        <v>285</v>
      </c>
      <c r="G3423" s="16" t="s">
        <v>2893</v>
      </c>
      <c r="H3423" s="16" t="s">
        <v>189</v>
      </c>
      <c r="I3423" s="16" t="s">
        <v>190</v>
      </c>
    </row>
    <row r="3424" ht="242.25" customHeight="1">
      <c r="B3424" s="32" t="str">
        <f>IMAGE("https://gymvisual.com/18736-catalog_default/sled-vertical-leg-press.jpg",4,500,500)</f>
        <v/>
      </c>
      <c r="C3424" s="30">
        <v>3423.0</v>
      </c>
      <c r="D3424" s="16" t="s">
        <v>4302</v>
      </c>
      <c r="E3424" s="16" t="s">
        <v>184</v>
      </c>
      <c r="F3424" s="16" t="s">
        <v>285</v>
      </c>
      <c r="G3424" s="16" t="s">
        <v>2893</v>
      </c>
      <c r="H3424" s="16" t="s">
        <v>220</v>
      </c>
      <c r="I3424" s="16" t="s">
        <v>220</v>
      </c>
    </row>
    <row r="3425" ht="242.25" customHeight="1">
      <c r="B3425" s="32" t="str">
        <f>IMAGE("https://gymvisual.com/17901-catalog_default/sled-wide-hack-squat-male.jpg",4,500,500)</f>
        <v/>
      </c>
      <c r="C3425" s="30">
        <v>3424.0</v>
      </c>
      <c r="D3425" s="16" t="s">
        <v>4303</v>
      </c>
      <c r="E3425" s="16" t="s">
        <v>184</v>
      </c>
      <c r="F3425" s="16" t="s">
        <v>285</v>
      </c>
      <c r="G3425" s="16" t="s">
        <v>2893</v>
      </c>
      <c r="H3425" s="16" t="s">
        <v>189</v>
      </c>
      <c r="I3425" s="16" t="s">
        <v>902</v>
      </c>
    </row>
    <row r="3426" ht="242.25" customHeight="1">
      <c r="B3426" s="32" t="str">
        <f>IMAGE("https://gymvisual.com/6722-catalog_default/sledge-hammer.jpg",4,500,500)</f>
        <v/>
      </c>
      <c r="C3426" s="30">
        <v>3425.0</v>
      </c>
      <c r="D3426" s="16" t="s">
        <v>4304</v>
      </c>
      <c r="E3426" s="16" t="s">
        <v>184</v>
      </c>
      <c r="F3426" s="16" t="s">
        <v>254</v>
      </c>
      <c r="G3426" s="16" t="s">
        <v>4305</v>
      </c>
      <c r="H3426" s="16" t="s">
        <v>260</v>
      </c>
      <c r="I3426" s="16" t="s">
        <v>4306</v>
      </c>
    </row>
    <row r="3427" ht="242.25" hidden="1" customHeight="1">
      <c r="B3427" s="32" t="str">
        <f>IMAGE("https://gymvisual.com/14012-catalog_default/sliding-floor-bridge-curl-on-towel.jpg",4,500,500)</f>
        <v/>
      </c>
      <c r="C3427" s="30">
        <v>3426.0</v>
      </c>
      <c r="D3427" s="16" t="s">
        <v>4307</v>
      </c>
      <c r="E3427" s="16" t="s">
        <v>184</v>
      </c>
      <c r="F3427" s="16" t="s">
        <v>522</v>
      </c>
      <c r="G3427" s="16" t="s">
        <v>255</v>
      </c>
      <c r="H3427" s="16" t="s">
        <v>4260</v>
      </c>
      <c r="I3427" s="16" t="s">
        <v>220</v>
      </c>
    </row>
    <row r="3428" ht="242.25" hidden="1" customHeight="1">
      <c r="B3428" s="32" t="str">
        <f>IMAGE("https://gymvisual.com/14010-catalog_default/sliding-floor-pulldown-on-towel.jpg",4,500,500)</f>
        <v/>
      </c>
      <c r="C3428" s="30">
        <v>3427.0</v>
      </c>
      <c r="D3428" s="16" t="s">
        <v>4308</v>
      </c>
      <c r="E3428" s="16" t="s">
        <v>184</v>
      </c>
      <c r="F3428" s="16" t="s">
        <v>192</v>
      </c>
      <c r="G3428" s="16" t="s">
        <v>255</v>
      </c>
      <c r="H3428" s="16" t="s">
        <v>300</v>
      </c>
      <c r="I3428" s="16" t="s">
        <v>4309</v>
      </c>
    </row>
    <row r="3429" ht="242.25" hidden="1" customHeight="1">
      <c r="B3429" s="32" t="str">
        <f>IMAGE("https://gymvisual.com/19906-catalog_default/sliding-floor-pulldown-on-towel-version-2.jpg",4,500,500)</f>
        <v/>
      </c>
      <c r="C3429" s="30">
        <v>3428.0</v>
      </c>
      <c r="D3429" s="16" t="s">
        <v>4310</v>
      </c>
      <c r="E3429" s="16" t="s">
        <v>184</v>
      </c>
      <c r="F3429" s="16" t="s">
        <v>192</v>
      </c>
      <c r="G3429" s="16" t="s">
        <v>255</v>
      </c>
      <c r="H3429" s="16" t="s">
        <v>300</v>
      </c>
      <c r="I3429" s="16" t="s">
        <v>4311</v>
      </c>
    </row>
    <row r="3430" ht="242.25" hidden="1" customHeight="1">
      <c r="B3430" s="32" t="str">
        <f>IMAGE("https://gymvisual.com/24659-catalog_default/sliding-leg-bird-dog.jpg",4,500,500)</f>
        <v/>
      </c>
      <c r="C3430" s="30">
        <v>3429.0</v>
      </c>
      <c r="D3430" s="16" t="s">
        <v>4312</v>
      </c>
      <c r="E3430" s="16" t="s">
        <v>184</v>
      </c>
      <c r="F3430" s="16" t="s">
        <v>192</v>
      </c>
      <c r="G3430" s="16" t="s">
        <v>255</v>
      </c>
      <c r="H3430" s="16" t="s">
        <v>220</v>
      </c>
      <c r="I3430" s="16" t="s">
        <v>220</v>
      </c>
    </row>
    <row r="3431" ht="242.25" hidden="1" customHeight="1">
      <c r="B3431" s="32" t="str">
        <f>IMAGE("https://gymvisual.com/16522-catalog_default/sliding-leg-curl-on-floor-with-towel.jpg",4,500,500)</f>
        <v/>
      </c>
      <c r="C3431" s="30">
        <v>3430.0</v>
      </c>
      <c r="D3431" s="16" t="s">
        <v>4313</v>
      </c>
      <c r="E3431" s="16" t="s">
        <v>184</v>
      </c>
      <c r="F3431" s="16" t="s">
        <v>285</v>
      </c>
      <c r="G3431" s="16" t="s">
        <v>255</v>
      </c>
      <c r="H3431" s="16" t="s">
        <v>2412</v>
      </c>
      <c r="I3431" s="16" t="s">
        <v>561</v>
      </c>
    </row>
    <row r="3432" ht="242.25" hidden="1" customHeight="1">
      <c r="B3432" s="32" t="str">
        <f>IMAGE("https://gymvisual.com/22089-catalog_default/sliding-leg-curl-on-floor-with-towel.jpg",4,500,500)</f>
        <v/>
      </c>
      <c r="C3432" s="30">
        <v>3431.0</v>
      </c>
      <c r="D3432" s="16" t="s">
        <v>4313</v>
      </c>
      <c r="E3432" s="16" t="s">
        <v>184</v>
      </c>
      <c r="F3432" s="16" t="s">
        <v>185</v>
      </c>
      <c r="G3432" s="16" t="s">
        <v>255</v>
      </c>
      <c r="H3432" s="16" t="s">
        <v>188</v>
      </c>
      <c r="I3432" s="16" t="s">
        <v>665</v>
      </c>
    </row>
    <row r="3433" ht="242.25" customHeight="1">
      <c r="B3433" s="32" t="str">
        <f>IMAGE("https://gymvisual.com/2232-catalog_default/smith-back-shrug.jpg",4,500,500)</f>
        <v/>
      </c>
      <c r="C3433" s="30">
        <v>3432.0</v>
      </c>
      <c r="D3433" s="16" t="s">
        <v>4314</v>
      </c>
      <c r="E3433" s="16" t="s">
        <v>184</v>
      </c>
      <c r="F3433" s="16" t="s">
        <v>192</v>
      </c>
      <c r="G3433" s="16" t="s">
        <v>4017</v>
      </c>
      <c r="H3433" s="16" t="s">
        <v>238</v>
      </c>
      <c r="I3433" s="16" t="s">
        <v>618</v>
      </c>
    </row>
    <row r="3434" ht="242.25" customHeight="1">
      <c r="B3434" s="32" t="str">
        <f>IMAGE("https://gymvisual.com/20415-catalog_default/smith-back-wide-shrug.jpg",4,500,500)</f>
        <v/>
      </c>
      <c r="C3434" s="30">
        <v>3433.0</v>
      </c>
      <c r="D3434" s="16" t="s">
        <v>4315</v>
      </c>
      <c r="E3434" s="16" t="s">
        <v>184</v>
      </c>
      <c r="F3434" s="16" t="s">
        <v>192</v>
      </c>
      <c r="G3434" s="16" t="s">
        <v>4017</v>
      </c>
      <c r="H3434" s="16" t="s">
        <v>238</v>
      </c>
      <c r="I3434" s="16" t="s">
        <v>239</v>
      </c>
    </row>
    <row r="3435" ht="242.25" customHeight="1">
      <c r="B3435" s="32" t="str">
        <f>IMAGE("https://gymvisual.com/18001-catalog_default/smith-banded-full-squat.jpg",4,500,500)</f>
        <v/>
      </c>
      <c r="C3435" s="30">
        <v>3434.0</v>
      </c>
      <c r="D3435" s="16" t="s">
        <v>4316</v>
      </c>
      <c r="E3435" s="16" t="s">
        <v>184</v>
      </c>
      <c r="F3435" s="16" t="s">
        <v>285</v>
      </c>
      <c r="G3435" s="16" t="s">
        <v>4017</v>
      </c>
      <c r="H3435" s="16" t="s">
        <v>220</v>
      </c>
      <c r="I3435" s="16" t="s">
        <v>220</v>
      </c>
    </row>
    <row r="3436" ht="242.25" customHeight="1">
      <c r="B3436" s="32" t="str">
        <f>IMAGE("https://gymvisual.com/2235-catalog_default/smith-behind-neck-press.jpg",4,500,500)</f>
        <v/>
      </c>
      <c r="C3436" s="30">
        <v>3435.0</v>
      </c>
      <c r="D3436" s="16" t="s">
        <v>4317</v>
      </c>
      <c r="E3436" s="16" t="s">
        <v>184</v>
      </c>
      <c r="F3436" s="16" t="s">
        <v>228</v>
      </c>
      <c r="G3436" s="16" t="s">
        <v>4017</v>
      </c>
      <c r="H3436" s="16" t="s">
        <v>229</v>
      </c>
      <c r="I3436" s="16" t="s">
        <v>230</v>
      </c>
    </row>
    <row r="3437" ht="242.25" customHeight="1">
      <c r="B3437" s="32" t="str">
        <f>IMAGE("https://gymvisual.com/19345-catalog_default/smith-bench-press.jpg",4,500,500)</f>
        <v/>
      </c>
      <c r="C3437" s="30">
        <v>3436.0</v>
      </c>
      <c r="D3437" s="16" t="s">
        <v>4318</v>
      </c>
      <c r="E3437" s="16" t="s">
        <v>184</v>
      </c>
      <c r="F3437" s="16" t="s">
        <v>234</v>
      </c>
      <c r="G3437" s="16" t="s">
        <v>4017</v>
      </c>
      <c r="H3437" s="16" t="s">
        <v>235</v>
      </c>
      <c r="I3437" s="16" t="s">
        <v>243</v>
      </c>
    </row>
    <row r="3438" ht="242.25" customHeight="1">
      <c r="B3438" s="32" t="str">
        <f>IMAGE("https://gymvisual.com/2241-catalog_default/smith-bent-knee-good-morning.jpg",4,500,500)</f>
        <v/>
      </c>
      <c r="C3438" s="30">
        <v>3437.0</v>
      </c>
      <c r="D3438" s="16" t="s">
        <v>4319</v>
      </c>
      <c r="E3438" s="16" t="s">
        <v>184</v>
      </c>
      <c r="F3438" s="16" t="s">
        <v>185</v>
      </c>
      <c r="G3438" s="16" t="s">
        <v>4017</v>
      </c>
      <c r="H3438" s="16" t="s">
        <v>267</v>
      </c>
      <c r="I3438" s="16" t="s">
        <v>188</v>
      </c>
    </row>
    <row r="3439" ht="242.25" customHeight="1">
      <c r="B3439" s="32" t="str">
        <f>IMAGE("https://gymvisual.com/20994-catalog_default/smith-bent-over-narrow-pronated-grip-row.jpg",4,500,500)</f>
        <v/>
      </c>
      <c r="C3439" s="30">
        <v>3438.0</v>
      </c>
      <c r="D3439" s="16" t="s">
        <v>4320</v>
      </c>
      <c r="E3439" s="16" t="s">
        <v>184</v>
      </c>
      <c r="F3439" s="16" t="s">
        <v>192</v>
      </c>
      <c r="G3439" s="16" t="s">
        <v>4017</v>
      </c>
      <c r="H3439" s="16" t="s">
        <v>329</v>
      </c>
      <c r="I3439" s="16" t="s">
        <v>447</v>
      </c>
    </row>
    <row r="3440" ht="242.25" customHeight="1">
      <c r="B3440" s="32" t="str">
        <f>IMAGE("https://gymvisual.com/20980-catalog_default/smith-bent-over-narrow-supinated-grip-row.jpg",4,500,500)</f>
        <v/>
      </c>
      <c r="C3440" s="30">
        <v>3439.0</v>
      </c>
      <c r="D3440" s="16" t="s">
        <v>4321</v>
      </c>
      <c r="E3440" s="16" t="s">
        <v>184</v>
      </c>
      <c r="F3440" s="16" t="s">
        <v>192</v>
      </c>
      <c r="G3440" s="16" t="s">
        <v>4017</v>
      </c>
      <c r="H3440" s="16" t="s">
        <v>329</v>
      </c>
      <c r="I3440" s="16" t="s">
        <v>457</v>
      </c>
    </row>
    <row r="3441" ht="242.25" customHeight="1">
      <c r="B3441" s="32" t="str">
        <f>IMAGE("https://gymvisual.com/21106-catalog_default/smith-bent-over-row.jpg",4,500,500)</f>
        <v/>
      </c>
      <c r="C3441" s="30">
        <v>3440.0</v>
      </c>
      <c r="D3441" s="16" t="s">
        <v>4322</v>
      </c>
      <c r="E3441" s="16" t="s">
        <v>184</v>
      </c>
      <c r="F3441" s="16" t="s">
        <v>192</v>
      </c>
      <c r="G3441" s="16" t="s">
        <v>4017</v>
      </c>
      <c r="H3441" s="16" t="s">
        <v>329</v>
      </c>
      <c r="I3441" s="16" t="s">
        <v>457</v>
      </c>
    </row>
    <row r="3442" ht="242.25" customHeight="1">
      <c r="B3442" s="32" t="str">
        <f>IMAGE("https://gymvisual.com/24467-catalog_default/smith-bent-over-row-version-2.jpg",4,500,500)</f>
        <v/>
      </c>
      <c r="C3442" s="30">
        <v>3441.0</v>
      </c>
      <c r="D3442" s="16" t="s">
        <v>4323</v>
      </c>
      <c r="E3442" s="16" t="s">
        <v>184</v>
      </c>
      <c r="F3442" s="16"/>
      <c r="G3442" s="16" t="s">
        <v>4017</v>
      </c>
      <c r="H3442" s="16" t="s">
        <v>408</v>
      </c>
      <c r="I3442" s="16" t="s">
        <v>490</v>
      </c>
    </row>
    <row r="3443" ht="242.25" customHeight="1">
      <c r="B3443" s="32" t="str">
        <f>IMAGE("https://gymvisual.com/4377-catalog_default/smith-calf-raise-version-2.jpg",4,500,500)</f>
        <v/>
      </c>
      <c r="C3443" s="30">
        <v>3442.0</v>
      </c>
      <c r="D3443" s="16" t="s">
        <v>4324</v>
      </c>
      <c r="E3443" s="16" t="s">
        <v>184</v>
      </c>
      <c r="F3443" s="16" t="s">
        <v>325</v>
      </c>
      <c r="G3443" s="16" t="s">
        <v>4017</v>
      </c>
      <c r="H3443" s="16" t="s">
        <v>368</v>
      </c>
      <c r="I3443" s="16" t="s">
        <v>463</v>
      </c>
    </row>
    <row r="3444" ht="242.25" customHeight="1">
      <c r="B3444" s="32" t="str">
        <f>IMAGE("https://gymvisual.com/2961-catalog_default/smith-calf-raise-with-block.jpg",4,500,500)</f>
        <v/>
      </c>
      <c r="C3444" s="30">
        <v>3443.0</v>
      </c>
      <c r="D3444" s="16" t="s">
        <v>4325</v>
      </c>
      <c r="E3444" s="16" t="s">
        <v>184</v>
      </c>
      <c r="F3444" s="16" t="s">
        <v>325</v>
      </c>
      <c r="G3444" s="16" t="s">
        <v>4017</v>
      </c>
      <c r="H3444" s="16" t="s">
        <v>368</v>
      </c>
      <c r="I3444" s="16" t="s">
        <v>463</v>
      </c>
    </row>
    <row r="3445" ht="242.25" customHeight="1">
      <c r="B3445" s="32" t="str">
        <f>IMAGE("https://gymvisual.com/2244-catalog_default/smith-chair-squat.jpg",4,500,500)</f>
        <v/>
      </c>
      <c r="C3445" s="30">
        <v>3444.0</v>
      </c>
      <c r="D3445" s="16" t="s">
        <v>4326</v>
      </c>
      <c r="E3445" s="16" t="s">
        <v>184</v>
      </c>
      <c r="F3445" s="16" t="s">
        <v>285</v>
      </c>
      <c r="G3445" s="16" t="s">
        <v>4017</v>
      </c>
      <c r="H3445" s="16" t="s">
        <v>2413</v>
      </c>
      <c r="I3445" s="16" t="s">
        <v>857</v>
      </c>
    </row>
    <row r="3446" ht="242.25" customHeight="1">
      <c r="B3446" s="32" t="str">
        <f>IMAGE("https://gymvisual.com/11381-catalog_default/smith-chair-squat-female.jpg",4,500,500)</f>
        <v/>
      </c>
      <c r="C3446" s="30">
        <v>3445.0</v>
      </c>
      <c r="D3446" s="16" t="s">
        <v>4327</v>
      </c>
      <c r="E3446" s="16" t="s">
        <v>184</v>
      </c>
      <c r="F3446" s="16" t="s">
        <v>285</v>
      </c>
      <c r="G3446" s="16" t="s">
        <v>4017</v>
      </c>
      <c r="H3446" s="16" t="s">
        <v>189</v>
      </c>
      <c r="I3446" s="16" t="s">
        <v>190</v>
      </c>
    </row>
    <row r="3447" ht="242.25" customHeight="1">
      <c r="B3447" s="32" t="str">
        <f>IMAGE("https://gymvisual.com/2247-catalog_default/smith-close-grip-bench-press.jpg",4,500,500)</f>
        <v/>
      </c>
      <c r="C3447" s="30">
        <v>3446.0</v>
      </c>
      <c r="D3447" s="16" t="s">
        <v>4328</v>
      </c>
      <c r="E3447" s="16" t="s">
        <v>184</v>
      </c>
      <c r="F3447" s="16" t="s">
        <v>219</v>
      </c>
      <c r="G3447" s="16" t="s">
        <v>4017</v>
      </c>
      <c r="H3447" s="16" t="s">
        <v>223</v>
      </c>
      <c r="I3447" s="16" t="s">
        <v>472</v>
      </c>
    </row>
    <row r="3448" ht="242.25" customHeight="1">
      <c r="B3448" s="32" t="str">
        <f>IMAGE("https://gymvisual.com/24643-catalog_default/smith-deadlift.jpg",4,500,500)</f>
        <v/>
      </c>
      <c r="C3448" s="30">
        <v>3447.0</v>
      </c>
      <c r="D3448" s="16" t="s">
        <v>4329</v>
      </c>
      <c r="E3448" s="16" t="s">
        <v>184</v>
      </c>
      <c r="F3448" s="16" t="s">
        <v>185</v>
      </c>
      <c r="G3448" s="16" t="s">
        <v>4017</v>
      </c>
      <c r="H3448" s="16" t="s">
        <v>267</v>
      </c>
      <c r="I3448" s="16" t="s">
        <v>975</v>
      </c>
    </row>
    <row r="3449" ht="242.25" customHeight="1">
      <c r="B3449" s="32" t="str">
        <f>IMAGE("https://gymvisual.com/14300-catalog_default/smith-deadlift-female.jpg",4,500,500)</f>
        <v/>
      </c>
      <c r="C3449" s="30">
        <v>3448.0</v>
      </c>
      <c r="D3449" s="16" t="s">
        <v>4330</v>
      </c>
      <c r="E3449" s="16" t="s">
        <v>184</v>
      </c>
      <c r="F3449" s="16" t="s">
        <v>294</v>
      </c>
      <c r="G3449" s="16" t="s">
        <v>4017</v>
      </c>
      <c r="H3449" s="16" t="s">
        <v>2010</v>
      </c>
      <c r="I3449" s="16" t="s">
        <v>2076</v>
      </c>
    </row>
    <row r="3450" ht="242.25" customHeight="1">
      <c r="B3450" s="32" t="str">
        <f>IMAGE("https://gymvisual.com/2253-catalog_default/smith-decline-bench-press.jpg",4,500,500)</f>
        <v/>
      </c>
      <c r="C3450" s="30">
        <v>3449.0</v>
      </c>
      <c r="D3450" s="16" t="s">
        <v>4331</v>
      </c>
      <c r="E3450" s="16" t="s">
        <v>184</v>
      </c>
      <c r="F3450" s="16"/>
      <c r="G3450" s="16"/>
      <c r="H3450" s="16" t="s">
        <v>347</v>
      </c>
      <c r="I3450" s="16" t="s">
        <v>382</v>
      </c>
    </row>
    <row r="3451" ht="242.25" customHeight="1">
      <c r="B3451" s="32" t="str">
        <f>IMAGE("https://gymvisual.com/2256-catalog_default/smith-decline-reverse-grip-press.jpg",4,500,500)</f>
        <v/>
      </c>
      <c r="C3451" s="30">
        <v>3450.0</v>
      </c>
      <c r="D3451" s="16" t="s">
        <v>4332</v>
      </c>
      <c r="E3451" s="16" t="s">
        <v>184</v>
      </c>
      <c r="F3451" s="16" t="s">
        <v>234</v>
      </c>
      <c r="G3451" s="16" t="s">
        <v>4017</v>
      </c>
      <c r="H3451" s="16" t="s">
        <v>347</v>
      </c>
      <c r="I3451" s="16" t="s">
        <v>382</v>
      </c>
    </row>
    <row r="3452" ht="242.25" customHeight="1">
      <c r="B3452" s="32" t="str">
        <f>IMAGE("https://gymvisual.com/19569-catalog_default/smith-drag-curl.jpg",4,500,500)</f>
        <v/>
      </c>
      <c r="C3452" s="30">
        <v>3451.0</v>
      </c>
      <c r="D3452" s="16" t="s">
        <v>4333</v>
      </c>
      <c r="E3452" s="16" t="s">
        <v>184</v>
      </c>
      <c r="F3452" s="16" t="s">
        <v>219</v>
      </c>
      <c r="G3452" s="16" t="s">
        <v>4017</v>
      </c>
      <c r="H3452" s="16" t="s">
        <v>220</v>
      </c>
      <c r="I3452" s="16" t="s">
        <v>220</v>
      </c>
    </row>
    <row r="3453" ht="242.25" customHeight="1">
      <c r="B3453" s="32" t="str">
        <f>IMAGE("https://gymvisual.com/6841-catalog_default/smith-frankenstein-squat.jpg",4,500,500)</f>
        <v/>
      </c>
      <c r="C3453" s="30">
        <v>3452.0</v>
      </c>
      <c r="D3453" s="16" t="s">
        <v>4334</v>
      </c>
      <c r="E3453" s="16" t="s">
        <v>184</v>
      </c>
      <c r="F3453" s="16" t="s">
        <v>285</v>
      </c>
      <c r="G3453" s="16" t="s">
        <v>4017</v>
      </c>
      <c r="H3453" s="16" t="s">
        <v>220</v>
      </c>
      <c r="I3453" s="16" t="s">
        <v>220</v>
      </c>
    </row>
    <row r="3454" ht="242.25" customHeight="1">
      <c r="B3454" s="32" t="str">
        <f>IMAGE("https://gymvisual.com/6842-catalog_default/smith-front-squat.jpg",4,500,500)</f>
        <v/>
      </c>
      <c r="C3454" s="30">
        <v>3453.0</v>
      </c>
      <c r="D3454" s="16" t="s">
        <v>4335</v>
      </c>
      <c r="E3454" s="16" t="s">
        <v>184</v>
      </c>
      <c r="F3454" s="16" t="s">
        <v>285</v>
      </c>
      <c r="G3454" s="16" t="s">
        <v>4017</v>
      </c>
      <c r="H3454" s="16" t="s">
        <v>220</v>
      </c>
      <c r="I3454" s="16" t="s">
        <v>220</v>
      </c>
    </row>
    <row r="3455" ht="242.25" customHeight="1">
      <c r="B3455" s="32" t="str">
        <f>IMAGE("https://gymvisual.com/6442-catalog_default/smith-front-squat-clean-grip.jpg",4,500,500)</f>
        <v/>
      </c>
      <c r="C3455" s="30">
        <v>3454.0</v>
      </c>
      <c r="D3455" s="16" t="s">
        <v>4336</v>
      </c>
      <c r="E3455" s="16" t="s">
        <v>184</v>
      </c>
      <c r="F3455" s="16" t="s">
        <v>285</v>
      </c>
      <c r="G3455" s="16" t="s">
        <v>4017</v>
      </c>
      <c r="H3455" s="16" t="s">
        <v>189</v>
      </c>
      <c r="I3455" s="16" t="s">
        <v>190</v>
      </c>
    </row>
    <row r="3456" ht="242.25" customHeight="1">
      <c r="B3456" s="32" t="str">
        <f>IMAGE("https://gymvisual.com/12063-catalog_default/smith-front-squat-clean-grip-female.jpg",4,500,500)</f>
        <v/>
      </c>
      <c r="C3456" s="30">
        <v>3455.0</v>
      </c>
      <c r="D3456" s="16" t="s">
        <v>4337</v>
      </c>
      <c r="E3456" s="16" t="s">
        <v>184</v>
      </c>
      <c r="F3456" s="16" t="s">
        <v>285</v>
      </c>
      <c r="G3456" s="16" t="s">
        <v>4017</v>
      </c>
      <c r="H3456" s="16" t="s">
        <v>220</v>
      </c>
      <c r="I3456" s="16" t="s">
        <v>220</v>
      </c>
    </row>
    <row r="3457" ht="242.25" customHeight="1">
      <c r="B3457" s="32" t="str">
        <f>IMAGE("https://gymvisual.com/13123-catalog_default/smith-full-squat.jpg",4,500,500)</f>
        <v/>
      </c>
      <c r="C3457" s="30">
        <v>3456.0</v>
      </c>
      <c r="D3457" s="16" t="s">
        <v>4338</v>
      </c>
      <c r="E3457" s="16" t="s">
        <v>184</v>
      </c>
      <c r="F3457" s="16" t="s">
        <v>285</v>
      </c>
      <c r="G3457" s="16" t="s">
        <v>4017</v>
      </c>
      <c r="H3457" s="16" t="s">
        <v>189</v>
      </c>
      <c r="I3457" s="16" t="s">
        <v>190</v>
      </c>
    </row>
    <row r="3458" ht="242.25" customHeight="1">
      <c r="B3458" s="32" t="str">
        <f>IMAGE("https://gymvisual.com/6767-catalog_default/smith-good-morning-off-pins.jpg",4,500,500)</f>
        <v/>
      </c>
      <c r="C3458" s="30">
        <v>3457.0</v>
      </c>
      <c r="D3458" s="16" t="s">
        <v>4339</v>
      </c>
      <c r="E3458" s="16" t="s">
        <v>184</v>
      </c>
      <c r="F3458" s="16" t="s">
        <v>185</v>
      </c>
      <c r="G3458" s="16" t="s">
        <v>4017</v>
      </c>
      <c r="H3458" s="16" t="s">
        <v>220</v>
      </c>
      <c r="I3458" s="16" t="s">
        <v>220</v>
      </c>
    </row>
    <row r="3459" ht="242.25" customHeight="1">
      <c r="B3459" s="32" t="str">
        <f>IMAGE("https://gymvisual.com/2259-catalog_default/smith-hack-squat.jpg",4,500,500)</f>
        <v/>
      </c>
      <c r="C3459" s="30">
        <v>3458.0</v>
      </c>
      <c r="D3459" s="16" t="s">
        <v>4340</v>
      </c>
      <c r="E3459" s="16" t="s">
        <v>184</v>
      </c>
      <c r="F3459" s="16" t="s">
        <v>185</v>
      </c>
      <c r="G3459" s="16" t="s">
        <v>4017</v>
      </c>
      <c r="H3459" s="16" t="s">
        <v>189</v>
      </c>
      <c r="I3459" s="16" t="s">
        <v>190</v>
      </c>
    </row>
    <row r="3460" ht="242.25" customHeight="1">
      <c r="B3460" s="32" t="str">
        <f>IMAGE("https://gymvisual.com/24145-catalog_default/smith-hang-clean.jpg",4,500,500)</f>
        <v/>
      </c>
      <c r="C3460" s="30">
        <v>3459.0</v>
      </c>
      <c r="D3460" s="16" t="s">
        <v>4341</v>
      </c>
      <c r="E3460" s="16" t="s">
        <v>184</v>
      </c>
      <c r="F3460" s="16" t="s">
        <v>764</v>
      </c>
      <c r="G3460" s="16" t="s">
        <v>4017</v>
      </c>
      <c r="H3460" s="16" t="s">
        <v>220</v>
      </c>
      <c r="I3460" s="16" t="s">
        <v>220</v>
      </c>
    </row>
    <row r="3461" ht="242.25" customHeight="1">
      <c r="B3461" s="32" t="str">
        <f>IMAGE("https://gymvisual.com/12184-catalog_default/smith-hex-press.jpg",4,500,500)</f>
        <v/>
      </c>
      <c r="C3461" s="30">
        <v>3460.0</v>
      </c>
      <c r="D3461" s="16" t="s">
        <v>4342</v>
      </c>
      <c r="E3461" s="16" t="s">
        <v>184</v>
      </c>
      <c r="F3461" s="16" t="s">
        <v>234</v>
      </c>
      <c r="G3461" s="16" t="s">
        <v>4017</v>
      </c>
      <c r="H3461" s="16" t="s">
        <v>347</v>
      </c>
      <c r="I3461" s="16" t="s">
        <v>382</v>
      </c>
    </row>
    <row r="3462" ht="242.25" customHeight="1">
      <c r="B3462" s="32" t="str">
        <f>IMAGE("https://gymvisual.com/2262-catalog_default/smith-hip-raise.jpg",4,500,500)</f>
        <v/>
      </c>
      <c r="C3462" s="30">
        <v>3461.0</v>
      </c>
      <c r="D3462" s="16" t="s">
        <v>4343</v>
      </c>
      <c r="E3462" s="16" t="s">
        <v>184</v>
      </c>
      <c r="F3462" s="16" t="s">
        <v>254</v>
      </c>
      <c r="G3462" s="16" t="s">
        <v>4017</v>
      </c>
      <c r="H3462" s="16" t="s">
        <v>256</v>
      </c>
      <c r="I3462" s="16" t="s">
        <v>257</v>
      </c>
    </row>
    <row r="3463" ht="242.25" customHeight="1">
      <c r="B3463" s="32" t="str">
        <f>IMAGE("https://gymvisual.com/13489-catalog_default/smith-hip-thrust.jpg",4,500,500)</f>
        <v/>
      </c>
      <c r="C3463" s="30">
        <v>3462.0</v>
      </c>
      <c r="D3463" s="16" t="s">
        <v>4344</v>
      </c>
      <c r="E3463" s="16" t="s">
        <v>184</v>
      </c>
      <c r="F3463" s="16" t="s">
        <v>185</v>
      </c>
      <c r="G3463" s="16" t="s">
        <v>4017</v>
      </c>
      <c r="H3463" s="16" t="s">
        <v>187</v>
      </c>
      <c r="I3463" s="16" t="s">
        <v>854</v>
      </c>
    </row>
    <row r="3464" ht="242.25" customHeight="1">
      <c r="B3464" s="32" t="str">
        <f>IMAGE("https://gymvisual.com/13265-catalog_default/smith-incline-bench-press.jpg",4,500,500)</f>
        <v/>
      </c>
      <c r="C3464" s="30">
        <v>3463.0</v>
      </c>
      <c r="D3464" s="16" t="s">
        <v>4345</v>
      </c>
      <c r="E3464" s="16" t="s">
        <v>184</v>
      </c>
      <c r="F3464" s="16" t="s">
        <v>234</v>
      </c>
      <c r="G3464" s="16" t="s">
        <v>4017</v>
      </c>
      <c r="H3464" s="16" t="s">
        <v>415</v>
      </c>
      <c r="I3464" s="16" t="s">
        <v>243</v>
      </c>
    </row>
    <row r="3465" ht="242.25" customHeight="1">
      <c r="B3465" s="32" t="str">
        <f>IMAGE("https://gymvisual.com/2268-catalog_default/smith-incline-reverse-grip-press.jpg",4,500,500)</f>
        <v/>
      </c>
      <c r="C3465" s="30">
        <v>3464.0</v>
      </c>
      <c r="D3465" s="16" t="s">
        <v>4346</v>
      </c>
      <c r="E3465" s="16" t="s">
        <v>184</v>
      </c>
      <c r="F3465" s="16" t="s">
        <v>234</v>
      </c>
      <c r="G3465" s="16" t="s">
        <v>4017</v>
      </c>
      <c r="H3465" s="16" t="s">
        <v>415</v>
      </c>
      <c r="I3465" s="16" t="s">
        <v>243</v>
      </c>
    </row>
    <row r="3466" ht="242.25" customHeight="1">
      <c r="B3466" s="32" t="str">
        <f>IMAGE("https://gymvisual.com/2271-catalog_default/smith-incline-shoulder-raises.jpg",4,500,500)</f>
        <v/>
      </c>
      <c r="C3466" s="30">
        <v>3465.0</v>
      </c>
      <c r="D3466" s="16" t="s">
        <v>4347</v>
      </c>
      <c r="E3466" s="16" t="s">
        <v>184</v>
      </c>
      <c r="F3466" s="16" t="s">
        <v>234</v>
      </c>
      <c r="G3466" s="16" t="s">
        <v>4017</v>
      </c>
      <c r="H3466" s="16" t="s">
        <v>885</v>
      </c>
      <c r="I3466" s="16" t="s">
        <v>882</v>
      </c>
    </row>
    <row r="3467" ht="242.25" customHeight="1">
      <c r="B3467" s="32" t="str">
        <f>IMAGE("https://gymvisual.com/17747-catalog_default/smith-kneeling-hip-thrust.jpg",4,500,500)</f>
        <v/>
      </c>
      <c r="C3467" s="30">
        <v>3466.0</v>
      </c>
      <c r="D3467" s="16" t="s">
        <v>4348</v>
      </c>
      <c r="E3467" s="16" t="s">
        <v>184</v>
      </c>
      <c r="F3467" s="16" t="s">
        <v>185</v>
      </c>
      <c r="G3467" s="16" t="s">
        <v>4017</v>
      </c>
      <c r="H3467" s="16" t="s">
        <v>220</v>
      </c>
      <c r="I3467" s="16" t="s">
        <v>220</v>
      </c>
    </row>
    <row r="3468" ht="242.25" customHeight="1">
      <c r="B3468" s="32" t="str">
        <f>IMAGE("https://gymvisual.com/4449-catalog_default/smith-kneeling-rear-kick.jpg",4,500,500)</f>
        <v/>
      </c>
      <c r="C3468" s="30">
        <v>3467.0</v>
      </c>
      <c r="D3468" s="16" t="s">
        <v>4349</v>
      </c>
      <c r="E3468" s="16" t="s">
        <v>184</v>
      </c>
      <c r="F3468" s="16" t="s">
        <v>185</v>
      </c>
      <c r="G3468" s="16" t="s">
        <v>4017</v>
      </c>
      <c r="H3468" s="16" t="s">
        <v>187</v>
      </c>
      <c r="I3468" s="16" t="s">
        <v>188</v>
      </c>
    </row>
    <row r="3469" ht="242.25" customHeight="1">
      <c r="B3469" s="32" t="str">
        <f>IMAGE("https://gymvisual.com/12232-catalog_default/smith-kneeling-rear-kick-with-partner.jpg",4,500,500)</f>
        <v/>
      </c>
      <c r="C3469" s="30">
        <v>3468.0</v>
      </c>
      <c r="D3469" s="16" t="s">
        <v>4350</v>
      </c>
      <c r="E3469" s="16" t="s">
        <v>184</v>
      </c>
      <c r="F3469" s="16" t="s">
        <v>185</v>
      </c>
      <c r="G3469" s="16" t="s">
        <v>4017</v>
      </c>
      <c r="H3469" s="16" t="s">
        <v>220</v>
      </c>
      <c r="I3469" s="16" t="s">
        <v>220</v>
      </c>
    </row>
    <row r="3470" ht="242.25" customHeight="1">
      <c r="B3470" s="32" t="str">
        <f>IMAGE("https://gymvisual.com/2774-catalog_default/smith-lateral-step-up.jpg",4,500,500)</f>
        <v/>
      </c>
      <c r="C3470" s="30">
        <v>3469.0</v>
      </c>
      <c r="D3470" s="16" t="s">
        <v>4351</v>
      </c>
      <c r="E3470" s="16" t="s">
        <v>184</v>
      </c>
      <c r="F3470" s="16" t="s">
        <v>285</v>
      </c>
      <c r="G3470" s="16" t="s">
        <v>4017</v>
      </c>
      <c r="H3470" s="16" t="s">
        <v>189</v>
      </c>
      <c r="I3470" s="16" t="s">
        <v>2046</v>
      </c>
    </row>
    <row r="3471" ht="242.25" customHeight="1">
      <c r="B3471" s="32" t="str">
        <f>IMAGE("https://gymvisual.com/2274-catalog_default/smith-leg-press.jpg",4,500,500)</f>
        <v/>
      </c>
      <c r="C3471" s="30">
        <v>3470.0</v>
      </c>
      <c r="D3471" s="16" t="s">
        <v>4352</v>
      </c>
      <c r="E3471" s="16" t="s">
        <v>184</v>
      </c>
      <c r="F3471" s="16" t="s">
        <v>285</v>
      </c>
      <c r="G3471" s="16" t="s">
        <v>4017</v>
      </c>
      <c r="H3471" s="16" t="s">
        <v>189</v>
      </c>
      <c r="I3471" s="16" t="s">
        <v>190</v>
      </c>
    </row>
    <row r="3472" ht="242.25" customHeight="1">
      <c r="B3472" s="32" t="str">
        <f>IMAGE("https://gymvisual.com/14302-catalog_default/smith-leg-press-female.jpg",4,500,500)</f>
        <v/>
      </c>
      <c r="C3472" s="30">
        <v>3471.0</v>
      </c>
      <c r="D3472" s="16" t="s">
        <v>4353</v>
      </c>
      <c r="E3472" s="16" t="s">
        <v>184</v>
      </c>
      <c r="F3472" s="16" t="s">
        <v>294</v>
      </c>
      <c r="G3472" s="16" t="s">
        <v>4017</v>
      </c>
      <c r="H3472" s="16" t="s">
        <v>189</v>
      </c>
      <c r="I3472" s="16" t="s">
        <v>190</v>
      </c>
    </row>
    <row r="3473" ht="242.25" customHeight="1">
      <c r="B3473" s="32" t="str">
        <f>IMAGE("https://gymvisual.com/6444-catalog_default/smith-low-bar-squat.jpg",4,500,500)</f>
        <v/>
      </c>
      <c r="C3473" s="30">
        <v>3472.0</v>
      </c>
      <c r="D3473" s="16" t="s">
        <v>4354</v>
      </c>
      <c r="E3473" s="16" t="s">
        <v>184</v>
      </c>
      <c r="F3473" s="16" t="s">
        <v>285</v>
      </c>
      <c r="G3473" s="16" t="s">
        <v>4017</v>
      </c>
      <c r="H3473" s="16" t="s">
        <v>189</v>
      </c>
      <c r="I3473" s="16" t="s">
        <v>190</v>
      </c>
    </row>
    <row r="3474" ht="242.25" customHeight="1">
      <c r="B3474" s="32" t="str">
        <f>IMAGE("https://gymvisual.com/2775-catalog_default/smith-lying-lift-on-hip.jpg",4,500,500)</f>
        <v/>
      </c>
      <c r="C3474" s="30">
        <v>3473.0</v>
      </c>
      <c r="D3474" s="16" t="s">
        <v>4355</v>
      </c>
      <c r="E3474" s="16" t="s">
        <v>184</v>
      </c>
      <c r="F3474" s="16" t="s">
        <v>185</v>
      </c>
      <c r="G3474" s="16" t="s">
        <v>4017</v>
      </c>
      <c r="H3474" s="16" t="s">
        <v>187</v>
      </c>
      <c r="I3474" s="16" t="s">
        <v>2733</v>
      </c>
    </row>
    <row r="3475" ht="242.25" customHeight="1">
      <c r="B3475" s="32" t="str">
        <f>IMAGE("https://gymvisual.com/7156-catalog_default/smith-machine-bicep-curl.jpg",4,500,500)</f>
        <v/>
      </c>
      <c r="C3475" s="30">
        <v>3474.0</v>
      </c>
      <c r="D3475" s="16" t="s">
        <v>4356</v>
      </c>
      <c r="E3475" s="16" t="s">
        <v>184</v>
      </c>
      <c r="F3475" s="16" t="s">
        <v>219</v>
      </c>
      <c r="G3475" s="16" t="s">
        <v>4017</v>
      </c>
      <c r="H3475" s="16" t="s">
        <v>241</v>
      </c>
      <c r="I3475" s="16" t="s">
        <v>292</v>
      </c>
    </row>
    <row r="3476" ht="242.25" customHeight="1">
      <c r="B3476" s="32" t="str">
        <f>IMAGE("https://gymvisual.com/7100-catalog_default/smith-machine-decline-close-grip-bench-press.jpg",4,500,500)</f>
        <v/>
      </c>
      <c r="C3476" s="30">
        <v>3475.0</v>
      </c>
      <c r="D3476" s="16" t="s">
        <v>4357</v>
      </c>
      <c r="E3476" s="16" t="s">
        <v>184</v>
      </c>
      <c r="F3476" s="16" t="s">
        <v>219</v>
      </c>
      <c r="G3476" s="16" t="s">
        <v>4017</v>
      </c>
      <c r="H3476" s="16" t="s">
        <v>220</v>
      </c>
      <c r="I3476" s="16" t="s">
        <v>220</v>
      </c>
    </row>
    <row r="3477" ht="242.25" customHeight="1">
      <c r="B3477" s="32" t="str">
        <f>IMAGE("https://gymvisual.com/7471-catalog_default/smith-machine-incline-tricep-extension.jpg",4,500,500)</f>
        <v/>
      </c>
      <c r="C3477" s="30">
        <v>3476.0</v>
      </c>
      <c r="D3477" s="16" t="s">
        <v>4358</v>
      </c>
      <c r="E3477" s="16" t="s">
        <v>184</v>
      </c>
      <c r="F3477" s="16" t="s">
        <v>219</v>
      </c>
      <c r="G3477" s="16" t="s">
        <v>4017</v>
      </c>
      <c r="H3477" s="16" t="s">
        <v>220</v>
      </c>
      <c r="I3477" s="16" t="s">
        <v>220</v>
      </c>
    </row>
    <row r="3478" ht="242.25" customHeight="1">
      <c r="B3478" s="32" t="str">
        <f>IMAGE("https://gymvisual.com/7101-catalog_default/smith-machine-reverse-decline-close-grip-bench-press.jpg",4,500,500)</f>
        <v/>
      </c>
      <c r="C3478" s="30">
        <v>3477.0</v>
      </c>
      <c r="D3478" s="16" t="s">
        <v>4359</v>
      </c>
      <c r="E3478" s="16" t="s">
        <v>184</v>
      </c>
      <c r="F3478" s="16" t="s">
        <v>234</v>
      </c>
      <c r="G3478" s="16" t="s">
        <v>4017</v>
      </c>
      <c r="H3478" s="16" t="s">
        <v>220</v>
      </c>
      <c r="I3478" s="16" t="s">
        <v>220</v>
      </c>
    </row>
    <row r="3479" ht="242.25" customHeight="1">
      <c r="B3479" s="32" t="str">
        <f>IMAGE("https://gymvisual.com/11510-catalog_default/smith-narrow-row-female.jpg",4,500,500)</f>
        <v/>
      </c>
      <c r="C3479" s="30">
        <v>3478.0</v>
      </c>
      <c r="D3479" s="16" t="s">
        <v>4360</v>
      </c>
      <c r="E3479" s="16" t="s">
        <v>184</v>
      </c>
      <c r="F3479" s="16" t="s">
        <v>192</v>
      </c>
      <c r="G3479" s="16" t="s">
        <v>4017</v>
      </c>
      <c r="H3479" s="16" t="s">
        <v>220</v>
      </c>
      <c r="I3479" s="16" t="s">
        <v>220</v>
      </c>
    </row>
    <row r="3480" ht="242.25" customHeight="1">
      <c r="B3480" s="32" t="str">
        <f>IMAGE("https://gymvisual.com/6051-catalog_default/smith-one-arm-row.jpg",4,500,500)</f>
        <v/>
      </c>
      <c r="C3480" s="30">
        <v>3479.0</v>
      </c>
      <c r="D3480" s="16" t="s">
        <v>4361</v>
      </c>
      <c r="E3480" s="16" t="s">
        <v>184</v>
      </c>
      <c r="F3480" s="16" t="s">
        <v>192</v>
      </c>
      <c r="G3480" s="16" t="s">
        <v>4017</v>
      </c>
      <c r="H3480" s="16" t="s">
        <v>329</v>
      </c>
      <c r="I3480" s="16" t="s">
        <v>457</v>
      </c>
    </row>
    <row r="3481" ht="242.25" customHeight="1">
      <c r="B3481" s="32" t="str">
        <f>IMAGE("https://gymvisual.com/2776-catalog_default/smith-one-leg-deadlift.jpg",4,500,500)</f>
        <v/>
      </c>
      <c r="C3481" s="30">
        <v>3480.0</v>
      </c>
      <c r="D3481" s="16" t="s">
        <v>4362</v>
      </c>
      <c r="E3481" s="16" t="s">
        <v>184</v>
      </c>
      <c r="F3481" s="16" t="s">
        <v>192</v>
      </c>
      <c r="G3481" s="16" t="s">
        <v>4017</v>
      </c>
      <c r="H3481" s="16" t="s">
        <v>267</v>
      </c>
      <c r="I3481" s="16" t="s">
        <v>188</v>
      </c>
    </row>
    <row r="3482" ht="242.25" customHeight="1">
      <c r="B3482" s="32" t="str">
        <f>IMAGE("https://gymvisual.com/6090-catalog_default/smith-one-leg-floor-calf-raise.jpg",4,500,500)</f>
        <v/>
      </c>
      <c r="C3482" s="30">
        <v>3481.0</v>
      </c>
      <c r="D3482" s="16" t="s">
        <v>4363</v>
      </c>
      <c r="E3482" s="16" t="s">
        <v>184</v>
      </c>
      <c r="F3482" s="16" t="s">
        <v>325</v>
      </c>
      <c r="G3482" s="16" t="s">
        <v>4017</v>
      </c>
      <c r="H3482" s="16" t="s">
        <v>368</v>
      </c>
      <c r="I3482" s="16" t="s">
        <v>463</v>
      </c>
    </row>
    <row r="3483" ht="242.25" customHeight="1">
      <c r="B3483" s="32" t="str">
        <f>IMAGE("https://gymvisual.com/11513-catalog_default/smith-one-leg-floor-calf-raise-female.jpg",4,500,500)</f>
        <v/>
      </c>
      <c r="C3483" s="30">
        <v>3482.0</v>
      </c>
      <c r="D3483" s="16" t="s">
        <v>4364</v>
      </c>
      <c r="E3483" s="16" t="s">
        <v>184</v>
      </c>
      <c r="F3483" s="16" t="s">
        <v>325</v>
      </c>
      <c r="G3483" s="16" t="s">
        <v>4017</v>
      </c>
      <c r="H3483" s="16" t="s">
        <v>220</v>
      </c>
      <c r="I3483" s="16" t="s">
        <v>220</v>
      </c>
    </row>
    <row r="3484" ht="242.25" customHeight="1">
      <c r="B3484" s="32" t="str">
        <f>IMAGE("https://gymvisual.com/17985-catalog_default/smith-rack-pull.jpg",4,500,500)</f>
        <v/>
      </c>
      <c r="C3484" s="30">
        <v>3483.0</v>
      </c>
      <c r="D3484" s="16" t="s">
        <v>4365</v>
      </c>
      <c r="E3484" s="16" t="s">
        <v>184</v>
      </c>
      <c r="F3484" s="16" t="s">
        <v>185</v>
      </c>
      <c r="G3484" s="16" t="s">
        <v>4017</v>
      </c>
      <c r="H3484" s="16" t="s">
        <v>220</v>
      </c>
      <c r="I3484" s="16" t="s">
        <v>220</v>
      </c>
    </row>
    <row r="3485" ht="242.25" customHeight="1">
      <c r="B3485" s="32" t="str">
        <f>IMAGE("https://gymvisual.com/2777-catalog_default/smith-rear-lunge-version-2.jpg",4,500,500)</f>
        <v/>
      </c>
      <c r="C3485" s="30">
        <v>3484.0</v>
      </c>
      <c r="D3485" s="16" t="s">
        <v>4366</v>
      </c>
      <c r="E3485" s="16" t="s">
        <v>184</v>
      </c>
      <c r="F3485" s="16" t="s">
        <v>285</v>
      </c>
      <c r="G3485" s="16" t="s">
        <v>4017</v>
      </c>
      <c r="H3485" s="16" t="s">
        <v>189</v>
      </c>
      <c r="I3485" s="16" t="s">
        <v>190</v>
      </c>
    </row>
    <row r="3486" ht="242.25" customHeight="1">
      <c r="B3486" s="32" t="str">
        <f>IMAGE("https://gymvisual.com/2283-catalog_default/smith-reverse-calf-raises.jpg",4,500,500)</f>
        <v/>
      </c>
      <c r="C3486" s="30">
        <v>3485.0</v>
      </c>
      <c r="D3486" s="16" t="s">
        <v>4367</v>
      </c>
      <c r="E3486" s="16" t="s">
        <v>184</v>
      </c>
      <c r="F3486" s="16" t="s">
        <v>325</v>
      </c>
      <c r="G3486" s="16" t="s">
        <v>4017</v>
      </c>
      <c r="H3486" s="16" t="s">
        <v>1100</v>
      </c>
      <c r="I3486" s="16" t="s">
        <v>463</v>
      </c>
    </row>
    <row r="3487" ht="242.25" customHeight="1">
      <c r="B3487" s="32" t="str">
        <f>IMAGE("https://gymvisual.com/6091-catalog_default/smith-reverse-calf-raises.jpg",4,500,500)</f>
        <v/>
      </c>
      <c r="C3487" s="30">
        <v>3486.0</v>
      </c>
      <c r="D3487" s="16" t="s">
        <v>4367</v>
      </c>
      <c r="E3487" s="16" t="s">
        <v>184</v>
      </c>
      <c r="F3487" s="16" t="s">
        <v>325</v>
      </c>
      <c r="G3487" s="16" t="s">
        <v>4017</v>
      </c>
      <c r="H3487" s="16" t="s">
        <v>368</v>
      </c>
      <c r="I3487" s="16" t="s">
        <v>463</v>
      </c>
    </row>
    <row r="3488" ht="242.25" customHeight="1">
      <c r="B3488" s="32" t="str">
        <f>IMAGE("https://gymvisual.com/11498-catalog_default/smith-reverse-calf-raises-female.jpg",4,500,500)</f>
        <v/>
      </c>
      <c r="C3488" s="30">
        <v>3487.0</v>
      </c>
      <c r="D3488" s="16" t="s">
        <v>4368</v>
      </c>
      <c r="E3488" s="16" t="s">
        <v>184</v>
      </c>
      <c r="F3488" s="16" t="s">
        <v>325</v>
      </c>
      <c r="G3488" s="16" t="s">
        <v>4017</v>
      </c>
      <c r="H3488" s="16" t="s">
        <v>220</v>
      </c>
      <c r="I3488" s="16" t="s">
        <v>220</v>
      </c>
    </row>
    <row r="3489" ht="242.25" customHeight="1">
      <c r="B3489" s="32" t="str">
        <f>IMAGE("https://gymvisual.com/6052-catalog_default/smith-reverse-grip-bent-over-row.jpg",4,500,500)</f>
        <v/>
      </c>
      <c r="C3489" s="30">
        <v>3488.0</v>
      </c>
      <c r="D3489" s="16" t="s">
        <v>4369</v>
      </c>
      <c r="E3489" s="16" t="s">
        <v>184</v>
      </c>
      <c r="F3489" s="16" t="s">
        <v>192</v>
      </c>
      <c r="G3489" s="16" t="s">
        <v>4017</v>
      </c>
      <c r="H3489" s="16" t="s">
        <v>329</v>
      </c>
      <c r="I3489" s="16" t="s">
        <v>4370</v>
      </c>
    </row>
    <row r="3490" ht="242.25" customHeight="1">
      <c r="B3490" s="32" t="str">
        <f>IMAGE("https://gymvisual.com/11804-catalog_default/smith-reverse-hyperextension-female.jpg",4,500,500)</f>
        <v/>
      </c>
      <c r="C3490" s="30">
        <v>3489.0</v>
      </c>
      <c r="D3490" s="16" t="s">
        <v>4371</v>
      </c>
      <c r="E3490" s="16" t="s">
        <v>184</v>
      </c>
      <c r="F3490" s="16" t="s">
        <v>185</v>
      </c>
      <c r="G3490" s="16" t="s">
        <v>4017</v>
      </c>
      <c r="H3490" s="16" t="s">
        <v>220</v>
      </c>
      <c r="I3490" s="16" t="s">
        <v>220</v>
      </c>
    </row>
    <row r="3491" ht="242.25" customHeight="1">
      <c r="B3491" s="32" t="str">
        <f>IMAGE("https://gymvisual.com/2286-catalog_default/smith-reverse-grip-press.jpg",4,500,500)</f>
        <v/>
      </c>
      <c r="C3491" s="30">
        <v>3490.0</v>
      </c>
      <c r="D3491" s="16" t="s">
        <v>4372</v>
      </c>
      <c r="E3491" s="16" t="s">
        <v>184</v>
      </c>
      <c r="F3491" s="16" t="s">
        <v>234</v>
      </c>
      <c r="G3491" s="16" t="s">
        <v>4017</v>
      </c>
      <c r="H3491" s="16" t="s">
        <v>235</v>
      </c>
      <c r="I3491" s="16" t="s">
        <v>243</v>
      </c>
    </row>
    <row r="3492" ht="242.25" customHeight="1">
      <c r="B3492" s="32" t="str">
        <f>IMAGE("https://gymvisual.com/19409-catalog_default/smith-seated-calf-raise.jpg",4,500,500)</f>
        <v/>
      </c>
      <c r="C3492" s="30">
        <v>3491.0</v>
      </c>
      <c r="D3492" s="16" t="s">
        <v>4373</v>
      </c>
      <c r="E3492" s="16" t="s">
        <v>184</v>
      </c>
      <c r="F3492" s="16" t="s">
        <v>325</v>
      </c>
      <c r="G3492" s="16" t="s">
        <v>4017</v>
      </c>
      <c r="H3492" s="16" t="s">
        <v>220</v>
      </c>
      <c r="I3492" s="16" t="s">
        <v>220</v>
      </c>
    </row>
    <row r="3493" ht="242.25" customHeight="1">
      <c r="B3493" s="32" t="str">
        <f>IMAGE("https://gymvisual.com/6092-catalog_default/smith-seated-one-leg-calf-raise.jpg",4,500,500)</f>
        <v/>
      </c>
      <c r="C3493" s="30">
        <v>3492.0</v>
      </c>
      <c r="D3493" s="16" t="s">
        <v>4374</v>
      </c>
      <c r="E3493" s="16" t="s">
        <v>184</v>
      </c>
      <c r="F3493" s="16" t="s">
        <v>325</v>
      </c>
      <c r="G3493" s="16" t="s">
        <v>4017</v>
      </c>
      <c r="H3493" s="16" t="s">
        <v>368</v>
      </c>
      <c r="I3493" s="16" t="s">
        <v>463</v>
      </c>
    </row>
    <row r="3494" ht="242.25" customHeight="1">
      <c r="B3494" s="32" t="str">
        <f>IMAGE("https://gymvisual.com/2289-catalog_default/smith-seated-shoulder-press.jpg",4,500,500)</f>
        <v/>
      </c>
      <c r="C3494" s="30">
        <v>3493.0</v>
      </c>
      <c r="D3494" s="16" t="s">
        <v>4375</v>
      </c>
      <c r="E3494" s="16" t="s">
        <v>184</v>
      </c>
      <c r="F3494" s="16" t="s">
        <v>228</v>
      </c>
      <c r="G3494" s="16" t="s">
        <v>4017</v>
      </c>
      <c r="H3494" s="16" t="s">
        <v>229</v>
      </c>
      <c r="I3494" s="16" t="s">
        <v>626</v>
      </c>
    </row>
    <row r="3495" ht="242.25" customHeight="1">
      <c r="B3495" s="32" t="str">
        <f>IMAGE("https://gymvisual.com/14304-catalog_default/smith-seated-shoulder-press-female.jpg",4,500,500)</f>
        <v/>
      </c>
      <c r="C3495" s="30">
        <v>3494.0</v>
      </c>
      <c r="D3495" s="16" t="s">
        <v>4376</v>
      </c>
      <c r="E3495" s="16" t="s">
        <v>184</v>
      </c>
      <c r="F3495" s="16" t="s">
        <v>228</v>
      </c>
      <c r="G3495" s="16" t="s">
        <v>4017</v>
      </c>
      <c r="H3495" s="16" t="s">
        <v>229</v>
      </c>
      <c r="I3495" s="16" t="s">
        <v>626</v>
      </c>
    </row>
    <row r="3496" ht="242.25" customHeight="1">
      <c r="B3496" s="32" t="str">
        <f>IMAGE("https://gymvisual.com/6278-catalog_default/smith-seated-wrist-curl.jpg",4,500,500)</f>
        <v/>
      </c>
      <c r="C3496" s="30">
        <v>3495.0</v>
      </c>
      <c r="D3496" s="16" t="s">
        <v>4377</v>
      </c>
      <c r="E3496" s="16" t="s">
        <v>184</v>
      </c>
      <c r="F3496" s="16" t="s">
        <v>214</v>
      </c>
      <c r="G3496" s="16" t="s">
        <v>4017</v>
      </c>
      <c r="H3496" s="16" t="s">
        <v>720</v>
      </c>
      <c r="I3496" s="16" t="s">
        <v>220</v>
      </c>
    </row>
    <row r="3497" ht="242.25" customHeight="1">
      <c r="B3497" s="32" t="str">
        <f>IMAGE("https://gymvisual.com/2292-catalog_default/smith-shoulder-press.jpg",4,500,500)</f>
        <v/>
      </c>
      <c r="C3497" s="30">
        <v>3496.0</v>
      </c>
      <c r="D3497" s="16" t="s">
        <v>4378</v>
      </c>
      <c r="E3497" s="16" t="s">
        <v>184</v>
      </c>
      <c r="F3497" s="16" t="s">
        <v>228</v>
      </c>
      <c r="G3497" s="16" t="s">
        <v>4017</v>
      </c>
      <c r="H3497" s="16" t="s">
        <v>229</v>
      </c>
      <c r="I3497" s="16" t="s">
        <v>626</v>
      </c>
    </row>
    <row r="3498" ht="242.25" customHeight="1">
      <c r="B3498" s="32" t="str">
        <f>IMAGE("https://gymvisual.com/2295-catalog_default/smith-shrug.jpg",4,500,500)</f>
        <v/>
      </c>
      <c r="C3498" s="30">
        <v>3497.0</v>
      </c>
      <c r="D3498" s="16" t="s">
        <v>4379</v>
      </c>
      <c r="E3498" s="16" t="s">
        <v>184</v>
      </c>
      <c r="F3498" s="16" t="s">
        <v>192</v>
      </c>
      <c r="G3498" s="16" t="s">
        <v>4017</v>
      </c>
      <c r="H3498" s="16" t="s">
        <v>238</v>
      </c>
      <c r="I3498" s="16" t="s">
        <v>618</v>
      </c>
    </row>
    <row r="3499" ht="242.25" customHeight="1">
      <c r="B3499" s="32" t="str">
        <f>IMAGE("https://gymvisual.com/17296-catalog_default/smith-single-arm-bent-over-row.jpg",4,500,500)</f>
        <v/>
      </c>
      <c r="C3499" s="30">
        <v>3498.0</v>
      </c>
      <c r="D3499" s="16" t="s">
        <v>4380</v>
      </c>
      <c r="E3499" s="16" t="s">
        <v>184</v>
      </c>
      <c r="F3499" s="16" t="s">
        <v>192</v>
      </c>
      <c r="G3499" s="16" t="s">
        <v>4017</v>
      </c>
      <c r="H3499" s="16" t="s">
        <v>329</v>
      </c>
      <c r="I3499" s="16" t="s">
        <v>447</v>
      </c>
    </row>
    <row r="3500" ht="242.25" customHeight="1">
      <c r="B3500" s="32" t="str">
        <f>IMAGE("https://gymvisual.com/2298-catalog_default/smith-single-leg-split-squat.jpg",4,500,500)</f>
        <v/>
      </c>
      <c r="C3500" s="30">
        <v>3499.0</v>
      </c>
      <c r="D3500" s="16" t="s">
        <v>4381</v>
      </c>
      <c r="E3500" s="16" t="s">
        <v>184</v>
      </c>
      <c r="F3500" s="16" t="s">
        <v>285</v>
      </c>
      <c r="G3500" s="16" t="s">
        <v>4017</v>
      </c>
      <c r="H3500" s="16" t="s">
        <v>189</v>
      </c>
      <c r="I3500" s="16" t="s">
        <v>190</v>
      </c>
    </row>
    <row r="3501" ht="242.25" customHeight="1">
      <c r="B3501" s="32" t="str">
        <f>IMAGE("https://gymvisual.com/11507-catalog_default/smith-single-leg-split-squat-female.jpg",4,500,500)</f>
        <v/>
      </c>
      <c r="C3501" s="30">
        <v>3500.0</v>
      </c>
      <c r="D3501" s="16" t="s">
        <v>4382</v>
      </c>
      <c r="E3501" s="16" t="s">
        <v>184</v>
      </c>
      <c r="F3501" s="16" t="s">
        <v>294</v>
      </c>
      <c r="G3501" s="16" t="s">
        <v>4017</v>
      </c>
      <c r="H3501" s="16" t="s">
        <v>189</v>
      </c>
      <c r="I3501" s="16" t="s">
        <v>190</v>
      </c>
    </row>
    <row r="3502" ht="242.25" customHeight="1">
      <c r="B3502" s="32" t="str">
        <f>IMAGE("https://gymvisual.com/13491-catalog_default/smith-split-squat-female.jpg",4,500,500)</f>
        <v/>
      </c>
      <c r="C3502" s="30">
        <v>3501.0</v>
      </c>
      <c r="D3502" s="16" t="s">
        <v>4383</v>
      </c>
      <c r="E3502" s="16" t="s">
        <v>184</v>
      </c>
      <c r="F3502" s="16" t="s">
        <v>294</v>
      </c>
      <c r="G3502" s="16" t="s">
        <v>4017</v>
      </c>
      <c r="H3502" s="16" t="s">
        <v>220</v>
      </c>
      <c r="I3502" s="16" t="s">
        <v>220</v>
      </c>
    </row>
    <row r="3503" ht="242.25" customHeight="1">
      <c r="B3503" s="32" t="str">
        <f>IMAGE("https://gymvisual.com/10276-catalog_default/smith-sprint-lunge.jpg",4,500,500)</f>
        <v/>
      </c>
      <c r="C3503" s="30">
        <v>3502.0</v>
      </c>
      <c r="D3503" s="16" t="s">
        <v>4384</v>
      </c>
      <c r="E3503" s="16" t="s">
        <v>184</v>
      </c>
      <c r="F3503" s="16" t="s">
        <v>285</v>
      </c>
      <c r="G3503" s="16" t="s">
        <v>4017</v>
      </c>
      <c r="H3503" s="16" t="s">
        <v>189</v>
      </c>
      <c r="I3503" s="16" t="s">
        <v>190</v>
      </c>
    </row>
    <row r="3504" ht="242.25" customHeight="1">
      <c r="B3504" s="32" t="str">
        <f>IMAGE("https://gymvisual.com/2304-catalog_default/smith-squat.jpg",4,500,500)</f>
        <v/>
      </c>
      <c r="C3504" s="30">
        <v>3503.0</v>
      </c>
      <c r="D3504" s="16" t="s">
        <v>4385</v>
      </c>
      <c r="E3504" s="16" t="s">
        <v>184</v>
      </c>
      <c r="F3504" s="16" t="s">
        <v>185</v>
      </c>
      <c r="G3504" s="16" t="s">
        <v>4017</v>
      </c>
      <c r="H3504" s="16" t="s">
        <v>189</v>
      </c>
      <c r="I3504" s="16" t="s">
        <v>190</v>
      </c>
    </row>
    <row r="3505" ht="242.25" customHeight="1">
      <c r="B3505" s="32" t="str">
        <f>IMAGE("https://gymvisual.com/6843-catalog_default/smith-squat-to-bench.jpg",4,500,500)</f>
        <v/>
      </c>
      <c r="C3505" s="30">
        <v>3504.0</v>
      </c>
      <c r="D3505" s="16" t="s">
        <v>4386</v>
      </c>
      <c r="E3505" s="16" t="s">
        <v>184</v>
      </c>
      <c r="F3505" s="16" t="s">
        <v>285</v>
      </c>
      <c r="G3505" s="16" t="s">
        <v>4017</v>
      </c>
      <c r="H3505" s="16" t="s">
        <v>220</v>
      </c>
      <c r="I3505" s="16" t="s">
        <v>220</v>
      </c>
    </row>
    <row r="3506" ht="242.25" customHeight="1">
      <c r="B3506" s="32" t="str">
        <f>IMAGE("https://gymvisual.com/2307-catalog_default/smith-standing-back-wrist-curl.jpg",4,500,500)</f>
        <v/>
      </c>
      <c r="C3506" s="30">
        <v>3505.0</v>
      </c>
      <c r="D3506" s="16" t="s">
        <v>4387</v>
      </c>
      <c r="E3506" s="16" t="s">
        <v>184</v>
      </c>
      <c r="F3506" s="16" t="s">
        <v>214</v>
      </c>
      <c r="G3506" s="16" t="s">
        <v>4017</v>
      </c>
      <c r="H3506" s="16" t="s">
        <v>720</v>
      </c>
      <c r="I3506" s="16" t="s">
        <v>220</v>
      </c>
    </row>
    <row r="3507" ht="242.25" customHeight="1">
      <c r="B3507" s="32" t="str">
        <f>IMAGE("https://gymvisual.com/2310-catalog_default/smith-standing-behind-head-military-press.jpg",4,500,500)</f>
        <v/>
      </c>
      <c r="C3507" s="30">
        <v>3506.0</v>
      </c>
      <c r="D3507" s="16" t="s">
        <v>4388</v>
      </c>
      <c r="E3507" s="16" t="s">
        <v>184</v>
      </c>
      <c r="F3507" s="16" t="s">
        <v>228</v>
      </c>
      <c r="G3507" s="16" t="s">
        <v>4017</v>
      </c>
      <c r="H3507" s="16" t="s">
        <v>229</v>
      </c>
      <c r="I3507" s="16" t="s">
        <v>230</v>
      </c>
    </row>
    <row r="3508" ht="242.25" customHeight="1">
      <c r="B3508" s="32" t="str">
        <f>IMAGE("https://gymvisual.com/2313-catalog_default/smith-standing-leg-calf-raise.jpg",4,500,500)</f>
        <v/>
      </c>
      <c r="C3508" s="30">
        <v>3507.0</v>
      </c>
      <c r="D3508" s="16" t="s">
        <v>4389</v>
      </c>
      <c r="E3508" s="16" t="s">
        <v>184</v>
      </c>
      <c r="F3508" s="16" t="s">
        <v>325</v>
      </c>
      <c r="G3508" s="16" t="s">
        <v>4017</v>
      </c>
      <c r="H3508" s="16" t="s">
        <v>368</v>
      </c>
      <c r="I3508" s="16" t="s">
        <v>463</v>
      </c>
    </row>
    <row r="3509" ht="242.25" customHeight="1">
      <c r="B3509" s="32" t="str">
        <f>IMAGE("https://gymvisual.com/11495-catalog_default/smith-standing-leg-calf-raise-female.jpg",4,500,500)</f>
        <v/>
      </c>
      <c r="C3509" s="30">
        <v>3508.0</v>
      </c>
      <c r="D3509" s="16" t="s">
        <v>4390</v>
      </c>
      <c r="E3509" s="16" t="s">
        <v>184</v>
      </c>
      <c r="F3509" s="16" t="s">
        <v>325</v>
      </c>
      <c r="G3509" s="16" t="s">
        <v>4017</v>
      </c>
      <c r="H3509" s="16" t="s">
        <v>368</v>
      </c>
      <c r="I3509" s="16" t="s">
        <v>463</v>
      </c>
    </row>
    <row r="3510" ht="242.25" customHeight="1">
      <c r="B3510" s="32" t="str">
        <f>IMAGE("https://gymvisual.com/2316-catalog_default/smith-standing-military-press.jpg",4,500,500)</f>
        <v/>
      </c>
      <c r="C3510" s="30">
        <v>3509.0</v>
      </c>
      <c r="D3510" s="16" t="s">
        <v>4391</v>
      </c>
      <c r="E3510" s="16" t="s">
        <v>184</v>
      </c>
      <c r="F3510" s="16" t="s">
        <v>228</v>
      </c>
      <c r="G3510" s="16" t="s">
        <v>4017</v>
      </c>
      <c r="H3510" s="16" t="s">
        <v>229</v>
      </c>
      <c r="I3510" s="16" t="s">
        <v>230</v>
      </c>
    </row>
    <row r="3511" ht="242.25" customHeight="1">
      <c r="B3511" s="32" t="str">
        <f>IMAGE("https://gymvisual.com/4595-catalog_default/smith-standing-shoulder-press.jpg",4,500,500)</f>
        <v/>
      </c>
      <c r="C3511" s="30">
        <v>3510.0</v>
      </c>
      <c r="D3511" s="16" t="s">
        <v>4392</v>
      </c>
      <c r="E3511" s="16" t="s">
        <v>184</v>
      </c>
      <c r="F3511" s="16" t="s">
        <v>228</v>
      </c>
      <c r="G3511" s="16" t="s">
        <v>4017</v>
      </c>
      <c r="H3511" s="16" t="s">
        <v>229</v>
      </c>
      <c r="I3511" s="16" t="s">
        <v>230</v>
      </c>
    </row>
    <row r="3512" ht="242.25" customHeight="1">
      <c r="B3512" s="32" t="str">
        <f>IMAGE("https://gymvisual.com/6844-catalog_default/smith-stiff-legged-deadlift.jpg",4,500,500)</f>
        <v/>
      </c>
      <c r="C3512" s="30">
        <v>3511.0</v>
      </c>
      <c r="D3512" s="16" t="s">
        <v>4393</v>
      </c>
      <c r="E3512" s="16" t="s">
        <v>184</v>
      </c>
      <c r="F3512" s="16" t="s">
        <v>185</v>
      </c>
      <c r="G3512" s="16" t="s">
        <v>4017</v>
      </c>
      <c r="H3512" s="16" t="s">
        <v>220</v>
      </c>
      <c r="I3512" s="16" t="s">
        <v>220</v>
      </c>
    </row>
    <row r="3513" ht="242.25" customHeight="1">
      <c r="B3513" s="32" t="str">
        <f>IMAGE("https://gymvisual.com/12545-catalog_default/smith-sumo-squat.jpg",4,500,500)</f>
        <v/>
      </c>
      <c r="C3513" s="30">
        <v>3512.0</v>
      </c>
      <c r="D3513" s="16" t="s">
        <v>4394</v>
      </c>
      <c r="E3513" s="16" t="s">
        <v>184</v>
      </c>
      <c r="F3513" s="16" t="s">
        <v>185</v>
      </c>
      <c r="G3513" s="16" t="s">
        <v>4017</v>
      </c>
      <c r="H3513" s="16" t="s">
        <v>189</v>
      </c>
      <c r="I3513" s="16" t="s">
        <v>902</v>
      </c>
    </row>
    <row r="3514" ht="242.25" customHeight="1">
      <c r="B3514" s="32" t="str">
        <f>IMAGE("https://gymvisual.com/17813-catalog_default/smith-sumo-squat-female.jpg",4,500,500)</f>
        <v/>
      </c>
      <c r="C3514" s="30">
        <v>3513.0</v>
      </c>
      <c r="D3514" s="16" t="s">
        <v>4395</v>
      </c>
      <c r="E3514" s="16" t="s">
        <v>184</v>
      </c>
      <c r="F3514" s="16" t="s">
        <v>185</v>
      </c>
      <c r="G3514" s="16" t="s">
        <v>4017</v>
      </c>
      <c r="H3514" s="16" t="s">
        <v>220</v>
      </c>
      <c r="I3514" s="16" t="s">
        <v>220</v>
      </c>
    </row>
    <row r="3515" ht="242.25" customHeight="1">
      <c r="B3515" s="32" t="str">
        <f>IMAGE("https://gymvisual.com/6093-catalog_default/smith-toe-raise.jpg",4,500,500)</f>
        <v/>
      </c>
      <c r="C3515" s="30">
        <v>3514.0</v>
      </c>
      <c r="D3515" s="16" t="s">
        <v>4396</v>
      </c>
      <c r="E3515" s="16" t="s">
        <v>184</v>
      </c>
      <c r="F3515" s="16" t="s">
        <v>325</v>
      </c>
      <c r="G3515" s="16" t="s">
        <v>4017</v>
      </c>
      <c r="H3515" s="16" t="s">
        <v>368</v>
      </c>
      <c r="I3515" s="16" t="s">
        <v>463</v>
      </c>
    </row>
    <row r="3516" ht="242.25" customHeight="1">
      <c r="B3516" s="32" t="str">
        <f>IMAGE("https://gymvisual.com/13493-catalog_default/smith-toe-raise-female.jpg",4,500,500)</f>
        <v/>
      </c>
      <c r="C3516" s="30">
        <v>3515.0</v>
      </c>
      <c r="D3516" s="16" t="s">
        <v>4397</v>
      </c>
      <c r="E3516" s="16" t="s">
        <v>184</v>
      </c>
      <c r="F3516" s="16" t="s">
        <v>325</v>
      </c>
      <c r="G3516" s="16" t="s">
        <v>4017</v>
      </c>
      <c r="H3516" s="16" t="s">
        <v>220</v>
      </c>
      <c r="I3516" s="16" t="s">
        <v>220</v>
      </c>
    </row>
    <row r="3517" ht="242.25" customHeight="1">
      <c r="B3517" s="32" t="str">
        <f>IMAGE("https://gymvisual.com/2319-catalog_default/smith-upright-row.jpg",4,500,500)</f>
        <v/>
      </c>
      <c r="C3517" s="30">
        <v>3516.0</v>
      </c>
      <c r="D3517" s="16" t="s">
        <v>4398</v>
      </c>
      <c r="E3517" s="16" t="s">
        <v>184</v>
      </c>
      <c r="F3517" s="16" t="s">
        <v>228</v>
      </c>
      <c r="G3517" s="16" t="s">
        <v>4017</v>
      </c>
      <c r="H3517" s="16" t="s">
        <v>544</v>
      </c>
      <c r="I3517" s="16" t="s">
        <v>713</v>
      </c>
    </row>
    <row r="3518" ht="242.25" customHeight="1">
      <c r="B3518" s="32" t="str">
        <f>IMAGE("https://gymvisual.com/5997-catalog_default/smith-wide-grip-bench-press.jpg",4,500,500)</f>
        <v/>
      </c>
      <c r="C3518" s="30">
        <v>3517.0</v>
      </c>
      <c r="D3518" s="16" t="s">
        <v>4399</v>
      </c>
      <c r="E3518" s="16" t="s">
        <v>184</v>
      </c>
      <c r="F3518" s="16" t="s">
        <v>234</v>
      </c>
      <c r="G3518" s="16" t="s">
        <v>4017</v>
      </c>
      <c r="H3518" s="16" t="s">
        <v>347</v>
      </c>
      <c r="I3518" s="16" t="s">
        <v>382</v>
      </c>
    </row>
    <row r="3519" ht="242.25" customHeight="1">
      <c r="B3519" s="32" t="str">
        <f>IMAGE("https://gymvisual.com/5998-catalog_default/smith-wide-grip-decline-bench-press.jpg",4,500,500)</f>
        <v/>
      </c>
      <c r="C3519" s="30">
        <v>3518.0</v>
      </c>
      <c r="D3519" s="16" t="s">
        <v>4400</v>
      </c>
      <c r="E3519" s="16" t="s">
        <v>184</v>
      </c>
      <c r="F3519" s="16" t="s">
        <v>234</v>
      </c>
      <c r="G3519" s="16" t="s">
        <v>4017</v>
      </c>
      <c r="H3519" s="16" t="s">
        <v>347</v>
      </c>
      <c r="I3519" s="16" t="s">
        <v>382</v>
      </c>
    </row>
    <row r="3520" ht="242.25" customHeight="1">
      <c r="B3520" s="32" t="str">
        <f>IMAGE("https://gymvisual.com/20411-catalog_default/smith-wide-shrug.jpg",4,500,500)</f>
        <v/>
      </c>
      <c r="C3520" s="30">
        <v>3519.0</v>
      </c>
      <c r="D3520" s="16" t="s">
        <v>4401</v>
      </c>
      <c r="E3520" s="16" t="s">
        <v>184</v>
      </c>
      <c r="F3520" s="16" t="s">
        <v>192</v>
      </c>
      <c r="G3520" s="16" t="s">
        <v>4017</v>
      </c>
      <c r="H3520" s="16" t="s">
        <v>238</v>
      </c>
      <c r="I3520" s="16" t="s">
        <v>239</v>
      </c>
    </row>
    <row r="3521" ht="242.25" customHeight="1">
      <c r="B3521" s="32" t="str">
        <f>IMAGE("https://gymvisual.com/6845-catalog_default/smith-zercher-squat.jpg",4,500,500)</f>
        <v/>
      </c>
      <c r="C3521" s="30">
        <v>3520.0</v>
      </c>
      <c r="D3521" s="16" t="s">
        <v>4402</v>
      </c>
      <c r="E3521" s="16" t="s">
        <v>184</v>
      </c>
      <c r="F3521" s="16" t="s">
        <v>285</v>
      </c>
      <c r="G3521" s="16" t="s">
        <v>4017</v>
      </c>
      <c r="H3521" s="16" t="s">
        <v>220</v>
      </c>
      <c r="I3521" s="16" t="s">
        <v>220</v>
      </c>
    </row>
    <row r="3522" ht="242.25" customHeight="1">
      <c r="A3522" s="32" t="b">
        <v>0</v>
      </c>
      <c r="B3522" s="32" t="str">
        <f>IMAGE("https://gymvisual.com/2322-catalog_default/snatch-pull.jpg",4,500,500)</f>
        <v/>
      </c>
      <c r="C3522" s="30">
        <v>3521.0</v>
      </c>
      <c r="D3522" s="16" t="s">
        <v>4403</v>
      </c>
      <c r="E3522" s="16" t="s">
        <v>184</v>
      </c>
      <c r="F3522" s="16" t="s">
        <v>285</v>
      </c>
      <c r="G3522" s="16" t="s">
        <v>186</v>
      </c>
      <c r="H3522" s="16" t="s">
        <v>4404</v>
      </c>
      <c r="I3522" s="16" t="s">
        <v>220</v>
      </c>
    </row>
    <row r="3523" ht="242.25" customHeight="1">
      <c r="A3523" s="32" t="b">
        <v>0</v>
      </c>
      <c r="B3523" s="32" t="str">
        <f>IMAGE("https://gymvisual.com/2324-catalog_default/spell-caster.jpg",4,500,500)</f>
        <v/>
      </c>
      <c r="C3523" s="30">
        <v>3522.0</v>
      </c>
      <c r="D3523" s="16" t="s">
        <v>4405</v>
      </c>
      <c r="E3523" s="16" t="s">
        <v>184</v>
      </c>
      <c r="F3523" s="16" t="s">
        <v>254</v>
      </c>
      <c r="G3523" s="16" t="s">
        <v>222</v>
      </c>
      <c r="H3523" s="16" t="s">
        <v>260</v>
      </c>
      <c r="I3523" s="16" t="s">
        <v>2577</v>
      </c>
    </row>
    <row r="3524" ht="242.25" customHeight="1">
      <c r="A3524" s="32" t="b">
        <v>0</v>
      </c>
      <c r="B3524" s="32" t="str">
        <f>IMAGE("https://gymvisual.com/17085-catalog_default/spell-caster-female.jpg",4,500,500)</f>
        <v/>
      </c>
      <c r="C3524" s="30">
        <v>3523.0</v>
      </c>
      <c r="D3524" s="16" t="s">
        <v>4406</v>
      </c>
      <c r="E3524" s="16" t="s">
        <v>184</v>
      </c>
      <c r="F3524" s="16" t="s">
        <v>254</v>
      </c>
      <c r="G3524" s="16" t="s">
        <v>222</v>
      </c>
      <c r="H3524" s="16" t="s">
        <v>260</v>
      </c>
      <c r="I3524" s="16" t="s">
        <v>4407</v>
      </c>
    </row>
    <row r="3525" ht="242.25" hidden="1" customHeight="1">
      <c r="B3525" s="32" t="str">
        <f>IMAGE("https://gymvisual.com/19349-catalog_default/spider-crawl-push-up.jpg",4,500,500)</f>
        <v/>
      </c>
      <c r="C3525" s="30">
        <v>3524.0</v>
      </c>
      <c r="D3525" s="16" t="s">
        <v>4408</v>
      </c>
      <c r="E3525" s="16" t="s">
        <v>184</v>
      </c>
      <c r="F3525" s="16" t="s">
        <v>185</v>
      </c>
      <c r="G3525" s="16" t="s">
        <v>255</v>
      </c>
      <c r="H3525" s="16" t="s">
        <v>2845</v>
      </c>
      <c r="I3525" s="16" t="s">
        <v>4409</v>
      </c>
    </row>
    <row r="3526" ht="242.25" hidden="1" customHeight="1">
      <c r="B3526" s="32" t="str">
        <f>IMAGE("https://gymvisual.com/13778-catalog_default/spider-crawl-push-up-female.jpg",4,500,500)</f>
        <v/>
      </c>
      <c r="C3526" s="30">
        <v>3525.0</v>
      </c>
      <c r="D3526" s="16" t="s">
        <v>4410</v>
      </c>
      <c r="E3526" s="16" t="s">
        <v>184</v>
      </c>
      <c r="F3526" s="16" t="s">
        <v>1798</v>
      </c>
      <c r="G3526" s="16" t="s">
        <v>255</v>
      </c>
      <c r="H3526" s="16" t="s">
        <v>4411</v>
      </c>
      <c r="I3526" s="16" t="s">
        <v>220</v>
      </c>
    </row>
    <row r="3527" ht="242.25" hidden="1" customHeight="1">
      <c r="B3527" s="32" t="str">
        <f>IMAGE("https://gymvisual.com/17795-catalog_default/spider-plank-female.jpg",4,500,500)</f>
        <v/>
      </c>
      <c r="C3527" s="30">
        <v>3526.0</v>
      </c>
      <c r="D3527" s="16" t="s">
        <v>4412</v>
      </c>
      <c r="E3527" s="16" t="s">
        <v>184</v>
      </c>
      <c r="F3527" s="16" t="s">
        <v>185</v>
      </c>
      <c r="G3527" s="16" t="s">
        <v>255</v>
      </c>
      <c r="H3527" s="16" t="s">
        <v>220</v>
      </c>
      <c r="I3527" s="16" t="s">
        <v>220</v>
      </c>
    </row>
    <row r="3528" ht="242.25" hidden="1" customHeight="1">
      <c r="B3528" s="32" t="str">
        <f>IMAGE("https://gymvisual.com/10034-catalog_default/spine-twist.jpg",4,500,500)</f>
        <v/>
      </c>
      <c r="C3528" s="30">
        <v>3527.0</v>
      </c>
      <c r="D3528" s="16" t="s">
        <v>4413</v>
      </c>
      <c r="E3528" s="16" t="s">
        <v>184</v>
      </c>
      <c r="F3528" s="16" t="s">
        <v>254</v>
      </c>
      <c r="G3528" s="16" t="s">
        <v>255</v>
      </c>
      <c r="H3528" s="16" t="s">
        <v>257</v>
      </c>
      <c r="I3528" s="16" t="s">
        <v>220</v>
      </c>
    </row>
    <row r="3529" ht="242.25" hidden="1" customHeight="1">
      <c r="B3529" s="32" t="str">
        <f>IMAGE("https://gymvisual.com/16049-catalog_default/split-lateral-squat-with-roll.jpg",4,500,500)</f>
        <v/>
      </c>
      <c r="C3529" s="30">
        <v>3528.0</v>
      </c>
      <c r="D3529" s="16" t="s">
        <v>4414</v>
      </c>
      <c r="E3529" s="16" t="s">
        <v>184</v>
      </c>
      <c r="F3529" s="16" t="s">
        <v>294</v>
      </c>
      <c r="G3529" s="16" t="s">
        <v>255</v>
      </c>
      <c r="H3529" s="16" t="s">
        <v>4415</v>
      </c>
      <c r="I3529" s="16" t="s">
        <v>4416</v>
      </c>
    </row>
    <row r="3530" ht="242.25" hidden="1" customHeight="1">
      <c r="B3530" s="32" t="str">
        <f>IMAGE("https://gymvisual.com/13980-catalog_default/split-sprinter-high-lunge.jpg",4,500,500)</f>
        <v/>
      </c>
      <c r="C3530" s="30">
        <v>3529.0</v>
      </c>
      <c r="D3530" s="16" t="s">
        <v>4417</v>
      </c>
      <c r="E3530" s="16" t="s">
        <v>184</v>
      </c>
      <c r="F3530" s="16" t="s">
        <v>294</v>
      </c>
      <c r="G3530" s="16" t="s">
        <v>255</v>
      </c>
      <c r="H3530" s="16" t="s">
        <v>189</v>
      </c>
      <c r="I3530" s="16" t="s">
        <v>314</v>
      </c>
    </row>
    <row r="3531" ht="242.25" hidden="1" customHeight="1">
      <c r="B3531" s="32" t="str">
        <f>IMAGE("https://gymvisual.com/13978-catalog_default/split-sprinter-low-lunge.jpg",4,500,500)</f>
        <v/>
      </c>
      <c r="C3531" s="30">
        <v>3530.0</v>
      </c>
      <c r="D3531" s="16" t="s">
        <v>4418</v>
      </c>
      <c r="E3531" s="16" t="s">
        <v>184</v>
      </c>
      <c r="F3531" s="16" t="s">
        <v>294</v>
      </c>
      <c r="G3531" s="16" t="s">
        <v>255</v>
      </c>
      <c r="H3531" s="16" t="s">
        <v>189</v>
      </c>
      <c r="I3531" s="16" t="s">
        <v>314</v>
      </c>
    </row>
    <row r="3532" ht="242.25" hidden="1" customHeight="1">
      <c r="B3532" s="32" t="str">
        <f>IMAGE("https://gymvisual.com/2336-catalog_default/split-squat.jpg",4,500,500)</f>
        <v/>
      </c>
      <c r="C3532" s="30">
        <v>3531.0</v>
      </c>
      <c r="D3532" s="16" t="s">
        <v>4419</v>
      </c>
      <c r="E3532" s="16" t="s">
        <v>184</v>
      </c>
      <c r="F3532" s="16" t="s">
        <v>185</v>
      </c>
      <c r="G3532" s="16" t="s">
        <v>255</v>
      </c>
      <c r="H3532" s="16" t="s">
        <v>189</v>
      </c>
      <c r="I3532" s="16" t="s">
        <v>190</v>
      </c>
    </row>
    <row r="3533" ht="242.25" customHeight="1">
      <c r="B3533" s="32" t="str">
        <f>IMAGE("https://gymvisual.com/20676-catalog_default/split-squat-female.jpg",4,500,500)</f>
        <v/>
      </c>
      <c r="C3533" s="30">
        <v>3532.0</v>
      </c>
      <c r="D3533" s="16" t="s">
        <v>4420</v>
      </c>
      <c r="E3533" s="16" t="s">
        <v>184</v>
      </c>
      <c r="F3533" s="16"/>
      <c r="G3533" s="16"/>
      <c r="H3533" s="16" t="s">
        <v>189</v>
      </c>
      <c r="I3533" s="16" t="s">
        <v>190</v>
      </c>
    </row>
    <row r="3534" ht="242.25" hidden="1" customHeight="1">
      <c r="B3534" s="32" t="str">
        <f>IMAGE("https://gymvisual.com/16047-catalog_default/split-squat-with-roll.jpg",4,500,500)</f>
        <v/>
      </c>
      <c r="C3534" s="30">
        <v>3533.0</v>
      </c>
      <c r="D3534" s="16" t="s">
        <v>4421</v>
      </c>
      <c r="E3534" s="16" t="s">
        <v>184</v>
      </c>
      <c r="F3534" s="16" t="s">
        <v>294</v>
      </c>
      <c r="G3534" s="16" t="s">
        <v>255</v>
      </c>
      <c r="H3534" s="16" t="s">
        <v>189</v>
      </c>
      <c r="I3534" s="16" t="s">
        <v>190</v>
      </c>
    </row>
    <row r="3535" ht="242.25" hidden="1" customHeight="1">
      <c r="B3535" s="32" t="str">
        <f>IMAGE("https://gymvisual.com/20658-catalog_default/split-squats.jpg",4,500,500)</f>
        <v/>
      </c>
      <c r="C3535" s="30">
        <v>3534.0</v>
      </c>
      <c r="D3535" s="16" t="s">
        <v>4422</v>
      </c>
      <c r="E3535" s="16" t="s">
        <v>184</v>
      </c>
      <c r="F3535" s="16" t="s">
        <v>294</v>
      </c>
      <c r="G3535" s="16" t="s">
        <v>255</v>
      </c>
      <c r="H3535" s="16" t="s">
        <v>189</v>
      </c>
      <c r="I3535" s="16" t="s">
        <v>190</v>
      </c>
    </row>
    <row r="3536" ht="242.25" hidden="1" customHeight="1">
      <c r="B3536" s="32" t="str">
        <f>IMAGE("https://gymvisual.com/17729-catalog_default/sprinter-crunch.jpg",4,500,500)</f>
        <v/>
      </c>
      <c r="C3536" s="30">
        <v>3535.0</v>
      </c>
      <c r="D3536" s="16" t="s">
        <v>4423</v>
      </c>
      <c r="E3536" s="16" t="s">
        <v>184</v>
      </c>
      <c r="F3536" s="16" t="s">
        <v>254</v>
      </c>
      <c r="G3536" s="16" t="s">
        <v>255</v>
      </c>
      <c r="H3536" s="16" t="s">
        <v>220</v>
      </c>
      <c r="I3536" s="16" t="s">
        <v>220</v>
      </c>
    </row>
    <row r="3537" ht="242.25" hidden="1" customHeight="1">
      <c r="B3537" s="32" t="str">
        <f>IMAGE("https://gymvisual.com/2353-catalog_default/squat.jpg",4,500,500)</f>
        <v/>
      </c>
      <c r="C3537" s="30">
        <v>3536.0</v>
      </c>
      <c r="D3537" s="16" t="s">
        <v>75</v>
      </c>
      <c r="E3537" s="16" t="s">
        <v>184</v>
      </c>
      <c r="F3537" s="16" t="s">
        <v>185</v>
      </c>
      <c r="G3537" s="16" t="s">
        <v>255</v>
      </c>
      <c r="H3537" s="16" t="s">
        <v>189</v>
      </c>
      <c r="I3537" s="16" t="s">
        <v>190</v>
      </c>
    </row>
    <row r="3538" ht="242.25" hidden="1" customHeight="1">
      <c r="B3538" s="32" t="str">
        <f>IMAGE("https://gymvisual.com/2342-catalog_default/squat-arms-overhead.jpg",4,500,500)</f>
        <v/>
      </c>
      <c r="C3538" s="30">
        <v>3537.0</v>
      </c>
      <c r="D3538" s="16" t="s">
        <v>4424</v>
      </c>
      <c r="E3538" s="16" t="s">
        <v>184</v>
      </c>
      <c r="F3538" s="16" t="s">
        <v>285</v>
      </c>
      <c r="G3538" s="16" t="s">
        <v>255</v>
      </c>
      <c r="H3538" s="16" t="s">
        <v>189</v>
      </c>
      <c r="I3538" s="16" t="s">
        <v>190</v>
      </c>
    </row>
    <row r="3539" ht="242.25" hidden="1" customHeight="1">
      <c r="B3539" s="32" t="str">
        <f>IMAGE("https://gymvisual.com/4529-catalog_default/squat-male.jpg",4,500,500)</f>
        <v/>
      </c>
      <c r="C3539" s="30">
        <v>3538.0</v>
      </c>
      <c r="D3539" s="16" t="s">
        <v>4425</v>
      </c>
      <c r="E3539" s="16" t="s">
        <v>184</v>
      </c>
      <c r="F3539" s="16" t="s">
        <v>285</v>
      </c>
      <c r="G3539" s="16" t="s">
        <v>255</v>
      </c>
      <c r="H3539" s="16" t="s">
        <v>189</v>
      </c>
      <c r="I3539" s="16" t="s">
        <v>190</v>
      </c>
    </row>
    <row r="3540" ht="242.25" hidden="1" customHeight="1">
      <c r="B3540" s="32" t="str">
        <f>IMAGE("https://gymvisual.com/2345-catalog_default/squat-with-band.jpg",4,500,500)</f>
        <v/>
      </c>
      <c r="C3540" s="30">
        <v>3539.0</v>
      </c>
      <c r="D3540" s="16" t="s">
        <v>4426</v>
      </c>
      <c r="E3540" s="16" t="s">
        <v>184</v>
      </c>
      <c r="F3540" s="16" t="s">
        <v>285</v>
      </c>
      <c r="G3540" s="16" t="s">
        <v>291</v>
      </c>
      <c r="H3540" s="16" t="s">
        <v>189</v>
      </c>
      <c r="I3540" s="16" t="s">
        <v>190</v>
      </c>
    </row>
    <row r="3541" ht="242.25" hidden="1" customHeight="1">
      <c r="B3541" s="32" t="str">
        <f>IMAGE("https://gymvisual.com/10235-catalog_default/squat-back-wrong-right.jpg",4,500,500)</f>
        <v/>
      </c>
      <c r="C3541" s="30">
        <v>3540.0</v>
      </c>
      <c r="D3541" s="16" t="s">
        <v>4427</v>
      </c>
      <c r="E3541" s="16" t="s">
        <v>184</v>
      </c>
      <c r="F3541" s="16" t="s">
        <v>294</v>
      </c>
      <c r="G3541" s="16" t="s">
        <v>255</v>
      </c>
      <c r="H3541" s="16" t="s">
        <v>220</v>
      </c>
      <c r="I3541" s="16" t="s">
        <v>220</v>
      </c>
    </row>
    <row r="3542" ht="242.25" hidden="1" customHeight="1">
      <c r="B3542" s="32" t="str">
        <f>IMAGE("https://gymvisual.com/17581-catalog_default/squat-hold-calf-raise.jpg",4,500,500)</f>
        <v/>
      </c>
      <c r="C3542" s="30">
        <v>3541.0</v>
      </c>
      <c r="D3542" s="16" t="s">
        <v>4428</v>
      </c>
      <c r="E3542" s="16" t="s">
        <v>184</v>
      </c>
      <c r="F3542" s="16" t="s">
        <v>325</v>
      </c>
      <c r="G3542" s="16" t="s">
        <v>255</v>
      </c>
      <c r="H3542" s="16" t="s">
        <v>368</v>
      </c>
      <c r="I3542" s="16" t="s">
        <v>4429</v>
      </c>
    </row>
    <row r="3543" ht="242.25" customHeight="1">
      <c r="A3543" s="32" t="b">
        <v>0</v>
      </c>
      <c r="B3543" s="32" t="str">
        <f>IMAGE("https://gymvisual.com/2351-catalog_default/squat-jerk.jpg",4,500,500)</f>
        <v/>
      </c>
      <c r="C3543" s="30">
        <v>3542.0</v>
      </c>
      <c r="D3543" s="16" t="s">
        <v>4430</v>
      </c>
      <c r="E3543" s="16" t="s">
        <v>184</v>
      </c>
      <c r="F3543" s="16" t="s">
        <v>285</v>
      </c>
      <c r="G3543" s="16" t="s">
        <v>186</v>
      </c>
      <c r="H3543" s="16" t="s">
        <v>220</v>
      </c>
      <c r="I3543" s="16" t="s">
        <v>220</v>
      </c>
    </row>
    <row r="3544" ht="242.25" customHeight="1">
      <c r="A3544" s="32" t="b">
        <v>0</v>
      </c>
      <c r="B3544" s="32" t="str">
        <f>IMAGE("https://gymvisual.com/12323-catalog_default/squat-mobility-female.jpg",4,500,500)</f>
        <v/>
      </c>
      <c r="C3544" s="30">
        <v>3543.0</v>
      </c>
      <c r="D3544" s="16" t="s">
        <v>4431</v>
      </c>
      <c r="E3544" s="16" t="s">
        <v>184</v>
      </c>
      <c r="F3544" s="16" t="s">
        <v>285</v>
      </c>
      <c r="G3544" s="16" t="s">
        <v>186</v>
      </c>
      <c r="H3544" s="16" t="s">
        <v>189</v>
      </c>
      <c r="I3544" s="16" t="s">
        <v>2046</v>
      </c>
    </row>
    <row r="3545" ht="242.25" customHeight="1">
      <c r="B3545" s="32" t="str">
        <f>IMAGE("https://gymvisual.com/7367-catalog_default/squat-on-bosu-ball.jpg",4,500,500)</f>
        <v/>
      </c>
      <c r="C3545" s="30">
        <v>3544.0</v>
      </c>
      <c r="D3545" s="16" t="s">
        <v>4432</v>
      </c>
      <c r="E3545" s="16" t="s">
        <v>184</v>
      </c>
      <c r="F3545" s="16" t="s">
        <v>285</v>
      </c>
      <c r="G3545" s="16" t="s">
        <v>316</v>
      </c>
      <c r="H3545" s="16" t="s">
        <v>189</v>
      </c>
      <c r="I3545" s="16" t="s">
        <v>190</v>
      </c>
    </row>
    <row r="3546" ht="242.25" hidden="1" customHeight="1">
      <c r="B3546" s="32" t="str">
        <f>IMAGE("https://gymvisual.com/16016-catalog_default/squat-thrust.jpg",4,500,500)</f>
        <v/>
      </c>
      <c r="C3546" s="30">
        <v>3545.0</v>
      </c>
      <c r="D3546" s="16" t="s">
        <v>4433</v>
      </c>
      <c r="E3546" s="16" t="s">
        <v>184</v>
      </c>
      <c r="F3546" s="16" t="s">
        <v>321</v>
      </c>
      <c r="G3546" s="16" t="s">
        <v>255</v>
      </c>
      <c r="H3546" s="16" t="s">
        <v>220</v>
      </c>
      <c r="I3546" s="16" t="s">
        <v>220</v>
      </c>
    </row>
    <row r="3547" ht="242.25" hidden="1" customHeight="1">
      <c r="B3547" s="32" t="str">
        <f>IMAGE("https://gymvisual.com/23571-catalog_default/squat-tip-toe.jpg",4,500,500)</f>
        <v/>
      </c>
      <c r="C3547" s="30">
        <v>3546.0</v>
      </c>
      <c r="D3547" s="16" t="s">
        <v>4434</v>
      </c>
      <c r="E3547" s="16" t="s">
        <v>184</v>
      </c>
      <c r="F3547" s="16" t="s">
        <v>285</v>
      </c>
      <c r="G3547" s="16" t="s">
        <v>255</v>
      </c>
      <c r="H3547" s="16" t="s">
        <v>295</v>
      </c>
      <c r="I3547" s="16" t="s">
        <v>314</v>
      </c>
    </row>
    <row r="3548" ht="242.25" hidden="1" customHeight="1">
      <c r="B3548" s="32" t="str">
        <f>IMAGE("https://gymvisual.com/12365-catalog_default/squats-knee-position.jpg",4,500,500)</f>
        <v/>
      </c>
      <c r="C3548" s="30">
        <v>3547.0</v>
      </c>
      <c r="D3548" s="16" t="s">
        <v>4435</v>
      </c>
      <c r="E3548" s="16" t="s">
        <v>184</v>
      </c>
      <c r="F3548" s="16" t="s">
        <v>285</v>
      </c>
      <c r="G3548" s="16" t="s">
        <v>255</v>
      </c>
      <c r="H3548" s="16" t="s">
        <v>220</v>
      </c>
      <c r="I3548" s="16" t="s">
        <v>220</v>
      </c>
    </row>
    <row r="3549" ht="242.25" customHeight="1">
      <c r="B3549" s="32" t="str">
        <f>IMAGE("https://gymvisual.com/9758-catalog_default/stability-ball-crunch-full-range-hands-behind-head.jpg",4,500,500)</f>
        <v/>
      </c>
      <c r="C3549" s="30">
        <v>3548.0</v>
      </c>
      <c r="D3549" s="16" t="s">
        <v>4436</v>
      </c>
      <c r="E3549" s="16" t="s">
        <v>184</v>
      </c>
      <c r="F3549" s="16" t="s">
        <v>254</v>
      </c>
      <c r="G3549" s="16" t="s">
        <v>399</v>
      </c>
      <c r="H3549" s="16" t="s">
        <v>256</v>
      </c>
      <c r="I3549" s="16" t="s">
        <v>257</v>
      </c>
    </row>
    <row r="3550" ht="242.25" customHeight="1">
      <c r="B3550" s="32" t="str">
        <f>IMAGE("https://gymvisual.com/7370-catalog_default/stability-ball-front-plank.jpg",4,500,500)</f>
        <v/>
      </c>
      <c r="C3550" s="30">
        <v>3549.0</v>
      </c>
      <c r="D3550" s="16" t="s">
        <v>4437</v>
      </c>
      <c r="E3550" s="16" t="s">
        <v>184</v>
      </c>
      <c r="F3550" s="16" t="s">
        <v>254</v>
      </c>
      <c r="G3550" s="16" t="s">
        <v>399</v>
      </c>
      <c r="H3550" s="16" t="s">
        <v>220</v>
      </c>
      <c r="I3550" s="16" t="s">
        <v>220</v>
      </c>
    </row>
    <row r="3551" ht="242.25" customHeight="1">
      <c r="B3551" s="32" t="str">
        <f>IMAGE("https://gymvisual.com/12750-catalog_default/stability-ball-reverse-hyperextension-off-a-bench-female.jpg",4,500,500)</f>
        <v/>
      </c>
      <c r="C3551" s="30">
        <v>3550.0</v>
      </c>
      <c r="D3551" s="16" t="s">
        <v>4438</v>
      </c>
      <c r="E3551" s="16" t="s">
        <v>184</v>
      </c>
      <c r="F3551" s="16" t="s">
        <v>185</v>
      </c>
      <c r="G3551" s="16" t="s">
        <v>399</v>
      </c>
      <c r="H3551" s="16" t="s">
        <v>267</v>
      </c>
      <c r="I3551" s="16" t="s">
        <v>188</v>
      </c>
    </row>
    <row r="3552" ht="242.25" customHeight="1">
      <c r="B3552" s="32" t="str">
        <f>IMAGE("https://gymvisual.com/9757-catalog_default/stability-ball-rollout-female.jpg",4,500,500)</f>
        <v/>
      </c>
      <c r="C3552" s="30">
        <v>3551.0</v>
      </c>
      <c r="D3552" s="16" t="s">
        <v>4439</v>
      </c>
      <c r="E3552" s="16" t="s">
        <v>184</v>
      </c>
      <c r="F3552" s="16" t="s">
        <v>185</v>
      </c>
      <c r="G3552" s="16" t="s">
        <v>399</v>
      </c>
      <c r="H3552" s="16" t="s">
        <v>305</v>
      </c>
      <c r="I3552" s="16" t="s">
        <v>4440</v>
      </c>
    </row>
    <row r="3553" ht="242.25" customHeight="1">
      <c r="B3553" s="32" t="str">
        <f>IMAGE("https://gymvisual.com/9756-catalog_default/stability-ball-rollout-on-knees-female.jpg",4,500,500)</f>
        <v/>
      </c>
      <c r="C3553" s="30">
        <v>3552.0</v>
      </c>
      <c r="D3553" s="16" t="s">
        <v>4441</v>
      </c>
      <c r="E3553" s="16" t="s">
        <v>184</v>
      </c>
      <c r="F3553" s="16" t="s">
        <v>185</v>
      </c>
      <c r="G3553" s="16" t="s">
        <v>399</v>
      </c>
      <c r="H3553" s="16" t="s">
        <v>305</v>
      </c>
      <c r="I3553" s="16" t="s">
        <v>4442</v>
      </c>
    </row>
    <row r="3554" ht="242.25" customHeight="1">
      <c r="B3554" s="32" t="str">
        <f>IMAGE("https://gymvisual.com/12202-catalog_default/stability-ball-rounded-rollout-female.jpg",4,500,500)</f>
        <v/>
      </c>
      <c r="C3554" s="30">
        <v>3553.0</v>
      </c>
      <c r="D3554" s="16" t="s">
        <v>4443</v>
      </c>
      <c r="E3554" s="16" t="s">
        <v>184</v>
      </c>
      <c r="F3554" s="16" t="s">
        <v>254</v>
      </c>
      <c r="G3554" s="16" t="s">
        <v>399</v>
      </c>
      <c r="H3554" s="16" t="s">
        <v>305</v>
      </c>
      <c r="I3554" s="16" t="s">
        <v>1002</v>
      </c>
    </row>
    <row r="3555" ht="242.25" customHeight="1">
      <c r="B3555" s="32" t="str">
        <f>IMAGE("https://gymvisual.com/7337-catalog_default/stability-ball-single-leg-squat.jpg",4,500,500)</f>
        <v/>
      </c>
      <c r="C3555" s="30">
        <v>3554.0</v>
      </c>
      <c r="D3555" s="16" t="s">
        <v>4444</v>
      </c>
      <c r="E3555" s="16" t="s">
        <v>184</v>
      </c>
      <c r="F3555" s="16" t="s">
        <v>285</v>
      </c>
      <c r="G3555" s="16" t="s">
        <v>399</v>
      </c>
      <c r="H3555" s="16" t="s">
        <v>189</v>
      </c>
      <c r="I3555" s="16" t="s">
        <v>190</v>
      </c>
    </row>
    <row r="3556" ht="242.25" hidden="1" customHeight="1">
      <c r="B3556" s="32" t="str">
        <f>IMAGE("https://gymvisual.com/22436-catalog_default/staggered-leg-side-bridge.jpg",4,500,500)</f>
        <v/>
      </c>
      <c r="C3556" s="30">
        <v>3555.0</v>
      </c>
      <c r="D3556" s="16" t="s">
        <v>4445</v>
      </c>
      <c r="E3556" s="16" t="s">
        <v>184</v>
      </c>
      <c r="F3556" s="16" t="s">
        <v>254</v>
      </c>
      <c r="G3556" s="16" t="s">
        <v>255</v>
      </c>
      <c r="H3556" s="16" t="s">
        <v>220</v>
      </c>
      <c r="I3556" s="16" t="s">
        <v>220</v>
      </c>
    </row>
    <row r="3557" ht="242.25" hidden="1" customHeight="1">
      <c r="B3557" s="32" t="str">
        <f>IMAGE("https://gymvisual.com/12394-catalog_default/stair-up-female.jpg",4,500,500)</f>
        <v/>
      </c>
      <c r="C3557" s="30">
        <v>3556.0</v>
      </c>
      <c r="D3557" s="16" t="s">
        <v>4446</v>
      </c>
      <c r="E3557" s="16" t="s">
        <v>184</v>
      </c>
      <c r="F3557" s="16" t="s">
        <v>285</v>
      </c>
      <c r="G3557" s="16" t="s">
        <v>255</v>
      </c>
      <c r="H3557" s="16" t="s">
        <v>189</v>
      </c>
      <c r="I3557" s="16" t="s">
        <v>190</v>
      </c>
    </row>
    <row r="3558" ht="242.25" hidden="1" customHeight="1">
      <c r="B3558" s="32" t="str">
        <f>IMAGE("https://gymvisual.com/24127-catalog_default/standing-ab-twist-female.jpg",4,500,500)</f>
        <v/>
      </c>
      <c r="C3558" s="30">
        <v>3557.0</v>
      </c>
      <c r="D3558" s="16" t="s">
        <v>4447</v>
      </c>
      <c r="E3558" s="16" t="s">
        <v>184</v>
      </c>
      <c r="F3558" s="16" t="s">
        <v>254</v>
      </c>
      <c r="G3558" s="16" t="s">
        <v>255</v>
      </c>
      <c r="H3558" s="16" t="s">
        <v>220</v>
      </c>
      <c r="I3558" s="16" t="s">
        <v>220</v>
      </c>
    </row>
    <row r="3559" ht="242.25" hidden="1" customHeight="1">
      <c r="B3559" s="32" t="str">
        <f>IMAGE("https://gymvisual.com/21024-catalog_default/standing-ab-twist-male.jpg",4,500,500)</f>
        <v/>
      </c>
      <c r="C3559" s="30">
        <v>3558.0</v>
      </c>
      <c r="D3559" s="16" t="s">
        <v>4448</v>
      </c>
      <c r="E3559" s="16" t="s">
        <v>184</v>
      </c>
      <c r="F3559" s="16" t="s">
        <v>254</v>
      </c>
      <c r="G3559" s="16" t="s">
        <v>255</v>
      </c>
      <c r="H3559" s="16" t="s">
        <v>257</v>
      </c>
      <c r="I3559" s="16" t="s">
        <v>256</v>
      </c>
    </row>
    <row r="3560" ht="242.25" hidden="1" customHeight="1">
      <c r="B3560" s="32" t="str">
        <f>IMAGE("https://gymvisual.com/17709-catalog_default/standing-back-extension-and-flexion.jpg",4,500,500)</f>
        <v/>
      </c>
      <c r="C3560" s="30">
        <v>3559.0</v>
      </c>
      <c r="D3560" s="16" t="s">
        <v>4449</v>
      </c>
      <c r="E3560" s="16" t="s">
        <v>184</v>
      </c>
      <c r="F3560" s="16" t="s">
        <v>185</v>
      </c>
      <c r="G3560" s="16" t="s">
        <v>255</v>
      </c>
      <c r="H3560" s="16" t="s">
        <v>220</v>
      </c>
      <c r="I3560" s="16" t="s">
        <v>220</v>
      </c>
    </row>
    <row r="3561" ht="242.25" customHeight="1">
      <c r="A3561" s="32" t="b">
        <v>0</v>
      </c>
      <c r="B3561" s="32" t="str">
        <f>IMAGE("https://gymvisual.com/2356-catalog_default/standing-behind-neck-press.jpg",4,500,500)</f>
        <v/>
      </c>
      <c r="C3561" s="30">
        <v>3560.0</v>
      </c>
      <c r="D3561" s="16" t="s">
        <v>4450</v>
      </c>
      <c r="E3561" s="16" t="s">
        <v>184</v>
      </c>
      <c r="F3561" s="16" t="s">
        <v>228</v>
      </c>
      <c r="G3561" s="16" t="s">
        <v>186</v>
      </c>
      <c r="H3561" s="16" t="s">
        <v>229</v>
      </c>
      <c r="I3561" s="16" t="s">
        <v>230</v>
      </c>
    </row>
    <row r="3562" ht="242.25" hidden="1" customHeight="1">
      <c r="B3562" s="32" t="str">
        <f>IMAGE("https://gymvisual.com/23877-catalog_default/standing-bent-knee-figure-8.jpg",4,500,500)</f>
        <v/>
      </c>
      <c r="C3562" s="30">
        <v>3561.0</v>
      </c>
      <c r="D3562" s="16" t="s">
        <v>4451</v>
      </c>
      <c r="E3562" s="16" t="s">
        <v>184</v>
      </c>
      <c r="F3562" s="16" t="s">
        <v>185</v>
      </c>
      <c r="G3562" s="16" t="s">
        <v>255</v>
      </c>
      <c r="H3562" s="16" t="s">
        <v>3609</v>
      </c>
      <c r="I3562" s="16" t="s">
        <v>1202</v>
      </c>
    </row>
    <row r="3563" ht="242.25" hidden="1" customHeight="1">
      <c r="B3563" s="32" t="str">
        <f>IMAGE("https://gymvisual.com/20682-catalog_default/standing-calf-raise-female.jpg",4,500,500)</f>
        <v/>
      </c>
      <c r="C3563" s="30">
        <v>3562.0</v>
      </c>
      <c r="D3563" s="16" t="s">
        <v>4452</v>
      </c>
      <c r="E3563" s="16" t="s">
        <v>184</v>
      </c>
      <c r="F3563" s="16" t="s">
        <v>325</v>
      </c>
      <c r="G3563" s="16" t="s">
        <v>255</v>
      </c>
      <c r="H3563" s="16" t="s">
        <v>368</v>
      </c>
      <c r="I3563" s="16" t="s">
        <v>463</v>
      </c>
    </row>
    <row r="3564" ht="242.25" hidden="1" customHeight="1">
      <c r="B3564" s="32" t="str">
        <f>IMAGE("https://gymvisual.com/6510-catalog_default/standing-calf-raise-on-a-staircase.jpg",4,500,500)</f>
        <v/>
      </c>
      <c r="C3564" s="30">
        <v>3563.0</v>
      </c>
      <c r="D3564" s="16" t="s">
        <v>4453</v>
      </c>
      <c r="E3564" s="16" t="s">
        <v>184</v>
      </c>
      <c r="F3564" s="16" t="s">
        <v>325</v>
      </c>
      <c r="G3564" s="16" t="s">
        <v>255</v>
      </c>
      <c r="H3564" s="16" t="s">
        <v>368</v>
      </c>
      <c r="I3564" s="16" t="s">
        <v>463</v>
      </c>
    </row>
    <row r="3565" ht="242.25" hidden="1" customHeight="1">
      <c r="B3565" s="32" t="str">
        <f>IMAGE("https://gymvisual.com/10305-catalog_default/standing-calf-raise-on-a-staircase-female.jpg",4,500,500)</f>
        <v/>
      </c>
      <c r="C3565" s="30">
        <v>3564.0</v>
      </c>
      <c r="D3565" s="16" t="s">
        <v>4454</v>
      </c>
      <c r="E3565" s="16" t="s">
        <v>184</v>
      </c>
      <c r="F3565" s="16" t="s">
        <v>325</v>
      </c>
      <c r="G3565" s="16" t="s">
        <v>255</v>
      </c>
      <c r="H3565" s="16" t="s">
        <v>552</v>
      </c>
      <c r="I3565" s="16" t="s">
        <v>463</v>
      </c>
    </row>
    <row r="3566" ht="242.25" hidden="1" customHeight="1">
      <c r="B3566" s="32" t="str">
        <f>IMAGE("https://gymvisual.com/22438-catalog_default/standing-calf-raise-circle.jpg",4,500,500)</f>
        <v/>
      </c>
      <c r="C3566" s="30">
        <v>3565.0</v>
      </c>
      <c r="D3566" s="16" t="s">
        <v>4455</v>
      </c>
      <c r="E3566" s="16" t="s">
        <v>184</v>
      </c>
      <c r="F3566" s="16" t="s">
        <v>325</v>
      </c>
      <c r="G3566" s="16" t="s">
        <v>255</v>
      </c>
      <c r="H3566" s="16" t="s">
        <v>220</v>
      </c>
      <c r="I3566" s="16" t="s">
        <v>220</v>
      </c>
    </row>
    <row r="3567" ht="242.25" hidden="1" customHeight="1">
      <c r="B3567" s="32" t="str">
        <f>IMAGE("https://gymvisual.com/12495-catalog_default/standing-calf-raise-with-support-female.jpg",4,500,500)</f>
        <v/>
      </c>
      <c r="C3567" s="30">
        <v>3566.0</v>
      </c>
      <c r="D3567" s="16" t="s">
        <v>4456</v>
      </c>
      <c r="E3567" s="16" t="s">
        <v>184</v>
      </c>
      <c r="F3567" s="16" t="s">
        <v>325</v>
      </c>
      <c r="G3567" s="16" t="s">
        <v>255</v>
      </c>
      <c r="H3567" s="16" t="s">
        <v>368</v>
      </c>
      <c r="I3567" s="16" t="s">
        <v>463</v>
      </c>
    </row>
    <row r="3568" ht="242.25" customHeight="1">
      <c r="B3568" s="32" t="str">
        <f>IMAGE("https://gymvisual.com/6094-catalog_default/standing-gastrocnemius.jpg",4,500,500)</f>
        <v/>
      </c>
      <c r="C3568" s="30">
        <v>3567.0</v>
      </c>
      <c r="D3568" s="16" t="s">
        <v>4457</v>
      </c>
      <c r="E3568" s="16" t="s">
        <v>184</v>
      </c>
      <c r="F3568" s="16"/>
      <c r="G3568" s="16"/>
      <c r="H3568" s="16" t="s">
        <v>561</v>
      </c>
      <c r="I3568" s="16" t="s">
        <v>220</v>
      </c>
    </row>
    <row r="3569" ht="242.25" hidden="1" customHeight="1">
      <c r="B3569" s="32" t="str">
        <f>IMAGE("https://gymvisual.com/20565-catalog_default/standing-hands-position-pronation-supination-neutral.jpg",4,500,500)</f>
        <v/>
      </c>
      <c r="C3569" s="30">
        <v>3568.0</v>
      </c>
      <c r="D3569" s="16" t="s">
        <v>4458</v>
      </c>
      <c r="E3569" s="16" t="s">
        <v>184</v>
      </c>
      <c r="F3569" s="16" t="s">
        <v>214</v>
      </c>
      <c r="G3569" s="16" t="s">
        <v>255</v>
      </c>
      <c r="H3569" s="16" t="s">
        <v>220</v>
      </c>
      <c r="I3569" s="16" t="s">
        <v>220</v>
      </c>
    </row>
    <row r="3570" ht="242.25" hidden="1" customHeight="1">
      <c r="B3570" s="32" t="str">
        <f>IMAGE("https://gymvisual.com/2365-catalog_default/standing-hip-abduction.jpg",4,500,500)</f>
        <v/>
      </c>
      <c r="C3570" s="30">
        <v>3569.0</v>
      </c>
      <c r="D3570" s="16" t="s">
        <v>4459</v>
      </c>
      <c r="E3570" s="16" t="s">
        <v>184</v>
      </c>
      <c r="F3570" s="16" t="s">
        <v>185</v>
      </c>
      <c r="G3570" s="16" t="s">
        <v>255</v>
      </c>
      <c r="H3570" s="16" t="s">
        <v>508</v>
      </c>
      <c r="I3570" s="16" t="s">
        <v>220</v>
      </c>
    </row>
    <row r="3571" ht="242.25" hidden="1" customHeight="1">
      <c r="B3571" s="32" t="str">
        <f>IMAGE("https://gymvisual.com/2362-catalog_default/standing-hip-abduction-bent-knee.jpg",4,500,500)</f>
        <v/>
      </c>
      <c r="C3571" s="30">
        <v>3570.0</v>
      </c>
      <c r="D3571" s="16" t="s">
        <v>4460</v>
      </c>
      <c r="E3571" s="16" t="s">
        <v>184</v>
      </c>
      <c r="F3571" s="16" t="s">
        <v>185</v>
      </c>
      <c r="G3571" s="16" t="s">
        <v>255</v>
      </c>
      <c r="H3571" s="16" t="s">
        <v>508</v>
      </c>
      <c r="I3571" s="16" t="s">
        <v>220</v>
      </c>
    </row>
    <row r="3572" ht="242.25" hidden="1" customHeight="1">
      <c r="B3572" s="32" t="str">
        <f>IMAGE("https://gymvisual.com/23935-catalog_default/standing-hip-adduction-version-2.jpg",4,500,500)</f>
        <v/>
      </c>
      <c r="C3572" s="30">
        <v>3571.0</v>
      </c>
      <c r="D3572" s="16" t="s">
        <v>4461</v>
      </c>
      <c r="E3572" s="16" t="s">
        <v>184</v>
      </c>
      <c r="F3572" s="16" t="s">
        <v>185</v>
      </c>
      <c r="G3572" s="16" t="s">
        <v>255</v>
      </c>
      <c r="H3572" s="16" t="s">
        <v>514</v>
      </c>
      <c r="I3572" s="16" t="s">
        <v>515</v>
      </c>
    </row>
    <row r="3573" ht="242.25" hidden="1" customHeight="1">
      <c r="B3573" s="32" t="str">
        <f>IMAGE("https://gymvisual.com/2368-catalog_default/standing-hip-extension-bent-knee.jpg",4,500,500)</f>
        <v/>
      </c>
      <c r="C3573" s="30">
        <v>3572.0</v>
      </c>
      <c r="D3573" s="16" t="s">
        <v>4462</v>
      </c>
      <c r="E3573" s="16" t="s">
        <v>184</v>
      </c>
      <c r="F3573" s="16" t="s">
        <v>185</v>
      </c>
      <c r="G3573" s="16" t="s">
        <v>255</v>
      </c>
      <c r="H3573" s="16" t="s">
        <v>187</v>
      </c>
      <c r="I3573" s="16" t="s">
        <v>188</v>
      </c>
    </row>
    <row r="3574" ht="242.25" hidden="1" customHeight="1">
      <c r="B3574" s="32" t="str">
        <f>IMAGE("https://gymvisual.com/10902-catalog_default/standing-hip-extension-straight-leg-female.jpg",4,500,500)</f>
        <v/>
      </c>
      <c r="C3574" s="30">
        <v>3573.0</v>
      </c>
      <c r="D3574" s="16" t="s">
        <v>4463</v>
      </c>
      <c r="E3574" s="16" t="s">
        <v>184</v>
      </c>
      <c r="F3574" s="16" t="s">
        <v>185</v>
      </c>
      <c r="G3574" s="16" t="s">
        <v>255</v>
      </c>
      <c r="H3574" s="16" t="s">
        <v>187</v>
      </c>
      <c r="I3574" s="16" t="s">
        <v>188</v>
      </c>
    </row>
    <row r="3575" ht="242.25" hidden="1" customHeight="1">
      <c r="B3575" s="32" t="str">
        <f>IMAGE("https://gymvisual.com/2371-catalog_default/standing-lateral-raise-with-band.jpg",4,500,500)</f>
        <v/>
      </c>
      <c r="C3575" s="30">
        <v>3574.0</v>
      </c>
      <c r="D3575" s="16" t="s">
        <v>4464</v>
      </c>
      <c r="E3575" s="16" t="s">
        <v>184</v>
      </c>
      <c r="F3575" s="16" t="s">
        <v>228</v>
      </c>
      <c r="G3575" s="16" t="s">
        <v>291</v>
      </c>
      <c r="H3575" s="16" t="s">
        <v>229</v>
      </c>
      <c r="I3575" s="16" t="s">
        <v>244</v>
      </c>
    </row>
    <row r="3576" ht="242.25" hidden="1" customHeight="1">
      <c r="B3576" s="32" t="str">
        <f>IMAGE("https://gymvisual.com/19941-catalog_default/standing-leg-circle.jpg",4,500,500)</f>
        <v/>
      </c>
      <c r="C3576" s="30">
        <v>3575.0</v>
      </c>
      <c r="D3576" s="16" t="s">
        <v>4465</v>
      </c>
      <c r="E3576" s="16" t="s">
        <v>184</v>
      </c>
      <c r="F3576" s="16" t="s">
        <v>185</v>
      </c>
      <c r="G3576" s="16" t="s">
        <v>255</v>
      </c>
      <c r="H3576" s="16" t="s">
        <v>2066</v>
      </c>
      <c r="I3576" s="16" t="s">
        <v>220</v>
      </c>
    </row>
    <row r="3577" ht="242.25" hidden="1" customHeight="1">
      <c r="B3577" s="32" t="str">
        <f>IMAGE("https://gymvisual.com/19429-catalog_default/standing-leg-slide-with-towel.jpg",4,500,500)</f>
        <v/>
      </c>
      <c r="C3577" s="30">
        <v>3576.0</v>
      </c>
      <c r="D3577" s="16" t="s">
        <v>4466</v>
      </c>
      <c r="E3577" s="16" t="s">
        <v>184</v>
      </c>
      <c r="F3577" s="16" t="s">
        <v>285</v>
      </c>
      <c r="G3577" s="16" t="s">
        <v>255</v>
      </c>
      <c r="H3577" s="16" t="s">
        <v>220</v>
      </c>
      <c r="I3577" s="16" t="s">
        <v>220</v>
      </c>
    </row>
    <row r="3578" ht="242.25" customHeight="1">
      <c r="B3578" s="32" t="str">
        <f>IMAGE("https://gymvisual.com/4596-catalog_default/standing-plate-presses.jpg",4,500,500)</f>
        <v/>
      </c>
      <c r="C3578" s="30">
        <v>3577.0</v>
      </c>
      <c r="D3578" s="16" t="s">
        <v>4467</v>
      </c>
      <c r="E3578" s="16" t="s">
        <v>184</v>
      </c>
      <c r="F3578" s="16" t="s">
        <v>228</v>
      </c>
      <c r="G3578" s="16" t="s">
        <v>396</v>
      </c>
      <c r="H3578" s="16" t="s">
        <v>229</v>
      </c>
      <c r="I3578" s="16" t="s">
        <v>2400</v>
      </c>
    </row>
    <row r="3579" ht="242.25" hidden="1" customHeight="1">
      <c r="B3579" s="32" t="str">
        <f>IMAGE("https://gymvisual.com/18856-catalog_default/standing-side-bend-bent-arm-male.jpg",4,500,500)</f>
        <v/>
      </c>
      <c r="C3579" s="30">
        <v>3578.0</v>
      </c>
      <c r="D3579" s="16" t="s">
        <v>4468</v>
      </c>
      <c r="E3579" s="16" t="s">
        <v>184</v>
      </c>
      <c r="F3579" s="16" t="s">
        <v>254</v>
      </c>
      <c r="G3579" s="16" t="s">
        <v>255</v>
      </c>
      <c r="H3579" s="16" t="s">
        <v>257</v>
      </c>
      <c r="I3579" s="16" t="s">
        <v>271</v>
      </c>
    </row>
    <row r="3580" ht="242.25" hidden="1" customHeight="1">
      <c r="B3580" s="32" t="str">
        <f>IMAGE("https://gymvisual.com/22728-catalog_default/standing-side-bend-bent-arm-male.jpg",4,500,500)</f>
        <v/>
      </c>
      <c r="C3580" s="30">
        <v>3579.0</v>
      </c>
      <c r="D3580" s="16" t="s">
        <v>4468</v>
      </c>
      <c r="E3580" s="16" t="s">
        <v>184</v>
      </c>
      <c r="F3580" s="16" t="s">
        <v>254</v>
      </c>
      <c r="G3580" s="16" t="s">
        <v>255</v>
      </c>
      <c r="H3580" s="16" t="s">
        <v>257</v>
      </c>
      <c r="I3580" s="16" t="s">
        <v>271</v>
      </c>
    </row>
    <row r="3581" ht="242.25" hidden="1" customHeight="1">
      <c r="B3581" s="32" t="str">
        <f>IMAGE("https://gymvisual.com/23663-catalog_default/standing-side-bend-version-2-female.jpg",4,500,500)</f>
        <v/>
      </c>
      <c r="C3581" s="30">
        <v>3580.0</v>
      </c>
      <c r="D3581" s="16" t="s">
        <v>4469</v>
      </c>
      <c r="E3581" s="16" t="s">
        <v>184</v>
      </c>
      <c r="F3581" s="16" t="s">
        <v>254</v>
      </c>
      <c r="G3581" s="16" t="s">
        <v>255</v>
      </c>
      <c r="H3581" s="16" t="s">
        <v>257</v>
      </c>
      <c r="I3581" s="16" t="s">
        <v>271</v>
      </c>
    </row>
    <row r="3582" ht="242.25" hidden="1" customHeight="1">
      <c r="B3582" s="32" t="str">
        <f>IMAGE("https://gymvisual.com/23573-catalog_default/standing-side-leg-raise.jpg",4,500,500)</f>
        <v/>
      </c>
      <c r="C3582" s="30">
        <v>3581.0</v>
      </c>
      <c r="D3582" s="16" t="s">
        <v>4470</v>
      </c>
      <c r="E3582" s="16" t="s">
        <v>184</v>
      </c>
      <c r="F3582" s="16" t="s">
        <v>185</v>
      </c>
      <c r="G3582" s="16" t="s">
        <v>255</v>
      </c>
      <c r="H3582" s="16" t="s">
        <v>4011</v>
      </c>
      <c r="I3582" s="16" t="s">
        <v>296</v>
      </c>
    </row>
    <row r="3583" ht="242.25" hidden="1" customHeight="1">
      <c r="B3583" s="32" t="str">
        <f>IMAGE("https://gymvisual.com/20090-catalog_default/standing-single-leg-calf-raise-on-a-staircase.jpg",4,500,500)</f>
        <v/>
      </c>
      <c r="C3583" s="30">
        <v>3582.0</v>
      </c>
      <c r="D3583" s="16" t="s">
        <v>4471</v>
      </c>
      <c r="E3583" s="16" t="s">
        <v>184</v>
      </c>
      <c r="F3583" s="16" t="s">
        <v>325</v>
      </c>
      <c r="G3583" s="16" t="s">
        <v>255</v>
      </c>
      <c r="H3583" s="16" t="s">
        <v>368</v>
      </c>
      <c r="I3583" s="16" t="s">
        <v>463</v>
      </c>
    </row>
    <row r="3584" ht="242.25" hidden="1" customHeight="1">
      <c r="B3584" s="32" t="str">
        <f>IMAGE("https://gymvisual.com/22317-catalog_default/standing-single-leg-calf-raise-balance.jpg",4,500,500)</f>
        <v/>
      </c>
      <c r="C3584" s="30">
        <v>3583.0</v>
      </c>
      <c r="D3584" s="16" t="s">
        <v>4472</v>
      </c>
      <c r="E3584" s="16" t="s">
        <v>184</v>
      </c>
      <c r="F3584" s="16" t="s">
        <v>325</v>
      </c>
      <c r="G3584" s="16" t="s">
        <v>255</v>
      </c>
      <c r="H3584" s="16" t="s">
        <v>220</v>
      </c>
      <c r="I3584" s="16" t="s">
        <v>220</v>
      </c>
    </row>
    <row r="3585" ht="242.25" hidden="1" customHeight="1">
      <c r="B3585" s="32" t="str">
        <f>IMAGE("https://gymvisual.com/16038-catalog_default/standing-single-leg-calf-raise-with-support-female.jpg",4,500,500)</f>
        <v/>
      </c>
      <c r="C3585" s="30">
        <v>3584.0</v>
      </c>
      <c r="D3585" s="16" t="s">
        <v>4473</v>
      </c>
      <c r="E3585" s="16" t="s">
        <v>184</v>
      </c>
      <c r="F3585" s="16" t="s">
        <v>325</v>
      </c>
      <c r="G3585" s="16" t="s">
        <v>255</v>
      </c>
      <c r="H3585" s="16" t="s">
        <v>368</v>
      </c>
      <c r="I3585" s="16" t="s">
        <v>463</v>
      </c>
    </row>
    <row r="3586" ht="242.25" hidden="1" customHeight="1">
      <c r="B3586" s="32" t="str">
        <f>IMAGE("https://gymvisual.com/20495-catalog_default/standing-single-leg-curl.jpg",4,500,500)</f>
        <v/>
      </c>
      <c r="C3586" s="30">
        <v>3585.0</v>
      </c>
      <c r="D3586" s="16" t="s">
        <v>4474</v>
      </c>
      <c r="E3586" s="16" t="s">
        <v>184</v>
      </c>
      <c r="F3586" s="16" t="s">
        <v>285</v>
      </c>
      <c r="G3586" s="16" t="s">
        <v>255</v>
      </c>
      <c r="H3586" s="16" t="s">
        <v>188</v>
      </c>
      <c r="I3586" s="16" t="s">
        <v>368</v>
      </c>
    </row>
    <row r="3587" ht="242.25" hidden="1" customHeight="1">
      <c r="B3587" s="32" t="str">
        <f>IMAGE("https://gymvisual.com/22783-catalog_default/standing-single-leg-high-knee-to-butt-kick-with-support.jpg",4,500,500)</f>
        <v/>
      </c>
      <c r="C3587" s="30">
        <v>3586.0</v>
      </c>
      <c r="D3587" s="16" t="s">
        <v>4475</v>
      </c>
      <c r="E3587" s="16" t="s">
        <v>184</v>
      </c>
      <c r="F3587" s="16" t="s">
        <v>185</v>
      </c>
      <c r="G3587" s="16" t="s">
        <v>255</v>
      </c>
      <c r="H3587" s="16" t="s">
        <v>4476</v>
      </c>
      <c r="I3587" s="16" t="s">
        <v>1115</v>
      </c>
    </row>
    <row r="3588" ht="242.25" customHeight="1">
      <c r="B3588" s="32" t="str">
        <f>IMAGE("https://gymvisual.com/2380-catalog_default/standing-wheel-rollout.jpg",4,500,500)</f>
        <v/>
      </c>
      <c r="C3588" s="30">
        <v>3587.0</v>
      </c>
      <c r="D3588" s="16" t="s">
        <v>4477</v>
      </c>
      <c r="E3588" s="16" t="s">
        <v>184</v>
      </c>
      <c r="F3588" s="16" t="s">
        <v>254</v>
      </c>
      <c r="G3588" s="16" t="s">
        <v>4478</v>
      </c>
      <c r="H3588" s="16" t="s">
        <v>305</v>
      </c>
      <c r="I3588" s="16" t="s">
        <v>1005</v>
      </c>
    </row>
    <row r="3589" ht="242.25" hidden="1" customHeight="1">
      <c r="B3589" s="32" t="str">
        <f>IMAGE("https://gymvisual.com/18860-catalog_default/standing-wheel-rollout-female.jpg",4,500,500)</f>
        <v/>
      </c>
      <c r="C3589" s="30">
        <v>3588.0</v>
      </c>
      <c r="D3589" s="16" t="s">
        <v>4479</v>
      </c>
      <c r="E3589" s="16" t="s">
        <v>184</v>
      </c>
      <c r="F3589" s="16" t="s">
        <v>254</v>
      </c>
      <c r="G3589" s="16" t="s">
        <v>255</v>
      </c>
      <c r="H3589" s="16" t="s">
        <v>305</v>
      </c>
      <c r="I3589" s="16" t="s">
        <v>1005</v>
      </c>
    </row>
    <row r="3590" ht="242.25" hidden="1" customHeight="1">
      <c r="B3590" s="32" t="str">
        <f>IMAGE("https://gymvisual.com/12080-catalog_default/starfish-crunch-advanced-female.jpg",4,500,500)</f>
        <v/>
      </c>
      <c r="C3590" s="30">
        <v>3589.0</v>
      </c>
      <c r="D3590" s="16" t="s">
        <v>4480</v>
      </c>
      <c r="E3590" s="16" t="s">
        <v>184</v>
      </c>
      <c r="F3590" s="16" t="s">
        <v>254</v>
      </c>
      <c r="G3590" s="16" t="s">
        <v>255</v>
      </c>
      <c r="H3590" s="16" t="s">
        <v>220</v>
      </c>
      <c r="I3590" s="16" t="s">
        <v>220</v>
      </c>
    </row>
    <row r="3591" ht="242.25" hidden="1" customHeight="1">
      <c r="B3591" s="32" t="str">
        <f>IMAGE("https://gymvisual.com/12079-catalog_default/starfish-crunch-beginner-female.jpg",4,500,500)</f>
        <v/>
      </c>
      <c r="C3591" s="30">
        <v>3590.0</v>
      </c>
      <c r="D3591" s="16" t="s">
        <v>4481</v>
      </c>
      <c r="E3591" s="16" t="s">
        <v>184</v>
      </c>
      <c r="F3591" s="16" t="s">
        <v>254</v>
      </c>
      <c r="G3591" s="16" t="s">
        <v>255</v>
      </c>
      <c r="H3591" s="16" t="s">
        <v>263</v>
      </c>
      <c r="I3591" s="16" t="s">
        <v>4482</v>
      </c>
    </row>
    <row r="3592" ht="242.25" hidden="1" customHeight="1">
      <c r="B3592" s="32" t="str">
        <f>IMAGE("https://gymvisual.com/17701-catalog_default/starfish-crunch-beginner-male.jpg",4,500,500)</f>
        <v/>
      </c>
      <c r="C3592" s="30">
        <v>3591.0</v>
      </c>
      <c r="D3592" s="16" t="s">
        <v>4483</v>
      </c>
      <c r="E3592" s="16" t="s">
        <v>184</v>
      </c>
      <c r="F3592" s="16" t="s">
        <v>254</v>
      </c>
      <c r="G3592" s="16" t="s">
        <v>255</v>
      </c>
      <c r="H3592" s="16" t="s">
        <v>263</v>
      </c>
      <c r="I3592" s="16" t="s">
        <v>4484</v>
      </c>
    </row>
    <row r="3593" ht="242.25" hidden="1" customHeight="1">
      <c r="B3593" s="32" t="str">
        <f>IMAGE("https://gymvisual.com/22730-catalog_default/static-lunge.jpg",4,500,500)</f>
        <v/>
      </c>
      <c r="C3593" s="30">
        <v>3592.0</v>
      </c>
      <c r="D3593" s="16" t="s">
        <v>4485</v>
      </c>
      <c r="E3593" s="16" t="s">
        <v>184</v>
      </c>
      <c r="F3593" s="16" t="s">
        <v>285</v>
      </c>
      <c r="G3593" s="16" t="s">
        <v>255</v>
      </c>
      <c r="H3593" s="16" t="s">
        <v>189</v>
      </c>
      <c r="I3593" s="16" t="s">
        <v>4486</v>
      </c>
    </row>
    <row r="3594" ht="242.25" hidden="1" customHeight="1">
      <c r="B3594" s="32" t="str">
        <f>IMAGE("https://gymvisual.com/23683-catalog_default/stationary-arms-throw.jpg",4,500,500)</f>
        <v/>
      </c>
      <c r="C3594" s="30">
        <v>3593.0</v>
      </c>
      <c r="D3594" s="16" t="s">
        <v>4487</v>
      </c>
      <c r="E3594" s="16" t="s">
        <v>184</v>
      </c>
      <c r="F3594" s="16" t="s">
        <v>192</v>
      </c>
      <c r="G3594" s="16" t="s">
        <v>255</v>
      </c>
      <c r="H3594" s="16" t="s">
        <v>300</v>
      </c>
      <c r="I3594" s="16" t="s">
        <v>4309</v>
      </c>
    </row>
    <row r="3595" ht="242.25" hidden="1" customHeight="1">
      <c r="B3595" s="32" t="str">
        <f>IMAGE("https://gymvisual.com/18919-catalog_default/step-up.jpg",4,500,500)</f>
        <v/>
      </c>
      <c r="C3595" s="30">
        <v>3594.0</v>
      </c>
      <c r="D3595" s="16" t="s">
        <v>4488</v>
      </c>
      <c r="E3595" s="16" t="s">
        <v>184</v>
      </c>
      <c r="F3595" s="16" t="s">
        <v>185</v>
      </c>
      <c r="G3595" s="16" t="s">
        <v>255</v>
      </c>
      <c r="H3595" s="16" t="s">
        <v>189</v>
      </c>
      <c r="I3595" s="16" t="s">
        <v>2046</v>
      </c>
    </row>
    <row r="3596" ht="242.25" customHeight="1">
      <c r="B3596" s="32" t="str">
        <f>IMAGE("https://gymvisual.com/13910-catalog_default/step-up-on-chair.jpg",4,500,500)</f>
        <v/>
      </c>
      <c r="C3596" s="30">
        <v>3595.0</v>
      </c>
      <c r="D3596" s="16" t="s">
        <v>4489</v>
      </c>
      <c r="E3596" s="16" t="s">
        <v>184</v>
      </c>
      <c r="F3596" s="16"/>
      <c r="G3596" s="16"/>
      <c r="H3596" s="16" t="s">
        <v>189</v>
      </c>
      <c r="I3596" s="16" t="s">
        <v>2046</v>
      </c>
    </row>
    <row r="3597" ht="242.25" hidden="1" customHeight="1">
      <c r="B3597" s="32" t="str">
        <f>IMAGE("https://gymvisual.com/18726-catalog_default/stepdown-squat.jpg",4,500,500)</f>
        <v/>
      </c>
      <c r="C3597" s="30">
        <v>3596.0</v>
      </c>
      <c r="D3597" s="16" t="s">
        <v>4490</v>
      </c>
      <c r="E3597" s="16" t="s">
        <v>184</v>
      </c>
      <c r="F3597" s="16" t="s">
        <v>285</v>
      </c>
      <c r="G3597" s="16" t="s">
        <v>255</v>
      </c>
      <c r="H3597" s="16" t="s">
        <v>220</v>
      </c>
      <c r="I3597" s="16" t="s">
        <v>220</v>
      </c>
    </row>
    <row r="3598" ht="242.25" hidden="1" customHeight="1">
      <c r="B3598" s="32" t="str">
        <f>IMAGE("https://gymvisual.com/22365-catalog_default/straight-leg-dead-bug.jpg",4,500,500)</f>
        <v/>
      </c>
      <c r="C3598" s="30">
        <v>3597.0</v>
      </c>
      <c r="D3598" s="16" t="s">
        <v>4491</v>
      </c>
      <c r="E3598" s="16" t="s">
        <v>184</v>
      </c>
      <c r="F3598" s="16" t="s">
        <v>254</v>
      </c>
      <c r="G3598" s="16" t="s">
        <v>255</v>
      </c>
      <c r="H3598" s="16" t="s">
        <v>220</v>
      </c>
      <c r="I3598" s="16" t="s">
        <v>220</v>
      </c>
    </row>
    <row r="3599" ht="242.25" hidden="1" customHeight="1">
      <c r="B3599" s="32" t="str">
        <f>IMAGE("https://gymvisual.com/18724-catalog_default/straight-leg-hip-bridge.jpg",4,500,500)</f>
        <v/>
      </c>
      <c r="C3599" s="30">
        <v>3598.0</v>
      </c>
      <c r="D3599" s="16" t="s">
        <v>4492</v>
      </c>
      <c r="E3599" s="16" t="s">
        <v>184</v>
      </c>
      <c r="F3599" s="16" t="s">
        <v>185</v>
      </c>
      <c r="G3599" s="16" t="s">
        <v>255</v>
      </c>
      <c r="H3599" s="16" t="s">
        <v>220</v>
      </c>
      <c r="I3599" s="16" t="s">
        <v>220</v>
      </c>
    </row>
    <row r="3600" ht="242.25" hidden="1" customHeight="1">
      <c r="B3600" s="32" t="str">
        <f>IMAGE("https://gymvisual.com/6421-catalog_default/straight-leg-kickback-kneeling.jpg",4,500,500)</f>
        <v/>
      </c>
      <c r="C3600" s="30">
        <v>3599.0</v>
      </c>
      <c r="D3600" s="16" t="s">
        <v>4493</v>
      </c>
      <c r="E3600" s="16" t="s">
        <v>184</v>
      </c>
      <c r="F3600" s="16" t="s">
        <v>185</v>
      </c>
      <c r="G3600" s="16" t="s">
        <v>255</v>
      </c>
      <c r="H3600" s="16" t="s">
        <v>187</v>
      </c>
      <c r="I3600" s="16" t="s">
        <v>188</v>
      </c>
    </row>
    <row r="3601" ht="242.25" hidden="1" customHeight="1">
      <c r="B3601" s="32" t="str">
        <f>IMAGE("https://gymvisual.com/13497-catalog_default/straight-leg-kickback-kneeling-male.jpg",4,500,500)</f>
        <v/>
      </c>
      <c r="C3601" s="30">
        <v>3600.0</v>
      </c>
      <c r="D3601" s="16" t="s">
        <v>4494</v>
      </c>
      <c r="E3601" s="16" t="s">
        <v>184</v>
      </c>
      <c r="F3601" s="16" t="s">
        <v>185</v>
      </c>
      <c r="G3601" s="16" t="s">
        <v>255</v>
      </c>
      <c r="H3601" s="16" t="s">
        <v>187</v>
      </c>
      <c r="I3601" s="16" t="s">
        <v>188</v>
      </c>
    </row>
    <row r="3602" ht="242.25" hidden="1" customHeight="1">
      <c r="B3602" s="32" t="str">
        <f>IMAGE("https://gymvisual.com/6279-catalog_default/straight-leg-outer-hip-abductor.jpg",4,500,500)</f>
        <v/>
      </c>
      <c r="C3602" s="30">
        <v>3601.0</v>
      </c>
      <c r="D3602" s="16" t="s">
        <v>4495</v>
      </c>
      <c r="E3602" s="16" t="s">
        <v>184</v>
      </c>
      <c r="F3602" s="16" t="s">
        <v>185</v>
      </c>
      <c r="G3602" s="16" t="s">
        <v>255</v>
      </c>
      <c r="H3602" s="16" t="s">
        <v>508</v>
      </c>
      <c r="I3602" s="16" t="s">
        <v>220</v>
      </c>
    </row>
    <row r="3603" ht="242.25" hidden="1" customHeight="1">
      <c r="B3603" s="32" t="str">
        <f>IMAGE("https://gymvisual.com/22734-catalog_default/straight-leg-sit-up.jpg",4,500,500)</f>
        <v/>
      </c>
      <c r="C3603" s="30">
        <v>3602.0</v>
      </c>
      <c r="D3603" s="16" t="s">
        <v>4496</v>
      </c>
      <c r="E3603" s="16" t="s">
        <v>184</v>
      </c>
      <c r="F3603" s="16" t="s">
        <v>254</v>
      </c>
      <c r="G3603" s="16" t="s">
        <v>255</v>
      </c>
      <c r="H3603" s="16" t="s">
        <v>305</v>
      </c>
      <c r="I3603" s="16" t="s">
        <v>600</v>
      </c>
    </row>
    <row r="3604" ht="242.25" hidden="1" customHeight="1">
      <c r="B3604" s="32" t="str">
        <f>IMAGE("https://gymvisual.com/22833-catalog_default/straight-leg-sit-up-female.jpg",4,500,500)</f>
        <v/>
      </c>
      <c r="C3604" s="30">
        <v>3603.0</v>
      </c>
      <c r="D3604" s="16" t="s">
        <v>4497</v>
      </c>
      <c r="E3604" s="16" t="s">
        <v>184</v>
      </c>
      <c r="F3604" s="16" t="s">
        <v>254</v>
      </c>
      <c r="G3604" s="16" t="s">
        <v>255</v>
      </c>
      <c r="H3604" s="16" t="s">
        <v>305</v>
      </c>
      <c r="I3604" s="16" t="s">
        <v>319</v>
      </c>
    </row>
    <row r="3605" ht="242.25" customHeight="1">
      <c r="B3605" s="32" t="str">
        <f>IMAGE("https://gymvisual.com/10888-catalog_default/strongman-apollons-axle.jpg",4,500,500)</f>
        <v/>
      </c>
      <c r="C3605" s="30">
        <v>3604.0</v>
      </c>
      <c r="D3605" s="16" t="s">
        <v>4498</v>
      </c>
      <c r="E3605" s="16" t="s">
        <v>184</v>
      </c>
      <c r="F3605" s="16"/>
      <c r="G3605" s="16"/>
      <c r="H3605" s="16" t="s">
        <v>220</v>
      </c>
      <c r="I3605" s="16" t="s">
        <v>220</v>
      </c>
    </row>
    <row r="3606" ht="242.25" hidden="1" customHeight="1">
      <c r="B3606" s="32" t="str">
        <f>IMAGE("https://gymvisual.com/10816-catalog_default/strongman-arm-over-arm.jpg",4,500,500)</f>
        <v/>
      </c>
      <c r="C3606" s="30">
        <v>3605.0</v>
      </c>
      <c r="D3606" s="16" t="s">
        <v>4499</v>
      </c>
      <c r="E3606" s="16" t="s">
        <v>184</v>
      </c>
      <c r="F3606" s="16" t="s">
        <v>764</v>
      </c>
      <c r="G3606" s="16" t="s">
        <v>255</v>
      </c>
      <c r="H3606" s="16" t="s">
        <v>220</v>
      </c>
      <c r="I3606" s="16" t="s">
        <v>220</v>
      </c>
    </row>
    <row r="3607" ht="242.25" customHeight="1">
      <c r="B3607" s="32" t="str">
        <f>IMAGE("https://gymvisual.com/10861-catalog_default/strongman-atlas-stones.jpg",4,500,500)</f>
        <v/>
      </c>
      <c r="C3607" s="30">
        <v>3606.0</v>
      </c>
      <c r="D3607" s="16" t="s">
        <v>4500</v>
      </c>
      <c r="E3607" s="16" t="s">
        <v>184</v>
      </c>
      <c r="F3607" s="16" t="s">
        <v>645</v>
      </c>
      <c r="G3607" s="16" t="s">
        <v>396</v>
      </c>
      <c r="H3607" s="16" t="s">
        <v>220</v>
      </c>
      <c r="I3607" s="16" t="s">
        <v>220</v>
      </c>
    </row>
    <row r="3608" ht="242.25" customHeight="1">
      <c r="A3608" s="32" t="b">
        <v>0</v>
      </c>
      <c r="B3608" s="32" t="str">
        <f>IMAGE("https://gymvisual.com/10891-catalog_default/strongman-barbell-farmers-walk.jpg",4,500,500)</f>
        <v/>
      </c>
      <c r="C3608" s="30">
        <v>3607.0</v>
      </c>
      <c r="D3608" s="16" t="s">
        <v>4501</v>
      </c>
      <c r="E3608" s="16" t="s">
        <v>184</v>
      </c>
      <c r="F3608" s="16" t="s">
        <v>285</v>
      </c>
      <c r="G3608" s="16" t="s">
        <v>186</v>
      </c>
      <c r="H3608" s="16" t="s">
        <v>220</v>
      </c>
      <c r="I3608" s="16" t="s">
        <v>220</v>
      </c>
    </row>
    <row r="3609" ht="242.25" customHeight="1">
      <c r="B3609" s="32" t="str">
        <f>IMAGE("https://gymvisual.com/13563-catalog_default/strongman-car-flip.jpg",4,500,500)</f>
        <v/>
      </c>
      <c r="C3609" s="30">
        <v>3608.0</v>
      </c>
      <c r="D3609" s="16" t="s">
        <v>4502</v>
      </c>
      <c r="E3609" s="16" t="s">
        <v>184</v>
      </c>
      <c r="F3609" s="16" t="s">
        <v>4503</v>
      </c>
      <c r="G3609" s="16" t="s">
        <v>396</v>
      </c>
      <c r="H3609" s="16" t="s">
        <v>220</v>
      </c>
      <c r="I3609" s="16" t="s">
        <v>220</v>
      </c>
    </row>
    <row r="3610" ht="242.25" customHeight="1">
      <c r="B3610" s="32" t="str">
        <f>IMAGE("https://gymvisual.com/10837-catalog_default/strongman-circle-of-conan.jpg",4,500,500)</f>
        <v/>
      </c>
      <c r="C3610" s="30">
        <v>3609.0</v>
      </c>
      <c r="D3610" s="16" t="s">
        <v>4504</v>
      </c>
      <c r="E3610" s="16" t="s">
        <v>184</v>
      </c>
      <c r="F3610" s="16" t="s">
        <v>285</v>
      </c>
      <c r="G3610" s="16" t="s">
        <v>396</v>
      </c>
      <c r="H3610" s="16" t="s">
        <v>220</v>
      </c>
      <c r="I3610" s="16" t="s">
        <v>220</v>
      </c>
    </row>
    <row r="3611" ht="242.25" customHeight="1">
      <c r="B3611" s="32" t="str">
        <f>IMAGE("https://gymvisual.com/10840-catalog_default/strongman-crucifix-hold.jpg",4,500,500)</f>
        <v/>
      </c>
      <c r="C3611" s="30">
        <v>3610.0</v>
      </c>
      <c r="D3611" s="16" t="s">
        <v>4505</v>
      </c>
      <c r="E3611" s="16" t="s">
        <v>184</v>
      </c>
      <c r="F3611" s="16" t="s">
        <v>228</v>
      </c>
      <c r="G3611" s="16" t="s">
        <v>396</v>
      </c>
      <c r="H3611" s="16" t="s">
        <v>220</v>
      </c>
      <c r="I3611" s="16" t="s">
        <v>220</v>
      </c>
    </row>
    <row r="3612" ht="242.25" customHeight="1">
      <c r="A3612" s="32" t="b">
        <v>0</v>
      </c>
      <c r="B3612" s="32" t="str">
        <f>IMAGE("https://gymvisual.com/10876-catalog_default/strongman-deadlift.jpg",4,500,500)</f>
        <v/>
      </c>
      <c r="C3612" s="30">
        <v>3611.0</v>
      </c>
      <c r="D3612" s="16" t="s">
        <v>4506</v>
      </c>
      <c r="E3612" s="16" t="s">
        <v>184</v>
      </c>
      <c r="F3612" s="16" t="s">
        <v>294</v>
      </c>
      <c r="G3612" s="16" t="s">
        <v>186</v>
      </c>
      <c r="H3612" s="16" t="s">
        <v>220</v>
      </c>
      <c r="I3612" s="16" t="s">
        <v>220</v>
      </c>
    </row>
    <row r="3613" ht="242.25" customHeight="1">
      <c r="B3613" s="32" t="str">
        <f>IMAGE("https://gymvisual.com/10822-catalog_default/strongman-duck-walk.jpg",4,500,500)</f>
        <v/>
      </c>
      <c r="C3613" s="30">
        <v>3612.0</v>
      </c>
      <c r="D3613" s="16" t="s">
        <v>4507</v>
      </c>
      <c r="E3613" s="16" t="s">
        <v>184</v>
      </c>
      <c r="F3613" s="16" t="s">
        <v>285</v>
      </c>
      <c r="G3613" s="16" t="s">
        <v>396</v>
      </c>
      <c r="H3613" s="16" t="s">
        <v>220</v>
      </c>
      <c r="I3613" s="16" t="s">
        <v>220</v>
      </c>
    </row>
    <row r="3614" ht="242.25" customHeight="1">
      <c r="A3614" s="32" t="b">
        <v>0</v>
      </c>
      <c r="B3614" s="32" t="str">
        <f>IMAGE("https://gymvisual.com/10885-catalog_default/strongman-dumbbell-one-arm-clean-and-jerk.jpg",4,500,500)</f>
        <v/>
      </c>
      <c r="C3614" s="30">
        <v>3613.0</v>
      </c>
      <c r="D3614" s="16" t="s">
        <v>4508</v>
      </c>
      <c r="E3614" s="16" t="s">
        <v>184</v>
      </c>
      <c r="F3614" s="16" t="s">
        <v>691</v>
      </c>
      <c r="G3614" s="16" t="s">
        <v>222</v>
      </c>
      <c r="H3614" s="16" t="s">
        <v>220</v>
      </c>
      <c r="I3614" s="16" t="s">
        <v>220</v>
      </c>
    </row>
    <row r="3615" ht="242.25" customHeight="1">
      <c r="B3615" s="32" t="str">
        <f>IMAGE("https://gymvisual.com/13549-catalog_default/strongman-fingals-fingers.jpg",4,500,500)</f>
        <v/>
      </c>
      <c r="C3615" s="30">
        <v>3614.0</v>
      </c>
      <c r="D3615" s="16" t="s">
        <v>4509</v>
      </c>
      <c r="E3615" s="16" t="s">
        <v>184</v>
      </c>
      <c r="F3615" s="16" t="s">
        <v>1172</v>
      </c>
      <c r="G3615" s="16" t="s">
        <v>396</v>
      </c>
      <c r="H3615" s="16" t="s">
        <v>220</v>
      </c>
      <c r="I3615" s="16" t="s">
        <v>220</v>
      </c>
    </row>
    <row r="3616" ht="242.25" customHeight="1">
      <c r="A3616" s="32" t="b">
        <v>0</v>
      </c>
      <c r="B3616" s="32" t="str">
        <f>IMAGE("https://gymvisual.com/10873-catalog_default/strongman-front-chest-squat.jpg",4,500,500)</f>
        <v/>
      </c>
      <c r="C3616" s="30">
        <v>3615.0</v>
      </c>
      <c r="D3616" s="16" t="s">
        <v>4510</v>
      </c>
      <c r="E3616" s="16" t="s">
        <v>184</v>
      </c>
      <c r="F3616" s="16" t="s">
        <v>294</v>
      </c>
      <c r="G3616" s="16" t="s">
        <v>186</v>
      </c>
      <c r="H3616" s="16" t="s">
        <v>220</v>
      </c>
      <c r="I3616" s="16" t="s">
        <v>220</v>
      </c>
    </row>
    <row r="3617" ht="242.25" customHeight="1">
      <c r="B3617" s="32" t="str">
        <f>IMAGE("https://gymvisual.com/10843-catalog_default/strongman-front-hold.jpg",4,500,500)</f>
        <v/>
      </c>
      <c r="C3617" s="30">
        <v>3616.0</v>
      </c>
      <c r="D3617" s="16" t="s">
        <v>4511</v>
      </c>
      <c r="E3617" s="16" t="s">
        <v>184</v>
      </c>
      <c r="F3617" s="16" t="s">
        <v>228</v>
      </c>
      <c r="G3617" s="16" t="s">
        <v>396</v>
      </c>
      <c r="H3617" s="16" t="s">
        <v>220</v>
      </c>
      <c r="I3617" s="16" t="s">
        <v>220</v>
      </c>
    </row>
    <row r="3618" ht="242.25" customHeight="1">
      <c r="B3618" s="32" t="str">
        <f>IMAGE("https://gymvisual.com/10867-catalog_default/strongman-hercules-hold.jpg",4,500,500)</f>
        <v/>
      </c>
      <c r="C3618" s="30">
        <v>3617.0</v>
      </c>
      <c r="D3618" s="16" t="s">
        <v>4512</v>
      </c>
      <c r="E3618" s="16" t="s">
        <v>184</v>
      </c>
      <c r="F3618" s="16" t="s">
        <v>4513</v>
      </c>
      <c r="G3618" s="16" t="s">
        <v>396</v>
      </c>
      <c r="H3618" s="16" t="s">
        <v>220</v>
      </c>
      <c r="I3618" s="16" t="s">
        <v>220</v>
      </c>
    </row>
    <row r="3619" ht="242.25" customHeight="1">
      <c r="B3619" s="32" t="str">
        <f>IMAGE("https://gymvisual.com/10855-catalog_default/strongman-hood-stones.jpg",4,500,500)</f>
        <v/>
      </c>
      <c r="C3619" s="30">
        <v>3618.0</v>
      </c>
      <c r="D3619" s="16" t="s">
        <v>4514</v>
      </c>
      <c r="E3619" s="16" t="s">
        <v>184</v>
      </c>
      <c r="F3619" s="16" t="s">
        <v>4515</v>
      </c>
      <c r="G3619" s="16" t="s">
        <v>396</v>
      </c>
      <c r="H3619" s="16" t="s">
        <v>220</v>
      </c>
      <c r="I3619" s="16" t="s">
        <v>220</v>
      </c>
    </row>
    <row r="3620" ht="242.25" customHeight="1">
      <c r="B3620" s="32" t="str">
        <f>IMAGE("https://gymvisual.com/10831-catalog_default/strongman-iceland-cross.jpg",4,500,500)</f>
        <v/>
      </c>
      <c r="C3620" s="30">
        <v>3619.0</v>
      </c>
      <c r="D3620" s="16" t="s">
        <v>4516</v>
      </c>
      <c r="E3620" s="16" t="s">
        <v>184</v>
      </c>
      <c r="F3620" s="16" t="s">
        <v>285</v>
      </c>
      <c r="G3620" s="16" t="s">
        <v>396</v>
      </c>
      <c r="H3620" s="16" t="s">
        <v>220</v>
      </c>
      <c r="I3620" s="16" t="s">
        <v>220</v>
      </c>
    </row>
    <row r="3621" ht="242.25" customHeight="1">
      <c r="B3621" s="32" t="str">
        <f>IMAGE("https://gymvisual.com/10828-catalog_default/strongman-iron-block-press.jpg",4,500,500)</f>
        <v/>
      </c>
      <c r="C3621" s="30">
        <v>3620.0</v>
      </c>
      <c r="D3621" s="16" t="s">
        <v>4517</v>
      </c>
      <c r="E3621" s="16" t="s">
        <v>184</v>
      </c>
      <c r="F3621" s="16" t="s">
        <v>228</v>
      </c>
      <c r="G3621" s="16" t="s">
        <v>396</v>
      </c>
      <c r="H3621" s="16" t="s">
        <v>220</v>
      </c>
      <c r="I3621" s="16" t="s">
        <v>220</v>
      </c>
    </row>
    <row r="3622" ht="242.25" customHeight="1">
      <c r="B3622" s="32" t="str">
        <f>IMAGE("https://gymvisual.com/13551-catalog_default/strongman-keg-toss.jpg",4,500,500)</f>
        <v/>
      </c>
      <c r="C3622" s="30">
        <v>3621.0</v>
      </c>
      <c r="D3622" s="16" t="s">
        <v>4518</v>
      </c>
      <c r="E3622" s="16" t="s">
        <v>184</v>
      </c>
      <c r="F3622" s="16" t="s">
        <v>4519</v>
      </c>
      <c r="G3622" s="16" t="s">
        <v>396</v>
      </c>
      <c r="H3622" s="16" t="s">
        <v>220</v>
      </c>
      <c r="I3622" s="16" t="s">
        <v>220</v>
      </c>
    </row>
    <row r="3623" ht="242.25" customHeight="1">
      <c r="B3623" s="32" t="str">
        <f>IMAGE("https://gymvisual.com/10852-catalog_default/strongman-loading.jpg",4,500,500)</f>
        <v/>
      </c>
      <c r="C3623" s="30">
        <v>3622.0</v>
      </c>
      <c r="D3623" s="16" t="s">
        <v>4520</v>
      </c>
      <c r="E3623" s="16" t="s">
        <v>184</v>
      </c>
      <c r="F3623" s="16" t="s">
        <v>484</v>
      </c>
      <c r="G3623" s="16" t="s">
        <v>396</v>
      </c>
      <c r="H3623" s="16" t="s">
        <v>220</v>
      </c>
      <c r="I3623" s="16" t="s">
        <v>220</v>
      </c>
    </row>
    <row r="3624" ht="242.25" hidden="1" customHeight="1">
      <c r="B3624" s="32" t="str">
        <f>IMAGE("https://gymvisual.com/10810-catalog_default/strongman-log-lift.jpg",4,500,500)</f>
        <v/>
      </c>
      <c r="C3624" s="30">
        <v>3623.0</v>
      </c>
      <c r="D3624" s="16" t="s">
        <v>4521</v>
      </c>
      <c r="E3624" s="16" t="s">
        <v>184</v>
      </c>
      <c r="F3624" s="16" t="s">
        <v>764</v>
      </c>
      <c r="G3624" s="16" t="s">
        <v>255</v>
      </c>
      <c r="H3624" s="16" t="s">
        <v>220</v>
      </c>
      <c r="I3624" s="16" t="s">
        <v>220</v>
      </c>
    </row>
    <row r="3625" ht="242.25" hidden="1" customHeight="1">
      <c r="B3625" s="32" t="str">
        <f>IMAGE("https://gymvisual.com/10813-catalog_default/strongman-mas-wrestling.jpg",4,500,500)</f>
        <v/>
      </c>
      <c r="C3625" s="30">
        <v>3624.0</v>
      </c>
      <c r="D3625" s="16" t="s">
        <v>4522</v>
      </c>
      <c r="E3625" s="16" t="s">
        <v>184</v>
      </c>
      <c r="F3625" s="16" t="s">
        <v>764</v>
      </c>
      <c r="G3625" s="16" t="s">
        <v>255</v>
      </c>
      <c r="H3625" s="16" t="s">
        <v>220</v>
      </c>
      <c r="I3625" s="16" t="s">
        <v>220</v>
      </c>
    </row>
    <row r="3626" ht="242.25" customHeight="1">
      <c r="B3626" s="32" t="str">
        <f>IMAGE("https://gymvisual.com/10864-catalog_default/strongman-power-stairs.jpg",4,500,500)</f>
        <v/>
      </c>
      <c r="C3626" s="30">
        <v>3625.0</v>
      </c>
      <c r="D3626" s="16" t="s">
        <v>4523</v>
      </c>
      <c r="E3626" s="16" t="s">
        <v>184</v>
      </c>
      <c r="F3626" s="16" t="s">
        <v>294</v>
      </c>
      <c r="G3626" s="16" t="s">
        <v>396</v>
      </c>
      <c r="H3626" s="16" t="s">
        <v>220</v>
      </c>
      <c r="I3626" s="16" t="s">
        <v>220</v>
      </c>
    </row>
    <row r="3627" ht="242.25" customHeight="1">
      <c r="B3627" s="32" t="str">
        <f>IMAGE("https://gymvisual.com/10825-catalog_default/strongman-sandbag-walk.jpg",4,500,500)</f>
        <v/>
      </c>
      <c r="C3627" s="30">
        <v>3626.0</v>
      </c>
      <c r="D3627" s="16" t="s">
        <v>4524</v>
      </c>
      <c r="E3627" s="16" t="s">
        <v>184</v>
      </c>
      <c r="F3627" s="16" t="s">
        <v>285</v>
      </c>
      <c r="G3627" s="16" t="s">
        <v>396</v>
      </c>
      <c r="H3627" s="16" t="s">
        <v>220</v>
      </c>
      <c r="I3627" s="16" t="s">
        <v>220</v>
      </c>
    </row>
    <row r="3628" ht="242.25" customHeight="1">
      <c r="B3628" s="32" t="str">
        <f>IMAGE("https://gymvisual.com/10870-catalog_default/strongman-shield-carry.jpg",4,500,500)</f>
        <v/>
      </c>
      <c r="C3628" s="30">
        <v>3627.0</v>
      </c>
      <c r="D3628" s="16" t="s">
        <v>4525</v>
      </c>
      <c r="E3628" s="16" t="s">
        <v>184</v>
      </c>
      <c r="F3628" s="16" t="s">
        <v>285</v>
      </c>
      <c r="G3628" s="16" t="s">
        <v>396</v>
      </c>
      <c r="H3628" s="16" t="s">
        <v>220</v>
      </c>
      <c r="I3628" s="16" t="s">
        <v>220</v>
      </c>
    </row>
    <row r="3629" ht="242.25" customHeight="1">
      <c r="B3629" s="32" t="str">
        <f>IMAGE("https://gymvisual.com/10849-catalog_default/strongman-squats-with-platform.jpg",4,500,500)</f>
        <v/>
      </c>
      <c r="C3629" s="30">
        <v>3628.0</v>
      </c>
      <c r="D3629" s="16" t="s">
        <v>4526</v>
      </c>
      <c r="E3629" s="16" t="s">
        <v>184</v>
      </c>
      <c r="F3629" s="16" t="s">
        <v>294</v>
      </c>
      <c r="G3629" s="16" t="s">
        <v>396</v>
      </c>
      <c r="H3629" s="16" t="s">
        <v>220</v>
      </c>
      <c r="I3629" s="16" t="s">
        <v>220</v>
      </c>
    </row>
    <row r="3630" ht="242.25" customHeight="1">
      <c r="B3630" s="32" t="str">
        <f>IMAGE("https://gymvisual.com/10834-catalog_default/strongman-timber-carry.jpg",4,500,500)</f>
        <v/>
      </c>
      <c r="C3630" s="30">
        <v>3629.0</v>
      </c>
      <c r="D3630" s="16" t="s">
        <v>4527</v>
      </c>
      <c r="E3630" s="16" t="s">
        <v>184</v>
      </c>
      <c r="F3630" s="16" t="s">
        <v>285</v>
      </c>
      <c r="G3630" s="16" t="s">
        <v>396</v>
      </c>
      <c r="H3630" s="16" t="s">
        <v>220</v>
      </c>
      <c r="I3630" s="16" t="s">
        <v>220</v>
      </c>
    </row>
    <row r="3631" ht="242.25" customHeight="1">
      <c r="B3631" s="32" t="str">
        <f>IMAGE("https://gymvisual.com/10879-catalog_default/strongman-tire-flip.jpg",4,500,500)</f>
        <v/>
      </c>
      <c r="C3631" s="30">
        <v>3630.0</v>
      </c>
      <c r="D3631" s="16" t="s">
        <v>4528</v>
      </c>
      <c r="E3631" s="16" t="s">
        <v>184</v>
      </c>
      <c r="F3631" s="16" t="s">
        <v>764</v>
      </c>
      <c r="G3631" s="16" t="s">
        <v>396</v>
      </c>
      <c r="H3631" s="16" t="s">
        <v>220</v>
      </c>
      <c r="I3631" s="16" t="s">
        <v>220</v>
      </c>
    </row>
    <row r="3632" ht="242.25" hidden="1" customHeight="1">
      <c r="B3632" s="32" t="str">
        <f>IMAGE("https://gymvisual.com/10819-catalog_default/strongman-truck-pull.jpg",4,500,500)</f>
        <v/>
      </c>
      <c r="C3632" s="30">
        <v>3631.0</v>
      </c>
      <c r="D3632" s="16" t="s">
        <v>4529</v>
      </c>
      <c r="E3632" s="16" t="s">
        <v>184</v>
      </c>
      <c r="F3632" s="16" t="s">
        <v>764</v>
      </c>
      <c r="G3632" s="16" t="s">
        <v>255</v>
      </c>
      <c r="H3632" s="16" t="s">
        <v>220</v>
      </c>
      <c r="I3632" s="16" t="s">
        <v>220</v>
      </c>
    </row>
    <row r="3633" ht="242.25" customHeight="1">
      <c r="B3633" s="32" t="str">
        <f>IMAGE("https://gymvisual.com/10846-catalog_default/strongman-viking-press.jpg",4,500,500)</f>
        <v/>
      </c>
      <c r="C3633" s="30">
        <v>3632.0</v>
      </c>
      <c r="D3633" s="16" t="s">
        <v>4530</v>
      </c>
      <c r="E3633" s="16" t="s">
        <v>184</v>
      </c>
      <c r="F3633" s="16" t="s">
        <v>1129</v>
      </c>
      <c r="G3633" s="16" t="s">
        <v>396</v>
      </c>
      <c r="H3633" s="16" t="s">
        <v>220</v>
      </c>
      <c r="I3633" s="16" t="s">
        <v>220</v>
      </c>
    </row>
    <row r="3634" ht="242.25" customHeight="1">
      <c r="B3634" s="32" t="str">
        <f>IMAGE("https://gymvisual.com/10882-catalog_default/strongman-weight-for-height.jpg",4,500,500)</f>
        <v/>
      </c>
      <c r="C3634" s="30">
        <v>3633.0</v>
      </c>
      <c r="D3634" s="16" t="s">
        <v>4531</v>
      </c>
      <c r="E3634" s="16" t="s">
        <v>184</v>
      </c>
      <c r="F3634" s="16" t="s">
        <v>185</v>
      </c>
      <c r="G3634" s="16" t="s">
        <v>396</v>
      </c>
      <c r="H3634" s="16" t="s">
        <v>220</v>
      </c>
      <c r="I3634" s="16" t="s">
        <v>220</v>
      </c>
    </row>
    <row r="3635" ht="242.25" customHeight="1">
      <c r="B3635" s="32" t="str">
        <f>IMAGE("https://gymvisual.com/10858-catalog_default/strongman-wheelbarrow.jpg",4,500,500)</f>
        <v/>
      </c>
      <c r="C3635" s="30">
        <v>3634.0</v>
      </c>
      <c r="D3635" s="16" t="s">
        <v>4532</v>
      </c>
      <c r="E3635" s="16" t="s">
        <v>184</v>
      </c>
      <c r="F3635" s="16" t="s">
        <v>285</v>
      </c>
      <c r="G3635" s="16" t="s">
        <v>396</v>
      </c>
      <c r="H3635" s="16" t="s">
        <v>220</v>
      </c>
      <c r="I3635" s="16" t="s">
        <v>220</v>
      </c>
    </row>
    <row r="3636" ht="242.25" customHeight="1">
      <c r="B3636" s="32" t="str">
        <f>IMAGE("https://gymvisual.com/10894-catalog_default/strongman-yoke-walk.jpg",4,500,500)</f>
        <v/>
      </c>
      <c r="C3636" s="30">
        <v>3635.0</v>
      </c>
      <c r="D3636" s="16" t="s">
        <v>4533</v>
      </c>
      <c r="E3636" s="16" t="s">
        <v>184</v>
      </c>
      <c r="F3636" s="16" t="s">
        <v>294</v>
      </c>
      <c r="G3636" s="16" t="s">
        <v>396</v>
      </c>
      <c r="H3636" s="16" t="s">
        <v>220</v>
      </c>
      <c r="I3636" s="16" t="s">
        <v>220</v>
      </c>
    </row>
    <row r="3637" ht="242.25" hidden="1" customHeight="1">
      <c r="B3637" s="32" t="str">
        <f>IMAGE("https://gymvisual.com/22490-catalog_default/sumo-air-squat.jpg",4,500,500)</f>
        <v/>
      </c>
      <c r="C3637" s="30">
        <v>3636.0</v>
      </c>
      <c r="D3637" s="16" t="s">
        <v>4534</v>
      </c>
      <c r="E3637" s="16" t="s">
        <v>184</v>
      </c>
      <c r="F3637" s="16" t="s">
        <v>185</v>
      </c>
      <c r="G3637" s="16" t="s">
        <v>255</v>
      </c>
      <c r="H3637" s="16" t="s">
        <v>220</v>
      </c>
      <c r="I3637" s="16" t="s">
        <v>220</v>
      </c>
    </row>
    <row r="3638" ht="242.25" customHeight="1">
      <c r="A3638" s="32" t="b">
        <v>0</v>
      </c>
      <c r="B3638" s="32" t="str">
        <f>IMAGE("https://gymvisual.com/4567-catalog_default/sumo-deadlift-high-pull.jpg",4,500,500)</f>
        <v/>
      </c>
      <c r="C3638" s="30">
        <v>3637.0</v>
      </c>
      <c r="D3638" s="16" t="s">
        <v>4535</v>
      </c>
      <c r="E3638" s="16" t="s">
        <v>184</v>
      </c>
      <c r="F3638" s="16" t="s">
        <v>228</v>
      </c>
      <c r="G3638" s="16" t="s">
        <v>186</v>
      </c>
      <c r="H3638" s="16" t="s">
        <v>799</v>
      </c>
      <c r="I3638" s="16" t="s">
        <v>4536</v>
      </c>
    </row>
    <row r="3639" ht="242.25" hidden="1" customHeight="1">
      <c r="B3639" s="32" t="str">
        <f>IMAGE("https://gymvisual.com/9814-catalog_default/sumo-squat.jpg",4,500,500)</f>
        <v/>
      </c>
      <c r="C3639" s="30">
        <v>3638.0</v>
      </c>
      <c r="D3639" s="16" t="s">
        <v>4537</v>
      </c>
      <c r="E3639" s="16" t="s">
        <v>184</v>
      </c>
      <c r="F3639" s="16" t="s">
        <v>285</v>
      </c>
      <c r="G3639" s="16" t="s">
        <v>255</v>
      </c>
      <c r="H3639" s="16" t="s">
        <v>189</v>
      </c>
      <c r="I3639" s="16" t="s">
        <v>902</v>
      </c>
    </row>
    <row r="3640" ht="242.25" hidden="1" customHeight="1">
      <c r="B3640" s="32" t="str">
        <f>IMAGE("https://gymvisual.com/4085-catalog_default/sumo-squat.jpg",4,500,500)</f>
        <v/>
      </c>
      <c r="C3640" s="30">
        <v>3639.0</v>
      </c>
      <c r="D3640" s="16" t="s">
        <v>4537</v>
      </c>
      <c r="E3640" s="16" t="s">
        <v>184</v>
      </c>
      <c r="F3640" s="16" t="s">
        <v>285</v>
      </c>
      <c r="G3640" s="16" t="s">
        <v>255</v>
      </c>
      <c r="H3640" s="16" t="s">
        <v>189</v>
      </c>
      <c r="I3640" s="16" t="s">
        <v>1127</v>
      </c>
    </row>
    <row r="3641" ht="242.25" hidden="1" customHeight="1">
      <c r="B3641" s="32" t="str">
        <f>IMAGE("https://gymvisual.com/22764-catalog_default/sumo-squat-floor-touch.jpg",4,500,500)</f>
        <v/>
      </c>
      <c r="C3641" s="30">
        <v>3640.0</v>
      </c>
      <c r="D3641" s="16" t="s">
        <v>4538</v>
      </c>
      <c r="E3641" s="16" t="s">
        <v>184</v>
      </c>
      <c r="F3641" s="16" t="s">
        <v>185</v>
      </c>
      <c r="G3641" s="16" t="s">
        <v>255</v>
      </c>
      <c r="H3641" s="16" t="s">
        <v>189</v>
      </c>
      <c r="I3641" s="16" t="s">
        <v>902</v>
      </c>
    </row>
    <row r="3642" ht="242.25" hidden="1" customHeight="1">
      <c r="B3642" s="32" t="str">
        <f>IMAGE("https://gymvisual.com/2403-catalog_default/superman.jpg",4,500,500)</f>
        <v/>
      </c>
      <c r="C3642" s="30">
        <v>3641.0</v>
      </c>
      <c r="D3642" s="16" t="s">
        <v>4539</v>
      </c>
      <c r="E3642" s="16" t="s">
        <v>184</v>
      </c>
      <c r="F3642" s="16" t="s">
        <v>254</v>
      </c>
      <c r="G3642" s="16" t="s">
        <v>255</v>
      </c>
      <c r="H3642" s="16" t="s">
        <v>275</v>
      </c>
      <c r="I3642" s="16" t="s">
        <v>2412</v>
      </c>
    </row>
    <row r="3643" ht="242.25" hidden="1" customHeight="1">
      <c r="B3643" s="32" t="str">
        <f>IMAGE("https://gymvisual.com/13777-catalog_default/superman-male.jpg",4,500,500)</f>
        <v/>
      </c>
      <c r="C3643" s="30">
        <v>3642.0</v>
      </c>
      <c r="D3643" s="16" t="s">
        <v>4540</v>
      </c>
      <c r="E3643" s="16" t="s">
        <v>184</v>
      </c>
      <c r="F3643" s="16" t="s">
        <v>185</v>
      </c>
      <c r="G3643" s="16" t="s">
        <v>255</v>
      </c>
      <c r="H3643" s="16" t="s">
        <v>275</v>
      </c>
      <c r="I3643" s="16" t="s">
        <v>2412</v>
      </c>
    </row>
    <row r="3644" ht="242.25" hidden="1" customHeight="1">
      <c r="B3644" s="32" t="str">
        <f>IMAGE("https://gymvisual.com/2400-catalog_default/superman-push-up.jpg",4,500,500)</f>
        <v/>
      </c>
      <c r="C3644" s="30">
        <v>3643.0</v>
      </c>
      <c r="D3644" s="16" t="s">
        <v>4541</v>
      </c>
      <c r="E3644" s="16" t="s">
        <v>184</v>
      </c>
      <c r="F3644" s="16" t="s">
        <v>234</v>
      </c>
      <c r="G3644" s="16" t="s">
        <v>255</v>
      </c>
      <c r="H3644" s="16" t="s">
        <v>4542</v>
      </c>
      <c r="I3644" s="16" t="s">
        <v>4543</v>
      </c>
    </row>
    <row r="3645" ht="242.25" hidden="1" customHeight="1">
      <c r="B3645" s="32" t="str">
        <f>IMAGE("https://gymvisual.com/22819-catalog_default/superman-row-female.jpg",4,500,500)</f>
        <v/>
      </c>
      <c r="C3645" s="30">
        <v>3644.0</v>
      </c>
      <c r="D3645" s="16" t="s">
        <v>4544</v>
      </c>
      <c r="E3645" s="16" t="s">
        <v>184</v>
      </c>
      <c r="F3645" s="16" t="s">
        <v>192</v>
      </c>
      <c r="G3645" s="16" t="s">
        <v>255</v>
      </c>
      <c r="H3645" s="16" t="s">
        <v>4545</v>
      </c>
      <c r="I3645" s="16" t="s">
        <v>4546</v>
      </c>
    </row>
    <row r="3646" ht="242.25" hidden="1" customHeight="1">
      <c r="B3646" s="32" t="str">
        <f>IMAGE("https://gymvisual.com/14145-catalog_default/superman-row-with-towel.jpg",4,500,500)</f>
        <v/>
      </c>
      <c r="C3646" s="30">
        <v>3645.0</v>
      </c>
      <c r="D3646" s="16" t="s">
        <v>4547</v>
      </c>
      <c r="E3646" s="16" t="s">
        <v>184</v>
      </c>
      <c r="F3646" s="16" t="s">
        <v>3183</v>
      </c>
      <c r="G3646" s="16" t="s">
        <v>255</v>
      </c>
      <c r="H3646" s="16" t="s">
        <v>4548</v>
      </c>
      <c r="I3646" s="16" t="s">
        <v>4549</v>
      </c>
    </row>
    <row r="3647" ht="242.25" hidden="1" customHeight="1">
      <c r="B3647" s="32" t="str">
        <f>IMAGE("https://gymvisual.com/24079-catalog_default/superman-w.jpg",4,500,500)</f>
        <v/>
      </c>
      <c r="C3647" s="30">
        <v>3646.0</v>
      </c>
      <c r="D3647" s="16" t="s">
        <v>4550</v>
      </c>
      <c r="E3647" s="16" t="s">
        <v>184</v>
      </c>
      <c r="F3647" s="16" t="s">
        <v>185</v>
      </c>
      <c r="G3647" s="16" t="s">
        <v>255</v>
      </c>
      <c r="H3647" s="16" t="s">
        <v>220</v>
      </c>
      <c r="I3647" s="16" t="s">
        <v>220</v>
      </c>
    </row>
    <row r="3648" ht="242.25" hidden="1" customHeight="1">
      <c r="B3648" s="32" t="str">
        <f>IMAGE("https://gymvisual.com/24077-catalog_default/superman-w-to-y.jpg",4,500,500)</f>
        <v/>
      </c>
      <c r="C3648" s="30">
        <v>3647.0</v>
      </c>
      <c r="D3648" s="16" t="s">
        <v>4551</v>
      </c>
      <c r="E3648" s="16" t="s">
        <v>184</v>
      </c>
      <c r="F3648" s="16" t="s">
        <v>185</v>
      </c>
      <c r="G3648" s="16" t="s">
        <v>255</v>
      </c>
      <c r="H3648" s="16" t="s">
        <v>220</v>
      </c>
      <c r="I3648" s="16" t="s">
        <v>220</v>
      </c>
    </row>
    <row r="3649" ht="242.25" hidden="1" customHeight="1">
      <c r="B3649" s="32" t="str">
        <f>IMAGE("https://gymvisual.com/24334-catalog_default/supinated-grip-inverted-row-female.jpg",4,500,500)</f>
        <v/>
      </c>
      <c r="C3649" s="30">
        <v>3648.0</v>
      </c>
      <c r="D3649" s="16" t="s">
        <v>4552</v>
      </c>
      <c r="E3649" s="16" t="s">
        <v>184</v>
      </c>
      <c r="F3649" s="16" t="s">
        <v>192</v>
      </c>
      <c r="G3649" s="16" t="s">
        <v>255</v>
      </c>
      <c r="H3649" s="16" t="s">
        <v>220</v>
      </c>
      <c r="I3649" s="16" t="s">
        <v>220</v>
      </c>
    </row>
    <row r="3650" ht="242.25" hidden="1" customHeight="1">
      <c r="B3650" s="32" t="str">
        <f>IMAGE("https://gymvisual.com/23855-catalog_default/supinated-narrow-grip-pull-up.jpg",4,500,500)</f>
        <v/>
      </c>
      <c r="C3650" s="30">
        <v>3649.0</v>
      </c>
      <c r="D3650" s="16" t="s">
        <v>4553</v>
      </c>
      <c r="E3650" s="16" t="s">
        <v>184</v>
      </c>
      <c r="F3650" s="16" t="s">
        <v>192</v>
      </c>
      <c r="G3650" s="16" t="s">
        <v>255</v>
      </c>
      <c r="H3650" s="16" t="s">
        <v>220</v>
      </c>
      <c r="I3650" s="16" t="s">
        <v>220</v>
      </c>
    </row>
    <row r="3651" ht="242.25" hidden="1" customHeight="1">
      <c r="B3651" s="32" t="str">
        <f>IMAGE("https://gymvisual.com/22319-catalog_default/supported-squat-female.jpg",4,500,500)</f>
        <v/>
      </c>
      <c r="C3651" s="30">
        <v>3650.0</v>
      </c>
      <c r="D3651" s="16" t="s">
        <v>4554</v>
      </c>
      <c r="E3651" s="16" t="s">
        <v>184</v>
      </c>
      <c r="F3651" s="16" t="s">
        <v>285</v>
      </c>
      <c r="G3651" s="16" t="s">
        <v>255</v>
      </c>
      <c r="H3651" s="16" t="s">
        <v>220</v>
      </c>
      <c r="I3651" s="16" t="s">
        <v>220</v>
      </c>
    </row>
    <row r="3652" ht="242.25" hidden="1" customHeight="1">
      <c r="B3652" s="32" t="str">
        <f>IMAGE("https://gymvisual.com/2406-catalog_default/suspended-abdominal-fallout.jpg",4,500,500)</f>
        <v/>
      </c>
      <c r="C3652" s="30">
        <v>3651.0</v>
      </c>
      <c r="D3652" s="16" t="s">
        <v>4555</v>
      </c>
      <c r="E3652" s="16" t="s">
        <v>184</v>
      </c>
      <c r="F3652" s="16" t="s">
        <v>254</v>
      </c>
      <c r="G3652" s="16" t="s">
        <v>255</v>
      </c>
      <c r="H3652" s="16" t="s">
        <v>256</v>
      </c>
      <c r="I3652" s="16" t="s">
        <v>4556</v>
      </c>
    </row>
    <row r="3653" ht="242.25" hidden="1" customHeight="1">
      <c r="B3653" s="32" t="str">
        <f>IMAGE("https://gymvisual.com/2409-catalog_default/suspended-push-up.jpg",4,500,500)</f>
        <v/>
      </c>
      <c r="C3653" s="30">
        <v>3652.0</v>
      </c>
      <c r="D3653" s="16" t="s">
        <v>4557</v>
      </c>
      <c r="E3653" s="16" t="s">
        <v>184</v>
      </c>
      <c r="F3653" s="16" t="s">
        <v>234</v>
      </c>
      <c r="G3653" s="16" t="s">
        <v>255</v>
      </c>
      <c r="H3653" s="16" t="s">
        <v>347</v>
      </c>
      <c r="I3653" s="16" t="s">
        <v>3020</v>
      </c>
    </row>
    <row r="3654" ht="242.25" hidden="1" customHeight="1">
      <c r="B3654" s="32" t="str">
        <f>IMAGE("https://gymvisual.com/2412-catalog_default/suspended-reverse-crunch.jpg",4,500,500)</f>
        <v/>
      </c>
      <c r="C3654" s="30">
        <v>3653.0</v>
      </c>
      <c r="D3654" s="16" t="s">
        <v>4558</v>
      </c>
      <c r="E3654" s="16" t="s">
        <v>184</v>
      </c>
      <c r="F3654" s="16" t="s">
        <v>254</v>
      </c>
      <c r="G3654" s="16" t="s">
        <v>255</v>
      </c>
      <c r="H3654" s="16" t="s">
        <v>256</v>
      </c>
      <c r="I3654" s="16" t="s">
        <v>4203</v>
      </c>
    </row>
    <row r="3655" ht="242.25" hidden="1" customHeight="1">
      <c r="B3655" s="32" t="str">
        <f>IMAGE("https://gymvisual.com/2415-catalog_default/suspended-row.jpg",4,500,500)</f>
        <v/>
      </c>
      <c r="C3655" s="30">
        <v>3654.0</v>
      </c>
      <c r="D3655" s="16" t="s">
        <v>4559</v>
      </c>
      <c r="E3655" s="16" t="s">
        <v>184</v>
      </c>
      <c r="F3655" s="16" t="s">
        <v>192</v>
      </c>
      <c r="G3655" s="16" t="s">
        <v>255</v>
      </c>
      <c r="H3655" s="16" t="s">
        <v>3041</v>
      </c>
      <c r="I3655" s="16" t="s">
        <v>330</v>
      </c>
    </row>
    <row r="3656" ht="242.25" hidden="1" customHeight="1">
      <c r="B3656" s="32" t="str">
        <f>IMAGE("https://gymvisual.com/2418-catalog_default/suspended-split-squat.jpg",4,500,500)</f>
        <v/>
      </c>
      <c r="C3656" s="30">
        <v>3655.0</v>
      </c>
      <c r="D3656" s="16" t="s">
        <v>4560</v>
      </c>
      <c r="E3656" s="16" t="s">
        <v>184</v>
      </c>
      <c r="F3656" s="16" t="s">
        <v>285</v>
      </c>
      <c r="G3656" s="16" t="s">
        <v>255</v>
      </c>
      <c r="H3656" s="16" t="s">
        <v>189</v>
      </c>
      <c r="I3656" s="16" t="s">
        <v>190</v>
      </c>
    </row>
    <row r="3657" ht="242.25" customHeight="1">
      <c r="B3657" s="32" t="str">
        <f>IMAGE("https://gymvisual.com/22321-catalog_default/suspender-alternate-superman-female.jpg",4,500,500)</f>
        <v/>
      </c>
      <c r="C3657" s="30">
        <v>3656.0</v>
      </c>
      <c r="D3657" s="16" t="s">
        <v>4561</v>
      </c>
      <c r="E3657" s="16" t="s">
        <v>184</v>
      </c>
      <c r="F3657" s="16" t="s">
        <v>254</v>
      </c>
      <c r="G3657" s="16" t="s">
        <v>3009</v>
      </c>
      <c r="H3657" s="16" t="s">
        <v>220</v>
      </c>
      <c r="I3657" s="16" t="s">
        <v>220</v>
      </c>
    </row>
    <row r="3658" ht="242.25" customHeight="1">
      <c r="B3658" s="32" t="str">
        <f>IMAGE("https://gymvisual.com/17889-catalog_default/suspender-forward-lunge-with-rear-fly-male.jpg",4,500,500)</f>
        <v/>
      </c>
      <c r="C3658" s="30">
        <v>3657.0</v>
      </c>
      <c r="D3658" s="16" t="s">
        <v>4562</v>
      </c>
      <c r="E3658" s="16" t="s">
        <v>184</v>
      </c>
      <c r="F3658" s="16" t="s">
        <v>228</v>
      </c>
      <c r="G3658" s="16" t="s">
        <v>3009</v>
      </c>
      <c r="H3658" s="16" t="s">
        <v>220</v>
      </c>
      <c r="I3658" s="16" t="s">
        <v>220</v>
      </c>
    </row>
    <row r="3659" ht="242.25" customHeight="1">
      <c r="B3659" s="32" t="str">
        <f>IMAGE("https://gymvisual.com/22323-catalog_default/suspender-rollout-version-2-female.jpg",4,500,500)</f>
        <v/>
      </c>
      <c r="C3659" s="30">
        <v>3658.0</v>
      </c>
      <c r="D3659" s="16" t="s">
        <v>4563</v>
      </c>
      <c r="E3659" s="16" t="s">
        <v>184</v>
      </c>
      <c r="F3659" s="16" t="s">
        <v>254</v>
      </c>
      <c r="G3659" s="16" t="s">
        <v>3009</v>
      </c>
      <c r="H3659" s="16" t="s">
        <v>220</v>
      </c>
      <c r="I3659" s="16" t="s">
        <v>220</v>
      </c>
    </row>
    <row r="3660" ht="242.25" customHeight="1">
      <c r="B3660" s="32" t="str">
        <f>IMAGE("https://gymvisual.com/11993-catalog_default/suspender-weighted-inverted-row.jpg",4,500,500)</f>
        <v/>
      </c>
      <c r="C3660" s="30">
        <v>3659.0</v>
      </c>
      <c r="D3660" s="16" t="s">
        <v>4564</v>
      </c>
      <c r="E3660" s="16" t="s">
        <v>184</v>
      </c>
      <c r="F3660" s="16" t="s">
        <v>192</v>
      </c>
      <c r="G3660" s="16" t="s">
        <v>3009</v>
      </c>
      <c r="H3660" s="16" t="s">
        <v>220</v>
      </c>
      <c r="I3660" s="16" t="s">
        <v>220</v>
      </c>
    </row>
    <row r="3661" ht="242.25" customHeight="1">
      <c r="B3661" s="32" t="str">
        <f>IMAGE("https://gymvisual.com/11992-catalog_default/suspender-weighted-inverted-row-female.jpg",4,500,500)</f>
        <v/>
      </c>
      <c r="C3661" s="30">
        <v>3660.0</v>
      </c>
      <c r="D3661" s="16" t="s">
        <v>4565</v>
      </c>
      <c r="E3661" s="16" t="s">
        <v>184</v>
      </c>
      <c r="F3661" s="16" t="s">
        <v>192</v>
      </c>
      <c r="G3661" s="16" t="s">
        <v>3009</v>
      </c>
      <c r="H3661" s="16" t="s">
        <v>220</v>
      </c>
      <c r="I3661" s="16" t="s">
        <v>220</v>
      </c>
    </row>
    <row r="3662" ht="242.25" customHeight="1">
      <c r="B3662" s="32" t="str">
        <f>IMAGE("https://gymvisual.com/19002-catalog_default/suspender-wide-grip-inverted-row.jpg",4,500,500)</f>
        <v/>
      </c>
      <c r="C3662" s="30">
        <v>3661.0</v>
      </c>
      <c r="D3662" s="16" t="s">
        <v>4566</v>
      </c>
      <c r="E3662" s="16" t="s">
        <v>184</v>
      </c>
      <c r="F3662" s="16" t="s">
        <v>192</v>
      </c>
      <c r="G3662" s="16" t="s">
        <v>3009</v>
      </c>
      <c r="H3662" s="16" t="s">
        <v>329</v>
      </c>
      <c r="I3662" s="16" t="s">
        <v>447</v>
      </c>
    </row>
    <row r="3663" ht="242.25" customHeight="1">
      <c r="B3663" s="32" t="str">
        <f>IMAGE("https://gymvisual.com/19004-catalog_default/suspender-wide-grip-inverted-row-on-floor-female.jpg",4,500,500)</f>
        <v/>
      </c>
      <c r="C3663" s="30">
        <v>3662.0</v>
      </c>
      <c r="D3663" s="16" t="s">
        <v>4567</v>
      </c>
      <c r="E3663" s="16" t="s">
        <v>184</v>
      </c>
      <c r="F3663" s="16" t="s">
        <v>192</v>
      </c>
      <c r="G3663" s="16" t="s">
        <v>3009</v>
      </c>
      <c r="H3663" s="16" t="s">
        <v>329</v>
      </c>
      <c r="I3663" s="16" t="s">
        <v>447</v>
      </c>
    </row>
    <row r="3664" ht="242.25" customHeight="1">
      <c r="B3664" s="32" t="str">
        <f>IMAGE("https://gymvisual.com/4268-catalog_default/suspension-abduction-lunge.jpg",4,500,500)</f>
        <v/>
      </c>
      <c r="C3664" s="30">
        <v>3663.0</v>
      </c>
      <c r="D3664" s="16" t="s">
        <v>4568</v>
      </c>
      <c r="E3664" s="16" t="s">
        <v>184</v>
      </c>
      <c r="F3664" s="16" t="s">
        <v>285</v>
      </c>
      <c r="G3664" s="16" t="s">
        <v>3009</v>
      </c>
      <c r="H3664" s="16" t="s">
        <v>4569</v>
      </c>
      <c r="I3664" s="16" t="s">
        <v>902</v>
      </c>
    </row>
    <row r="3665" ht="242.25" customHeight="1">
      <c r="B3665" s="32" t="str">
        <f>IMAGE("https://gymvisual.com/4103-catalog_default/suspension-arm-curl.jpg",4,500,500)</f>
        <v/>
      </c>
      <c r="C3665" s="30">
        <v>3664.0</v>
      </c>
      <c r="D3665" s="16" t="s">
        <v>4570</v>
      </c>
      <c r="E3665" s="16" t="s">
        <v>184</v>
      </c>
      <c r="F3665" s="16" t="s">
        <v>219</v>
      </c>
      <c r="G3665" s="16" t="s">
        <v>3009</v>
      </c>
      <c r="H3665" s="16" t="s">
        <v>232</v>
      </c>
      <c r="I3665" s="16" t="s">
        <v>233</v>
      </c>
    </row>
    <row r="3666" ht="242.25" customHeight="1">
      <c r="B3666" s="32" t="str">
        <f>IMAGE("https://gymvisual.com/4217-catalog_default/suspension-arm-curl-to-ears.jpg",4,500,500)</f>
        <v/>
      </c>
      <c r="C3666" s="30">
        <v>3665.0</v>
      </c>
      <c r="D3666" s="16" t="s">
        <v>4571</v>
      </c>
      <c r="E3666" s="16" t="s">
        <v>184</v>
      </c>
      <c r="F3666" s="16" t="s">
        <v>219</v>
      </c>
      <c r="G3666" s="16" t="s">
        <v>3009</v>
      </c>
      <c r="H3666" s="16" t="s">
        <v>241</v>
      </c>
      <c r="I3666" s="16" t="s">
        <v>292</v>
      </c>
    </row>
    <row r="3667" ht="242.25" customHeight="1">
      <c r="B3667" s="32" t="str">
        <f>IMAGE("https://gymvisual.com/4106-catalog_default/suspension-bent-knee-inverted-row.jpg",4,500,500)</f>
        <v/>
      </c>
      <c r="C3667" s="30">
        <v>3666.0</v>
      </c>
      <c r="D3667" s="16" t="s">
        <v>4572</v>
      </c>
      <c r="E3667" s="16" t="s">
        <v>184</v>
      </c>
      <c r="F3667" s="16" t="s">
        <v>192</v>
      </c>
      <c r="G3667" s="16" t="s">
        <v>3009</v>
      </c>
      <c r="H3667" s="16" t="s">
        <v>329</v>
      </c>
      <c r="I3667" s="16" t="s">
        <v>457</v>
      </c>
    </row>
    <row r="3668" ht="242.25" customHeight="1">
      <c r="B3668" s="32" t="str">
        <f>IMAGE("https://gymvisual.com/4218-catalog_default/suspension-biceps-clutch.jpg",4,500,500)</f>
        <v/>
      </c>
      <c r="C3668" s="30">
        <v>3667.0</v>
      </c>
      <c r="D3668" s="16" t="s">
        <v>4573</v>
      </c>
      <c r="E3668" s="16" t="s">
        <v>184</v>
      </c>
      <c r="F3668" s="16" t="s">
        <v>219</v>
      </c>
      <c r="G3668" s="16" t="s">
        <v>3009</v>
      </c>
      <c r="H3668" s="16" t="s">
        <v>241</v>
      </c>
      <c r="I3668" s="16" t="s">
        <v>4574</v>
      </c>
    </row>
    <row r="3669" ht="242.25" customHeight="1">
      <c r="B3669" s="32" t="str">
        <f>IMAGE("https://gymvisual.com/4219-catalog_default/suspension-body-saw.jpg",4,500,500)</f>
        <v/>
      </c>
      <c r="C3669" s="30">
        <v>3668.0</v>
      </c>
      <c r="D3669" s="16" t="s">
        <v>4575</v>
      </c>
      <c r="E3669" s="16" t="s">
        <v>184</v>
      </c>
      <c r="F3669" s="16" t="s">
        <v>254</v>
      </c>
      <c r="G3669" s="16" t="s">
        <v>3009</v>
      </c>
      <c r="H3669" s="16" t="s">
        <v>2792</v>
      </c>
      <c r="I3669" s="16" t="s">
        <v>4576</v>
      </c>
    </row>
    <row r="3670" ht="242.25" customHeight="1">
      <c r="B3670" s="32" t="str">
        <f>IMAGE("https://gymvisual.com/4263-catalog_default/suspension-calf-raise.jpg",4,500,500)</f>
        <v/>
      </c>
      <c r="C3670" s="30">
        <v>3669.0</v>
      </c>
      <c r="D3670" s="16" t="s">
        <v>4577</v>
      </c>
      <c r="E3670" s="16" t="s">
        <v>184</v>
      </c>
      <c r="F3670" s="16" t="s">
        <v>325</v>
      </c>
      <c r="G3670" s="16" t="s">
        <v>3009</v>
      </c>
      <c r="H3670" s="16" t="s">
        <v>368</v>
      </c>
      <c r="I3670" s="16" t="s">
        <v>463</v>
      </c>
    </row>
    <row r="3671" ht="242.25" customHeight="1">
      <c r="B3671" s="32" t="str">
        <f>IMAGE("https://gymvisual.com/4109-catalog_default/suspension-chest-dip.jpg",4,500,500)</f>
        <v/>
      </c>
      <c r="C3671" s="30">
        <v>3670.0</v>
      </c>
      <c r="D3671" s="16" t="s">
        <v>4578</v>
      </c>
      <c r="E3671" s="16" t="s">
        <v>184</v>
      </c>
      <c r="F3671" s="16" t="s">
        <v>234</v>
      </c>
      <c r="G3671" s="16" t="s">
        <v>3009</v>
      </c>
      <c r="H3671" s="16" t="s">
        <v>347</v>
      </c>
      <c r="I3671" s="16" t="s">
        <v>1764</v>
      </c>
    </row>
    <row r="3672" ht="242.25" customHeight="1">
      <c r="B3672" s="32" t="str">
        <f>IMAGE("https://gymvisual.com/4112-catalog_default/suspension-chest-press.jpg",4,500,500)</f>
        <v/>
      </c>
      <c r="C3672" s="30">
        <v>3671.0</v>
      </c>
      <c r="D3672" s="16" t="s">
        <v>4579</v>
      </c>
      <c r="E3672" s="16" t="s">
        <v>184</v>
      </c>
      <c r="F3672" s="16" t="s">
        <v>234</v>
      </c>
      <c r="G3672" s="16" t="s">
        <v>3009</v>
      </c>
      <c r="H3672" s="16" t="s">
        <v>347</v>
      </c>
      <c r="I3672" s="16" t="s">
        <v>382</v>
      </c>
    </row>
    <row r="3673" ht="242.25" customHeight="1">
      <c r="B3673" s="32" t="str">
        <f>IMAGE("https://gymvisual.com/20100-catalog_default/suspension-chin-up-female.jpg",4,500,500)</f>
        <v/>
      </c>
      <c r="C3673" s="30">
        <v>3672.0</v>
      </c>
      <c r="D3673" s="16" t="s">
        <v>4580</v>
      </c>
      <c r="E3673" s="16" t="s">
        <v>184</v>
      </c>
      <c r="F3673" s="16" t="s">
        <v>192</v>
      </c>
      <c r="G3673" s="16" t="s">
        <v>3009</v>
      </c>
      <c r="H3673" s="16" t="s">
        <v>220</v>
      </c>
      <c r="I3673" s="16" t="s">
        <v>220</v>
      </c>
    </row>
    <row r="3674" ht="242.25" customHeight="1">
      <c r="B3674" s="32" t="str">
        <f>IMAGE("https://gymvisual.com/4220-catalog_default/suspension-close-grip-chest-press.jpg",4,500,500)</f>
        <v/>
      </c>
      <c r="C3674" s="30">
        <v>3673.0</v>
      </c>
      <c r="D3674" s="16" t="s">
        <v>4581</v>
      </c>
      <c r="E3674" s="16" t="s">
        <v>184</v>
      </c>
      <c r="F3674" s="16" t="s">
        <v>234</v>
      </c>
      <c r="G3674" s="16" t="s">
        <v>3009</v>
      </c>
      <c r="H3674" s="16" t="s">
        <v>347</v>
      </c>
      <c r="I3674" s="16" t="s">
        <v>382</v>
      </c>
    </row>
    <row r="3675" ht="242.25" customHeight="1">
      <c r="B3675" s="32" t="str">
        <f>IMAGE("https://gymvisual.com/4221-catalog_default/suspension-crunch.jpg",4,500,500)</f>
        <v/>
      </c>
      <c r="C3675" s="30">
        <v>3674.0</v>
      </c>
      <c r="D3675" s="16" t="s">
        <v>4582</v>
      </c>
      <c r="E3675" s="16" t="s">
        <v>184</v>
      </c>
      <c r="F3675" s="16" t="s">
        <v>254</v>
      </c>
      <c r="G3675" s="16" t="s">
        <v>3009</v>
      </c>
      <c r="H3675" s="16" t="s">
        <v>305</v>
      </c>
      <c r="I3675" s="16" t="s">
        <v>257</v>
      </c>
    </row>
    <row r="3676" ht="242.25" customHeight="1">
      <c r="B3676" s="32" t="str">
        <f>IMAGE("https://gymvisual.com/4222-catalog_default/suspension-face-pul.jpg",4,500,500)</f>
        <v/>
      </c>
      <c r="C3676" s="30">
        <v>3675.0</v>
      </c>
      <c r="D3676" s="16" t="s">
        <v>4583</v>
      </c>
      <c r="E3676" s="16" t="s">
        <v>184</v>
      </c>
      <c r="F3676" s="16" t="s">
        <v>228</v>
      </c>
      <c r="G3676" s="16" t="s">
        <v>3009</v>
      </c>
      <c r="H3676" s="16" t="s">
        <v>408</v>
      </c>
      <c r="I3676" s="16" t="s">
        <v>4584</v>
      </c>
    </row>
    <row r="3677" ht="242.25" customHeight="1">
      <c r="B3677" s="32" t="str">
        <f>IMAGE("https://gymvisual.com/4115-catalog_default/suspension-fly.jpg",4,500,500)</f>
        <v/>
      </c>
      <c r="C3677" s="30">
        <v>3676.0</v>
      </c>
      <c r="D3677" s="16" t="s">
        <v>4585</v>
      </c>
      <c r="E3677" s="16" t="s">
        <v>184</v>
      </c>
      <c r="F3677" s="16" t="s">
        <v>234</v>
      </c>
      <c r="G3677" s="16" t="s">
        <v>3009</v>
      </c>
      <c r="H3677" s="16" t="s">
        <v>347</v>
      </c>
      <c r="I3677" s="16" t="s">
        <v>420</v>
      </c>
    </row>
    <row r="3678" ht="242.25" customHeight="1">
      <c r="B3678" s="32" t="str">
        <f>IMAGE("https://gymvisual.com/4223-catalog_default/suspension-front-plank.jpg",4,500,500)</f>
        <v/>
      </c>
      <c r="C3678" s="30">
        <v>3677.0</v>
      </c>
      <c r="D3678" s="16" t="s">
        <v>4586</v>
      </c>
      <c r="E3678" s="16" t="s">
        <v>184</v>
      </c>
      <c r="F3678" s="16" t="s">
        <v>254</v>
      </c>
      <c r="G3678" s="16" t="s">
        <v>3009</v>
      </c>
      <c r="H3678" s="16" t="s">
        <v>256</v>
      </c>
      <c r="I3678" s="16" t="s">
        <v>2482</v>
      </c>
    </row>
    <row r="3679" ht="242.25" customHeight="1">
      <c r="B3679" s="32" t="str">
        <f>IMAGE("https://gymvisual.com/4118-catalog_default/suspension-front-raise.jpg",4,500,500)</f>
        <v/>
      </c>
      <c r="C3679" s="30">
        <v>3678.0</v>
      </c>
      <c r="D3679" s="16" t="s">
        <v>4587</v>
      </c>
      <c r="E3679" s="16" t="s">
        <v>184</v>
      </c>
      <c r="F3679" s="16" t="s">
        <v>228</v>
      </c>
      <c r="G3679" s="16" t="s">
        <v>3009</v>
      </c>
      <c r="H3679" s="16" t="s">
        <v>229</v>
      </c>
      <c r="I3679" s="16" t="s">
        <v>244</v>
      </c>
    </row>
    <row r="3680" ht="242.25" customHeight="1">
      <c r="B3680" s="32" t="str">
        <f>IMAGE("https://gymvisual.com/20098-catalog_default/suspension-hammer-curl-female.jpg",4,500,500)</f>
        <v/>
      </c>
      <c r="C3680" s="30">
        <v>3679.0</v>
      </c>
      <c r="D3680" s="16" t="s">
        <v>4588</v>
      </c>
      <c r="E3680" s="16" t="s">
        <v>184</v>
      </c>
      <c r="F3680" s="16" t="s">
        <v>219</v>
      </c>
      <c r="G3680" s="16" t="s">
        <v>3009</v>
      </c>
      <c r="H3680" s="16" t="s">
        <v>216</v>
      </c>
      <c r="I3680" s="16" t="s">
        <v>217</v>
      </c>
    </row>
    <row r="3681" ht="242.25" customHeight="1">
      <c r="B3681" s="32" t="str">
        <f>IMAGE("https://gymvisual.com/19353-catalog_default/suspension-hamstring-runner.jpg",4,500,500)</f>
        <v/>
      </c>
      <c r="C3681" s="30">
        <v>3680.0</v>
      </c>
      <c r="D3681" s="16" t="s">
        <v>4589</v>
      </c>
      <c r="E3681" s="16" t="s">
        <v>184</v>
      </c>
      <c r="F3681" s="16" t="s">
        <v>285</v>
      </c>
      <c r="G3681" s="16" t="s">
        <v>3009</v>
      </c>
      <c r="H3681" s="16" t="s">
        <v>188</v>
      </c>
      <c r="I3681" s="16" t="s">
        <v>368</v>
      </c>
    </row>
    <row r="3682" ht="242.25" customHeight="1">
      <c r="B3682" s="32" t="str">
        <f>IMAGE("https://gymvisual.com/4224-catalog_default/suspension-handstand-push-up.jpg",4,500,500)</f>
        <v/>
      </c>
      <c r="C3682" s="30">
        <v>3681.0</v>
      </c>
      <c r="D3682" s="16" t="s">
        <v>4590</v>
      </c>
      <c r="E3682" s="16" t="s">
        <v>184</v>
      </c>
      <c r="F3682" s="16" t="s">
        <v>219</v>
      </c>
      <c r="G3682" s="16" t="s">
        <v>3009</v>
      </c>
      <c r="H3682" s="16" t="s">
        <v>223</v>
      </c>
      <c r="I3682" s="16" t="s">
        <v>4591</v>
      </c>
    </row>
    <row r="3683" ht="242.25" customHeight="1">
      <c r="B3683" s="32" t="str">
        <f>IMAGE("https://gymvisual.com/4124-catalog_default/suspension-hip-abduction.jpg",4,500,500)</f>
        <v/>
      </c>
      <c r="C3683" s="30">
        <v>3682.0</v>
      </c>
      <c r="D3683" s="16" t="s">
        <v>4592</v>
      </c>
      <c r="E3683" s="16" t="s">
        <v>184</v>
      </c>
      <c r="F3683" s="16" t="s">
        <v>185</v>
      </c>
      <c r="G3683" s="16" t="s">
        <v>3009</v>
      </c>
      <c r="H3683" s="16" t="s">
        <v>508</v>
      </c>
      <c r="I3683" s="16" t="s">
        <v>220</v>
      </c>
    </row>
    <row r="3684" ht="242.25" customHeight="1">
      <c r="B3684" s="32" t="str">
        <f>IMAGE("https://gymvisual.com/4127-catalog_default/suspension-hip-bridge.jpg",4,500,500)</f>
        <v/>
      </c>
      <c r="C3684" s="30">
        <v>3683.0</v>
      </c>
      <c r="D3684" s="16" t="s">
        <v>4593</v>
      </c>
      <c r="E3684" s="16" t="s">
        <v>184</v>
      </c>
      <c r="F3684" s="16" t="s">
        <v>185</v>
      </c>
      <c r="G3684" s="16" t="s">
        <v>3009</v>
      </c>
      <c r="H3684" s="16" t="s">
        <v>187</v>
      </c>
      <c r="I3684" s="16" t="s">
        <v>4594</v>
      </c>
    </row>
    <row r="3685" ht="242.25" customHeight="1">
      <c r="B3685" s="32" t="str">
        <f>IMAGE("https://gymvisual.com/4266-catalog_default/suspension-hip-hinge.jpg",4,500,500)</f>
        <v/>
      </c>
      <c r="C3685" s="30">
        <v>3684.0</v>
      </c>
      <c r="D3685" s="16" t="s">
        <v>4595</v>
      </c>
      <c r="E3685" s="16" t="s">
        <v>184</v>
      </c>
      <c r="F3685" s="16" t="s">
        <v>185</v>
      </c>
      <c r="G3685" s="16" t="s">
        <v>3009</v>
      </c>
      <c r="H3685" s="16" t="s">
        <v>187</v>
      </c>
      <c r="I3685" s="16" t="s">
        <v>1241</v>
      </c>
    </row>
    <row r="3686" ht="242.25" customHeight="1">
      <c r="B3686" s="32" t="str">
        <f>IMAGE("https://gymvisual.com/4130-catalog_default/suspension-hyperextension.jpg",4,500,500)</f>
        <v/>
      </c>
      <c r="C3686" s="30">
        <v>3685.0</v>
      </c>
      <c r="D3686" s="16" t="s">
        <v>4596</v>
      </c>
      <c r="E3686" s="16" t="s">
        <v>184</v>
      </c>
      <c r="F3686" s="16" t="s">
        <v>192</v>
      </c>
      <c r="G3686" s="16" t="s">
        <v>3009</v>
      </c>
      <c r="H3686" s="16" t="s">
        <v>275</v>
      </c>
      <c r="I3686" s="16" t="s">
        <v>2412</v>
      </c>
    </row>
    <row r="3687" ht="242.25" customHeight="1">
      <c r="B3687" s="32" t="str">
        <f>IMAGE("https://gymvisual.com/4225-catalog_default/suspension-incline-push-up.jpg",4,500,500)</f>
        <v/>
      </c>
      <c r="C3687" s="30">
        <v>3686.0</v>
      </c>
      <c r="D3687" s="16" t="s">
        <v>4597</v>
      </c>
      <c r="E3687" s="16" t="s">
        <v>184</v>
      </c>
      <c r="F3687" s="16" t="s">
        <v>234</v>
      </c>
      <c r="G3687" s="16" t="s">
        <v>3009</v>
      </c>
      <c r="H3687" s="16" t="s">
        <v>235</v>
      </c>
      <c r="I3687" s="16" t="s">
        <v>243</v>
      </c>
    </row>
    <row r="3688" ht="242.25" customHeight="1">
      <c r="B3688" s="32" t="str">
        <f>IMAGE("https://gymvisual.com/4133-catalog_default/suspension-inverted-row.jpg",4,500,500)</f>
        <v/>
      </c>
      <c r="C3688" s="30">
        <v>3687.0</v>
      </c>
      <c r="D3688" s="16" t="s">
        <v>4598</v>
      </c>
      <c r="E3688" s="16" t="s">
        <v>184</v>
      </c>
      <c r="F3688" s="16" t="s">
        <v>192</v>
      </c>
      <c r="G3688" s="16" t="s">
        <v>3009</v>
      </c>
      <c r="H3688" s="16" t="s">
        <v>329</v>
      </c>
      <c r="I3688" s="16" t="s">
        <v>457</v>
      </c>
    </row>
    <row r="3689" ht="242.25" customHeight="1">
      <c r="B3689" s="32" t="str">
        <f>IMAGE("https://gymvisual.com/4139-catalog_default/suspension-jack-knife.jpg",4,500,500)</f>
        <v/>
      </c>
      <c r="C3689" s="30">
        <v>3688.0</v>
      </c>
      <c r="D3689" s="16" t="s">
        <v>4599</v>
      </c>
      <c r="E3689" s="16" t="s">
        <v>184</v>
      </c>
      <c r="F3689" s="16" t="s">
        <v>254</v>
      </c>
      <c r="G3689" s="16" t="s">
        <v>3009</v>
      </c>
      <c r="H3689" s="16" t="s">
        <v>305</v>
      </c>
      <c r="I3689" s="16" t="s">
        <v>371</v>
      </c>
    </row>
    <row r="3690" ht="242.25" customHeight="1">
      <c r="B3690" s="32" t="str">
        <f>IMAGE("https://gymvisual.com/4136-catalog_default/suspension-jack-knife-pike.jpg",4,500,500)</f>
        <v/>
      </c>
      <c r="C3690" s="30">
        <v>3689.0</v>
      </c>
      <c r="D3690" s="16" t="s">
        <v>4600</v>
      </c>
      <c r="E3690" s="16" t="s">
        <v>184</v>
      </c>
      <c r="F3690" s="16" t="s">
        <v>254</v>
      </c>
      <c r="G3690" s="16" t="s">
        <v>3009</v>
      </c>
      <c r="H3690" s="16" t="s">
        <v>305</v>
      </c>
      <c r="I3690" s="16" t="s">
        <v>4601</v>
      </c>
    </row>
    <row r="3691" ht="242.25" customHeight="1">
      <c r="B3691" s="32" t="str">
        <f>IMAGE("https://gymvisual.com/4142-catalog_default/suspension-leg-curl.jpg",4,500,500)</f>
        <v/>
      </c>
      <c r="C3691" s="30">
        <v>3690.0</v>
      </c>
      <c r="D3691" s="16" t="s">
        <v>4602</v>
      </c>
      <c r="E3691" s="16" t="s">
        <v>184</v>
      </c>
      <c r="F3691" s="16" t="s">
        <v>285</v>
      </c>
      <c r="G3691" s="16" t="s">
        <v>3009</v>
      </c>
      <c r="H3691" s="16" t="s">
        <v>188</v>
      </c>
      <c r="I3691" s="16" t="s">
        <v>368</v>
      </c>
    </row>
    <row r="3692" ht="242.25" customHeight="1">
      <c r="B3692" s="32" t="str">
        <f>IMAGE("https://gymvisual.com/4228-catalog_default/suspension-lunge-back-crossover.jpg",4,500,500)</f>
        <v/>
      </c>
      <c r="C3692" s="30">
        <v>3691.0</v>
      </c>
      <c r="D3692" s="16" t="s">
        <v>4603</v>
      </c>
      <c r="E3692" s="16" t="s">
        <v>184</v>
      </c>
      <c r="F3692" s="16" t="s">
        <v>285</v>
      </c>
      <c r="G3692" s="16" t="s">
        <v>3009</v>
      </c>
      <c r="H3692" s="16" t="s">
        <v>552</v>
      </c>
      <c r="I3692" s="16" t="s">
        <v>4604</v>
      </c>
    </row>
    <row r="3693" ht="242.25" customHeight="1">
      <c r="B3693" s="32" t="str">
        <f>IMAGE("https://gymvisual.com/4229-catalog_default/suspension-middle-row.jpg",4,500,500)</f>
        <v/>
      </c>
      <c r="C3693" s="30">
        <v>3692.0</v>
      </c>
      <c r="D3693" s="16" t="s">
        <v>4605</v>
      </c>
      <c r="E3693" s="16" t="s">
        <v>184</v>
      </c>
      <c r="F3693" s="16" t="s">
        <v>228</v>
      </c>
      <c r="G3693" s="16" t="s">
        <v>3009</v>
      </c>
      <c r="H3693" s="16" t="s">
        <v>408</v>
      </c>
      <c r="I3693" s="16" t="s">
        <v>490</v>
      </c>
    </row>
    <row r="3694" ht="242.25" customHeight="1">
      <c r="B3694" s="32" t="str">
        <f>IMAGE("https://gymvisual.com/19355-catalog_default/suspension-mountain-climber.jpg",4,500,500)</f>
        <v/>
      </c>
      <c r="C3694" s="30">
        <v>3693.0</v>
      </c>
      <c r="D3694" s="16" t="s">
        <v>4606</v>
      </c>
      <c r="E3694" s="16" t="s">
        <v>184</v>
      </c>
      <c r="F3694" s="16" t="s">
        <v>185</v>
      </c>
      <c r="G3694" s="16" t="s">
        <v>3009</v>
      </c>
      <c r="H3694" s="16" t="s">
        <v>271</v>
      </c>
      <c r="I3694" s="16" t="s">
        <v>563</v>
      </c>
    </row>
    <row r="3695" ht="242.25" customHeight="1">
      <c r="B3695" s="32" t="str">
        <f>IMAGE("https://gymvisual.com/4230-catalog_default/suspension-mountain-climber-push-up.jpg",4,500,500)</f>
        <v/>
      </c>
      <c r="C3695" s="30">
        <v>3694.0</v>
      </c>
      <c r="D3695" s="16" t="s">
        <v>4607</v>
      </c>
      <c r="E3695" s="16" t="s">
        <v>184</v>
      </c>
      <c r="F3695" s="16" t="s">
        <v>185</v>
      </c>
      <c r="G3695" s="16" t="s">
        <v>3009</v>
      </c>
      <c r="H3695" s="16" t="s">
        <v>4608</v>
      </c>
      <c r="I3695" s="16" t="s">
        <v>4609</v>
      </c>
    </row>
    <row r="3696" ht="242.25" customHeight="1">
      <c r="B3696" s="32" t="str">
        <f>IMAGE("https://gymvisual.com/4231-catalog_default/suspension-oblique-rollout.jpg",4,500,500)</f>
        <v/>
      </c>
      <c r="C3696" s="30">
        <v>3695.0</v>
      </c>
      <c r="D3696" s="16" t="s">
        <v>4610</v>
      </c>
      <c r="E3696" s="16" t="s">
        <v>184</v>
      </c>
      <c r="F3696" s="16" t="s">
        <v>254</v>
      </c>
      <c r="G3696" s="16" t="s">
        <v>3009</v>
      </c>
      <c r="H3696" s="16" t="s">
        <v>257</v>
      </c>
      <c r="I3696" s="16" t="s">
        <v>4611</v>
      </c>
    </row>
    <row r="3697" ht="242.25" customHeight="1">
      <c r="B3697" s="32" t="str">
        <f>IMAGE("https://gymvisual.com/4232-catalog_default/suspension-one-arm-biceps-curl.jpg",4,500,500)</f>
        <v/>
      </c>
      <c r="C3697" s="30">
        <v>3696.0</v>
      </c>
      <c r="D3697" s="16" t="s">
        <v>4612</v>
      </c>
      <c r="E3697" s="16" t="s">
        <v>184</v>
      </c>
      <c r="F3697" s="16" t="s">
        <v>219</v>
      </c>
      <c r="G3697" s="16" t="s">
        <v>3009</v>
      </c>
      <c r="H3697" s="16" t="s">
        <v>241</v>
      </c>
      <c r="I3697" s="16" t="s">
        <v>292</v>
      </c>
    </row>
    <row r="3698" ht="242.25" customHeight="1">
      <c r="B3698" s="32" t="str">
        <f>IMAGE("https://gymvisual.com/4233-catalog_default/suspension-one-arm-chest-press.jpg",4,500,500)</f>
        <v/>
      </c>
      <c r="C3698" s="30">
        <v>3697.0</v>
      </c>
      <c r="D3698" s="16" t="s">
        <v>4613</v>
      </c>
      <c r="E3698" s="16" t="s">
        <v>184</v>
      </c>
      <c r="F3698" s="16" t="s">
        <v>234</v>
      </c>
      <c r="G3698" s="16" t="s">
        <v>3009</v>
      </c>
      <c r="H3698" s="16" t="s">
        <v>347</v>
      </c>
      <c r="I3698" s="16" t="s">
        <v>382</v>
      </c>
    </row>
    <row r="3699" ht="242.25" customHeight="1">
      <c r="B3699" s="32" t="str">
        <f>IMAGE("https://gymvisual.com/4234-catalog_default/suspension-one-arm-leg-push-up.jpg",4,500,500)</f>
        <v/>
      </c>
      <c r="C3699" s="30">
        <v>3698.0</v>
      </c>
      <c r="D3699" s="16" t="s">
        <v>4614</v>
      </c>
      <c r="E3699" s="16" t="s">
        <v>184</v>
      </c>
      <c r="F3699" s="16" t="s">
        <v>234</v>
      </c>
      <c r="G3699" s="16" t="s">
        <v>3009</v>
      </c>
      <c r="H3699" s="16" t="s">
        <v>347</v>
      </c>
      <c r="I3699" s="16" t="s">
        <v>382</v>
      </c>
    </row>
    <row r="3700" ht="242.25" customHeight="1">
      <c r="B3700" s="32" t="str">
        <f>IMAGE("https://gymvisual.com/4235-catalog_default/suspension-one-leg-chest-press.jpg",4,500,500)</f>
        <v/>
      </c>
      <c r="C3700" s="30">
        <v>3699.0</v>
      </c>
      <c r="D3700" s="16" t="s">
        <v>4615</v>
      </c>
      <c r="E3700" s="16" t="s">
        <v>184</v>
      </c>
      <c r="F3700" s="16" t="s">
        <v>234</v>
      </c>
      <c r="G3700" s="16" t="s">
        <v>3009</v>
      </c>
      <c r="H3700" s="16" t="s">
        <v>347</v>
      </c>
      <c r="I3700" s="16" t="s">
        <v>382</v>
      </c>
    </row>
    <row r="3701" ht="242.25" customHeight="1">
      <c r="B3701" s="32" t="str">
        <f>IMAGE("https://gymvisual.com/4265-catalog_default/suspension-pendulum.jpg",4,500,500)</f>
        <v/>
      </c>
      <c r="C3701" s="30">
        <v>3700.0</v>
      </c>
      <c r="D3701" s="16" t="s">
        <v>4616</v>
      </c>
      <c r="E3701" s="16" t="s">
        <v>184</v>
      </c>
      <c r="F3701" s="16" t="s">
        <v>254</v>
      </c>
      <c r="G3701" s="16" t="s">
        <v>3009</v>
      </c>
      <c r="H3701" s="16" t="s">
        <v>257</v>
      </c>
      <c r="I3701" s="16" t="s">
        <v>4617</v>
      </c>
    </row>
    <row r="3702" ht="242.25" customHeight="1">
      <c r="B3702" s="32" t="str">
        <f>IMAGE("https://gymvisual.com/4148-catalog_default/suspension-pike.jpg",4,500,500)</f>
        <v/>
      </c>
      <c r="C3702" s="30">
        <v>3701.0</v>
      </c>
      <c r="D3702" s="16" t="s">
        <v>4618</v>
      </c>
      <c r="E3702" s="16" t="s">
        <v>184</v>
      </c>
      <c r="F3702" s="16" t="s">
        <v>185</v>
      </c>
      <c r="G3702" s="16" t="s">
        <v>3009</v>
      </c>
      <c r="H3702" s="16" t="s">
        <v>271</v>
      </c>
      <c r="I3702" s="16" t="s">
        <v>566</v>
      </c>
    </row>
    <row r="3703" ht="242.25" customHeight="1">
      <c r="B3703" s="32" t="str">
        <f>IMAGE("https://gymvisual.com/19357-catalog_default/suspension-power-pull.jpg",4,500,500)</f>
        <v/>
      </c>
      <c r="C3703" s="30">
        <v>3702.0</v>
      </c>
      <c r="D3703" s="16" t="s">
        <v>4619</v>
      </c>
      <c r="E3703" s="16" t="s">
        <v>184</v>
      </c>
      <c r="F3703" s="16" t="s">
        <v>192</v>
      </c>
      <c r="G3703" s="16" t="s">
        <v>3009</v>
      </c>
      <c r="H3703" s="16" t="s">
        <v>329</v>
      </c>
      <c r="I3703" s="16" t="s">
        <v>4620</v>
      </c>
    </row>
    <row r="3704" ht="242.25" customHeight="1">
      <c r="B3704" s="32" t="str">
        <f>IMAGE("https://gymvisual.com/4154-catalog_default/suspension-pull-through.jpg",4,500,500)</f>
        <v/>
      </c>
      <c r="C3704" s="30">
        <v>3703.0</v>
      </c>
      <c r="D3704" s="16" t="s">
        <v>4621</v>
      </c>
      <c r="E3704" s="16" t="s">
        <v>184</v>
      </c>
      <c r="F3704" s="16" t="s">
        <v>192</v>
      </c>
      <c r="G3704" s="16" t="s">
        <v>3009</v>
      </c>
      <c r="H3704" s="16" t="s">
        <v>275</v>
      </c>
      <c r="I3704" s="16" t="s">
        <v>4622</v>
      </c>
    </row>
    <row r="3705" ht="242.25" customHeight="1">
      <c r="B3705" s="32" t="str">
        <f>IMAGE("https://gymvisual.com/4157-catalog_default/suspension-pull-up.jpg",4,500,500)</f>
        <v/>
      </c>
      <c r="C3705" s="30">
        <v>3704.0</v>
      </c>
      <c r="D3705" s="16" t="s">
        <v>4623</v>
      </c>
      <c r="E3705" s="16" t="s">
        <v>184</v>
      </c>
      <c r="F3705" s="16" t="s">
        <v>192</v>
      </c>
      <c r="G3705" s="16" t="s">
        <v>3009</v>
      </c>
      <c r="H3705" s="16" t="s">
        <v>300</v>
      </c>
      <c r="I3705" s="16" t="s">
        <v>4624</v>
      </c>
    </row>
    <row r="3706" ht="242.25" customHeight="1">
      <c r="B3706" s="32" t="str">
        <f>IMAGE("https://gymvisual.com/4236-catalog_default/suspension-pull-up-version-2.jpg",4,500,500)</f>
        <v/>
      </c>
      <c r="C3706" s="30">
        <v>3705.0</v>
      </c>
      <c r="D3706" s="16" t="s">
        <v>4625</v>
      </c>
      <c r="E3706" s="16" t="s">
        <v>184</v>
      </c>
      <c r="F3706" s="16" t="s">
        <v>192</v>
      </c>
      <c r="G3706" s="16" t="s">
        <v>3009</v>
      </c>
      <c r="H3706" s="16" t="s">
        <v>329</v>
      </c>
      <c r="I3706" s="16" t="s">
        <v>4626</v>
      </c>
    </row>
    <row r="3707" ht="242.25" customHeight="1">
      <c r="B3707" s="32" t="str">
        <f>IMAGE("https://gymvisual.com/4237-catalog_default/suspension-push-up.jpg",4,500,500)</f>
        <v/>
      </c>
      <c r="C3707" s="30">
        <v>3706.0</v>
      </c>
      <c r="D3707" s="16" t="s">
        <v>4627</v>
      </c>
      <c r="E3707" s="16" t="s">
        <v>184</v>
      </c>
      <c r="F3707" s="16" t="s">
        <v>234</v>
      </c>
      <c r="G3707" s="16" t="s">
        <v>3009</v>
      </c>
      <c r="H3707" s="16" t="s">
        <v>347</v>
      </c>
      <c r="I3707" s="16" t="s">
        <v>382</v>
      </c>
    </row>
    <row r="3708" ht="242.25" customHeight="1">
      <c r="B3708" s="32" t="str">
        <f>IMAGE("https://gymvisual.com/4160-catalog_default/suspension-rear-delt-row.jpg",4,500,500)</f>
        <v/>
      </c>
      <c r="C3708" s="30">
        <v>3707.0</v>
      </c>
      <c r="D3708" s="16" t="s">
        <v>4628</v>
      </c>
      <c r="E3708" s="16" t="s">
        <v>184</v>
      </c>
      <c r="F3708" s="16" t="s">
        <v>228</v>
      </c>
      <c r="G3708" s="16" t="s">
        <v>3009</v>
      </c>
      <c r="H3708" s="16" t="s">
        <v>408</v>
      </c>
      <c r="I3708" s="16" t="s">
        <v>4629</v>
      </c>
    </row>
    <row r="3709" ht="242.25" customHeight="1">
      <c r="B3709" s="32" t="str">
        <f>IMAGE("https://gymvisual.com/4238-catalog_default/suspension-rear-lunge.jpg",4,500,500)</f>
        <v/>
      </c>
      <c r="C3709" s="30">
        <v>3708.0</v>
      </c>
      <c r="D3709" s="16" t="s">
        <v>4630</v>
      </c>
      <c r="E3709" s="16" t="s">
        <v>184</v>
      </c>
      <c r="F3709" s="16" t="s">
        <v>285</v>
      </c>
      <c r="G3709" s="16" t="s">
        <v>3009</v>
      </c>
      <c r="H3709" s="16" t="s">
        <v>189</v>
      </c>
      <c r="I3709" s="16" t="s">
        <v>190</v>
      </c>
    </row>
    <row r="3710" ht="242.25" customHeight="1">
      <c r="B3710" s="32" t="str">
        <f>IMAGE("https://gymvisual.com/4163-catalog_default/suspension-reverse-fly.jpg",4,500,500)</f>
        <v/>
      </c>
      <c r="C3710" s="30">
        <v>3709.0</v>
      </c>
      <c r="D3710" s="16" t="s">
        <v>4631</v>
      </c>
      <c r="E3710" s="16" t="s">
        <v>184</v>
      </c>
      <c r="F3710" s="16" t="s">
        <v>228</v>
      </c>
      <c r="G3710" s="16" t="s">
        <v>3009</v>
      </c>
      <c r="H3710" s="16" t="s">
        <v>408</v>
      </c>
      <c r="I3710" s="16" t="s">
        <v>731</v>
      </c>
    </row>
    <row r="3711" ht="242.25" customHeight="1">
      <c r="B3711" s="32" t="str">
        <f>IMAGE("https://gymvisual.com/4239-catalog_default/suspension-reverse-fly-wake-up.jpg",4,500,500)</f>
        <v/>
      </c>
      <c r="C3711" s="30">
        <v>3710.0</v>
      </c>
      <c r="D3711" s="16" t="s">
        <v>4632</v>
      </c>
      <c r="E3711" s="16" t="s">
        <v>184</v>
      </c>
      <c r="F3711" s="16" t="s">
        <v>192</v>
      </c>
      <c r="G3711" s="16" t="s">
        <v>3009</v>
      </c>
      <c r="H3711" s="16" t="s">
        <v>4633</v>
      </c>
      <c r="I3711" s="16" t="s">
        <v>4634</v>
      </c>
    </row>
    <row r="3712" ht="242.25" customHeight="1">
      <c r="B3712" s="32" t="str">
        <f>IMAGE("https://gymvisual.com/4166-catalog_default/suspension-rollout.jpg",4,500,500)</f>
        <v/>
      </c>
      <c r="C3712" s="30">
        <v>3711.0</v>
      </c>
      <c r="D3712" s="16" t="s">
        <v>4635</v>
      </c>
      <c r="E3712" s="16" t="s">
        <v>184</v>
      </c>
      <c r="F3712" s="16" t="s">
        <v>254</v>
      </c>
      <c r="G3712" s="16" t="s">
        <v>3009</v>
      </c>
      <c r="H3712" s="16" t="s">
        <v>256</v>
      </c>
      <c r="I3712" s="16" t="s">
        <v>4636</v>
      </c>
    </row>
    <row r="3713" ht="242.25" customHeight="1">
      <c r="B3713" s="32" t="str">
        <f>IMAGE("https://gymvisual.com/4169-catalog_default/suspension-row.jpg",4,500,500)</f>
        <v/>
      </c>
      <c r="C3713" s="30">
        <v>3712.0</v>
      </c>
      <c r="D3713" s="16" t="s">
        <v>4637</v>
      </c>
      <c r="E3713" s="16" t="s">
        <v>184</v>
      </c>
      <c r="F3713" s="16" t="s">
        <v>192</v>
      </c>
      <c r="G3713" s="16" t="s">
        <v>3009</v>
      </c>
      <c r="H3713" s="16" t="s">
        <v>329</v>
      </c>
      <c r="I3713" s="16" t="s">
        <v>447</v>
      </c>
    </row>
    <row r="3714" ht="242.25" customHeight="1">
      <c r="B3714" s="32" t="str">
        <f>IMAGE("https://gymvisual.com/4172-catalog_default/suspension-self-assisted-chest-dip.jpg",4,500,500)</f>
        <v/>
      </c>
      <c r="C3714" s="30">
        <v>3713.0</v>
      </c>
      <c r="D3714" s="16" t="s">
        <v>4638</v>
      </c>
      <c r="E3714" s="16" t="s">
        <v>184</v>
      </c>
      <c r="F3714" s="16" t="s">
        <v>234</v>
      </c>
      <c r="G3714" s="16" t="s">
        <v>3009</v>
      </c>
      <c r="H3714" s="16" t="s">
        <v>347</v>
      </c>
      <c r="I3714" s="16" t="s">
        <v>1764</v>
      </c>
    </row>
    <row r="3715" ht="242.25" customHeight="1">
      <c r="B3715" s="32" t="str">
        <f>IMAGE("https://gymvisual.com/4175-catalog_default/suspension-self-assisted-pull-up.jpg",4,500,500)</f>
        <v/>
      </c>
      <c r="C3715" s="30">
        <v>3714.0</v>
      </c>
      <c r="D3715" s="16" t="s">
        <v>4639</v>
      </c>
      <c r="E3715" s="16" t="s">
        <v>184</v>
      </c>
      <c r="F3715" s="16" t="s">
        <v>192</v>
      </c>
      <c r="G3715" s="16" t="s">
        <v>3009</v>
      </c>
      <c r="H3715" s="16" t="s">
        <v>300</v>
      </c>
      <c r="I3715" s="16" t="s">
        <v>535</v>
      </c>
    </row>
    <row r="3716" ht="242.25" customHeight="1">
      <c r="B3716" s="32" t="str">
        <f>IMAGE("https://gymvisual.com/4178-catalog_default/suspension-self-assisted-triceps-dip.jpg",4,500,500)</f>
        <v/>
      </c>
      <c r="C3716" s="30">
        <v>3715.0</v>
      </c>
      <c r="D3716" s="16" t="s">
        <v>4640</v>
      </c>
      <c r="E3716" s="16" t="s">
        <v>184</v>
      </c>
      <c r="F3716" s="16" t="s">
        <v>219</v>
      </c>
      <c r="G3716" s="16" t="s">
        <v>3009</v>
      </c>
      <c r="H3716" s="16" t="s">
        <v>223</v>
      </c>
      <c r="I3716" s="16" t="s">
        <v>394</v>
      </c>
    </row>
    <row r="3717" ht="242.25" customHeight="1">
      <c r="B3717" s="32" t="str">
        <f>IMAGE("https://gymvisual.com/4181-catalog_default/suspension-shoulder-external-rotation.jpg",4,500,500)</f>
        <v/>
      </c>
      <c r="C3717" s="30">
        <v>3716.0</v>
      </c>
      <c r="D3717" s="16" t="s">
        <v>4641</v>
      </c>
      <c r="E3717" s="16" t="s">
        <v>184</v>
      </c>
      <c r="F3717" s="16" t="s">
        <v>192</v>
      </c>
      <c r="G3717" s="16" t="s">
        <v>3009</v>
      </c>
      <c r="H3717" s="16" t="s">
        <v>2451</v>
      </c>
      <c r="I3717" s="16" t="s">
        <v>4642</v>
      </c>
    </row>
    <row r="3718" ht="242.25" customHeight="1">
      <c r="B3718" s="32" t="str">
        <f>IMAGE("https://gymvisual.com/4184-catalog_default/suspension-side-bend.jpg",4,500,500)</f>
        <v/>
      </c>
      <c r="C3718" s="30">
        <v>3717.0</v>
      </c>
      <c r="D3718" s="16" t="s">
        <v>4643</v>
      </c>
      <c r="E3718" s="16" t="s">
        <v>184</v>
      </c>
      <c r="F3718" s="16" t="s">
        <v>254</v>
      </c>
      <c r="G3718" s="16" t="s">
        <v>3009</v>
      </c>
      <c r="H3718" s="16" t="s">
        <v>257</v>
      </c>
      <c r="I3718" s="16" t="s">
        <v>4644</v>
      </c>
    </row>
    <row r="3719" ht="242.25" customHeight="1">
      <c r="B3719" s="32" t="str">
        <f>IMAGE("https://gymvisual.com/4187-catalog_default/suspension-side-bridge.jpg",4,500,500)</f>
        <v/>
      </c>
      <c r="C3719" s="30">
        <v>3718.0</v>
      </c>
      <c r="D3719" s="16" t="s">
        <v>4645</v>
      </c>
      <c r="E3719" s="16" t="s">
        <v>184</v>
      </c>
      <c r="F3719" s="16" t="s">
        <v>254</v>
      </c>
      <c r="G3719" s="16" t="s">
        <v>3009</v>
      </c>
      <c r="H3719" s="16" t="s">
        <v>257</v>
      </c>
      <c r="I3719" s="16" t="s">
        <v>4646</v>
      </c>
    </row>
    <row r="3720" ht="242.25" customHeight="1">
      <c r="B3720" s="32" t="str">
        <f>IMAGE("https://gymvisual.com/4240-catalog_default/suspension-side-cross-lunge.jpg",4,500,500)</f>
        <v/>
      </c>
      <c r="C3720" s="30">
        <v>3719.0</v>
      </c>
      <c r="D3720" s="16" t="s">
        <v>4647</v>
      </c>
      <c r="E3720" s="16" t="s">
        <v>184</v>
      </c>
      <c r="F3720" s="16" t="s">
        <v>285</v>
      </c>
      <c r="G3720" s="16" t="s">
        <v>3009</v>
      </c>
      <c r="H3720" s="16" t="s">
        <v>552</v>
      </c>
      <c r="I3720" s="16" t="s">
        <v>4648</v>
      </c>
    </row>
    <row r="3721" ht="242.25" customHeight="1">
      <c r="B3721" s="32" t="str">
        <f>IMAGE("https://gymvisual.com/4241-catalog_default/suspension-side-lunge.jpg",4,500,500)</f>
        <v/>
      </c>
      <c r="C3721" s="30">
        <v>3720.0</v>
      </c>
      <c r="D3721" s="16" t="s">
        <v>4649</v>
      </c>
      <c r="E3721" s="16" t="s">
        <v>184</v>
      </c>
      <c r="F3721" s="16" t="s">
        <v>285</v>
      </c>
      <c r="G3721" s="16" t="s">
        <v>3009</v>
      </c>
      <c r="H3721" s="16" t="s">
        <v>4650</v>
      </c>
      <c r="I3721" s="16" t="s">
        <v>4185</v>
      </c>
    </row>
    <row r="3722" ht="242.25" customHeight="1">
      <c r="B3722" s="32" t="str">
        <f>IMAGE("https://gymvisual.com/4242-catalog_default/suspension-single-arm-rear-delt-row.jpg",4,500,500)</f>
        <v/>
      </c>
      <c r="C3722" s="30">
        <v>3721.0</v>
      </c>
      <c r="D3722" s="16" t="s">
        <v>4651</v>
      </c>
      <c r="E3722" s="16" t="s">
        <v>184</v>
      </c>
      <c r="F3722" s="16" t="s">
        <v>228</v>
      </c>
      <c r="G3722" s="16" t="s">
        <v>3009</v>
      </c>
      <c r="H3722" s="16" t="s">
        <v>408</v>
      </c>
      <c r="I3722" s="16" t="s">
        <v>490</v>
      </c>
    </row>
    <row r="3723" ht="242.25" customHeight="1">
      <c r="B3723" s="32" t="str">
        <f>IMAGE("https://gymvisual.com/4264-catalog_default/suspension-single-leg-deadlift.jpg",4,500,500)</f>
        <v/>
      </c>
      <c r="C3723" s="30">
        <v>3722.0</v>
      </c>
      <c r="D3723" s="16" t="s">
        <v>4652</v>
      </c>
      <c r="E3723" s="16" t="s">
        <v>184</v>
      </c>
      <c r="F3723" s="16" t="s">
        <v>185</v>
      </c>
      <c r="G3723" s="16" t="s">
        <v>3009</v>
      </c>
      <c r="H3723" s="16" t="s">
        <v>187</v>
      </c>
      <c r="I3723" s="16" t="s">
        <v>188</v>
      </c>
    </row>
    <row r="3724" ht="242.25" customHeight="1">
      <c r="B3724" s="32" t="str">
        <f>IMAGE("https://gymvisual.com/4244-catalog_default/suspension-single-leg-plank.jpg",4,500,500)</f>
        <v/>
      </c>
      <c r="C3724" s="30">
        <v>3723.0</v>
      </c>
      <c r="D3724" s="16" t="s">
        <v>4653</v>
      </c>
      <c r="E3724" s="16" t="s">
        <v>184</v>
      </c>
      <c r="F3724" s="16" t="s">
        <v>254</v>
      </c>
      <c r="G3724" s="16" t="s">
        <v>3009</v>
      </c>
      <c r="H3724" s="16" t="s">
        <v>256</v>
      </c>
      <c r="I3724" s="16" t="s">
        <v>2482</v>
      </c>
    </row>
    <row r="3725" ht="242.25" customHeight="1">
      <c r="B3725" s="32" t="str">
        <f>IMAGE("https://gymvisual.com/4243-catalog_default/suspension-single-leg-plank-straight-arm.jpg",4,500,500)</f>
        <v/>
      </c>
      <c r="C3725" s="30">
        <v>3724.0</v>
      </c>
      <c r="D3725" s="16" t="s">
        <v>4654</v>
      </c>
      <c r="E3725" s="16" t="s">
        <v>184</v>
      </c>
      <c r="F3725" s="16" t="s">
        <v>254</v>
      </c>
      <c r="G3725" s="16" t="s">
        <v>3009</v>
      </c>
      <c r="H3725" s="16" t="s">
        <v>256</v>
      </c>
      <c r="I3725" s="16" t="s">
        <v>2482</v>
      </c>
    </row>
    <row r="3726" ht="242.25" customHeight="1">
      <c r="B3726" s="32" t="str">
        <f>IMAGE("https://gymvisual.com/4193-catalog_default/suspension-single-leg-split-squat.jpg",4,500,500)</f>
        <v/>
      </c>
      <c r="C3726" s="30">
        <v>3725.0</v>
      </c>
      <c r="D3726" s="16" t="s">
        <v>4655</v>
      </c>
      <c r="E3726" s="16" t="s">
        <v>184</v>
      </c>
      <c r="F3726" s="16" t="s">
        <v>185</v>
      </c>
      <c r="G3726" s="16" t="s">
        <v>3009</v>
      </c>
      <c r="H3726" s="16" t="s">
        <v>187</v>
      </c>
      <c r="I3726" s="16" t="s">
        <v>480</v>
      </c>
    </row>
    <row r="3727" ht="242.25" customHeight="1">
      <c r="B3727" s="32" t="str">
        <f>IMAGE("https://gymvisual.com/4190-catalog_default/suspension-single-leg-split-squat-self-assisted.jpg",4,500,500)</f>
        <v/>
      </c>
      <c r="C3727" s="30">
        <v>3726.0</v>
      </c>
      <c r="D3727" s="16" t="s">
        <v>4656</v>
      </c>
      <c r="E3727" s="16" t="s">
        <v>184</v>
      </c>
      <c r="F3727" s="16" t="s">
        <v>185</v>
      </c>
      <c r="G3727" s="16" t="s">
        <v>3009</v>
      </c>
      <c r="H3727" s="16" t="s">
        <v>187</v>
      </c>
      <c r="I3727" s="16" t="s">
        <v>480</v>
      </c>
    </row>
    <row r="3728" ht="242.25" customHeight="1">
      <c r="B3728" s="32" t="str">
        <f>IMAGE("https://gymvisual.com/4196-catalog_default/suspension-single-leg-squat.jpg",4,500,500)</f>
        <v/>
      </c>
      <c r="C3728" s="30">
        <v>3727.0</v>
      </c>
      <c r="D3728" s="16" t="s">
        <v>4657</v>
      </c>
      <c r="E3728" s="16" t="s">
        <v>184</v>
      </c>
      <c r="F3728" s="16" t="s">
        <v>185</v>
      </c>
      <c r="G3728" s="16" t="s">
        <v>3009</v>
      </c>
      <c r="H3728" s="16" t="s">
        <v>187</v>
      </c>
      <c r="I3728" s="16" t="s">
        <v>480</v>
      </c>
    </row>
    <row r="3729" ht="242.25" customHeight="1">
      <c r="B3729" s="32" t="str">
        <f>IMAGE("https://gymvisual.com/4245-catalog_default/suspension-single-leg-squat-figure.jpg",4,500,500)</f>
        <v/>
      </c>
      <c r="C3729" s="30">
        <v>3728.0</v>
      </c>
      <c r="D3729" s="16" t="s">
        <v>4658</v>
      </c>
      <c r="E3729" s="16" t="s">
        <v>184</v>
      </c>
      <c r="F3729" s="16" t="s">
        <v>285</v>
      </c>
      <c r="G3729" s="16" t="s">
        <v>3009</v>
      </c>
      <c r="H3729" s="16" t="s">
        <v>189</v>
      </c>
      <c r="I3729" s="16" t="s">
        <v>190</v>
      </c>
    </row>
    <row r="3730" ht="242.25" customHeight="1">
      <c r="B3730" s="32" t="str">
        <f>IMAGE("https://gymvisual.com/4246-catalog_default/suspension-sit-up.jpg",4,500,500)</f>
        <v/>
      </c>
      <c r="C3730" s="30">
        <v>3729.0</v>
      </c>
      <c r="D3730" s="16" t="s">
        <v>4659</v>
      </c>
      <c r="E3730" s="16" t="s">
        <v>184</v>
      </c>
      <c r="F3730" s="16" t="s">
        <v>254</v>
      </c>
      <c r="G3730" s="16" t="s">
        <v>3009</v>
      </c>
      <c r="H3730" s="16" t="s">
        <v>305</v>
      </c>
      <c r="I3730" s="16" t="s">
        <v>593</v>
      </c>
    </row>
    <row r="3731" ht="242.25" customHeight="1">
      <c r="B3731" s="32" t="str">
        <f>IMAGE("https://gymvisual.com/4247-catalog_default/suspension-spiderman-push-up.jpg",4,500,500)</f>
        <v/>
      </c>
      <c r="C3731" s="30">
        <v>3730.0</v>
      </c>
      <c r="D3731" s="16" t="s">
        <v>4660</v>
      </c>
      <c r="E3731" s="16" t="s">
        <v>184</v>
      </c>
      <c r="F3731" s="16" t="s">
        <v>185</v>
      </c>
      <c r="G3731" s="16" t="s">
        <v>3009</v>
      </c>
      <c r="H3731" s="16" t="s">
        <v>1213</v>
      </c>
      <c r="I3731" s="16" t="s">
        <v>4661</v>
      </c>
    </row>
    <row r="3732" ht="242.25" customHeight="1">
      <c r="B3732" s="32" t="str">
        <f>IMAGE("https://gymvisual.com/4248-catalog_default/suspension-split-fly.jpg",4,500,500)</f>
        <v/>
      </c>
      <c r="C3732" s="30">
        <v>3731.0</v>
      </c>
      <c r="D3732" s="16" t="s">
        <v>4662</v>
      </c>
      <c r="E3732" s="16" t="s">
        <v>184</v>
      </c>
      <c r="F3732" s="16" t="s">
        <v>228</v>
      </c>
      <c r="G3732" s="16" t="s">
        <v>3009</v>
      </c>
      <c r="H3732" s="16" t="s">
        <v>2754</v>
      </c>
      <c r="I3732" s="16" t="s">
        <v>3134</v>
      </c>
    </row>
    <row r="3733" ht="242.25" customHeight="1">
      <c r="B3733" s="32" t="str">
        <f>IMAGE("https://gymvisual.com/4249-catalog_default/suspension-sprinter.jpg",4,500,500)</f>
        <v/>
      </c>
      <c r="C3733" s="30">
        <v>3732.0</v>
      </c>
      <c r="D3733" s="16" t="s">
        <v>4663</v>
      </c>
      <c r="E3733" s="16" t="s">
        <v>184</v>
      </c>
      <c r="F3733" s="16" t="s">
        <v>285</v>
      </c>
      <c r="G3733" s="16" t="s">
        <v>3009</v>
      </c>
      <c r="H3733" s="16" t="s">
        <v>189</v>
      </c>
      <c r="I3733" s="16" t="s">
        <v>314</v>
      </c>
    </row>
    <row r="3734" ht="242.25" customHeight="1">
      <c r="B3734" s="32" t="str">
        <f>IMAGE("https://gymvisual.com/4252-catalog_default/suspension-squat.jpg",4,500,500)</f>
        <v/>
      </c>
      <c r="C3734" s="30">
        <v>3733.0</v>
      </c>
      <c r="D3734" s="16" t="s">
        <v>4664</v>
      </c>
      <c r="E3734" s="16" t="s">
        <v>184</v>
      </c>
      <c r="F3734" s="16" t="s">
        <v>285</v>
      </c>
      <c r="G3734" s="16" t="s">
        <v>3009</v>
      </c>
      <c r="H3734" s="16" t="s">
        <v>552</v>
      </c>
      <c r="I3734" s="16" t="s">
        <v>553</v>
      </c>
    </row>
    <row r="3735" ht="242.25" customHeight="1">
      <c r="B3735" s="32" t="str">
        <f>IMAGE("https://gymvisual.com/4250-catalog_default/suspension-squat-arms-overhead.jpg",4,500,500)</f>
        <v/>
      </c>
      <c r="C3735" s="30">
        <v>3734.0</v>
      </c>
      <c r="D3735" s="16" t="s">
        <v>4665</v>
      </c>
      <c r="E3735" s="16" t="s">
        <v>184</v>
      </c>
      <c r="F3735" s="16" t="s">
        <v>285</v>
      </c>
      <c r="G3735" s="16" t="s">
        <v>3009</v>
      </c>
      <c r="H3735" s="16" t="s">
        <v>189</v>
      </c>
      <c r="I3735" s="16" t="s">
        <v>190</v>
      </c>
    </row>
    <row r="3736" ht="242.25" customHeight="1">
      <c r="B3736" s="32" t="str">
        <f>IMAGE("https://gymvisual.com/4251-catalog_default/suspension-squat-power-pull.jpg",4,500,500)</f>
        <v/>
      </c>
      <c r="C3736" s="30">
        <v>3735.0</v>
      </c>
      <c r="D3736" s="16" t="s">
        <v>4666</v>
      </c>
      <c r="E3736" s="16" t="s">
        <v>184</v>
      </c>
      <c r="F3736" s="16" t="s">
        <v>285</v>
      </c>
      <c r="G3736" s="16" t="s">
        <v>3009</v>
      </c>
      <c r="H3736" s="16" t="s">
        <v>4667</v>
      </c>
      <c r="I3736" s="16" t="s">
        <v>4668</v>
      </c>
    </row>
    <row r="3737" ht="242.25" customHeight="1">
      <c r="B3737" s="32" t="str">
        <f>IMAGE("https://gymvisual.com/4253-catalog_default/suspension-standing-ab-rollout.jpg",4,500,500)</f>
        <v/>
      </c>
      <c r="C3737" s="30">
        <v>3736.0</v>
      </c>
      <c r="D3737" s="16" t="s">
        <v>4669</v>
      </c>
      <c r="E3737" s="16" t="s">
        <v>184</v>
      </c>
      <c r="F3737" s="16" t="s">
        <v>254</v>
      </c>
      <c r="G3737" s="16" t="s">
        <v>3009</v>
      </c>
      <c r="H3737" s="16" t="s">
        <v>256</v>
      </c>
      <c r="I3737" s="16" t="s">
        <v>4670</v>
      </c>
    </row>
    <row r="3738" ht="242.25" customHeight="1">
      <c r="B3738" s="32" t="str">
        <f>IMAGE("https://gymvisual.com/4254-catalog_default/suspension-star-plank.jpg",4,500,500)</f>
        <v/>
      </c>
      <c r="C3738" s="30">
        <v>3737.0</v>
      </c>
      <c r="D3738" s="16" t="s">
        <v>4671</v>
      </c>
      <c r="E3738" s="16" t="s">
        <v>184</v>
      </c>
      <c r="F3738" s="16" t="s">
        <v>254</v>
      </c>
      <c r="G3738" s="16" t="s">
        <v>3009</v>
      </c>
      <c r="H3738" s="16" t="s">
        <v>257</v>
      </c>
      <c r="I3738" s="16" t="s">
        <v>220</v>
      </c>
    </row>
    <row r="3739" ht="242.25" customHeight="1">
      <c r="B3739" s="32" t="str">
        <f>IMAGE("https://gymvisual.com/4255-catalog_default/suspension-star-push-up.jpg",4,500,500)</f>
        <v/>
      </c>
      <c r="C3739" s="30">
        <v>3738.0</v>
      </c>
      <c r="D3739" s="16" t="s">
        <v>4672</v>
      </c>
      <c r="E3739" s="16" t="s">
        <v>184</v>
      </c>
      <c r="F3739" s="16" t="s">
        <v>254</v>
      </c>
      <c r="G3739" s="16" t="s">
        <v>3009</v>
      </c>
      <c r="H3739" s="16" t="s">
        <v>1807</v>
      </c>
      <c r="I3739" s="16" t="s">
        <v>4673</v>
      </c>
    </row>
    <row r="3740" ht="242.25" customHeight="1">
      <c r="B3740" s="32" t="str">
        <f>IMAGE("https://gymvisual.com/4199-catalog_default/suspension-straight-hip-leg-curl.jpg",4,500,500)</f>
        <v/>
      </c>
      <c r="C3740" s="30">
        <v>3739.0</v>
      </c>
      <c r="D3740" s="16" t="s">
        <v>4674</v>
      </c>
      <c r="E3740" s="16" t="s">
        <v>184</v>
      </c>
      <c r="F3740" s="16" t="s">
        <v>285</v>
      </c>
      <c r="G3740" s="16" t="s">
        <v>3009</v>
      </c>
      <c r="H3740" s="16" t="s">
        <v>188</v>
      </c>
      <c r="I3740" s="16" t="s">
        <v>368</v>
      </c>
    </row>
    <row r="3741" ht="242.25" customHeight="1">
      <c r="B3741" s="32" t="str">
        <f>IMAGE("https://gymvisual.com/20092-catalog_default/suspension-sumo-squat-female.jpg",4,500,500)</f>
        <v/>
      </c>
      <c r="C3741" s="30">
        <v>3740.0</v>
      </c>
      <c r="D3741" s="16" t="s">
        <v>4675</v>
      </c>
      <c r="E3741" s="16" t="s">
        <v>184</v>
      </c>
      <c r="F3741" s="16" t="s">
        <v>185</v>
      </c>
      <c r="G3741" s="16" t="s">
        <v>3009</v>
      </c>
      <c r="H3741" s="16" t="s">
        <v>1851</v>
      </c>
      <c r="I3741" s="16" t="s">
        <v>1121</v>
      </c>
    </row>
    <row r="3742" ht="242.25" customHeight="1">
      <c r="B3742" s="32" t="str">
        <f>IMAGE("https://gymvisual.com/4256-catalog_default/suspension-supine-crunch.jpg",4,500,500)</f>
        <v/>
      </c>
      <c r="C3742" s="30">
        <v>3741.0</v>
      </c>
      <c r="D3742" s="16" t="s">
        <v>4676</v>
      </c>
      <c r="E3742" s="16" t="s">
        <v>184</v>
      </c>
      <c r="F3742" s="16" t="s">
        <v>254</v>
      </c>
      <c r="G3742" s="16" t="s">
        <v>3009</v>
      </c>
      <c r="H3742" s="16" t="s">
        <v>305</v>
      </c>
      <c r="I3742" s="16" t="s">
        <v>593</v>
      </c>
    </row>
    <row r="3743" ht="242.25" customHeight="1">
      <c r="B3743" s="32" t="str">
        <f>IMAGE("https://gymvisual.com/4257-catalog_default/suspension-supine-plank.jpg",4,500,500)</f>
        <v/>
      </c>
      <c r="C3743" s="30">
        <v>3742.0</v>
      </c>
      <c r="D3743" s="16" t="s">
        <v>4677</v>
      </c>
      <c r="E3743" s="16" t="s">
        <v>184</v>
      </c>
      <c r="F3743" s="16" t="s">
        <v>254</v>
      </c>
      <c r="G3743" s="16" t="s">
        <v>3009</v>
      </c>
      <c r="H3743" s="16" t="s">
        <v>4678</v>
      </c>
      <c r="I3743" s="16" t="s">
        <v>1328</v>
      </c>
    </row>
    <row r="3744" ht="242.25" customHeight="1">
      <c r="B3744" s="32" t="str">
        <f>IMAGE("https://gymvisual.com/4202-catalog_default/suspension-triceps-dip.jpg",4,500,500)</f>
        <v/>
      </c>
      <c r="C3744" s="30">
        <v>3743.0</v>
      </c>
      <c r="D3744" s="16" t="s">
        <v>4679</v>
      </c>
      <c r="E3744" s="16" t="s">
        <v>184</v>
      </c>
      <c r="F3744" s="16" t="s">
        <v>219</v>
      </c>
      <c r="G3744" s="16" t="s">
        <v>3009</v>
      </c>
      <c r="H3744" s="16" t="s">
        <v>223</v>
      </c>
      <c r="I3744" s="16" t="s">
        <v>394</v>
      </c>
    </row>
    <row r="3745" ht="242.25" customHeight="1">
      <c r="B3745" s="32" t="str">
        <f>IMAGE("https://gymvisual.com/4205-catalog_default/suspension-triceps-extension.jpg",4,500,500)</f>
        <v/>
      </c>
      <c r="C3745" s="30">
        <v>3744.0</v>
      </c>
      <c r="D3745" s="16" t="s">
        <v>4680</v>
      </c>
      <c r="E3745" s="16" t="s">
        <v>184</v>
      </c>
      <c r="F3745" s="16" t="s">
        <v>219</v>
      </c>
      <c r="G3745" s="16" t="s">
        <v>3009</v>
      </c>
      <c r="H3745" s="16" t="s">
        <v>223</v>
      </c>
      <c r="I3745" s="16" t="s">
        <v>220</v>
      </c>
    </row>
    <row r="3746" ht="242.25" customHeight="1">
      <c r="B3746" s="32" t="str">
        <f>IMAGE("https://gymvisual.com/4258-catalog_default/suspension-triceps-extension-push-up.jpg",4,500,500)</f>
        <v/>
      </c>
      <c r="C3746" s="30">
        <v>3745.0</v>
      </c>
      <c r="D3746" s="16" t="s">
        <v>4681</v>
      </c>
      <c r="E3746" s="16" t="s">
        <v>184</v>
      </c>
      <c r="F3746" s="16" t="s">
        <v>219</v>
      </c>
      <c r="G3746" s="16" t="s">
        <v>3009</v>
      </c>
      <c r="H3746" s="16" t="s">
        <v>223</v>
      </c>
      <c r="I3746" s="16" t="s">
        <v>220</v>
      </c>
    </row>
    <row r="3747" ht="242.25" customHeight="1">
      <c r="B3747" s="32" t="str">
        <f>IMAGE("https://gymvisual.com/4259-catalog_default/suspension-triceps-kickback.jpg",4,500,500)</f>
        <v/>
      </c>
      <c r="C3747" s="30">
        <v>3746.0</v>
      </c>
      <c r="D3747" s="16" t="s">
        <v>4682</v>
      </c>
      <c r="E3747" s="16" t="s">
        <v>184</v>
      </c>
      <c r="F3747" s="16" t="s">
        <v>219</v>
      </c>
      <c r="G3747" s="16" t="s">
        <v>3009</v>
      </c>
      <c r="H3747" s="16" t="s">
        <v>223</v>
      </c>
      <c r="I3747" s="16" t="s">
        <v>220</v>
      </c>
    </row>
    <row r="3748" ht="242.25" customHeight="1">
      <c r="B3748" s="32" t="str">
        <f>IMAGE("https://gymvisual.com/4208-catalog_default/suspension-twist.jpg",4,500,500)</f>
        <v/>
      </c>
      <c r="C3748" s="30">
        <v>3747.0</v>
      </c>
      <c r="D3748" s="16" t="s">
        <v>4683</v>
      </c>
      <c r="E3748" s="16" t="s">
        <v>184</v>
      </c>
      <c r="F3748" s="16" t="s">
        <v>254</v>
      </c>
      <c r="G3748" s="16" t="s">
        <v>3009</v>
      </c>
      <c r="H3748" s="16" t="s">
        <v>257</v>
      </c>
      <c r="I3748" s="16" t="s">
        <v>508</v>
      </c>
    </row>
    <row r="3749" ht="242.25" customHeight="1">
      <c r="B3749" s="32" t="str">
        <f>IMAGE("https://gymvisual.com/4260-catalog_default/suspension-twist-side.jpg",4,500,500)</f>
        <v/>
      </c>
      <c r="C3749" s="30">
        <v>3748.0</v>
      </c>
      <c r="D3749" s="16" t="s">
        <v>4684</v>
      </c>
      <c r="E3749" s="16" t="s">
        <v>184</v>
      </c>
      <c r="F3749" s="16" t="s">
        <v>254</v>
      </c>
      <c r="G3749" s="16" t="s">
        <v>3009</v>
      </c>
      <c r="H3749" s="16" t="s">
        <v>741</v>
      </c>
      <c r="I3749" s="16" t="s">
        <v>4685</v>
      </c>
    </row>
    <row r="3750" ht="242.25" customHeight="1">
      <c r="B3750" s="32" t="str">
        <f>IMAGE("https://gymvisual.com/4261-catalog_default/suspension-twist-up.jpg",4,500,500)</f>
        <v/>
      </c>
      <c r="C3750" s="30">
        <v>3749.0</v>
      </c>
      <c r="D3750" s="16" t="s">
        <v>4686</v>
      </c>
      <c r="E3750" s="16" t="s">
        <v>184</v>
      </c>
      <c r="F3750" s="16" t="s">
        <v>254</v>
      </c>
      <c r="G3750" s="16" t="s">
        <v>3009</v>
      </c>
      <c r="H3750" s="16" t="s">
        <v>257</v>
      </c>
      <c r="I3750" s="16" t="s">
        <v>1715</v>
      </c>
    </row>
    <row r="3751" ht="242.25" customHeight="1">
      <c r="B3751" s="32" t="str">
        <f>IMAGE("https://gymvisual.com/4211-catalog_default/suspension-twisting-jack-knife.jpg",4,500,500)</f>
        <v/>
      </c>
      <c r="C3751" s="30">
        <v>3750.0</v>
      </c>
      <c r="D3751" s="16" t="s">
        <v>4687</v>
      </c>
      <c r="E3751" s="16" t="s">
        <v>184</v>
      </c>
      <c r="F3751" s="16" t="s">
        <v>254</v>
      </c>
      <c r="G3751" s="16" t="s">
        <v>3009</v>
      </c>
      <c r="H3751" s="16" t="s">
        <v>257</v>
      </c>
      <c r="I3751" s="16" t="s">
        <v>1707</v>
      </c>
    </row>
    <row r="3752" ht="242.25" customHeight="1">
      <c r="B3752" s="32" t="str">
        <f>IMAGE("https://gymvisual.com/20096-catalog_default/suspension-underhand-grip-inverted-row-female.jpg",4,500,500)</f>
        <v/>
      </c>
      <c r="C3752" s="30">
        <v>3751.0</v>
      </c>
      <c r="D3752" s="16" t="s">
        <v>4688</v>
      </c>
      <c r="E3752" s="16" t="s">
        <v>184</v>
      </c>
      <c r="F3752" s="16" t="s">
        <v>192</v>
      </c>
      <c r="G3752" s="16" t="s">
        <v>3009</v>
      </c>
      <c r="H3752" s="16" t="s">
        <v>329</v>
      </c>
      <c r="I3752" s="16" t="s">
        <v>357</v>
      </c>
    </row>
    <row r="3753" ht="242.25" customHeight="1">
      <c r="B3753" s="32" t="str">
        <f>IMAGE("https://gymvisual.com/4214-catalog_default/suspension-y-lateral-raise.jpg",4,500,500)</f>
        <v/>
      </c>
      <c r="C3753" s="30">
        <v>3752.0</v>
      </c>
      <c r="D3753" s="16" t="s">
        <v>4689</v>
      </c>
      <c r="E3753" s="16" t="s">
        <v>184</v>
      </c>
      <c r="F3753" s="16" t="s">
        <v>228</v>
      </c>
      <c r="G3753" s="16" t="s">
        <v>3009</v>
      </c>
      <c r="H3753" s="16" t="s">
        <v>544</v>
      </c>
      <c r="I3753" s="16" t="s">
        <v>4690</v>
      </c>
    </row>
    <row r="3754" ht="242.25" hidden="1" customHeight="1">
      <c r="B3754" s="32" t="str">
        <f>IMAGE("https://gymvisual.com/6960-catalog_default/swimmer.jpg",4,500,500)</f>
        <v/>
      </c>
      <c r="C3754" s="30">
        <v>3753.0</v>
      </c>
      <c r="D3754" s="16" t="s">
        <v>4691</v>
      </c>
      <c r="E3754" s="16" t="s">
        <v>184</v>
      </c>
      <c r="F3754" s="16" t="s">
        <v>185</v>
      </c>
      <c r="G3754" s="16" t="s">
        <v>255</v>
      </c>
      <c r="H3754" s="16" t="s">
        <v>220</v>
      </c>
      <c r="I3754" s="16" t="s">
        <v>220</v>
      </c>
    </row>
    <row r="3755" ht="242.25" hidden="1" customHeight="1">
      <c r="B3755" s="32" t="str">
        <f>IMAGE("https://gymvisual.com/13775-catalog_default/swimmer-kicks-version-2-female.jpg",4,500,500)</f>
        <v/>
      </c>
      <c r="C3755" s="30">
        <v>3754.0</v>
      </c>
      <c r="D3755" s="16" t="s">
        <v>4692</v>
      </c>
      <c r="E3755" s="16" t="s">
        <v>184</v>
      </c>
      <c r="F3755" s="16" t="s">
        <v>185</v>
      </c>
      <c r="G3755" s="16" t="s">
        <v>255</v>
      </c>
      <c r="H3755" s="16" t="s">
        <v>1114</v>
      </c>
      <c r="I3755" s="16" t="s">
        <v>220</v>
      </c>
    </row>
    <row r="3756" ht="242.25" hidden="1" customHeight="1">
      <c r="B3756" s="32" t="str">
        <f>IMAGE("https://gymvisual.com/13774-catalog_default/swimmer-kicks-version-2-male.jpg",4,500,500)</f>
        <v/>
      </c>
      <c r="C3756" s="30">
        <v>3755.0</v>
      </c>
      <c r="D3756" s="16" t="s">
        <v>4693</v>
      </c>
      <c r="E3756" s="16" t="s">
        <v>184</v>
      </c>
      <c r="F3756" s="16" t="s">
        <v>185</v>
      </c>
      <c r="G3756" s="16" t="s">
        <v>255</v>
      </c>
      <c r="H3756" s="16" t="s">
        <v>1114</v>
      </c>
      <c r="I3756" s="16" t="s">
        <v>220</v>
      </c>
    </row>
    <row r="3757" ht="242.25" hidden="1" customHeight="1">
      <c r="B3757" s="32" t="str">
        <f>IMAGE("https://gymvisual.com/22325-catalog_default/table-top-bridge.jpg",4,500,500)</f>
        <v/>
      </c>
      <c r="C3757" s="30">
        <v>3756.0</v>
      </c>
      <c r="D3757" s="16" t="s">
        <v>4694</v>
      </c>
      <c r="E3757" s="16" t="s">
        <v>184</v>
      </c>
      <c r="F3757" s="16" t="s">
        <v>185</v>
      </c>
      <c r="G3757" s="16" t="s">
        <v>255</v>
      </c>
      <c r="H3757" s="16" t="s">
        <v>4695</v>
      </c>
      <c r="I3757" s="16" t="s">
        <v>220</v>
      </c>
    </row>
    <row r="3758" ht="242.25" hidden="1" customHeight="1">
      <c r="B3758" s="32" t="str">
        <f>IMAGE("https://gymvisual.com/22327-catalog_default/table-top-bridge-rotation.jpg",4,500,500)</f>
        <v/>
      </c>
      <c r="C3758" s="30">
        <v>3757.0</v>
      </c>
      <c r="D3758" s="16" t="s">
        <v>4696</v>
      </c>
      <c r="E3758" s="16" t="s">
        <v>184</v>
      </c>
      <c r="F3758" s="16" t="s">
        <v>185</v>
      </c>
      <c r="G3758" s="16" t="s">
        <v>255</v>
      </c>
      <c r="H3758" s="16" t="s">
        <v>220</v>
      </c>
      <c r="I3758" s="16" t="s">
        <v>220</v>
      </c>
    </row>
    <row r="3759" ht="242.25" hidden="1" customHeight="1">
      <c r="B3759" s="32" t="str">
        <f>IMAGE("https://gymvisual.com/7472-catalog_default/three-bench-dip.jpg",4,500,500)</f>
        <v/>
      </c>
      <c r="C3759" s="30">
        <v>3758.0</v>
      </c>
      <c r="D3759" s="16" t="s">
        <v>4697</v>
      </c>
      <c r="E3759" s="16" t="s">
        <v>184</v>
      </c>
      <c r="F3759" s="16" t="s">
        <v>219</v>
      </c>
      <c r="G3759" s="16" t="s">
        <v>255</v>
      </c>
      <c r="H3759" s="16" t="s">
        <v>220</v>
      </c>
      <c r="I3759" s="16" t="s">
        <v>220</v>
      </c>
    </row>
    <row r="3760" ht="242.25" hidden="1" customHeight="1">
      <c r="B3760" s="32" t="str">
        <f>IMAGE("https://gymvisual.com/18079-catalog_default/tiger-tail-peroneal.jpg",4,500,500)</f>
        <v/>
      </c>
      <c r="C3760" s="30">
        <v>3759.0</v>
      </c>
      <c r="D3760" s="16" t="s">
        <v>4698</v>
      </c>
      <c r="E3760" s="16" t="s">
        <v>184</v>
      </c>
      <c r="F3760" s="16" t="s">
        <v>325</v>
      </c>
      <c r="G3760" s="16" t="s">
        <v>255</v>
      </c>
      <c r="H3760" s="16" t="s">
        <v>220</v>
      </c>
      <c r="I3760" s="16" t="s">
        <v>220</v>
      </c>
    </row>
    <row r="3761" ht="242.25" hidden="1" customHeight="1">
      <c r="B3761" s="32" t="str">
        <f>IMAGE("https://gymvisual.com/10566-catalog_default/tire-flip.jpg",4,500,500)</f>
        <v/>
      </c>
      <c r="C3761" s="30">
        <v>3760.0</v>
      </c>
      <c r="D3761" s="16" t="s">
        <v>4699</v>
      </c>
      <c r="E3761" s="16" t="s">
        <v>184</v>
      </c>
      <c r="F3761" s="16" t="s">
        <v>285</v>
      </c>
      <c r="G3761" s="16" t="s">
        <v>255</v>
      </c>
      <c r="H3761" s="16" t="s">
        <v>220</v>
      </c>
      <c r="I3761" s="16" t="s">
        <v>220</v>
      </c>
    </row>
    <row r="3762" ht="242.25" hidden="1" customHeight="1">
      <c r="B3762" s="32" t="str">
        <f>IMAGE("https://gymvisual.com/2421-catalog_default/toe-touch-sit-wall.jpg",4,500,500)</f>
        <v/>
      </c>
      <c r="C3762" s="30">
        <v>3761.0</v>
      </c>
      <c r="D3762" s="16" t="s">
        <v>4700</v>
      </c>
      <c r="E3762" s="16" t="s">
        <v>184</v>
      </c>
      <c r="F3762" s="16" t="s">
        <v>285</v>
      </c>
      <c r="G3762" s="16" t="s">
        <v>255</v>
      </c>
      <c r="H3762" s="16" t="s">
        <v>2482</v>
      </c>
      <c r="I3762" s="16" t="s">
        <v>553</v>
      </c>
    </row>
    <row r="3763" ht="242.25" hidden="1" customHeight="1">
      <c r="B3763" s="32" t="str">
        <f>IMAGE("https://gymvisual.com/22516-catalog_default/top-pull-up-hold-female.jpg",4,500,500)</f>
        <v/>
      </c>
      <c r="C3763" s="30">
        <v>3762.0</v>
      </c>
      <c r="D3763" s="16" t="s">
        <v>4701</v>
      </c>
      <c r="E3763" s="16" t="s">
        <v>184</v>
      </c>
      <c r="F3763" s="16" t="s">
        <v>192</v>
      </c>
      <c r="G3763" s="16" t="s">
        <v>255</v>
      </c>
      <c r="H3763" s="16" t="s">
        <v>220</v>
      </c>
      <c r="I3763" s="16" t="s">
        <v>220</v>
      </c>
    </row>
    <row r="3764" ht="242.25" customHeight="1">
      <c r="A3764" s="32" t="b">
        <v>0</v>
      </c>
      <c r="B3764" s="32" t="str">
        <f>IMAGE("https://gymvisual.com/7340-catalog_default/transverse-plane-dumbbell-lunge.jpg",4,500,500)</f>
        <v/>
      </c>
      <c r="C3764" s="30">
        <v>3763.0</v>
      </c>
      <c r="D3764" s="16" t="s">
        <v>4702</v>
      </c>
      <c r="E3764" s="16" t="s">
        <v>184</v>
      </c>
      <c r="F3764" s="16" t="s">
        <v>285</v>
      </c>
      <c r="G3764" s="16" t="s">
        <v>222</v>
      </c>
      <c r="H3764" s="16" t="s">
        <v>220</v>
      </c>
      <c r="I3764" s="16" t="s">
        <v>220</v>
      </c>
    </row>
    <row r="3765" ht="242.25" hidden="1" customHeight="1">
      <c r="B3765" s="32" t="str">
        <f>IMAGE("https://gymvisual.com/6849-catalog_default/transverse-step-up.jpg",4,500,500)</f>
        <v/>
      </c>
      <c r="C3765" s="30">
        <v>3764.0</v>
      </c>
      <c r="D3765" s="16" t="s">
        <v>4703</v>
      </c>
      <c r="E3765" s="16" t="s">
        <v>184</v>
      </c>
      <c r="F3765" s="16" t="s">
        <v>285</v>
      </c>
      <c r="G3765" s="16" t="s">
        <v>255</v>
      </c>
      <c r="H3765" s="16" t="s">
        <v>220</v>
      </c>
      <c r="I3765" s="16" t="s">
        <v>220</v>
      </c>
    </row>
    <row r="3766" ht="242.25" customHeight="1">
      <c r="B3766" s="32" t="str">
        <f>IMAGE("https://gymvisual.com/22369-catalog_default/trap-bar-banded-deadlift.jpg",4,500,500)</f>
        <v/>
      </c>
      <c r="C3766" s="30">
        <v>3765.0</v>
      </c>
      <c r="D3766" s="16" t="s">
        <v>4704</v>
      </c>
      <c r="E3766" s="16" t="s">
        <v>184</v>
      </c>
      <c r="F3766" s="16" t="s">
        <v>185</v>
      </c>
      <c r="G3766" s="16" t="s">
        <v>4705</v>
      </c>
      <c r="H3766" s="16" t="s">
        <v>220</v>
      </c>
      <c r="I3766" s="16" t="s">
        <v>220</v>
      </c>
    </row>
    <row r="3767" ht="242.25" customHeight="1">
      <c r="B3767" s="32" t="str">
        <f>IMAGE("https://gymvisual.com/17909-catalog_default/trap-bar-bent-over-row-male.jpg",4,500,500)</f>
        <v/>
      </c>
      <c r="C3767" s="30">
        <v>3766.0</v>
      </c>
      <c r="D3767" s="16" t="s">
        <v>4706</v>
      </c>
      <c r="E3767" s="16" t="s">
        <v>184</v>
      </c>
      <c r="F3767" s="16" t="s">
        <v>192</v>
      </c>
      <c r="G3767" s="16" t="s">
        <v>4705</v>
      </c>
      <c r="H3767" s="16" t="s">
        <v>570</v>
      </c>
      <c r="I3767" s="16" t="s">
        <v>447</v>
      </c>
    </row>
    <row r="3768" ht="242.25" customHeight="1">
      <c r="B3768" s="32" t="str">
        <f>IMAGE("https://gymvisual.com/24049-catalog_default/trap-bar-deadlift.jpg",4,500,500)</f>
        <v/>
      </c>
      <c r="C3768" s="30">
        <v>3767.0</v>
      </c>
      <c r="D3768" s="16" t="s">
        <v>4707</v>
      </c>
      <c r="E3768" s="16" t="s">
        <v>184</v>
      </c>
      <c r="F3768" s="16" t="s">
        <v>285</v>
      </c>
      <c r="G3768" s="16" t="s">
        <v>4705</v>
      </c>
      <c r="H3768" s="16" t="s">
        <v>189</v>
      </c>
      <c r="I3768" s="16" t="s">
        <v>190</v>
      </c>
    </row>
    <row r="3769" ht="242.25" customHeight="1">
      <c r="B3769" s="32" t="str">
        <f>IMAGE("https://gymvisual.com/17911-catalog_default/trap-bar-deadlift-from-deficit-male.jpg",4,500,500)</f>
        <v/>
      </c>
      <c r="C3769" s="30">
        <v>3768.0</v>
      </c>
      <c r="D3769" s="16" t="s">
        <v>4708</v>
      </c>
      <c r="E3769" s="16" t="s">
        <v>184</v>
      </c>
      <c r="F3769" s="16" t="s">
        <v>185</v>
      </c>
      <c r="G3769" s="16" t="s">
        <v>4705</v>
      </c>
      <c r="H3769" s="16" t="s">
        <v>220</v>
      </c>
      <c r="I3769" s="16" t="s">
        <v>220</v>
      </c>
    </row>
    <row r="3770" ht="242.25" customHeight="1">
      <c r="B3770" s="32" t="str">
        <f>IMAGE("https://gymvisual.com/12174-catalog_default/trap-bar-farmers-carry.jpg",4,500,500)</f>
        <v/>
      </c>
      <c r="C3770" s="30">
        <v>3769.0</v>
      </c>
      <c r="D3770" s="16" t="s">
        <v>4709</v>
      </c>
      <c r="E3770" s="16" t="s">
        <v>184</v>
      </c>
      <c r="F3770" s="16" t="s">
        <v>285</v>
      </c>
      <c r="G3770" s="16" t="s">
        <v>4705</v>
      </c>
      <c r="H3770" s="16" t="s">
        <v>220</v>
      </c>
      <c r="I3770" s="16" t="s">
        <v>220</v>
      </c>
    </row>
    <row r="3771" ht="242.25" customHeight="1">
      <c r="B3771" s="32" t="str">
        <f>IMAGE("https://gymvisual.com/14415-catalog_default/trap-bar-split-stance-rdl.jpg",4,500,500)</f>
        <v/>
      </c>
      <c r="C3771" s="30">
        <v>3770.0</v>
      </c>
      <c r="D3771" s="16" t="s">
        <v>4710</v>
      </c>
      <c r="E3771" s="16" t="s">
        <v>184</v>
      </c>
      <c r="F3771" s="16" t="s">
        <v>185</v>
      </c>
      <c r="G3771" s="16" t="s">
        <v>4705</v>
      </c>
      <c r="H3771" s="16" t="s">
        <v>189</v>
      </c>
      <c r="I3771" s="16" t="s">
        <v>314</v>
      </c>
    </row>
    <row r="3772" ht="242.25" customHeight="1">
      <c r="B3772" s="32" t="str">
        <f>IMAGE("https://gymvisual.com/17907-catalog_default/trap-bar-standing-shrug-male.jpg",4,500,500)</f>
        <v/>
      </c>
      <c r="C3772" s="30">
        <v>3771.0</v>
      </c>
      <c r="D3772" s="16" t="s">
        <v>4711</v>
      </c>
      <c r="E3772" s="16" t="s">
        <v>184</v>
      </c>
      <c r="F3772" s="16" t="s">
        <v>192</v>
      </c>
      <c r="G3772" s="16" t="s">
        <v>4705</v>
      </c>
      <c r="H3772" s="16" t="s">
        <v>238</v>
      </c>
      <c r="I3772" s="16" t="s">
        <v>618</v>
      </c>
    </row>
    <row r="3773" ht="242.25" hidden="1" customHeight="1">
      <c r="B3773" s="32" t="str">
        <f>IMAGE("https://gymvisual.com/4496-catalog_default/triceps-dip.jpg",4,500,500)</f>
        <v/>
      </c>
      <c r="C3773" s="30">
        <v>3772.0</v>
      </c>
      <c r="D3773" s="16" t="s">
        <v>4712</v>
      </c>
      <c r="E3773" s="16" t="s">
        <v>184</v>
      </c>
      <c r="F3773" s="16" t="s">
        <v>219</v>
      </c>
      <c r="G3773" s="16" t="s">
        <v>255</v>
      </c>
      <c r="H3773" s="16" t="s">
        <v>223</v>
      </c>
      <c r="I3773" s="16" t="s">
        <v>394</v>
      </c>
    </row>
    <row r="3774" ht="242.25" hidden="1" customHeight="1">
      <c r="B3774" s="32" t="str">
        <f>IMAGE("https://gymvisual.com/20640-catalog_default/triceps-dip-bench-leg.jpg",4,500,500)</f>
        <v/>
      </c>
      <c r="C3774" s="30">
        <v>3773.0</v>
      </c>
      <c r="D3774" s="16" t="s">
        <v>4713</v>
      </c>
      <c r="E3774" s="16" t="s">
        <v>184</v>
      </c>
      <c r="F3774" s="16" t="s">
        <v>219</v>
      </c>
      <c r="G3774" s="16" t="s">
        <v>255</v>
      </c>
      <c r="H3774" s="16" t="s">
        <v>223</v>
      </c>
      <c r="I3774" s="16" t="s">
        <v>662</v>
      </c>
    </row>
    <row r="3775" ht="242.25" hidden="1" customHeight="1">
      <c r="B3775" s="32" t="str">
        <f>IMAGE("https://gymvisual.com/2430-catalog_default/triceps-dip-between-benches.jpg",4,500,500)</f>
        <v/>
      </c>
      <c r="C3775" s="30">
        <v>3774.0</v>
      </c>
      <c r="D3775" s="16" t="s">
        <v>4714</v>
      </c>
      <c r="E3775" s="16" t="s">
        <v>184</v>
      </c>
      <c r="F3775" s="16" t="s">
        <v>219</v>
      </c>
      <c r="G3775" s="16" t="s">
        <v>255</v>
      </c>
      <c r="H3775" s="16" t="s">
        <v>223</v>
      </c>
      <c r="I3775" s="16" t="s">
        <v>662</v>
      </c>
    </row>
    <row r="3776" ht="242.25" hidden="1" customHeight="1">
      <c r="B3776" s="32" t="str">
        <f>IMAGE("https://gymvisual.com/13499-catalog_default/triceps-dip-female.jpg",4,500,500)</f>
        <v/>
      </c>
      <c r="C3776" s="30">
        <v>3775.0</v>
      </c>
      <c r="D3776" s="16" t="s">
        <v>4715</v>
      </c>
      <c r="E3776" s="16" t="s">
        <v>184</v>
      </c>
      <c r="F3776" s="16" t="s">
        <v>219</v>
      </c>
      <c r="G3776" s="16" t="s">
        <v>255</v>
      </c>
      <c r="H3776" s="16" t="s">
        <v>223</v>
      </c>
      <c r="I3776" s="16" t="s">
        <v>394</v>
      </c>
    </row>
    <row r="3777" ht="242.25" hidden="1" customHeight="1">
      <c r="B3777" s="32" t="str">
        <f>IMAGE("https://gymvisual.com/23909-catalog_default/triceps-dip-floor-female.jpg",4,500,500)</f>
        <v/>
      </c>
      <c r="C3777" s="30">
        <v>3776.0</v>
      </c>
      <c r="D3777" s="16" t="s">
        <v>4716</v>
      </c>
      <c r="E3777" s="16" t="s">
        <v>184</v>
      </c>
      <c r="F3777" s="16" t="s">
        <v>219</v>
      </c>
      <c r="G3777" s="16" t="s">
        <v>255</v>
      </c>
      <c r="H3777" s="16" t="s">
        <v>223</v>
      </c>
      <c r="I3777" s="16" t="s">
        <v>394</v>
      </c>
    </row>
    <row r="3778" ht="242.25" hidden="1" customHeight="1">
      <c r="B3778" s="32" t="str">
        <f>IMAGE("https://gymvisual.com/2436-catalog_default/triceps-dips-floor.jpg",4,500,500)</f>
        <v/>
      </c>
      <c r="C3778" s="30">
        <v>3777.0</v>
      </c>
      <c r="D3778" s="16" t="s">
        <v>4717</v>
      </c>
      <c r="E3778" s="16" t="s">
        <v>184</v>
      </c>
      <c r="F3778" s="16" t="s">
        <v>219</v>
      </c>
      <c r="G3778" s="16" t="s">
        <v>255</v>
      </c>
      <c r="H3778" s="16" t="s">
        <v>223</v>
      </c>
      <c r="I3778" s="16" t="s">
        <v>394</v>
      </c>
    </row>
    <row r="3779" ht="242.25" hidden="1" customHeight="1">
      <c r="B3779" s="32" t="str">
        <f>IMAGE("https://gymvisual.com/20642-catalog_default/triceps-press.jpg",4,500,500)</f>
        <v/>
      </c>
      <c r="C3779" s="30">
        <v>3778.0</v>
      </c>
      <c r="D3779" s="16" t="s">
        <v>4718</v>
      </c>
      <c r="E3779" s="16" t="s">
        <v>184</v>
      </c>
      <c r="F3779" s="16" t="s">
        <v>219</v>
      </c>
      <c r="G3779" s="16" t="s">
        <v>255</v>
      </c>
      <c r="H3779" s="16" t="s">
        <v>223</v>
      </c>
      <c r="I3779" s="16" t="s">
        <v>472</v>
      </c>
    </row>
    <row r="3780" ht="242.25" hidden="1" customHeight="1">
      <c r="B3780" s="32" t="str">
        <f>IMAGE("https://gymvisual.com/4499-catalog_default/triceps-press-head-below-bench.jpg",4,500,500)</f>
        <v/>
      </c>
      <c r="C3780" s="30">
        <v>3779.0</v>
      </c>
      <c r="D3780" s="16" t="s">
        <v>4719</v>
      </c>
      <c r="E3780" s="16" t="s">
        <v>184</v>
      </c>
      <c r="F3780" s="16" t="s">
        <v>219</v>
      </c>
      <c r="G3780" s="16" t="s">
        <v>255</v>
      </c>
      <c r="H3780" s="16" t="s">
        <v>223</v>
      </c>
      <c r="I3780" s="16" t="s">
        <v>347</v>
      </c>
    </row>
    <row r="3781" ht="242.25" hidden="1" customHeight="1">
      <c r="B3781" s="32" t="str">
        <f>IMAGE("https://gymvisual.com/22331-catalog_default/triceps-press-high-bar-position.jpg",4,500,500)</f>
        <v/>
      </c>
      <c r="C3781" s="30">
        <v>3780.0</v>
      </c>
      <c r="D3781" s="16" t="s">
        <v>4720</v>
      </c>
      <c r="E3781" s="16" t="s">
        <v>184</v>
      </c>
      <c r="F3781" s="16" t="s">
        <v>219</v>
      </c>
      <c r="G3781" s="16" t="s">
        <v>255</v>
      </c>
      <c r="H3781" s="16" t="s">
        <v>220</v>
      </c>
      <c r="I3781" s="16" t="s">
        <v>220</v>
      </c>
    </row>
    <row r="3782" ht="242.25" hidden="1" customHeight="1">
      <c r="B3782" s="32" t="str">
        <f>IMAGE("https://gymvisual.com/22333-catalog_default/triceps-press-low-bar-position.jpg",4,500,500)</f>
        <v/>
      </c>
      <c r="C3782" s="30">
        <v>3781.0</v>
      </c>
      <c r="D3782" s="16" t="s">
        <v>4721</v>
      </c>
      <c r="E3782" s="16" t="s">
        <v>184</v>
      </c>
      <c r="F3782" s="16" t="s">
        <v>219</v>
      </c>
      <c r="G3782" s="16" t="s">
        <v>255</v>
      </c>
      <c r="H3782" s="16" t="s">
        <v>220</v>
      </c>
      <c r="I3782" s="16" t="s">
        <v>220</v>
      </c>
    </row>
    <row r="3783" ht="242.25" hidden="1" customHeight="1">
      <c r="B3783" s="32" t="str">
        <f>IMAGE("https://gymvisual.com/2651-catalog_default/tuck-crunch.jpg",4,500,500)</f>
        <v/>
      </c>
      <c r="C3783" s="30">
        <v>3782.0</v>
      </c>
      <c r="D3783" s="16" t="s">
        <v>4722</v>
      </c>
      <c r="E3783" s="16" t="s">
        <v>184</v>
      </c>
      <c r="F3783" s="16" t="s">
        <v>254</v>
      </c>
      <c r="G3783" s="16" t="s">
        <v>255</v>
      </c>
      <c r="H3783" s="16" t="s">
        <v>256</v>
      </c>
      <c r="I3783" s="16" t="s">
        <v>257</v>
      </c>
    </row>
    <row r="3784" ht="242.25" hidden="1" customHeight="1">
      <c r="B3784" s="32" t="str">
        <f>IMAGE("https://gymvisual.com/17809-catalog_default/tuck-up-female.jpg",4,500,500)</f>
        <v/>
      </c>
      <c r="C3784" s="30">
        <v>3783.0</v>
      </c>
      <c r="D3784" s="16" t="s">
        <v>4723</v>
      </c>
      <c r="E3784" s="16" t="s">
        <v>184</v>
      </c>
      <c r="F3784" s="16" t="s">
        <v>254</v>
      </c>
      <c r="G3784" s="16" t="s">
        <v>255</v>
      </c>
      <c r="H3784" s="16" t="s">
        <v>220</v>
      </c>
      <c r="I3784" s="16" t="s">
        <v>220</v>
      </c>
    </row>
    <row r="3785" ht="242.25" customHeight="1">
      <c r="A3785" s="32" t="b">
        <v>0</v>
      </c>
      <c r="B3785" s="32" t="str">
        <f>IMAGE("https://gymvisual.com/2445-catalog_default/twin-handle-parallel-grip-lat-pulldown.jpg",4,500,500)</f>
        <v/>
      </c>
      <c r="C3785" s="30">
        <v>3784.0</v>
      </c>
      <c r="D3785" s="16" t="s">
        <v>4724</v>
      </c>
      <c r="E3785" s="16" t="s">
        <v>184</v>
      </c>
      <c r="F3785" s="16" t="s">
        <v>192</v>
      </c>
      <c r="G3785" s="16" t="s">
        <v>215</v>
      </c>
      <c r="H3785" s="16" t="s">
        <v>300</v>
      </c>
      <c r="I3785" s="16" t="s">
        <v>387</v>
      </c>
    </row>
    <row r="3786" ht="242.25" hidden="1" customHeight="1">
      <c r="B3786" s="32" t="str">
        <f>IMAGE("https://gymvisual.com/2448-catalog_default/twist-crunch-leg-up.jpg",4,500,500)</f>
        <v/>
      </c>
      <c r="C3786" s="30">
        <v>3785.0</v>
      </c>
      <c r="D3786" s="16" t="s">
        <v>4725</v>
      </c>
      <c r="E3786" s="16" t="s">
        <v>184</v>
      </c>
      <c r="F3786" s="16" t="s">
        <v>254</v>
      </c>
      <c r="G3786" s="16" t="s">
        <v>255</v>
      </c>
      <c r="H3786" s="16" t="s">
        <v>263</v>
      </c>
      <c r="I3786" s="16" t="s">
        <v>1878</v>
      </c>
    </row>
    <row r="3787" ht="242.25" hidden="1" customHeight="1">
      <c r="B3787" s="32" t="str">
        <f>IMAGE("https://gymvisual.com/24291-catalog_default/twist-crunch-legs-up-male.jpg",4,500,500)</f>
        <v/>
      </c>
      <c r="C3787" s="30">
        <v>3786.0</v>
      </c>
      <c r="D3787" s="16" t="s">
        <v>4726</v>
      </c>
      <c r="E3787" s="16" t="s">
        <v>184</v>
      </c>
      <c r="F3787" s="16" t="s">
        <v>254</v>
      </c>
      <c r="G3787" s="16" t="s">
        <v>255</v>
      </c>
      <c r="H3787" s="16" t="s">
        <v>260</v>
      </c>
      <c r="I3787" s="16" t="s">
        <v>1306</v>
      </c>
    </row>
    <row r="3788" ht="242.25" hidden="1" customHeight="1">
      <c r="B3788" s="32" t="str">
        <f>IMAGE("https://gymvisual.com/6399-catalog_default/twist-hip-lift.jpg",4,500,500)</f>
        <v/>
      </c>
      <c r="C3788" s="30">
        <v>3787.0</v>
      </c>
      <c r="D3788" s="16" t="s">
        <v>4727</v>
      </c>
      <c r="E3788" s="16" t="s">
        <v>184</v>
      </c>
      <c r="F3788" s="16" t="s">
        <v>185</v>
      </c>
      <c r="G3788" s="16" t="s">
        <v>255</v>
      </c>
      <c r="H3788" s="16" t="s">
        <v>4728</v>
      </c>
      <c r="I3788" s="16" t="s">
        <v>188</v>
      </c>
    </row>
    <row r="3789" ht="242.25" hidden="1" customHeight="1">
      <c r="B3789" s="32" t="str">
        <f>IMAGE("https://gymvisual.com/17304-catalog_default/twist-push-up.jpg",4,500,500)</f>
        <v/>
      </c>
      <c r="C3789" s="30">
        <v>3788.0</v>
      </c>
      <c r="D3789" s="16" t="s">
        <v>4729</v>
      </c>
      <c r="E3789" s="16" t="s">
        <v>184</v>
      </c>
      <c r="F3789" s="16" t="s">
        <v>234</v>
      </c>
      <c r="G3789" s="16" t="s">
        <v>255</v>
      </c>
      <c r="H3789" s="16" t="s">
        <v>235</v>
      </c>
      <c r="I3789" s="16" t="s">
        <v>4730</v>
      </c>
    </row>
    <row r="3790" ht="242.25" hidden="1" customHeight="1">
      <c r="B3790" s="32" t="str">
        <f>IMAGE("https://gymvisual.com/2451-catalog_default/twist-side-bridge.jpg",4,500,500)</f>
        <v/>
      </c>
      <c r="C3790" s="30">
        <v>3789.0</v>
      </c>
      <c r="D3790" s="16" t="s">
        <v>4731</v>
      </c>
      <c r="E3790" s="16" t="s">
        <v>184</v>
      </c>
      <c r="F3790" s="16" t="s">
        <v>228</v>
      </c>
      <c r="G3790" s="16" t="s">
        <v>255</v>
      </c>
      <c r="H3790" s="16" t="s">
        <v>257</v>
      </c>
      <c r="I3790" s="16" t="s">
        <v>4732</v>
      </c>
    </row>
    <row r="3791" ht="242.25" hidden="1" customHeight="1">
      <c r="B3791" s="32" t="str">
        <f>IMAGE("https://gymvisual.com/2454-catalog_default/twist-sit-up.jpg",4,500,500)</f>
        <v/>
      </c>
      <c r="C3791" s="30">
        <v>3790.0</v>
      </c>
      <c r="D3791" s="16" t="s">
        <v>4733</v>
      </c>
      <c r="E3791" s="16" t="s">
        <v>184</v>
      </c>
      <c r="F3791" s="16" t="s">
        <v>254</v>
      </c>
      <c r="G3791" s="16" t="s">
        <v>255</v>
      </c>
      <c r="H3791" s="16" t="s">
        <v>263</v>
      </c>
      <c r="I3791" s="16" t="s">
        <v>220</v>
      </c>
    </row>
    <row r="3792" ht="242.25" hidden="1" customHeight="1">
      <c r="B3792" s="32" t="str">
        <f>IMAGE("https://gymvisual.com/2457-catalog_default/twist-squat.jpg",4,500,500)</f>
        <v/>
      </c>
      <c r="C3792" s="30">
        <v>3791.0</v>
      </c>
      <c r="D3792" s="16" t="s">
        <v>4734</v>
      </c>
      <c r="E3792" s="16" t="s">
        <v>184</v>
      </c>
      <c r="F3792" s="16" t="s">
        <v>285</v>
      </c>
      <c r="G3792" s="16" t="s">
        <v>255</v>
      </c>
      <c r="H3792" s="16" t="s">
        <v>524</v>
      </c>
      <c r="I3792" s="16" t="s">
        <v>190</v>
      </c>
    </row>
    <row r="3793" ht="242.25" hidden="1" customHeight="1">
      <c r="B3793" s="32" t="str">
        <f>IMAGE("https://gymvisual.com/17883-catalog_default/twist-superman-male.jpg",4,500,500)</f>
        <v/>
      </c>
      <c r="C3793" s="30">
        <v>3792.0</v>
      </c>
      <c r="D3793" s="16" t="s">
        <v>4735</v>
      </c>
      <c r="E3793" s="16" t="s">
        <v>184</v>
      </c>
      <c r="F3793" s="16" t="s">
        <v>185</v>
      </c>
      <c r="G3793" s="16" t="s">
        <v>255</v>
      </c>
      <c r="H3793" s="16" t="s">
        <v>4736</v>
      </c>
      <c r="I3793" s="16" t="s">
        <v>3229</v>
      </c>
    </row>
    <row r="3794" ht="242.25" hidden="1" customHeight="1">
      <c r="B3794" s="32" t="str">
        <f>IMAGE("https://gymvisual.com/11965-catalog_default/twisted-leg-raise.jpg",4,500,500)</f>
        <v/>
      </c>
      <c r="C3794" s="30">
        <v>3793.0</v>
      </c>
      <c r="D3794" s="16" t="s">
        <v>4737</v>
      </c>
      <c r="E3794" s="16" t="s">
        <v>184</v>
      </c>
      <c r="F3794" s="16" t="s">
        <v>254</v>
      </c>
      <c r="G3794" s="16" t="s">
        <v>255</v>
      </c>
      <c r="H3794" s="16" t="s">
        <v>220</v>
      </c>
      <c r="I3794" s="16" t="s">
        <v>220</v>
      </c>
    </row>
    <row r="3795" ht="242.25" hidden="1" customHeight="1">
      <c r="B3795" s="32" t="str">
        <f>IMAGE("https://gymvisual.com/11964-catalog_default/twisted-leg-raise-female.jpg",4,500,500)</f>
        <v/>
      </c>
      <c r="C3795" s="30">
        <v>3794.0</v>
      </c>
      <c r="D3795" s="16" t="s">
        <v>4738</v>
      </c>
      <c r="E3795" s="16" t="s">
        <v>184</v>
      </c>
      <c r="F3795" s="16" t="s">
        <v>254</v>
      </c>
      <c r="G3795" s="16" t="s">
        <v>255</v>
      </c>
      <c r="H3795" s="16" t="s">
        <v>263</v>
      </c>
      <c r="I3795" s="16" t="s">
        <v>289</v>
      </c>
    </row>
    <row r="3796" ht="242.25" hidden="1" customHeight="1">
      <c r="B3796" s="32" t="str">
        <f>IMAGE("https://gymvisual.com/2463-catalog_default/twisting-crunch.jpg",4,500,500)</f>
        <v/>
      </c>
      <c r="C3796" s="30">
        <v>3795.0</v>
      </c>
      <c r="D3796" s="16" t="s">
        <v>4739</v>
      </c>
      <c r="E3796" s="16" t="s">
        <v>184</v>
      </c>
      <c r="F3796" s="16" t="s">
        <v>254</v>
      </c>
      <c r="G3796" s="16" t="s">
        <v>255</v>
      </c>
      <c r="H3796" s="16" t="s">
        <v>257</v>
      </c>
      <c r="I3796" s="16" t="s">
        <v>256</v>
      </c>
    </row>
    <row r="3797" ht="242.25" hidden="1" customHeight="1">
      <c r="B3797" s="32" t="str">
        <f>IMAGE("https://gymvisual.com/22775-catalog_default/twisting-crunch.jpg",4,500,500)</f>
        <v/>
      </c>
      <c r="C3797" s="30">
        <v>3796.0</v>
      </c>
      <c r="D3797" s="16" t="s">
        <v>4739</v>
      </c>
      <c r="E3797" s="16" t="s">
        <v>184</v>
      </c>
      <c r="F3797" s="16" t="s">
        <v>254</v>
      </c>
      <c r="G3797" s="16" t="s">
        <v>255</v>
      </c>
      <c r="H3797" s="16" t="s">
        <v>257</v>
      </c>
      <c r="I3797" s="16" t="s">
        <v>256</v>
      </c>
    </row>
    <row r="3798" ht="242.25" hidden="1" customHeight="1">
      <c r="B3798" s="32" t="str">
        <f>IMAGE("https://gymvisual.com/2460-catalog_default/twisting-crunch-arms-straight.jpg",4,500,500)</f>
        <v/>
      </c>
      <c r="C3798" s="30">
        <v>3797.0</v>
      </c>
      <c r="D3798" s="16" t="s">
        <v>4740</v>
      </c>
      <c r="E3798" s="16" t="s">
        <v>184</v>
      </c>
      <c r="F3798" s="16" t="s">
        <v>254</v>
      </c>
      <c r="G3798" s="16" t="s">
        <v>255</v>
      </c>
      <c r="H3798" s="16" t="s">
        <v>260</v>
      </c>
      <c r="I3798" s="16" t="s">
        <v>220</v>
      </c>
    </row>
    <row r="3799" ht="242.25" hidden="1" customHeight="1">
      <c r="B3799" s="32" t="str">
        <f>IMAGE("https://gymvisual.com/14306-catalog_default/twisting-crunch-straight-arms-male.jpg",4,500,500)</f>
        <v/>
      </c>
      <c r="C3799" s="30">
        <v>3798.0</v>
      </c>
      <c r="D3799" s="16" t="s">
        <v>4741</v>
      </c>
      <c r="E3799" s="16" t="s">
        <v>184</v>
      </c>
      <c r="F3799" s="16" t="s">
        <v>254</v>
      </c>
      <c r="G3799" s="16" t="s">
        <v>255</v>
      </c>
      <c r="H3799" s="16" t="s">
        <v>260</v>
      </c>
      <c r="I3799" s="16" t="s">
        <v>220</v>
      </c>
    </row>
    <row r="3800" ht="242.25" hidden="1" customHeight="1">
      <c r="B3800" s="32" t="str">
        <f>IMAGE("https://gymvisual.com/19389-catalog_default/two-legs-hammer-curl-with-towel-version-2.jpg",4,500,500)</f>
        <v/>
      </c>
      <c r="C3800" s="30">
        <v>3799.0</v>
      </c>
      <c r="D3800" s="16" t="s">
        <v>4742</v>
      </c>
      <c r="E3800" s="16" t="s">
        <v>184</v>
      </c>
      <c r="F3800" s="16" t="s">
        <v>219</v>
      </c>
      <c r="G3800" s="16" t="s">
        <v>255</v>
      </c>
      <c r="H3800" s="16" t="s">
        <v>216</v>
      </c>
      <c r="I3800" s="16" t="s">
        <v>217</v>
      </c>
    </row>
    <row r="3801" ht="242.25" hidden="1" customHeight="1">
      <c r="B3801" s="32" t="str">
        <f>IMAGE("https://gymvisual.com/22103-catalog_default/two-legs-reverse-biceps-curl-with-towel-version-2.jpg",4,500,500)</f>
        <v/>
      </c>
      <c r="C3801" s="30">
        <v>3800.0</v>
      </c>
      <c r="D3801" s="16" t="s">
        <v>4743</v>
      </c>
      <c r="E3801" s="16" t="s">
        <v>184</v>
      </c>
      <c r="F3801" s="16" t="s">
        <v>219</v>
      </c>
      <c r="G3801" s="16" t="s">
        <v>255</v>
      </c>
      <c r="H3801" s="16" t="s">
        <v>241</v>
      </c>
      <c r="I3801" s="16" t="s">
        <v>292</v>
      </c>
    </row>
    <row r="3802" ht="242.25" hidden="1" customHeight="1">
      <c r="B3802" s="32" t="str">
        <f>IMAGE("https://gymvisual.com/4594-catalog_default/underhand-grip-inverted-back-row.jpg",4,500,500)</f>
        <v/>
      </c>
      <c r="C3802" s="30">
        <v>3801.0</v>
      </c>
      <c r="D3802" s="16" t="s">
        <v>4744</v>
      </c>
      <c r="E3802" s="16" t="s">
        <v>184</v>
      </c>
      <c r="F3802" s="16" t="s">
        <v>192</v>
      </c>
      <c r="G3802" s="16" t="s">
        <v>255</v>
      </c>
      <c r="H3802" s="16" t="s">
        <v>329</v>
      </c>
      <c r="I3802" s="16" t="s">
        <v>3429</v>
      </c>
    </row>
    <row r="3803" ht="242.25" hidden="1" customHeight="1">
      <c r="B3803" s="32" t="str">
        <f>IMAGE("https://gymvisual.com/22825-catalog_default/v-sit-cross-punch.jpg",4,500,500)</f>
        <v/>
      </c>
      <c r="C3803" s="30">
        <v>3802.0</v>
      </c>
      <c r="D3803" s="16" t="s">
        <v>4745</v>
      </c>
      <c r="E3803" s="16" t="s">
        <v>184</v>
      </c>
      <c r="F3803" s="16" t="s">
        <v>254</v>
      </c>
      <c r="G3803" s="16" t="s">
        <v>255</v>
      </c>
      <c r="H3803" s="16" t="s">
        <v>4150</v>
      </c>
      <c r="I3803" s="16" t="s">
        <v>243</v>
      </c>
    </row>
    <row r="3804" ht="242.25" hidden="1" customHeight="1">
      <c r="B3804" s="32" t="str">
        <f>IMAGE("https://gymvisual.com/24073-catalog_default/v-sit-toe-tap.jpg",4,500,500)</f>
        <v/>
      </c>
      <c r="C3804" s="30">
        <v>3803.0</v>
      </c>
      <c r="D3804" s="16" t="s">
        <v>4746</v>
      </c>
      <c r="E3804" s="16" t="s">
        <v>184</v>
      </c>
      <c r="F3804" s="16" t="s">
        <v>254</v>
      </c>
      <c r="G3804" s="16" t="s">
        <v>255</v>
      </c>
      <c r="H3804" s="16" t="s">
        <v>220</v>
      </c>
      <c r="I3804" s="16" t="s">
        <v>220</v>
      </c>
    </row>
    <row r="3805" ht="242.25" hidden="1" customHeight="1">
      <c r="B3805" s="32" t="str">
        <f>IMAGE("https://gymvisual.com/2466-catalog_default/v-up.jpg",4,500,500)</f>
        <v/>
      </c>
      <c r="C3805" s="30">
        <v>3804.0</v>
      </c>
      <c r="D3805" s="16" t="s">
        <v>4747</v>
      </c>
      <c r="E3805" s="16" t="s">
        <v>184</v>
      </c>
      <c r="F3805" s="16" t="s">
        <v>254</v>
      </c>
      <c r="G3805" s="16" t="s">
        <v>255</v>
      </c>
      <c r="H3805" s="16" t="s">
        <v>305</v>
      </c>
      <c r="I3805" s="16" t="s">
        <v>317</v>
      </c>
    </row>
    <row r="3806" ht="242.25" hidden="1" customHeight="1">
      <c r="B3806" s="32" t="str">
        <f>IMAGE("https://gymvisual.com/14308-catalog_default/v-up-male.jpg",4,500,500)</f>
        <v/>
      </c>
      <c r="C3806" s="30">
        <v>3805.0</v>
      </c>
      <c r="D3806" s="16" t="s">
        <v>4748</v>
      </c>
      <c r="E3806" s="16" t="s">
        <v>184</v>
      </c>
      <c r="F3806" s="16" t="s">
        <v>310</v>
      </c>
      <c r="G3806" s="16" t="s">
        <v>255</v>
      </c>
      <c r="H3806" s="16" t="s">
        <v>305</v>
      </c>
      <c r="I3806" s="16" t="s">
        <v>4749</v>
      </c>
    </row>
    <row r="3807" ht="242.25" hidden="1" customHeight="1">
      <c r="B3807" s="32" t="str">
        <f>IMAGE("https://gymvisual.com/23583-catalog_default/v-up-double-crunch.jpg",4,500,500)</f>
        <v/>
      </c>
      <c r="C3807" s="30">
        <v>3806.0</v>
      </c>
      <c r="D3807" s="16" t="s">
        <v>4750</v>
      </c>
      <c r="E3807" s="16" t="s">
        <v>184</v>
      </c>
      <c r="F3807" s="16" t="s">
        <v>254</v>
      </c>
      <c r="G3807" s="16" t="s">
        <v>255</v>
      </c>
      <c r="H3807" s="16" t="s">
        <v>305</v>
      </c>
      <c r="I3807" s="16" t="s">
        <v>319</v>
      </c>
    </row>
    <row r="3808" ht="242.25" customHeight="1">
      <c r="B3808" s="32" t="str">
        <f>IMAGE("https://gymvisual.com/11978-catalog_default/v-up-down-with-stability-ball.jpg",4,500,500)</f>
        <v/>
      </c>
      <c r="C3808" s="30">
        <v>3807.0</v>
      </c>
      <c r="D3808" s="16" t="s">
        <v>4751</v>
      </c>
      <c r="E3808" s="16" t="s">
        <v>184</v>
      </c>
      <c r="F3808" s="16" t="s">
        <v>254</v>
      </c>
      <c r="G3808" s="16" t="s">
        <v>399</v>
      </c>
      <c r="H3808" s="16" t="s">
        <v>220</v>
      </c>
      <c r="I3808" s="16" t="s">
        <v>220</v>
      </c>
    </row>
    <row r="3809" ht="242.25" customHeight="1">
      <c r="B3809" s="32" t="str">
        <f>IMAGE("https://gymvisual.com/11979-catalog_default/v-up-down-with-stability-ball-female.jpg",4,500,500)</f>
        <v/>
      </c>
      <c r="C3809" s="30">
        <v>3808.0</v>
      </c>
      <c r="D3809" s="16" t="s">
        <v>4752</v>
      </c>
      <c r="E3809" s="16" t="s">
        <v>184</v>
      </c>
      <c r="F3809" s="16" t="s">
        <v>254</v>
      </c>
      <c r="G3809" s="16" t="s">
        <v>399</v>
      </c>
      <c r="H3809" s="16" t="s">
        <v>220</v>
      </c>
      <c r="I3809" s="16" t="s">
        <v>220</v>
      </c>
    </row>
    <row r="3810" ht="242.25" hidden="1" customHeight="1">
      <c r="B3810" s="32" t="str">
        <f>IMAGE("https://gymvisual.com/22580-catalog_default/v-up-with-clap.jpg",4,500,500)</f>
        <v/>
      </c>
      <c r="C3810" s="30">
        <v>3809.0</v>
      </c>
      <c r="D3810" s="16" t="s">
        <v>4753</v>
      </c>
      <c r="E3810" s="16" t="s">
        <v>184</v>
      </c>
      <c r="F3810" s="16" t="s">
        <v>254</v>
      </c>
      <c r="G3810" s="16" t="s">
        <v>255</v>
      </c>
      <c r="H3810" s="16" t="s">
        <v>256</v>
      </c>
      <c r="I3810" s="16" t="s">
        <v>4754</v>
      </c>
    </row>
    <row r="3811" ht="242.25" hidden="1" customHeight="1">
      <c r="B3811" s="32" t="str">
        <f>IMAGE("https://gymvisual.com/22145-catalog_default/v-up-with-clap-female.jpg",4,500,500)</f>
        <v/>
      </c>
      <c r="C3811" s="30">
        <v>3810.0</v>
      </c>
      <c r="D3811" s="16" t="s">
        <v>4755</v>
      </c>
      <c r="E3811" s="16" t="s">
        <v>184</v>
      </c>
      <c r="F3811" s="16" t="s">
        <v>254</v>
      </c>
      <c r="G3811" s="16" t="s">
        <v>255</v>
      </c>
      <c r="H3811" s="16" t="s">
        <v>220</v>
      </c>
      <c r="I3811" s="16" t="s">
        <v>220</v>
      </c>
    </row>
    <row r="3812" ht="242.25" hidden="1" customHeight="1">
      <c r="B3812" s="32" t="str">
        <f>IMAGE("https://gymvisual.com/7631-catalog_default/vertical-leg-raise-on-parallel-bars.jpg",4,500,500)</f>
        <v/>
      </c>
      <c r="C3812" s="30">
        <v>3811.0</v>
      </c>
      <c r="D3812" s="16" t="s">
        <v>4756</v>
      </c>
      <c r="E3812" s="16" t="s">
        <v>184</v>
      </c>
      <c r="F3812" s="16" t="s">
        <v>185</v>
      </c>
      <c r="G3812" s="16" t="s">
        <v>255</v>
      </c>
      <c r="H3812" s="16" t="s">
        <v>271</v>
      </c>
      <c r="I3812" s="16" t="s">
        <v>563</v>
      </c>
    </row>
    <row r="3813" ht="242.25" hidden="1" customHeight="1">
      <c r="B3813" s="32" t="str">
        <f>IMAGE("https://gymvisual.com/10969-catalog_default/vertical-leg-raise-on-parallel-bars-female.jpg",4,500,500)</f>
        <v/>
      </c>
      <c r="C3813" s="30">
        <v>3812.0</v>
      </c>
      <c r="D3813" s="16" t="s">
        <v>4757</v>
      </c>
      <c r="E3813" s="16" t="s">
        <v>184</v>
      </c>
      <c r="F3813" s="16" t="s">
        <v>310</v>
      </c>
      <c r="G3813" s="16" t="s">
        <v>255</v>
      </c>
      <c r="H3813" s="16" t="s">
        <v>220</v>
      </c>
      <c r="I3813" s="16" t="s">
        <v>220</v>
      </c>
    </row>
    <row r="3814" ht="242.25" hidden="1" customHeight="1">
      <c r="B3814" s="32" t="str">
        <f>IMAGE("https://gymvisual.com/14310-catalog_default/vertical-leg-raise-on-parallel-bars-female-version-2.jpg",4,500,500)</f>
        <v/>
      </c>
      <c r="C3814" s="30">
        <v>3813.0</v>
      </c>
      <c r="D3814" s="16" t="s">
        <v>4758</v>
      </c>
      <c r="E3814" s="16" t="s">
        <v>184</v>
      </c>
      <c r="F3814" s="16" t="s">
        <v>254</v>
      </c>
      <c r="G3814" s="16" t="s">
        <v>255</v>
      </c>
      <c r="H3814" s="16" t="s">
        <v>305</v>
      </c>
      <c r="I3814" s="16" t="s">
        <v>2482</v>
      </c>
    </row>
    <row r="3815" ht="242.25" hidden="1" customHeight="1">
      <c r="B3815" s="32" t="str">
        <f>IMAGE("https://gymvisual.com/23859-catalog_default/vertical-leg-raise-on-parallel-bars-male.jpg",4,500,500)</f>
        <v/>
      </c>
      <c r="C3815" s="30">
        <v>3814.0</v>
      </c>
      <c r="D3815" s="16" t="s">
        <v>4759</v>
      </c>
      <c r="E3815" s="16" t="s">
        <v>184</v>
      </c>
      <c r="F3815" s="16" t="s">
        <v>185</v>
      </c>
      <c r="G3815" s="16" t="s">
        <v>255</v>
      </c>
      <c r="H3815" s="16" t="s">
        <v>220</v>
      </c>
      <c r="I3815" s="16" t="s">
        <v>220</v>
      </c>
    </row>
    <row r="3816" ht="242.25" hidden="1" customHeight="1">
      <c r="B3816" s="32" t="str">
        <f>IMAGE("https://gymvisual.com/26430-catalog_default/vertical-sit-up-male.jpg",4,500,500)</f>
        <v/>
      </c>
      <c r="C3816" s="30">
        <v>3815.0</v>
      </c>
      <c r="D3816" s="16" t="s">
        <v>4760</v>
      </c>
      <c r="E3816" s="16" t="s">
        <v>184</v>
      </c>
      <c r="F3816" s="16" t="s">
        <v>254</v>
      </c>
      <c r="G3816" s="16" t="s">
        <v>255</v>
      </c>
      <c r="H3816" s="16" t="s">
        <v>305</v>
      </c>
      <c r="I3816" s="16" t="s">
        <v>600</v>
      </c>
    </row>
    <row r="3817" ht="242.25" hidden="1" customHeight="1">
      <c r="B3817" s="32" t="str">
        <f>IMAGE("https://gymvisual.com/23561-catalog_default/walking-lunge-female.jpg",4,500,500)</f>
        <v/>
      </c>
      <c r="C3817" s="30">
        <v>3816.0</v>
      </c>
      <c r="D3817" s="16" t="s">
        <v>4761</v>
      </c>
      <c r="E3817" s="16" t="s">
        <v>184</v>
      </c>
      <c r="F3817" s="16" t="s">
        <v>285</v>
      </c>
      <c r="G3817" s="16" t="s">
        <v>255</v>
      </c>
      <c r="H3817" s="16" t="s">
        <v>189</v>
      </c>
      <c r="I3817" s="16" t="s">
        <v>190</v>
      </c>
    </row>
    <row r="3818" ht="242.25" hidden="1" customHeight="1">
      <c r="B3818" s="32" t="str">
        <f>IMAGE("https://gymvisual.com/17893-catalog_default/wall-press-heel-tap-male.jpg",4,500,500)</f>
        <v/>
      </c>
      <c r="C3818" s="30">
        <v>3817.0</v>
      </c>
      <c r="D3818" s="16" t="s">
        <v>4762</v>
      </c>
      <c r="E3818" s="16" t="s">
        <v>184</v>
      </c>
      <c r="F3818" s="16" t="s">
        <v>185</v>
      </c>
      <c r="G3818" s="16" t="s">
        <v>255</v>
      </c>
      <c r="H3818" s="16" t="s">
        <v>220</v>
      </c>
      <c r="I3818" s="16" t="s">
        <v>220</v>
      </c>
    </row>
    <row r="3819" ht="242.25" hidden="1" customHeight="1">
      <c r="B3819" s="32" t="str">
        <f>IMAGE("https://gymvisual.com/23943-catalog_default/wall-pulse-male.jpg",4,500,500)</f>
        <v/>
      </c>
      <c r="C3819" s="30">
        <v>3818.0</v>
      </c>
      <c r="D3819" s="16" t="s">
        <v>4763</v>
      </c>
      <c r="E3819" s="16" t="s">
        <v>184</v>
      </c>
      <c r="F3819" s="16" t="s">
        <v>219</v>
      </c>
      <c r="G3819" s="16" t="s">
        <v>255</v>
      </c>
      <c r="H3819" s="16" t="s">
        <v>223</v>
      </c>
      <c r="I3819" s="16" t="s">
        <v>220</v>
      </c>
    </row>
    <row r="3820" ht="242.25" customHeight="1">
      <c r="B3820" s="32" t="str">
        <f>IMAGE("https://gymvisual.com/2480-catalog_default/weighted-bench-dip.jpg",4,500,500)</f>
        <v/>
      </c>
      <c r="C3820" s="30">
        <v>3819.0</v>
      </c>
      <c r="D3820" s="16" t="s">
        <v>4764</v>
      </c>
      <c r="E3820" s="16" t="s">
        <v>184</v>
      </c>
      <c r="F3820" s="16" t="s">
        <v>219</v>
      </c>
      <c r="G3820" s="16" t="s">
        <v>396</v>
      </c>
      <c r="H3820" s="16" t="s">
        <v>223</v>
      </c>
      <c r="I3820" s="16" t="s">
        <v>394</v>
      </c>
    </row>
    <row r="3821" ht="242.25" customHeight="1">
      <c r="B3821" s="32" t="str">
        <f>IMAGE("https://gymvisual.com/19363-catalog_default/weighted-captains-chair-leg-raise.jpg",4,500,500)</f>
        <v/>
      </c>
      <c r="C3821" s="30">
        <v>3820.0</v>
      </c>
      <c r="D3821" s="16" t="s">
        <v>4765</v>
      </c>
      <c r="E3821" s="16" t="s">
        <v>184</v>
      </c>
      <c r="F3821" s="16" t="s">
        <v>254</v>
      </c>
      <c r="G3821" s="16" t="s">
        <v>396</v>
      </c>
      <c r="H3821" s="16" t="s">
        <v>305</v>
      </c>
      <c r="I3821" s="16" t="s">
        <v>220</v>
      </c>
    </row>
    <row r="3822" ht="242.25" customHeight="1">
      <c r="B3822" s="32" t="str">
        <f>IMAGE("https://gymvisual.com/26124-catalog_default/weighted-chain-sumo-deadlift.jpg",4,500,500)</f>
        <v/>
      </c>
      <c r="C3822" s="30">
        <v>3821.0</v>
      </c>
      <c r="D3822" s="16" t="s">
        <v>4766</v>
      </c>
      <c r="E3822" s="16" t="s">
        <v>184</v>
      </c>
      <c r="F3822" s="16" t="s">
        <v>185</v>
      </c>
      <c r="G3822" s="16" t="s">
        <v>396</v>
      </c>
      <c r="H3822" s="16" t="s">
        <v>220</v>
      </c>
      <c r="I3822" s="16" t="s">
        <v>220</v>
      </c>
    </row>
    <row r="3823" ht="242.25" customHeight="1">
      <c r="B3823" s="32" t="str">
        <f>IMAGE("https://gymvisual.com/17905-catalog_default/weighted-chin-up-male.jpg",4,500,500)</f>
        <v/>
      </c>
      <c r="C3823" s="30">
        <v>3822.0</v>
      </c>
      <c r="D3823" s="16" t="s">
        <v>4767</v>
      </c>
      <c r="E3823" s="16" t="s">
        <v>184</v>
      </c>
      <c r="F3823" s="16" t="s">
        <v>192</v>
      </c>
      <c r="G3823" s="16" t="s">
        <v>396</v>
      </c>
      <c r="H3823" s="16" t="s">
        <v>329</v>
      </c>
      <c r="I3823" s="16" t="s">
        <v>447</v>
      </c>
    </row>
    <row r="3824" ht="242.25" customHeight="1">
      <c r="B3824" s="32" t="str">
        <f>IMAGE("https://gymvisual.com/12316-catalog_default/weighted-close-grip-chin-up-on-dip-cage.jpg",4,500,500)</f>
        <v/>
      </c>
      <c r="C3824" s="30">
        <v>3823.0</v>
      </c>
      <c r="D3824" s="16" t="s">
        <v>4768</v>
      </c>
      <c r="E3824" s="16" t="s">
        <v>184</v>
      </c>
      <c r="F3824" s="16" t="s">
        <v>192</v>
      </c>
      <c r="G3824" s="16" t="s">
        <v>396</v>
      </c>
      <c r="H3824" s="16" t="s">
        <v>300</v>
      </c>
      <c r="I3824" s="16" t="s">
        <v>1357</v>
      </c>
    </row>
    <row r="3825" ht="242.25" customHeight="1">
      <c r="B3825" s="32" t="str">
        <f>IMAGE("https://gymvisual.com/14376-catalog_default/weighted-cossack-squats-male.jpg",4,500,500)</f>
        <v/>
      </c>
      <c r="C3825" s="30">
        <v>3824.0</v>
      </c>
      <c r="D3825" s="16" t="s">
        <v>4769</v>
      </c>
      <c r="E3825" s="16" t="s">
        <v>184</v>
      </c>
      <c r="F3825" s="16" t="s">
        <v>294</v>
      </c>
      <c r="G3825" s="16" t="s">
        <v>396</v>
      </c>
      <c r="H3825" s="16" t="s">
        <v>4770</v>
      </c>
      <c r="I3825" s="16" t="s">
        <v>4771</v>
      </c>
    </row>
    <row r="3826" ht="242.25" customHeight="1">
      <c r="B3826" s="32" t="str">
        <f>IMAGE("https://gymvisual.com/17959-catalog_default/weighted-counterbalanced-skater-squat-male.jpg",4,500,500)</f>
        <v/>
      </c>
      <c r="C3826" s="30">
        <v>3825.0</v>
      </c>
      <c r="D3826" s="16" t="s">
        <v>4772</v>
      </c>
      <c r="E3826" s="16" t="s">
        <v>184</v>
      </c>
      <c r="F3826" s="16"/>
      <c r="G3826" s="16" t="s">
        <v>396</v>
      </c>
      <c r="H3826" s="16" t="s">
        <v>220</v>
      </c>
      <c r="I3826" s="16" t="s">
        <v>220</v>
      </c>
    </row>
    <row r="3827" ht="242.25" customHeight="1">
      <c r="B3827" s="32" t="str">
        <f>IMAGE("https://gymvisual.com/17957-catalog_default/weighted-counterbalanced-squat-male.jpg",4,500,500)</f>
        <v/>
      </c>
      <c r="C3827" s="30">
        <v>3826.0</v>
      </c>
      <c r="D3827" s="16" t="s">
        <v>4773</v>
      </c>
      <c r="E3827" s="16" t="s">
        <v>184</v>
      </c>
      <c r="F3827" s="16" t="s">
        <v>285</v>
      </c>
      <c r="G3827" s="16" t="s">
        <v>396</v>
      </c>
      <c r="H3827" s="16" t="s">
        <v>189</v>
      </c>
      <c r="I3827" s="16" t="s">
        <v>190</v>
      </c>
    </row>
    <row r="3828" ht="242.25" customHeight="1">
      <c r="B3828" s="32" t="str">
        <f>IMAGE("https://gymvisual.com/2486-catalog_default/weighted-crunch.jpg",4,500,500)</f>
        <v/>
      </c>
      <c r="C3828" s="30">
        <v>3827.0</v>
      </c>
      <c r="D3828" s="16" t="s">
        <v>4774</v>
      </c>
      <c r="E3828" s="16" t="s">
        <v>184</v>
      </c>
      <c r="F3828" s="16" t="s">
        <v>254</v>
      </c>
      <c r="G3828" s="16" t="s">
        <v>396</v>
      </c>
      <c r="H3828" s="16" t="s">
        <v>256</v>
      </c>
      <c r="I3828" s="16" t="s">
        <v>257</v>
      </c>
    </row>
    <row r="3829" ht="242.25" customHeight="1">
      <c r="B3829" s="32" t="str">
        <f>IMAGE("https://gymvisual.com/2483-catalog_default/weighted-crunch-bent-knee.jpg",4,500,500)</f>
        <v/>
      </c>
      <c r="C3829" s="30">
        <v>3828.0</v>
      </c>
      <c r="D3829" s="16" t="s">
        <v>4775</v>
      </c>
      <c r="E3829" s="16" t="s">
        <v>184</v>
      </c>
      <c r="F3829" s="16" t="s">
        <v>254</v>
      </c>
      <c r="G3829" s="16" t="s">
        <v>399</v>
      </c>
      <c r="H3829" s="16" t="s">
        <v>256</v>
      </c>
      <c r="I3829" s="16" t="s">
        <v>257</v>
      </c>
    </row>
    <row r="3830" ht="242.25" customHeight="1">
      <c r="B3830" s="32" t="str">
        <f>IMAGE("https://gymvisual.com/11179-catalog_default/weighted-crunch-female.jpg",4,500,500)</f>
        <v/>
      </c>
      <c r="C3830" s="30">
        <v>3829.0</v>
      </c>
      <c r="D3830" s="16" t="s">
        <v>4776</v>
      </c>
      <c r="E3830" s="16" t="s">
        <v>184</v>
      </c>
      <c r="F3830" s="16" t="s">
        <v>254</v>
      </c>
      <c r="G3830" s="16" t="s">
        <v>396</v>
      </c>
      <c r="H3830" s="16" t="s">
        <v>220</v>
      </c>
      <c r="I3830" s="16" t="s">
        <v>220</v>
      </c>
    </row>
    <row r="3831" ht="242.25" customHeight="1">
      <c r="B3831" s="32" t="str">
        <f>IMAGE("https://gymvisual.com/19395-catalog_default/weighted-crunch-version-2.jpg",4,500,500)</f>
        <v/>
      </c>
      <c r="C3831" s="30">
        <v>3830.0</v>
      </c>
      <c r="D3831" s="16" t="s">
        <v>4777</v>
      </c>
      <c r="E3831" s="16" t="s">
        <v>184</v>
      </c>
      <c r="F3831" s="16" t="s">
        <v>254</v>
      </c>
      <c r="G3831" s="16" t="s">
        <v>396</v>
      </c>
      <c r="H3831" s="16" t="s">
        <v>256</v>
      </c>
      <c r="I3831" s="16" t="s">
        <v>257</v>
      </c>
    </row>
    <row r="3832" ht="242.25" customHeight="1">
      <c r="B3832" s="32" t="str">
        <f>IMAGE("https://gymvisual.com/17955-catalog_default/weighted-dead-bug-male.jpg",4,500,500)</f>
        <v/>
      </c>
      <c r="C3832" s="30">
        <v>3831.0</v>
      </c>
      <c r="D3832" s="16" t="s">
        <v>4778</v>
      </c>
      <c r="E3832" s="16" t="s">
        <v>184</v>
      </c>
      <c r="F3832" s="16" t="s">
        <v>254</v>
      </c>
      <c r="G3832" s="16" t="s">
        <v>396</v>
      </c>
      <c r="H3832" s="16" t="s">
        <v>220</v>
      </c>
      <c r="I3832" s="16" t="s">
        <v>220</v>
      </c>
    </row>
    <row r="3833" ht="242.25" customHeight="1">
      <c r="B3833" s="32" t="str">
        <f>IMAGE("https://gymvisual.com/14629-catalog_default/weighted-decline-sit-up.jpg",4,500,500)</f>
        <v/>
      </c>
      <c r="C3833" s="30">
        <v>3832.0</v>
      </c>
      <c r="D3833" s="16" t="s">
        <v>4779</v>
      </c>
      <c r="E3833" s="16" t="s">
        <v>184</v>
      </c>
      <c r="F3833" s="16" t="s">
        <v>740</v>
      </c>
      <c r="G3833" s="16" t="s">
        <v>396</v>
      </c>
      <c r="H3833" s="16" t="s">
        <v>3766</v>
      </c>
      <c r="I3833" s="16" t="s">
        <v>4780</v>
      </c>
    </row>
    <row r="3834" ht="242.25" customHeight="1">
      <c r="B3834" s="32" t="str">
        <f>IMAGE("https://gymvisual.com/2489-catalog_default/weighted-donkey-calf-raise.jpg",4,500,500)</f>
        <v/>
      </c>
      <c r="C3834" s="30">
        <v>3833.0</v>
      </c>
      <c r="D3834" s="16" t="s">
        <v>4781</v>
      </c>
      <c r="E3834" s="16" t="s">
        <v>184</v>
      </c>
      <c r="F3834" s="16" t="s">
        <v>325</v>
      </c>
      <c r="G3834" s="16" t="s">
        <v>396</v>
      </c>
      <c r="H3834" s="16" t="s">
        <v>368</v>
      </c>
      <c r="I3834" s="16" t="s">
        <v>463</v>
      </c>
    </row>
    <row r="3835" ht="242.25" customHeight="1">
      <c r="B3835" s="32" t="str">
        <f>IMAGE("https://gymvisual.com/5999-catalog_default/weighted-drop-push-up.jpg",4,500,500)</f>
        <v/>
      </c>
      <c r="C3835" s="30">
        <v>3834.0</v>
      </c>
      <c r="D3835" s="16" t="s">
        <v>4782</v>
      </c>
      <c r="E3835" s="16" t="s">
        <v>184</v>
      </c>
      <c r="F3835" s="16" t="s">
        <v>234</v>
      </c>
      <c r="G3835" s="16" t="s">
        <v>396</v>
      </c>
      <c r="H3835" s="16" t="s">
        <v>347</v>
      </c>
      <c r="I3835" s="16" t="s">
        <v>3020</v>
      </c>
    </row>
    <row r="3836" ht="242.25" customHeight="1">
      <c r="B3836" s="32" t="str">
        <f>IMAGE("https://gymvisual.com/6850-catalog_default/weighted-exercise-ball-wall-squat.jpg",4,500,500)</f>
        <v/>
      </c>
      <c r="C3836" s="30">
        <v>3835.0</v>
      </c>
      <c r="D3836" s="16" t="s">
        <v>4783</v>
      </c>
      <c r="E3836" s="16" t="s">
        <v>184</v>
      </c>
      <c r="F3836" s="16" t="s">
        <v>285</v>
      </c>
      <c r="G3836" s="16" t="s">
        <v>396</v>
      </c>
      <c r="H3836" s="16" t="s">
        <v>220</v>
      </c>
      <c r="I3836" s="16" t="s">
        <v>220</v>
      </c>
    </row>
    <row r="3837" ht="242.25" customHeight="1">
      <c r="B3837" s="32" t="str">
        <f>IMAGE("https://gymvisual.com/13080-catalog_default/weighted-floor-crunch-feet-on-bench-female.jpg",4,500,500)</f>
        <v/>
      </c>
      <c r="C3837" s="30">
        <v>3836.0</v>
      </c>
      <c r="D3837" s="16" t="s">
        <v>4784</v>
      </c>
      <c r="E3837" s="16" t="s">
        <v>184</v>
      </c>
      <c r="F3837" s="16" t="s">
        <v>254</v>
      </c>
      <c r="G3837" s="16" t="s">
        <v>396</v>
      </c>
      <c r="H3837" s="16" t="s">
        <v>256</v>
      </c>
      <c r="I3837" s="16" t="s">
        <v>257</v>
      </c>
    </row>
    <row r="3838" ht="242.25" customHeight="1">
      <c r="B3838" s="32" t="str">
        <f>IMAGE("https://gymvisual.com/13091-catalog_default/weighted-floor-twisting-crunch-feet-on-bench-female.jpg",4,500,500)</f>
        <v/>
      </c>
      <c r="C3838" s="30">
        <v>3837.0</v>
      </c>
      <c r="D3838" s="16" t="s">
        <v>4785</v>
      </c>
      <c r="E3838" s="16" t="s">
        <v>184</v>
      </c>
      <c r="F3838" s="16" t="s">
        <v>254</v>
      </c>
      <c r="G3838" s="16" t="s">
        <v>396</v>
      </c>
      <c r="H3838" s="16" t="s">
        <v>257</v>
      </c>
      <c r="I3838" s="16" t="s">
        <v>256</v>
      </c>
    </row>
    <row r="3839" ht="242.25" customHeight="1">
      <c r="B3839" s="32" t="str">
        <f>IMAGE("https://gymvisual.com/12755-catalog_default/weighted-frog-pump.jpg",4,500,500)</f>
        <v/>
      </c>
      <c r="C3839" s="30">
        <v>3838.0</v>
      </c>
      <c r="D3839" s="16" t="s">
        <v>4786</v>
      </c>
      <c r="E3839" s="16" t="s">
        <v>184</v>
      </c>
      <c r="F3839" s="16" t="s">
        <v>185</v>
      </c>
      <c r="G3839" s="16" t="s">
        <v>396</v>
      </c>
      <c r="H3839" s="16" t="s">
        <v>1240</v>
      </c>
      <c r="I3839" s="16" t="s">
        <v>1241</v>
      </c>
    </row>
    <row r="3840" ht="242.25" customHeight="1">
      <c r="B3840" s="32" t="str">
        <f>IMAGE("https://gymvisual.com/2492-catalog_default/weighted-front-raise.jpg",4,500,500)</f>
        <v/>
      </c>
      <c r="C3840" s="30">
        <v>3839.0</v>
      </c>
      <c r="D3840" s="16" t="s">
        <v>4787</v>
      </c>
      <c r="E3840" s="16" t="s">
        <v>184</v>
      </c>
      <c r="F3840" s="16" t="s">
        <v>228</v>
      </c>
      <c r="G3840" s="16" t="s">
        <v>396</v>
      </c>
      <c r="H3840" s="16" t="s">
        <v>229</v>
      </c>
      <c r="I3840" s="16" t="s">
        <v>244</v>
      </c>
    </row>
    <row r="3841" ht="242.25" customHeight="1">
      <c r="B3841" s="32" t="str">
        <f>IMAGE("https://gymvisual.com/25663-catalog_default/weighted-full-can-exercise-male.jpg",4,500,500)</f>
        <v/>
      </c>
      <c r="C3841" s="30">
        <v>3840.0</v>
      </c>
      <c r="D3841" s="16" t="s">
        <v>4788</v>
      </c>
      <c r="E3841" s="16" t="s">
        <v>184</v>
      </c>
      <c r="F3841" s="16" t="s">
        <v>228</v>
      </c>
      <c r="G3841" s="16" t="s">
        <v>396</v>
      </c>
      <c r="H3841" s="16" t="s">
        <v>220</v>
      </c>
      <c r="I3841" s="16" t="s">
        <v>220</v>
      </c>
    </row>
    <row r="3842" ht="242.25" customHeight="1">
      <c r="B3842" s="32" t="str">
        <f>IMAGE("https://gymvisual.com/24458-catalog_default/weighted-full-squat-with-overhead-press.jpg",4,500,500)</f>
        <v/>
      </c>
      <c r="C3842" s="30">
        <v>3841.0</v>
      </c>
      <c r="D3842" s="16" t="s">
        <v>4789</v>
      </c>
      <c r="E3842" s="16" t="s">
        <v>184</v>
      </c>
      <c r="F3842" s="16" t="s">
        <v>285</v>
      </c>
      <c r="G3842" s="16" t="s">
        <v>396</v>
      </c>
      <c r="H3842" s="16" t="s">
        <v>793</v>
      </c>
      <c r="I3842" s="16" t="s">
        <v>1130</v>
      </c>
    </row>
    <row r="3843" ht="242.25" customHeight="1">
      <c r="B3843" s="32" t="str">
        <f>IMAGE("https://gymvisual.com/12313-catalog_default/weighted-hammer-grip-pull-up-on-dip-cage.jpg",4,500,500)</f>
        <v/>
      </c>
      <c r="C3843" s="30">
        <v>3842.0</v>
      </c>
      <c r="D3843" s="16" t="s">
        <v>4790</v>
      </c>
      <c r="E3843" s="16" t="s">
        <v>184</v>
      </c>
      <c r="F3843" s="16" t="s">
        <v>192</v>
      </c>
      <c r="G3843" s="16" t="s">
        <v>396</v>
      </c>
      <c r="H3843" s="16" t="s">
        <v>300</v>
      </c>
      <c r="I3843" s="16" t="s">
        <v>1357</v>
      </c>
    </row>
    <row r="3844" ht="242.25" customHeight="1">
      <c r="B3844" s="32" t="str">
        <f>IMAGE("https://gymvisual.com/18005-catalog_default/weighted-hang-chin-up.jpg",4,500,500)</f>
        <v/>
      </c>
      <c r="C3844" s="30">
        <v>3843.0</v>
      </c>
      <c r="D3844" s="16" t="s">
        <v>4791</v>
      </c>
      <c r="E3844" s="16" t="s">
        <v>184</v>
      </c>
      <c r="F3844" s="16" t="s">
        <v>192</v>
      </c>
      <c r="G3844" s="16" t="s">
        <v>396</v>
      </c>
      <c r="H3844" s="16" t="s">
        <v>220</v>
      </c>
      <c r="I3844" s="16" t="s">
        <v>220</v>
      </c>
    </row>
    <row r="3845" ht="242.25" customHeight="1">
      <c r="B3845" s="32" t="str">
        <f>IMAGE("https://gymvisual.com/2637-catalog_default/weighted-hanging-leg-hip-raise.jpg",4,500,500)</f>
        <v/>
      </c>
      <c r="C3845" s="30">
        <v>3844.0</v>
      </c>
      <c r="D3845" s="16" t="s">
        <v>4792</v>
      </c>
      <c r="E3845" s="16" t="s">
        <v>184</v>
      </c>
      <c r="F3845" s="16" t="s">
        <v>254</v>
      </c>
      <c r="G3845" s="16" t="s">
        <v>396</v>
      </c>
      <c r="H3845" s="16" t="s">
        <v>256</v>
      </c>
      <c r="I3845" s="16" t="s">
        <v>1308</v>
      </c>
    </row>
    <row r="3846" ht="242.25" customHeight="1">
      <c r="B3846" s="32" t="str">
        <f>IMAGE("https://gymvisual.com/11831-catalog_default/weighted-hip-thrusts-female.jpg",4,500,500)</f>
        <v/>
      </c>
      <c r="C3846" s="30">
        <v>3845.0</v>
      </c>
      <c r="D3846" s="16" t="s">
        <v>4793</v>
      </c>
      <c r="E3846" s="16" t="s">
        <v>184</v>
      </c>
      <c r="F3846" s="16" t="s">
        <v>185</v>
      </c>
      <c r="G3846" s="16" t="s">
        <v>396</v>
      </c>
      <c r="H3846" s="16" t="s">
        <v>220</v>
      </c>
      <c r="I3846" s="16" t="s">
        <v>220</v>
      </c>
    </row>
    <row r="3847" ht="242.25" customHeight="1">
      <c r="B3847" s="32" t="str">
        <f>IMAGE("https://gymvisual.com/22845-catalog_default/weighted-hyperextension.jpg",4,500,500)</f>
        <v/>
      </c>
      <c r="C3847" s="30">
        <v>3846.0</v>
      </c>
      <c r="D3847" s="16" t="s">
        <v>4794</v>
      </c>
      <c r="E3847" s="16" t="s">
        <v>184</v>
      </c>
      <c r="F3847" s="16" t="s">
        <v>185</v>
      </c>
      <c r="G3847" s="16" t="s">
        <v>396</v>
      </c>
      <c r="H3847" s="16" t="s">
        <v>275</v>
      </c>
      <c r="I3847" s="16" t="s">
        <v>2412</v>
      </c>
    </row>
    <row r="3848" ht="242.25" customHeight="1">
      <c r="B3848" s="32" t="str">
        <f>IMAGE("https://gymvisual.com/2495-catalog_default/weighted-hyperextension-on-stability-ball.jpg",4,500,500)</f>
        <v/>
      </c>
      <c r="C3848" s="30">
        <v>3847.0</v>
      </c>
      <c r="D3848" s="16" t="s">
        <v>4795</v>
      </c>
      <c r="E3848" s="16" t="s">
        <v>184</v>
      </c>
      <c r="F3848" s="16" t="s">
        <v>254</v>
      </c>
      <c r="G3848" s="16" t="s">
        <v>396</v>
      </c>
      <c r="H3848" s="16" t="s">
        <v>275</v>
      </c>
      <c r="I3848" s="16" t="s">
        <v>220</v>
      </c>
    </row>
    <row r="3849" ht="242.25" customHeight="1">
      <c r="B3849" s="32" t="str">
        <f>IMAGE("https://gymvisual.com/23883-catalog_default/weighted-incline-svend-press.jpg",4,500,500)</f>
        <v/>
      </c>
      <c r="C3849" s="30">
        <v>3848.0</v>
      </c>
      <c r="D3849" s="16" t="s">
        <v>4796</v>
      </c>
      <c r="E3849" s="16" t="s">
        <v>184</v>
      </c>
      <c r="F3849" s="16" t="s">
        <v>219</v>
      </c>
      <c r="G3849" s="16" t="s">
        <v>396</v>
      </c>
      <c r="H3849" s="16" t="s">
        <v>415</v>
      </c>
      <c r="I3849" s="16" t="s">
        <v>243</v>
      </c>
    </row>
    <row r="3850" ht="242.25" customHeight="1">
      <c r="B3850" s="32" t="str">
        <f>IMAGE("https://gymvisual.com/19359-catalog_default/weighted-inverted-row.jpg",4,500,500)</f>
        <v/>
      </c>
      <c r="C3850" s="30">
        <v>3849.0</v>
      </c>
      <c r="D3850" s="16" t="s">
        <v>4797</v>
      </c>
      <c r="E3850" s="16" t="s">
        <v>184</v>
      </c>
      <c r="F3850" s="16" t="s">
        <v>192</v>
      </c>
      <c r="G3850" s="16" t="s">
        <v>396</v>
      </c>
      <c r="H3850" s="16" t="s">
        <v>329</v>
      </c>
      <c r="I3850" s="16" t="s">
        <v>1907</v>
      </c>
    </row>
    <row r="3851" ht="242.25" customHeight="1">
      <c r="B3851" s="32" t="str">
        <f>IMAGE("https://gymvisual.com/14372-catalog_default/weighted-kneeling-step-with-swing.jpg",4,500,500)</f>
        <v/>
      </c>
      <c r="C3851" s="30">
        <v>3850.0</v>
      </c>
      <c r="D3851" s="16" t="s">
        <v>4798</v>
      </c>
      <c r="E3851" s="16" t="s">
        <v>184</v>
      </c>
      <c r="F3851" s="16" t="s">
        <v>1129</v>
      </c>
      <c r="G3851" s="16" t="s">
        <v>396</v>
      </c>
      <c r="H3851" s="16" t="s">
        <v>4799</v>
      </c>
      <c r="I3851" s="16" t="s">
        <v>4800</v>
      </c>
    </row>
    <row r="3852" ht="242.25" customHeight="1">
      <c r="B3852" s="32" t="str">
        <f>IMAGE("https://gymvisual.com/2498-catalog_default/weighted-leg-extension-crunch.jpg",4,500,500)</f>
        <v/>
      </c>
      <c r="C3852" s="30">
        <v>3851.0</v>
      </c>
      <c r="D3852" s="16" t="s">
        <v>4801</v>
      </c>
      <c r="E3852" s="16" t="s">
        <v>184</v>
      </c>
      <c r="F3852" s="16" t="s">
        <v>254</v>
      </c>
      <c r="G3852" s="16" t="s">
        <v>399</v>
      </c>
      <c r="H3852" s="16" t="s">
        <v>256</v>
      </c>
      <c r="I3852" s="16" t="s">
        <v>1308</v>
      </c>
    </row>
    <row r="3853" ht="242.25" customHeight="1">
      <c r="B3853" s="32" t="str">
        <f>IMAGE("https://gymvisual.com/14378-catalog_default/weighted-lunge-with-swing.jpg",4,500,500)</f>
        <v/>
      </c>
      <c r="C3853" s="30">
        <v>3852.0</v>
      </c>
      <c r="D3853" s="16" t="s">
        <v>4802</v>
      </c>
      <c r="E3853" s="16" t="s">
        <v>184</v>
      </c>
      <c r="F3853" s="16" t="s">
        <v>1129</v>
      </c>
      <c r="G3853" s="16" t="s">
        <v>396</v>
      </c>
      <c r="H3853" s="16" t="s">
        <v>793</v>
      </c>
      <c r="I3853" s="16" t="s">
        <v>2392</v>
      </c>
    </row>
    <row r="3854" ht="242.25" customHeight="1">
      <c r="B3854" s="32" t="str">
        <f>IMAGE("https://gymvisual.com/2501-catalog_default/weighted-lying-hip-abduction.jpg",4,500,500)</f>
        <v/>
      </c>
      <c r="C3854" s="30">
        <v>3853.0</v>
      </c>
      <c r="D3854" s="16" t="s">
        <v>4803</v>
      </c>
      <c r="E3854" s="16" t="s">
        <v>184</v>
      </c>
      <c r="F3854" s="16" t="s">
        <v>185</v>
      </c>
      <c r="G3854" s="16" t="s">
        <v>396</v>
      </c>
      <c r="H3854" s="16" t="s">
        <v>475</v>
      </c>
      <c r="I3854" s="16" t="s">
        <v>220</v>
      </c>
    </row>
    <row r="3855" ht="242.25" customHeight="1">
      <c r="B3855" s="32" t="str">
        <f>IMAGE("https://gymvisual.com/2953-catalog_default/weighted-lying-neck-extension.jpg",4,500,500)</f>
        <v/>
      </c>
      <c r="C3855" s="30">
        <v>3854.0</v>
      </c>
      <c r="D3855" s="16" t="s">
        <v>4804</v>
      </c>
      <c r="E3855" s="16" t="s">
        <v>184</v>
      </c>
      <c r="F3855" s="16" t="s">
        <v>351</v>
      </c>
      <c r="G3855" s="16" t="s">
        <v>396</v>
      </c>
      <c r="H3855" s="16" t="s">
        <v>3457</v>
      </c>
      <c r="I3855" s="16" t="s">
        <v>3458</v>
      </c>
    </row>
    <row r="3856" ht="242.25" customHeight="1">
      <c r="B3856" s="32" t="str">
        <f>IMAGE("https://gymvisual.com/10461-catalog_default/weighted-lying-neck-extension-with-head-harness.jpg",4,500,500)</f>
        <v/>
      </c>
      <c r="C3856" s="30">
        <v>3855.0</v>
      </c>
      <c r="D3856" s="16" t="s">
        <v>4805</v>
      </c>
      <c r="E3856" s="16" t="s">
        <v>184</v>
      </c>
      <c r="F3856" s="16" t="s">
        <v>351</v>
      </c>
      <c r="G3856" s="16" t="s">
        <v>396</v>
      </c>
      <c r="H3856" s="16" t="s">
        <v>220</v>
      </c>
      <c r="I3856" s="16" t="s">
        <v>220</v>
      </c>
    </row>
    <row r="3857" ht="242.25" customHeight="1">
      <c r="B3857" s="32" t="str">
        <f>IMAGE("https://gymvisual.com/2954-catalog_default/weighted-lying-neck-flexion.jpg",4,500,500)</f>
        <v/>
      </c>
      <c r="C3857" s="30">
        <v>3856.0</v>
      </c>
      <c r="D3857" s="16" t="s">
        <v>4806</v>
      </c>
      <c r="E3857" s="16" t="s">
        <v>184</v>
      </c>
      <c r="F3857" s="16" t="s">
        <v>351</v>
      </c>
      <c r="G3857" s="16" t="s">
        <v>396</v>
      </c>
      <c r="H3857" s="16" t="s">
        <v>3717</v>
      </c>
      <c r="I3857" s="16" t="s">
        <v>4807</v>
      </c>
    </row>
    <row r="3858" ht="242.25" customHeight="1">
      <c r="B3858" s="32" t="str">
        <f>IMAGE("https://gymvisual.com/10462-catalog_default/weighted-lying-neck-flexion-with-head-harness.jpg",4,500,500)</f>
        <v/>
      </c>
      <c r="C3858" s="30">
        <v>3857.0</v>
      </c>
      <c r="D3858" s="16" t="s">
        <v>4808</v>
      </c>
      <c r="E3858" s="16" t="s">
        <v>184</v>
      </c>
      <c r="F3858" s="16" t="s">
        <v>351</v>
      </c>
      <c r="G3858" s="16" t="s">
        <v>396</v>
      </c>
      <c r="H3858" s="16" t="s">
        <v>220</v>
      </c>
      <c r="I3858" s="16" t="s">
        <v>220</v>
      </c>
    </row>
    <row r="3859" ht="242.25" customHeight="1">
      <c r="B3859" s="32" t="str">
        <f>IMAGE("https://gymvisual.com/18986-catalog_default/weighted-lying-neck-head-twist.jpg",4,500,500)</f>
        <v/>
      </c>
      <c r="C3859" s="30">
        <v>3858.0</v>
      </c>
      <c r="D3859" s="16" t="s">
        <v>4809</v>
      </c>
      <c r="E3859" s="16" t="s">
        <v>184</v>
      </c>
      <c r="F3859" s="16" t="s">
        <v>351</v>
      </c>
      <c r="G3859" s="16" t="s">
        <v>396</v>
      </c>
      <c r="H3859" s="16" t="s">
        <v>220</v>
      </c>
      <c r="I3859" s="16" t="s">
        <v>220</v>
      </c>
    </row>
    <row r="3860" ht="242.25" customHeight="1">
      <c r="B3860" s="32" t="str">
        <f>IMAGE("https://gymvisual.com/18984-catalog_default/weighted-lying-neck-side-to-side.jpg",4,500,500)</f>
        <v/>
      </c>
      <c r="C3860" s="30">
        <v>3859.0</v>
      </c>
      <c r="D3860" s="16" t="s">
        <v>4810</v>
      </c>
      <c r="E3860" s="16" t="s">
        <v>184</v>
      </c>
      <c r="F3860" s="16" t="s">
        <v>351</v>
      </c>
      <c r="G3860" s="16" t="s">
        <v>396</v>
      </c>
      <c r="H3860" s="16" t="s">
        <v>220</v>
      </c>
      <c r="I3860" s="16" t="s">
        <v>220</v>
      </c>
    </row>
    <row r="3861" ht="242.25" customHeight="1">
      <c r="B3861" s="32" t="str">
        <f>IMAGE("https://gymvisual.com/10452-catalog_default/weighted-lying-side-lifting-head-with-head-harness.jpg",4,500,500)</f>
        <v/>
      </c>
      <c r="C3861" s="30">
        <v>3860.0</v>
      </c>
      <c r="D3861" s="16" t="s">
        <v>4811</v>
      </c>
      <c r="E3861" s="16" t="s">
        <v>184</v>
      </c>
      <c r="F3861" s="16" t="s">
        <v>351</v>
      </c>
      <c r="G3861" s="16" t="s">
        <v>396</v>
      </c>
      <c r="H3861" s="16" t="s">
        <v>3717</v>
      </c>
      <c r="I3861" s="16" t="s">
        <v>4812</v>
      </c>
    </row>
    <row r="3862" ht="242.25" customHeight="1">
      <c r="B3862" s="32" t="str">
        <f>IMAGE("https://gymvisual.com/18980-catalog_default/weighted-lying-side-neck-raise.jpg",4,500,500)</f>
        <v/>
      </c>
      <c r="C3862" s="30">
        <v>3861.0</v>
      </c>
      <c r="D3862" s="16" t="s">
        <v>4813</v>
      </c>
      <c r="E3862" s="16" t="s">
        <v>184</v>
      </c>
      <c r="F3862" s="16" t="s">
        <v>351</v>
      </c>
      <c r="G3862" s="16" t="s">
        <v>396</v>
      </c>
      <c r="H3862" s="16" t="s">
        <v>220</v>
      </c>
      <c r="I3862" s="16" t="s">
        <v>220</v>
      </c>
    </row>
    <row r="3863" ht="242.25" customHeight="1">
      <c r="B3863" s="32" t="str">
        <f>IMAGE("https://gymvisual.com/2507-catalog_default/weighted-lying-twist.jpg",4,500,500)</f>
        <v/>
      </c>
      <c r="C3863" s="30">
        <v>3862.0</v>
      </c>
      <c r="D3863" s="16" t="s">
        <v>4814</v>
      </c>
      <c r="E3863" s="16" t="s">
        <v>184</v>
      </c>
      <c r="F3863" s="16" t="s">
        <v>254</v>
      </c>
      <c r="G3863" s="16" t="s">
        <v>399</v>
      </c>
      <c r="H3863" s="16" t="s">
        <v>257</v>
      </c>
      <c r="I3863" s="16" t="s">
        <v>220</v>
      </c>
    </row>
    <row r="3864" ht="242.25" customHeight="1">
      <c r="B3864" s="32" t="str">
        <f>IMAGE("https://gymvisual.com/13509-catalog_default/weighted-muscle-up.jpg",4,500,500)</f>
        <v/>
      </c>
      <c r="C3864" s="30">
        <v>3863.0</v>
      </c>
      <c r="D3864" s="16" t="s">
        <v>4815</v>
      </c>
      <c r="E3864" s="16" t="s">
        <v>184</v>
      </c>
      <c r="F3864" s="16" t="s">
        <v>192</v>
      </c>
      <c r="G3864" s="16" t="s">
        <v>396</v>
      </c>
      <c r="H3864" s="16" t="s">
        <v>220</v>
      </c>
      <c r="I3864" s="16" t="s">
        <v>220</v>
      </c>
    </row>
    <row r="3865" ht="242.25" customHeight="1">
      <c r="B3865" s="32" t="str">
        <f>IMAGE("https://gymvisual.com/13553-catalog_default/weighted-muscle-up-on-bar.jpg",4,500,500)</f>
        <v/>
      </c>
      <c r="C3865" s="30">
        <v>3864.0</v>
      </c>
      <c r="D3865" s="16" t="s">
        <v>4816</v>
      </c>
      <c r="E3865" s="16" t="s">
        <v>184</v>
      </c>
      <c r="F3865" s="16" t="s">
        <v>361</v>
      </c>
      <c r="G3865" s="16" t="s">
        <v>396</v>
      </c>
      <c r="H3865" s="16" t="s">
        <v>220</v>
      </c>
      <c r="I3865" s="16" t="s">
        <v>220</v>
      </c>
    </row>
    <row r="3866" ht="242.25" customHeight="1">
      <c r="B3866" s="32" t="str">
        <f>IMAGE("https://gymvisual.com/13517-catalog_default/weighted-one-hand-pull-up.jpg",4,500,500)</f>
        <v/>
      </c>
      <c r="C3866" s="30">
        <v>3865.0</v>
      </c>
      <c r="D3866" s="16" t="s">
        <v>4817</v>
      </c>
      <c r="E3866" s="16" t="s">
        <v>184</v>
      </c>
      <c r="F3866" s="16" t="s">
        <v>192</v>
      </c>
      <c r="G3866" s="16" t="s">
        <v>396</v>
      </c>
      <c r="H3866" s="16" t="s">
        <v>300</v>
      </c>
      <c r="I3866" s="16" t="s">
        <v>387</v>
      </c>
    </row>
    <row r="3867" ht="242.25" customHeight="1">
      <c r="B3867" s="32" t="str">
        <f>IMAGE("https://gymvisual.com/4079-catalog_default/weighted-one-leg-hip-thrust.jpg",4,500,500)</f>
        <v/>
      </c>
      <c r="C3867" s="30">
        <v>3866.0</v>
      </c>
      <c r="D3867" s="16" t="s">
        <v>4818</v>
      </c>
      <c r="E3867" s="16" t="s">
        <v>184</v>
      </c>
      <c r="F3867" s="16" t="s">
        <v>185</v>
      </c>
      <c r="G3867" s="16" t="s">
        <v>396</v>
      </c>
      <c r="H3867" s="16" t="s">
        <v>187</v>
      </c>
      <c r="I3867" s="16" t="s">
        <v>854</v>
      </c>
    </row>
    <row r="3868" ht="242.25" customHeight="1">
      <c r="B3868" s="32" t="str">
        <f>IMAGE("https://gymvisual.com/2510-catalog_default/weighted-overhead-crunch-on-stability-ball.jpg",4,500,500)</f>
        <v/>
      </c>
      <c r="C3868" s="30">
        <v>3867.0</v>
      </c>
      <c r="D3868" s="16" t="s">
        <v>4819</v>
      </c>
      <c r="E3868" s="16" t="s">
        <v>184</v>
      </c>
      <c r="F3868" s="16" t="s">
        <v>254</v>
      </c>
      <c r="G3868" s="16" t="s">
        <v>396</v>
      </c>
      <c r="H3868" s="16" t="s">
        <v>256</v>
      </c>
      <c r="I3868" s="16" t="s">
        <v>257</v>
      </c>
    </row>
    <row r="3869" ht="242.25" customHeight="1">
      <c r="B3869" s="32" t="str">
        <f>IMAGE("https://gymvisual.com/18013-catalog_default/weighted-overhead-press-step-up.jpg",4,500,500)</f>
        <v/>
      </c>
      <c r="C3869" s="30">
        <v>3868.0</v>
      </c>
      <c r="D3869" s="16" t="s">
        <v>4820</v>
      </c>
      <c r="E3869" s="16" t="s">
        <v>184</v>
      </c>
      <c r="F3869" s="16" t="s">
        <v>285</v>
      </c>
      <c r="G3869" s="16" t="s">
        <v>396</v>
      </c>
      <c r="H3869" s="16" t="s">
        <v>220</v>
      </c>
      <c r="I3869" s="16" t="s">
        <v>220</v>
      </c>
    </row>
    <row r="3870" ht="242.25" customHeight="1">
      <c r="B3870" s="32" t="str">
        <f>IMAGE("https://gymvisual.com/17719-catalog_default/weighted-plate-bent-over-row.jpg",4,500,500)</f>
        <v/>
      </c>
      <c r="C3870" s="30">
        <v>3869.0</v>
      </c>
      <c r="D3870" s="16" t="s">
        <v>4821</v>
      </c>
      <c r="E3870" s="16" t="s">
        <v>184</v>
      </c>
      <c r="F3870" s="16" t="s">
        <v>192</v>
      </c>
      <c r="G3870" s="16" t="s">
        <v>396</v>
      </c>
      <c r="H3870" s="16" t="s">
        <v>570</v>
      </c>
      <c r="I3870" s="16" t="s">
        <v>447</v>
      </c>
    </row>
    <row r="3871" ht="242.25" customHeight="1">
      <c r="B3871" s="32" t="str">
        <f>IMAGE("https://gymvisual.com/24258-catalog_default/weighted-plate-overhead-march.jpg",4,500,500)</f>
        <v/>
      </c>
      <c r="C3871" s="30">
        <v>3870.0</v>
      </c>
      <c r="D3871" s="16" t="s">
        <v>4822</v>
      </c>
      <c r="E3871" s="16" t="s">
        <v>184</v>
      </c>
      <c r="F3871" s="16" t="s">
        <v>285</v>
      </c>
      <c r="G3871" s="16" t="s">
        <v>396</v>
      </c>
      <c r="H3871" s="16" t="s">
        <v>1332</v>
      </c>
      <c r="I3871" s="16" t="s">
        <v>314</v>
      </c>
    </row>
    <row r="3872" ht="242.25" customHeight="1">
      <c r="B3872" s="32" t="str">
        <f>IMAGE("https://gymvisual.com/22379-catalog_default/weighted-plate-standing-high-front-raise.jpg",4,500,500)</f>
        <v/>
      </c>
      <c r="C3872" s="30">
        <v>3871.0</v>
      </c>
      <c r="D3872" s="16" t="s">
        <v>4823</v>
      </c>
      <c r="E3872" s="16" t="s">
        <v>184</v>
      </c>
      <c r="F3872" s="16" t="s">
        <v>228</v>
      </c>
      <c r="G3872" s="16" t="s">
        <v>396</v>
      </c>
      <c r="H3872" s="16" t="s">
        <v>220</v>
      </c>
      <c r="I3872" s="16" t="s">
        <v>220</v>
      </c>
    </row>
    <row r="3873" ht="242.25" customHeight="1">
      <c r="B3873" s="32" t="str">
        <f>IMAGE("https://gymvisual.com/2513-catalog_default/weighted-pull-up.jpg",4,500,500)</f>
        <v/>
      </c>
      <c r="C3873" s="30">
        <v>3872.0</v>
      </c>
      <c r="D3873" s="16" t="s">
        <v>4824</v>
      </c>
      <c r="E3873" s="16" t="s">
        <v>184</v>
      </c>
      <c r="F3873" s="16" t="s">
        <v>192</v>
      </c>
      <c r="G3873" s="16" t="s">
        <v>396</v>
      </c>
      <c r="H3873" s="16" t="s">
        <v>300</v>
      </c>
      <c r="I3873" s="16" t="s">
        <v>4825</v>
      </c>
    </row>
    <row r="3874" ht="242.25" customHeight="1">
      <c r="B3874" s="32" t="str">
        <f>IMAGE("https://gymvisual.com/2516-catalog_default/weighted-pullover-on-stability-ball.jpg",4,500,500)</f>
        <v/>
      </c>
      <c r="C3874" s="30">
        <v>3873.0</v>
      </c>
      <c r="D3874" s="16" t="s">
        <v>4826</v>
      </c>
      <c r="E3874" s="16" t="s">
        <v>184</v>
      </c>
      <c r="F3874" s="16" t="s">
        <v>192</v>
      </c>
      <c r="G3874" s="16" t="s">
        <v>396</v>
      </c>
      <c r="H3874" s="16" t="s">
        <v>300</v>
      </c>
      <c r="I3874" s="16" t="s">
        <v>687</v>
      </c>
    </row>
    <row r="3875" ht="242.25" customHeight="1">
      <c r="B3875" s="32" t="str">
        <f>IMAGE("https://gymvisual.com/17171-catalog_default/weighted-push-up-with-vest.jpg",4,500,500)</f>
        <v/>
      </c>
      <c r="C3875" s="30">
        <v>3874.0</v>
      </c>
      <c r="D3875" s="16" t="s">
        <v>4827</v>
      </c>
      <c r="E3875" s="16" t="s">
        <v>184</v>
      </c>
      <c r="F3875" s="16" t="s">
        <v>234</v>
      </c>
      <c r="G3875" s="16" t="s">
        <v>396</v>
      </c>
      <c r="H3875" s="16" t="s">
        <v>235</v>
      </c>
      <c r="I3875" s="16" t="s">
        <v>243</v>
      </c>
    </row>
    <row r="3876" ht="242.25" customHeight="1">
      <c r="B3876" s="32" t="str">
        <f>IMAGE("https://gymvisual.com/2519-catalog_default/weighted-reduction-triangle.jpg",4,500,500)</f>
        <v/>
      </c>
      <c r="C3876" s="30">
        <v>3875.0</v>
      </c>
      <c r="D3876" s="16" t="s">
        <v>4828</v>
      </c>
      <c r="E3876" s="16" t="s">
        <v>184</v>
      </c>
      <c r="F3876" s="16" t="s">
        <v>285</v>
      </c>
      <c r="G3876" s="16" t="s">
        <v>399</v>
      </c>
      <c r="H3876" s="16" t="s">
        <v>2412</v>
      </c>
      <c r="I3876" s="16" t="s">
        <v>4829</v>
      </c>
    </row>
    <row r="3877" ht="242.25" customHeight="1">
      <c r="B3877" s="32" t="str">
        <f>IMAGE("https://gymvisual.com/2522-catalog_default/weighted-round-arm.jpg",4,500,500)</f>
        <v/>
      </c>
      <c r="C3877" s="30">
        <v>3876.0</v>
      </c>
      <c r="D3877" s="16" t="s">
        <v>4830</v>
      </c>
      <c r="E3877" s="16" t="s">
        <v>184</v>
      </c>
      <c r="F3877" s="16" t="s">
        <v>228</v>
      </c>
      <c r="G3877" s="16" t="s">
        <v>396</v>
      </c>
      <c r="H3877" s="16" t="s">
        <v>229</v>
      </c>
      <c r="I3877" s="16" t="s">
        <v>244</v>
      </c>
    </row>
    <row r="3878" ht="242.25" customHeight="1">
      <c r="B3878" s="32" t="str">
        <f>IMAGE("https://gymvisual.com/2528-catalog_default/weighted-russian-twist.jpg",4,500,500)</f>
        <v/>
      </c>
      <c r="C3878" s="30">
        <v>3877.0</v>
      </c>
      <c r="D3878" s="16" t="s">
        <v>4831</v>
      </c>
      <c r="E3878" s="16" t="s">
        <v>184</v>
      </c>
      <c r="F3878" s="16" t="s">
        <v>254</v>
      </c>
      <c r="G3878" s="16" t="s">
        <v>396</v>
      </c>
      <c r="H3878" s="16" t="s">
        <v>257</v>
      </c>
      <c r="I3878" s="16" t="s">
        <v>220</v>
      </c>
    </row>
    <row r="3879" ht="242.25" customHeight="1">
      <c r="B3879" s="32" t="str">
        <f>IMAGE("https://gymvisual.com/11236-catalog_default/weighted-russian-twist-female.jpg",4,500,500)</f>
        <v/>
      </c>
      <c r="C3879" s="30">
        <v>3878.0</v>
      </c>
      <c r="D3879" s="16" t="s">
        <v>4832</v>
      </c>
      <c r="E3879" s="16" t="s">
        <v>184</v>
      </c>
      <c r="F3879" s="16" t="s">
        <v>254</v>
      </c>
      <c r="G3879" s="16" t="s">
        <v>396</v>
      </c>
      <c r="H3879" s="16" t="s">
        <v>220</v>
      </c>
      <c r="I3879" s="16" t="s">
        <v>220</v>
      </c>
    </row>
    <row r="3880" ht="242.25" customHeight="1">
      <c r="B3880" s="32" t="str">
        <f>IMAGE("https://gymvisual.com/2525-catalog_default/weighted-russian-twist-legs-up.jpg",4,500,500)</f>
        <v/>
      </c>
      <c r="C3880" s="30">
        <v>3879.0</v>
      </c>
      <c r="D3880" s="16" t="s">
        <v>4833</v>
      </c>
      <c r="E3880" s="16" t="s">
        <v>184</v>
      </c>
      <c r="F3880" s="16" t="s">
        <v>254</v>
      </c>
      <c r="G3880" s="16" t="s">
        <v>396</v>
      </c>
      <c r="H3880" s="16" t="s">
        <v>257</v>
      </c>
      <c r="I3880" s="16" t="s">
        <v>2640</v>
      </c>
    </row>
    <row r="3881" ht="242.25" customHeight="1">
      <c r="B3881" s="32" t="str">
        <f>IMAGE("https://gymvisual.com/10294-catalog_default/weighted-russian-twist-version-2.jpg",4,500,500)</f>
        <v/>
      </c>
      <c r="C3881" s="30">
        <v>3880.0</v>
      </c>
      <c r="D3881" s="16" t="s">
        <v>4834</v>
      </c>
      <c r="E3881" s="16" t="s">
        <v>184</v>
      </c>
      <c r="F3881" s="16" t="s">
        <v>254</v>
      </c>
      <c r="G3881" s="16" t="s">
        <v>396</v>
      </c>
      <c r="H3881" s="16" t="s">
        <v>257</v>
      </c>
      <c r="I3881" s="16" t="s">
        <v>305</v>
      </c>
    </row>
    <row r="3882" ht="242.25" customHeight="1">
      <c r="B3882" s="32" t="str">
        <f>IMAGE("https://gymvisual.com/2531-catalog_default/weighted-seated-bicep-curl-on-stability-ball.jpg",4,500,500)</f>
        <v/>
      </c>
      <c r="C3882" s="30">
        <v>3881.0</v>
      </c>
      <c r="D3882" s="16" t="s">
        <v>4835</v>
      </c>
      <c r="E3882" s="16" t="s">
        <v>184</v>
      </c>
      <c r="F3882" s="16" t="s">
        <v>219</v>
      </c>
      <c r="G3882" s="16" t="s">
        <v>373</v>
      </c>
      <c r="H3882" s="16" t="s">
        <v>232</v>
      </c>
      <c r="I3882" s="16" t="s">
        <v>233</v>
      </c>
    </row>
    <row r="3883" ht="242.25" customHeight="1">
      <c r="B3883" s="32" t="str">
        <f>IMAGE("https://gymvisual.com/17571-catalog_default/weighted-seated-calf-raise.jpg",4,500,500)</f>
        <v/>
      </c>
      <c r="C3883" s="30">
        <v>3882.0</v>
      </c>
      <c r="D3883" s="16" t="s">
        <v>4836</v>
      </c>
      <c r="E3883" s="16" t="s">
        <v>184</v>
      </c>
      <c r="F3883" s="16" t="s">
        <v>325</v>
      </c>
      <c r="G3883" s="16" t="s">
        <v>396</v>
      </c>
      <c r="H3883" s="16" t="s">
        <v>368</v>
      </c>
      <c r="I3883" s="16" t="s">
        <v>463</v>
      </c>
    </row>
    <row r="3884" ht="242.25" customHeight="1">
      <c r="B3884" s="32" t="str">
        <f>IMAGE("https://gymvisual.com/24153-catalog_default/weighted-seated-calf-raise-version-2.jpg",4,500,500)</f>
        <v/>
      </c>
      <c r="C3884" s="30">
        <v>3883.0</v>
      </c>
      <c r="D3884" s="16" t="s">
        <v>4837</v>
      </c>
      <c r="E3884" s="16" t="s">
        <v>184</v>
      </c>
      <c r="F3884" s="16" t="s">
        <v>325</v>
      </c>
      <c r="G3884" s="16" t="s">
        <v>396</v>
      </c>
      <c r="H3884" s="16" t="s">
        <v>220</v>
      </c>
      <c r="I3884" s="16" t="s">
        <v>220</v>
      </c>
    </row>
    <row r="3885" ht="242.25" customHeight="1">
      <c r="B3885" s="32" t="str">
        <f>IMAGE("https://gymvisual.com/20165-catalog_default/weighted-seated-leg-raise-on-floor.jpg",4,500,500)</f>
        <v/>
      </c>
      <c r="C3885" s="30">
        <v>3884.0</v>
      </c>
      <c r="D3885" s="16" t="s">
        <v>4838</v>
      </c>
      <c r="E3885" s="16" t="s">
        <v>184</v>
      </c>
      <c r="F3885" s="16" t="s">
        <v>254</v>
      </c>
      <c r="G3885" s="16" t="s">
        <v>396</v>
      </c>
      <c r="H3885" s="16" t="s">
        <v>305</v>
      </c>
      <c r="I3885" s="16" t="s">
        <v>600</v>
      </c>
    </row>
    <row r="3886" ht="242.25" customHeight="1">
      <c r="B3886" s="32" t="str">
        <f>IMAGE("https://gymvisual.com/10453-catalog_default/weighted-seated-neck-extension-with-head-harness.jpg",4,500,500)</f>
        <v/>
      </c>
      <c r="C3886" s="30">
        <v>3885.0</v>
      </c>
      <c r="D3886" s="16" t="s">
        <v>4839</v>
      </c>
      <c r="E3886" s="16" t="s">
        <v>184</v>
      </c>
      <c r="F3886" s="16" t="s">
        <v>351</v>
      </c>
      <c r="G3886" s="16" t="s">
        <v>396</v>
      </c>
      <c r="H3886" s="16" t="s">
        <v>3457</v>
      </c>
      <c r="I3886" s="16" t="s">
        <v>4840</v>
      </c>
    </row>
    <row r="3887" ht="242.25" customHeight="1">
      <c r="B3887" s="32" t="str">
        <f>IMAGE("https://gymvisual.com/17569-catalog_default/weighted-seated-neutral-wrist-curl.jpg",4,500,500)</f>
        <v/>
      </c>
      <c r="C3887" s="30">
        <v>3886.0</v>
      </c>
      <c r="D3887" s="16" t="s">
        <v>4841</v>
      </c>
      <c r="E3887" s="16" t="s">
        <v>184</v>
      </c>
      <c r="F3887" s="16" t="s">
        <v>214</v>
      </c>
      <c r="G3887" s="16" t="s">
        <v>396</v>
      </c>
      <c r="H3887" s="16" t="s">
        <v>220</v>
      </c>
      <c r="I3887" s="16" t="s">
        <v>220</v>
      </c>
    </row>
    <row r="3888" ht="242.25" customHeight="1">
      <c r="B3888" s="32" t="str">
        <f>IMAGE("https://gymvisual.com/17632-catalog_default/weighted-seated-one-arm-reverse-wrist-curl.jpg",4,500,500)</f>
        <v/>
      </c>
      <c r="C3888" s="30">
        <v>3887.0</v>
      </c>
      <c r="D3888" s="16" t="s">
        <v>4842</v>
      </c>
      <c r="E3888" s="16" t="s">
        <v>184</v>
      </c>
      <c r="F3888" s="16" t="s">
        <v>214</v>
      </c>
      <c r="G3888" s="16" t="s">
        <v>396</v>
      </c>
      <c r="H3888" s="16" t="s">
        <v>604</v>
      </c>
      <c r="I3888" s="16" t="s">
        <v>220</v>
      </c>
    </row>
    <row r="3889" ht="242.25" customHeight="1">
      <c r="B3889" s="32" t="str">
        <f>IMAGE("https://gymvisual.com/17630-catalog_default/weighted-seated-one-arm-wrist-curl.jpg",4,500,500)</f>
        <v/>
      </c>
      <c r="C3889" s="30">
        <v>3888.0</v>
      </c>
      <c r="D3889" s="16" t="s">
        <v>4843</v>
      </c>
      <c r="E3889" s="16" t="s">
        <v>184</v>
      </c>
      <c r="F3889" s="16" t="s">
        <v>214</v>
      </c>
      <c r="G3889" s="16" t="s">
        <v>396</v>
      </c>
      <c r="H3889" s="16" t="s">
        <v>720</v>
      </c>
      <c r="I3889" s="16" t="s">
        <v>220</v>
      </c>
    </row>
    <row r="3890" ht="242.25" customHeight="1">
      <c r="B3890" s="32" t="str">
        <f>IMAGE("https://gymvisual.com/17628-catalog_default/weighted-seated-reverse-wrist-curl.jpg",4,500,500)</f>
        <v/>
      </c>
      <c r="C3890" s="30">
        <v>3889.0</v>
      </c>
      <c r="D3890" s="16" t="s">
        <v>4844</v>
      </c>
      <c r="E3890" s="16" t="s">
        <v>184</v>
      </c>
      <c r="F3890" s="16" t="s">
        <v>214</v>
      </c>
      <c r="G3890" s="16" t="s">
        <v>396</v>
      </c>
      <c r="H3890" s="16" t="s">
        <v>604</v>
      </c>
      <c r="I3890" s="16" t="s">
        <v>220</v>
      </c>
    </row>
    <row r="3891" ht="242.25" customHeight="1">
      <c r="B3891" s="32" t="str">
        <f>IMAGE("https://gymvisual.com/24155-catalog_default/weighted-seated-single-calf-raise-version-2.jpg",4,500,500)</f>
        <v/>
      </c>
      <c r="C3891" s="30">
        <v>3890.0</v>
      </c>
      <c r="D3891" s="16" t="s">
        <v>4845</v>
      </c>
      <c r="E3891" s="16" t="s">
        <v>184</v>
      </c>
      <c r="F3891" s="16" t="s">
        <v>325</v>
      </c>
      <c r="G3891" s="16" t="s">
        <v>396</v>
      </c>
      <c r="H3891" s="16" t="s">
        <v>220</v>
      </c>
      <c r="I3891" s="16" t="s">
        <v>220</v>
      </c>
    </row>
    <row r="3892" ht="242.25" customHeight="1">
      <c r="B3892" s="32" t="str">
        <f>IMAGE("https://gymvisual.com/17626-catalog_default/weighted-seated-supination.jpg",4,500,500)</f>
        <v/>
      </c>
      <c r="C3892" s="30">
        <v>3891.0</v>
      </c>
      <c r="D3892" s="16" t="s">
        <v>4846</v>
      </c>
      <c r="E3892" s="16" t="s">
        <v>184</v>
      </c>
      <c r="F3892" s="16" t="s">
        <v>214</v>
      </c>
      <c r="G3892" s="16" t="s">
        <v>396</v>
      </c>
      <c r="H3892" s="16" t="s">
        <v>216</v>
      </c>
      <c r="I3892" s="16" t="s">
        <v>220</v>
      </c>
    </row>
    <row r="3893" ht="242.25" customHeight="1">
      <c r="B3893" s="32" t="str">
        <f>IMAGE("https://gymvisual.com/17885-catalog_default/weighted-seated-triceps-extension-male.jpg",4,500,500)</f>
        <v/>
      </c>
      <c r="C3893" s="30">
        <v>3892.0</v>
      </c>
      <c r="D3893" s="16" t="s">
        <v>4847</v>
      </c>
      <c r="E3893" s="16" t="s">
        <v>184</v>
      </c>
      <c r="F3893" s="16" t="s">
        <v>219</v>
      </c>
      <c r="G3893" s="16" t="s">
        <v>396</v>
      </c>
      <c r="H3893" s="16" t="s">
        <v>220</v>
      </c>
      <c r="I3893" s="16" t="s">
        <v>220</v>
      </c>
    </row>
    <row r="3894" ht="242.25" customHeight="1">
      <c r="B3894" s="32" t="str">
        <f>IMAGE("https://gymvisual.com/19592-catalog_default/weighted-seated-tuck-crunch-on-floor.jpg",4,500,500)</f>
        <v/>
      </c>
      <c r="C3894" s="30">
        <v>3893.0</v>
      </c>
      <c r="D3894" s="16" t="s">
        <v>4848</v>
      </c>
      <c r="E3894" s="16" t="s">
        <v>184</v>
      </c>
      <c r="F3894" s="16" t="s">
        <v>254</v>
      </c>
      <c r="G3894" s="16" t="s">
        <v>396</v>
      </c>
      <c r="H3894" s="16" t="s">
        <v>220</v>
      </c>
      <c r="I3894" s="16" t="s">
        <v>220</v>
      </c>
    </row>
    <row r="3895" ht="242.25" customHeight="1">
      <c r="B3895" s="32" t="str">
        <f>IMAGE("https://gymvisual.com/2537-catalog_default/weighted-seated-twist-on-stability-ball.jpg",4,500,500)</f>
        <v/>
      </c>
      <c r="C3895" s="30">
        <v>3894.0</v>
      </c>
      <c r="D3895" s="16" t="s">
        <v>4849</v>
      </c>
      <c r="E3895" s="16" t="s">
        <v>184</v>
      </c>
      <c r="F3895" s="16" t="s">
        <v>254</v>
      </c>
      <c r="G3895" s="16" t="s">
        <v>396</v>
      </c>
      <c r="H3895" s="16" t="s">
        <v>257</v>
      </c>
      <c r="I3895" s="16" t="s">
        <v>220</v>
      </c>
    </row>
    <row r="3896" ht="242.25" customHeight="1">
      <c r="B3896" s="32" t="str">
        <f>IMAGE("https://gymvisual.com/2540-catalog_default/weighted-side-bend-on-stability-ball.jpg",4,500,500)</f>
        <v/>
      </c>
      <c r="C3896" s="30">
        <v>3895.0</v>
      </c>
      <c r="D3896" s="16" t="s">
        <v>4850</v>
      </c>
      <c r="E3896" s="16" t="s">
        <v>184</v>
      </c>
      <c r="F3896" s="16" t="s">
        <v>254</v>
      </c>
      <c r="G3896" s="16" t="s">
        <v>396</v>
      </c>
      <c r="H3896" s="16" t="s">
        <v>257</v>
      </c>
      <c r="I3896" s="16" t="s">
        <v>220</v>
      </c>
    </row>
    <row r="3897" ht="242.25" customHeight="1">
      <c r="B3897" s="32" t="str">
        <f>IMAGE("https://gymvisual.com/17577-catalog_default/weighted-side-crunch.jpg",4,500,500)</f>
        <v/>
      </c>
      <c r="C3897" s="30">
        <v>3896.0</v>
      </c>
      <c r="D3897" s="16" t="s">
        <v>4851</v>
      </c>
      <c r="E3897" s="16" t="s">
        <v>184</v>
      </c>
      <c r="F3897" s="16" t="s">
        <v>254</v>
      </c>
      <c r="G3897" s="16" t="s">
        <v>396</v>
      </c>
      <c r="H3897" s="16" t="s">
        <v>260</v>
      </c>
      <c r="I3897" s="16" t="s">
        <v>220</v>
      </c>
    </row>
    <row r="3898" ht="242.25" customHeight="1">
      <c r="B3898" s="32" t="str">
        <f>IMAGE("https://gymvisual.com/18982-catalog_default/weighted-side-lying-side-neck-raise.jpg",4,500,500)</f>
        <v/>
      </c>
      <c r="C3898" s="30">
        <v>3897.0</v>
      </c>
      <c r="D3898" s="16" t="s">
        <v>4852</v>
      </c>
      <c r="E3898" s="16" t="s">
        <v>184</v>
      </c>
      <c r="F3898" s="16" t="s">
        <v>351</v>
      </c>
      <c r="G3898" s="16" t="s">
        <v>396</v>
      </c>
      <c r="H3898" s="16" t="s">
        <v>220</v>
      </c>
      <c r="I3898" s="16" t="s">
        <v>220</v>
      </c>
    </row>
    <row r="3899" ht="242.25" customHeight="1">
      <c r="B3899" s="32" t="str">
        <f>IMAGE("https://gymvisual.com/14238-catalog_default/weighted-single-leg-lift.jpg",4,500,500)</f>
        <v/>
      </c>
      <c r="C3899" s="30">
        <v>3898.0</v>
      </c>
      <c r="D3899" s="16" t="s">
        <v>4853</v>
      </c>
      <c r="E3899" s="16" t="s">
        <v>184</v>
      </c>
      <c r="F3899" s="16" t="s">
        <v>285</v>
      </c>
      <c r="G3899" s="16" t="s">
        <v>396</v>
      </c>
      <c r="H3899" s="16" t="s">
        <v>3818</v>
      </c>
      <c r="I3899" s="16" t="s">
        <v>4854</v>
      </c>
    </row>
    <row r="3900" ht="242.25" customHeight="1">
      <c r="B3900" s="32" t="str">
        <f>IMAGE("https://gymvisual.com/2543-catalog_default/weighted-sissy-squat.jpg",4,500,500)</f>
        <v/>
      </c>
      <c r="C3900" s="30">
        <v>3899.0</v>
      </c>
      <c r="D3900" s="16" t="s">
        <v>4855</v>
      </c>
      <c r="E3900" s="16" t="s">
        <v>184</v>
      </c>
      <c r="F3900" s="16" t="s">
        <v>285</v>
      </c>
      <c r="G3900" s="16" t="s">
        <v>396</v>
      </c>
      <c r="H3900" s="16" t="s">
        <v>552</v>
      </c>
      <c r="I3900" s="16" t="s">
        <v>220</v>
      </c>
    </row>
    <row r="3901" ht="242.25" customHeight="1">
      <c r="B3901" s="32" t="str">
        <f>IMAGE("https://gymvisual.com/17511-catalog_default/weighted-sissy-squat-female.jpg",4,500,500)</f>
        <v/>
      </c>
      <c r="C3901" s="30">
        <v>3900.0</v>
      </c>
      <c r="D3901" s="16" t="s">
        <v>4856</v>
      </c>
      <c r="E3901" s="16" t="s">
        <v>184</v>
      </c>
      <c r="F3901" s="16" t="s">
        <v>285</v>
      </c>
      <c r="G3901" s="16" t="s">
        <v>396</v>
      </c>
      <c r="H3901" s="16" t="s">
        <v>552</v>
      </c>
      <c r="I3901" s="16" t="s">
        <v>1115</v>
      </c>
    </row>
    <row r="3902" ht="242.25" customHeight="1">
      <c r="B3902" s="32" t="str">
        <f>IMAGE("https://gymvisual.com/2546-catalog_default/weighted-squat.jpg",4,500,500)</f>
        <v/>
      </c>
      <c r="C3902" s="30">
        <v>3901.0</v>
      </c>
      <c r="D3902" s="16" t="s">
        <v>4857</v>
      </c>
      <c r="E3902" s="16" t="s">
        <v>184</v>
      </c>
      <c r="F3902" s="16" t="s">
        <v>285</v>
      </c>
      <c r="G3902" s="16" t="s">
        <v>396</v>
      </c>
      <c r="H3902" s="16" t="s">
        <v>189</v>
      </c>
      <c r="I3902" s="16" t="s">
        <v>190</v>
      </c>
    </row>
    <row r="3903" ht="242.25" customHeight="1">
      <c r="B3903" s="32" t="str">
        <f>IMAGE("https://gymvisual.com/13612-catalog_default/weighted-stability-ball-crunch-full-range.jpg",4,500,500)</f>
        <v/>
      </c>
      <c r="C3903" s="30">
        <v>3902.0</v>
      </c>
      <c r="D3903" s="16" t="s">
        <v>4858</v>
      </c>
      <c r="E3903" s="16" t="s">
        <v>184</v>
      </c>
      <c r="F3903" s="16" t="s">
        <v>254</v>
      </c>
      <c r="G3903" s="16" t="s">
        <v>396</v>
      </c>
      <c r="H3903" s="16" t="s">
        <v>256</v>
      </c>
      <c r="I3903" s="16" t="s">
        <v>257</v>
      </c>
    </row>
    <row r="3904" ht="242.25" customHeight="1">
      <c r="B3904" s="32" t="str">
        <f>IMAGE("https://gymvisual.com/2549-catalog_default/weighted-standing-curl.jpg",4,500,500)</f>
        <v/>
      </c>
      <c r="C3904" s="30">
        <v>3903.0</v>
      </c>
      <c r="D3904" s="16" t="s">
        <v>4859</v>
      </c>
      <c r="E3904" s="16" t="s">
        <v>184</v>
      </c>
      <c r="F3904" s="16" t="s">
        <v>214</v>
      </c>
      <c r="G3904" s="16" t="s">
        <v>396</v>
      </c>
      <c r="H3904" s="16" t="s">
        <v>216</v>
      </c>
      <c r="I3904" s="16" t="s">
        <v>217</v>
      </c>
    </row>
    <row r="3905" ht="242.25" customHeight="1">
      <c r="B3905" s="32" t="str">
        <f>IMAGE("https://gymvisual.com/14316-catalog_default/weighted-standing-curl-female.jpg",4,500,500)</f>
        <v/>
      </c>
      <c r="C3905" s="30">
        <v>3904.0</v>
      </c>
      <c r="D3905" s="16" t="s">
        <v>4860</v>
      </c>
      <c r="E3905" s="16" t="s">
        <v>184</v>
      </c>
      <c r="F3905" s="16" t="s">
        <v>214</v>
      </c>
      <c r="G3905" s="16" t="s">
        <v>396</v>
      </c>
      <c r="H3905" s="16" t="s">
        <v>217</v>
      </c>
      <c r="I3905" s="16" t="s">
        <v>220</v>
      </c>
    </row>
    <row r="3906" ht="242.25" customHeight="1">
      <c r="B3906" s="32" t="str">
        <f>IMAGE("https://gymvisual.com/2552-catalog_default/weighted-standing-hand-squeeze.jpg",4,500,500)</f>
        <v/>
      </c>
      <c r="C3906" s="30">
        <v>3905.0</v>
      </c>
      <c r="D3906" s="16" t="s">
        <v>4861</v>
      </c>
      <c r="E3906" s="16" t="s">
        <v>184</v>
      </c>
      <c r="F3906" s="16" t="s">
        <v>214</v>
      </c>
      <c r="G3906" s="16" t="s">
        <v>396</v>
      </c>
      <c r="H3906" s="16" t="s">
        <v>220</v>
      </c>
      <c r="I3906" s="16" t="s">
        <v>220</v>
      </c>
    </row>
    <row r="3907" ht="242.25" customHeight="1">
      <c r="B3907" s="32" t="str">
        <f>IMAGE("https://gymvisual.com/10463-catalog_default/weighted-standing-neck-extension-with-head-harness.jpg",4,500,500)</f>
        <v/>
      </c>
      <c r="C3907" s="30">
        <v>3906.0</v>
      </c>
      <c r="D3907" s="16" t="s">
        <v>4862</v>
      </c>
      <c r="E3907" s="16" t="s">
        <v>184</v>
      </c>
      <c r="F3907" s="16" t="s">
        <v>351</v>
      </c>
      <c r="G3907" s="16" t="s">
        <v>396</v>
      </c>
      <c r="H3907" s="16" t="s">
        <v>220</v>
      </c>
      <c r="I3907" s="16" t="s">
        <v>220</v>
      </c>
    </row>
    <row r="3908" ht="242.25" customHeight="1">
      <c r="B3908" s="32" t="str">
        <f>IMAGE("https://gymvisual.com/17993-catalog_default/weighted-standing-shoulder-press.jpg",4,500,500)</f>
        <v/>
      </c>
      <c r="C3908" s="30">
        <v>3907.0</v>
      </c>
      <c r="D3908" s="16" t="s">
        <v>4863</v>
      </c>
      <c r="E3908" s="16" t="s">
        <v>184</v>
      </c>
      <c r="F3908" s="16" t="s">
        <v>228</v>
      </c>
      <c r="G3908" s="16" t="s">
        <v>396</v>
      </c>
      <c r="H3908" s="16" t="s">
        <v>220</v>
      </c>
      <c r="I3908" s="16" t="s">
        <v>220</v>
      </c>
    </row>
    <row r="3909" ht="242.25" customHeight="1">
      <c r="B3909" s="32" t="str">
        <f>IMAGE("https://gymvisual.com/2555-catalog_default/weighted-standing-twist.jpg",4,500,500)</f>
        <v/>
      </c>
      <c r="C3909" s="30">
        <v>3908.0</v>
      </c>
      <c r="D3909" s="16" t="s">
        <v>4864</v>
      </c>
      <c r="E3909" s="16" t="s">
        <v>184</v>
      </c>
      <c r="F3909" s="16" t="s">
        <v>254</v>
      </c>
      <c r="G3909" s="16" t="s">
        <v>396</v>
      </c>
      <c r="H3909" s="16" t="s">
        <v>257</v>
      </c>
      <c r="I3909" s="16" t="s">
        <v>271</v>
      </c>
    </row>
    <row r="3910" ht="242.25" customHeight="1">
      <c r="B3910" s="32" t="str">
        <f>IMAGE("https://gymvisual.com/13555-catalog_default/weighted-straight-bar-dip.jpg",4,500,500)</f>
        <v/>
      </c>
      <c r="C3910" s="30">
        <v>3909.0</v>
      </c>
      <c r="D3910" s="16" t="s">
        <v>4865</v>
      </c>
      <c r="E3910" s="16" t="s">
        <v>184</v>
      </c>
      <c r="F3910" s="16" t="s">
        <v>234</v>
      </c>
      <c r="G3910" s="16" t="s">
        <v>396</v>
      </c>
      <c r="H3910" s="16" t="s">
        <v>235</v>
      </c>
      <c r="I3910" s="16" t="s">
        <v>243</v>
      </c>
    </row>
    <row r="3911" ht="242.25" customHeight="1">
      <c r="B3911" s="32" t="str">
        <f>IMAGE("https://gymvisual.com/17903-catalog_default/weighted-straight-leg-toe-touch-crunch-male.jpg",4,500,500)</f>
        <v/>
      </c>
      <c r="C3911" s="30">
        <v>3910.0</v>
      </c>
      <c r="D3911" s="16" t="s">
        <v>4866</v>
      </c>
      <c r="E3911" s="16" t="s">
        <v>184</v>
      </c>
      <c r="F3911" s="16" t="s">
        <v>254</v>
      </c>
      <c r="G3911" s="16" t="s">
        <v>396</v>
      </c>
      <c r="H3911" s="16" t="s">
        <v>220</v>
      </c>
      <c r="I3911" s="16" t="s">
        <v>220</v>
      </c>
    </row>
    <row r="3912" ht="242.25" customHeight="1">
      <c r="B3912" s="32" t="str">
        <f>IMAGE("https://gymvisual.com/22654-catalog_default/weighted-svend-bench-press.jpg",4,500,500)</f>
        <v/>
      </c>
      <c r="C3912" s="30">
        <v>3911.0</v>
      </c>
      <c r="D3912" s="16" t="s">
        <v>4867</v>
      </c>
      <c r="E3912" s="16" t="s">
        <v>184</v>
      </c>
      <c r="F3912" s="16" t="s">
        <v>219</v>
      </c>
      <c r="G3912" s="16" t="s">
        <v>396</v>
      </c>
      <c r="H3912" s="16" t="s">
        <v>347</v>
      </c>
      <c r="I3912" s="16" t="s">
        <v>382</v>
      </c>
    </row>
    <row r="3913" ht="242.25" customHeight="1">
      <c r="B3913" s="32" t="str">
        <f>IMAGE("https://gymvisual.com/2558-catalog_default/weighted-svend-press.jpg",4,500,500)</f>
        <v/>
      </c>
      <c r="C3913" s="30">
        <v>3912.0</v>
      </c>
      <c r="D3913" s="16" t="s">
        <v>4868</v>
      </c>
      <c r="E3913" s="16" t="s">
        <v>184</v>
      </c>
      <c r="F3913" s="16" t="s">
        <v>234</v>
      </c>
      <c r="G3913" s="16" t="s">
        <v>396</v>
      </c>
      <c r="H3913" s="16" t="s">
        <v>347</v>
      </c>
      <c r="I3913" s="16" t="s">
        <v>382</v>
      </c>
    </row>
    <row r="3914" ht="242.25" customHeight="1">
      <c r="B3914" s="32" t="str">
        <f>IMAGE("https://gymvisual.com/13888-catalog_default/weighted-svend-press-female.jpg",4,500,500)</f>
        <v/>
      </c>
      <c r="C3914" s="30">
        <v>3913.0</v>
      </c>
      <c r="D3914" s="16" t="s">
        <v>4869</v>
      </c>
      <c r="E3914" s="16" t="s">
        <v>184</v>
      </c>
      <c r="F3914" s="16" t="s">
        <v>234</v>
      </c>
      <c r="G3914" s="16" t="s">
        <v>396</v>
      </c>
      <c r="H3914" s="16" t="s">
        <v>220</v>
      </c>
      <c r="I3914" s="16" t="s">
        <v>220</v>
      </c>
    </row>
    <row r="3915" ht="242.25" customHeight="1">
      <c r="B3915" s="32" t="str">
        <f>IMAGE("https://gymvisual.com/7473-catalog_default/weighted-three-bench-dips.jpg",4,500,500)</f>
        <v/>
      </c>
      <c r="C3915" s="30">
        <v>3914.0</v>
      </c>
      <c r="D3915" s="16" t="s">
        <v>4870</v>
      </c>
      <c r="E3915" s="16" t="s">
        <v>184</v>
      </c>
      <c r="F3915" s="16" t="s">
        <v>219</v>
      </c>
      <c r="G3915" s="16" t="s">
        <v>396</v>
      </c>
      <c r="H3915" s="16" t="s">
        <v>223</v>
      </c>
      <c r="I3915" s="16" t="s">
        <v>394</v>
      </c>
    </row>
    <row r="3916" ht="242.25" customHeight="1">
      <c r="B3916" s="32" t="str">
        <f>IMAGE("https://gymvisual.com/7474-catalog_default/weighted-tricep-dips.jpg",4,500,500)</f>
        <v/>
      </c>
      <c r="C3916" s="30">
        <v>3915.0</v>
      </c>
      <c r="D3916" s="16" t="s">
        <v>4871</v>
      </c>
      <c r="E3916" s="16" t="s">
        <v>184</v>
      </c>
      <c r="F3916" s="16" t="s">
        <v>219</v>
      </c>
      <c r="G3916" s="16" t="s">
        <v>396</v>
      </c>
      <c r="H3916" s="16" t="s">
        <v>223</v>
      </c>
      <c r="I3916" s="16" t="s">
        <v>394</v>
      </c>
    </row>
    <row r="3917" ht="242.25" customHeight="1">
      <c r="B3917" s="32" t="str">
        <f>IMAGE("https://gymvisual.com/7596-catalog_default/weighted-triceps-dip-on-high-parallel-bars.jpg",4,500,500)</f>
        <v/>
      </c>
      <c r="C3917" s="30">
        <v>3916.0</v>
      </c>
      <c r="D3917" s="16" t="s">
        <v>4872</v>
      </c>
      <c r="E3917" s="16" t="s">
        <v>184</v>
      </c>
      <c r="F3917" s="16" t="s">
        <v>219</v>
      </c>
      <c r="G3917" s="16" t="s">
        <v>396</v>
      </c>
      <c r="H3917" s="16" t="s">
        <v>220</v>
      </c>
      <c r="I3917" s="16" t="s">
        <v>220</v>
      </c>
    </row>
    <row r="3918" ht="242.25" customHeight="1">
      <c r="B3918" s="32" t="str">
        <f>IMAGE("https://gymvisual.com/4464-catalog_default/weighted-twisting-crunch-on-bench.jpg",4,500,500)</f>
        <v/>
      </c>
      <c r="C3918" s="30">
        <v>3917.0</v>
      </c>
      <c r="D3918" s="16" t="s">
        <v>4873</v>
      </c>
      <c r="E3918" s="16" t="s">
        <v>184</v>
      </c>
      <c r="F3918" s="16" t="s">
        <v>254</v>
      </c>
      <c r="G3918" s="16" t="s">
        <v>396</v>
      </c>
      <c r="H3918" s="16" t="s">
        <v>263</v>
      </c>
      <c r="I3918" s="16" t="s">
        <v>4874</v>
      </c>
    </row>
    <row r="3919" ht="242.25" customHeight="1">
      <c r="B3919" s="32" t="str">
        <f>IMAGE("https://gymvisual.com/4467-catalog_default/weighted-v-crunch-on-bosu-ball.jpg",4,500,500)</f>
        <v/>
      </c>
      <c r="C3919" s="30">
        <v>3918.0</v>
      </c>
      <c r="D3919" s="16" t="s">
        <v>4875</v>
      </c>
      <c r="E3919" s="16" t="s">
        <v>184</v>
      </c>
      <c r="F3919" s="16" t="s">
        <v>254</v>
      </c>
      <c r="G3919" s="16" t="s">
        <v>316</v>
      </c>
      <c r="H3919" s="16" t="s">
        <v>305</v>
      </c>
      <c r="I3919" s="16" t="s">
        <v>4749</v>
      </c>
    </row>
    <row r="3920" ht="242.25" customHeight="1">
      <c r="B3920" s="32" t="str">
        <f>IMAGE("https://gymvisual.com/10043-catalog_default/wheel-rollout.jpg",4,500,500)</f>
        <v/>
      </c>
      <c r="C3920" s="30">
        <v>3919.0</v>
      </c>
      <c r="D3920" s="16" t="s">
        <v>4876</v>
      </c>
      <c r="E3920" s="16" t="s">
        <v>184</v>
      </c>
      <c r="F3920" s="16" t="s">
        <v>192</v>
      </c>
      <c r="G3920" s="16" t="s">
        <v>4478</v>
      </c>
      <c r="H3920" s="16" t="s">
        <v>271</v>
      </c>
      <c r="I3920" s="16" t="s">
        <v>4877</v>
      </c>
    </row>
    <row r="3921" ht="242.25" customHeight="1">
      <c r="B3921" s="32" t="str">
        <f>IMAGE("https://gymvisual.com/10046-catalog_default/wheel-rollout-female.jpg",4,500,500)</f>
        <v/>
      </c>
      <c r="C3921" s="30">
        <v>3920.0</v>
      </c>
      <c r="D3921" s="16" t="s">
        <v>4878</v>
      </c>
      <c r="E3921" s="16" t="s">
        <v>184</v>
      </c>
      <c r="F3921" s="16" t="s">
        <v>254</v>
      </c>
      <c r="G3921" s="16" t="s">
        <v>4478</v>
      </c>
      <c r="H3921" s="16" t="s">
        <v>263</v>
      </c>
      <c r="I3921" s="16" t="s">
        <v>437</v>
      </c>
    </row>
    <row r="3922" ht="242.25" hidden="1" customHeight="1">
      <c r="B3922" s="32" t="str">
        <f>IMAGE("https://gymvisual.com/17887-catalog_default/wheel-rollout-with-wall-support-male.jpg",4,500,500)</f>
        <v/>
      </c>
      <c r="C3922" s="30">
        <v>3921.0</v>
      </c>
      <c r="D3922" s="16" t="s">
        <v>4879</v>
      </c>
      <c r="E3922" s="16" t="s">
        <v>184</v>
      </c>
      <c r="F3922" s="16" t="s">
        <v>254</v>
      </c>
      <c r="G3922" s="16" t="s">
        <v>255</v>
      </c>
      <c r="H3922" s="16" t="s">
        <v>220</v>
      </c>
      <c r="I3922" s="16" t="s">
        <v>220</v>
      </c>
    </row>
    <row r="3923" ht="242.25" hidden="1" customHeight="1">
      <c r="B3923" s="32" t="str">
        <f>IMAGE("https://gymvisual.com/22335-catalog_default/wide-air-squat.jpg",4,500,500)</f>
        <v/>
      </c>
      <c r="C3923" s="30">
        <v>3922.0</v>
      </c>
      <c r="D3923" s="16" t="s">
        <v>4880</v>
      </c>
      <c r="E3923" s="16" t="s">
        <v>184</v>
      </c>
      <c r="F3923" s="16" t="s">
        <v>185</v>
      </c>
      <c r="G3923" s="16" t="s">
        <v>255</v>
      </c>
      <c r="H3923" s="16" t="s">
        <v>220</v>
      </c>
      <c r="I3923" s="16" t="s">
        <v>220</v>
      </c>
    </row>
    <row r="3924" ht="242.25" hidden="1" customHeight="1">
      <c r="B3924" s="32" t="str">
        <f>IMAGE("https://gymvisual.com/20202-catalog_default/wide-chin-up-female.jpg",4,500,500)</f>
        <v/>
      </c>
      <c r="C3924" s="30">
        <v>3923.0</v>
      </c>
      <c r="D3924" s="16" t="s">
        <v>4881</v>
      </c>
      <c r="E3924" s="16" t="s">
        <v>184</v>
      </c>
      <c r="F3924" s="16" t="s">
        <v>192</v>
      </c>
      <c r="G3924" s="16" t="s">
        <v>255</v>
      </c>
      <c r="H3924" s="16" t="s">
        <v>4882</v>
      </c>
      <c r="I3924" s="16" t="s">
        <v>447</v>
      </c>
    </row>
    <row r="3925" ht="242.25" hidden="1" customHeight="1">
      <c r="B3925" s="32" t="str">
        <f>IMAGE("https://gymvisual.com/14318-catalog_default/wide-grip-pull-up-female.jpg",4,500,500)</f>
        <v/>
      </c>
      <c r="C3925" s="30">
        <v>3924.0</v>
      </c>
      <c r="D3925" s="16" t="s">
        <v>4883</v>
      </c>
      <c r="E3925" s="16" t="s">
        <v>184</v>
      </c>
      <c r="F3925" s="16" t="s">
        <v>192</v>
      </c>
      <c r="G3925" s="16" t="s">
        <v>255</v>
      </c>
      <c r="H3925" s="16" t="s">
        <v>300</v>
      </c>
      <c r="I3925" s="16" t="s">
        <v>4884</v>
      </c>
    </row>
    <row r="3926" ht="242.25" hidden="1" customHeight="1">
      <c r="B3926" s="32" t="str">
        <f>IMAGE("https://gymvisual.com/6323-catalog_default/wide-grip-pull-up.jpg",4,500,500)</f>
        <v/>
      </c>
      <c r="C3926" s="30">
        <v>3925.0</v>
      </c>
      <c r="D3926" s="16" t="s">
        <v>4885</v>
      </c>
      <c r="E3926" s="16" t="s">
        <v>184</v>
      </c>
      <c r="F3926" s="16" t="s">
        <v>192</v>
      </c>
      <c r="G3926" s="16" t="s">
        <v>255</v>
      </c>
      <c r="H3926" s="16" t="s">
        <v>300</v>
      </c>
      <c r="I3926" s="16" t="s">
        <v>3413</v>
      </c>
    </row>
    <row r="3927" ht="242.25" hidden="1" customHeight="1">
      <c r="B3927" s="32" t="str">
        <f>IMAGE("https://gymvisual.com/7718-catalog_default/wide-grip-pull-up-on-dip-cage.jpg",4,500,500)</f>
        <v/>
      </c>
      <c r="C3927" s="30">
        <v>3926.0</v>
      </c>
      <c r="D3927" s="16" t="s">
        <v>4886</v>
      </c>
      <c r="E3927" s="16" t="s">
        <v>184</v>
      </c>
      <c r="F3927" s="16" t="s">
        <v>192</v>
      </c>
      <c r="G3927" s="16" t="s">
        <v>255</v>
      </c>
      <c r="H3927" s="16" t="s">
        <v>220</v>
      </c>
      <c r="I3927" s="16" t="s">
        <v>220</v>
      </c>
    </row>
    <row r="3928" ht="242.25" hidden="1" customHeight="1">
      <c r="B3928" s="32" t="str">
        <f>IMAGE("https://gymvisual.com/14320-catalog_default/wide-grip-rear-pull-up-female.jpg",4,500,500)</f>
        <v/>
      </c>
      <c r="C3928" s="30">
        <v>3927.0</v>
      </c>
      <c r="D3928" s="16" t="s">
        <v>4887</v>
      </c>
      <c r="E3928" s="16" t="s">
        <v>184</v>
      </c>
      <c r="F3928" s="16" t="s">
        <v>192</v>
      </c>
      <c r="G3928" s="16" t="s">
        <v>255</v>
      </c>
      <c r="H3928" s="16" t="s">
        <v>300</v>
      </c>
      <c r="I3928" s="16" t="s">
        <v>4888</v>
      </c>
    </row>
    <row r="3929" ht="242.25" hidden="1" customHeight="1">
      <c r="B3929" s="32" t="str">
        <f>IMAGE("https://gymvisual.com/6058-catalog_default/wide-grip-rear-pull-up.jpg",4,500,500)</f>
        <v/>
      </c>
      <c r="C3929" s="30">
        <v>3928.0</v>
      </c>
      <c r="D3929" s="16" t="s">
        <v>4889</v>
      </c>
      <c r="E3929" s="16" t="s">
        <v>184</v>
      </c>
      <c r="F3929" s="16" t="s">
        <v>192</v>
      </c>
      <c r="G3929" s="16" t="s">
        <v>255</v>
      </c>
      <c r="H3929" s="16" t="s">
        <v>300</v>
      </c>
      <c r="I3929" s="16" t="s">
        <v>4890</v>
      </c>
    </row>
    <row r="3930" ht="242.25" hidden="1" customHeight="1">
      <c r="B3930" s="32" t="str">
        <f>IMAGE("https://gymvisual.com/6000-catalog_default/wide-hand-push-up.jpg",4,500,500)</f>
        <v/>
      </c>
      <c r="C3930" s="30">
        <v>3929.0</v>
      </c>
      <c r="D3930" s="16" t="s">
        <v>4891</v>
      </c>
      <c r="E3930" s="16" t="s">
        <v>184</v>
      </c>
      <c r="F3930" s="16" t="s">
        <v>234</v>
      </c>
      <c r="G3930" s="16" t="s">
        <v>255</v>
      </c>
      <c r="H3930" s="16" t="s">
        <v>347</v>
      </c>
      <c r="I3930" s="16" t="s">
        <v>382</v>
      </c>
    </row>
    <row r="3931" ht="242.25" hidden="1" customHeight="1">
      <c r="B3931" s="32" t="str">
        <f>IMAGE("https://gymvisual.com/17521-catalog_default/wide-hand-push-up-female.jpg",4,500,500)</f>
        <v/>
      </c>
      <c r="C3931" s="30">
        <v>3930.0</v>
      </c>
      <c r="D3931" s="16" t="s">
        <v>4892</v>
      </c>
      <c r="E3931" s="16" t="s">
        <v>184</v>
      </c>
      <c r="F3931" s="16" t="s">
        <v>234</v>
      </c>
      <c r="G3931" s="16" t="s">
        <v>255</v>
      </c>
      <c r="H3931" s="16" t="s">
        <v>235</v>
      </c>
      <c r="I3931" s="16" t="s">
        <v>243</v>
      </c>
    </row>
    <row r="3932" ht="242.25" hidden="1" customHeight="1">
      <c r="B3932" s="32" t="str">
        <f>IMAGE("https://gymvisual.com/10914-catalog_default/wide-push-up-wall-female.jpg",4,500,500)</f>
        <v/>
      </c>
      <c r="C3932" s="30">
        <v>3931.0</v>
      </c>
      <c r="D3932" s="16" t="s">
        <v>4893</v>
      </c>
      <c r="E3932" s="16" t="s">
        <v>184</v>
      </c>
      <c r="F3932" s="16" t="s">
        <v>234</v>
      </c>
      <c r="G3932" s="16" t="s">
        <v>255</v>
      </c>
      <c r="H3932" s="16" t="s">
        <v>235</v>
      </c>
      <c r="I3932" s="16" t="s">
        <v>243</v>
      </c>
    </row>
    <row r="3933" ht="242.25" hidden="1" customHeight="1">
      <c r="B3933" s="32" t="str">
        <f>IMAGE("https://gymvisual.com/22337-catalog_default/wide-seated-pull-up.jpg",4,500,500)</f>
        <v/>
      </c>
      <c r="C3933" s="30">
        <v>3932.0</v>
      </c>
      <c r="D3933" s="16" t="s">
        <v>4894</v>
      </c>
      <c r="E3933" s="16" t="s">
        <v>184</v>
      </c>
      <c r="F3933" s="16" t="s">
        <v>192</v>
      </c>
      <c r="G3933" s="16" t="s">
        <v>255</v>
      </c>
      <c r="H3933" s="16" t="s">
        <v>220</v>
      </c>
      <c r="I3933" s="16" t="s">
        <v>220</v>
      </c>
    </row>
    <row r="3934" ht="242.25" hidden="1" customHeight="1">
      <c r="B3934" s="32" t="str">
        <f>IMAGE("https://gymvisual.com/22339-catalog_default/wide-to-narrow-push-up.jpg",4,500,500)</f>
        <v/>
      </c>
      <c r="C3934" s="30">
        <v>3933.0</v>
      </c>
      <c r="D3934" s="16" t="s">
        <v>4895</v>
      </c>
      <c r="E3934" s="16" t="s">
        <v>184</v>
      </c>
      <c r="F3934" s="16" t="s">
        <v>234</v>
      </c>
      <c r="G3934" s="16" t="s">
        <v>255</v>
      </c>
      <c r="H3934" s="16" t="s">
        <v>220</v>
      </c>
      <c r="I3934" s="16" t="s">
        <v>220</v>
      </c>
    </row>
    <row r="3935" ht="242.25" hidden="1" customHeight="1">
      <c r="B3935" s="32" t="str">
        <f>IMAGE("https://gymvisual.com/10239-catalog_default/wide-grip-chest-dip-on-high-parallel-bars.jpg",4,500,500)</f>
        <v/>
      </c>
      <c r="C3935" s="30">
        <v>3934.0</v>
      </c>
      <c r="D3935" s="16" t="s">
        <v>4896</v>
      </c>
      <c r="E3935" s="16" t="s">
        <v>184</v>
      </c>
      <c r="F3935" s="16" t="s">
        <v>234</v>
      </c>
      <c r="G3935" s="16" t="s">
        <v>255</v>
      </c>
      <c r="H3935" s="16" t="s">
        <v>235</v>
      </c>
      <c r="I3935" s="16" t="s">
        <v>243</v>
      </c>
    </row>
    <row r="3936" ht="242.25" hidden="1" customHeight="1">
      <c r="B3936" s="32" t="str">
        <f>IMAGE("https://gymvisual.com/2564-catalog_default/wind-sprints.jpg",4,500,500)</f>
        <v/>
      </c>
      <c r="C3936" s="30">
        <v>3935.0</v>
      </c>
      <c r="D3936" s="16" t="s">
        <v>4897</v>
      </c>
      <c r="E3936" s="16" t="s">
        <v>184</v>
      </c>
      <c r="F3936" s="16" t="s">
        <v>254</v>
      </c>
      <c r="G3936" s="16" t="s">
        <v>255</v>
      </c>
      <c r="H3936" s="16" t="s">
        <v>305</v>
      </c>
      <c r="I3936" s="16" t="s">
        <v>566</v>
      </c>
    </row>
    <row r="3937" ht="242.25" hidden="1" customHeight="1">
      <c r="B3937" s="32" t="str">
        <f>IMAGE("https://gymvisual.com/4625-catalog_default/wipers-straight-leg.jpg",4,500,500)</f>
        <v/>
      </c>
      <c r="C3937" s="30">
        <v>3936.0</v>
      </c>
      <c r="D3937" s="16" t="s">
        <v>4898</v>
      </c>
      <c r="E3937" s="16" t="s">
        <v>184</v>
      </c>
      <c r="F3937" s="16" t="s">
        <v>254</v>
      </c>
      <c r="G3937" s="16" t="s">
        <v>255</v>
      </c>
      <c r="H3937" s="16" t="s">
        <v>257</v>
      </c>
      <c r="I3937" s="16" t="s">
        <v>220</v>
      </c>
    </row>
    <row r="3938" ht="242.25" hidden="1" customHeight="1">
      <c r="B3938" s="32" t="str">
        <f>IMAGE("https://gymvisual.com/20017-catalog_default/wrist-abduction-articulations.jpg",4,500,500)</f>
        <v/>
      </c>
      <c r="C3938" s="30">
        <v>3937.0</v>
      </c>
      <c r="D3938" s="16" t="s">
        <v>4899</v>
      </c>
      <c r="E3938" s="16" t="s">
        <v>184</v>
      </c>
      <c r="F3938" s="16" t="s">
        <v>214</v>
      </c>
      <c r="G3938" s="16" t="s">
        <v>255</v>
      </c>
      <c r="H3938" s="16" t="s">
        <v>220</v>
      </c>
      <c r="I3938" s="16" t="s">
        <v>220</v>
      </c>
    </row>
    <row r="3939" ht="242.25" hidden="1" customHeight="1">
      <c r="B3939" s="32" t="str">
        <f>IMAGE("https://gymvisual.com/6280-catalog_default/wrist-circles.jpg",4,500,500)</f>
        <v/>
      </c>
      <c r="C3939" s="30">
        <v>3938.0</v>
      </c>
      <c r="D3939" s="16" t="s">
        <v>4900</v>
      </c>
      <c r="E3939" s="16" t="s">
        <v>184</v>
      </c>
      <c r="F3939" s="16" t="s">
        <v>214</v>
      </c>
      <c r="G3939" s="16" t="s">
        <v>255</v>
      </c>
      <c r="H3939" s="16" t="s">
        <v>3705</v>
      </c>
      <c r="I3939" s="16" t="s">
        <v>220</v>
      </c>
    </row>
    <row r="3940" ht="242.25" hidden="1" customHeight="1">
      <c r="B3940" s="32" t="str">
        <f>IMAGE("https://gymvisual.com/18858-catalog_default/wrist-circles-female.jpg",4,500,500)</f>
        <v/>
      </c>
      <c r="C3940" s="30">
        <v>3939.0</v>
      </c>
      <c r="D3940" s="16" t="s">
        <v>4901</v>
      </c>
      <c r="E3940" s="16" t="s">
        <v>184</v>
      </c>
      <c r="F3940" s="16" t="s">
        <v>214</v>
      </c>
      <c r="G3940" s="16" t="s">
        <v>255</v>
      </c>
      <c r="H3940" s="16" t="s">
        <v>3705</v>
      </c>
      <c r="I3940" s="16" t="s">
        <v>220</v>
      </c>
    </row>
    <row r="3941" ht="242.25" customHeight="1">
      <c r="B3941" s="32" t="str">
        <f>IMAGE("https://gymvisual.com/2567-catalog_default/wrist-roller.jpg",4,500,500)</f>
        <v/>
      </c>
      <c r="C3941" s="30">
        <v>3940.0</v>
      </c>
      <c r="D3941" s="16" t="s">
        <v>117</v>
      </c>
      <c r="E3941" s="16" t="s">
        <v>184</v>
      </c>
      <c r="F3941" s="16" t="s">
        <v>214</v>
      </c>
      <c r="G3941" s="16" t="s">
        <v>396</v>
      </c>
      <c r="H3941" s="16" t="s">
        <v>3705</v>
      </c>
      <c r="I3941" s="16" t="s">
        <v>220</v>
      </c>
    </row>
  </sheetData>
  <autoFilter ref="$B$1:$AA$3941">
    <filterColumn colId="5">
      <filters blank="1">
        <filter val="Cable"/>
        <filter val="Hammer"/>
        <filter val="Barbell&#10;Stability ball"/>
        <filter val="Resistance Band"/>
        <filter val="Cable&#10;Stability ball"/>
        <filter val="Stability ball"/>
        <filter val="Kettlebell&#10;Resistance Band"/>
        <filter val="Kettlebell"/>
        <filter val="Weighted"/>
        <filter val="Medicine Ball"/>
        <filter val="Dumbbell"/>
        <filter val="Leverage machine&#10;Resistance Band"/>
        <filter val="EZ Barbell"/>
        <filter val="Smith machine"/>
        <filter val="Sled machine"/>
        <filter val="Power Sled"/>
        <filter val="Barbell"/>
        <filter val="Battling Rope"/>
        <filter val="Suspension"/>
        <filter val="Trap bar"/>
        <filter val="Dumbbell&#10;Stability ball"/>
        <filter val="Olympic barbell"/>
        <filter val="Wheel roller"/>
        <filter val="Rope"/>
        <filter val="Stick"/>
        <filter val="Barbell&#10;Resistance Band"/>
        <filter val="Bosu ball"/>
        <filter val="Roll"/>
      </filters>
    </filterColumn>
    <sortState ref="B1:AA3941">
      <sortCondition ref="C1:C3941"/>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86"/>
    <col customWidth="1" min="2" max="2" width="13.43"/>
    <col customWidth="1" min="3" max="3" width="35.71"/>
    <col customWidth="1" min="4" max="5" width="15.0"/>
    <col customWidth="1" min="6" max="6" width="30.86"/>
    <col customWidth="1" min="7" max="7" width="19.0"/>
    <col customWidth="1" min="8" max="8" width="36.0"/>
    <col customWidth="1" min="9" max="10" width="14.86"/>
    <col customWidth="1" min="11" max="11" width="23.86"/>
  </cols>
  <sheetData>
    <row r="1">
      <c r="A1" s="1" t="s">
        <v>246</v>
      </c>
      <c r="B1" s="8" t="s">
        <v>1</v>
      </c>
      <c r="C1" s="3" t="s">
        <v>4902</v>
      </c>
      <c r="D1" s="3" t="s">
        <v>4903</v>
      </c>
      <c r="E1" s="3" t="s">
        <v>4904</v>
      </c>
      <c r="F1" s="3" t="s">
        <v>4905</v>
      </c>
      <c r="G1" s="3" t="s">
        <v>131</v>
      </c>
      <c r="H1" s="3" t="s">
        <v>4906</v>
      </c>
      <c r="I1" s="3" t="s">
        <v>4907</v>
      </c>
      <c r="J1" s="3" t="s">
        <v>4908</v>
      </c>
      <c r="K1" s="3" t="s">
        <v>4909</v>
      </c>
      <c r="L1" s="5" t="s">
        <v>4910</v>
      </c>
    </row>
    <row r="2">
      <c r="A2" s="6">
        <v>1.0</v>
      </c>
      <c r="B2" s="6">
        <v>382.0</v>
      </c>
      <c r="C2" s="8" t="s">
        <v>12</v>
      </c>
      <c r="D2" s="8" t="s">
        <v>14</v>
      </c>
      <c r="E2" s="8"/>
      <c r="F2" s="8" t="s">
        <v>15</v>
      </c>
      <c r="G2" s="8" t="s">
        <v>16</v>
      </c>
      <c r="H2" s="6" t="s">
        <v>17</v>
      </c>
      <c r="I2" s="8" t="s">
        <v>18</v>
      </c>
      <c r="J2" s="8"/>
      <c r="K2" s="8" t="s">
        <v>4911</v>
      </c>
      <c r="L2" s="16" t="s">
        <v>4912</v>
      </c>
    </row>
    <row r="3">
      <c r="A3" s="6">
        <v>2.0</v>
      </c>
      <c r="B3" s="6">
        <v>1424.0</v>
      </c>
      <c r="C3" s="8" t="s">
        <v>20</v>
      </c>
      <c r="D3" s="8" t="s">
        <v>14</v>
      </c>
      <c r="E3" s="8"/>
      <c r="F3" s="8" t="s">
        <v>15</v>
      </c>
      <c r="G3" s="8" t="s">
        <v>16</v>
      </c>
      <c r="H3" s="6" t="s">
        <v>17</v>
      </c>
      <c r="I3" s="8" t="s">
        <v>22</v>
      </c>
      <c r="J3" s="8"/>
      <c r="K3" s="8" t="s">
        <v>4913</v>
      </c>
      <c r="L3" s="5" t="s">
        <v>4914</v>
      </c>
    </row>
    <row r="4">
      <c r="A4" s="6">
        <v>3.0</v>
      </c>
      <c r="B4" s="6">
        <v>1512.0</v>
      </c>
      <c r="C4" s="6" t="s">
        <v>24</v>
      </c>
      <c r="D4" s="8" t="s">
        <v>14</v>
      </c>
      <c r="E4" s="8"/>
      <c r="F4" s="8" t="s">
        <v>15</v>
      </c>
      <c r="G4" s="8" t="s">
        <v>26</v>
      </c>
      <c r="H4" s="6" t="s">
        <v>27</v>
      </c>
      <c r="I4" s="8" t="s">
        <v>22</v>
      </c>
      <c r="J4" s="8"/>
      <c r="K4" s="8" t="s">
        <v>4913</v>
      </c>
      <c r="L4" s="16" t="s">
        <v>4915</v>
      </c>
    </row>
    <row r="5">
      <c r="A5" s="6"/>
      <c r="B5" s="6">
        <v>894.0</v>
      </c>
      <c r="C5" s="6" t="s">
        <v>4916</v>
      </c>
      <c r="D5" s="8" t="s">
        <v>14</v>
      </c>
      <c r="E5" s="8"/>
      <c r="F5" s="8" t="s">
        <v>15</v>
      </c>
      <c r="G5" s="8" t="s">
        <v>26</v>
      </c>
      <c r="H5" s="6"/>
      <c r="I5" s="8"/>
      <c r="J5" s="8"/>
      <c r="K5" s="8"/>
      <c r="L5" s="16"/>
    </row>
    <row r="6">
      <c r="A6" s="6">
        <v>4.0</v>
      </c>
      <c r="B6" s="6">
        <v>1884.0</v>
      </c>
      <c r="C6" s="12" t="s">
        <v>28</v>
      </c>
      <c r="D6" s="12" t="s">
        <v>30</v>
      </c>
      <c r="E6" s="12"/>
      <c r="F6" s="6" t="s">
        <v>15</v>
      </c>
      <c r="G6" s="6" t="s">
        <v>31</v>
      </c>
      <c r="H6" s="14"/>
      <c r="I6" s="6" t="s">
        <v>22</v>
      </c>
      <c r="J6" s="6"/>
      <c r="K6" s="8" t="s">
        <v>4917</v>
      </c>
    </row>
    <row r="7">
      <c r="A7" s="6">
        <v>5.0</v>
      </c>
      <c r="B7" s="6">
        <v>380.0</v>
      </c>
      <c r="C7" s="12" t="s">
        <v>33</v>
      </c>
      <c r="D7" s="12" t="s">
        <v>30</v>
      </c>
      <c r="E7" s="12" t="s">
        <v>35</v>
      </c>
      <c r="F7" s="6" t="s">
        <v>36</v>
      </c>
      <c r="G7" s="6" t="s">
        <v>31</v>
      </c>
      <c r="H7" s="6" t="s">
        <v>37</v>
      </c>
      <c r="I7" s="6" t="s">
        <v>18</v>
      </c>
      <c r="J7" s="6" t="s">
        <v>38</v>
      </c>
      <c r="K7" s="8" t="s">
        <v>4911</v>
      </c>
      <c r="L7" s="16" t="s">
        <v>4918</v>
      </c>
    </row>
    <row r="8">
      <c r="A8" s="6">
        <v>6.0</v>
      </c>
      <c r="B8" s="6">
        <v>486.0</v>
      </c>
      <c r="C8" s="6" t="s">
        <v>39</v>
      </c>
      <c r="D8" s="12" t="s">
        <v>30</v>
      </c>
      <c r="E8" s="12"/>
      <c r="F8" s="6" t="s">
        <v>15</v>
      </c>
      <c r="G8" s="6" t="s">
        <v>31</v>
      </c>
      <c r="H8" s="6" t="s">
        <v>37</v>
      </c>
      <c r="I8" s="6" t="s">
        <v>18</v>
      </c>
      <c r="J8" s="6" t="s">
        <v>38</v>
      </c>
      <c r="K8" s="8" t="s">
        <v>4911</v>
      </c>
      <c r="L8" s="16" t="s">
        <v>4919</v>
      </c>
    </row>
    <row r="9">
      <c r="A9" s="6">
        <v>7.0</v>
      </c>
      <c r="B9" s="6">
        <v>2157.0</v>
      </c>
      <c r="C9" s="8" t="s">
        <v>41</v>
      </c>
      <c r="D9" s="8" t="s">
        <v>43</v>
      </c>
      <c r="E9" s="8"/>
      <c r="F9" s="8" t="s">
        <v>43</v>
      </c>
      <c r="G9" s="8" t="s">
        <v>44</v>
      </c>
      <c r="H9" s="8" t="s">
        <v>45</v>
      </c>
      <c r="I9" s="8" t="s">
        <v>18</v>
      </c>
      <c r="J9" s="8"/>
      <c r="K9" s="8" t="s">
        <v>4911</v>
      </c>
    </row>
    <row r="10">
      <c r="A10" s="6">
        <v>8.0</v>
      </c>
      <c r="B10" s="6">
        <v>1990.0</v>
      </c>
      <c r="C10" s="6" t="s">
        <v>46</v>
      </c>
      <c r="D10" s="8" t="s">
        <v>43</v>
      </c>
      <c r="E10" s="8"/>
      <c r="F10" s="6" t="s">
        <v>43</v>
      </c>
      <c r="G10" s="6" t="s">
        <v>44</v>
      </c>
      <c r="H10" s="8" t="s">
        <v>45</v>
      </c>
      <c r="I10" s="6" t="s">
        <v>22</v>
      </c>
      <c r="J10" s="6"/>
      <c r="K10" s="8" t="s">
        <v>4911</v>
      </c>
      <c r="L10" s="16"/>
    </row>
    <row r="11">
      <c r="A11" s="6">
        <v>9.0</v>
      </c>
      <c r="B11" s="6">
        <v>676.0</v>
      </c>
      <c r="C11" s="6" t="s">
        <v>49</v>
      </c>
      <c r="D11" s="8" t="s">
        <v>43</v>
      </c>
      <c r="E11" s="8"/>
      <c r="F11" s="6" t="s">
        <v>43</v>
      </c>
      <c r="G11" s="6" t="s">
        <v>51</v>
      </c>
      <c r="H11" s="6" t="s">
        <v>52</v>
      </c>
      <c r="I11" s="6" t="s">
        <v>18</v>
      </c>
      <c r="J11" s="6"/>
      <c r="K11" s="8" t="s">
        <v>4911</v>
      </c>
    </row>
    <row r="12">
      <c r="A12" s="6">
        <v>10.0</v>
      </c>
      <c r="B12" s="6">
        <v>949.0</v>
      </c>
      <c r="C12" s="6" t="s">
        <v>53</v>
      </c>
      <c r="D12" s="8" t="s">
        <v>43</v>
      </c>
      <c r="E12" s="8"/>
      <c r="F12" s="6" t="s">
        <v>43</v>
      </c>
      <c r="G12" s="6" t="s">
        <v>51</v>
      </c>
      <c r="H12" s="6" t="s">
        <v>55</v>
      </c>
      <c r="I12" s="6" t="s">
        <v>22</v>
      </c>
      <c r="J12" s="6"/>
      <c r="K12" s="8" t="s">
        <v>4911</v>
      </c>
    </row>
    <row r="13">
      <c r="A13" s="6">
        <v>11.0</v>
      </c>
      <c r="B13" s="6">
        <v>881.0</v>
      </c>
      <c r="C13" s="6" t="s">
        <v>56</v>
      </c>
      <c r="D13" s="8" t="s">
        <v>43</v>
      </c>
      <c r="E13" s="8"/>
      <c r="F13" s="6" t="s">
        <v>43</v>
      </c>
      <c r="G13" s="6" t="s">
        <v>44</v>
      </c>
      <c r="H13" s="6" t="s">
        <v>58</v>
      </c>
      <c r="I13" s="6" t="s">
        <v>18</v>
      </c>
      <c r="J13" s="6"/>
      <c r="K13" s="8" t="s">
        <v>4917</v>
      </c>
    </row>
    <row r="14">
      <c r="A14" s="6">
        <v>12.0</v>
      </c>
      <c r="B14" s="6">
        <v>3560.0</v>
      </c>
      <c r="C14" s="6" t="s">
        <v>59</v>
      </c>
      <c r="D14" s="8" t="s">
        <v>43</v>
      </c>
      <c r="E14" s="8"/>
      <c r="F14" s="6" t="s">
        <v>43</v>
      </c>
      <c r="G14" s="6" t="s">
        <v>51</v>
      </c>
      <c r="H14" s="6" t="s">
        <v>61</v>
      </c>
      <c r="I14" s="6" t="s">
        <v>18</v>
      </c>
      <c r="J14" s="6"/>
      <c r="K14" s="8" t="s">
        <v>4911</v>
      </c>
    </row>
    <row r="15">
      <c r="A15" s="6">
        <v>13.0</v>
      </c>
      <c r="B15" s="8">
        <v>363.0</v>
      </c>
      <c r="C15" s="8" t="s">
        <v>62</v>
      </c>
      <c r="D15" s="8" t="s">
        <v>64</v>
      </c>
      <c r="E15" s="8"/>
      <c r="F15" s="8" t="s">
        <v>64</v>
      </c>
      <c r="G15" s="15" t="s">
        <v>65</v>
      </c>
      <c r="H15" s="8" t="s">
        <v>66</v>
      </c>
      <c r="I15" s="8" t="s">
        <v>18</v>
      </c>
      <c r="J15" s="8"/>
      <c r="K15" s="8" t="s">
        <v>4911</v>
      </c>
    </row>
    <row r="16">
      <c r="A16" s="6">
        <v>14.0</v>
      </c>
      <c r="B16" s="8">
        <v>1403.0</v>
      </c>
      <c r="C16" s="8" t="s">
        <v>67</v>
      </c>
      <c r="D16" s="8" t="s">
        <v>64</v>
      </c>
      <c r="E16" s="8"/>
      <c r="F16" s="8" t="s">
        <v>64</v>
      </c>
      <c r="G16" s="15" t="s">
        <v>69</v>
      </c>
      <c r="H16" s="8" t="s">
        <v>70</v>
      </c>
      <c r="I16" s="8" t="s">
        <v>22</v>
      </c>
      <c r="J16" s="8"/>
      <c r="K16" s="8" t="s">
        <v>4911</v>
      </c>
    </row>
    <row r="17">
      <c r="A17" s="6">
        <v>15.0</v>
      </c>
      <c r="B17" s="6">
        <v>845.0</v>
      </c>
      <c r="C17" s="6" t="s">
        <v>71</v>
      </c>
      <c r="D17" s="8" t="s">
        <v>64</v>
      </c>
      <c r="E17" s="8"/>
      <c r="F17" s="6" t="s">
        <v>64</v>
      </c>
      <c r="G17" s="15" t="s">
        <v>69</v>
      </c>
      <c r="H17" s="8" t="s">
        <v>66</v>
      </c>
      <c r="I17" s="6" t="s">
        <v>73</v>
      </c>
      <c r="J17" s="6"/>
      <c r="K17" s="8" t="s">
        <v>4917</v>
      </c>
      <c r="L17" s="16" t="s">
        <v>4920</v>
      </c>
    </row>
    <row r="18">
      <c r="A18" s="6">
        <v>16.0</v>
      </c>
      <c r="B18" s="8">
        <v>619.0</v>
      </c>
      <c r="C18" s="8" t="s">
        <v>74</v>
      </c>
      <c r="D18" s="8" t="s">
        <v>76</v>
      </c>
      <c r="E18" s="8" t="s">
        <v>77</v>
      </c>
      <c r="F18" s="8" t="s">
        <v>78</v>
      </c>
      <c r="G18" s="8" t="s">
        <v>79</v>
      </c>
      <c r="H18" s="8" t="s">
        <v>80</v>
      </c>
      <c r="I18" s="8" t="s">
        <v>18</v>
      </c>
      <c r="J18" s="8"/>
      <c r="K18" s="8" t="s">
        <v>4911</v>
      </c>
      <c r="L18" s="16" t="s">
        <v>4921</v>
      </c>
    </row>
    <row r="19">
      <c r="A19" s="6">
        <v>17.0</v>
      </c>
      <c r="B19" s="8">
        <v>416.0</v>
      </c>
      <c r="C19" s="8" t="s">
        <v>81</v>
      </c>
      <c r="D19" s="8" t="s">
        <v>76</v>
      </c>
      <c r="E19" s="8" t="s">
        <v>77</v>
      </c>
      <c r="F19" s="8" t="s">
        <v>78</v>
      </c>
      <c r="G19" s="8" t="s">
        <v>79</v>
      </c>
      <c r="H19" s="8" t="s">
        <v>80</v>
      </c>
      <c r="I19" s="8" t="s">
        <v>18</v>
      </c>
      <c r="J19" s="8"/>
      <c r="K19" s="8" t="s">
        <v>4911</v>
      </c>
    </row>
    <row r="20">
      <c r="A20" s="6">
        <v>18.0</v>
      </c>
      <c r="B20" s="8">
        <v>386.0</v>
      </c>
      <c r="C20" s="8" t="s">
        <v>83</v>
      </c>
      <c r="D20" s="8" t="s">
        <v>76</v>
      </c>
      <c r="E20" s="8" t="s">
        <v>77</v>
      </c>
      <c r="F20" s="8" t="s">
        <v>78</v>
      </c>
      <c r="G20" s="8" t="s">
        <v>85</v>
      </c>
      <c r="H20" s="15" t="s">
        <v>86</v>
      </c>
      <c r="I20" s="8" t="s">
        <v>18</v>
      </c>
      <c r="J20" s="8"/>
      <c r="K20" s="8" t="s">
        <v>4911</v>
      </c>
    </row>
    <row r="21">
      <c r="A21" s="6">
        <v>19.0</v>
      </c>
      <c r="B21" s="8">
        <v>669.0</v>
      </c>
      <c r="C21" s="8" t="s">
        <v>87</v>
      </c>
      <c r="D21" s="8" t="s">
        <v>76</v>
      </c>
      <c r="E21" s="8" t="s">
        <v>77</v>
      </c>
      <c r="F21" s="8" t="s">
        <v>78</v>
      </c>
      <c r="G21" s="8" t="s">
        <v>79</v>
      </c>
      <c r="H21" s="8" t="s">
        <v>89</v>
      </c>
      <c r="I21" s="8" t="s">
        <v>18</v>
      </c>
      <c r="J21" s="8"/>
      <c r="K21" s="8" t="s">
        <v>4911</v>
      </c>
    </row>
    <row r="22">
      <c r="A22" s="6">
        <v>20.0</v>
      </c>
      <c r="B22" s="8">
        <v>389.0</v>
      </c>
      <c r="C22" s="8" t="s">
        <v>90</v>
      </c>
      <c r="D22" s="8" t="s">
        <v>76</v>
      </c>
      <c r="E22" s="8" t="s">
        <v>77</v>
      </c>
      <c r="F22" s="8" t="s">
        <v>78</v>
      </c>
      <c r="G22" s="8" t="s">
        <v>79</v>
      </c>
      <c r="H22" s="8" t="s">
        <v>92</v>
      </c>
      <c r="I22" s="8" t="s">
        <v>18</v>
      </c>
      <c r="J22" s="8"/>
      <c r="K22" s="8" t="s">
        <v>4911</v>
      </c>
      <c r="L22" s="16" t="s">
        <v>4922</v>
      </c>
    </row>
    <row r="23">
      <c r="A23" s="6">
        <v>21.0</v>
      </c>
      <c r="B23" s="8">
        <v>1613.0</v>
      </c>
      <c r="C23" s="8" t="s">
        <v>94</v>
      </c>
      <c r="D23" s="8" t="s">
        <v>76</v>
      </c>
      <c r="E23" s="8"/>
      <c r="F23" s="8" t="s">
        <v>78</v>
      </c>
      <c r="G23" s="8" t="s">
        <v>79</v>
      </c>
      <c r="H23" s="8" t="s">
        <v>80</v>
      </c>
      <c r="I23" s="8" t="s">
        <v>22</v>
      </c>
      <c r="J23" s="8"/>
      <c r="K23" s="8" t="s">
        <v>4911</v>
      </c>
      <c r="L23" s="5" t="s">
        <v>4914</v>
      </c>
    </row>
    <row r="24">
      <c r="A24" s="6">
        <v>22.0</v>
      </c>
      <c r="B24" s="6">
        <v>541.0</v>
      </c>
      <c r="C24" s="6" t="s">
        <v>96</v>
      </c>
      <c r="D24" s="8" t="s">
        <v>76</v>
      </c>
      <c r="E24" s="8"/>
      <c r="F24" s="8" t="s">
        <v>78</v>
      </c>
      <c r="G24" s="8" t="s">
        <v>79</v>
      </c>
      <c r="H24" s="8" t="s">
        <v>80</v>
      </c>
      <c r="I24" s="6" t="s">
        <v>22</v>
      </c>
      <c r="J24" s="6"/>
      <c r="K24" s="8" t="s">
        <v>4911</v>
      </c>
      <c r="L24" s="16" t="s">
        <v>4923</v>
      </c>
    </row>
    <row r="25">
      <c r="A25" s="6">
        <v>23.0</v>
      </c>
      <c r="B25" s="6">
        <v>1043.0</v>
      </c>
      <c r="C25" s="6" t="s">
        <v>98</v>
      </c>
      <c r="D25" s="8" t="s">
        <v>76</v>
      </c>
      <c r="E25" s="8"/>
      <c r="F25" s="8" t="s">
        <v>78</v>
      </c>
      <c r="G25" s="8" t="s">
        <v>79</v>
      </c>
      <c r="H25" s="8" t="s">
        <v>80</v>
      </c>
      <c r="I25" s="6" t="s">
        <v>22</v>
      </c>
      <c r="J25" s="6"/>
      <c r="K25" s="8" t="s">
        <v>4911</v>
      </c>
    </row>
    <row r="26">
      <c r="A26" s="6">
        <v>24.0</v>
      </c>
      <c r="B26" s="6">
        <v>350.0</v>
      </c>
      <c r="C26" s="17" t="s">
        <v>100</v>
      </c>
      <c r="D26" s="17" t="s">
        <v>35</v>
      </c>
      <c r="E26" s="17"/>
      <c r="F26" s="8" t="s">
        <v>35</v>
      </c>
      <c r="G26" s="8" t="s">
        <v>102</v>
      </c>
      <c r="H26" s="8" t="s">
        <v>103</v>
      </c>
      <c r="I26" s="8" t="s">
        <v>18</v>
      </c>
      <c r="J26" s="8" t="s">
        <v>38</v>
      </c>
      <c r="K26" s="8" t="s">
        <v>4911</v>
      </c>
    </row>
    <row r="27">
      <c r="A27" s="6">
        <v>25.0</v>
      </c>
      <c r="B27" s="6">
        <v>392.0</v>
      </c>
      <c r="C27" s="12" t="s">
        <v>104</v>
      </c>
      <c r="D27" s="17" t="s">
        <v>35</v>
      </c>
      <c r="E27" s="17"/>
      <c r="F27" s="8" t="s">
        <v>35</v>
      </c>
      <c r="G27" s="8" t="s">
        <v>102</v>
      </c>
      <c r="H27" s="8" t="s">
        <v>103</v>
      </c>
      <c r="I27" s="6" t="s">
        <v>18</v>
      </c>
      <c r="J27" s="6" t="s">
        <v>38</v>
      </c>
      <c r="K27" s="8" t="s">
        <v>4911</v>
      </c>
    </row>
    <row r="28">
      <c r="A28" s="6">
        <v>26.0</v>
      </c>
      <c r="B28" s="6">
        <v>446.0</v>
      </c>
      <c r="C28" s="12" t="s">
        <v>106</v>
      </c>
      <c r="D28" s="17" t="s">
        <v>35</v>
      </c>
      <c r="E28" s="17"/>
      <c r="F28" s="8" t="s">
        <v>35</v>
      </c>
      <c r="G28" s="8" t="s">
        <v>102</v>
      </c>
      <c r="H28" s="6" t="s">
        <v>108</v>
      </c>
      <c r="I28" s="6" t="s">
        <v>18</v>
      </c>
      <c r="J28" s="6" t="s">
        <v>38</v>
      </c>
      <c r="K28" s="8" t="s">
        <v>4911</v>
      </c>
    </row>
    <row r="29">
      <c r="A29" s="6">
        <v>27.0</v>
      </c>
      <c r="B29" s="6">
        <v>380.0</v>
      </c>
      <c r="C29" s="12" t="s">
        <v>33</v>
      </c>
      <c r="D29" s="17" t="s">
        <v>35</v>
      </c>
      <c r="E29" s="17" t="s">
        <v>30</v>
      </c>
      <c r="F29" s="6" t="s">
        <v>109</v>
      </c>
      <c r="G29" s="6" t="s">
        <v>31</v>
      </c>
      <c r="H29" s="6" t="s">
        <v>37</v>
      </c>
      <c r="I29" s="6" t="s">
        <v>18</v>
      </c>
      <c r="J29" s="6" t="s">
        <v>38</v>
      </c>
      <c r="K29" s="8" t="s">
        <v>4911</v>
      </c>
    </row>
    <row r="30">
      <c r="A30" s="6">
        <v>28.0</v>
      </c>
      <c r="B30" s="6">
        <v>3517.0</v>
      </c>
      <c r="C30" s="6" t="s">
        <v>110</v>
      </c>
      <c r="D30" s="17" t="s">
        <v>35</v>
      </c>
      <c r="E30" s="17"/>
      <c r="F30" s="8" t="s">
        <v>35</v>
      </c>
      <c r="G30" s="8" t="s">
        <v>102</v>
      </c>
      <c r="H30" s="8" t="s">
        <v>103</v>
      </c>
      <c r="I30" s="6" t="s">
        <v>18</v>
      </c>
      <c r="J30" s="6" t="s">
        <v>38</v>
      </c>
      <c r="K30" s="8" t="s">
        <v>4911</v>
      </c>
    </row>
    <row r="31">
      <c r="A31" s="6">
        <v>29.0</v>
      </c>
      <c r="B31" s="6">
        <v>840.0</v>
      </c>
      <c r="C31" s="6" t="s">
        <v>112</v>
      </c>
      <c r="D31" s="17" t="s">
        <v>35</v>
      </c>
      <c r="E31" s="17"/>
      <c r="F31" s="8" t="s">
        <v>35</v>
      </c>
      <c r="G31" s="8" t="s">
        <v>102</v>
      </c>
      <c r="H31" s="8" t="s">
        <v>103</v>
      </c>
      <c r="I31" s="6" t="s">
        <v>18</v>
      </c>
      <c r="J31" s="6" t="s">
        <v>38</v>
      </c>
      <c r="K31" s="8" t="s">
        <v>4911</v>
      </c>
    </row>
    <row r="32">
      <c r="A32" s="6">
        <v>30.0</v>
      </c>
      <c r="B32" s="6">
        <v>1389.0</v>
      </c>
      <c r="C32" s="6" t="s">
        <v>114</v>
      </c>
      <c r="D32" s="17" t="s">
        <v>35</v>
      </c>
      <c r="E32" s="17"/>
      <c r="F32" s="6" t="s">
        <v>35</v>
      </c>
      <c r="G32" s="6" t="s">
        <v>102</v>
      </c>
      <c r="H32" s="6" t="s">
        <v>108</v>
      </c>
      <c r="I32" s="6" t="s">
        <v>22</v>
      </c>
      <c r="J32" s="6" t="s">
        <v>38</v>
      </c>
      <c r="K32" s="8" t="s">
        <v>4911</v>
      </c>
    </row>
    <row r="33">
      <c r="A33" s="6">
        <v>31.0</v>
      </c>
      <c r="B33" s="6">
        <v>3940.0</v>
      </c>
      <c r="C33" s="6" t="s">
        <v>116</v>
      </c>
      <c r="D33" s="6" t="s">
        <v>118</v>
      </c>
      <c r="E33" s="14"/>
      <c r="F33" s="6" t="s">
        <v>119</v>
      </c>
      <c r="G33" s="6" t="s">
        <v>120</v>
      </c>
      <c r="H33" s="14"/>
      <c r="I33" s="6" t="s">
        <v>18</v>
      </c>
      <c r="J33" s="14"/>
      <c r="K33" s="8" t="s">
        <v>4917</v>
      </c>
    </row>
    <row r="34">
      <c r="A34" s="6">
        <v>32.0</v>
      </c>
      <c r="B34" s="6">
        <v>506.0</v>
      </c>
      <c r="C34" s="6" t="s">
        <v>121</v>
      </c>
      <c r="D34" s="6" t="s">
        <v>118</v>
      </c>
      <c r="E34" s="6"/>
      <c r="F34" s="6" t="s">
        <v>119</v>
      </c>
      <c r="G34" s="6" t="s">
        <v>123</v>
      </c>
      <c r="H34" s="14"/>
      <c r="I34" s="6" t="s">
        <v>18</v>
      </c>
      <c r="J34" s="6" t="s">
        <v>38</v>
      </c>
      <c r="K34" s="8" t="s">
        <v>4911</v>
      </c>
    </row>
    <row r="35">
      <c r="A35" s="6">
        <v>33.0</v>
      </c>
      <c r="B35" s="6">
        <v>560.0</v>
      </c>
      <c r="C35" s="6" t="s">
        <v>124</v>
      </c>
      <c r="D35" s="6" t="s">
        <v>118</v>
      </c>
      <c r="E35" s="14"/>
      <c r="F35" s="6" t="s">
        <v>119</v>
      </c>
      <c r="G35" s="6" t="s">
        <v>126</v>
      </c>
      <c r="H35" s="14"/>
      <c r="I35" s="6" t="s">
        <v>18</v>
      </c>
      <c r="J35" s="6" t="s">
        <v>38</v>
      </c>
      <c r="K35" s="8" t="s">
        <v>4911</v>
      </c>
    </row>
    <row r="36">
      <c r="A36" s="14"/>
      <c r="B36" s="14"/>
      <c r="C36" s="14"/>
      <c r="D36" s="14"/>
      <c r="E36" s="14"/>
      <c r="F36" s="14"/>
      <c r="G36" s="14"/>
      <c r="H36" s="14"/>
      <c r="I36" s="14"/>
      <c r="J36" s="14"/>
      <c r="K36" s="8"/>
    </row>
    <row r="37">
      <c r="A37" s="14"/>
      <c r="B37" s="14"/>
      <c r="C37" s="14"/>
      <c r="D37" s="14"/>
      <c r="E37" s="14"/>
      <c r="F37" s="14"/>
      <c r="G37" s="14"/>
      <c r="H37" s="14"/>
      <c r="I37" s="14"/>
      <c r="J37" s="14"/>
      <c r="K37" s="8"/>
    </row>
    <row r="38">
      <c r="A38" s="14"/>
      <c r="B38" s="14"/>
      <c r="C38" s="14"/>
      <c r="D38" s="14"/>
      <c r="E38" s="14"/>
      <c r="F38" s="14"/>
      <c r="G38" s="14"/>
      <c r="H38" s="14"/>
      <c r="I38" s="14"/>
      <c r="J38" s="14"/>
      <c r="K38" s="8"/>
      <c r="L38" s="21"/>
    </row>
    <row r="39">
      <c r="A39" s="14"/>
      <c r="B39" s="14"/>
      <c r="C39" s="14"/>
      <c r="D39" s="14"/>
      <c r="E39" s="14"/>
      <c r="F39" s="14"/>
      <c r="G39" s="14"/>
      <c r="H39" s="14"/>
      <c r="I39" s="14"/>
      <c r="J39" s="14"/>
      <c r="K39" s="8"/>
    </row>
    <row r="40">
      <c r="A40" s="14"/>
      <c r="B40" s="14"/>
      <c r="C40" s="14"/>
      <c r="D40" s="14"/>
      <c r="E40" s="14"/>
      <c r="F40" s="14"/>
      <c r="G40" s="14"/>
      <c r="H40" s="14"/>
      <c r="I40" s="14"/>
      <c r="J40" s="14"/>
      <c r="K40" s="8"/>
    </row>
    <row r="41">
      <c r="A41" s="14"/>
      <c r="B41" s="14"/>
      <c r="C41" s="14"/>
      <c r="D41" s="14"/>
      <c r="E41" s="14"/>
      <c r="F41" s="14"/>
      <c r="G41" s="14"/>
      <c r="H41" s="14"/>
      <c r="I41" s="14"/>
      <c r="J41" s="14"/>
      <c r="K41" s="8"/>
    </row>
    <row r="42">
      <c r="K42" s="8"/>
    </row>
    <row r="43">
      <c r="F43" s="6"/>
      <c r="K43" s="8"/>
    </row>
    <row r="44">
      <c r="K44" s="8"/>
    </row>
    <row r="45">
      <c r="K45" s="8"/>
    </row>
    <row r="46">
      <c r="K46" s="8"/>
    </row>
    <row r="47">
      <c r="K47" s="8"/>
    </row>
    <row r="48">
      <c r="K48" s="8"/>
    </row>
    <row r="49">
      <c r="K49" s="8"/>
    </row>
    <row r="50">
      <c r="K50" s="8"/>
    </row>
    <row r="51">
      <c r="K51" s="8"/>
    </row>
    <row r="52">
      <c r="K52" s="8"/>
    </row>
    <row r="53">
      <c r="K53" s="8"/>
    </row>
    <row r="54">
      <c r="K54" s="8"/>
    </row>
    <row r="55">
      <c r="K55" s="8"/>
    </row>
    <row r="56">
      <c r="K56" s="8"/>
    </row>
    <row r="57">
      <c r="K57" s="8"/>
    </row>
    <row r="58">
      <c r="K58" s="8"/>
    </row>
    <row r="59">
      <c r="K59" s="8"/>
    </row>
    <row r="60">
      <c r="K60" s="8"/>
    </row>
    <row r="61">
      <c r="K61" s="8"/>
    </row>
    <row r="62">
      <c r="K62" s="8"/>
    </row>
    <row r="63">
      <c r="K63" s="8"/>
    </row>
    <row r="64">
      <c r="K64" s="8"/>
    </row>
    <row r="65">
      <c r="K65" s="8"/>
    </row>
    <row r="66">
      <c r="K66" s="8"/>
    </row>
    <row r="67">
      <c r="K67" s="8"/>
    </row>
    <row r="68">
      <c r="K68" s="8"/>
    </row>
    <row r="69">
      <c r="K69" s="8"/>
    </row>
    <row r="70">
      <c r="K70" s="8"/>
    </row>
    <row r="71">
      <c r="C71" s="22"/>
      <c r="D71" s="22"/>
      <c r="E71" s="22"/>
      <c r="F71" s="22"/>
      <c r="G71" s="22"/>
      <c r="H71" s="22"/>
      <c r="I71" s="22"/>
      <c r="J71" s="22"/>
      <c r="K71" s="8"/>
    </row>
    <row r="72">
      <c r="C72" s="24" t="s">
        <v>127</v>
      </c>
      <c r="D72" s="24"/>
      <c r="E72" s="24"/>
      <c r="F72" s="26" t="s">
        <v>128</v>
      </c>
      <c r="G72" s="26" t="s">
        <v>129</v>
      </c>
      <c r="H72" s="26" t="s">
        <v>130</v>
      </c>
      <c r="I72" s="26" t="s">
        <v>131</v>
      </c>
      <c r="J72" s="26"/>
      <c r="K72" s="8"/>
    </row>
    <row r="73">
      <c r="C73" s="22"/>
      <c r="D73" s="22"/>
      <c r="E73" s="22"/>
      <c r="F73" s="24" t="s">
        <v>132</v>
      </c>
      <c r="G73" s="24" t="s">
        <v>133</v>
      </c>
      <c r="H73" s="24" t="s">
        <v>48</v>
      </c>
      <c r="I73" s="24" t="s">
        <v>17</v>
      </c>
      <c r="J73" s="24"/>
      <c r="K73" s="8"/>
    </row>
    <row r="74">
      <c r="C74" s="22"/>
      <c r="D74" s="22"/>
      <c r="E74" s="22"/>
      <c r="F74" s="22"/>
      <c r="G74" s="22"/>
      <c r="H74" s="22"/>
      <c r="I74" s="22"/>
      <c r="J74" s="22"/>
      <c r="K74" s="8"/>
    </row>
    <row r="75">
      <c r="C75" s="22"/>
      <c r="D75" s="22"/>
      <c r="E75" s="22"/>
      <c r="F75" s="22"/>
      <c r="G75" s="22"/>
      <c r="H75" s="22"/>
      <c r="I75" s="22"/>
      <c r="J75" s="22"/>
      <c r="K75" s="8"/>
    </row>
    <row r="76">
      <c r="C76" s="22"/>
      <c r="D76" s="22"/>
      <c r="E76" s="22"/>
      <c r="F76" s="24" t="s">
        <v>134</v>
      </c>
      <c r="G76" s="24" t="s">
        <v>135</v>
      </c>
      <c r="H76" s="24" t="s">
        <v>48</v>
      </c>
      <c r="I76" s="24" t="s">
        <v>26</v>
      </c>
      <c r="J76" s="24"/>
      <c r="K76" s="8"/>
    </row>
    <row r="77">
      <c r="C77" s="22"/>
      <c r="D77" s="22"/>
      <c r="E77" s="22"/>
      <c r="F77" s="22"/>
      <c r="G77" s="22"/>
      <c r="H77" s="22"/>
      <c r="I77" s="22"/>
      <c r="J77" s="22"/>
      <c r="K77" s="8"/>
    </row>
    <row r="78">
      <c r="C78" s="22"/>
      <c r="D78" s="22"/>
      <c r="E78" s="22"/>
      <c r="F78" s="22"/>
      <c r="G78" s="22"/>
      <c r="H78" s="22"/>
      <c r="I78" s="22"/>
      <c r="J78" s="22"/>
      <c r="K78" s="8"/>
    </row>
    <row r="79">
      <c r="C79" s="22"/>
      <c r="D79" s="22"/>
      <c r="E79" s="22"/>
      <c r="F79" s="24" t="s">
        <v>136</v>
      </c>
      <c r="G79" s="24" t="s">
        <v>133</v>
      </c>
      <c r="H79" s="24" t="s">
        <v>48</v>
      </c>
      <c r="I79" s="24" t="s">
        <v>26</v>
      </c>
      <c r="J79" s="24"/>
      <c r="K79" s="8"/>
    </row>
    <row r="80">
      <c r="C80" s="22"/>
      <c r="D80" s="22"/>
      <c r="E80" s="22"/>
      <c r="F80" s="22"/>
      <c r="G80" s="22"/>
      <c r="H80" s="22"/>
      <c r="I80" s="22"/>
      <c r="J80" s="22"/>
      <c r="K80" s="8"/>
    </row>
    <row r="81">
      <c r="C81" s="22"/>
      <c r="D81" s="22"/>
      <c r="E81" s="22"/>
      <c r="F81" s="22"/>
      <c r="G81" s="22"/>
      <c r="H81" s="22"/>
      <c r="I81" s="22"/>
      <c r="J81" s="22"/>
      <c r="K81" s="8"/>
    </row>
    <row r="82">
      <c r="C82" s="22"/>
      <c r="D82" s="22"/>
      <c r="E82" s="22"/>
      <c r="F82" s="24" t="s">
        <v>12</v>
      </c>
      <c r="G82" s="24" t="s">
        <v>133</v>
      </c>
      <c r="H82" s="24" t="s">
        <v>137</v>
      </c>
      <c r="I82" s="24" t="s">
        <v>16</v>
      </c>
      <c r="J82" s="24"/>
      <c r="K82" s="8"/>
    </row>
    <row r="83">
      <c r="C83" s="22"/>
      <c r="D83" s="22"/>
      <c r="E83" s="22"/>
      <c r="F83" s="22"/>
      <c r="G83" s="22"/>
      <c r="H83" s="22"/>
      <c r="I83" s="22"/>
      <c r="J83" s="22"/>
      <c r="K83" s="8"/>
    </row>
    <row r="84">
      <c r="C84" s="22"/>
      <c r="D84" s="22"/>
      <c r="E84" s="22"/>
      <c r="F84" s="22"/>
      <c r="G84" s="22"/>
      <c r="H84" s="22"/>
      <c r="I84" s="22"/>
      <c r="J84" s="22"/>
      <c r="K84" s="8"/>
    </row>
    <row r="85">
      <c r="C85" s="22"/>
      <c r="D85" s="22"/>
      <c r="E85" s="22"/>
      <c r="F85" s="22"/>
      <c r="G85" s="22"/>
      <c r="H85" s="22"/>
      <c r="I85" s="22"/>
      <c r="J85" s="22"/>
      <c r="K85" s="8"/>
    </row>
    <row r="86">
      <c r="C86" s="24" t="s">
        <v>76</v>
      </c>
      <c r="D86" s="24"/>
      <c r="E86" s="24"/>
      <c r="F86" s="26" t="s">
        <v>128</v>
      </c>
      <c r="G86" s="26" t="s">
        <v>129</v>
      </c>
      <c r="H86" s="26" t="s">
        <v>130</v>
      </c>
      <c r="I86" s="26" t="s">
        <v>131</v>
      </c>
      <c r="J86" s="26"/>
      <c r="K86" s="8"/>
    </row>
    <row r="87">
      <c r="C87" s="22"/>
      <c r="D87" s="22"/>
      <c r="E87" s="22"/>
      <c r="F87" s="24" t="s">
        <v>74</v>
      </c>
      <c r="G87" s="24" t="s">
        <v>78</v>
      </c>
      <c r="H87" s="24" t="s">
        <v>137</v>
      </c>
      <c r="I87" s="24" t="s">
        <v>79</v>
      </c>
      <c r="J87" s="24"/>
      <c r="K87" s="8"/>
    </row>
    <row r="88">
      <c r="C88" s="22"/>
      <c r="D88" s="22"/>
      <c r="E88" s="22"/>
      <c r="F88" s="22"/>
      <c r="G88" s="22"/>
      <c r="H88" s="22"/>
      <c r="I88" s="22"/>
      <c r="J88" s="22"/>
      <c r="K88" s="8"/>
    </row>
    <row r="89">
      <c r="C89" s="22"/>
      <c r="D89" s="22"/>
      <c r="E89" s="22"/>
      <c r="F89" s="22"/>
      <c r="G89" s="22"/>
      <c r="H89" s="22"/>
      <c r="I89" s="22"/>
      <c r="J89" s="22"/>
      <c r="K89" s="8"/>
    </row>
    <row r="90">
      <c r="C90" s="22"/>
      <c r="D90" s="22"/>
      <c r="E90" s="22"/>
      <c r="F90" s="24" t="s">
        <v>81</v>
      </c>
      <c r="G90" s="24" t="s">
        <v>78</v>
      </c>
      <c r="H90" s="24" t="s">
        <v>137</v>
      </c>
      <c r="I90" s="24" t="s">
        <v>79</v>
      </c>
      <c r="J90" s="24"/>
      <c r="K90" s="8"/>
    </row>
    <row r="91">
      <c r="C91" s="22"/>
      <c r="D91" s="22"/>
      <c r="E91" s="22"/>
      <c r="F91" s="22"/>
      <c r="G91" s="22"/>
      <c r="H91" s="22"/>
      <c r="I91" s="22"/>
      <c r="J91" s="22"/>
      <c r="K91" s="8"/>
    </row>
    <row r="92">
      <c r="C92" s="22"/>
      <c r="D92" s="22"/>
      <c r="E92" s="22"/>
      <c r="F92" s="22"/>
      <c r="G92" s="22"/>
      <c r="H92" s="22"/>
      <c r="I92" s="22"/>
      <c r="J92" s="22"/>
      <c r="K92" s="8"/>
    </row>
    <row r="93">
      <c r="C93" s="22"/>
      <c r="D93" s="22"/>
      <c r="E93" s="22"/>
      <c r="F93" s="24" t="s">
        <v>83</v>
      </c>
      <c r="G93" s="24" t="s">
        <v>78</v>
      </c>
      <c r="H93" s="24" t="s">
        <v>137</v>
      </c>
      <c r="I93" s="24" t="s">
        <v>85</v>
      </c>
      <c r="J93" s="24"/>
      <c r="K93" s="8"/>
    </row>
    <row r="94">
      <c r="C94" s="22"/>
      <c r="D94" s="22"/>
      <c r="E94" s="22"/>
      <c r="F94" s="22"/>
      <c r="G94" s="22"/>
      <c r="H94" s="22"/>
      <c r="I94" s="22"/>
      <c r="J94" s="22"/>
      <c r="K94" s="8"/>
    </row>
    <row r="95">
      <c r="C95" s="22"/>
      <c r="D95" s="22"/>
      <c r="E95" s="22"/>
      <c r="F95" s="22"/>
      <c r="G95" s="22"/>
      <c r="H95" s="22"/>
      <c r="I95" s="22"/>
      <c r="J95" s="22"/>
      <c r="K95" s="8"/>
    </row>
    <row r="96">
      <c r="C96" s="22"/>
      <c r="D96" s="22"/>
      <c r="E96" s="22"/>
      <c r="F96" s="24" t="s">
        <v>87</v>
      </c>
      <c r="G96" s="24" t="s">
        <v>78</v>
      </c>
      <c r="H96" s="24" t="s">
        <v>137</v>
      </c>
      <c r="I96" s="24" t="s">
        <v>79</v>
      </c>
      <c r="J96" s="24"/>
      <c r="K96" s="8"/>
    </row>
    <row r="97">
      <c r="C97" s="22"/>
      <c r="D97" s="22"/>
      <c r="E97" s="22"/>
      <c r="F97" s="22"/>
      <c r="G97" s="22"/>
      <c r="H97" s="22"/>
      <c r="I97" s="22"/>
      <c r="J97" s="22"/>
      <c r="K97" s="8"/>
    </row>
    <row r="98">
      <c r="C98" s="22"/>
      <c r="D98" s="22"/>
      <c r="E98" s="22"/>
      <c r="F98" s="22"/>
      <c r="G98" s="22"/>
      <c r="H98" s="22"/>
      <c r="I98" s="22"/>
      <c r="J98" s="22"/>
      <c r="K98" s="8"/>
    </row>
    <row r="99">
      <c r="C99" s="22"/>
      <c r="D99" s="22"/>
      <c r="E99" s="22"/>
      <c r="F99" s="24" t="s">
        <v>90</v>
      </c>
      <c r="G99" s="24" t="s">
        <v>78</v>
      </c>
      <c r="H99" s="24" t="s">
        <v>137</v>
      </c>
      <c r="I99" s="24" t="s">
        <v>79</v>
      </c>
      <c r="J99" s="24"/>
      <c r="K99" s="8"/>
    </row>
    <row r="100">
      <c r="C100" s="22"/>
      <c r="D100" s="22"/>
      <c r="E100" s="22"/>
      <c r="F100" s="22"/>
      <c r="G100" s="22"/>
      <c r="H100" s="22"/>
      <c r="I100" s="22"/>
      <c r="J100" s="22"/>
      <c r="K100" s="8"/>
    </row>
    <row r="101">
      <c r="C101" s="22"/>
      <c r="D101" s="22"/>
      <c r="E101" s="22"/>
      <c r="F101" s="22"/>
      <c r="G101" s="22"/>
      <c r="H101" s="22"/>
      <c r="I101" s="22"/>
      <c r="J101" s="22"/>
      <c r="K101" s="8"/>
    </row>
    <row r="102">
      <c r="C102" s="22"/>
      <c r="D102" s="22"/>
      <c r="E102" s="22"/>
      <c r="F102" s="22"/>
      <c r="G102" s="22"/>
      <c r="H102" s="22"/>
      <c r="I102" s="22"/>
      <c r="J102" s="22"/>
      <c r="K102" s="8"/>
    </row>
    <row r="103">
      <c r="C103" s="24" t="s">
        <v>43</v>
      </c>
      <c r="D103" s="24"/>
      <c r="E103" s="24"/>
      <c r="F103" s="26" t="s">
        <v>128</v>
      </c>
      <c r="G103" s="26" t="s">
        <v>129</v>
      </c>
      <c r="H103" s="26" t="s">
        <v>130</v>
      </c>
      <c r="I103" s="26" t="s">
        <v>131</v>
      </c>
      <c r="J103" s="26"/>
      <c r="K103" s="8"/>
    </row>
    <row r="104">
      <c r="C104" s="22"/>
      <c r="D104" s="22"/>
      <c r="E104" s="22"/>
      <c r="F104" s="24" t="s">
        <v>41</v>
      </c>
      <c r="G104" s="24" t="s">
        <v>43</v>
      </c>
      <c r="H104" s="24" t="s">
        <v>137</v>
      </c>
      <c r="I104" s="24" t="s">
        <v>44</v>
      </c>
      <c r="J104" s="24"/>
      <c r="K104" s="8"/>
    </row>
    <row r="105">
      <c r="C105" s="22"/>
      <c r="D105" s="22"/>
      <c r="E105" s="22"/>
      <c r="F105" s="22"/>
      <c r="G105" s="22"/>
      <c r="H105" s="22"/>
      <c r="I105" s="22"/>
      <c r="J105" s="22"/>
      <c r="K105" s="8"/>
    </row>
    <row r="106">
      <c r="C106" s="22"/>
      <c r="D106" s="22"/>
      <c r="E106" s="22"/>
      <c r="F106" s="22"/>
      <c r="G106" s="22"/>
      <c r="H106" s="22"/>
      <c r="I106" s="22"/>
      <c r="J106" s="22"/>
      <c r="K106" s="8"/>
    </row>
    <row r="107">
      <c r="C107" s="22"/>
      <c r="D107" s="22"/>
      <c r="E107" s="22"/>
      <c r="F107" s="22"/>
      <c r="G107" s="22"/>
      <c r="H107" s="22"/>
      <c r="I107" s="22"/>
      <c r="J107" s="22"/>
      <c r="K107" s="8"/>
    </row>
    <row r="108">
      <c r="C108" s="24" t="s">
        <v>64</v>
      </c>
      <c r="D108" s="24"/>
      <c r="E108" s="24"/>
      <c r="F108" s="26" t="s">
        <v>128</v>
      </c>
      <c r="G108" s="26" t="s">
        <v>129</v>
      </c>
      <c r="H108" s="26" t="s">
        <v>130</v>
      </c>
      <c r="I108" s="26" t="s">
        <v>131</v>
      </c>
      <c r="J108" s="26"/>
      <c r="K108" s="8"/>
    </row>
    <row r="109">
      <c r="C109" s="22"/>
      <c r="D109" s="22"/>
      <c r="E109" s="22"/>
      <c r="F109" s="24" t="s">
        <v>62</v>
      </c>
      <c r="G109" s="24" t="s">
        <v>64</v>
      </c>
      <c r="H109" s="24" t="s">
        <v>137</v>
      </c>
      <c r="I109" s="28" t="s">
        <v>65</v>
      </c>
      <c r="J109" s="28"/>
      <c r="K109" s="8"/>
    </row>
    <row r="110">
      <c r="C110" s="22"/>
      <c r="D110" s="22"/>
      <c r="E110" s="22"/>
      <c r="F110" s="22"/>
      <c r="G110" s="22"/>
      <c r="H110" s="22"/>
      <c r="I110" s="22"/>
      <c r="J110" s="22"/>
      <c r="K110" s="8"/>
    </row>
    <row r="111">
      <c r="C111" s="22"/>
      <c r="D111" s="22"/>
      <c r="E111" s="22"/>
      <c r="F111" s="22"/>
      <c r="G111" s="22"/>
      <c r="H111" s="22"/>
      <c r="I111" s="22"/>
      <c r="J111" s="22"/>
      <c r="K111" s="8"/>
    </row>
    <row r="112">
      <c r="C112" s="22"/>
      <c r="D112" s="22"/>
      <c r="E112" s="22"/>
      <c r="F112" s="24" t="s">
        <v>67</v>
      </c>
      <c r="G112" s="24" t="s">
        <v>64</v>
      </c>
      <c r="H112" s="24" t="s">
        <v>48</v>
      </c>
      <c r="I112" s="28" t="s">
        <v>69</v>
      </c>
      <c r="J112" s="28"/>
      <c r="K112" s="8"/>
    </row>
    <row r="113">
      <c r="C113" s="22"/>
      <c r="D113" s="22"/>
      <c r="E113" s="22"/>
      <c r="F113" s="22"/>
      <c r="G113" s="22"/>
      <c r="H113" s="22"/>
      <c r="I113" s="22"/>
      <c r="J113" s="22"/>
      <c r="K113" s="8"/>
    </row>
    <row r="114">
      <c r="K114" s="8"/>
    </row>
    <row r="115">
      <c r="K115" s="8"/>
    </row>
    <row r="116">
      <c r="K116" s="8"/>
    </row>
    <row r="117">
      <c r="K117" s="8"/>
    </row>
    <row r="118">
      <c r="K118" s="8"/>
    </row>
    <row r="119">
      <c r="K119" s="8"/>
    </row>
    <row r="120">
      <c r="K120" s="8"/>
    </row>
    <row r="121">
      <c r="K121" s="8"/>
    </row>
    <row r="122">
      <c r="K122" s="8"/>
    </row>
    <row r="123">
      <c r="K123" s="8"/>
    </row>
    <row r="124">
      <c r="K124" s="8"/>
    </row>
    <row r="125">
      <c r="K125" s="8"/>
    </row>
    <row r="126">
      <c r="K126" s="8"/>
    </row>
    <row r="127">
      <c r="K127" s="8"/>
    </row>
    <row r="128">
      <c r="K128" s="8"/>
    </row>
    <row r="129">
      <c r="K129" s="8"/>
    </row>
    <row r="130">
      <c r="K130" s="8"/>
    </row>
    <row r="131">
      <c r="K131" s="8"/>
    </row>
    <row r="132">
      <c r="K132" s="8"/>
    </row>
    <row r="133">
      <c r="K133" s="8"/>
    </row>
    <row r="134">
      <c r="K134" s="8"/>
    </row>
    <row r="135">
      <c r="K135" s="8"/>
    </row>
    <row r="136">
      <c r="K136" s="8"/>
    </row>
    <row r="137">
      <c r="K137" s="8"/>
    </row>
    <row r="138">
      <c r="K138" s="8"/>
    </row>
    <row r="139">
      <c r="K139" s="8"/>
    </row>
    <row r="140">
      <c r="K140" s="8"/>
    </row>
    <row r="141">
      <c r="K141" s="8"/>
    </row>
    <row r="142">
      <c r="K142" s="8"/>
    </row>
    <row r="143">
      <c r="K143" s="8"/>
    </row>
    <row r="144">
      <c r="K144" s="8"/>
    </row>
    <row r="145">
      <c r="K145" s="8"/>
    </row>
    <row r="146">
      <c r="K146" s="8"/>
    </row>
    <row r="147">
      <c r="K147" s="8"/>
    </row>
    <row r="148">
      <c r="K148" s="8"/>
    </row>
    <row r="149">
      <c r="K149" s="8"/>
    </row>
    <row r="150">
      <c r="K150" s="8"/>
    </row>
    <row r="151">
      <c r="K151" s="8"/>
    </row>
    <row r="152">
      <c r="K152" s="8"/>
    </row>
    <row r="153">
      <c r="K153" s="8"/>
    </row>
    <row r="154">
      <c r="K154" s="8"/>
    </row>
    <row r="155">
      <c r="K155" s="8"/>
    </row>
    <row r="156">
      <c r="K156" s="8"/>
    </row>
    <row r="157">
      <c r="K157" s="8"/>
    </row>
    <row r="158">
      <c r="K158" s="8"/>
    </row>
    <row r="159">
      <c r="K159" s="8"/>
    </row>
    <row r="160">
      <c r="K160" s="8"/>
    </row>
    <row r="161">
      <c r="K161" s="8"/>
    </row>
    <row r="162">
      <c r="K162" s="8"/>
    </row>
    <row r="163">
      <c r="K163" s="8"/>
    </row>
    <row r="164">
      <c r="K164" s="8"/>
    </row>
    <row r="165">
      <c r="K165" s="8"/>
    </row>
    <row r="166">
      <c r="K166" s="8"/>
    </row>
    <row r="167">
      <c r="K167" s="8"/>
    </row>
    <row r="168">
      <c r="K168" s="8"/>
    </row>
    <row r="169">
      <c r="K169" s="8"/>
    </row>
    <row r="170">
      <c r="K170" s="8"/>
    </row>
    <row r="171">
      <c r="K171" s="8"/>
    </row>
    <row r="172">
      <c r="K172" s="8"/>
    </row>
    <row r="173">
      <c r="K173" s="8"/>
    </row>
    <row r="174">
      <c r="K174" s="8"/>
    </row>
    <row r="175">
      <c r="K175" s="8"/>
    </row>
    <row r="176">
      <c r="K176" s="8"/>
    </row>
    <row r="177">
      <c r="K177" s="8"/>
    </row>
    <row r="178">
      <c r="K178" s="8"/>
    </row>
    <row r="179">
      <c r="K179" s="8"/>
    </row>
    <row r="180">
      <c r="K180" s="8"/>
    </row>
    <row r="181">
      <c r="K181" s="8"/>
    </row>
    <row r="182">
      <c r="K182" s="8"/>
    </row>
    <row r="183">
      <c r="K183" s="8"/>
    </row>
    <row r="184">
      <c r="K184" s="8"/>
    </row>
    <row r="185">
      <c r="K185" s="8"/>
    </row>
    <row r="186">
      <c r="K186" s="8"/>
    </row>
    <row r="187">
      <c r="K187" s="8"/>
    </row>
    <row r="188">
      <c r="K188" s="8"/>
    </row>
    <row r="189">
      <c r="K189" s="8"/>
    </row>
    <row r="190">
      <c r="K190" s="8"/>
    </row>
    <row r="191">
      <c r="K191" s="8"/>
    </row>
    <row r="192">
      <c r="K192" s="8"/>
    </row>
    <row r="193">
      <c r="K193" s="8"/>
    </row>
    <row r="194">
      <c r="K194" s="8"/>
    </row>
    <row r="195">
      <c r="K195" s="8"/>
    </row>
    <row r="196">
      <c r="K196" s="8"/>
    </row>
    <row r="197">
      <c r="K197" s="8"/>
    </row>
    <row r="198">
      <c r="K198" s="8"/>
    </row>
    <row r="199">
      <c r="K199" s="8"/>
    </row>
    <row r="200">
      <c r="K200" s="8"/>
    </row>
    <row r="201">
      <c r="K201" s="8"/>
    </row>
    <row r="202">
      <c r="K202" s="8"/>
    </row>
    <row r="203">
      <c r="K203" s="8"/>
    </row>
    <row r="204">
      <c r="K204" s="8"/>
    </row>
    <row r="205">
      <c r="K205" s="8"/>
    </row>
    <row r="206">
      <c r="K206" s="8"/>
    </row>
    <row r="207">
      <c r="K207" s="8"/>
    </row>
    <row r="208">
      <c r="K208" s="8"/>
    </row>
    <row r="209">
      <c r="K209" s="8"/>
    </row>
    <row r="210">
      <c r="K210" s="8"/>
    </row>
    <row r="211">
      <c r="K211" s="8"/>
    </row>
    <row r="212">
      <c r="K212" s="8"/>
    </row>
    <row r="213">
      <c r="K213" s="8"/>
    </row>
    <row r="214">
      <c r="K214" s="8"/>
    </row>
    <row r="215">
      <c r="K215" s="8"/>
    </row>
    <row r="216">
      <c r="K216" s="8"/>
    </row>
    <row r="217">
      <c r="K217" s="8"/>
    </row>
    <row r="218">
      <c r="K218" s="8"/>
    </row>
    <row r="219">
      <c r="K219" s="8"/>
    </row>
    <row r="220">
      <c r="K220" s="8"/>
    </row>
    <row r="221">
      <c r="K221" s="8"/>
    </row>
    <row r="222">
      <c r="K222" s="8"/>
    </row>
    <row r="223">
      <c r="K223" s="8"/>
    </row>
    <row r="224">
      <c r="K224" s="8"/>
    </row>
    <row r="225">
      <c r="K225" s="8"/>
    </row>
    <row r="226">
      <c r="K226" s="8"/>
    </row>
    <row r="227">
      <c r="K227" s="8"/>
    </row>
    <row r="228">
      <c r="K228" s="8"/>
    </row>
    <row r="229">
      <c r="K229" s="8"/>
    </row>
    <row r="230">
      <c r="K230" s="8"/>
    </row>
    <row r="231">
      <c r="K231" s="8"/>
    </row>
    <row r="232">
      <c r="K232" s="8"/>
    </row>
    <row r="233">
      <c r="K233" s="8"/>
    </row>
    <row r="234">
      <c r="K234" s="8"/>
    </row>
    <row r="235">
      <c r="K235" s="8"/>
    </row>
    <row r="236">
      <c r="K236" s="8"/>
    </row>
    <row r="237">
      <c r="K237" s="8"/>
    </row>
    <row r="238">
      <c r="K238" s="8"/>
    </row>
    <row r="239">
      <c r="K239" s="8"/>
    </row>
    <row r="240">
      <c r="K240" s="8"/>
    </row>
    <row r="241">
      <c r="K241" s="8"/>
    </row>
    <row r="242">
      <c r="K242" s="8"/>
    </row>
    <row r="243">
      <c r="K243" s="8"/>
    </row>
    <row r="244">
      <c r="K244" s="8"/>
    </row>
    <row r="245">
      <c r="K245" s="8"/>
    </row>
    <row r="246">
      <c r="K246" s="8"/>
    </row>
    <row r="247">
      <c r="K247" s="8"/>
    </row>
    <row r="248">
      <c r="K248" s="8"/>
    </row>
    <row r="249">
      <c r="K249" s="8"/>
    </row>
    <row r="250">
      <c r="K250" s="8"/>
    </row>
    <row r="251">
      <c r="K251" s="8"/>
    </row>
    <row r="252">
      <c r="K252" s="8"/>
    </row>
    <row r="253">
      <c r="K253" s="8"/>
    </row>
    <row r="254">
      <c r="K254" s="8"/>
    </row>
    <row r="255">
      <c r="K255" s="8"/>
    </row>
    <row r="256">
      <c r="K256" s="8"/>
    </row>
    <row r="257">
      <c r="K257" s="8"/>
    </row>
    <row r="258">
      <c r="K258" s="8"/>
    </row>
    <row r="259">
      <c r="K259" s="8"/>
    </row>
    <row r="260">
      <c r="K260" s="8"/>
    </row>
    <row r="261">
      <c r="K261" s="8"/>
    </row>
    <row r="262">
      <c r="K262" s="8"/>
    </row>
    <row r="263">
      <c r="K263" s="8"/>
    </row>
    <row r="264">
      <c r="K264" s="8"/>
    </row>
    <row r="265">
      <c r="K265" s="8"/>
    </row>
    <row r="266">
      <c r="K266" s="8"/>
    </row>
    <row r="267">
      <c r="K267" s="8"/>
    </row>
    <row r="268">
      <c r="K268" s="8"/>
    </row>
    <row r="269">
      <c r="K269" s="8"/>
    </row>
    <row r="270">
      <c r="K270" s="8"/>
    </row>
    <row r="271">
      <c r="K271" s="8"/>
    </row>
    <row r="272">
      <c r="K272" s="8"/>
    </row>
    <row r="273">
      <c r="K273" s="8"/>
    </row>
    <row r="274">
      <c r="K274" s="8"/>
    </row>
    <row r="275">
      <c r="K275" s="8"/>
    </row>
    <row r="276">
      <c r="K276" s="8"/>
    </row>
    <row r="277">
      <c r="K277" s="8"/>
    </row>
    <row r="278">
      <c r="K278" s="8"/>
    </row>
    <row r="279">
      <c r="K279" s="8"/>
    </row>
    <row r="280">
      <c r="K280" s="8"/>
    </row>
    <row r="281">
      <c r="K281" s="8"/>
    </row>
    <row r="282">
      <c r="K282" s="8"/>
    </row>
    <row r="283">
      <c r="K283" s="8"/>
    </row>
    <row r="284">
      <c r="K284" s="8"/>
    </row>
    <row r="285">
      <c r="K285" s="8"/>
    </row>
    <row r="286">
      <c r="K286" s="8"/>
    </row>
    <row r="287">
      <c r="K287" s="8"/>
    </row>
    <row r="288">
      <c r="K288" s="8"/>
    </row>
    <row r="289">
      <c r="K289" s="8"/>
    </row>
    <row r="290">
      <c r="K290" s="8"/>
    </row>
    <row r="291">
      <c r="K291" s="8"/>
    </row>
    <row r="292">
      <c r="K292" s="8"/>
    </row>
    <row r="293">
      <c r="K293" s="8"/>
    </row>
    <row r="294">
      <c r="K294" s="8"/>
    </row>
    <row r="295">
      <c r="K295" s="8"/>
    </row>
    <row r="296">
      <c r="K296" s="8"/>
    </row>
    <row r="297">
      <c r="K297" s="8"/>
    </row>
    <row r="298">
      <c r="K298" s="8"/>
    </row>
    <row r="299">
      <c r="K299" s="8"/>
    </row>
    <row r="300">
      <c r="K300" s="8"/>
    </row>
    <row r="301">
      <c r="K301" s="8"/>
    </row>
    <row r="302">
      <c r="K302" s="8"/>
    </row>
    <row r="303">
      <c r="K303" s="8"/>
    </row>
    <row r="304">
      <c r="K304" s="8"/>
    </row>
    <row r="305">
      <c r="K305" s="8"/>
    </row>
    <row r="306">
      <c r="K306" s="8"/>
    </row>
    <row r="307">
      <c r="K307" s="8"/>
    </row>
    <row r="308">
      <c r="K308" s="8"/>
    </row>
    <row r="309">
      <c r="K309" s="8"/>
    </row>
    <row r="310">
      <c r="K310" s="8"/>
    </row>
    <row r="311">
      <c r="K311" s="8"/>
    </row>
    <row r="312">
      <c r="K312" s="8"/>
    </row>
    <row r="313">
      <c r="K313" s="8"/>
    </row>
    <row r="314">
      <c r="K314" s="8"/>
    </row>
    <row r="315">
      <c r="K315" s="8"/>
    </row>
    <row r="316">
      <c r="K316" s="8"/>
    </row>
    <row r="317">
      <c r="K317" s="8"/>
    </row>
    <row r="318">
      <c r="K318" s="8"/>
    </row>
    <row r="319">
      <c r="K319" s="8"/>
    </row>
    <row r="320">
      <c r="K320" s="8"/>
    </row>
    <row r="321">
      <c r="K321" s="8"/>
    </row>
    <row r="322">
      <c r="K322" s="8"/>
    </row>
    <row r="323">
      <c r="K323" s="8"/>
    </row>
    <row r="324">
      <c r="K324" s="8"/>
    </row>
    <row r="325">
      <c r="K325" s="8"/>
    </row>
    <row r="326">
      <c r="K326" s="8"/>
    </row>
    <row r="327">
      <c r="K327" s="8"/>
    </row>
    <row r="328">
      <c r="K328" s="8"/>
    </row>
    <row r="329">
      <c r="K329" s="8"/>
    </row>
    <row r="330">
      <c r="K330" s="8"/>
    </row>
    <row r="331">
      <c r="K331" s="8"/>
    </row>
    <row r="332">
      <c r="K332" s="8"/>
    </row>
    <row r="333">
      <c r="K333" s="8"/>
    </row>
    <row r="334">
      <c r="K334" s="8"/>
    </row>
    <row r="335">
      <c r="K335" s="8"/>
    </row>
    <row r="336">
      <c r="K336" s="8"/>
    </row>
    <row r="337">
      <c r="K337" s="8"/>
    </row>
    <row r="338">
      <c r="K338" s="8"/>
    </row>
    <row r="339">
      <c r="K339" s="8"/>
    </row>
    <row r="340">
      <c r="K340" s="8"/>
    </row>
    <row r="341">
      <c r="K341" s="8"/>
    </row>
    <row r="342">
      <c r="K342" s="8"/>
    </row>
    <row r="343">
      <c r="K343" s="8"/>
    </row>
    <row r="344">
      <c r="K344" s="8"/>
    </row>
    <row r="345">
      <c r="K345" s="8"/>
    </row>
    <row r="346">
      <c r="K346" s="8"/>
    </row>
    <row r="347">
      <c r="K347" s="8"/>
    </row>
    <row r="348">
      <c r="K348" s="8"/>
    </row>
    <row r="349">
      <c r="K349" s="8"/>
    </row>
    <row r="350">
      <c r="K350" s="8"/>
    </row>
    <row r="351">
      <c r="K351" s="8"/>
    </row>
    <row r="352">
      <c r="K352" s="8"/>
    </row>
    <row r="353">
      <c r="K353" s="8"/>
    </row>
    <row r="354">
      <c r="K354" s="8"/>
    </row>
    <row r="355">
      <c r="K355" s="8"/>
    </row>
    <row r="356">
      <c r="K356" s="8"/>
    </row>
    <row r="357">
      <c r="K357" s="8"/>
    </row>
    <row r="358">
      <c r="K358" s="8"/>
    </row>
    <row r="359">
      <c r="K359" s="8"/>
    </row>
    <row r="360">
      <c r="K360" s="8"/>
    </row>
    <row r="361">
      <c r="K361" s="8"/>
    </row>
    <row r="362">
      <c r="K362" s="8"/>
    </row>
    <row r="363">
      <c r="K363" s="8"/>
    </row>
    <row r="364">
      <c r="K364" s="8"/>
    </row>
    <row r="365">
      <c r="K365" s="8"/>
    </row>
    <row r="366">
      <c r="K366" s="8"/>
    </row>
    <row r="367">
      <c r="K367" s="8"/>
    </row>
    <row r="368">
      <c r="K368" s="8"/>
    </row>
    <row r="369">
      <c r="K369" s="8"/>
    </row>
    <row r="370">
      <c r="K370" s="8"/>
    </row>
    <row r="371">
      <c r="K371" s="8"/>
    </row>
    <row r="372">
      <c r="K372" s="8"/>
    </row>
    <row r="373">
      <c r="K373" s="8"/>
    </row>
    <row r="374">
      <c r="K374" s="8"/>
    </row>
    <row r="375">
      <c r="K375" s="8"/>
    </row>
    <row r="376">
      <c r="K376" s="8"/>
    </row>
    <row r="377">
      <c r="K377" s="8"/>
    </row>
    <row r="378">
      <c r="K378" s="8"/>
    </row>
    <row r="379">
      <c r="K379" s="8"/>
    </row>
    <row r="380">
      <c r="K380" s="8"/>
    </row>
    <row r="381">
      <c r="K381" s="8"/>
    </row>
    <row r="382">
      <c r="K382" s="8"/>
    </row>
    <row r="383">
      <c r="K383" s="8"/>
    </row>
    <row r="384">
      <c r="K384" s="8"/>
    </row>
    <row r="385">
      <c r="K385" s="8"/>
    </row>
    <row r="386">
      <c r="K386" s="8"/>
    </row>
    <row r="387">
      <c r="K387" s="8"/>
    </row>
    <row r="388">
      <c r="K388" s="8"/>
    </row>
    <row r="389">
      <c r="K389" s="8"/>
    </row>
    <row r="390">
      <c r="K390" s="8"/>
    </row>
    <row r="391">
      <c r="K391" s="8"/>
    </row>
    <row r="392">
      <c r="K392" s="8"/>
    </row>
    <row r="393">
      <c r="K393" s="8"/>
    </row>
    <row r="394">
      <c r="K394" s="8"/>
    </row>
    <row r="395">
      <c r="K395" s="8"/>
    </row>
    <row r="396">
      <c r="K396" s="8"/>
    </row>
    <row r="397">
      <c r="K397" s="8"/>
    </row>
    <row r="398">
      <c r="K398" s="8"/>
    </row>
    <row r="399">
      <c r="K399" s="8"/>
    </row>
    <row r="400">
      <c r="K400" s="8"/>
    </row>
    <row r="401">
      <c r="K401" s="8"/>
    </row>
    <row r="402">
      <c r="K402" s="8"/>
    </row>
    <row r="403">
      <c r="K403" s="8"/>
    </row>
    <row r="404">
      <c r="K404" s="8"/>
    </row>
    <row r="405">
      <c r="K405" s="8"/>
    </row>
    <row r="406">
      <c r="K406" s="8"/>
    </row>
    <row r="407">
      <c r="K407" s="8"/>
    </row>
    <row r="408">
      <c r="K408" s="8"/>
    </row>
    <row r="409">
      <c r="K409" s="8"/>
    </row>
    <row r="410">
      <c r="K410" s="8"/>
    </row>
    <row r="411">
      <c r="K411" s="8"/>
    </row>
    <row r="412">
      <c r="K412" s="8"/>
    </row>
    <row r="413">
      <c r="K413" s="8"/>
    </row>
    <row r="414">
      <c r="K414" s="8"/>
    </row>
    <row r="415">
      <c r="K415" s="8"/>
    </row>
    <row r="416">
      <c r="K416" s="8"/>
    </row>
    <row r="417">
      <c r="K417" s="8"/>
    </row>
    <row r="418">
      <c r="K418" s="8"/>
    </row>
    <row r="419">
      <c r="K419" s="8"/>
    </row>
    <row r="420">
      <c r="K420" s="8"/>
    </row>
    <row r="421">
      <c r="K421" s="8"/>
    </row>
    <row r="422">
      <c r="K422" s="8"/>
    </row>
    <row r="423">
      <c r="K423" s="8"/>
    </row>
    <row r="424">
      <c r="K424" s="8"/>
    </row>
    <row r="425">
      <c r="K425" s="8"/>
    </row>
    <row r="426">
      <c r="K426" s="8"/>
    </row>
    <row r="427">
      <c r="K427" s="8"/>
    </row>
    <row r="428">
      <c r="K428" s="8"/>
    </row>
    <row r="429">
      <c r="K429" s="8"/>
    </row>
    <row r="430">
      <c r="K430" s="8"/>
    </row>
    <row r="431">
      <c r="K431" s="8"/>
    </row>
    <row r="432">
      <c r="K432" s="8"/>
    </row>
    <row r="433">
      <c r="K433" s="8"/>
    </row>
    <row r="434">
      <c r="K434" s="8"/>
    </row>
    <row r="435">
      <c r="K435" s="8"/>
    </row>
    <row r="436">
      <c r="K436" s="8"/>
    </row>
    <row r="437">
      <c r="K437" s="8"/>
    </row>
    <row r="438">
      <c r="K438" s="8"/>
    </row>
    <row r="439">
      <c r="K439" s="8"/>
    </row>
    <row r="440">
      <c r="K440" s="8"/>
    </row>
    <row r="441">
      <c r="K441" s="8"/>
    </row>
    <row r="442">
      <c r="K442" s="8"/>
    </row>
    <row r="443">
      <c r="K443" s="8"/>
    </row>
    <row r="444">
      <c r="K444" s="8"/>
    </row>
    <row r="445">
      <c r="K445" s="8"/>
    </row>
    <row r="446">
      <c r="K446" s="8"/>
    </row>
    <row r="447">
      <c r="K447" s="8"/>
    </row>
    <row r="448">
      <c r="K448" s="8"/>
    </row>
    <row r="449">
      <c r="K449" s="8"/>
    </row>
    <row r="450">
      <c r="K450" s="8"/>
    </row>
    <row r="451">
      <c r="K451" s="8"/>
    </row>
    <row r="452">
      <c r="K452" s="8"/>
    </row>
    <row r="453">
      <c r="K453" s="8"/>
    </row>
    <row r="454">
      <c r="K454" s="8"/>
    </row>
    <row r="455">
      <c r="K455" s="8"/>
    </row>
    <row r="456">
      <c r="K456" s="8"/>
    </row>
    <row r="457">
      <c r="K457" s="8"/>
    </row>
    <row r="458">
      <c r="K458" s="8"/>
    </row>
    <row r="459">
      <c r="K459" s="8"/>
    </row>
    <row r="460">
      <c r="K460" s="8"/>
    </row>
    <row r="461">
      <c r="K461" s="8"/>
    </row>
    <row r="462">
      <c r="K462" s="8"/>
    </row>
    <row r="463">
      <c r="K463" s="8"/>
    </row>
    <row r="464">
      <c r="K464" s="8"/>
    </row>
    <row r="465">
      <c r="K465" s="8"/>
    </row>
    <row r="466">
      <c r="K466" s="8"/>
    </row>
    <row r="467">
      <c r="K467" s="8"/>
    </row>
    <row r="468">
      <c r="K468" s="8"/>
    </row>
    <row r="469">
      <c r="K469" s="8"/>
    </row>
    <row r="470">
      <c r="K470" s="8"/>
    </row>
    <row r="471">
      <c r="K471" s="8"/>
    </row>
    <row r="472">
      <c r="K472" s="8"/>
    </row>
    <row r="473">
      <c r="K473" s="8"/>
    </row>
    <row r="474">
      <c r="K474" s="8"/>
    </row>
    <row r="475">
      <c r="K475" s="8"/>
    </row>
    <row r="476">
      <c r="K476" s="8"/>
    </row>
    <row r="477">
      <c r="K477" s="8"/>
    </row>
    <row r="478">
      <c r="K478" s="8"/>
    </row>
    <row r="479">
      <c r="K479" s="8"/>
    </row>
    <row r="480">
      <c r="K480" s="8"/>
    </row>
    <row r="481">
      <c r="K481" s="8"/>
    </row>
    <row r="482">
      <c r="K482" s="8"/>
    </row>
    <row r="483">
      <c r="K483" s="8"/>
    </row>
    <row r="484">
      <c r="K484" s="8"/>
    </row>
    <row r="485">
      <c r="K485" s="8"/>
    </row>
    <row r="486">
      <c r="K486" s="8"/>
    </row>
    <row r="487">
      <c r="K487" s="8"/>
    </row>
    <row r="488">
      <c r="K488" s="8"/>
    </row>
    <row r="489">
      <c r="K489" s="8"/>
    </row>
    <row r="490">
      <c r="K490" s="8"/>
    </row>
    <row r="491">
      <c r="K491" s="8"/>
    </row>
    <row r="492">
      <c r="K492" s="8"/>
    </row>
    <row r="493">
      <c r="K493" s="8"/>
    </row>
    <row r="494">
      <c r="K494" s="8"/>
    </row>
    <row r="495">
      <c r="K495" s="8"/>
    </row>
    <row r="496">
      <c r="K496" s="8"/>
    </row>
    <row r="497">
      <c r="K497" s="8"/>
    </row>
    <row r="498">
      <c r="K498" s="8"/>
    </row>
    <row r="499">
      <c r="K499" s="8"/>
    </row>
    <row r="500">
      <c r="K500" s="8"/>
    </row>
    <row r="501">
      <c r="K501" s="8"/>
    </row>
    <row r="502">
      <c r="K502" s="8"/>
    </row>
    <row r="503">
      <c r="K503" s="8"/>
    </row>
    <row r="504">
      <c r="K504" s="8"/>
    </row>
    <row r="505">
      <c r="K505" s="8"/>
    </row>
    <row r="506">
      <c r="K506" s="8"/>
    </row>
    <row r="507">
      <c r="K507" s="8"/>
    </row>
    <row r="508">
      <c r="K508" s="8"/>
    </row>
    <row r="509">
      <c r="K509" s="8"/>
    </row>
    <row r="510">
      <c r="K510" s="8"/>
    </row>
    <row r="511">
      <c r="K511" s="8"/>
    </row>
    <row r="512">
      <c r="K512" s="8"/>
    </row>
    <row r="513">
      <c r="K513" s="8"/>
    </row>
    <row r="514">
      <c r="K514" s="8"/>
    </row>
    <row r="515">
      <c r="K515" s="8"/>
    </row>
    <row r="516">
      <c r="K516" s="8"/>
    </row>
    <row r="517">
      <c r="K517" s="8"/>
    </row>
    <row r="518">
      <c r="K518" s="8"/>
    </row>
    <row r="519">
      <c r="K519" s="8"/>
    </row>
    <row r="520">
      <c r="K520" s="8"/>
    </row>
    <row r="521">
      <c r="K521" s="8"/>
    </row>
    <row r="522">
      <c r="K522" s="8"/>
    </row>
    <row r="523">
      <c r="K523" s="8"/>
    </row>
    <row r="524">
      <c r="K524" s="8"/>
    </row>
    <row r="525">
      <c r="K525" s="8"/>
    </row>
    <row r="526">
      <c r="K526" s="8"/>
    </row>
    <row r="527">
      <c r="K527" s="8"/>
    </row>
    <row r="528">
      <c r="K528" s="8"/>
    </row>
    <row r="529">
      <c r="K529" s="8"/>
    </row>
    <row r="530">
      <c r="K530" s="8"/>
    </row>
    <row r="531">
      <c r="K531" s="8"/>
    </row>
    <row r="532">
      <c r="K532" s="8"/>
    </row>
    <row r="533">
      <c r="K533" s="8"/>
    </row>
    <row r="534">
      <c r="K534" s="8"/>
    </row>
    <row r="535">
      <c r="K535" s="8"/>
    </row>
    <row r="536">
      <c r="K536" s="8"/>
    </row>
    <row r="537">
      <c r="K537" s="8"/>
    </row>
    <row r="538">
      <c r="K538" s="8"/>
    </row>
    <row r="539">
      <c r="K539" s="8"/>
    </row>
    <row r="540">
      <c r="K540" s="8"/>
    </row>
    <row r="541">
      <c r="K541" s="8"/>
    </row>
    <row r="542">
      <c r="K542" s="8"/>
    </row>
    <row r="543">
      <c r="K543" s="8"/>
    </row>
    <row r="544">
      <c r="K544" s="8"/>
    </row>
    <row r="545">
      <c r="K545" s="8"/>
    </row>
    <row r="546">
      <c r="K546" s="8"/>
    </row>
    <row r="547">
      <c r="K547" s="8"/>
    </row>
    <row r="548">
      <c r="K548" s="8"/>
    </row>
    <row r="549">
      <c r="K549" s="8"/>
    </row>
    <row r="550">
      <c r="K550" s="8"/>
    </row>
    <row r="551">
      <c r="K551" s="8"/>
    </row>
    <row r="552">
      <c r="K552" s="8"/>
    </row>
    <row r="553">
      <c r="K553" s="8"/>
    </row>
    <row r="554">
      <c r="K554" s="8"/>
    </row>
    <row r="555">
      <c r="K555" s="8"/>
    </row>
    <row r="556">
      <c r="K556" s="8"/>
    </row>
    <row r="557">
      <c r="K557" s="8"/>
    </row>
    <row r="558">
      <c r="K558" s="8"/>
    </row>
    <row r="559">
      <c r="K559" s="8"/>
    </row>
    <row r="560">
      <c r="K560" s="8"/>
    </row>
    <row r="561">
      <c r="K561" s="8"/>
    </row>
    <row r="562">
      <c r="K562" s="8"/>
    </row>
    <row r="563">
      <c r="K563" s="8"/>
    </row>
    <row r="564">
      <c r="K564" s="8"/>
    </row>
    <row r="565">
      <c r="K565" s="8"/>
    </row>
    <row r="566">
      <c r="K566" s="8"/>
    </row>
    <row r="567">
      <c r="K567" s="8"/>
    </row>
    <row r="568">
      <c r="K568" s="8"/>
    </row>
    <row r="569">
      <c r="K569" s="8"/>
    </row>
    <row r="570">
      <c r="K570" s="8"/>
    </row>
    <row r="571">
      <c r="K571" s="8"/>
    </row>
    <row r="572">
      <c r="K572" s="8"/>
    </row>
    <row r="573">
      <c r="K573" s="8"/>
    </row>
    <row r="574">
      <c r="K574" s="8"/>
    </row>
    <row r="575">
      <c r="K575" s="8"/>
    </row>
    <row r="576">
      <c r="K576" s="8"/>
    </row>
    <row r="577">
      <c r="K577" s="8"/>
    </row>
    <row r="578">
      <c r="K578" s="8"/>
    </row>
    <row r="579">
      <c r="K579" s="8"/>
    </row>
    <row r="580">
      <c r="K580" s="8"/>
    </row>
    <row r="581">
      <c r="K581" s="8"/>
    </row>
    <row r="582">
      <c r="K582" s="8"/>
    </row>
    <row r="583">
      <c r="K583" s="8"/>
    </row>
    <row r="584">
      <c r="K584" s="8"/>
    </row>
    <row r="585">
      <c r="K585" s="8"/>
    </row>
    <row r="586">
      <c r="K586" s="8"/>
    </row>
    <row r="587">
      <c r="K587" s="8"/>
    </row>
    <row r="588">
      <c r="K588" s="8"/>
    </row>
    <row r="589">
      <c r="K589" s="8"/>
    </row>
    <row r="590">
      <c r="K590" s="8"/>
    </row>
    <row r="591">
      <c r="K591" s="8"/>
    </row>
    <row r="592">
      <c r="K592" s="8"/>
    </row>
    <row r="593">
      <c r="K593" s="8"/>
    </row>
    <row r="594">
      <c r="K594" s="8"/>
    </row>
    <row r="595">
      <c r="K595" s="8"/>
    </row>
    <row r="596">
      <c r="K596" s="8"/>
    </row>
    <row r="597">
      <c r="K597" s="8"/>
    </row>
    <row r="598">
      <c r="K598" s="8"/>
    </row>
    <row r="599">
      <c r="K599" s="8"/>
    </row>
    <row r="600">
      <c r="K600" s="8"/>
    </row>
    <row r="601">
      <c r="K601" s="8"/>
    </row>
    <row r="602">
      <c r="K602" s="8"/>
    </row>
    <row r="603">
      <c r="K603" s="8"/>
    </row>
    <row r="604">
      <c r="K604" s="8"/>
    </row>
    <row r="605">
      <c r="K605" s="8"/>
    </row>
    <row r="606">
      <c r="K606" s="8"/>
    </row>
    <row r="607">
      <c r="K607" s="8"/>
    </row>
    <row r="608">
      <c r="K608" s="8"/>
    </row>
    <row r="609">
      <c r="K609" s="8"/>
    </row>
    <row r="610">
      <c r="K610" s="8"/>
    </row>
    <row r="611">
      <c r="K611" s="8"/>
    </row>
    <row r="612">
      <c r="K612" s="8"/>
    </row>
    <row r="613">
      <c r="K613" s="8"/>
    </row>
    <row r="614">
      <c r="K614" s="8"/>
    </row>
    <row r="615">
      <c r="K615" s="8"/>
    </row>
    <row r="616">
      <c r="K616" s="8"/>
    </row>
    <row r="617">
      <c r="K617" s="8"/>
    </row>
    <row r="618">
      <c r="K618" s="8"/>
    </row>
    <row r="619">
      <c r="K619" s="8"/>
    </row>
    <row r="620">
      <c r="K620" s="8"/>
    </row>
    <row r="621">
      <c r="K621" s="8"/>
    </row>
    <row r="622">
      <c r="K622" s="8"/>
    </row>
    <row r="623">
      <c r="K623" s="8"/>
    </row>
    <row r="624">
      <c r="K624" s="8"/>
    </row>
    <row r="625">
      <c r="K625" s="8"/>
    </row>
    <row r="626">
      <c r="K626" s="8"/>
    </row>
    <row r="627">
      <c r="K627" s="8"/>
    </row>
    <row r="628">
      <c r="K628" s="8"/>
    </row>
    <row r="629">
      <c r="K629" s="8"/>
    </row>
    <row r="630">
      <c r="K630" s="8"/>
    </row>
    <row r="631">
      <c r="K631" s="8"/>
    </row>
    <row r="632">
      <c r="K632" s="8"/>
    </row>
    <row r="633">
      <c r="K633" s="8"/>
    </row>
    <row r="634">
      <c r="K634" s="8"/>
    </row>
    <row r="635">
      <c r="K635" s="8"/>
    </row>
    <row r="636">
      <c r="K636" s="8"/>
    </row>
    <row r="637">
      <c r="K637" s="8"/>
    </row>
    <row r="638">
      <c r="K638" s="8"/>
    </row>
    <row r="639">
      <c r="K639" s="8"/>
    </row>
    <row r="640">
      <c r="K640" s="8"/>
    </row>
    <row r="641">
      <c r="K641" s="8"/>
    </row>
    <row r="642">
      <c r="K642" s="8"/>
    </row>
    <row r="643">
      <c r="K643" s="8"/>
    </row>
    <row r="644">
      <c r="K644" s="8"/>
    </row>
    <row r="645">
      <c r="K645" s="8"/>
    </row>
    <row r="646">
      <c r="K646" s="8"/>
    </row>
    <row r="647">
      <c r="K647" s="8"/>
    </row>
    <row r="648">
      <c r="K648" s="8"/>
    </row>
    <row r="649">
      <c r="K649" s="8"/>
    </row>
    <row r="650">
      <c r="K650" s="8"/>
    </row>
    <row r="651">
      <c r="K651" s="8"/>
    </row>
    <row r="652">
      <c r="K652" s="8"/>
    </row>
    <row r="653">
      <c r="K653" s="8"/>
    </row>
    <row r="654">
      <c r="K654" s="8"/>
    </row>
    <row r="655">
      <c r="K655" s="8"/>
    </row>
    <row r="656">
      <c r="K656" s="8"/>
    </row>
    <row r="657">
      <c r="K657" s="8"/>
    </row>
    <row r="658">
      <c r="K658" s="8"/>
    </row>
    <row r="659">
      <c r="K659" s="8"/>
    </row>
    <row r="660">
      <c r="K660" s="8"/>
    </row>
    <row r="661">
      <c r="K661" s="8"/>
    </row>
    <row r="662">
      <c r="K662" s="8"/>
    </row>
    <row r="663">
      <c r="K663" s="8"/>
    </row>
    <row r="664">
      <c r="K664" s="8"/>
    </row>
    <row r="665">
      <c r="K665" s="8"/>
    </row>
    <row r="666">
      <c r="K666" s="8"/>
    </row>
    <row r="667">
      <c r="K667" s="8"/>
    </row>
    <row r="668">
      <c r="K668" s="8"/>
    </row>
    <row r="669">
      <c r="K669" s="8"/>
    </row>
    <row r="670">
      <c r="K670" s="8"/>
    </row>
    <row r="671">
      <c r="K671" s="8"/>
    </row>
    <row r="672">
      <c r="K672" s="8"/>
    </row>
    <row r="673">
      <c r="K673" s="8"/>
    </row>
    <row r="674">
      <c r="K674" s="8"/>
    </row>
    <row r="675">
      <c r="K675" s="8"/>
    </row>
    <row r="676">
      <c r="K676" s="8"/>
    </row>
    <row r="677">
      <c r="K677" s="8"/>
    </row>
    <row r="678">
      <c r="K678" s="8"/>
    </row>
    <row r="679">
      <c r="K679" s="8"/>
    </row>
    <row r="680">
      <c r="K680" s="8"/>
    </row>
    <row r="681">
      <c r="K681" s="8"/>
    </row>
    <row r="682">
      <c r="K682" s="8"/>
    </row>
    <row r="683">
      <c r="K683" s="8"/>
    </row>
    <row r="684">
      <c r="K684" s="8"/>
    </row>
    <row r="685">
      <c r="K685" s="8"/>
    </row>
    <row r="686">
      <c r="K686" s="8"/>
    </row>
    <row r="687">
      <c r="K687" s="8"/>
    </row>
    <row r="688">
      <c r="K688" s="8"/>
    </row>
    <row r="689">
      <c r="K689" s="8"/>
    </row>
    <row r="690">
      <c r="K690" s="8"/>
    </row>
    <row r="691">
      <c r="K691" s="8"/>
    </row>
    <row r="692">
      <c r="K692" s="8"/>
    </row>
    <row r="693">
      <c r="K693" s="8"/>
    </row>
    <row r="694">
      <c r="K694" s="8"/>
    </row>
    <row r="695">
      <c r="K695" s="8"/>
    </row>
    <row r="696">
      <c r="K696" s="8"/>
    </row>
    <row r="697">
      <c r="K697" s="8"/>
    </row>
    <row r="698">
      <c r="K698" s="8"/>
    </row>
    <row r="699">
      <c r="K699" s="8"/>
    </row>
    <row r="700">
      <c r="K700" s="8"/>
    </row>
    <row r="701">
      <c r="K701" s="8"/>
    </row>
    <row r="702">
      <c r="K702" s="8"/>
    </row>
    <row r="703">
      <c r="K703" s="8"/>
    </row>
    <row r="704">
      <c r="K704" s="8"/>
    </row>
    <row r="705">
      <c r="K705" s="8"/>
    </row>
    <row r="706">
      <c r="K706" s="8"/>
    </row>
    <row r="707">
      <c r="K707" s="8"/>
    </row>
    <row r="708">
      <c r="K708" s="8"/>
    </row>
    <row r="709">
      <c r="K709" s="8"/>
    </row>
    <row r="710">
      <c r="K710" s="8"/>
    </row>
    <row r="711">
      <c r="K711" s="8"/>
    </row>
    <row r="712">
      <c r="K712" s="8"/>
    </row>
    <row r="713">
      <c r="K713" s="8"/>
    </row>
    <row r="714">
      <c r="K714" s="8"/>
    </row>
    <row r="715">
      <c r="K715" s="8"/>
    </row>
    <row r="716">
      <c r="K716" s="8"/>
    </row>
    <row r="717">
      <c r="K717" s="8"/>
    </row>
    <row r="718">
      <c r="K718" s="8"/>
    </row>
    <row r="719">
      <c r="K719" s="8"/>
    </row>
    <row r="720">
      <c r="K720" s="8"/>
    </row>
    <row r="721">
      <c r="K721" s="8"/>
    </row>
    <row r="722">
      <c r="K722" s="8"/>
    </row>
    <row r="723">
      <c r="K723" s="8"/>
    </row>
    <row r="724">
      <c r="K724" s="8"/>
    </row>
    <row r="725">
      <c r="K725" s="8"/>
    </row>
    <row r="726">
      <c r="K726" s="8"/>
    </row>
    <row r="727">
      <c r="K727" s="8"/>
    </row>
    <row r="728">
      <c r="K728" s="8"/>
    </row>
    <row r="729">
      <c r="K729" s="8"/>
    </row>
    <row r="730">
      <c r="K730" s="8"/>
    </row>
    <row r="731">
      <c r="K731" s="8"/>
    </row>
    <row r="732">
      <c r="K732" s="8"/>
    </row>
    <row r="733">
      <c r="K733" s="8"/>
    </row>
    <row r="734">
      <c r="K734" s="8"/>
    </row>
    <row r="735">
      <c r="K735" s="8"/>
    </row>
    <row r="736">
      <c r="K736" s="8"/>
    </row>
    <row r="737">
      <c r="K737" s="8"/>
    </row>
    <row r="738">
      <c r="K738" s="8"/>
    </row>
    <row r="739">
      <c r="K739" s="8"/>
    </row>
    <row r="740">
      <c r="K740" s="8"/>
    </row>
    <row r="741">
      <c r="K741" s="8"/>
    </row>
    <row r="742">
      <c r="K742" s="8"/>
    </row>
    <row r="743">
      <c r="K743" s="8"/>
    </row>
    <row r="744">
      <c r="K744" s="8"/>
    </row>
    <row r="745">
      <c r="K745" s="8"/>
    </row>
    <row r="746">
      <c r="K746" s="8"/>
    </row>
    <row r="747">
      <c r="K747" s="8"/>
    </row>
    <row r="748">
      <c r="K748" s="8"/>
    </row>
    <row r="749">
      <c r="K749" s="8"/>
    </row>
    <row r="750">
      <c r="K750" s="8"/>
    </row>
    <row r="751">
      <c r="K751" s="8"/>
    </row>
    <row r="752">
      <c r="K752" s="8"/>
    </row>
    <row r="753">
      <c r="K753" s="8"/>
    </row>
    <row r="754">
      <c r="K754" s="8"/>
    </row>
    <row r="755">
      <c r="K755" s="8"/>
    </row>
    <row r="756">
      <c r="K756" s="8"/>
    </row>
    <row r="757">
      <c r="K757" s="8"/>
    </row>
    <row r="758">
      <c r="K758" s="8"/>
    </row>
    <row r="759">
      <c r="K759" s="8"/>
    </row>
    <row r="760">
      <c r="K760" s="8"/>
    </row>
    <row r="761">
      <c r="K761" s="8"/>
    </row>
    <row r="762">
      <c r="K762" s="8"/>
    </row>
    <row r="763">
      <c r="K763" s="8"/>
    </row>
    <row r="764">
      <c r="K764" s="8"/>
    </row>
    <row r="765">
      <c r="K765" s="8"/>
    </row>
    <row r="766">
      <c r="K766" s="8"/>
    </row>
    <row r="767">
      <c r="K767" s="8"/>
    </row>
    <row r="768">
      <c r="K768" s="8"/>
    </row>
    <row r="769">
      <c r="K769" s="8"/>
    </row>
    <row r="770">
      <c r="K770" s="8"/>
    </row>
    <row r="771">
      <c r="K771" s="8"/>
    </row>
    <row r="772">
      <c r="K772" s="8"/>
    </row>
    <row r="773">
      <c r="K773" s="8"/>
    </row>
    <row r="774">
      <c r="K774" s="8"/>
    </row>
    <row r="775">
      <c r="K775" s="8"/>
    </row>
    <row r="776">
      <c r="K776" s="8"/>
    </row>
    <row r="777">
      <c r="K777" s="8"/>
    </row>
    <row r="778">
      <c r="K778" s="8"/>
    </row>
    <row r="779">
      <c r="K779" s="8"/>
    </row>
    <row r="780">
      <c r="K780" s="8"/>
    </row>
    <row r="781">
      <c r="K781" s="8"/>
    </row>
    <row r="782">
      <c r="K782" s="8"/>
    </row>
    <row r="783">
      <c r="K783" s="8"/>
    </row>
    <row r="784">
      <c r="K784" s="8"/>
    </row>
    <row r="785">
      <c r="K785" s="8"/>
    </row>
    <row r="786">
      <c r="K786" s="8"/>
    </row>
    <row r="787">
      <c r="K787" s="8"/>
    </row>
    <row r="788">
      <c r="K788" s="8"/>
    </row>
    <row r="789">
      <c r="K789" s="8"/>
    </row>
    <row r="790">
      <c r="K790" s="8"/>
    </row>
    <row r="791">
      <c r="K791" s="8"/>
    </row>
    <row r="792">
      <c r="K792" s="8"/>
    </row>
    <row r="793">
      <c r="K793" s="8"/>
    </row>
    <row r="794">
      <c r="K794" s="8"/>
    </row>
    <row r="795">
      <c r="K795" s="8"/>
    </row>
    <row r="796">
      <c r="K796" s="8"/>
    </row>
    <row r="797">
      <c r="K797" s="8"/>
    </row>
    <row r="798">
      <c r="K798" s="8"/>
    </row>
    <row r="799">
      <c r="K799" s="8"/>
    </row>
    <row r="800">
      <c r="K800" s="8"/>
    </row>
    <row r="801">
      <c r="K801" s="8"/>
    </row>
    <row r="802">
      <c r="K802" s="8"/>
    </row>
    <row r="803">
      <c r="K803" s="8"/>
    </row>
    <row r="804">
      <c r="K804" s="8"/>
    </row>
    <row r="805">
      <c r="K805" s="8"/>
    </row>
    <row r="806">
      <c r="K806" s="8"/>
    </row>
    <row r="807">
      <c r="K807" s="8"/>
    </row>
    <row r="808">
      <c r="K808" s="8"/>
    </row>
    <row r="809">
      <c r="K809" s="8"/>
    </row>
    <row r="810">
      <c r="K810" s="8"/>
    </row>
    <row r="811">
      <c r="K811" s="8"/>
    </row>
    <row r="812">
      <c r="K812" s="8"/>
    </row>
    <row r="813">
      <c r="K813" s="8"/>
    </row>
    <row r="814">
      <c r="K814" s="8"/>
    </row>
    <row r="815">
      <c r="K815" s="8"/>
    </row>
    <row r="816">
      <c r="K816" s="8"/>
    </row>
    <row r="817">
      <c r="K817" s="8"/>
    </row>
    <row r="818">
      <c r="K818" s="8"/>
    </row>
    <row r="819">
      <c r="K819" s="8"/>
    </row>
    <row r="820">
      <c r="K820" s="8"/>
    </row>
    <row r="821">
      <c r="K821" s="8"/>
    </row>
    <row r="822">
      <c r="K822" s="8"/>
    </row>
    <row r="823">
      <c r="K823" s="8"/>
    </row>
    <row r="824">
      <c r="K824" s="8"/>
    </row>
    <row r="825">
      <c r="K825" s="8"/>
    </row>
    <row r="826">
      <c r="K826" s="8"/>
    </row>
    <row r="827">
      <c r="K827" s="8"/>
    </row>
    <row r="828">
      <c r="K828" s="8"/>
    </row>
    <row r="829">
      <c r="K829" s="8"/>
    </row>
    <row r="830">
      <c r="K830" s="8"/>
    </row>
    <row r="831">
      <c r="K831" s="8"/>
    </row>
    <row r="832">
      <c r="K832" s="8"/>
    </row>
    <row r="833">
      <c r="K833" s="8"/>
    </row>
    <row r="834">
      <c r="K834" s="8"/>
    </row>
    <row r="835">
      <c r="K835" s="8"/>
    </row>
    <row r="836">
      <c r="K836" s="8"/>
    </row>
    <row r="837">
      <c r="K837" s="8"/>
    </row>
    <row r="838">
      <c r="K838" s="8"/>
    </row>
    <row r="839">
      <c r="K839" s="8"/>
    </row>
    <row r="840">
      <c r="K840" s="8"/>
    </row>
    <row r="841">
      <c r="K841" s="8"/>
    </row>
    <row r="842">
      <c r="K842" s="8"/>
    </row>
    <row r="843">
      <c r="K843" s="8"/>
    </row>
    <row r="844">
      <c r="K844" s="8"/>
    </row>
    <row r="845">
      <c r="K845" s="8"/>
    </row>
    <row r="846">
      <c r="K846" s="8"/>
    </row>
    <row r="847">
      <c r="K847" s="8"/>
    </row>
    <row r="848">
      <c r="K848" s="8"/>
    </row>
    <row r="849">
      <c r="K849" s="8"/>
    </row>
    <row r="850">
      <c r="K850" s="8"/>
    </row>
    <row r="851">
      <c r="K851" s="8"/>
    </row>
    <row r="852">
      <c r="K852" s="8"/>
    </row>
    <row r="853">
      <c r="K853" s="8"/>
    </row>
    <row r="854">
      <c r="K854" s="8"/>
    </row>
    <row r="855">
      <c r="K855" s="8"/>
    </row>
    <row r="856">
      <c r="K856" s="8"/>
    </row>
    <row r="857">
      <c r="K857" s="8"/>
    </row>
    <row r="858">
      <c r="K858" s="8"/>
    </row>
    <row r="859">
      <c r="K859" s="8"/>
    </row>
    <row r="860">
      <c r="K860" s="8"/>
    </row>
    <row r="861">
      <c r="K861" s="8"/>
    </row>
    <row r="862">
      <c r="K862" s="8"/>
    </row>
    <row r="863">
      <c r="K863" s="8"/>
    </row>
    <row r="864">
      <c r="K864" s="8"/>
    </row>
    <row r="865">
      <c r="K865" s="8"/>
    </row>
    <row r="866">
      <c r="K866" s="8"/>
    </row>
    <row r="867">
      <c r="K867" s="8"/>
    </row>
    <row r="868">
      <c r="K868" s="8"/>
    </row>
    <row r="869">
      <c r="K869" s="8"/>
    </row>
    <row r="870">
      <c r="K870" s="8"/>
    </row>
    <row r="871">
      <c r="K871" s="8"/>
    </row>
    <row r="872">
      <c r="K872" s="8"/>
    </row>
    <row r="873">
      <c r="K873" s="8"/>
    </row>
    <row r="874">
      <c r="K874" s="8"/>
    </row>
    <row r="875">
      <c r="K875" s="8"/>
    </row>
    <row r="876">
      <c r="K876" s="8"/>
    </row>
    <row r="877">
      <c r="K877" s="8"/>
    </row>
    <row r="878">
      <c r="K878" s="8"/>
    </row>
    <row r="879">
      <c r="K879" s="8"/>
    </row>
    <row r="880">
      <c r="K880" s="8"/>
    </row>
    <row r="881">
      <c r="K881" s="8"/>
    </row>
    <row r="882">
      <c r="K882" s="8"/>
    </row>
    <row r="883">
      <c r="K883" s="8"/>
    </row>
    <row r="884">
      <c r="K884" s="8"/>
    </row>
    <row r="885">
      <c r="K885" s="8"/>
    </row>
    <row r="886">
      <c r="K886" s="8"/>
    </row>
    <row r="887">
      <c r="K887" s="8"/>
    </row>
    <row r="888">
      <c r="K888" s="8"/>
    </row>
    <row r="889">
      <c r="K889" s="8"/>
    </row>
    <row r="890">
      <c r="K890" s="8"/>
    </row>
    <row r="891">
      <c r="K891" s="8"/>
    </row>
    <row r="892">
      <c r="K892" s="8"/>
    </row>
    <row r="893">
      <c r="K893" s="8"/>
    </row>
    <row r="894">
      <c r="K894" s="8"/>
    </row>
    <row r="895">
      <c r="K895" s="8"/>
    </row>
    <row r="896">
      <c r="K896" s="8"/>
    </row>
    <row r="897">
      <c r="K897" s="8"/>
    </row>
    <row r="898">
      <c r="K898" s="8"/>
    </row>
    <row r="899">
      <c r="K899" s="8"/>
    </row>
    <row r="900">
      <c r="K900" s="8"/>
    </row>
    <row r="901">
      <c r="K901" s="8"/>
    </row>
    <row r="902">
      <c r="K902" s="8"/>
    </row>
    <row r="903">
      <c r="K903" s="8"/>
    </row>
    <row r="904">
      <c r="K904" s="8"/>
    </row>
    <row r="905">
      <c r="K905" s="8"/>
    </row>
    <row r="906">
      <c r="K906" s="8"/>
    </row>
    <row r="907">
      <c r="K907" s="8"/>
    </row>
    <row r="908">
      <c r="K908" s="8"/>
    </row>
    <row r="909">
      <c r="K909" s="8"/>
    </row>
    <row r="910">
      <c r="K910" s="8"/>
    </row>
    <row r="911">
      <c r="K911" s="8"/>
    </row>
    <row r="912">
      <c r="K912" s="8"/>
    </row>
    <row r="913">
      <c r="K913" s="8"/>
    </row>
    <row r="914">
      <c r="K914" s="8"/>
    </row>
    <row r="915">
      <c r="K915" s="8"/>
    </row>
    <row r="916">
      <c r="K916" s="8"/>
    </row>
    <row r="917">
      <c r="K917" s="8"/>
    </row>
    <row r="918">
      <c r="K918" s="8"/>
    </row>
    <row r="919">
      <c r="K919" s="8"/>
    </row>
    <row r="920">
      <c r="K920" s="8"/>
    </row>
    <row r="921">
      <c r="K921" s="8"/>
    </row>
    <row r="922">
      <c r="K922" s="8"/>
    </row>
    <row r="923">
      <c r="K923" s="8"/>
    </row>
    <row r="924">
      <c r="K924" s="8"/>
    </row>
    <row r="925">
      <c r="K925" s="8"/>
    </row>
    <row r="926">
      <c r="K926" s="8"/>
    </row>
    <row r="927">
      <c r="K927" s="8"/>
    </row>
    <row r="928">
      <c r="K928" s="8"/>
    </row>
    <row r="929">
      <c r="K929" s="8"/>
    </row>
    <row r="930">
      <c r="K930" s="8"/>
    </row>
    <row r="931">
      <c r="K931" s="8"/>
    </row>
    <row r="932">
      <c r="K932" s="8"/>
    </row>
    <row r="933">
      <c r="K933" s="8"/>
    </row>
    <row r="934">
      <c r="K934" s="8"/>
    </row>
    <row r="935">
      <c r="K935" s="8"/>
    </row>
    <row r="936">
      <c r="K936" s="8"/>
    </row>
    <row r="937">
      <c r="K937" s="8"/>
    </row>
    <row r="938">
      <c r="K938" s="8"/>
    </row>
    <row r="939">
      <c r="K939" s="8"/>
    </row>
    <row r="940">
      <c r="K940" s="8"/>
    </row>
    <row r="941">
      <c r="K941" s="8"/>
    </row>
    <row r="942">
      <c r="K942" s="8"/>
    </row>
    <row r="943">
      <c r="K943" s="8"/>
    </row>
    <row r="944">
      <c r="K944" s="8"/>
    </row>
    <row r="945">
      <c r="K945" s="8"/>
    </row>
    <row r="946">
      <c r="K946" s="8"/>
    </row>
    <row r="947">
      <c r="K947" s="8"/>
    </row>
    <row r="948">
      <c r="K948" s="8"/>
    </row>
    <row r="949">
      <c r="K949" s="8"/>
    </row>
    <row r="950">
      <c r="K950" s="8"/>
    </row>
    <row r="951">
      <c r="K951" s="8"/>
    </row>
    <row r="952">
      <c r="K952" s="8"/>
    </row>
    <row r="953">
      <c r="K953" s="8"/>
    </row>
    <row r="954">
      <c r="K954" s="8"/>
    </row>
    <row r="955">
      <c r="K955" s="8"/>
    </row>
    <row r="956">
      <c r="K956" s="8"/>
    </row>
    <row r="957">
      <c r="K957" s="8"/>
    </row>
    <row r="958">
      <c r="K958" s="8"/>
    </row>
    <row r="959">
      <c r="K959" s="8"/>
    </row>
    <row r="960">
      <c r="K960" s="8"/>
    </row>
    <row r="961">
      <c r="K961" s="8"/>
    </row>
    <row r="962">
      <c r="K962" s="8"/>
    </row>
    <row r="963">
      <c r="K963" s="8"/>
    </row>
    <row r="964">
      <c r="K964" s="8"/>
    </row>
    <row r="965">
      <c r="K965" s="8"/>
    </row>
    <row r="966">
      <c r="K966" s="8"/>
    </row>
    <row r="967">
      <c r="K967" s="8"/>
    </row>
    <row r="968">
      <c r="K968" s="8"/>
    </row>
    <row r="969">
      <c r="K969" s="8"/>
    </row>
    <row r="970">
      <c r="K970" s="8"/>
    </row>
    <row r="971">
      <c r="K971" s="8"/>
    </row>
    <row r="972">
      <c r="K972" s="8"/>
    </row>
    <row r="973">
      <c r="K973" s="8"/>
    </row>
    <row r="974">
      <c r="K974" s="8"/>
    </row>
    <row r="975">
      <c r="K975" s="8"/>
    </row>
    <row r="976">
      <c r="K976" s="8"/>
    </row>
    <row r="977">
      <c r="K977" s="8"/>
    </row>
    <row r="978">
      <c r="K978" s="8"/>
    </row>
    <row r="979">
      <c r="K979" s="8"/>
    </row>
    <row r="980">
      <c r="K980" s="8"/>
    </row>
    <row r="981">
      <c r="K981" s="8"/>
    </row>
  </sheetData>
  <dataValidations>
    <dataValidation type="list" allowBlank="1" showErrorMessage="1" sqref="D2:E40">
      <formula1>"이두,삼두,어깨,등,가슴,하체,코어,기타"</formula1>
    </dataValidation>
    <dataValidation type="list" allowBlank="1" showErrorMessage="1" sqref="K2:K40">
      <formula1>"양쪽 동시,양쪽을 각각 번갈아서(얼터네이팅),한쪽 씩 연달아서,한쪽만"</formula1>
    </dataValidation>
  </dataValidations>
  <drawing r:id="rId2"/>
  <legacyDrawing r:id="rId3"/>
  <tableParts count="1">
    <tablePart r:id="rId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43"/>
    <col customWidth="1" min="2" max="2" width="74.29"/>
    <col customWidth="1" min="3" max="3" width="5.43"/>
    <col customWidth="1" min="4" max="4" width="37.0"/>
    <col customWidth="1" min="5" max="5" width="17.0"/>
    <col customWidth="1" min="6" max="6" width="16.29"/>
    <col customWidth="1" min="7" max="7" width="19.86"/>
    <col customWidth="1" min="8" max="9" width="40.43"/>
    <col customWidth="1" min="10" max="27" width="74.29"/>
  </cols>
  <sheetData>
    <row r="1" ht="24.75" customHeight="1">
      <c r="A1" s="16" t="s">
        <v>245</v>
      </c>
      <c r="C1" s="32" t="s">
        <v>246</v>
      </c>
      <c r="D1" s="34" t="s">
        <v>247</v>
      </c>
      <c r="E1" s="34" t="s">
        <v>248</v>
      </c>
      <c r="F1" s="34" t="s">
        <v>249</v>
      </c>
      <c r="G1" s="34" t="s">
        <v>250</v>
      </c>
      <c r="H1" s="34" t="s">
        <v>251</v>
      </c>
      <c r="I1" s="34" t="s">
        <v>252</v>
      </c>
    </row>
    <row r="2" ht="242.25" customHeight="1">
      <c r="B2" s="32" t="str">
        <f>IMAGE("https://gymvisual.com/10999-catalog_default/3-4-sit-up-female.jpg",4,500,500)</f>
        <v/>
      </c>
      <c r="C2" s="30">
        <v>1.0</v>
      </c>
      <c r="D2" s="16" t="s">
        <v>253</v>
      </c>
      <c r="E2" s="16" t="s">
        <v>184</v>
      </c>
      <c r="F2" s="16" t="s">
        <v>254</v>
      </c>
      <c r="G2" s="16" t="s">
        <v>255</v>
      </c>
      <c r="H2" s="16" t="s">
        <v>256</v>
      </c>
      <c r="I2" s="16" t="s">
        <v>257</v>
      </c>
    </row>
    <row r="3" ht="242.25" customHeight="1">
      <c r="B3" s="32" t="str">
        <f>IMAGE("https://gymvisual.com/33-catalog_default/34-sit-up.jpg",4,500,500)</f>
        <v/>
      </c>
      <c r="C3" s="30">
        <v>2.0</v>
      </c>
      <c r="D3" s="16" t="s">
        <v>258</v>
      </c>
      <c r="E3" s="16" t="s">
        <v>184</v>
      </c>
      <c r="F3" s="16" t="s">
        <v>254</v>
      </c>
      <c r="G3" s="16" t="s">
        <v>255</v>
      </c>
      <c r="H3" s="16" t="s">
        <v>256</v>
      </c>
      <c r="I3" s="16" t="s">
        <v>257</v>
      </c>
    </row>
    <row r="4" ht="242.25" customHeight="1">
      <c r="B4" s="32" t="str">
        <f>IMAGE("https://gymvisual.com/4455-catalog_default/45-degree-bycicle-twisting-crunch.jpg",4,500,500)</f>
        <v/>
      </c>
      <c r="C4" s="30">
        <v>3.0</v>
      </c>
      <c r="D4" s="16" t="s">
        <v>259</v>
      </c>
      <c r="E4" s="16" t="s">
        <v>184</v>
      </c>
      <c r="F4" s="16" t="s">
        <v>254</v>
      </c>
      <c r="G4" s="16" t="s">
        <v>255</v>
      </c>
      <c r="H4" s="16" t="s">
        <v>260</v>
      </c>
      <c r="I4" s="16" t="s">
        <v>261</v>
      </c>
    </row>
    <row r="5" ht="242.25" customHeight="1">
      <c r="B5" s="32" t="str">
        <f>IMAGE("https://gymvisual.com/20513-catalog_default/45-degree-bycicle-twisting-crunch-male.jpg",4,500,500)</f>
        <v/>
      </c>
      <c r="C5" s="30">
        <v>4.0</v>
      </c>
      <c r="D5" s="16" t="s">
        <v>262</v>
      </c>
      <c r="E5" s="16" t="s">
        <v>184</v>
      </c>
      <c r="F5" s="16" t="s">
        <v>254</v>
      </c>
      <c r="G5" s="16" t="s">
        <v>255</v>
      </c>
      <c r="H5" s="16" t="s">
        <v>263</v>
      </c>
      <c r="I5" s="16" t="s">
        <v>264</v>
      </c>
    </row>
    <row r="6" ht="242.25" customHeight="1">
      <c r="B6" s="32" t="str">
        <f>IMAGE("https://gymvisual.com/19944-catalog_default/45-degree-hip-extension-glute-focused.jpg",4,500,500)</f>
        <v/>
      </c>
      <c r="C6" s="30">
        <v>5.0</v>
      </c>
      <c r="D6" s="16" t="s">
        <v>265</v>
      </c>
      <c r="E6" s="16" t="s">
        <v>184</v>
      </c>
      <c r="F6" s="16" t="s">
        <v>185</v>
      </c>
      <c r="G6" s="16" t="s">
        <v>255</v>
      </c>
      <c r="H6" s="16" t="s">
        <v>187</v>
      </c>
      <c r="I6" s="16" t="s">
        <v>188</v>
      </c>
    </row>
    <row r="7" ht="242.25" customHeight="1">
      <c r="B7" s="32" t="str">
        <f>IMAGE("https://gymvisual.com/2767-catalog_default/45-degree-hyperextension-arms-in-front-of-chest.jpg",4,500,500)</f>
        <v/>
      </c>
      <c r="C7" s="30">
        <v>6.0</v>
      </c>
      <c r="D7" s="16" t="s">
        <v>266</v>
      </c>
      <c r="E7" s="16" t="s">
        <v>184</v>
      </c>
      <c r="F7" s="16" t="s">
        <v>192</v>
      </c>
      <c r="G7" s="16" t="s">
        <v>255</v>
      </c>
      <c r="H7" s="16" t="s">
        <v>267</v>
      </c>
      <c r="I7" s="16" t="s">
        <v>188</v>
      </c>
    </row>
    <row r="8" ht="242.25" customHeight="1">
      <c r="B8" s="32" t="str">
        <f>IMAGE("https://gymvisual.com/6472-catalog_default/45-degree-hyperextension-arms-in-front-of-chest-side-pov.jpg",4,500,500)</f>
        <v/>
      </c>
      <c r="C8" s="30">
        <v>7.0</v>
      </c>
      <c r="D8" s="16" t="s">
        <v>268</v>
      </c>
      <c r="E8" s="16" t="s">
        <v>184</v>
      </c>
      <c r="F8" s="16" t="s">
        <v>185</v>
      </c>
      <c r="G8" s="16" t="s">
        <v>255</v>
      </c>
      <c r="H8" s="16" t="s">
        <v>187</v>
      </c>
      <c r="I8" s="16" t="s">
        <v>227</v>
      </c>
    </row>
    <row r="9" ht="242.25" customHeight="1">
      <c r="B9" s="32" t="str">
        <f>IMAGE("https://gymvisual.com/4410-catalog_default/45-degree-one-leg-hyperextension-arms-in-front-of-chest.jpg",4,500,500)</f>
        <v/>
      </c>
      <c r="C9" s="30">
        <v>8.0</v>
      </c>
      <c r="D9" s="16" t="s">
        <v>269</v>
      </c>
      <c r="E9" s="16" t="s">
        <v>184</v>
      </c>
      <c r="F9" s="16" t="s">
        <v>185</v>
      </c>
      <c r="G9" s="16" t="s">
        <v>255</v>
      </c>
      <c r="H9" s="16" t="s">
        <v>227</v>
      </c>
      <c r="I9" s="16" t="s">
        <v>187</v>
      </c>
    </row>
    <row r="10" ht="242.25" customHeight="1">
      <c r="B10" s="32" t="str">
        <f>IMAGE("https://gymvisual.com/36-catalog_default/45-degree-side-bend.jpg",4,500,500)</f>
        <v/>
      </c>
      <c r="C10" s="30">
        <v>9.0</v>
      </c>
      <c r="D10" s="16" t="s">
        <v>270</v>
      </c>
      <c r="E10" s="16" t="s">
        <v>184</v>
      </c>
      <c r="F10" s="16" t="s">
        <v>254</v>
      </c>
      <c r="G10" s="16" t="s">
        <v>255</v>
      </c>
      <c r="H10" s="16" t="s">
        <v>257</v>
      </c>
      <c r="I10" s="16" t="s">
        <v>271</v>
      </c>
    </row>
    <row r="11" ht="242.25" customHeight="1">
      <c r="B11" s="32" t="str">
        <f>IMAGE("https://gymvisual.com/4413-catalog_default/45-degree-twisting-hyperextension.jpg",4,500,500)</f>
        <v/>
      </c>
      <c r="C11" s="30">
        <v>10.0</v>
      </c>
      <c r="D11" s="16" t="s">
        <v>272</v>
      </c>
      <c r="E11" s="16" t="s">
        <v>184</v>
      </c>
      <c r="F11" s="16" t="s">
        <v>185</v>
      </c>
      <c r="G11" s="16" t="s">
        <v>255</v>
      </c>
      <c r="H11" s="16" t="s">
        <v>273</v>
      </c>
      <c r="I11" s="16" t="s">
        <v>187</v>
      </c>
    </row>
    <row r="12" ht="242.25" customHeight="1">
      <c r="B12" s="32" t="str">
        <f>IMAGE("https://gymvisual.com/19012-catalog_default/45-degrees-back-extension.jpg",4,500,500)</f>
        <v/>
      </c>
      <c r="C12" s="30">
        <v>11.0</v>
      </c>
      <c r="D12" s="16" t="s">
        <v>274</v>
      </c>
      <c r="E12" s="16" t="s">
        <v>184</v>
      </c>
      <c r="F12" s="16" t="s">
        <v>185</v>
      </c>
      <c r="G12" s="16" t="s">
        <v>255</v>
      </c>
      <c r="H12" s="16" t="s">
        <v>275</v>
      </c>
      <c r="I12" s="16" t="s">
        <v>220</v>
      </c>
    </row>
    <row r="13" ht="242.25" customHeight="1">
      <c r="B13" s="32" t="str">
        <f>IMAGE("https://gymvisual.com/10930-catalog_default/45-degrees-side-bend-female.jpg",4,500,500)</f>
        <v/>
      </c>
      <c r="C13" s="30">
        <v>12.0</v>
      </c>
      <c r="D13" s="16" t="s">
        <v>276</v>
      </c>
      <c r="E13" s="16" t="s">
        <v>184</v>
      </c>
      <c r="F13" s="16" t="s">
        <v>254</v>
      </c>
      <c r="G13" s="16" t="s">
        <v>255</v>
      </c>
      <c r="H13" s="16" t="s">
        <v>257</v>
      </c>
      <c r="I13" s="16" t="s">
        <v>271</v>
      </c>
    </row>
    <row r="14" ht="242.25" customHeight="1">
      <c r="B14" s="32" t="str">
        <f>IMAGE("https://gymvisual.com/25069-catalog_default/45-degrees-side-bend-male.jpg",4,500,500)</f>
        <v/>
      </c>
      <c r="C14" s="30">
        <v>13.0</v>
      </c>
      <c r="D14" s="16" t="s">
        <v>277</v>
      </c>
      <c r="E14" s="16" t="s">
        <v>184</v>
      </c>
      <c r="F14" s="16" t="s">
        <v>254</v>
      </c>
      <c r="G14" s="16" t="s">
        <v>255</v>
      </c>
      <c r="H14" s="16" t="s">
        <v>220</v>
      </c>
      <c r="I14" s="16" t="s">
        <v>220</v>
      </c>
    </row>
    <row r="15" ht="242.25" customHeight="1">
      <c r="B15" s="32" t="str">
        <f>IMAGE("https://gymvisual.com/22588-catalog_default/90-degree-heel-touch.jpg",4,500,500)</f>
        <v/>
      </c>
      <c r="C15" s="30">
        <v>14.0</v>
      </c>
      <c r="D15" s="16" t="s">
        <v>278</v>
      </c>
      <c r="E15" s="16" t="s">
        <v>184</v>
      </c>
      <c r="F15" s="16" t="s">
        <v>254</v>
      </c>
      <c r="G15" s="16" t="s">
        <v>255</v>
      </c>
      <c r="H15" s="16" t="s">
        <v>256</v>
      </c>
      <c r="I15" s="16" t="s">
        <v>257</v>
      </c>
    </row>
    <row r="16" ht="242.25" customHeight="1">
      <c r="B16" s="32" t="str">
        <f>IMAGE("https://gymvisual.com/9694-catalog_default/ab-roller-crunch.jpg",4,500,500)</f>
        <v/>
      </c>
      <c r="C16" s="30">
        <v>15.0</v>
      </c>
      <c r="D16" s="16" t="s">
        <v>279</v>
      </c>
      <c r="E16" s="16" t="s">
        <v>184</v>
      </c>
      <c r="F16" s="16" t="s">
        <v>254</v>
      </c>
      <c r="G16" s="16" t="s">
        <v>255</v>
      </c>
      <c r="H16" s="16" t="s">
        <v>256</v>
      </c>
      <c r="I16" s="16" t="s">
        <v>257</v>
      </c>
    </row>
    <row r="17" ht="242.25" customHeight="1">
      <c r="B17" s="32" t="str">
        <f>IMAGE("https://gymvisual.com/18768-catalog_default/abdominal-4-points.jpg",4,500,500)</f>
        <v/>
      </c>
      <c r="C17" s="30">
        <v>16.0</v>
      </c>
      <c r="D17" s="16" t="s">
        <v>280</v>
      </c>
      <c r="E17" s="16" t="s">
        <v>184</v>
      </c>
      <c r="F17" s="16" t="s">
        <v>254</v>
      </c>
      <c r="G17" s="16" t="s">
        <v>255</v>
      </c>
      <c r="H17" s="16" t="s">
        <v>220</v>
      </c>
      <c r="I17" s="16" t="s">
        <v>220</v>
      </c>
    </row>
    <row r="18" ht="242.25" customHeight="1">
      <c r="B18" s="32" t="str">
        <f>IMAGE("https://gymvisual.com/8815-catalog_default/air-bike.jpg",4,500,500)</f>
        <v/>
      </c>
      <c r="C18" s="30">
        <v>17.0</v>
      </c>
      <c r="D18" s="16" t="s">
        <v>281</v>
      </c>
      <c r="E18" s="16" t="s">
        <v>184</v>
      </c>
      <c r="F18" s="16" t="s">
        <v>254</v>
      </c>
      <c r="G18" s="16" t="s">
        <v>255</v>
      </c>
      <c r="H18" s="16" t="s">
        <v>257</v>
      </c>
      <c r="I18" s="16" t="s">
        <v>282</v>
      </c>
    </row>
    <row r="19" ht="242.25" customHeight="1">
      <c r="B19" s="32" t="str">
        <f>IMAGE("https://gymvisual.com/20664-catalog_default/air-bike-version-2-female.jpg",4,500,500)</f>
        <v/>
      </c>
      <c r="C19" s="30">
        <v>18.0</v>
      </c>
      <c r="D19" s="16" t="s">
        <v>283</v>
      </c>
      <c r="E19" s="16" t="s">
        <v>184</v>
      </c>
      <c r="F19" s="16" t="s">
        <v>254</v>
      </c>
      <c r="G19" s="16" t="s">
        <v>255</v>
      </c>
      <c r="H19" s="16" t="s">
        <v>257</v>
      </c>
      <c r="I19" s="16" t="s">
        <v>282</v>
      </c>
    </row>
    <row r="20" ht="242.25" customHeight="1">
      <c r="B20" s="32" t="str">
        <f>IMAGE("https://gymvisual.com/17785-catalog_default/air-squat-female.jpg",4,500,500)</f>
        <v/>
      </c>
      <c r="C20" s="30">
        <v>19.0</v>
      </c>
      <c r="D20" s="16" t="s">
        <v>284</v>
      </c>
      <c r="E20" s="16" t="s">
        <v>184</v>
      </c>
      <c r="F20" s="16" t="s">
        <v>285</v>
      </c>
      <c r="G20" s="16" t="s">
        <v>255</v>
      </c>
      <c r="H20" s="16" t="s">
        <v>220</v>
      </c>
      <c r="I20" s="16" t="s">
        <v>220</v>
      </c>
    </row>
    <row r="21" ht="242.25" customHeight="1">
      <c r="B21" s="32" t="str">
        <f>IMAGE("https://gymvisual.com/22185-catalog_default/air-squat-version-2.jpg",4,500,500)</f>
        <v/>
      </c>
      <c r="C21" s="30">
        <v>20.0</v>
      </c>
      <c r="D21" s="16" t="s">
        <v>286</v>
      </c>
      <c r="E21" s="16" t="s">
        <v>184</v>
      </c>
      <c r="F21" s="16" t="s">
        <v>285</v>
      </c>
      <c r="G21" s="16" t="s">
        <v>255</v>
      </c>
      <c r="H21" s="16" t="s">
        <v>220</v>
      </c>
      <c r="I21" s="16" t="s">
        <v>220</v>
      </c>
    </row>
    <row r="22" ht="242.25" customHeight="1">
      <c r="B22" s="32" t="str">
        <f>IMAGE("https://gymvisual.com/42-catalog_default/air-twisting-crunch.jpg",4,500,500)</f>
        <v/>
      </c>
      <c r="C22" s="30">
        <v>21.0</v>
      </c>
      <c r="D22" s="16" t="s">
        <v>287</v>
      </c>
      <c r="E22" s="16" t="s">
        <v>184</v>
      </c>
      <c r="F22" s="16" t="s">
        <v>254</v>
      </c>
      <c r="G22" s="16" t="s">
        <v>255</v>
      </c>
      <c r="H22" s="16" t="s">
        <v>257</v>
      </c>
      <c r="I22" s="16" t="s">
        <v>282</v>
      </c>
    </row>
    <row r="23" ht="242.25" customHeight="1">
      <c r="B23" s="32" t="str">
        <f>IMAGE("https://gymvisual.com/20515-catalog_default/air-twisting-crunch-male.jpg",4,500,500)</f>
        <v/>
      </c>
      <c r="C23" s="30">
        <v>22.0</v>
      </c>
      <c r="D23" s="16" t="s">
        <v>288</v>
      </c>
      <c r="E23" s="16" t="s">
        <v>184</v>
      </c>
      <c r="F23" s="16" t="s">
        <v>254</v>
      </c>
      <c r="G23" s="16" t="s">
        <v>255</v>
      </c>
      <c r="H23" s="16" t="s">
        <v>263</v>
      </c>
      <c r="I23" s="16" t="s">
        <v>289</v>
      </c>
    </row>
    <row r="24" ht="242.25" customHeight="1">
      <c r="B24" s="32" t="str">
        <f>IMAGE("https://gymvisual.com/45-catalog_default/alternate-biceps-curl-with-band.jpg",4,500,500)</f>
        <v/>
      </c>
      <c r="C24" s="30">
        <v>23.0</v>
      </c>
      <c r="D24" s="16" t="s">
        <v>290</v>
      </c>
      <c r="E24" s="16" t="s">
        <v>184</v>
      </c>
      <c r="F24" s="16" t="s">
        <v>219</v>
      </c>
      <c r="G24" s="16" t="s">
        <v>291</v>
      </c>
      <c r="H24" s="16" t="s">
        <v>241</v>
      </c>
      <c r="I24" s="16" t="s">
        <v>292</v>
      </c>
    </row>
    <row r="25" ht="242.25" customHeight="1">
      <c r="B25" s="32" t="str">
        <f>IMAGE("https://gymvisual.com/13974-catalog_default/alternate-heel-touch-side-kick-squat.jpg",4,500,500)</f>
        <v/>
      </c>
      <c r="C25" s="30">
        <v>24.0</v>
      </c>
      <c r="D25" s="16" t="s">
        <v>293</v>
      </c>
      <c r="E25" s="16" t="s">
        <v>184</v>
      </c>
      <c r="F25" s="16" t="s">
        <v>294</v>
      </c>
      <c r="G25" s="16" t="s">
        <v>255</v>
      </c>
      <c r="H25" s="16" t="s">
        <v>295</v>
      </c>
      <c r="I25" s="16" t="s">
        <v>296</v>
      </c>
    </row>
    <row r="26" ht="242.25" customHeight="1">
      <c r="B26" s="32" t="str">
        <f>IMAGE("https://gymvisual.com/14344-catalog_default/alternate-heel-touchers.jpg",4,500,500)</f>
        <v/>
      </c>
      <c r="C26" s="30">
        <v>25.0</v>
      </c>
      <c r="D26" s="16" t="s">
        <v>297</v>
      </c>
      <c r="E26" s="16" t="s">
        <v>184</v>
      </c>
      <c r="F26" s="16" t="s">
        <v>254</v>
      </c>
      <c r="G26" s="16" t="s">
        <v>255</v>
      </c>
      <c r="H26" s="16" t="s">
        <v>257</v>
      </c>
      <c r="I26" s="16" t="s">
        <v>220</v>
      </c>
    </row>
    <row r="27" ht="242.25" customHeight="1">
      <c r="B27" s="32" t="str">
        <f>IMAGE("https://gymvisual.com/17697-catalog_default/alternate-heel-touchers-female.jpg",4,500,500)</f>
        <v/>
      </c>
      <c r="C27" s="30">
        <v>26.0</v>
      </c>
      <c r="D27" s="16" t="s">
        <v>298</v>
      </c>
      <c r="E27" s="16" t="s">
        <v>184</v>
      </c>
      <c r="F27" s="16" t="s">
        <v>254</v>
      </c>
      <c r="G27" s="16" t="s">
        <v>255</v>
      </c>
      <c r="H27" s="16" t="s">
        <v>257</v>
      </c>
      <c r="I27" s="16" t="s">
        <v>220</v>
      </c>
    </row>
    <row r="28" ht="242.25" customHeight="1">
      <c r="A28" s="32" t="b">
        <v>0</v>
      </c>
      <c r="B28" s="32" t="str">
        <f>IMAGE("https://gymvisual.com/51-catalog_default/alternate-lateral-pulldown.jpg",4,500,500)</f>
        <v/>
      </c>
      <c r="C28" s="30">
        <v>27.0</v>
      </c>
      <c r="D28" s="16" t="s">
        <v>299</v>
      </c>
      <c r="E28" s="16" t="s">
        <v>184</v>
      </c>
      <c r="F28" s="16" t="s">
        <v>192</v>
      </c>
      <c r="G28" s="16" t="s">
        <v>215</v>
      </c>
      <c r="H28" s="16" t="s">
        <v>300</v>
      </c>
      <c r="I28" s="16" t="s">
        <v>301</v>
      </c>
    </row>
    <row r="29" ht="242.25" customHeight="1">
      <c r="B29" s="32" t="str">
        <f>IMAGE("https://gymvisual.com/6962-catalog_default/alternate-leg-raise.jpg",4,500,500)</f>
        <v/>
      </c>
      <c r="C29" s="30">
        <v>28.0</v>
      </c>
      <c r="D29" s="16" t="s">
        <v>302</v>
      </c>
      <c r="E29" s="16" t="s">
        <v>184</v>
      </c>
      <c r="F29" s="16" t="s">
        <v>185</v>
      </c>
      <c r="G29" s="16" t="s">
        <v>255</v>
      </c>
      <c r="H29" s="16" t="s">
        <v>271</v>
      </c>
      <c r="I29" s="16" t="s">
        <v>303</v>
      </c>
    </row>
    <row r="30" ht="242.25" customHeight="1">
      <c r="B30" s="32" t="str">
        <f>IMAGE("https://gymvisual.com/23673-catalog_default/alternate-leg-raise-male.jpg",4,500,500)</f>
        <v/>
      </c>
      <c r="C30" s="30">
        <v>29.0</v>
      </c>
      <c r="D30" s="16" t="s">
        <v>304</v>
      </c>
      <c r="E30" s="16" t="s">
        <v>184</v>
      </c>
      <c r="F30" s="16" t="s">
        <v>185</v>
      </c>
      <c r="G30" s="16" t="s">
        <v>255</v>
      </c>
      <c r="H30" s="16" t="s">
        <v>305</v>
      </c>
      <c r="I30" s="16" t="s">
        <v>289</v>
      </c>
    </row>
    <row r="31" ht="242.25" customHeight="1">
      <c r="B31" s="32" t="str">
        <f>IMAGE("https://gymvisual.com/22732-catalog_default/alternate-leg-raise-with-head-up.jpg",4,500,500)</f>
        <v/>
      </c>
      <c r="C31" s="30">
        <v>30.0</v>
      </c>
      <c r="D31" s="16" t="s">
        <v>306</v>
      </c>
      <c r="E31" s="16" t="s">
        <v>184</v>
      </c>
      <c r="F31" s="16" t="s">
        <v>254</v>
      </c>
      <c r="G31" s="16" t="s">
        <v>255</v>
      </c>
      <c r="H31" s="16" t="s">
        <v>305</v>
      </c>
      <c r="I31" s="16" t="s">
        <v>289</v>
      </c>
    </row>
    <row r="32" ht="242.25" customHeight="1">
      <c r="B32" s="32" t="str">
        <f>IMAGE("https://gymvisual.com/54-catalog_default/alternate-lying-floor-leg-raise.jpg",4,500,500)</f>
        <v/>
      </c>
      <c r="C32" s="30">
        <v>31.0</v>
      </c>
      <c r="D32" s="16" t="s">
        <v>307</v>
      </c>
      <c r="E32" s="16" t="s">
        <v>184</v>
      </c>
      <c r="F32" s="16" t="s">
        <v>254</v>
      </c>
      <c r="G32" s="16" t="s">
        <v>255</v>
      </c>
      <c r="H32" s="16" t="s">
        <v>256</v>
      </c>
      <c r="I32" s="16" t="s">
        <v>308</v>
      </c>
    </row>
    <row r="33" ht="242.25" customHeight="1">
      <c r="B33" s="32" t="str">
        <f>IMAGE("https://gymvisual.com/14244-catalog_default/alternate-lying-floor-leg-raise-male.jpg",4,500,500)</f>
        <v/>
      </c>
      <c r="C33" s="30">
        <v>32.0</v>
      </c>
      <c r="D33" s="16" t="s">
        <v>309</v>
      </c>
      <c r="E33" s="16" t="s">
        <v>184</v>
      </c>
      <c r="F33" s="16" t="s">
        <v>310</v>
      </c>
      <c r="G33" s="16" t="s">
        <v>255</v>
      </c>
      <c r="H33" s="16" t="s">
        <v>305</v>
      </c>
      <c r="I33" s="16" t="s">
        <v>311</v>
      </c>
    </row>
    <row r="34" ht="242.25" customHeight="1">
      <c r="B34" s="32" t="str">
        <f>IMAGE("https://gymvisual.com/18873-catalog_default/alternate-oblique-crunch.jpg",4,500,500)</f>
        <v/>
      </c>
      <c r="C34" s="30">
        <v>33.0</v>
      </c>
      <c r="D34" s="16" t="s">
        <v>312</v>
      </c>
      <c r="E34" s="16" t="s">
        <v>184</v>
      </c>
      <c r="F34" s="16" t="s">
        <v>254</v>
      </c>
      <c r="G34" s="16" t="s">
        <v>255</v>
      </c>
      <c r="H34" s="16" t="s">
        <v>257</v>
      </c>
      <c r="I34" s="16" t="s">
        <v>256</v>
      </c>
    </row>
    <row r="35" ht="242.25" customHeight="1">
      <c r="B35" s="32" t="str">
        <f>IMAGE("https://gymvisual.com/13976-catalog_default/alternate-sprinter-lunge.jpg",4,500,500)</f>
        <v/>
      </c>
      <c r="C35" s="30">
        <v>34.0</v>
      </c>
      <c r="D35" s="16" t="s">
        <v>313</v>
      </c>
      <c r="E35" s="16" t="s">
        <v>184</v>
      </c>
      <c r="F35" s="16" t="s">
        <v>294</v>
      </c>
      <c r="G35" s="16" t="s">
        <v>255</v>
      </c>
      <c r="H35" s="16" t="s">
        <v>189</v>
      </c>
      <c r="I35" s="16" t="s">
        <v>314</v>
      </c>
    </row>
    <row r="36" ht="242.25" customHeight="1">
      <c r="B36" s="32" t="str">
        <f>IMAGE("https://gymvisual.com/4458-catalog_default/alternate-straight-leg-raise-on-bosu-ball.jpg",4,500,500)</f>
        <v/>
      </c>
      <c r="C36" s="30">
        <v>35.0</v>
      </c>
      <c r="D36" s="16" t="s">
        <v>315</v>
      </c>
      <c r="E36" s="16" t="s">
        <v>184</v>
      </c>
      <c r="F36" s="16" t="s">
        <v>254</v>
      </c>
      <c r="G36" s="16" t="s">
        <v>316</v>
      </c>
      <c r="H36" s="16" t="s">
        <v>305</v>
      </c>
      <c r="I36" s="16" t="s">
        <v>317</v>
      </c>
    </row>
    <row r="37" ht="242.25" customHeight="1">
      <c r="B37" s="32" t="str">
        <f>IMAGE("https://gymvisual.com/23907-catalog_default/alternate-toe-tap-leg-lift.jpg",4,500,500)</f>
        <v/>
      </c>
      <c r="C37" s="30">
        <v>36.0</v>
      </c>
      <c r="D37" s="16" t="s">
        <v>318</v>
      </c>
      <c r="E37" s="16" t="s">
        <v>184</v>
      </c>
      <c r="F37" s="16" t="s">
        <v>185</v>
      </c>
      <c r="G37" s="16" t="s">
        <v>255</v>
      </c>
      <c r="H37" s="16" t="s">
        <v>305</v>
      </c>
      <c r="I37" s="16" t="s">
        <v>319</v>
      </c>
    </row>
    <row r="38" ht="242.25" customHeight="1">
      <c r="B38" s="32" t="str">
        <f>IMAGE("https://gymvisual.com/23607-catalog_default/alternating-hamstring-curl-with-punche.jpg",4,500,500)</f>
        <v/>
      </c>
      <c r="C38" s="30">
        <v>37.0</v>
      </c>
      <c r="D38" s="16" t="s">
        <v>320</v>
      </c>
      <c r="E38" s="16" t="s">
        <v>184</v>
      </c>
      <c r="F38" s="16" t="s">
        <v>321</v>
      </c>
      <c r="G38" s="16" t="s">
        <v>255</v>
      </c>
      <c r="H38" s="16" t="s">
        <v>220</v>
      </c>
      <c r="I38" s="16" t="s">
        <v>220</v>
      </c>
    </row>
    <row r="39" ht="242.25" customHeight="1">
      <c r="B39" s="32" t="str">
        <f>IMAGE("https://gymvisual.com/23605-catalog_default/alternating-step-out.jpg",4,500,500)</f>
        <v/>
      </c>
      <c r="C39" s="30">
        <v>38.0</v>
      </c>
      <c r="D39" s="16" t="s">
        <v>322</v>
      </c>
      <c r="E39" s="16" t="s">
        <v>184</v>
      </c>
      <c r="F39" s="16" t="s">
        <v>321</v>
      </c>
      <c r="G39" s="16" t="s">
        <v>255</v>
      </c>
      <c r="H39" s="16" t="s">
        <v>220</v>
      </c>
      <c r="I39" s="16" t="s">
        <v>220</v>
      </c>
    </row>
    <row r="40" ht="242.25" customHeight="1">
      <c r="B40" s="32" t="str">
        <f>IMAGE("https://gymvisual.com/22187-catalog_default/alternating-superman.jpg",4,500,500)</f>
        <v/>
      </c>
      <c r="C40" s="30">
        <v>39.0</v>
      </c>
      <c r="D40" s="16" t="s">
        <v>323</v>
      </c>
      <c r="E40" s="16" t="s">
        <v>184</v>
      </c>
      <c r="F40" s="16" t="s">
        <v>185</v>
      </c>
      <c r="G40" s="16" t="s">
        <v>255</v>
      </c>
      <c r="H40" s="16" t="s">
        <v>220</v>
      </c>
      <c r="I40" s="16" t="s">
        <v>220</v>
      </c>
    </row>
    <row r="41" ht="242.25" customHeight="1">
      <c r="B41" s="32" t="str">
        <f>IMAGE("https://gymvisual.com/22789-catalog_default/alternating-superman.jpg",4,500,500)</f>
        <v/>
      </c>
      <c r="C41" s="30">
        <v>40.0</v>
      </c>
      <c r="D41" s="16" t="s">
        <v>323</v>
      </c>
      <c r="E41" s="16" t="s">
        <v>184</v>
      </c>
      <c r="F41" s="16" t="s">
        <v>185</v>
      </c>
      <c r="G41" s="16" t="s">
        <v>255</v>
      </c>
      <c r="H41" s="16" t="s">
        <v>267</v>
      </c>
      <c r="I41" s="16" t="s">
        <v>188</v>
      </c>
    </row>
    <row r="42" ht="242.25" customHeight="1">
      <c r="B42" s="32" t="str">
        <f>IMAGE("https://gymvisual.com/6063-catalog_default/ankle-circles.jpg",4,500,500)</f>
        <v/>
      </c>
      <c r="C42" s="30">
        <v>41.0</v>
      </c>
      <c r="D42" s="16" t="s">
        <v>324</v>
      </c>
      <c r="E42" s="16" t="s">
        <v>184</v>
      </c>
      <c r="F42" s="16" t="s">
        <v>325</v>
      </c>
      <c r="G42" s="16" t="s">
        <v>255</v>
      </c>
      <c r="H42" s="16" t="s">
        <v>326</v>
      </c>
      <c r="I42" s="16" t="s">
        <v>220</v>
      </c>
    </row>
    <row r="43" ht="242.25" customHeight="1">
      <c r="B43" s="32" t="str">
        <f>IMAGE("https://gymvisual.com/22105-catalog_default/ankle-circles-female.jpg",4,500,500)</f>
        <v/>
      </c>
      <c r="C43" s="30">
        <v>42.0</v>
      </c>
      <c r="D43" s="16" t="s">
        <v>327</v>
      </c>
      <c r="E43" s="16" t="s">
        <v>184</v>
      </c>
      <c r="F43" s="16" t="s">
        <v>325</v>
      </c>
      <c r="G43" s="16" t="s">
        <v>255</v>
      </c>
      <c r="H43" s="16" t="s">
        <v>326</v>
      </c>
      <c r="I43" s="16" t="s">
        <v>220</v>
      </c>
    </row>
    <row r="44" ht="242.25" customHeight="1">
      <c r="B44" s="32" t="str">
        <f>IMAGE("https://gymvisual.com/13523-catalog_default/archer-pull-up.jpg",4,500,500)</f>
        <v/>
      </c>
      <c r="C44" s="30">
        <v>43.0</v>
      </c>
      <c r="D44" s="16" t="s">
        <v>328</v>
      </c>
      <c r="E44" s="16" t="s">
        <v>184</v>
      </c>
      <c r="F44" s="16" t="s">
        <v>192</v>
      </c>
      <c r="G44" s="16" t="s">
        <v>255</v>
      </c>
      <c r="H44" s="16" t="s">
        <v>329</v>
      </c>
      <c r="I44" s="16" t="s">
        <v>330</v>
      </c>
    </row>
    <row r="45" ht="242.25" customHeight="1">
      <c r="B45" s="32" t="str">
        <f>IMAGE("https://gymvisual.com/13525-catalog_default/archer-push-up.jpg",4,500,500)</f>
        <v/>
      </c>
      <c r="C45" s="30">
        <v>44.0</v>
      </c>
      <c r="D45" s="16" t="s">
        <v>331</v>
      </c>
      <c r="E45" s="16" t="s">
        <v>184</v>
      </c>
      <c r="F45" s="16" t="s">
        <v>234</v>
      </c>
      <c r="G45" s="16" t="s">
        <v>255</v>
      </c>
      <c r="H45" s="16" t="s">
        <v>235</v>
      </c>
      <c r="I45" s="16" t="s">
        <v>243</v>
      </c>
    </row>
    <row r="46" ht="242.25" customHeight="1">
      <c r="B46" s="32" t="str">
        <f>IMAGE("https://gymvisual.com/23569-catalog_default/arm-circles.jpg",4,500,500)</f>
        <v/>
      </c>
      <c r="C46" s="30">
        <v>45.0</v>
      </c>
      <c r="D46" s="16" t="s">
        <v>332</v>
      </c>
      <c r="E46" s="16" t="s">
        <v>184</v>
      </c>
      <c r="F46" s="16" t="s">
        <v>228</v>
      </c>
      <c r="G46" s="16" t="s">
        <v>255</v>
      </c>
      <c r="H46" s="16" t="s">
        <v>333</v>
      </c>
      <c r="I46" s="16" t="s">
        <v>334</v>
      </c>
    </row>
    <row r="47" ht="242.25" customHeight="1">
      <c r="B47" s="32" t="str">
        <f>IMAGE("https://gymvisual.com/23645-catalog_default/arm-crossover-female.jpg",4,500,500)</f>
        <v/>
      </c>
      <c r="C47" s="30">
        <v>46.0</v>
      </c>
      <c r="D47" s="16" t="s">
        <v>335</v>
      </c>
      <c r="E47" s="16" t="s">
        <v>184</v>
      </c>
      <c r="F47" s="16" t="s">
        <v>234</v>
      </c>
      <c r="G47" s="16" t="s">
        <v>255</v>
      </c>
      <c r="H47" s="16" t="s">
        <v>235</v>
      </c>
      <c r="I47" s="16" t="s">
        <v>336</v>
      </c>
    </row>
    <row r="48" ht="242.25" customHeight="1">
      <c r="B48" s="32" t="str">
        <f>IMAGE("https://gymvisual.com/23939-catalog_default/arm-crossover-male.jpg",4,500,500)</f>
        <v/>
      </c>
      <c r="C48" s="30">
        <v>47.0</v>
      </c>
      <c r="D48" s="16" t="s">
        <v>337</v>
      </c>
      <c r="E48" s="16" t="s">
        <v>184</v>
      </c>
      <c r="F48" s="16" t="s">
        <v>234</v>
      </c>
      <c r="G48" s="16" t="s">
        <v>255</v>
      </c>
      <c r="H48" s="16" t="s">
        <v>235</v>
      </c>
      <c r="I48" s="16" t="s">
        <v>336</v>
      </c>
    </row>
    <row r="49" ht="242.25" customHeight="1">
      <c r="B49" s="32" t="str">
        <f>IMAGE("https://gymvisual.com/10217-catalog_default/arm-slingers-hanging-bent-knee-legs.jpg",4,500,500)</f>
        <v/>
      </c>
      <c r="C49" s="30">
        <v>48.0</v>
      </c>
      <c r="D49" s="16" t="s">
        <v>338</v>
      </c>
      <c r="E49" s="16" t="s">
        <v>184</v>
      </c>
      <c r="F49" s="16" t="s">
        <v>254</v>
      </c>
      <c r="G49" s="16" t="s">
        <v>255</v>
      </c>
      <c r="H49" s="16" t="s">
        <v>256</v>
      </c>
      <c r="I49" s="16" t="s">
        <v>339</v>
      </c>
    </row>
    <row r="50" ht="242.25" customHeight="1">
      <c r="B50" s="32" t="str">
        <f>IMAGE("https://gymvisual.com/10049-catalog_default/arm-slingers-hanging-straight-legs.jpg",4,500,500)</f>
        <v/>
      </c>
      <c r="C50" s="30">
        <v>49.0</v>
      </c>
      <c r="D50" s="16" t="s">
        <v>340</v>
      </c>
      <c r="E50" s="16" t="s">
        <v>184</v>
      </c>
      <c r="F50" s="16" t="s">
        <v>254</v>
      </c>
      <c r="G50" s="16" t="s">
        <v>255</v>
      </c>
      <c r="H50" s="16" t="s">
        <v>305</v>
      </c>
      <c r="I50" s="16" t="s">
        <v>341</v>
      </c>
    </row>
    <row r="51" ht="242.25" customHeight="1">
      <c r="B51" s="32" t="str">
        <f>IMAGE("https://gymvisual.com/22488-catalog_default/around-the-world-superman.jpg",4,500,500)</f>
        <v/>
      </c>
      <c r="C51" s="30">
        <v>50.0</v>
      </c>
      <c r="D51" s="16" t="s">
        <v>342</v>
      </c>
      <c r="E51" s="16" t="s">
        <v>184</v>
      </c>
      <c r="F51" s="16" t="s">
        <v>185</v>
      </c>
      <c r="G51" s="16" t="s">
        <v>255</v>
      </c>
      <c r="H51" s="16" t="s">
        <v>220</v>
      </c>
      <c r="I51" s="16" t="s">
        <v>220</v>
      </c>
    </row>
    <row r="52" ht="242.25" customHeight="1">
      <c r="B52" s="32" t="str">
        <f>IMAGE("https://gymvisual.com/20688-catalog_default/around-the-world-superman-hold.jpg",4,500,500)</f>
        <v/>
      </c>
      <c r="C52" s="30">
        <v>51.0</v>
      </c>
      <c r="D52" s="16" t="s">
        <v>343</v>
      </c>
      <c r="E52" s="16" t="s">
        <v>184</v>
      </c>
      <c r="F52" s="16" t="s">
        <v>185</v>
      </c>
      <c r="G52" s="16" t="s">
        <v>255</v>
      </c>
      <c r="H52" s="16" t="s">
        <v>267</v>
      </c>
      <c r="I52" s="16" t="s">
        <v>220</v>
      </c>
    </row>
    <row r="53" ht="242.25" customHeight="1">
      <c r="B53" s="32" t="str">
        <f>IMAGE("https://gymvisual.com/19505-catalog_default/assisted-bulgarian-split-squat.jpg",4,500,500)</f>
        <v/>
      </c>
      <c r="C53" s="30">
        <v>52.0</v>
      </c>
      <c r="D53" s="16" t="s">
        <v>344</v>
      </c>
      <c r="E53" s="16" t="s">
        <v>184</v>
      </c>
      <c r="F53" s="16" t="s">
        <v>285</v>
      </c>
      <c r="G53" s="16" t="s">
        <v>255</v>
      </c>
      <c r="H53" s="16" t="s">
        <v>220</v>
      </c>
      <c r="I53" s="16" t="s">
        <v>220</v>
      </c>
    </row>
    <row r="54" ht="242.25" customHeight="1">
      <c r="B54" s="32" t="str">
        <f>IMAGE("https://gymvisual.com/57-catalog_default/assisted-chest-dip-kneeling.jpg",4,500,500)</f>
        <v/>
      </c>
      <c r="C54" s="30">
        <v>53.0</v>
      </c>
      <c r="D54" s="16" t="s">
        <v>345</v>
      </c>
      <c r="E54" s="16" t="s">
        <v>184</v>
      </c>
      <c r="F54" s="16" t="s">
        <v>234</v>
      </c>
      <c r="G54" s="16" t="s">
        <v>346</v>
      </c>
      <c r="H54" s="16" t="s">
        <v>347</v>
      </c>
      <c r="I54" s="16" t="s">
        <v>348</v>
      </c>
    </row>
    <row r="55" ht="242.25" customHeight="1">
      <c r="B55" s="32" t="str">
        <f>IMAGE("https://gymvisual.com/11143-catalog_default/assisted-chest-dip-kneeling-female.jpg",4,500,500)</f>
        <v/>
      </c>
      <c r="C55" s="30">
        <v>54.0</v>
      </c>
      <c r="D55" s="16" t="s">
        <v>349</v>
      </c>
      <c r="E55" s="16" t="s">
        <v>184</v>
      </c>
      <c r="F55" s="16" t="s">
        <v>234</v>
      </c>
      <c r="G55" s="16" t="s">
        <v>346</v>
      </c>
      <c r="H55" s="16" t="s">
        <v>220</v>
      </c>
      <c r="I55" s="16" t="s">
        <v>220</v>
      </c>
    </row>
    <row r="56" ht="242.25" customHeight="1">
      <c r="B56" s="32" t="str">
        <f>IMAGE("https://gymvisual.com/12556-catalog_default/assisted-chin-tuck.jpg",4,500,500)</f>
        <v/>
      </c>
      <c r="C56" s="30">
        <v>55.0</v>
      </c>
      <c r="D56" s="16" t="s">
        <v>350</v>
      </c>
      <c r="E56" s="16" t="s">
        <v>184</v>
      </c>
      <c r="F56" s="16" t="s">
        <v>351</v>
      </c>
      <c r="G56" s="16" t="s">
        <v>352</v>
      </c>
      <c r="H56" s="16" t="s">
        <v>220</v>
      </c>
      <c r="I56" s="16" t="s">
        <v>220</v>
      </c>
    </row>
    <row r="57" ht="242.25" customHeight="1">
      <c r="B57" s="32" t="str">
        <f>IMAGE("https://gymvisual.com/12558-catalog_default/assisted-chin-tuck-female.jpg",4,500,500)</f>
        <v/>
      </c>
      <c r="C57" s="30">
        <v>56.0</v>
      </c>
      <c r="D57" s="16" t="s">
        <v>353</v>
      </c>
      <c r="E57" s="16" t="s">
        <v>184</v>
      </c>
      <c r="F57" s="16" t="s">
        <v>351</v>
      </c>
      <c r="G57" s="16" t="s">
        <v>255</v>
      </c>
      <c r="H57" s="16" t="s">
        <v>220</v>
      </c>
      <c r="I57" s="16" t="s">
        <v>220</v>
      </c>
    </row>
    <row r="58" ht="242.25" customHeight="1">
      <c r="B58" s="32" t="str">
        <f>IMAGE("https://gymvisual.com/22189-catalog_default/assisted-chin-up-low-bar-position.jpg",4,500,500)</f>
        <v/>
      </c>
      <c r="C58" s="30">
        <v>57.0</v>
      </c>
      <c r="D58" s="16" t="s">
        <v>354</v>
      </c>
      <c r="E58" s="16" t="s">
        <v>184</v>
      </c>
      <c r="F58" s="16" t="s">
        <v>192</v>
      </c>
      <c r="G58" s="16" t="s">
        <v>255</v>
      </c>
      <c r="H58" s="16" t="s">
        <v>220</v>
      </c>
      <c r="I58" s="16" t="s">
        <v>220</v>
      </c>
    </row>
    <row r="59" ht="242.25" customHeight="1">
      <c r="B59" s="32" t="str">
        <f>IMAGE("https://gymvisual.com/22494-catalog_default/assisted-chin-up-squat-position.jpg",4,500,500)</f>
        <v/>
      </c>
      <c r="C59" s="30">
        <v>58.0</v>
      </c>
      <c r="D59" s="16" t="s">
        <v>355</v>
      </c>
      <c r="E59" s="16" t="s">
        <v>184</v>
      </c>
      <c r="F59" s="16" t="s">
        <v>192</v>
      </c>
      <c r="G59" s="16" t="s">
        <v>255</v>
      </c>
      <c r="H59" s="16" t="s">
        <v>220</v>
      </c>
      <c r="I59" s="16" t="s">
        <v>220</v>
      </c>
    </row>
    <row r="60" ht="242.25" customHeight="1">
      <c r="B60" s="32" t="str">
        <f>IMAGE("https://gymvisual.com/11188-catalog_default/assisted-close-grip-underhand-chin-up-female.jpg",4,500,500)</f>
        <v/>
      </c>
      <c r="C60" s="30">
        <v>59.0</v>
      </c>
      <c r="D60" s="16" t="s">
        <v>356</v>
      </c>
      <c r="E60" s="16" t="s">
        <v>184</v>
      </c>
      <c r="F60" s="16" t="s">
        <v>192</v>
      </c>
      <c r="G60" s="16" t="s">
        <v>346</v>
      </c>
      <c r="H60" s="16" t="s">
        <v>329</v>
      </c>
      <c r="I60" s="16" t="s">
        <v>357</v>
      </c>
    </row>
    <row r="61" ht="242.25" customHeight="1">
      <c r="B61" s="32" t="str">
        <f>IMAGE("https://gymvisual.com/4593-catalog_default/assisted-close-grip-underhand-chin-up.jpg",4,500,500)</f>
        <v/>
      </c>
      <c r="C61" s="30">
        <v>60.0</v>
      </c>
      <c r="D61" s="16" t="s">
        <v>358</v>
      </c>
      <c r="E61" s="16" t="s">
        <v>184</v>
      </c>
      <c r="F61" s="16" t="s">
        <v>192</v>
      </c>
      <c r="G61" s="16" t="s">
        <v>346</v>
      </c>
      <c r="H61" s="16" t="s">
        <v>300</v>
      </c>
      <c r="I61" s="16" t="s">
        <v>359</v>
      </c>
    </row>
    <row r="62" ht="242.25" customHeight="1">
      <c r="B62" s="32" t="str">
        <f>IMAGE("https://gymvisual.com/20501-catalog_default/assisted-commando-pull-up.jpg",4,500,500)</f>
        <v/>
      </c>
      <c r="C62" s="30">
        <v>61.0</v>
      </c>
      <c r="D62" s="16" t="s">
        <v>360</v>
      </c>
      <c r="E62" s="16" t="s">
        <v>184</v>
      </c>
      <c r="F62" s="16" t="s">
        <v>361</v>
      </c>
      <c r="G62" s="16" t="s">
        <v>255</v>
      </c>
      <c r="H62" s="16" t="s">
        <v>362</v>
      </c>
      <c r="I62" s="16" t="s">
        <v>357</v>
      </c>
    </row>
    <row r="63" ht="242.25" customHeight="1">
      <c r="B63" s="32" t="str">
        <f>IMAGE("https://gymvisual.com/63-catalog_default/assisted-hanging-knee-raise.jpg",4,500,500)</f>
        <v/>
      </c>
      <c r="C63" s="30">
        <v>62.0</v>
      </c>
      <c r="D63" s="16" t="s">
        <v>363</v>
      </c>
      <c r="E63" s="16" t="s">
        <v>184</v>
      </c>
      <c r="F63" s="16" t="s">
        <v>254</v>
      </c>
      <c r="G63" s="16" t="s">
        <v>352</v>
      </c>
      <c r="H63" s="16" t="s">
        <v>256</v>
      </c>
      <c r="I63" s="16" t="s">
        <v>364</v>
      </c>
    </row>
    <row r="64" ht="242.25" customHeight="1">
      <c r="B64" s="32" t="str">
        <f>IMAGE("https://gymvisual.com/60-catalog_default/assisted-hanging-knee-raise-with-throw-down.jpg",4,500,500)</f>
        <v/>
      </c>
      <c r="C64" s="30">
        <v>63.0</v>
      </c>
      <c r="D64" s="16" t="s">
        <v>365</v>
      </c>
      <c r="E64" s="16" t="s">
        <v>184</v>
      </c>
      <c r="F64" s="16" t="s">
        <v>254</v>
      </c>
      <c r="G64" s="16" t="s">
        <v>352</v>
      </c>
      <c r="H64" s="16" t="s">
        <v>305</v>
      </c>
      <c r="I64" s="16" t="s">
        <v>366</v>
      </c>
    </row>
    <row r="65" ht="242.25" customHeight="1">
      <c r="B65" s="32" t="str">
        <f>IMAGE("https://gymvisual.com/13769-catalog_default/assisted-inverse-leg-curl.jpg",4,500,500)</f>
        <v/>
      </c>
      <c r="C65" s="30">
        <v>64.0</v>
      </c>
      <c r="D65" s="16" t="s">
        <v>367</v>
      </c>
      <c r="E65" s="16" t="s">
        <v>184</v>
      </c>
      <c r="F65" s="16" t="s">
        <v>285</v>
      </c>
      <c r="G65" s="16" t="s">
        <v>352</v>
      </c>
      <c r="H65" s="16" t="s">
        <v>188</v>
      </c>
      <c r="I65" s="16" t="s">
        <v>368</v>
      </c>
    </row>
    <row r="66" ht="242.25" customHeight="1">
      <c r="B66" s="32" t="str">
        <f>IMAGE("https://gymvisual.com/14171-catalog_default/assisted-lying-leg-raise-with-lateral-throw-down.jpg",4,500,500)</f>
        <v/>
      </c>
      <c r="C66" s="30">
        <v>65.0</v>
      </c>
      <c r="D66" s="16" t="s">
        <v>369</v>
      </c>
      <c r="E66" s="16" t="s">
        <v>184</v>
      </c>
      <c r="F66" s="16" t="s">
        <v>254</v>
      </c>
      <c r="G66" s="16" t="s">
        <v>352</v>
      </c>
      <c r="H66" s="16" t="s">
        <v>260</v>
      </c>
      <c r="I66" s="16" t="s">
        <v>366</v>
      </c>
    </row>
    <row r="67" ht="242.25" customHeight="1">
      <c r="B67" s="32" t="str">
        <f>IMAGE("https://gymvisual.com/69-catalog_default/assisted-lying-leg-raise-with-throw-down.jpg",4,500,500)</f>
        <v/>
      </c>
      <c r="C67" s="30">
        <v>66.0</v>
      </c>
      <c r="D67" s="16" t="s">
        <v>370</v>
      </c>
      <c r="E67" s="16" t="s">
        <v>184</v>
      </c>
      <c r="F67" s="16" t="s">
        <v>254</v>
      </c>
      <c r="G67" s="16" t="s">
        <v>352</v>
      </c>
      <c r="H67" s="16" t="s">
        <v>256</v>
      </c>
      <c r="I67" s="16" t="s">
        <v>371</v>
      </c>
    </row>
    <row r="68" ht="242.25" customHeight="1">
      <c r="B68" s="32" t="str">
        <f>IMAGE("https://gymvisual.com/72-catalog_default/assisted-motion-russian-twist.jpg",4,500,500)</f>
        <v/>
      </c>
      <c r="C68" s="30">
        <v>67.0</v>
      </c>
      <c r="D68" s="16" t="s">
        <v>372</v>
      </c>
      <c r="E68" s="16" t="s">
        <v>184</v>
      </c>
      <c r="F68" s="16" t="s">
        <v>254</v>
      </c>
      <c r="G68" s="16" t="s">
        <v>373</v>
      </c>
      <c r="H68" s="16" t="s">
        <v>257</v>
      </c>
      <c r="I68" s="16" t="s">
        <v>256</v>
      </c>
    </row>
    <row r="69" ht="242.25" customHeight="1">
      <c r="B69" s="32" t="str">
        <f>IMAGE("https://gymvisual.com/75-catalog_default/assisted-parallel-close-grip-pull-up.jpg",4,500,500)</f>
        <v/>
      </c>
      <c r="C69" s="30">
        <v>68.0</v>
      </c>
      <c r="D69" s="16" t="s">
        <v>374</v>
      </c>
      <c r="E69" s="16" t="s">
        <v>184</v>
      </c>
      <c r="F69" s="16" t="s">
        <v>192</v>
      </c>
      <c r="G69" s="16" t="s">
        <v>346</v>
      </c>
      <c r="H69" s="16" t="s">
        <v>300</v>
      </c>
      <c r="I69" s="16" t="s">
        <v>375</v>
      </c>
    </row>
    <row r="70" ht="242.25" customHeight="1">
      <c r="B70" s="32" t="str">
        <f>IMAGE("https://gymvisual.com/16536-catalog_default/assisted-pistol-squat-with-bed-sheet.jpg",4,500,500)</f>
        <v/>
      </c>
      <c r="C70" s="30">
        <v>69.0</v>
      </c>
      <c r="D70" s="16" t="s">
        <v>376</v>
      </c>
      <c r="E70" s="16" t="s">
        <v>184</v>
      </c>
      <c r="F70" s="16" t="s">
        <v>285</v>
      </c>
      <c r="G70" s="16" t="s">
        <v>255</v>
      </c>
      <c r="H70" s="16" t="s">
        <v>189</v>
      </c>
      <c r="I70" s="16" t="s">
        <v>190</v>
      </c>
    </row>
    <row r="71" ht="242.25" customHeight="1">
      <c r="B71" s="32" t="str">
        <f>IMAGE("https://gymvisual.com/78-catalog_default/assisted-prone-hamstring.jpg",4,500,500)</f>
        <v/>
      </c>
      <c r="C71" s="30">
        <v>70.0</v>
      </c>
      <c r="D71" s="16" t="s">
        <v>377</v>
      </c>
      <c r="E71" s="16" t="s">
        <v>184</v>
      </c>
      <c r="F71" s="16" t="s">
        <v>285</v>
      </c>
      <c r="G71" s="16" t="s">
        <v>352</v>
      </c>
      <c r="H71" s="16" t="s">
        <v>188</v>
      </c>
      <c r="I71" s="16" t="s">
        <v>220</v>
      </c>
    </row>
    <row r="72" ht="242.25" customHeight="1">
      <c r="B72" s="32" t="str">
        <f>IMAGE("https://gymvisual.com/11146-catalog_default/assisted-pull-up-female.jpg",4,500,500)</f>
        <v/>
      </c>
      <c r="C72" s="30">
        <v>71.0</v>
      </c>
      <c r="D72" s="16" t="s">
        <v>378</v>
      </c>
      <c r="E72" s="16" t="s">
        <v>184</v>
      </c>
      <c r="F72" s="16" t="s">
        <v>192</v>
      </c>
      <c r="G72" s="16" t="s">
        <v>346</v>
      </c>
      <c r="H72" s="16" t="s">
        <v>220</v>
      </c>
      <c r="I72" s="16" t="s">
        <v>220</v>
      </c>
    </row>
    <row r="73" ht="242.25" customHeight="1">
      <c r="B73" s="32" t="str">
        <f>IMAGE("https://gymvisual.com/81-catalog_default/assisted-pull-up.jpg",4,500,500)</f>
        <v/>
      </c>
      <c r="C73" s="30">
        <v>72.0</v>
      </c>
      <c r="D73" s="16" t="s">
        <v>379</v>
      </c>
      <c r="E73" s="16" t="s">
        <v>184</v>
      </c>
      <c r="F73" s="16" t="s">
        <v>192</v>
      </c>
      <c r="G73" s="16" t="s">
        <v>346</v>
      </c>
      <c r="H73" s="16" t="s">
        <v>300</v>
      </c>
      <c r="I73" s="16" t="s">
        <v>380</v>
      </c>
    </row>
    <row r="74" ht="242.25" customHeight="1">
      <c r="B74" s="32" t="str">
        <f>IMAGE("https://gymvisual.com/23502-catalog_default/assisted-single-leg-press.jpg",4,500,500)</f>
        <v/>
      </c>
      <c r="C74" s="30">
        <v>73.0</v>
      </c>
      <c r="D74" s="16" t="s">
        <v>381</v>
      </c>
      <c r="E74" s="16" t="s">
        <v>184</v>
      </c>
      <c r="F74" s="16" t="s">
        <v>285</v>
      </c>
      <c r="G74" s="16" t="s">
        <v>346</v>
      </c>
      <c r="H74" s="16" t="s">
        <v>347</v>
      </c>
      <c r="I74" s="16" t="s">
        <v>382</v>
      </c>
    </row>
    <row r="75" ht="242.25" customHeight="1">
      <c r="B75" s="32" t="str">
        <f>IMAGE("https://gymvisual.com/7562-catalog_default/assisted-sit-up.jpg",4,500,500)</f>
        <v/>
      </c>
      <c r="C75" s="30">
        <v>74.0</v>
      </c>
      <c r="D75" s="16" t="s">
        <v>383</v>
      </c>
      <c r="E75" s="16" t="s">
        <v>184</v>
      </c>
      <c r="F75" s="16" t="s">
        <v>254</v>
      </c>
      <c r="G75" s="16" t="s">
        <v>352</v>
      </c>
      <c r="H75" s="16" t="s">
        <v>256</v>
      </c>
      <c r="I75" s="16" t="s">
        <v>257</v>
      </c>
    </row>
    <row r="76" ht="242.25" customHeight="1">
      <c r="B76" s="32" t="str">
        <f>IMAGE("https://gymvisual.com/6438-catalog_default/assisted-standing-chin-up.jpg",4,500,500)</f>
        <v/>
      </c>
      <c r="C76" s="30">
        <v>75.0</v>
      </c>
      <c r="D76" s="16" t="s">
        <v>384</v>
      </c>
      <c r="E76" s="16" t="s">
        <v>184</v>
      </c>
      <c r="F76" s="16" t="s">
        <v>192</v>
      </c>
      <c r="G76" s="16" t="s">
        <v>346</v>
      </c>
      <c r="H76" s="16" t="s">
        <v>300</v>
      </c>
      <c r="I76" s="16" t="s">
        <v>385</v>
      </c>
    </row>
    <row r="77" ht="242.25" customHeight="1">
      <c r="B77" s="32" t="str">
        <f>IMAGE("https://gymvisual.com/6440-catalog_default/assisted-standing-pull-up.jpg",4,500,500)</f>
        <v/>
      </c>
      <c r="C77" s="30">
        <v>76.0</v>
      </c>
      <c r="D77" s="16" t="s">
        <v>386</v>
      </c>
      <c r="E77" s="16" t="s">
        <v>184</v>
      </c>
      <c r="F77" s="16" t="s">
        <v>192</v>
      </c>
      <c r="G77" s="16" t="s">
        <v>346</v>
      </c>
      <c r="H77" s="16" t="s">
        <v>300</v>
      </c>
      <c r="I77" s="16" t="s">
        <v>387</v>
      </c>
    </row>
    <row r="78" ht="242.25" customHeight="1">
      <c r="B78" s="32" t="str">
        <f>IMAGE("https://gymvisual.com/2926-catalog_default/assisted-standing-triceps-dip.jpg",4,500,500)</f>
        <v/>
      </c>
      <c r="C78" s="30">
        <v>77.0</v>
      </c>
      <c r="D78" s="16" t="s">
        <v>388</v>
      </c>
      <c r="E78" s="16" t="s">
        <v>184</v>
      </c>
      <c r="F78" s="16" t="s">
        <v>219</v>
      </c>
      <c r="G78" s="16" t="s">
        <v>346</v>
      </c>
      <c r="H78" s="16" t="s">
        <v>347</v>
      </c>
      <c r="I78" s="16" t="s">
        <v>389</v>
      </c>
    </row>
    <row r="79" ht="242.25" customHeight="1">
      <c r="B79" s="32" t="str">
        <f>IMAGE("https://gymvisual.com/84-catalog_default/assisted-standing-triceps-extension-with-towel.jpg",4,500,500)</f>
        <v/>
      </c>
      <c r="C79" s="30">
        <v>78.0</v>
      </c>
      <c r="D79" s="16" t="s">
        <v>390</v>
      </c>
      <c r="E79" s="16" t="s">
        <v>184</v>
      </c>
      <c r="F79" s="16" t="s">
        <v>219</v>
      </c>
      <c r="G79" s="16" t="s">
        <v>352</v>
      </c>
      <c r="H79" s="16" t="s">
        <v>223</v>
      </c>
      <c r="I79" s="16" t="s">
        <v>220</v>
      </c>
    </row>
    <row r="80" ht="242.25" customHeight="1">
      <c r="B80" s="32" t="str">
        <f>IMAGE("https://gymvisual.com/87-catalog_default/assisted-triceps-dip-kneeling.jpg",4,500,500)</f>
        <v/>
      </c>
      <c r="C80" s="30">
        <v>79.0</v>
      </c>
      <c r="D80" s="16" t="s">
        <v>391</v>
      </c>
      <c r="E80" s="16" t="s">
        <v>184</v>
      </c>
      <c r="F80" s="16" t="s">
        <v>219</v>
      </c>
      <c r="G80" s="16" t="s">
        <v>346</v>
      </c>
      <c r="H80" s="16" t="s">
        <v>223</v>
      </c>
      <c r="I80" s="16" t="s">
        <v>392</v>
      </c>
    </row>
    <row r="81" ht="242.25" customHeight="1">
      <c r="B81" s="32" t="str">
        <f>IMAGE("https://gymvisual.com/11279-catalog_default/assisted-triceps-dip-kneeling-female.jpg",4,500,500)</f>
        <v/>
      </c>
      <c r="C81" s="30">
        <v>80.0</v>
      </c>
      <c r="D81" s="16" t="s">
        <v>393</v>
      </c>
      <c r="E81" s="16" t="s">
        <v>184</v>
      </c>
      <c r="F81" s="16" t="s">
        <v>219</v>
      </c>
      <c r="G81" s="16" t="s">
        <v>346</v>
      </c>
      <c r="H81" s="16" t="s">
        <v>223</v>
      </c>
      <c r="I81" s="16" t="s">
        <v>394</v>
      </c>
    </row>
    <row r="82" ht="242.25" customHeight="1">
      <c r="B82" s="32" t="str">
        <f>IMAGE("https://gymvisual.com/4416-catalog_default/assisted-weighted-push-up.jpg",4,500,500)</f>
        <v/>
      </c>
      <c r="C82" s="30">
        <v>81.0</v>
      </c>
      <c r="D82" s="16" t="s">
        <v>395</v>
      </c>
      <c r="E82" s="16" t="s">
        <v>184</v>
      </c>
      <c r="F82" s="16" t="s">
        <v>234</v>
      </c>
      <c r="G82" s="16" t="s">
        <v>396</v>
      </c>
      <c r="H82" s="16" t="s">
        <v>347</v>
      </c>
      <c r="I82" s="16" t="s">
        <v>382</v>
      </c>
    </row>
    <row r="83" ht="242.25" customHeight="1">
      <c r="B83" s="32" t="str">
        <f>IMAGE("https://gymvisual.com/10242-catalog_default/assisted-wide-grip-chest-dip-kneeling.jpg",4,500,500)</f>
        <v/>
      </c>
      <c r="C83" s="30">
        <v>82.0</v>
      </c>
      <c r="D83" s="16" t="s">
        <v>397</v>
      </c>
      <c r="E83" s="16" t="s">
        <v>184</v>
      </c>
      <c r="F83" s="16" t="s">
        <v>234</v>
      </c>
      <c r="G83" s="16" t="s">
        <v>346</v>
      </c>
      <c r="H83" s="16" t="s">
        <v>235</v>
      </c>
      <c r="I83" s="16" t="s">
        <v>243</v>
      </c>
    </row>
    <row r="84" ht="242.25" customHeight="1">
      <c r="B84" s="32" t="str">
        <f>IMAGE("https://gymvisual.com/6005-catalog_default/back-extension-on-exercise-ball.jpg",4,500,500)</f>
        <v/>
      </c>
      <c r="C84" s="30">
        <v>83.0</v>
      </c>
      <c r="D84" s="16" t="s">
        <v>398</v>
      </c>
      <c r="E84" s="16" t="s">
        <v>184</v>
      </c>
      <c r="F84" s="16" t="s">
        <v>192</v>
      </c>
      <c r="G84" s="16" t="s">
        <v>399</v>
      </c>
      <c r="H84" s="16" t="s">
        <v>275</v>
      </c>
      <c r="I84" s="16" t="s">
        <v>220</v>
      </c>
    </row>
    <row r="85" ht="242.25" customHeight="1">
      <c r="B85" s="32" t="str">
        <f>IMAGE("https://gymvisual.com/11273-catalog_default/back-forward-leg-swings-female.jpg",4,500,500)</f>
        <v/>
      </c>
      <c r="C85" s="30">
        <v>84.0</v>
      </c>
      <c r="D85" s="16" t="s">
        <v>400</v>
      </c>
      <c r="E85" s="16" t="s">
        <v>184</v>
      </c>
      <c r="F85" s="16" t="s">
        <v>185</v>
      </c>
      <c r="G85" s="16" t="s">
        <v>255</v>
      </c>
      <c r="H85" s="16" t="s">
        <v>401</v>
      </c>
      <c r="I85" s="16" t="s">
        <v>188</v>
      </c>
    </row>
    <row r="86" ht="242.25" customHeight="1">
      <c r="B86" s="32" t="str">
        <f>IMAGE("https://gymvisual.com/14020-catalog_default/back-forward-leg-swings-male.jpg",4,500,500)</f>
        <v/>
      </c>
      <c r="C86" s="30">
        <v>85.0</v>
      </c>
      <c r="D86" s="16" t="s">
        <v>402</v>
      </c>
      <c r="E86" s="16" t="s">
        <v>184</v>
      </c>
      <c r="F86" s="16" t="s">
        <v>185</v>
      </c>
      <c r="G86" s="16" t="s">
        <v>255</v>
      </c>
      <c r="H86" s="16" t="s">
        <v>401</v>
      </c>
      <c r="I86" s="16" t="s">
        <v>220</v>
      </c>
    </row>
    <row r="87" ht="242.25" customHeight="1">
      <c r="B87" s="32" t="str">
        <f>IMAGE("https://gymvisual.com/13531-catalog_default/back-lever.jpg",4,500,500)</f>
        <v/>
      </c>
      <c r="C87" s="30">
        <v>86.0</v>
      </c>
      <c r="D87" s="16" t="s">
        <v>403</v>
      </c>
      <c r="E87" s="16" t="s">
        <v>184</v>
      </c>
      <c r="F87" s="16" t="s">
        <v>192</v>
      </c>
      <c r="G87" s="16" t="s">
        <v>255</v>
      </c>
      <c r="H87" s="16" t="s">
        <v>404</v>
      </c>
      <c r="I87" s="16" t="s">
        <v>405</v>
      </c>
    </row>
    <row r="88" ht="242.25" customHeight="1">
      <c r="B88" s="32" t="str">
        <f>IMAGE("https://gymvisual.com/23643-catalog_default/backhand-raise-female.jpg",4,500,500)</f>
        <v/>
      </c>
      <c r="C88" s="30">
        <v>87.0</v>
      </c>
      <c r="D88" s="16" t="s">
        <v>406</v>
      </c>
      <c r="E88" s="16" t="s">
        <v>184</v>
      </c>
      <c r="F88" s="16" t="s">
        <v>192</v>
      </c>
      <c r="G88" s="16" t="s">
        <v>255</v>
      </c>
      <c r="H88" s="16" t="s">
        <v>407</v>
      </c>
      <c r="I88" s="16" t="s">
        <v>408</v>
      </c>
    </row>
    <row r="89" ht="242.25" customHeight="1">
      <c r="B89" s="32" t="str">
        <f>IMAGE("https://gymvisual.com/90-catalog_default/balance-board.jpg",4,500,500)</f>
        <v/>
      </c>
      <c r="C89" s="30">
        <v>88.0</v>
      </c>
      <c r="D89" s="16" t="s">
        <v>409</v>
      </c>
      <c r="E89" s="16" t="s">
        <v>184</v>
      </c>
      <c r="F89" s="16" t="s">
        <v>325</v>
      </c>
      <c r="G89" s="16" t="s">
        <v>255</v>
      </c>
      <c r="H89" s="16" t="s">
        <v>410</v>
      </c>
      <c r="I89" s="16" t="s">
        <v>220</v>
      </c>
    </row>
    <row r="90" ht="242.25" customHeight="1">
      <c r="B90" s="32" t="str">
        <f>IMAGE("https://gymvisual.com/2571-catalog_default/ball-sit-up-on-stability-ball.jpg",4,500,500)</f>
        <v/>
      </c>
      <c r="C90" s="30">
        <v>89.0</v>
      </c>
      <c r="D90" s="16" t="s">
        <v>411</v>
      </c>
      <c r="E90" s="16" t="s">
        <v>184</v>
      </c>
      <c r="F90" s="16" t="s">
        <v>254</v>
      </c>
      <c r="G90" s="16" t="s">
        <v>399</v>
      </c>
      <c r="H90" s="16" t="s">
        <v>256</v>
      </c>
      <c r="I90" s="16" t="s">
        <v>412</v>
      </c>
    </row>
    <row r="91" ht="242.25" customHeight="1">
      <c r="B91" s="32" t="str">
        <f>IMAGE("https://gymvisual.com/22123-catalog_default/band-45-degrees-biceps-curl-male.jpg",4,500,500)</f>
        <v/>
      </c>
      <c r="C91" s="30">
        <v>90.0</v>
      </c>
      <c r="D91" s="16" t="s">
        <v>413</v>
      </c>
      <c r="E91" s="16" t="s">
        <v>184</v>
      </c>
      <c r="F91" s="16" t="s">
        <v>219</v>
      </c>
      <c r="G91" s="16" t="s">
        <v>291</v>
      </c>
      <c r="H91" s="16" t="s">
        <v>241</v>
      </c>
      <c r="I91" s="16" t="s">
        <v>292</v>
      </c>
    </row>
    <row r="92" ht="242.25" customHeight="1">
      <c r="B92" s="32" t="str">
        <f>IMAGE("https://gymvisual.com/13252-catalog_default/band-alternate-incline-chest-press-with-twist.jpg",4,500,500)</f>
        <v/>
      </c>
      <c r="C92" s="30">
        <v>91.0</v>
      </c>
      <c r="D92" s="16" t="s">
        <v>414</v>
      </c>
      <c r="E92" s="16" t="s">
        <v>184</v>
      </c>
      <c r="F92" s="16" t="s">
        <v>234</v>
      </c>
      <c r="G92" s="16" t="s">
        <v>291</v>
      </c>
      <c r="H92" s="16" t="s">
        <v>415</v>
      </c>
      <c r="I92" s="16" t="s">
        <v>416</v>
      </c>
    </row>
    <row r="93" ht="242.25" customHeight="1">
      <c r="B93" s="32" t="str">
        <f>IMAGE("https://gymvisual.com/13256-catalog_default/band-alternate-lat-pulldown-with-twist.jpg",4,500,500)</f>
        <v/>
      </c>
      <c r="C93" s="30">
        <v>92.0</v>
      </c>
      <c r="D93" s="16" t="s">
        <v>417</v>
      </c>
      <c r="E93" s="16" t="s">
        <v>184</v>
      </c>
      <c r="F93" s="16" t="s">
        <v>192</v>
      </c>
      <c r="G93" s="16" t="s">
        <v>291</v>
      </c>
      <c r="H93" s="16" t="s">
        <v>300</v>
      </c>
      <c r="I93" s="16" t="s">
        <v>418</v>
      </c>
    </row>
    <row r="94" ht="242.25" customHeight="1">
      <c r="B94" s="32" t="str">
        <f>IMAGE("https://gymvisual.com/22744-catalog_default/band-alternate-low-chest-fly-male.jpg",4,500,500)</f>
        <v/>
      </c>
      <c r="C94" s="30">
        <v>93.0</v>
      </c>
      <c r="D94" s="16" t="s">
        <v>419</v>
      </c>
      <c r="E94" s="16" t="s">
        <v>184</v>
      </c>
      <c r="F94" s="16" t="s">
        <v>234</v>
      </c>
      <c r="G94" s="16" t="s">
        <v>291</v>
      </c>
      <c r="H94" s="16" t="s">
        <v>347</v>
      </c>
      <c r="I94" s="16" t="s">
        <v>420</v>
      </c>
    </row>
    <row r="95" ht="242.25" customHeight="1">
      <c r="B95" s="32" t="str">
        <f>IMAGE("https://gymvisual.com/13254-catalog_default/band-alternate-low-row-wtih-twist.jpg",4,500,500)</f>
        <v/>
      </c>
      <c r="C95" s="30">
        <v>94.0</v>
      </c>
      <c r="D95" s="16" t="s">
        <v>421</v>
      </c>
      <c r="E95" s="16" t="s">
        <v>184</v>
      </c>
      <c r="F95" s="16" t="s">
        <v>192</v>
      </c>
      <c r="G95" s="16" t="s">
        <v>291</v>
      </c>
      <c r="H95" s="16" t="s">
        <v>329</v>
      </c>
      <c r="I95" s="16" t="s">
        <v>330</v>
      </c>
    </row>
    <row r="96" ht="242.25" customHeight="1">
      <c r="B96" s="32" t="str">
        <f>IMAGE("https://gymvisual.com/19351-catalog_default/band-alternating-biceps-curl.jpg",4,500,500)</f>
        <v/>
      </c>
      <c r="C96" s="30">
        <v>95.0</v>
      </c>
      <c r="D96" s="16" t="s">
        <v>422</v>
      </c>
      <c r="E96" s="16" t="s">
        <v>184</v>
      </c>
      <c r="F96" s="16" t="s">
        <v>219</v>
      </c>
      <c r="G96" s="16" t="s">
        <v>291</v>
      </c>
      <c r="H96" s="16" t="s">
        <v>241</v>
      </c>
      <c r="I96" s="16" t="s">
        <v>292</v>
      </c>
    </row>
    <row r="97" ht="242.25" customHeight="1">
      <c r="B97" s="32" t="str">
        <f>IMAGE("https://gymvisual.com/2860-catalog_default/band-alternating-v-up.jpg",4,500,500)</f>
        <v/>
      </c>
      <c r="C97" s="30">
        <v>96.0</v>
      </c>
      <c r="D97" s="16" t="s">
        <v>423</v>
      </c>
      <c r="E97" s="16" t="s">
        <v>184</v>
      </c>
      <c r="F97" s="16" t="s">
        <v>254</v>
      </c>
      <c r="G97" s="16" t="s">
        <v>291</v>
      </c>
      <c r="H97" s="16" t="s">
        <v>424</v>
      </c>
      <c r="I97" s="16" t="s">
        <v>425</v>
      </c>
    </row>
    <row r="98" ht="242.25" customHeight="1">
      <c r="B98" s="32" t="str">
        <f>IMAGE("https://gymvisual.com/20696-catalog_default/band-assisted-chin-up-female.jpg",4,500,500)</f>
        <v/>
      </c>
      <c r="C98" s="30">
        <v>97.0</v>
      </c>
      <c r="D98" s="16" t="s">
        <v>426</v>
      </c>
      <c r="E98" s="16" t="s">
        <v>184</v>
      </c>
      <c r="F98" s="16" t="s">
        <v>192</v>
      </c>
      <c r="G98" s="16" t="s">
        <v>291</v>
      </c>
      <c r="H98" s="16" t="s">
        <v>329</v>
      </c>
      <c r="I98" s="16" t="s">
        <v>357</v>
      </c>
    </row>
    <row r="99" ht="242.25" customHeight="1">
      <c r="B99" s="32" t="str">
        <f>IMAGE("https://gymvisual.com/18047-catalog_default/band-assisted-chin-up-from-knee.jpg",4,500,500)</f>
        <v/>
      </c>
      <c r="C99" s="30">
        <v>98.0</v>
      </c>
      <c r="D99" s="16" t="s">
        <v>427</v>
      </c>
      <c r="E99" s="16" t="s">
        <v>184</v>
      </c>
      <c r="F99" s="16" t="s">
        <v>192</v>
      </c>
      <c r="G99" s="16" t="s">
        <v>291</v>
      </c>
      <c r="H99" s="16" t="s">
        <v>329</v>
      </c>
      <c r="I99" s="16" t="s">
        <v>357</v>
      </c>
    </row>
    <row r="100" ht="242.25" customHeight="1">
      <c r="B100" s="32" t="str">
        <f>IMAGE("https://gymvisual.com/18045-catalog_default/band-assisted-dip.jpg",4,500,500)</f>
        <v/>
      </c>
      <c r="C100" s="30">
        <v>99.0</v>
      </c>
      <c r="D100" s="16" t="s">
        <v>428</v>
      </c>
      <c r="E100" s="16" t="s">
        <v>184</v>
      </c>
      <c r="F100" s="16" t="s">
        <v>192</v>
      </c>
      <c r="G100" s="16" t="s">
        <v>291</v>
      </c>
      <c r="H100" s="16" t="s">
        <v>223</v>
      </c>
      <c r="I100" s="16" t="s">
        <v>394</v>
      </c>
    </row>
    <row r="101" ht="242.25" customHeight="1">
      <c r="B101" s="32" t="str">
        <f>IMAGE("https://gymvisual.com/22191-catalog_default/band-assisted-dip-version-2.jpg",4,500,500)</f>
        <v/>
      </c>
      <c r="C101" s="30">
        <v>100.0</v>
      </c>
      <c r="D101" s="16" t="s">
        <v>429</v>
      </c>
      <c r="E101" s="16" t="s">
        <v>184</v>
      </c>
      <c r="F101" s="16" t="s">
        <v>219</v>
      </c>
      <c r="G101" s="16" t="s">
        <v>291</v>
      </c>
      <c r="H101" s="16" t="s">
        <v>220</v>
      </c>
      <c r="I101" s="16" t="s">
        <v>220</v>
      </c>
    </row>
    <row r="102" ht="242.25" customHeight="1">
      <c r="B102" s="32" t="str">
        <f>IMAGE("https://gymvisual.com/22520-catalog_default/band-assisted-floor-glute-ham-raise.jpg",4,500,500)</f>
        <v/>
      </c>
      <c r="C102" s="30">
        <v>101.0</v>
      </c>
      <c r="D102" s="16" t="s">
        <v>430</v>
      </c>
      <c r="E102" s="16" t="s">
        <v>184</v>
      </c>
      <c r="F102" s="16" t="s">
        <v>285</v>
      </c>
      <c r="G102" s="16" t="s">
        <v>291</v>
      </c>
      <c r="H102" s="16" t="s">
        <v>220</v>
      </c>
      <c r="I102" s="16" t="s">
        <v>220</v>
      </c>
    </row>
    <row r="103" ht="242.25" customHeight="1">
      <c r="B103" s="32" t="str">
        <f>IMAGE("https://gymvisual.com/25653-catalog_default/band-assisted-muscle-up.jpg",4,500,500)</f>
        <v/>
      </c>
      <c r="C103" s="30">
        <v>102.0</v>
      </c>
      <c r="D103" s="16" t="s">
        <v>431</v>
      </c>
      <c r="E103" s="16" t="s">
        <v>184</v>
      </c>
      <c r="F103" s="16" t="s">
        <v>192</v>
      </c>
      <c r="G103" s="16" t="s">
        <v>291</v>
      </c>
      <c r="H103" s="16" t="s">
        <v>220</v>
      </c>
      <c r="I103" s="16" t="s">
        <v>220</v>
      </c>
    </row>
    <row r="104" ht="242.25" customHeight="1">
      <c r="B104" s="32" t="str">
        <f>IMAGE("https://gymvisual.com/17081-catalog_default/band-assisted-pull-up-version-3-female.jpg",4,500,500)</f>
        <v/>
      </c>
      <c r="C104" s="30">
        <v>103.0</v>
      </c>
      <c r="D104" s="16" t="s">
        <v>432</v>
      </c>
      <c r="E104" s="16" t="s">
        <v>184</v>
      </c>
      <c r="F104" s="16" t="s">
        <v>192</v>
      </c>
      <c r="G104" s="16" t="s">
        <v>291</v>
      </c>
      <c r="H104" s="16" t="s">
        <v>329</v>
      </c>
      <c r="I104" s="16" t="s">
        <v>357</v>
      </c>
    </row>
    <row r="105" ht="242.25" customHeight="1">
      <c r="B105" s="32" t="str">
        <f>IMAGE("https://gymvisual.com/2861-catalog_default/band-assisted-pull-up.jpg",4,500,500)</f>
        <v/>
      </c>
      <c r="C105" s="30">
        <v>104.0</v>
      </c>
      <c r="D105" s="16" t="s">
        <v>433</v>
      </c>
      <c r="E105" s="16" t="s">
        <v>184</v>
      </c>
      <c r="F105" s="16" t="s">
        <v>192</v>
      </c>
      <c r="G105" s="16" t="s">
        <v>291</v>
      </c>
      <c r="H105" s="16" t="s">
        <v>300</v>
      </c>
      <c r="I105" s="16" t="s">
        <v>434</v>
      </c>
    </row>
    <row r="106" ht="242.25" customHeight="1">
      <c r="B106" s="32" t="str">
        <f>IMAGE("https://gymvisual.com/12351-catalog_default/band-assisted-pull-up-version-3.jpg",4,500,500)</f>
        <v/>
      </c>
      <c r="C106" s="30">
        <v>105.0</v>
      </c>
      <c r="D106" s="16" t="s">
        <v>435</v>
      </c>
      <c r="E106" s="16" t="s">
        <v>184</v>
      </c>
      <c r="F106" s="16" t="s">
        <v>192</v>
      </c>
      <c r="G106" s="16" t="s">
        <v>291</v>
      </c>
      <c r="H106" s="16" t="s">
        <v>300</v>
      </c>
      <c r="I106" s="16" t="s">
        <v>434</v>
      </c>
    </row>
    <row r="107" ht="242.25" customHeight="1">
      <c r="B107" s="32" t="str">
        <f>IMAGE("https://gymvisual.com/2862-catalog_default/band-assisted-wheel-rollout.jpg",4,500,500)</f>
        <v/>
      </c>
      <c r="C107" s="30">
        <v>106.0</v>
      </c>
      <c r="D107" s="16" t="s">
        <v>436</v>
      </c>
      <c r="E107" s="16" t="s">
        <v>184</v>
      </c>
      <c r="F107" s="16" t="s">
        <v>254</v>
      </c>
      <c r="G107" s="16" t="s">
        <v>291</v>
      </c>
      <c r="H107" s="16" t="s">
        <v>271</v>
      </c>
      <c r="I107" s="16" t="s">
        <v>437</v>
      </c>
    </row>
    <row r="108" ht="242.25" customHeight="1">
      <c r="B108" s="32" t="str">
        <f>IMAGE("https://gymvisual.com/11477-catalog_default/band-assisted-wheel-rollout-female.jpg",4,500,500)</f>
        <v/>
      </c>
      <c r="C108" s="30">
        <v>107.0</v>
      </c>
      <c r="D108" s="16" t="s">
        <v>438</v>
      </c>
      <c r="E108" s="16" t="s">
        <v>184</v>
      </c>
      <c r="F108" s="16" t="s">
        <v>254</v>
      </c>
      <c r="G108" s="16" t="s">
        <v>439</v>
      </c>
      <c r="H108" s="16" t="s">
        <v>220</v>
      </c>
      <c r="I108" s="16" t="s">
        <v>220</v>
      </c>
    </row>
    <row r="109" ht="242.25" customHeight="1">
      <c r="B109" s="32" t="str">
        <f>IMAGE("https://gymvisual.com/2782-catalog_default/band-back-extension.jpg",4,500,500)</f>
        <v/>
      </c>
      <c r="C109" s="30">
        <v>108.0</v>
      </c>
      <c r="D109" s="16" t="s">
        <v>440</v>
      </c>
      <c r="E109" s="16" t="s">
        <v>184</v>
      </c>
      <c r="F109" s="16" t="s">
        <v>192</v>
      </c>
      <c r="G109" s="16" t="s">
        <v>291</v>
      </c>
      <c r="H109" s="16" t="s">
        <v>275</v>
      </c>
      <c r="I109" s="16" t="s">
        <v>220</v>
      </c>
    </row>
    <row r="110" ht="242.25" customHeight="1">
      <c r="B110" s="32" t="str">
        <f>IMAGE("https://gymvisual.com/6729-catalog_default/band-behind-neck-shoulder-press.jpg",4,500,500)</f>
        <v/>
      </c>
      <c r="C110" s="30">
        <v>109.0</v>
      </c>
      <c r="D110" s="16" t="s">
        <v>441</v>
      </c>
      <c r="E110" s="16" t="s">
        <v>184</v>
      </c>
      <c r="F110" s="16" t="s">
        <v>228</v>
      </c>
      <c r="G110" s="16" t="s">
        <v>291</v>
      </c>
      <c r="H110" s="16" t="s">
        <v>229</v>
      </c>
      <c r="I110" s="16" t="s">
        <v>442</v>
      </c>
    </row>
    <row r="111" ht="242.25" customHeight="1">
      <c r="B111" s="32" t="str">
        <f>IMAGE("https://gymvisual.com/5943-catalog_default/band-bench-press.jpg",4,500,500)</f>
        <v/>
      </c>
      <c r="C111" s="30">
        <v>110.0</v>
      </c>
      <c r="D111" s="16" t="s">
        <v>443</v>
      </c>
      <c r="E111" s="16" t="s">
        <v>184</v>
      </c>
      <c r="F111" s="16" t="s">
        <v>234</v>
      </c>
      <c r="G111" s="16" t="s">
        <v>291</v>
      </c>
      <c r="H111" s="16" t="s">
        <v>235</v>
      </c>
      <c r="I111" s="16" t="s">
        <v>243</v>
      </c>
    </row>
    <row r="112" ht="242.25" customHeight="1">
      <c r="B112" s="32" t="str">
        <f>IMAGE("https://gymvisual.com/22596-catalog_default/band-bent-over-lat-pulldown.jpg",4,500,500)</f>
        <v/>
      </c>
      <c r="C112" s="30">
        <v>111.0</v>
      </c>
      <c r="D112" s="16" t="s">
        <v>444</v>
      </c>
      <c r="E112" s="16" t="s">
        <v>184</v>
      </c>
      <c r="F112" s="16" t="s">
        <v>192</v>
      </c>
      <c r="G112" s="16" t="s">
        <v>291</v>
      </c>
      <c r="H112" s="16" t="s">
        <v>300</v>
      </c>
      <c r="I112" s="16" t="s">
        <v>445</v>
      </c>
    </row>
    <row r="113" ht="242.25" customHeight="1">
      <c r="B113" s="32" t="str">
        <f>IMAGE("https://gymvisual.com/17142-catalog_default/band-bent-over-row-male.jpg",4,500,500)</f>
        <v/>
      </c>
      <c r="C113" s="30">
        <v>112.0</v>
      </c>
      <c r="D113" s="16" t="s">
        <v>446</v>
      </c>
      <c r="E113" s="16" t="s">
        <v>184</v>
      </c>
      <c r="F113" s="16" t="s">
        <v>192</v>
      </c>
      <c r="G113" s="16" t="s">
        <v>291</v>
      </c>
      <c r="H113" s="16" t="s">
        <v>329</v>
      </c>
      <c r="I113" s="16" t="s">
        <v>447</v>
      </c>
    </row>
    <row r="114" ht="242.25" customHeight="1">
      <c r="B114" s="32" t="str">
        <f>IMAGE("https://gymvisual.com/19006-catalog_default/band-bent-over-wide-grip-row-male.jpg",4,500,500)</f>
        <v/>
      </c>
      <c r="C114" s="30">
        <v>113.0</v>
      </c>
      <c r="D114" s="16" t="s">
        <v>448</v>
      </c>
      <c r="E114" s="16" t="s">
        <v>184</v>
      </c>
      <c r="F114" s="16" t="s">
        <v>192</v>
      </c>
      <c r="G114" s="16" t="s">
        <v>291</v>
      </c>
      <c r="H114" s="16" t="s">
        <v>329</v>
      </c>
      <c r="I114" s="16" t="s">
        <v>447</v>
      </c>
    </row>
    <row r="115" ht="242.25" customHeight="1">
      <c r="B115" s="32" t="str">
        <f>IMAGE("https://gymvisual.com/2877-catalog_default/band-bent-over-hip-extension.jpg",4,500,500)</f>
        <v/>
      </c>
      <c r="C115" s="30">
        <v>114.0</v>
      </c>
      <c r="D115" s="16" t="s">
        <v>449</v>
      </c>
      <c r="E115" s="16" t="s">
        <v>184</v>
      </c>
      <c r="F115" s="16" t="s">
        <v>185</v>
      </c>
      <c r="G115" s="16" t="s">
        <v>291</v>
      </c>
      <c r="H115" s="16" t="s">
        <v>187</v>
      </c>
      <c r="I115" s="16" t="s">
        <v>188</v>
      </c>
    </row>
    <row r="116" ht="242.25" customHeight="1">
      <c r="B116" s="32" t="str">
        <f>IMAGE("https://gymvisual.com/17517-catalog_default/band-bent-over-hip-extension-male.jpg",4,500,500)</f>
        <v/>
      </c>
      <c r="C116" s="30">
        <v>115.0</v>
      </c>
      <c r="D116" s="16" t="s">
        <v>450</v>
      </c>
      <c r="E116" s="16" t="s">
        <v>184</v>
      </c>
      <c r="F116" s="16" t="s">
        <v>185</v>
      </c>
      <c r="G116" s="16" t="s">
        <v>291</v>
      </c>
      <c r="H116" s="16" t="s">
        <v>187</v>
      </c>
      <c r="I116" s="16" t="s">
        <v>188</v>
      </c>
    </row>
    <row r="117" ht="242.25" customHeight="1">
      <c r="B117" s="32" t="str">
        <f>IMAGE("https://gymvisual.com/2784-catalog_default/band-bent-over-rear-lateral-raise.jpg",4,500,500)</f>
        <v/>
      </c>
      <c r="C117" s="30">
        <v>116.0</v>
      </c>
      <c r="D117" s="16" t="s">
        <v>451</v>
      </c>
      <c r="E117" s="16" t="s">
        <v>184</v>
      </c>
      <c r="F117" s="16" t="s">
        <v>228</v>
      </c>
      <c r="G117" s="16" t="s">
        <v>291</v>
      </c>
      <c r="H117" s="16" t="s">
        <v>408</v>
      </c>
      <c r="I117" s="16" t="s">
        <v>452</v>
      </c>
    </row>
    <row r="118" ht="242.25" customHeight="1">
      <c r="B118" s="32" t="str">
        <f>IMAGE("https://gymvisual.com/17364-catalog_default/band-bent-over-rear-lateral-raise-male.jpg",4,500,500)</f>
        <v/>
      </c>
      <c r="C118" s="30">
        <v>117.0</v>
      </c>
      <c r="D118" s="16" t="s">
        <v>453</v>
      </c>
      <c r="E118" s="16" t="s">
        <v>184</v>
      </c>
      <c r="F118" s="16" t="s">
        <v>228</v>
      </c>
      <c r="G118" s="16" t="s">
        <v>291</v>
      </c>
      <c r="H118" s="16" t="s">
        <v>454</v>
      </c>
      <c r="I118" s="16" t="s">
        <v>455</v>
      </c>
    </row>
    <row r="119" ht="242.25" customHeight="1">
      <c r="B119" s="32" t="str">
        <f>IMAGE("https://gymvisual.com/2783-catalog_default/band-bent-over-row.jpg",4,500,500)</f>
        <v/>
      </c>
      <c r="C119" s="30">
        <v>118.0</v>
      </c>
      <c r="D119" s="16" t="s">
        <v>456</v>
      </c>
      <c r="E119" s="16" t="s">
        <v>184</v>
      </c>
      <c r="F119" s="16" t="s">
        <v>192</v>
      </c>
      <c r="G119" s="16" t="s">
        <v>291</v>
      </c>
      <c r="H119" s="16" t="s">
        <v>329</v>
      </c>
      <c r="I119" s="16" t="s">
        <v>457</v>
      </c>
    </row>
    <row r="120" ht="242.25" customHeight="1">
      <c r="B120" s="32" t="str">
        <f>IMAGE("https://gymvisual.com/17859-catalog_default/band-biceps-curl.jpg",4,500,500)</f>
        <v/>
      </c>
      <c r="C120" s="30">
        <v>119.0</v>
      </c>
      <c r="D120" s="16" t="s">
        <v>458</v>
      </c>
      <c r="E120" s="16" t="s">
        <v>184</v>
      </c>
      <c r="F120" s="16" t="s">
        <v>219</v>
      </c>
      <c r="G120" s="16" t="s">
        <v>291</v>
      </c>
      <c r="H120" s="16" t="s">
        <v>220</v>
      </c>
      <c r="I120" s="16" t="s">
        <v>220</v>
      </c>
    </row>
    <row r="121" ht="242.25" customHeight="1">
      <c r="B121" s="32" t="str">
        <f>IMAGE("https://gymvisual.com/18911-catalog_default/band-biceps-curl-version-2.jpg",4,500,500)</f>
        <v/>
      </c>
      <c r="C121" s="30">
        <v>120.0</v>
      </c>
      <c r="D121" s="16" t="s">
        <v>459</v>
      </c>
      <c r="E121" s="16" t="s">
        <v>184</v>
      </c>
      <c r="F121" s="16" t="s">
        <v>219</v>
      </c>
      <c r="G121" s="16" t="s">
        <v>291</v>
      </c>
      <c r="H121" s="16" t="s">
        <v>241</v>
      </c>
      <c r="I121" s="16" t="s">
        <v>292</v>
      </c>
    </row>
    <row r="122" ht="242.25" customHeight="1">
      <c r="B122" s="32" t="str">
        <f>IMAGE("https://gymvisual.com/2863-catalog_default/band-bicycle-crunch.jpg",4,500,500)</f>
        <v/>
      </c>
      <c r="C122" s="30">
        <v>121.0</v>
      </c>
      <c r="D122" s="16" t="s">
        <v>460</v>
      </c>
      <c r="E122" s="16" t="s">
        <v>184</v>
      </c>
      <c r="F122" s="16" t="s">
        <v>254</v>
      </c>
      <c r="G122" s="16" t="s">
        <v>291</v>
      </c>
      <c r="H122" s="16" t="s">
        <v>424</v>
      </c>
      <c r="I122" s="16" t="s">
        <v>461</v>
      </c>
    </row>
    <row r="123" ht="242.25" customHeight="1">
      <c r="B123" s="32" t="str">
        <f>IMAGE("https://gymvisual.com/2785-catalog_default/band-calf-raise.jpg",4,500,500)</f>
        <v/>
      </c>
      <c r="C123" s="30">
        <v>122.0</v>
      </c>
      <c r="D123" s="16" t="s">
        <v>462</v>
      </c>
      <c r="E123" s="16" t="s">
        <v>184</v>
      </c>
      <c r="F123" s="16" t="s">
        <v>325</v>
      </c>
      <c r="G123" s="16" t="s">
        <v>291</v>
      </c>
      <c r="H123" s="16" t="s">
        <v>368</v>
      </c>
      <c r="I123" s="16" t="s">
        <v>463</v>
      </c>
    </row>
    <row r="124" ht="242.25" customHeight="1">
      <c r="B124" s="32" t="str">
        <f>IMAGE("https://gymvisual.com/2864-catalog_default/band-calf-raise-version-2.jpg",4,500,500)</f>
        <v/>
      </c>
      <c r="C124" s="30">
        <v>123.0</v>
      </c>
      <c r="D124" s="16" t="s">
        <v>464</v>
      </c>
      <c r="E124" s="16" t="s">
        <v>184</v>
      </c>
      <c r="F124" s="16" t="s">
        <v>325</v>
      </c>
      <c r="G124" s="16" t="s">
        <v>291</v>
      </c>
      <c r="H124" s="16" t="s">
        <v>368</v>
      </c>
      <c r="I124" s="16" t="s">
        <v>463</v>
      </c>
    </row>
    <row r="125" ht="242.25" customHeight="1">
      <c r="B125" s="32" t="str">
        <f>IMAGE("https://gymvisual.com/6743-catalog_default/band-calf-raise-version-3.jpg",4,500,500)</f>
        <v/>
      </c>
      <c r="C125" s="30">
        <v>124.0</v>
      </c>
      <c r="D125" s="16" t="s">
        <v>465</v>
      </c>
      <c r="E125" s="16" t="s">
        <v>184</v>
      </c>
      <c r="F125" s="16" t="s">
        <v>325</v>
      </c>
      <c r="G125" s="16" t="s">
        <v>291</v>
      </c>
      <c r="H125" s="16" t="s">
        <v>220</v>
      </c>
      <c r="I125" s="16" t="s">
        <v>220</v>
      </c>
    </row>
    <row r="126" ht="242.25" customHeight="1">
      <c r="B126" s="32" t="str">
        <f>IMAGE("https://gymvisual.com/18940-catalog_default/band-chest-fly-male.jpg",4,500,500)</f>
        <v/>
      </c>
      <c r="C126" s="30">
        <v>125.0</v>
      </c>
      <c r="D126" s="16" t="s">
        <v>466</v>
      </c>
      <c r="E126" s="16" t="s">
        <v>184</v>
      </c>
      <c r="F126" s="16" t="s">
        <v>234</v>
      </c>
      <c r="G126" s="16" t="s">
        <v>291</v>
      </c>
      <c r="H126" s="16" t="s">
        <v>235</v>
      </c>
      <c r="I126" s="16" t="s">
        <v>236</v>
      </c>
    </row>
    <row r="127" ht="242.25" customHeight="1">
      <c r="B127" s="32" t="str">
        <f>IMAGE("https://gymvisual.com/22129-catalog_default/band-close-grip-biceps-curl.jpg",4,500,500)</f>
        <v/>
      </c>
      <c r="C127" s="30">
        <v>126.0</v>
      </c>
      <c r="D127" s="16" t="s">
        <v>467</v>
      </c>
      <c r="E127" s="16" t="s">
        <v>184</v>
      </c>
      <c r="F127" s="16" t="s">
        <v>219</v>
      </c>
      <c r="G127" s="16" t="s">
        <v>291</v>
      </c>
      <c r="H127" s="16" t="s">
        <v>241</v>
      </c>
      <c r="I127" s="16" t="s">
        <v>292</v>
      </c>
    </row>
    <row r="128" ht="242.25" customHeight="1">
      <c r="B128" s="32" t="str">
        <f>IMAGE("https://gymvisual.com/19233-catalog_default/band-close-grip-row.jpg",4,500,500)</f>
        <v/>
      </c>
      <c r="C128" s="30">
        <v>127.0</v>
      </c>
      <c r="D128" s="16" t="s">
        <v>468</v>
      </c>
      <c r="E128" s="16" t="s">
        <v>184</v>
      </c>
      <c r="F128" s="16" t="s">
        <v>192</v>
      </c>
      <c r="G128" s="16" t="s">
        <v>291</v>
      </c>
      <c r="H128" s="16" t="s">
        <v>329</v>
      </c>
      <c r="I128" s="16" t="s">
        <v>357</v>
      </c>
    </row>
    <row r="129" ht="242.25" customHeight="1">
      <c r="B129" s="32" t="str">
        <f>IMAGE("https://gymvisual.com/2865-catalog_default/band-close-grip-pulldown.jpg",4,500,500)</f>
        <v/>
      </c>
      <c r="C129" s="30">
        <v>128.0</v>
      </c>
      <c r="D129" s="16" t="s">
        <v>469</v>
      </c>
      <c r="E129" s="16" t="s">
        <v>184</v>
      </c>
      <c r="F129" s="16" t="s">
        <v>192</v>
      </c>
      <c r="G129" s="16" t="s">
        <v>291</v>
      </c>
      <c r="H129" s="16" t="s">
        <v>300</v>
      </c>
      <c r="I129" s="16" t="s">
        <v>470</v>
      </c>
    </row>
    <row r="130" ht="242.25" customHeight="1">
      <c r="B130" s="32" t="str">
        <f>IMAGE("https://gymvisual.com/2866-catalog_default/band-close-grip-push-up.jpg",4,500,500)</f>
        <v/>
      </c>
      <c r="C130" s="30">
        <v>129.0</v>
      </c>
      <c r="D130" s="16" t="s">
        <v>471</v>
      </c>
      <c r="E130" s="16" t="s">
        <v>184</v>
      </c>
      <c r="F130" s="16" t="s">
        <v>219</v>
      </c>
      <c r="G130" s="16" t="s">
        <v>291</v>
      </c>
      <c r="H130" s="16" t="s">
        <v>223</v>
      </c>
      <c r="I130" s="16" t="s">
        <v>472</v>
      </c>
    </row>
    <row r="131" ht="242.25" customHeight="1">
      <c r="B131" s="32" t="str">
        <f>IMAGE("https://gymvisual.com/2867-catalog_default/band-concentration-curl.jpg",4,500,500)</f>
        <v/>
      </c>
      <c r="C131" s="30">
        <v>130.0</v>
      </c>
      <c r="D131" s="16" t="s">
        <v>473</v>
      </c>
      <c r="E131" s="16" t="s">
        <v>184</v>
      </c>
      <c r="F131" s="16" t="s">
        <v>219</v>
      </c>
      <c r="G131" s="16" t="s">
        <v>291</v>
      </c>
      <c r="H131" s="16" t="s">
        <v>232</v>
      </c>
      <c r="I131" s="16" t="s">
        <v>233</v>
      </c>
    </row>
    <row r="132" ht="242.25" customHeight="1">
      <c r="B132" s="32" t="str">
        <f>IMAGE("https://gymvisual.com/22127-catalog_default/band-cross-abduction.jpg",4,500,500)</f>
        <v/>
      </c>
      <c r="C132" s="30">
        <v>131.0</v>
      </c>
      <c r="D132" s="16" t="s">
        <v>474</v>
      </c>
      <c r="E132" s="16" t="s">
        <v>184</v>
      </c>
      <c r="F132" s="16" t="s">
        <v>185</v>
      </c>
      <c r="G132" s="16" t="s">
        <v>291</v>
      </c>
      <c r="H132" s="16" t="s">
        <v>475</v>
      </c>
      <c r="I132" s="16" t="s">
        <v>476</v>
      </c>
    </row>
    <row r="133" ht="242.25" customHeight="1">
      <c r="B133" s="32" t="str">
        <f>IMAGE("https://gymvisual.com/19391-catalog_default/band-cross-body-one-arm-chest-press-male.jpg",4,500,500)</f>
        <v/>
      </c>
      <c r="C133" s="30">
        <v>132.0</v>
      </c>
      <c r="D133" s="16" t="s">
        <v>477</v>
      </c>
      <c r="E133" s="16" t="s">
        <v>184</v>
      </c>
      <c r="F133" s="16" t="s">
        <v>234</v>
      </c>
      <c r="G133" s="16" t="s">
        <v>291</v>
      </c>
      <c r="H133" s="16" t="s">
        <v>347</v>
      </c>
      <c r="I133" s="16" t="s">
        <v>382</v>
      </c>
    </row>
    <row r="134" ht="242.25" customHeight="1">
      <c r="B134" s="32" t="str">
        <f>IMAGE("https://gymvisual.com/22125-catalog_default/band-cross-chest-biceps-curl-male.jpg",4,500,500)</f>
        <v/>
      </c>
      <c r="C134" s="30">
        <v>133.0</v>
      </c>
      <c r="D134" s="16" t="s">
        <v>478</v>
      </c>
      <c r="E134" s="16" t="s">
        <v>184</v>
      </c>
      <c r="F134" s="16" t="s">
        <v>219</v>
      </c>
      <c r="G134" s="16" t="s">
        <v>291</v>
      </c>
      <c r="H134" s="16" t="s">
        <v>241</v>
      </c>
      <c r="I134" s="16" t="s">
        <v>292</v>
      </c>
    </row>
    <row r="135" ht="242.25" customHeight="1">
      <c r="B135" s="32" t="str">
        <f>IMAGE("https://gymvisual.com/2786-catalog_default/band-deadlift.jpg",4,500,500)</f>
        <v/>
      </c>
      <c r="C135" s="30">
        <v>134.0</v>
      </c>
      <c r="D135" s="16" t="s">
        <v>479</v>
      </c>
      <c r="E135" s="16" t="s">
        <v>184</v>
      </c>
      <c r="F135" s="16" t="s">
        <v>185</v>
      </c>
      <c r="G135" s="16" t="s">
        <v>291</v>
      </c>
      <c r="H135" s="16" t="s">
        <v>187</v>
      </c>
      <c r="I135" s="16" t="s">
        <v>480</v>
      </c>
    </row>
    <row r="136" ht="242.25" customHeight="1">
      <c r="B136" s="32" t="str">
        <f>IMAGE("https://gymvisual.com/22181-catalog_default/band-deadlift.jpg",4,500,500)</f>
        <v/>
      </c>
      <c r="C136" s="30">
        <v>135.0</v>
      </c>
      <c r="D136" s="16" t="s">
        <v>481</v>
      </c>
      <c r="E136" s="16" t="s">
        <v>184</v>
      </c>
      <c r="F136" s="16" t="s">
        <v>185</v>
      </c>
      <c r="G136" s="16" t="s">
        <v>291</v>
      </c>
      <c r="H136" s="16" t="s">
        <v>187</v>
      </c>
      <c r="I136" s="16" t="s">
        <v>482</v>
      </c>
    </row>
    <row r="137" ht="242.25" customHeight="1">
      <c r="B137" s="32" t="str">
        <f>IMAGE("https://gymvisual.com/16745-catalog_default/band-deadlift-with-single-arm-row.jpg",4,500,500)</f>
        <v/>
      </c>
      <c r="C137" s="30">
        <v>136.0</v>
      </c>
      <c r="D137" s="16" t="s">
        <v>483</v>
      </c>
      <c r="E137" s="16" t="s">
        <v>184</v>
      </c>
      <c r="F137" s="16" t="s">
        <v>484</v>
      </c>
      <c r="G137" s="16" t="s">
        <v>291</v>
      </c>
      <c r="H137" s="16" t="s">
        <v>220</v>
      </c>
      <c r="I137" s="16" t="s">
        <v>220</v>
      </c>
    </row>
    <row r="138" ht="242.25" customHeight="1">
      <c r="B138" s="32" t="str">
        <f>IMAGE("https://gymvisual.com/17073-catalog_default/band-decline-sit-up-female.jpg",4,500,500)</f>
        <v/>
      </c>
      <c r="C138" s="30">
        <v>137.0</v>
      </c>
      <c r="D138" s="16" t="s">
        <v>485</v>
      </c>
      <c r="E138" s="16" t="s">
        <v>184</v>
      </c>
      <c r="F138" s="16" t="s">
        <v>310</v>
      </c>
      <c r="G138" s="16" t="s">
        <v>291</v>
      </c>
      <c r="H138" s="16" t="s">
        <v>305</v>
      </c>
      <c r="I138" s="16" t="s">
        <v>319</v>
      </c>
    </row>
    <row r="139" ht="242.25" customHeight="1">
      <c r="B139" s="32" t="str">
        <f>IMAGE("https://gymvisual.com/6727-catalog_default/band-decline-sit-up.jpg",4,500,500)</f>
        <v/>
      </c>
      <c r="C139" s="30">
        <v>138.0</v>
      </c>
      <c r="D139" s="16" t="s">
        <v>486</v>
      </c>
      <c r="E139" s="16" t="s">
        <v>184</v>
      </c>
      <c r="F139" s="16" t="s">
        <v>185</v>
      </c>
      <c r="G139" s="16" t="s">
        <v>291</v>
      </c>
      <c r="H139" s="16" t="s">
        <v>271</v>
      </c>
      <c r="I139" s="16" t="s">
        <v>487</v>
      </c>
    </row>
    <row r="140" ht="242.25" customHeight="1">
      <c r="B140" s="32" t="str">
        <f>IMAGE("https://gymvisual.com/6745-catalog_default/band-ez-barbell-close-grip-curl.jpg",4,500,500)</f>
        <v/>
      </c>
      <c r="C140" s="30">
        <v>139.0</v>
      </c>
      <c r="D140" s="16" t="s">
        <v>488</v>
      </c>
      <c r="E140" s="16" t="s">
        <v>184</v>
      </c>
      <c r="F140" s="16" t="s">
        <v>219</v>
      </c>
      <c r="G140" s="16" t="s">
        <v>291</v>
      </c>
      <c r="H140" s="16" t="s">
        <v>220</v>
      </c>
      <c r="I140" s="16" t="s">
        <v>220</v>
      </c>
    </row>
    <row r="141" ht="242.25" customHeight="1">
      <c r="B141" s="32" t="str">
        <f>IMAGE("https://gymvisual.com/2787-catalog_default/band-face-pull.jpg",4,500,500)</f>
        <v/>
      </c>
      <c r="C141" s="30">
        <v>140.0</v>
      </c>
      <c r="D141" s="16" t="s">
        <v>489</v>
      </c>
      <c r="E141" s="16" t="s">
        <v>184</v>
      </c>
      <c r="F141" s="16" t="s">
        <v>228</v>
      </c>
      <c r="G141" s="16" t="s">
        <v>291</v>
      </c>
      <c r="H141" s="16" t="s">
        <v>408</v>
      </c>
      <c r="I141" s="16" t="s">
        <v>490</v>
      </c>
    </row>
    <row r="142" ht="242.25" customHeight="1">
      <c r="B142" s="32" t="str">
        <f>IMAGE("https://gymvisual.com/24796-catalog_default/band-face-pull-male.jpg",4,500,500)</f>
        <v/>
      </c>
      <c r="C142" s="30">
        <v>141.0</v>
      </c>
      <c r="D142" s="16" t="s">
        <v>491</v>
      </c>
      <c r="E142" s="16" t="s">
        <v>184</v>
      </c>
      <c r="F142" s="16" t="s">
        <v>228</v>
      </c>
      <c r="G142" s="16" t="s">
        <v>291</v>
      </c>
      <c r="H142" s="16" t="s">
        <v>408</v>
      </c>
      <c r="I142" s="16" t="s">
        <v>490</v>
      </c>
    </row>
    <row r="143" ht="242.25" customHeight="1">
      <c r="B143" s="32" t="str">
        <f>IMAGE("https://gymvisual.com/12486-catalog_default/band-fixed-back-close-grip-pulldown.jpg",4,500,500)</f>
        <v/>
      </c>
      <c r="C143" s="30">
        <v>142.0</v>
      </c>
      <c r="D143" s="16" t="s">
        <v>492</v>
      </c>
      <c r="E143" s="16" t="s">
        <v>184</v>
      </c>
      <c r="F143" s="16" t="s">
        <v>192</v>
      </c>
      <c r="G143" s="16" t="s">
        <v>291</v>
      </c>
      <c r="H143" s="16" t="s">
        <v>300</v>
      </c>
      <c r="I143" s="16" t="s">
        <v>493</v>
      </c>
    </row>
    <row r="144" ht="242.25" customHeight="1">
      <c r="B144" s="32" t="str">
        <f>IMAGE("https://gymvisual.com/12483-catalog_default/band-fixed-back-underhand-pulldown.jpg",4,500,500)</f>
        <v/>
      </c>
      <c r="C144" s="30">
        <v>143.0</v>
      </c>
      <c r="D144" s="16" t="s">
        <v>494</v>
      </c>
      <c r="E144" s="16" t="s">
        <v>184</v>
      </c>
      <c r="F144" s="16" t="s">
        <v>192</v>
      </c>
      <c r="G144" s="16" t="s">
        <v>291</v>
      </c>
      <c r="H144" s="16" t="s">
        <v>300</v>
      </c>
      <c r="I144" s="16" t="s">
        <v>434</v>
      </c>
    </row>
    <row r="145" ht="242.25" customHeight="1">
      <c r="B145" s="32" t="str">
        <f>IMAGE("https://gymvisual.com/2868-catalog_default/band-front-lateral-raise.jpg",4,500,500)</f>
        <v/>
      </c>
      <c r="C145" s="30">
        <v>144.0</v>
      </c>
      <c r="D145" s="16" t="s">
        <v>495</v>
      </c>
      <c r="E145" s="16" t="s">
        <v>184</v>
      </c>
      <c r="F145" s="16" t="s">
        <v>228</v>
      </c>
      <c r="G145" s="16" t="s">
        <v>291</v>
      </c>
      <c r="H145" s="16" t="s">
        <v>229</v>
      </c>
      <c r="I145" s="16" t="s">
        <v>496</v>
      </c>
    </row>
    <row r="146" ht="242.25" customHeight="1">
      <c r="B146" s="32" t="str">
        <f>IMAGE("https://gymvisual.com/20052-catalog_default/band-front-lateral-raise-female.jpg",4,500,500)</f>
        <v/>
      </c>
      <c r="C146" s="30">
        <v>145.0</v>
      </c>
      <c r="D146" s="16" t="s">
        <v>497</v>
      </c>
      <c r="E146" s="16" t="s">
        <v>184</v>
      </c>
      <c r="F146" s="16" t="s">
        <v>228</v>
      </c>
      <c r="G146" s="16" t="s">
        <v>291</v>
      </c>
      <c r="H146" s="16" t="s">
        <v>454</v>
      </c>
      <c r="I146" s="16" t="s">
        <v>455</v>
      </c>
    </row>
    <row r="147" ht="242.25" customHeight="1">
      <c r="B147" s="32" t="str">
        <f>IMAGE("https://gymvisual.com/16759-catalog_default/band-front-plank-with-single-arm-pulldown.jpg",4,500,500)</f>
        <v/>
      </c>
      <c r="C147" s="30">
        <v>146.0</v>
      </c>
      <c r="D147" s="16" t="s">
        <v>498</v>
      </c>
      <c r="E147" s="16" t="s">
        <v>184</v>
      </c>
      <c r="F147" s="16" t="s">
        <v>361</v>
      </c>
      <c r="G147" s="16" t="s">
        <v>291</v>
      </c>
      <c r="H147" s="16" t="s">
        <v>220</v>
      </c>
      <c r="I147" s="16" t="s">
        <v>220</v>
      </c>
    </row>
    <row r="148" ht="242.25" customHeight="1">
      <c r="B148" s="32" t="str">
        <f>IMAGE("https://gymvisual.com/2869-catalog_default/band-front-raise.jpg",4,500,500)</f>
        <v/>
      </c>
      <c r="C148" s="30">
        <v>147.0</v>
      </c>
      <c r="D148" s="16" t="s">
        <v>499</v>
      </c>
      <c r="E148" s="16" t="s">
        <v>184</v>
      </c>
      <c r="F148" s="16" t="s">
        <v>228</v>
      </c>
      <c r="G148" s="16" t="s">
        <v>291</v>
      </c>
      <c r="H148" s="16" t="s">
        <v>229</v>
      </c>
      <c r="I148" s="16" t="s">
        <v>244</v>
      </c>
    </row>
    <row r="149" ht="242.25" customHeight="1">
      <c r="B149" s="32" t="str">
        <f>IMAGE("https://gymvisual.com/6761-catalog_default/band-good-morning.jpg",4,500,500)</f>
        <v/>
      </c>
      <c r="C149" s="30">
        <v>148.0</v>
      </c>
      <c r="D149" s="16" t="s">
        <v>500</v>
      </c>
      <c r="E149" s="16" t="s">
        <v>184</v>
      </c>
      <c r="F149" s="16" t="s">
        <v>185</v>
      </c>
      <c r="G149" s="16" t="s">
        <v>291</v>
      </c>
      <c r="H149" s="16" t="s">
        <v>220</v>
      </c>
      <c r="I149" s="16" t="s">
        <v>220</v>
      </c>
    </row>
    <row r="150" ht="242.25" customHeight="1">
      <c r="B150" s="32" t="str">
        <f>IMAGE("https://gymvisual.com/19237-catalog_default/band-half-kneeling-chop.jpg",4,500,500)</f>
        <v/>
      </c>
      <c r="C150" s="30">
        <v>149.0</v>
      </c>
      <c r="D150" s="16" t="s">
        <v>501</v>
      </c>
      <c r="E150" s="16" t="s">
        <v>184</v>
      </c>
      <c r="F150" s="16" t="s">
        <v>254</v>
      </c>
      <c r="G150" s="16" t="s">
        <v>291</v>
      </c>
      <c r="H150" s="16" t="s">
        <v>257</v>
      </c>
      <c r="I150" s="16" t="s">
        <v>502</v>
      </c>
    </row>
    <row r="151" ht="242.25" customHeight="1">
      <c r="B151" s="32" t="str">
        <f>IMAGE("https://gymvisual.com/2788-catalog_default/band-hammer-curl.jpg",4,500,500)</f>
        <v/>
      </c>
      <c r="C151" s="30">
        <v>150.0</v>
      </c>
      <c r="D151" s="16" t="s">
        <v>503</v>
      </c>
      <c r="E151" s="16" t="s">
        <v>184</v>
      </c>
      <c r="F151" s="16" t="s">
        <v>214</v>
      </c>
      <c r="G151" s="16" t="s">
        <v>291</v>
      </c>
      <c r="H151" s="16" t="s">
        <v>216</v>
      </c>
      <c r="I151" s="16" t="s">
        <v>217</v>
      </c>
    </row>
    <row r="152" ht="242.25" customHeight="1">
      <c r="B152" s="32" t="str">
        <f>IMAGE("https://gymvisual.com/2789-catalog_default/band-high-fly.jpg",4,500,500)</f>
        <v/>
      </c>
      <c r="C152" s="30">
        <v>151.0</v>
      </c>
      <c r="D152" s="16" t="s">
        <v>504</v>
      </c>
      <c r="E152" s="16" t="s">
        <v>184</v>
      </c>
      <c r="F152" s="16" t="s">
        <v>234</v>
      </c>
      <c r="G152" s="16" t="s">
        <v>291</v>
      </c>
      <c r="H152" s="16" t="s">
        <v>347</v>
      </c>
      <c r="I152" s="16" t="s">
        <v>505</v>
      </c>
    </row>
    <row r="153" ht="242.25" customHeight="1">
      <c r="B153" s="32" t="str">
        <f>IMAGE("https://gymvisual.com/16624-catalog_default/band-high-fly-male.jpg",4,500,500)</f>
        <v/>
      </c>
      <c r="C153" s="30">
        <v>152.0</v>
      </c>
      <c r="D153" s="16" t="s">
        <v>506</v>
      </c>
      <c r="E153" s="16" t="s">
        <v>184</v>
      </c>
      <c r="F153" s="16" t="s">
        <v>234</v>
      </c>
      <c r="G153" s="16" t="s">
        <v>291</v>
      </c>
      <c r="H153" s="16" t="s">
        <v>235</v>
      </c>
      <c r="I153" s="16" t="s">
        <v>236</v>
      </c>
    </row>
    <row r="154" ht="242.25" customHeight="1">
      <c r="B154" s="32" t="str">
        <f>IMAGE("https://gymvisual.com/2790-catalog_default/band-hip-abduction.jpg",4,500,500)</f>
        <v/>
      </c>
      <c r="C154" s="30">
        <v>153.0</v>
      </c>
      <c r="D154" s="16" t="s">
        <v>507</v>
      </c>
      <c r="E154" s="16" t="s">
        <v>184</v>
      </c>
      <c r="F154" s="16" t="s">
        <v>185</v>
      </c>
      <c r="G154" s="16" t="s">
        <v>291</v>
      </c>
      <c r="H154" s="16" t="s">
        <v>508</v>
      </c>
      <c r="I154" s="16" t="s">
        <v>220</v>
      </c>
    </row>
    <row r="155" ht="242.25" customHeight="1">
      <c r="B155" s="32" t="str">
        <f>IMAGE("https://gymvisual.com/17509-catalog_default/band-hip-abduction-male.jpg",4,500,500)</f>
        <v/>
      </c>
      <c r="C155" s="30">
        <v>154.0</v>
      </c>
      <c r="D155" s="16" t="s">
        <v>509</v>
      </c>
      <c r="E155" s="16" t="s">
        <v>184</v>
      </c>
      <c r="F155" s="16" t="s">
        <v>185</v>
      </c>
      <c r="G155" s="16" t="s">
        <v>291</v>
      </c>
      <c r="H155" s="16" t="s">
        <v>475</v>
      </c>
      <c r="I155" s="16" t="s">
        <v>476</v>
      </c>
    </row>
    <row r="156" ht="242.25" customHeight="1">
      <c r="B156" s="32" t="str">
        <f>IMAGE("https://gymvisual.com/17486-catalog_default/band-hip-adduction.jpg",4,500,500)</f>
        <v/>
      </c>
      <c r="C156" s="30">
        <v>155.0</v>
      </c>
      <c r="D156" s="16" t="s">
        <v>510</v>
      </c>
      <c r="E156" s="16" t="s">
        <v>184</v>
      </c>
      <c r="F156" s="16" t="s">
        <v>185</v>
      </c>
      <c r="G156" s="16" t="s">
        <v>291</v>
      </c>
      <c r="H156" s="16" t="s">
        <v>511</v>
      </c>
      <c r="I156" s="16" t="s">
        <v>512</v>
      </c>
    </row>
    <row r="157" ht="242.25" customHeight="1">
      <c r="B157" s="32" t="str">
        <f>IMAGE("https://gymvisual.com/17505-catalog_default/band-hip-adduction-male.jpg",4,500,500)</f>
        <v/>
      </c>
      <c r="C157" s="30">
        <v>156.0</v>
      </c>
      <c r="D157" s="16" t="s">
        <v>513</v>
      </c>
      <c r="E157" s="16" t="s">
        <v>184</v>
      </c>
      <c r="F157" s="16" t="s">
        <v>185</v>
      </c>
      <c r="G157" s="16" t="s">
        <v>291</v>
      </c>
      <c r="H157" s="16" t="s">
        <v>514</v>
      </c>
      <c r="I157" s="16" t="s">
        <v>515</v>
      </c>
    </row>
    <row r="158" ht="242.25" customHeight="1">
      <c r="B158" s="32" t="str">
        <f>IMAGE("https://gymvisual.com/2792-catalog_default/band-hip-extension.jpg",4,500,500)</f>
        <v/>
      </c>
      <c r="C158" s="30">
        <v>157.0</v>
      </c>
      <c r="D158" s="16" t="s">
        <v>516</v>
      </c>
      <c r="E158" s="16" t="s">
        <v>184</v>
      </c>
      <c r="F158" s="16" t="s">
        <v>185</v>
      </c>
      <c r="G158" s="16" t="s">
        <v>291</v>
      </c>
      <c r="H158" s="16" t="s">
        <v>187</v>
      </c>
      <c r="I158" s="16" t="s">
        <v>275</v>
      </c>
    </row>
    <row r="159" ht="242.25" customHeight="1">
      <c r="B159" s="32" t="str">
        <f>IMAGE("https://gymvisual.com/6747-catalog_default/band-hip-flexion.jpg",4,500,500)</f>
        <v/>
      </c>
      <c r="C159" s="30">
        <v>158.0</v>
      </c>
      <c r="D159" s="16" t="s">
        <v>517</v>
      </c>
      <c r="E159" s="16" t="s">
        <v>184</v>
      </c>
      <c r="F159" s="16" t="s">
        <v>185</v>
      </c>
      <c r="G159" s="16" t="s">
        <v>291</v>
      </c>
      <c r="H159" s="16" t="s">
        <v>220</v>
      </c>
      <c r="I159" s="16" t="s">
        <v>220</v>
      </c>
    </row>
    <row r="160" ht="242.25" customHeight="1">
      <c r="B160" s="32" t="str">
        <f>IMAGE("https://gymvisual.com/6260-catalog_default/band-hip-lift.jpg",4,500,500)</f>
        <v/>
      </c>
      <c r="C160" s="30">
        <v>159.0</v>
      </c>
      <c r="D160" s="16" t="s">
        <v>518</v>
      </c>
      <c r="E160" s="16" t="s">
        <v>184</v>
      </c>
      <c r="F160" s="16" t="s">
        <v>185</v>
      </c>
      <c r="G160" s="16" t="s">
        <v>291</v>
      </c>
      <c r="H160" s="16" t="s">
        <v>187</v>
      </c>
      <c r="I160" s="16" t="s">
        <v>188</v>
      </c>
    </row>
    <row r="161" ht="242.25" customHeight="1">
      <c r="B161" s="32" t="str">
        <f>IMAGE("https://gymvisual.com/22119-catalog_default/band-horizontal-biceps-curl-male.jpg",4,500,500)</f>
        <v/>
      </c>
      <c r="C161" s="30">
        <v>160.0</v>
      </c>
      <c r="D161" s="16" t="s">
        <v>519</v>
      </c>
      <c r="E161" s="16" t="s">
        <v>184</v>
      </c>
      <c r="F161" s="16" t="s">
        <v>219</v>
      </c>
      <c r="G161" s="16" t="s">
        <v>291</v>
      </c>
      <c r="H161" s="16" t="s">
        <v>241</v>
      </c>
      <c r="I161" s="16" t="s">
        <v>292</v>
      </c>
    </row>
    <row r="162" ht="242.25" customHeight="1">
      <c r="B162" s="32" t="str">
        <f>IMAGE("https://gymvisual.com/2870-catalog_default/band-horizontal-pallof-press.jpg",4,500,500)</f>
        <v/>
      </c>
      <c r="C162" s="30">
        <v>161.0</v>
      </c>
      <c r="D162" s="16" t="s">
        <v>520</v>
      </c>
      <c r="E162" s="16" t="s">
        <v>184</v>
      </c>
      <c r="F162" s="16" t="s">
        <v>254</v>
      </c>
      <c r="G162" s="16" t="s">
        <v>291</v>
      </c>
      <c r="H162" s="16" t="s">
        <v>257</v>
      </c>
      <c r="I162" s="16" t="s">
        <v>220</v>
      </c>
    </row>
    <row r="163" ht="242.25" customHeight="1">
      <c r="B163" s="32" t="str">
        <f>IMAGE("https://gymvisual.com/14058-catalog_default/band-horizontal-pallof-press-with-resistance-band-squat.jpg",4,500,500)</f>
        <v/>
      </c>
      <c r="C163" s="30">
        <v>162.0</v>
      </c>
      <c r="D163" s="16" t="s">
        <v>521</v>
      </c>
      <c r="E163" s="16" t="s">
        <v>184</v>
      </c>
      <c r="F163" s="16" t="s">
        <v>522</v>
      </c>
      <c r="G163" s="16" t="s">
        <v>523</v>
      </c>
      <c r="H163" s="16" t="s">
        <v>524</v>
      </c>
      <c r="I163" s="16" t="s">
        <v>220</v>
      </c>
    </row>
    <row r="164" ht="242.25" customHeight="1">
      <c r="B164" s="32" t="str">
        <f>IMAGE("https://gymvisual.com/2871-catalog_default/band-hyperextension.jpg",4,500,500)</f>
        <v/>
      </c>
      <c r="C164" s="30">
        <v>163.0</v>
      </c>
      <c r="D164" s="16" t="s">
        <v>525</v>
      </c>
      <c r="E164" s="16" t="s">
        <v>184</v>
      </c>
      <c r="F164" s="16" t="s">
        <v>192</v>
      </c>
      <c r="G164" s="16" t="s">
        <v>291</v>
      </c>
      <c r="H164" s="16" t="s">
        <v>267</v>
      </c>
      <c r="I164" s="16" t="s">
        <v>220</v>
      </c>
    </row>
    <row r="165" ht="242.25" customHeight="1">
      <c r="B165" s="32" t="str">
        <f>IMAGE("https://gymvisual.com/19565-catalog_default/band-incline-bench-press.jpg",4,500,500)</f>
        <v/>
      </c>
      <c r="C165" s="30">
        <v>164.0</v>
      </c>
      <c r="D165" s="16" t="s">
        <v>526</v>
      </c>
      <c r="E165" s="16" t="s">
        <v>184</v>
      </c>
      <c r="F165" s="16" t="s">
        <v>234</v>
      </c>
      <c r="G165" s="16" t="s">
        <v>291</v>
      </c>
      <c r="H165" s="16" t="s">
        <v>220</v>
      </c>
      <c r="I165" s="16" t="s">
        <v>220</v>
      </c>
    </row>
    <row r="166" ht="242.25" customHeight="1">
      <c r="B166" s="32" t="str">
        <f>IMAGE("https://gymvisual.com/11182-catalog_default/band-jack-knife-sit-up-female.jpg",4,500,500)</f>
        <v/>
      </c>
      <c r="C166" s="30">
        <v>165.0</v>
      </c>
      <c r="D166" s="16" t="s">
        <v>527</v>
      </c>
      <c r="E166" s="16" t="s">
        <v>184</v>
      </c>
      <c r="F166" s="16" t="s">
        <v>310</v>
      </c>
      <c r="G166" s="16" t="s">
        <v>291</v>
      </c>
      <c r="H166" s="16" t="s">
        <v>220</v>
      </c>
      <c r="I166" s="16" t="s">
        <v>220</v>
      </c>
    </row>
    <row r="167" ht="242.25" customHeight="1">
      <c r="B167" s="32" t="str">
        <f>IMAGE("https://gymvisual.com/2878-catalog_default/band-jack-knife-sit-up.jpg",4,500,500)</f>
        <v/>
      </c>
      <c r="C167" s="30">
        <v>166.0</v>
      </c>
      <c r="D167" s="16" t="s">
        <v>528</v>
      </c>
      <c r="E167" s="16" t="s">
        <v>184</v>
      </c>
      <c r="F167" s="16" t="s">
        <v>254</v>
      </c>
      <c r="G167" s="16" t="s">
        <v>291</v>
      </c>
      <c r="H167" s="16" t="s">
        <v>305</v>
      </c>
      <c r="I167" s="16" t="s">
        <v>529</v>
      </c>
    </row>
    <row r="168" ht="242.25" customHeight="1">
      <c r="B168" s="32" t="str">
        <f>IMAGE("https://gymvisual.com/2794-catalog_default/band-kickback.jpg",4,500,500)</f>
        <v/>
      </c>
      <c r="C168" s="30">
        <v>167.0</v>
      </c>
      <c r="D168" s="16" t="s">
        <v>530</v>
      </c>
      <c r="E168" s="16" t="s">
        <v>184</v>
      </c>
      <c r="F168" s="16" t="s">
        <v>219</v>
      </c>
      <c r="G168" s="16" t="s">
        <v>291</v>
      </c>
      <c r="H168" s="16" t="s">
        <v>223</v>
      </c>
      <c r="I168" s="16" t="s">
        <v>220</v>
      </c>
    </row>
    <row r="169" ht="242.25" customHeight="1">
      <c r="B169" s="32" t="str">
        <f>IMAGE("https://gymvisual.com/2872-catalog_default/band-kneeling-crunch.jpg",4,500,500)</f>
        <v/>
      </c>
      <c r="C169" s="30">
        <v>168.0</v>
      </c>
      <c r="D169" s="16" t="s">
        <v>531</v>
      </c>
      <c r="E169" s="16" t="s">
        <v>184</v>
      </c>
      <c r="F169" s="16" t="s">
        <v>254</v>
      </c>
      <c r="G169" s="16" t="s">
        <v>291</v>
      </c>
      <c r="H169" s="16" t="s">
        <v>256</v>
      </c>
      <c r="I169" s="16" t="s">
        <v>257</v>
      </c>
    </row>
    <row r="170" ht="242.25" customHeight="1">
      <c r="B170" s="32" t="str">
        <f>IMAGE("https://gymvisual.com/22113-catalog_default/band-kneeling-crunch-male.jpg",4,500,500)</f>
        <v/>
      </c>
      <c r="C170" s="30">
        <v>169.0</v>
      </c>
      <c r="D170" s="16" t="s">
        <v>532</v>
      </c>
      <c r="E170" s="16" t="s">
        <v>184</v>
      </c>
      <c r="F170" s="16" t="s">
        <v>254</v>
      </c>
      <c r="G170" s="16" t="s">
        <v>291</v>
      </c>
      <c r="H170" s="16" t="s">
        <v>256</v>
      </c>
      <c r="I170" s="16" t="s">
        <v>257</v>
      </c>
    </row>
    <row r="171" ht="242.25" customHeight="1">
      <c r="B171" s="32" t="str">
        <f>IMAGE("https://gymvisual.com/22193-catalog_default/band-kneeling-crunch-version-2-female.jpg",4,500,500)</f>
        <v/>
      </c>
      <c r="C171" s="30">
        <v>170.0</v>
      </c>
      <c r="D171" s="16" t="s">
        <v>533</v>
      </c>
      <c r="E171" s="16" t="s">
        <v>184</v>
      </c>
      <c r="F171" s="16" t="s">
        <v>254</v>
      </c>
      <c r="G171" s="16" t="s">
        <v>291</v>
      </c>
      <c r="H171" s="16" t="s">
        <v>220</v>
      </c>
      <c r="I171" s="16" t="s">
        <v>220</v>
      </c>
    </row>
    <row r="172" ht="242.25" customHeight="1">
      <c r="B172" s="32" t="str">
        <f>IMAGE("https://gymvisual.com/18913-catalog_default/band-kneeling-lat-pulldown.jpg",4,500,500)</f>
        <v/>
      </c>
      <c r="C172" s="30">
        <v>171.0</v>
      </c>
      <c r="D172" s="16" t="s">
        <v>534</v>
      </c>
      <c r="E172" s="16" t="s">
        <v>184</v>
      </c>
      <c r="F172" s="16" t="s">
        <v>192</v>
      </c>
      <c r="G172" s="16" t="s">
        <v>291</v>
      </c>
      <c r="H172" s="16" t="s">
        <v>300</v>
      </c>
      <c r="I172" s="16" t="s">
        <v>535</v>
      </c>
    </row>
    <row r="173" ht="242.25" customHeight="1">
      <c r="B173" s="32" t="str">
        <f>IMAGE("https://gymvisual.com/2880-catalog_default/band-kneeling-one-arm-pulldown.jpg",4,500,500)</f>
        <v/>
      </c>
      <c r="C173" s="30">
        <v>172.0</v>
      </c>
      <c r="D173" s="16" t="s">
        <v>536</v>
      </c>
      <c r="E173" s="16" t="s">
        <v>184</v>
      </c>
      <c r="F173" s="16" t="s">
        <v>192</v>
      </c>
      <c r="G173" s="16" t="s">
        <v>291</v>
      </c>
      <c r="H173" s="16" t="s">
        <v>300</v>
      </c>
      <c r="I173" s="16" t="s">
        <v>537</v>
      </c>
    </row>
    <row r="174" ht="242.25" customHeight="1">
      <c r="B174" s="32" t="str">
        <f>IMAGE("https://gymvisual.com/17077-catalog_default/band-kneeling-one-arm-pulldown-female.jpg",4,500,500)</f>
        <v/>
      </c>
      <c r="C174" s="30">
        <v>173.0</v>
      </c>
      <c r="D174" s="16" t="s">
        <v>538</v>
      </c>
      <c r="E174" s="16" t="s">
        <v>184</v>
      </c>
      <c r="F174" s="16" t="s">
        <v>192</v>
      </c>
      <c r="G174" s="16" t="s">
        <v>291</v>
      </c>
      <c r="H174" s="16" t="s">
        <v>300</v>
      </c>
      <c r="I174" s="16" t="s">
        <v>387</v>
      </c>
    </row>
    <row r="175" ht="242.25" customHeight="1">
      <c r="B175" s="32" t="str">
        <f>IMAGE("https://gymvisual.com/20555-catalog_default/band-kneeling-preacher-curl-male.jpg",4,500,500)</f>
        <v/>
      </c>
      <c r="C175" s="30">
        <v>174.0</v>
      </c>
      <c r="D175" s="16" t="s">
        <v>539</v>
      </c>
      <c r="E175" s="16" t="s">
        <v>184</v>
      </c>
      <c r="F175" s="16" t="s">
        <v>219</v>
      </c>
      <c r="G175" s="16" t="s">
        <v>291</v>
      </c>
      <c r="H175" s="16" t="s">
        <v>241</v>
      </c>
      <c r="I175" s="16" t="s">
        <v>292</v>
      </c>
    </row>
    <row r="176" ht="242.25" customHeight="1">
      <c r="B176" s="32" t="str">
        <f>IMAGE("https://gymvisual.com/2796-catalog_default/band-kneeling-pulldown.jpg",4,500,500)</f>
        <v/>
      </c>
      <c r="C176" s="30">
        <v>175.0</v>
      </c>
      <c r="D176" s="16" t="s">
        <v>540</v>
      </c>
      <c r="E176" s="16" t="s">
        <v>184</v>
      </c>
      <c r="F176" s="16" t="s">
        <v>192</v>
      </c>
      <c r="G176" s="16" t="s">
        <v>291</v>
      </c>
      <c r="H176" s="16" t="s">
        <v>300</v>
      </c>
      <c r="I176" s="16" t="s">
        <v>387</v>
      </c>
    </row>
    <row r="177" ht="242.25" customHeight="1">
      <c r="B177" s="32" t="str">
        <f>IMAGE("https://gymvisual.com/2873-catalog_default/band-kneeling-rear-kick.jpg",4,500,500)</f>
        <v/>
      </c>
      <c r="C177" s="30">
        <v>176.0</v>
      </c>
      <c r="D177" s="16" t="s">
        <v>541</v>
      </c>
      <c r="E177" s="16" t="s">
        <v>184</v>
      </c>
      <c r="F177" s="16" t="s">
        <v>185</v>
      </c>
      <c r="G177" s="16" t="s">
        <v>291</v>
      </c>
      <c r="H177" s="16" t="s">
        <v>187</v>
      </c>
      <c r="I177" s="16" t="s">
        <v>220</v>
      </c>
    </row>
    <row r="178" ht="242.25" customHeight="1">
      <c r="B178" s="32" t="str">
        <f>IMAGE("https://gymvisual.com/2882-catalog_default/band-kneeling-twisting-crunch.jpg",4,500,500)</f>
        <v/>
      </c>
      <c r="C178" s="30">
        <v>177.0</v>
      </c>
      <c r="D178" s="16" t="s">
        <v>542</v>
      </c>
      <c r="E178" s="16" t="s">
        <v>184</v>
      </c>
      <c r="F178" s="16" t="s">
        <v>254</v>
      </c>
      <c r="G178" s="16" t="s">
        <v>291</v>
      </c>
      <c r="H178" s="16" t="s">
        <v>257</v>
      </c>
      <c r="I178" s="16" t="s">
        <v>256</v>
      </c>
    </row>
    <row r="179" ht="242.25" customHeight="1">
      <c r="B179" s="32" t="str">
        <f>IMAGE("https://gymvisual.com/2798-catalog_default/band-lateral-raise.jpg",4,500,500)</f>
        <v/>
      </c>
      <c r="C179" s="30">
        <v>178.0</v>
      </c>
      <c r="D179" s="16" t="s">
        <v>543</v>
      </c>
      <c r="E179" s="16" t="s">
        <v>184</v>
      </c>
      <c r="F179" s="16" t="s">
        <v>228</v>
      </c>
      <c r="G179" s="16" t="s">
        <v>291</v>
      </c>
      <c r="H179" s="16" t="s">
        <v>544</v>
      </c>
      <c r="I179" s="16" t="s">
        <v>545</v>
      </c>
    </row>
    <row r="180" ht="242.25" customHeight="1">
      <c r="B180" s="32" t="str">
        <f>IMAGE("https://gymvisual.com/6749-catalog_default/band-lateral-raise-version-2.jpg",4,500,500)</f>
        <v/>
      </c>
      <c r="C180" s="30">
        <v>179.0</v>
      </c>
      <c r="D180" s="16" t="s">
        <v>546</v>
      </c>
      <c r="E180" s="16" t="s">
        <v>184</v>
      </c>
      <c r="F180" s="16" t="s">
        <v>228</v>
      </c>
      <c r="G180" s="16" t="s">
        <v>291</v>
      </c>
      <c r="H180" s="16" t="s">
        <v>544</v>
      </c>
      <c r="I180" s="16" t="s">
        <v>545</v>
      </c>
    </row>
    <row r="181" ht="242.25" customHeight="1">
      <c r="B181" s="32" t="str">
        <f>IMAGE("https://gymvisual.com/22742-catalog_default/band-low-alternate-chest-press-male.jpg",4,500,500)</f>
        <v/>
      </c>
      <c r="C181" s="30">
        <v>180.0</v>
      </c>
      <c r="D181" s="16" t="s">
        <v>547</v>
      </c>
      <c r="E181" s="16" t="s">
        <v>184</v>
      </c>
      <c r="F181" s="16" t="s">
        <v>234</v>
      </c>
      <c r="G181" s="16" t="s">
        <v>291</v>
      </c>
      <c r="H181" s="16" t="s">
        <v>347</v>
      </c>
      <c r="I181" s="16" t="s">
        <v>382</v>
      </c>
    </row>
    <row r="182" ht="242.25" customHeight="1">
      <c r="B182" s="32" t="str">
        <f>IMAGE("https://gymvisual.com/18938-catalog_default/band-low-chest-fly-male.jpg",4,500,500)</f>
        <v/>
      </c>
      <c r="C182" s="30">
        <v>181.0</v>
      </c>
      <c r="D182" s="16" t="s">
        <v>548</v>
      </c>
      <c r="E182" s="16" t="s">
        <v>184</v>
      </c>
      <c r="F182" s="16" t="s">
        <v>234</v>
      </c>
      <c r="G182" s="16" t="s">
        <v>291</v>
      </c>
      <c r="H182" s="16" t="s">
        <v>235</v>
      </c>
      <c r="I182" s="16" t="s">
        <v>236</v>
      </c>
    </row>
    <row r="183" ht="242.25" customHeight="1">
      <c r="B183" s="32" t="str">
        <f>IMAGE("https://gymvisual.com/18907-catalog_default/band-low-chest-press-male.jpg",4,500,500)</f>
        <v/>
      </c>
      <c r="C183" s="30">
        <v>182.0</v>
      </c>
      <c r="D183" s="16" t="s">
        <v>549</v>
      </c>
      <c r="E183" s="16" t="s">
        <v>184</v>
      </c>
      <c r="F183" s="16" t="s">
        <v>234</v>
      </c>
      <c r="G183" s="16" t="s">
        <v>291</v>
      </c>
      <c r="H183" s="16" t="s">
        <v>235</v>
      </c>
      <c r="I183" s="16" t="s">
        <v>243</v>
      </c>
    </row>
    <row r="184" ht="242.25" customHeight="1">
      <c r="B184" s="32" t="str">
        <f>IMAGE("https://gymvisual.com/2799-catalog_default/band-low-fly.jpg",4,500,500)</f>
        <v/>
      </c>
      <c r="C184" s="30">
        <v>183.0</v>
      </c>
      <c r="D184" s="16" t="s">
        <v>550</v>
      </c>
      <c r="E184" s="16" t="s">
        <v>184</v>
      </c>
      <c r="F184" s="16" t="s">
        <v>234</v>
      </c>
      <c r="G184" s="16" t="s">
        <v>291</v>
      </c>
      <c r="H184" s="16" t="s">
        <v>415</v>
      </c>
      <c r="I184" s="16" t="s">
        <v>236</v>
      </c>
    </row>
    <row r="185" ht="242.25" customHeight="1">
      <c r="B185" s="32" t="str">
        <f>IMAGE("https://gymvisual.com/2800-catalog_default/band-lunges.jpg",4,500,500)</f>
        <v/>
      </c>
      <c r="C185" s="30">
        <v>184.0</v>
      </c>
      <c r="D185" s="16" t="s">
        <v>551</v>
      </c>
      <c r="E185" s="16" t="s">
        <v>184</v>
      </c>
      <c r="F185" s="16" t="s">
        <v>285</v>
      </c>
      <c r="G185" s="16" t="s">
        <v>291</v>
      </c>
      <c r="H185" s="16" t="s">
        <v>552</v>
      </c>
      <c r="I185" s="16" t="s">
        <v>553</v>
      </c>
    </row>
    <row r="186" ht="242.25" customHeight="1">
      <c r="B186" s="32" t="str">
        <f>IMAGE("https://gymvisual.com/2879-catalog_default/band-lying-hip-external-rotation.jpg",4,500,500)</f>
        <v/>
      </c>
      <c r="C186" s="30">
        <v>185.0</v>
      </c>
      <c r="D186" s="16" t="s">
        <v>554</v>
      </c>
      <c r="E186" s="16" t="s">
        <v>184</v>
      </c>
      <c r="F186" s="16" t="s">
        <v>185</v>
      </c>
      <c r="G186" s="16" t="s">
        <v>291</v>
      </c>
      <c r="H186" s="16" t="s">
        <v>555</v>
      </c>
      <c r="I186" s="16" t="s">
        <v>220</v>
      </c>
    </row>
    <row r="187" ht="242.25" customHeight="1">
      <c r="B187" s="32" t="str">
        <f>IMAGE("https://gymvisual.com/13313-catalog_default/band-lying-hip-external-rotation-female.jpg",4,500,500)</f>
        <v/>
      </c>
      <c r="C187" s="30">
        <v>186.0</v>
      </c>
      <c r="D187" s="16" t="s">
        <v>556</v>
      </c>
      <c r="E187" s="16" t="s">
        <v>184</v>
      </c>
      <c r="F187" s="16" t="s">
        <v>185</v>
      </c>
      <c r="G187" s="16" t="s">
        <v>255</v>
      </c>
      <c r="H187" s="16" t="s">
        <v>220</v>
      </c>
      <c r="I187" s="16" t="s">
        <v>220</v>
      </c>
    </row>
    <row r="188" ht="242.25" customHeight="1">
      <c r="B188" s="32" t="str">
        <f>IMAGE("https://gymvisual.com/2881-catalog_default/band-lying-hip-internal-rotation.jpg",4,500,500)</f>
        <v/>
      </c>
      <c r="C188" s="30">
        <v>187.0</v>
      </c>
      <c r="D188" s="16" t="s">
        <v>557</v>
      </c>
      <c r="E188" s="16" t="s">
        <v>184</v>
      </c>
      <c r="F188" s="16" t="s">
        <v>185</v>
      </c>
      <c r="G188" s="16" t="s">
        <v>291</v>
      </c>
      <c r="H188" s="16" t="s">
        <v>508</v>
      </c>
      <c r="I188" s="16" t="s">
        <v>220</v>
      </c>
    </row>
    <row r="189" ht="242.25" customHeight="1">
      <c r="B189" s="32" t="str">
        <f>IMAGE("https://gymvisual.com/13315-catalog_default/band-lying-hip-internal-rotation-female.jpg",4,500,500)</f>
        <v/>
      </c>
      <c r="C189" s="30">
        <v>188.0</v>
      </c>
      <c r="D189" s="16" t="s">
        <v>558</v>
      </c>
      <c r="E189" s="16" t="s">
        <v>184</v>
      </c>
      <c r="F189" s="16" t="s">
        <v>185</v>
      </c>
      <c r="G189" s="16" t="s">
        <v>291</v>
      </c>
      <c r="H189" s="16" t="s">
        <v>220</v>
      </c>
      <c r="I189" s="16" t="s">
        <v>220</v>
      </c>
    </row>
    <row r="190" ht="242.25" customHeight="1">
      <c r="B190" s="32" t="str">
        <f>IMAGE("https://gymvisual.com/2801-catalog_default/band-lying-leg-and-hip-raise.jpg",4,500,500)</f>
        <v/>
      </c>
      <c r="C190" s="30">
        <v>189.0</v>
      </c>
      <c r="D190" s="16" t="s">
        <v>559</v>
      </c>
      <c r="E190" s="16" t="s">
        <v>184</v>
      </c>
      <c r="F190" s="16" t="s">
        <v>254</v>
      </c>
      <c r="G190" s="16" t="s">
        <v>291</v>
      </c>
      <c r="H190" s="16" t="s">
        <v>305</v>
      </c>
      <c r="I190" s="16" t="s">
        <v>371</v>
      </c>
    </row>
    <row r="191" ht="242.25" customHeight="1">
      <c r="B191" s="32" t="str">
        <f>IMAGE("https://gymvisual.com/2802-catalog_default/band-lying-leg-curl.jpg",4,500,500)</f>
        <v/>
      </c>
      <c r="C191" s="30">
        <v>190.0</v>
      </c>
      <c r="D191" s="16" t="s">
        <v>560</v>
      </c>
      <c r="E191" s="16" t="s">
        <v>184</v>
      </c>
      <c r="F191" s="16" t="s">
        <v>285</v>
      </c>
      <c r="G191" s="16" t="s">
        <v>291</v>
      </c>
      <c r="H191" s="16" t="s">
        <v>188</v>
      </c>
      <c r="I191" s="16" t="s">
        <v>561</v>
      </c>
    </row>
    <row r="192" ht="242.25" customHeight="1">
      <c r="B192" s="32" t="str">
        <f>IMAGE("https://gymvisual.com/2803-catalog_default/band-lying-leg-raise.jpg",4,500,500)</f>
        <v/>
      </c>
      <c r="C192" s="30">
        <v>191.0</v>
      </c>
      <c r="D192" s="16" t="s">
        <v>562</v>
      </c>
      <c r="E192" s="16" t="s">
        <v>184</v>
      </c>
      <c r="F192" s="16" t="s">
        <v>185</v>
      </c>
      <c r="G192" s="16" t="s">
        <v>291</v>
      </c>
      <c r="H192" s="16" t="s">
        <v>271</v>
      </c>
      <c r="I192" s="16" t="s">
        <v>563</v>
      </c>
    </row>
    <row r="193" ht="242.25" customHeight="1">
      <c r="B193" s="32" t="str">
        <f>IMAGE("https://gymvisual.com/22135-catalog_default/band-lying-reverse-grip-pressdown.jpg",4,500,500)</f>
        <v/>
      </c>
      <c r="C193" s="30">
        <v>192.0</v>
      </c>
      <c r="D193" s="16" t="s">
        <v>564</v>
      </c>
      <c r="E193" s="16" t="s">
        <v>184</v>
      </c>
      <c r="F193" s="16" t="s">
        <v>219</v>
      </c>
      <c r="G193" s="16" t="s">
        <v>291</v>
      </c>
      <c r="H193" s="16" t="s">
        <v>220</v>
      </c>
      <c r="I193" s="16" t="s">
        <v>220</v>
      </c>
    </row>
    <row r="194" ht="242.25" customHeight="1">
      <c r="B194" s="32" t="str">
        <f>IMAGE("https://gymvisual.com/2899-catalog_default/band-lying-straight-leg-raise.jpg",4,500,500)</f>
        <v/>
      </c>
      <c r="C194" s="30">
        <v>193.0</v>
      </c>
      <c r="D194" s="16" t="s">
        <v>565</v>
      </c>
      <c r="E194" s="16" t="s">
        <v>184</v>
      </c>
      <c r="F194" s="16" t="s">
        <v>185</v>
      </c>
      <c r="G194" s="16" t="s">
        <v>291</v>
      </c>
      <c r="H194" s="16" t="s">
        <v>271</v>
      </c>
      <c r="I194" s="16" t="s">
        <v>566</v>
      </c>
    </row>
    <row r="195" ht="242.25" customHeight="1">
      <c r="B195" s="32" t="str">
        <f>IMAGE("https://gymvisual.com/2804-catalog_default/band-middle-fly.jpg",4,500,500)</f>
        <v/>
      </c>
      <c r="C195" s="30">
        <v>194.0</v>
      </c>
      <c r="D195" s="16" t="s">
        <v>567</v>
      </c>
      <c r="E195" s="16" t="s">
        <v>184</v>
      </c>
      <c r="F195" s="16" t="s">
        <v>234</v>
      </c>
      <c r="G195" s="16" t="s">
        <v>291</v>
      </c>
      <c r="H195" s="16" t="s">
        <v>347</v>
      </c>
      <c r="I195" s="16" t="s">
        <v>568</v>
      </c>
    </row>
    <row r="196" ht="242.25" customHeight="1">
      <c r="B196" s="32" t="str">
        <f>IMAGE("https://gymvisual.com/22600-catalog_default/band-narrow-grip-high-row.jpg",4,500,500)</f>
        <v/>
      </c>
      <c r="C196" s="30">
        <v>195.0</v>
      </c>
      <c r="D196" s="16" t="s">
        <v>569</v>
      </c>
      <c r="E196" s="16" t="s">
        <v>184</v>
      </c>
      <c r="F196" s="16" t="s">
        <v>192</v>
      </c>
      <c r="G196" s="16" t="s">
        <v>291</v>
      </c>
      <c r="H196" s="16" t="s">
        <v>570</v>
      </c>
      <c r="I196" s="16" t="s">
        <v>447</v>
      </c>
    </row>
    <row r="197" ht="242.25" customHeight="1">
      <c r="B197" s="32" t="str">
        <f>IMAGE("https://gymvisual.com/22752-catalog_default/band-narrow-grip-high-row-version-2.jpg",4,500,500)</f>
        <v/>
      </c>
      <c r="C197" s="30">
        <v>196.0</v>
      </c>
      <c r="D197" s="16" t="s">
        <v>571</v>
      </c>
      <c r="E197" s="16" t="s">
        <v>184</v>
      </c>
      <c r="F197" s="16" t="s">
        <v>192</v>
      </c>
      <c r="G197" s="16" t="s">
        <v>291</v>
      </c>
      <c r="H197" s="16" t="s">
        <v>570</v>
      </c>
      <c r="I197" s="16" t="s">
        <v>447</v>
      </c>
    </row>
    <row r="198" ht="242.25" customHeight="1">
      <c r="B198" s="32" t="str">
        <f>IMAGE("https://gymvisual.com/2883-catalog_default/band-one-arm-overhead-biceps-cur.jpg",4,500,500)</f>
        <v/>
      </c>
      <c r="C198" s="30">
        <v>197.0</v>
      </c>
      <c r="D198" s="16" t="s">
        <v>572</v>
      </c>
      <c r="E198" s="16" t="s">
        <v>184</v>
      </c>
      <c r="F198" s="16" t="s">
        <v>219</v>
      </c>
      <c r="G198" s="16" t="s">
        <v>291</v>
      </c>
      <c r="H198" s="16" t="s">
        <v>232</v>
      </c>
      <c r="I198" s="16" t="s">
        <v>233</v>
      </c>
    </row>
    <row r="199" ht="242.25" customHeight="1">
      <c r="B199" s="32" t="str">
        <f>IMAGE("https://gymvisual.com/2884-catalog_default/band-one-arm-single-leg-split-squat.jpg",4,500,500)</f>
        <v/>
      </c>
      <c r="C199" s="30">
        <v>198.0</v>
      </c>
      <c r="D199" s="16" t="s">
        <v>573</v>
      </c>
      <c r="E199" s="16" t="s">
        <v>184</v>
      </c>
      <c r="F199" s="16" t="s">
        <v>185</v>
      </c>
      <c r="G199" s="16" t="s">
        <v>291</v>
      </c>
      <c r="H199" s="16" t="s">
        <v>187</v>
      </c>
      <c r="I199" s="16" t="s">
        <v>480</v>
      </c>
    </row>
    <row r="200" ht="242.25" customHeight="1">
      <c r="B200" s="32" t="str">
        <f>IMAGE("https://gymvisual.com/2885-catalog_default/band-one-arm-standing-low-row.jpg",4,500,500)</f>
        <v/>
      </c>
      <c r="C200" s="30">
        <v>199.0</v>
      </c>
      <c r="D200" s="16" t="s">
        <v>574</v>
      </c>
      <c r="E200" s="16" t="s">
        <v>184</v>
      </c>
      <c r="F200" s="16" t="s">
        <v>192</v>
      </c>
      <c r="G200" s="16" t="s">
        <v>291</v>
      </c>
      <c r="H200" s="16" t="s">
        <v>329</v>
      </c>
      <c r="I200" s="16" t="s">
        <v>457</v>
      </c>
    </row>
    <row r="201" ht="242.25" customHeight="1">
      <c r="B201" s="32" t="str">
        <f>IMAGE("https://gymvisual.com/19008-catalog_default/band-one-arm-standing-wide-grip-low-row.jpg",4,500,500)</f>
        <v/>
      </c>
      <c r="C201" s="30">
        <v>200.0</v>
      </c>
      <c r="D201" s="16" t="s">
        <v>575</v>
      </c>
      <c r="E201" s="16" t="s">
        <v>184</v>
      </c>
      <c r="F201" s="16" t="s">
        <v>192</v>
      </c>
      <c r="G201" s="16" t="s">
        <v>291</v>
      </c>
      <c r="H201" s="16" t="s">
        <v>329</v>
      </c>
      <c r="I201" s="16" t="s">
        <v>447</v>
      </c>
    </row>
    <row r="202" ht="242.25" customHeight="1">
      <c r="B202" s="32" t="str">
        <f>IMAGE("https://gymvisual.com/2886-catalog_default/band-one-arm-twisting-chest-press.jpg",4,500,500)</f>
        <v/>
      </c>
      <c r="C202" s="30">
        <v>201.0</v>
      </c>
      <c r="D202" s="16" t="s">
        <v>576</v>
      </c>
      <c r="E202" s="16" t="s">
        <v>184</v>
      </c>
      <c r="F202" s="16" t="s">
        <v>234</v>
      </c>
      <c r="G202" s="16" t="s">
        <v>291</v>
      </c>
      <c r="H202" s="16" t="s">
        <v>347</v>
      </c>
      <c r="I202" s="16" t="s">
        <v>577</v>
      </c>
    </row>
    <row r="203" ht="242.25" customHeight="1">
      <c r="B203" s="32" t="str">
        <f>IMAGE("https://gymvisual.com/2887-catalog_default/band-one-arm-twisting-seated-row.jpg",4,500,500)</f>
        <v/>
      </c>
      <c r="C203" s="30">
        <v>202.0</v>
      </c>
      <c r="D203" s="16" t="s">
        <v>578</v>
      </c>
      <c r="E203" s="16" t="s">
        <v>184</v>
      </c>
      <c r="F203" s="16" t="s">
        <v>192</v>
      </c>
      <c r="G203" s="16" t="s">
        <v>291</v>
      </c>
      <c r="H203" s="16" t="s">
        <v>329</v>
      </c>
      <c r="I203" s="16" t="s">
        <v>579</v>
      </c>
    </row>
    <row r="204" ht="242.25" customHeight="1">
      <c r="B204" s="32" t="str">
        <f>IMAGE("https://gymvisual.com/17079-catalog_default/band-one-arm-twisting-seated-row-female.jpg",4,500,500)</f>
        <v/>
      </c>
      <c r="C204" s="30">
        <v>203.0</v>
      </c>
      <c r="D204" s="16" t="s">
        <v>580</v>
      </c>
      <c r="E204" s="16" t="s">
        <v>184</v>
      </c>
      <c r="F204" s="16" t="s">
        <v>361</v>
      </c>
      <c r="G204" s="16" t="s">
        <v>291</v>
      </c>
      <c r="H204" s="16" t="s">
        <v>362</v>
      </c>
      <c r="I204" s="16" t="s">
        <v>447</v>
      </c>
    </row>
    <row r="205" ht="242.25" customHeight="1">
      <c r="B205" s="32" t="str">
        <f>IMAGE("https://gymvisual.com/22115-catalog_default/band-overhead-side-bend-male.jpg",4,500,500)</f>
        <v/>
      </c>
      <c r="C205" s="30">
        <v>204.0</v>
      </c>
      <c r="D205" s="16" t="s">
        <v>581</v>
      </c>
      <c r="E205" s="16" t="s">
        <v>184</v>
      </c>
      <c r="F205" s="16" t="s">
        <v>254</v>
      </c>
      <c r="G205" s="16" t="s">
        <v>291</v>
      </c>
      <c r="H205" s="16" t="s">
        <v>257</v>
      </c>
      <c r="I205" s="16" t="s">
        <v>271</v>
      </c>
    </row>
    <row r="206" ht="242.25" customHeight="1">
      <c r="B206" s="32" t="str">
        <f>IMAGE("https://gymvisual.com/22133-catalog_default/band-overhead-single-arm-triceps-extension.jpg",4,500,500)</f>
        <v/>
      </c>
      <c r="C206" s="30">
        <v>205.0</v>
      </c>
      <c r="D206" s="16" t="s">
        <v>582</v>
      </c>
      <c r="E206" s="16" t="s">
        <v>184</v>
      </c>
      <c r="F206" s="16" t="s">
        <v>219</v>
      </c>
      <c r="G206" s="16" t="s">
        <v>291</v>
      </c>
      <c r="H206" s="16" t="s">
        <v>223</v>
      </c>
      <c r="I206" s="16" t="s">
        <v>220</v>
      </c>
    </row>
    <row r="207" ht="242.25" customHeight="1">
      <c r="B207" s="32" t="str">
        <f>IMAGE("https://gymvisual.com/19691-catalog_default/band-overhead-single-arm-triceps-extension-version-2.jpg",4,500,500)</f>
        <v/>
      </c>
      <c r="C207" s="30">
        <v>206.0</v>
      </c>
      <c r="D207" s="16" t="s">
        <v>583</v>
      </c>
      <c r="E207" s="16" t="s">
        <v>184</v>
      </c>
      <c r="F207" s="16" t="s">
        <v>219</v>
      </c>
      <c r="G207" s="16" t="s">
        <v>291</v>
      </c>
      <c r="H207" s="16" t="s">
        <v>223</v>
      </c>
      <c r="I207" s="16" t="s">
        <v>220</v>
      </c>
    </row>
    <row r="208" ht="242.25" customHeight="1">
      <c r="B208" s="32" t="str">
        <f>IMAGE("https://gymvisual.com/2805-catalog_default/band-overhead-triceps-extension.jpg",4,500,500)</f>
        <v/>
      </c>
      <c r="C208" s="30">
        <v>207.0</v>
      </c>
      <c r="D208" s="16" t="s">
        <v>584</v>
      </c>
      <c r="E208" s="16" t="s">
        <v>184</v>
      </c>
      <c r="F208" s="16" t="s">
        <v>219</v>
      </c>
      <c r="G208" s="16" t="s">
        <v>291</v>
      </c>
      <c r="H208" s="16" t="s">
        <v>223</v>
      </c>
      <c r="I208" s="16" t="s">
        <v>220</v>
      </c>
    </row>
    <row r="209" ht="242.25" customHeight="1">
      <c r="B209" s="32" t="str">
        <f>IMAGE("https://gymvisual.com/17278-catalog_default/band-overhead-triceps-extension-male.jpg",4,500,500)</f>
        <v/>
      </c>
      <c r="C209" s="30">
        <v>208.0</v>
      </c>
      <c r="D209" s="16" t="s">
        <v>585</v>
      </c>
      <c r="E209" s="16" t="s">
        <v>184</v>
      </c>
      <c r="F209" s="16" t="s">
        <v>219</v>
      </c>
      <c r="G209" s="16" t="s">
        <v>291</v>
      </c>
      <c r="H209" s="16" t="s">
        <v>223</v>
      </c>
      <c r="I209" s="16" t="s">
        <v>220</v>
      </c>
    </row>
    <row r="210" ht="242.25" customHeight="1">
      <c r="B210" s="32" t="str">
        <f>IMAGE("https://gymvisual.com/22131-catalog_default/band-overhead-triceps-extension-version-2.jpg",4,500,500)</f>
        <v/>
      </c>
      <c r="C210" s="30">
        <v>209.0</v>
      </c>
      <c r="D210" s="16" t="s">
        <v>586</v>
      </c>
      <c r="E210" s="16" t="s">
        <v>184</v>
      </c>
      <c r="F210" s="16" t="s">
        <v>219</v>
      </c>
      <c r="G210" s="16" t="s">
        <v>291</v>
      </c>
      <c r="H210" s="16" t="s">
        <v>223</v>
      </c>
      <c r="I210" s="16" t="s">
        <v>220</v>
      </c>
    </row>
    <row r="211" ht="242.25" customHeight="1">
      <c r="B211" s="32" t="str">
        <f>IMAGE("https://gymvisual.com/18915-catalog_default/band-overhead-triceps-extension-version-2-male.jpg",4,500,500)</f>
        <v/>
      </c>
      <c r="C211" s="30">
        <v>210.0</v>
      </c>
      <c r="D211" s="16" t="s">
        <v>587</v>
      </c>
      <c r="E211" s="16" t="s">
        <v>184</v>
      </c>
      <c r="F211" s="16" t="s">
        <v>219</v>
      </c>
      <c r="G211" s="16" t="s">
        <v>291</v>
      </c>
      <c r="H211" s="16" t="s">
        <v>223</v>
      </c>
      <c r="I211" s="16" t="s">
        <v>220</v>
      </c>
    </row>
    <row r="212" ht="242.25" customHeight="1">
      <c r="B212" s="32" t="str">
        <f>IMAGE("https://gymvisual.com/6739-catalog_default/band-pull-apart.jpg",4,500,500)</f>
        <v/>
      </c>
      <c r="C212" s="30">
        <v>211.0</v>
      </c>
      <c r="D212" s="16" t="s">
        <v>588</v>
      </c>
      <c r="E212" s="16" t="s">
        <v>184</v>
      </c>
      <c r="F212" s="16" t="s">
        <v>228</v>
      </c>
      <c r="G212" s="16" t="s">
        <v>291</v>
      </c>
      <c r="H212" s="16" t="s">
        <v>220</v>
      </c>
      <c r="I212" s="16" t="s">
        <v>220</v>
      </c>
    </row>
    <row r="213" ht="242.25" customHeight="1">
      <c r="B213" s="32" t="str">
        <f>IMAGE("https://gymvisual.com/2888-catalog_default/band-pull-through.jpg",4,500,500)</f>
        <v/>
      </c>
      <c r="C213" s="30">
        <v>212.0</v>
      </c>
      <c r="D213" s="16" t="s">
        <v>589</v>
      </c>
      <c r="E213" s="16" t="s">
        <v>184</v>
      </c>
      <c r="F213" s="16" t="s">
        <v>185</v>
      </c>
      <c r="G213" s="16" t="s">
        <v>291</v>
      </c>
      <c r="H213" s="16" t="s">
        <v>187</v>
      </c>
      <c r="I213" s="16" t="s">
        <v>590</v>
      </c>
    </row>
    <row r="214" ht="242.25" customHeight="1">
      <c r="B214" s="32" t="str">
        <f>IMAGE("https://gymvisual.com/13317-catalog_default/band-pull-through-female.jpg",4,500,500)</f>
        <v/>
      </c>
      <c r="C214" s="30">
        <v>213.0</v>
      </c>
      <c r="D214" s="16" t="s">
        <v>591</v>
      </c>
      <c r="E214" s="16" t="s">
        <v>184</v>
      </c>
      <c r="F214" s="16" t="s">
        <v>185</v>
      </c>
      <c r="G214" s="16" t="s">
        <v>291</v>
      </c>
      <c r="H214" s="16" t="s">
        <v>187</v>
      </c>
      <c r="I214" s="16" t="s">
        <v>188</v>
      </c>
    </row>
    <row r="215" ht="242.25" customHeight="1">
      <c r="B215" s="32" t="str">
        <f>IMAGE("https://gymvisual.com/2889-catalog_default/band-push-sit-up.jpg",4,500,500)</f>
        <v/>
      </c>
      <c r="C215" s="30">
        <v>214.0</v>
      </c>
      <c r="D215" s="16" t="s">
        <v>592</v>
      </c>
      <c r="E215" s="16" t="s">
        <v>184</v>
      </c>
      <c r="F215" s="16" t="s">
        <v>254</v>
      </c>
      <c r="G215" s="16" t="s">
        <v>291</v>
      </c>
      <c r="H215" s="16" t="s">
        <v>305</v>
      </c>
      <c r="I215" s="16" t="s">
        <v>593</v>
      </c>
    </row>
    <row r="216" ht="242.25" customHeight="1">
      <c r="B216" s="32" t="str">
        <f>IMAGE("https://gymvisual.com/2806-catalog_default/band-push-up.jpg",4,500,500)</f>
        <v/>
      </c>
      <c r="C216" s="30">
        <v>215.0</v>
      </c>
      <c r="D216" s="16" t="s">
        <v>594</v>
      </c>
      <c r="E216" s="16" t="s">
        <v>184</v>
      </c>
      <c r="F216" s="16" t="s">
        <v>234</v>
      </c>
      <c r="G216" s="16" t="s">
        <v>291</v>
      </c>
      <c r="H216" s="16" t="s">
        <v>347</v>
      </c>
      <c r="I216" s="16" t="s">
        <v>382</v>
      </c>
    </row>
    <row r="217" ht="242.25" customHeight="1">
      <c r="B217" s="32" t="str">
        <f>IMAGE("https://gymvisual.com/2807-catalog_default/band-pushdown.jpg",4,500,500)</f>
        <v/>
      </c>
      <c r="C217" s="30">
        <v>216.0</v>
      </c>
      <c r="D217" s="16" t="s">
        <v>595</v>
      </c>
      <c r="E217" s="16" t="s">
        <v>184</v>
      </c>
      <c r="F217" s="16" t="s">
        <v>219</v>
      </c>
      <c r="G217" s="16" t="s">
        <v>291</v>
      </c>
      <c r="H217" s="16" t="s">
        <v>223</v>
      </c>
      <c r="I217" s="16" t="s">
        <v>220</v>
      </c>
    </row>
    <row r="218" ht="242.25" customHeight="1">
      <c r="B218" s="32" t="str">
        <f>IMAGE("https://gymvisual.com/6737-catalog_default/band-pushdown.jpg",4,500,500)</f>
        <v/>
      </c>
      <c r="C218" s="30">
        <v>217.0</v>
      </c>
      <c r="D218" s="16" t="s">
        <v>596</v>
      </c>
      <c r="E218" s="16" t="s">
        <v>184</v>
      </c>
      <c r="F218" s="16" t="s">
        <v>219</v>
      </c>
      <c r="G218" s="16" t="s">
        <v>291</v>
      </c>
      <c r="H218" s="16" t="s">
        <v>223</v>
      </c>
      <c r="I218" s="16" t="s">
        <v>220</v>
      </c>
    </row>
    <row r="219" ht="242.25" customHeight="1">
      <c r="B219" s="32" t="str">
        <f>IMAGE("https://gymvisual.com/2903-catalog_default/band-rear-delt-row.jpg",4,500,500)</f>
        <v/>
      </c>
      <c r="C219" s="30">
        <v>218.0</v>
      </c>
      <c r="D219" s="16" t="s">
        <v>597</v>
      </c>
      <c r="E219" s="16" t="s">
        <v>184</v>
      </c>
      <c r="F219" s="16" t="s">
        <v>228</v>
      </c>
      <c r="G219" s="16" t="s">
        <v>291</v>
      </c>
      <c r="H219" s="16" t="s">
        <v>408</v>
      </c>
      <c r="I219" s="16" t="s">
        <v>490</v>
      </c>
    </row>
    <row r="220" ht="242.25" customHeight="1">
      <c r="B220" s="32" t="str">
        <f>IMAGE("https://gymvisual.com/19497-catalog_default/band-resisted-chin-up.jpg",4,500,500)</f>
        <v/>
      </c>
      <c r="C220" s="30">
        <v>219.0</v>
      </c>
      <c r="D220" s="16" t="s">
        <v>598</v>
      </c>
      <c r="E220" s="16" t="s">
        <v>184</v>
      </c>
      <c r="F220" s="16" t="s">
        <v>192</v>
      </c>
      <c r="G220" s="16" t="s">
        <v>291</v>
      </c>
      <c r="H220" s="16" t="s">
        <v>220</v>
      </c>
      <c r="I220" s="16" t="s">
        <v>220</v>
      </c>
    </row>
    <row r="221" ht="242.25" customHeight="1">
      <c r="B221" s="32" t="str">
        <f>IMAGE("https://gymvisual.com/22748-catalog_default/band-reverse-crunch-male.jpg",4,500,500)</f>
        <v/>
      </c>
      <c r="C221" s="30">
        <v>220.0</v>
      </c>
      <c r="D221" s="16" t="s">
        <v>599</v>
      </c>
      <c r="E221" s="16" t="s">
        <v>184</v>
      </c>
      <c r="F221" s="16" t="s">
        <v>254</v>
      </c>
      <c r="G221" s="16" t="s">
        <v>291</v>
      </c>
      <c r="H221" s="16" t="s">
        <v>305</v>
      </c>
      <c r="I221" s="16" t="s">
        <v>600</v>
      </c>
    </row>
    <row r="222" ht="242.25" customHeight="1">
      <c r="B222" s="32" t="str">
        <f>IMAGE("https://gymvisual.com/2808-catalog_default/band-reverse-curl.jpg",4,500,500)</f>
        <v/>
      </c>
      <c r="C222" s="30">
        <v>221.0</v>
      </c>
      <c r="D222" s="16" t="s">
        <v>601</v>
      </c>
      <c r="E222" s="16" t="s">
        <v>184</v>
      </c>
      <c r="F222" s="16" t="s">
        <v>214</v>
      </c>
      <c r="G222" s="16" t="s">
        <v>291</v>
      </c>
      <c r="H222" s="16" t="s">
        <v>216</v>
      </c>
      <c r="I222" s="16" t="s">
        <v>217</v>
      </c>
    </row>
    <row r="223" ht="242.25" customHeight="1">
      <c r="B223" s="32" t="str">
        <f>IMAGE("https://gymvisual.com/2890-catalog_default/band-reverse-fly.jpg",4,500,500)</f>
        <v/>
      </c>
      <c r="C223" s="30">
        <v>222.0</v>
      </c>
      <c r="D223" s="16" t="s">
        <v>602</v>
      </c>
      <c r="E223" s="16" t="s">
        <v>184</v>
      </c>
      <c r="F223" s="16" t="s">
        <v>228</v>
      </c>
      <c r="G223" s="16" t="s">
        <v>291</v>
      </c>
      <c r="H223" s="16" t="s">
        <v>408</v>
      </c>
      <c r="I223" s="16" t="s">
        <v>452</v>
      </c>
    </row>
    <row r="224" ht="242.25" customHeight="1">
      <c r="B224" s="32" t="str">
        <f>IMAGE("https://gymvisual.com/2891-catalog_default/band-reverse-wrist-curl.jpg",4,500,500)</f>
        <v/>
      </c>
      <c r="C224" s="30">
        <v>223.0</v>
      </c>
      <c r="D224" s="16" t="s">
        <v>603</v>
      </c>
      <c r="E224" s="16" t="s">
        <v>184</v>
      </c>
      <c r="F224" s="16" t="s">
        <v>214</v>
      </c>
      <c r="G224" s="16" t="s">
        <v>291</v>
      </c>
      <c r="H224" s="16" t="s">
        <v>604</v>
      </c>
      <c r="I224" s="16" t="s">
        <v>220</v>
      </c>
    </row>
    <row r="225" ht="242.25" customHeight="1">
      <c r="B225" s="32" t="str">
        <f>IMAGE("https://gymvisual.com/2892-catalog_default/band-seated-hip-external-rotation.jpg",4,500,500)</f>
        <v/>
      </c>
      <c r="C225" s="30">
        <v>224.0</v>
      </c>
      <c r="D225" s="16" t="s">
        <v>605</v>
      </c>
      <c r="E225" s="16" t="s">
        <v>184</v>
      </c>
      <c r="F225" s="16" t="s">
        <v>185</v>
      </c>
      <c r="G225" s="16" t="s">
        <v>291</v>
      </c>
      <c r="H225" s="16" t="s">
        <v>555</v>
      </c>
      <c r="I225" s="16" t="s">
        <v>220</v>
      </c>
    </row>
    <row r="226" ht="242.25" customHeight="1">
      <c r="B226" s="32" t="str">
        <f>IMAGE("https://gymvisual.com/2893-catalog_default/band-seated-hip-internal-rotation.jpg",4,500,500)</f>
        <v/>
      </c>
      <c r="C226" s="30">
        <v>225.0</v>
      </c>
      <c r="D226" s="16" t="s">
        <v>606</v>
      </c>
      <c r="E226" s="16" t="s">
        <v>184</v>
      </c>
      <c r="F226" s="16" t="s">
        <v>185</v>
      </c>
      <c r="G226" s="16" t="s">
        <v>291</v>
      </c>
      <c r="H226" s="16" t="s">
        <v>508</v>
      </c>
      <c r="I226" s="16" t="s">
        <v>220</v>
      </c>
    </row>
    <row r="227" ht="242.25" customHeight="1">
      <c r="B227" s="32" t="str">
        <f>IMAGE("https://gymvisual.com/14048-catalog_default/band-seated-leg-extension-female.jpg",4,500,500)</f>
        <v/>
      </c>
      <c r="C227" s="30">
        <v>226.0</v>
      </c>
      <c r="D227" s="16" t="s">
        <v>607</v>
      </c>
      <c r="E227" s="16" t="s">
        <v>184</v>
      </c>
      <c r="F227" s="16" t="s">
        <v>285</v>
      </c>
      <c r="G227" s="16" t="s">
        <v>291</v>
      </c>
      <c r="H227" s="16" t="s">
        <v>552</v>
      </c>
      <c r="I227" s="16" t="s">
        <v>220</v>
      </c>
    </row>
    <row r="228" ht="242.25" customHeight="1">
      <c r="B228" s="32" t="str">
        <f>IMAGE("https://gymvisual.com/14046-catalog_default/band-seated-leg-extension-male.jpg",4,500,500)</f>
        <v/>
      </c>
      <c r="C228" s="30">
        <v>227.0</v>
      </c>
      <c r="D228" s="16" t="s">
        <v>608</v>
      </c>
      <c r="E228" s="16" t="s">
        <v>184</v>
      </c>
      <c r="F228" s="16" t="s">
        <v>285</v>
      </c>
      <c r="G228" s="16" t="s">
        <v>291</v>
      </c>
      <c r="H228" s="16" t="s">
        <v>552</v>
      </c>
      <c r="I228" s="16" t="s">
        <v>220</v>
      </c>
    </row>
    <row r="229" ht="242.25" customHeight="1">
      <c r="B229" s="32" t="str">
        <f>IMAGE("https://gymvisual.com/2809-catalog_default/band-seated-row.jpg",4,500,500)</f>
        <v/>
      </c>
      <c r="C229" s="30">
        <v>228.0</v>
      </c>
      <c r="D229" s="16" t="s">
        <v>609</v>
      </c>
      <c r="E229" s="16" t="s">
        <v>184</v>
      </c>
      <c r="F229" s="16" t="s">
        <v>192</v>
      </c>
      <c r="G229" s="16" t="s">
        <v>291</v>
      </c>
      <c r="H229" s="16" t="s">
        <v>329</v>
      </c>
      <c r="I229" s="16" t="s">
        <v>447</v>
      </c>
    </row>
    <row r="230" ht="242.25" customHeight="1">
      <c r="B230" s="32" t="str">
        <f>IMAGE("https://gymvisual.com/17136-catalog_default/band-seated-row-male.jpg",4,500,500)</f>
        <v/>
      </c>
      <c r="C230" s="30">
        <v>229.0</v>
      </c>
      <c r="D230" s="16" t="s">
        <v>610</v>
      </c>
      <c r="E230" s="16" t="s">
        <v>184</v>
      </c>
      <c r="F230" s="16" t="s">
        <v>192</v>
      </c>
      <c r="G230" s="16" t="s">
        <v>291</v>
      </c>
      <c r="H230" s="16" t="s">
        <v>329</v>
      </c>
      <c r="I230" s="16" t="s">
        <v>447</v>
      </c>
    </row>
    <row r="231" ht="242.25" customHeight="1">
      <c r="B231" s="32" t="str">
        <f>IMAGE("https://gymvisual.com/12500-catalog_default/band-seated-straight-back-row.jpg",4,500,500)</f>
        <v/>
      </c>
      <c r="C231" s="30">
        <v>230.0</v>
      </c>
      <c r="D231" s="16" t="s">
        <v>611</v>
      </c>
      <c r="E231" s="16" t="s">
        <v>184</v>
      </c>
      <c r="F231" s="16" t="s">
        <v>192</v>
      </c>
      <c r="G231" s="16" t="s">
        <v>291</v>
      </c>
      <c r="H231" s="16" t="s">
        <v>329</v>
      </c>
      <c r="I231" s="16" t="s">
        <v>447</v>
      </c>
    </row>
    <row r="232" ht="242.25" customHeight="1">
      <c r="B232" s="32" t="str">
        <f>IMAGE("https://gymvisual.com/2908-catalog_default/band-seated-twist.jpg",4,500,500)</f>
        <v/>
      </c>
      <c r="C232" s="30">
        <v>231.0</v>
      </c>
      <c r="D232" s="16" t="s">
        <v>612</v>
      </c>
      <c r="E232" s="16" t="s">
        <v>184</v>
      </c>
      <c r="F232" s="16" t="s">
        <v>254</v>
      </c>
      <c r="G232" s="16" t="s">
        <v>291</v>
      </c>
      <c r="H232" s="16" t="s">
        <v>257</v>
      </c>
      <c r="I232" s="16" t="s">
        <v>271</v>
      </c>
    </row>
    <row r="233" ht="242.25" customHeight="1">
      <c r="B233" s="32" t="str">
        <f>IMAGE("https://gymvisual.com/10963-catalog_default/band-seated-twist-female.jpg",4,500,500)</f>
        <v/>
      </c>
      <c r="C233" s="30">
        <v>232.0</v>
      </c>
      <c r="D233" s="16" t="s">
        <v>613</v>
      </c>
      <c r="E233" s="16" t="s">
        <v>184</v>
      </c>
      <c r="F233" s="16" t="s">
        <v>254</v>
      </c>
      <c r="G233" s="16" t="s">
        <v>291</v>
      </c>
      <c r="H233" s="16" t="s">
        <v>220</v>
      </c>
      <c r="I233" s="16" t="s">
        <v>220</v>
      </c>
    </row>
    <row r="234" ht="242.25" customHeight="1">
      <c r="B234" s="32" t="str">
        <f>IMAGE("https://gymvisual.com/20094-catalog_default/band-seated-underhand-grip-row.jpg",4,500,500)</f>
        <v/>
      </c>
      <c r="C234" s="30">
        <v>233.0</v>
      </c>
      <c r="D234" s="16" t="s">
        <v>614</v>
      </c>
      <c r="E234" s="16" t="s">
        <v>184</v>
      </c>
      <c r="F234" s="16" t="s">
        <v>192</v>
      </c>
      <c r="G234" s="16" t="s">
        <v>291</v>
      </c>
      <c r="H234" s="16" t="s">
        <v>329</v>
      </c>
      <c r="I234" s="16" t="s">
        <v>357</v>
      </c>
    </row>
    <row r="235" ht="242.25" customHeight="1">
      <c r="B235" s="32" t="str">
        <f>IMAGE("https://gymvisual.com/19010-catalog_default/band-seated-wide-grip-row-female.jpg",4,500,500)</f>
        <v/>
      </c>
      <c r="C235" s="30">
        <v>234.0</v>
      </c>
      <c r="D235" s="16" t="s">
        <v>615</v>
      </c>
      <c r="E235" s="16" t="s">
        <v>184</v>
      </c>
      <c r="F235" s="16" t="s">
        <v>192</v>
      </c>
      <c r="G235" s="16" t="s">
        <v>291</v>
      </c>
      <c r="H235" s="16" t="s">
        <v>329</v>
      </c>
      <c r="I235" s="16" t="s">
        <v>447</v>
      </c>
    </row>
    <row r="236" ht="242.25" customHeight="1">
      <c r="B236" s="32" t="str">
        <f>IMAGE("https://gymvisual.com/2894-catalog_default/band-shoulder-press.jpg",4,500,500)</f>
        <v/>
      </c>
      <c r="C236" s="30">
        <v>235.0</v>
      </c>
      <c r="D236" s="16" t="s">
        <v>616</v>
      </c>
      <c r="E236" s="16" t="s">
        <v>184</v>
      </c>
      <c r="F236" s="16" t="s">
        <v>228</v>
      </c>
      <c r="G236" s="16" t="s">
        <v>291</v>
      </c>
      <c r="H236" s="16" t="s">
        <v>229</v>
      </c>
      <c r="I236" s="16" t="s">
        <v>230</v>
      </c>
    </row>
    <row r="237" ht="242.25" customHeight="1">
      <c r="B237" s="32" t="str">
        <f>IMAGE("https://gymvisual.com/2915-catalog_default/band-shrug.jpg",4,500,500)</f>
        <v/>
      </c>
      <c r="C237" s="30">
        <v>236.0</v>
      </c>
      <c r="D237" s="16" t="s">
        <v>617</v>
      </c>
      <c r="E237" s="16" t="s">
        <v>184</v>
      </c>
      <c r="F237" s="16" t="s">
        <v>192</v>
      </c>
      <c r="G237" s="16" t="s">
        <v>291</v>
      </c>
      <c r="H237" s="16" t="s">
        <v>238</v>
      </c>
      <c r="I237" s="16" t="s">
        <v>618</v>
      </c>
    </row>
    <row r="238" ht="242.25" customHeight="1">
      <c r="B238" s="32" t="str">
        <f>IMAGE("https://gymvisual.com/2916-catalog_default/band-side-bend.jpg",4,500,500)</f>
        <v/>
      </c>
      <c r="C238" s="30">
        <v>237.0</v>
      </c>
      <c r="D238" s="16" t="s">
        <v>619</v>
      </c>
      <c r="E238" s="16" t="s">
        <v>184</v>
      </c>
      <c r="F238" s="16" t="s">
        <v>254</v>
      </c>
      <c r="G238" s="16" t="s">
        <v>291</v>
      </c>
      <c r="H238" s="16" t="s">
        <v>257</v>
      </c>
      <c r="I238" s="16" t="s">
        <v>271</v>
      </c>
    </row>
    <row r="239" ht="242.25" customHeight="1">
      <c r="B239" s="32" t="str">
        <f>IMAGE("https://gymvisual.com/17075-catalog_default/band-side-bend-male.jpg",4,500,500)</f>
        <v/>
      </c>
      <c r="C239" s="30">
        <v>238.0</v>
      </c>
      <c r="D239" s="16" t="s">
        <v>620</v>
      </c>
      <c r="E239" s="16" t="s">
        <v>184</v>
      </c>
      <c r="F239" s="16" t="s">
        <v>254</v>
      </c>
      <c r="G239" s="16" t="s">
        <v>291</v>
      </c>
      <c r="H239" s="16" t="s">
        <v>257</v>
      </c>
      <c r="I239" s="16" t="s">
        <v>220</v>
      </c>
    </row>
    <row r="240" ht="242.25" customHeight="1">
      <c r="B240" s="32" t="str">
        <f>IMAGE("https://gymvisual.com/2917-catalog_default/band-side-crunch.jpg",4,500,500)</f>
        <v/>
      </c>
      <c r="C240" s="30">
        <v>239.0</v>
      </c>
      <c r="D240" s="16" t="s">
        <v>621</v>
      </c>
      <c r="E240" s="16" t="s">
        <v>184</v>
      </c>
      <c r="F240" s="16" t="s">
        <v>254</v>
      </c>
      <c r="G240" s="16" t="s">
        <v>291</v>
      </c>
      <c r="H240" s="16" t="s">
        <v>257</v>
      </c>
      <c r="I240" s="16" t="s">
        <v>271</v>
      </c>
    </row>
    <row r="241" ht="242.25" customHeight="1">
      <c r="B241" s="32" t="str">
        <f>IMAGE("https://gymvisual.com/6735-catalog_default/band-side-plank-row-with-partner.jpg",4,500,500)</f>
        <v/>
      </c>
      <c r="C241" s="30">
        <v>240.0</v>
      </c>
      <c r="D241" s="16" t="s">
        <v>622</v>
      </c>
      <c r="E241" s="16" t="s">
        <v>184</v>
      </c>
      <c r="F241" s="16" t="s">
        <v>192</v>
      </c>
      <c r="G241" s="16" t="s">
        <v>291</v>
      </c>
      <c r="H241" s="16" t="s">
        <v>220</v>
      </c>
      <c r="I241" s="16" t="s">
        <v>220</v>
      </c>
    </row>
    <row r="242" ht="242.25" customHeight="1">
      <c r="B242" s="32" t="str">
        <f>IMAGE("https://gymvisual.com/16757-catalog_default/band-side-step-with-horizontal-pallof-hold.jpg",4,500,500)</f>
        <v/>
      </c>
      <c r="C242" s="30">
        <v>241.0</v>
      </c>
      <c r="D242" s="16" t="s">
        <v>623</v>
      </c>
      <c r="E242" s="16" t="s">
        <v>184</v>
      </c>
      <c r="F242" s="16" t="s">
        <v>185</v>
      </c>
      <c r="G242" s="16" t="s">
        <v>291</v>
      </c>
      <c r="H242" s="16" t="s">
        <v>220</v>
      </c>
      <c r="I242" s="16" t="s">
        <v>220</v>
      </c>
    </row>
    <row r="243" ht="242.25" customHeight="1">
      <c r="B243" s="32" t="str">
        <f>IMAGE("https://gymvisual.com/2895-catalog_default/band-side-triceps-extension.jpg",4,500,500)</f>
        <v/>
      </c>
      <c r="C243" s="30">
        <v>242.0</v>
      </c>
      <c r="D243" s="16" t="s">
        <v>624</v>
      </c>
      <c r="E243" s="16" t="s">
        <v>184</v>
      </c>
      <c r="F243" s="16" t="s">
        <v>219</v>
      </c>
      <c r="G243" s="16" t="s">
        <v>291</v>
      </c>
      <c r="H243" s="16" t="s">
        <v>223</v>
      </c>
      <c r="I243" s="16" t="s">
        <v>220</v>
      </c>
    </row>
    <row r="244" ht="242.25" customHeight="1">
      <c r="B244" s="32" t="str">
        <f>IMAGE("https://gymvisual.com/12350-catalog_default/band-single-arm-shoulder-press.jpg",4,500,500)</f>
        <v/>
      </c>
      <c r="C244" s="30">
        <v>243.0</v>
      </c>
      <c r="D244" s="16" t="s">
        <v>625</v>
      </c>
      <c r="E244" s="16" t="s">
        <v>184</v>
      </c>
      <c r="F244" s="16" t="s">
        <v>228</v>
      </c>
      <c r="G244" s="16" t="s">
        <v>291</v>
      </c>
      <c r="H244" s="16" t="s">
        <v>229</v>
      </c>
      <c r="I244" s="16" t="s">
        <v>626</v>
      </c>
    </row>
    <row r="245" ht="242.25" customHeight="1">
      <c r="B245" s="32" t="str">
        <f>IMAGE("https://gymvisual.com/12347-catalog_default/band-single-arm-shoulder-press-female.jpg",4,500,500)</f>
        <v/>
      </c>
      <c r="C245" s="30">
        <v>244.0</v>
      </c>
      <c r="D245" s="16" t="s">
        <v>627</v>
      </c>
      <c r="E245" s="16" t="s">
        <v>184</v>
      </c>
      <c r="F245" s="16" t="s">
        <v>228</v>
      </c>
      <c r="G245" s="16" t="s">
        <v>291</v>
      </c>
      <c r="H245" s="16" t="s">
        <v>229</v>
      </c>
      <c r="I245" s="16" t="s">
        <v>626</v>
      </c>
    </row>
    <row r="246" ht="242.25" customHeight="1">
      <c r="B246" s="32" t="str">
        <f>IMAGE("https://gymvisual.com/2896-catalog_default/band-single-leg-calf-raise.jpg",4,500,500)</f>
        <v/>
      </c>
      <c r="C246" s="30">
        <v>245.0</v>
      </c>
      <c r="D246" s="16" t="s">
        <v>628</v>
      </c>
      <c r="E246" s="16" t="s">
        <v>184</v>
      </c>
      <c r="F246" s="16" t="s">
        <v>325</v>
      </c>
      <c r="G246" s="16" t="s">
        <v>291</v>
      </c>
      <c r="H246" s="16" t="s">
        <v>368</v>
      </c>
      <c r="I246" s="16" t="s">
        <v>463</v>
      </c>
    </row>
    <row r="247" ht="242.25" customHeight="1">
      <c r="B247" s="32" t="str">
        <f>IMAGE("https://gymvisual.com/2897-catalog_default/band-single-leg-reverse-calf-raise.jpg",4,500,500)</f>
        <v/>
      </c>
      <c r="C247" s="30">
        <v>246.0</v>
      </c>
      <c r="D247" s="16" t="s">
        <v>629</v>
      </c>
      <c r="E247" s="16" t="s">
        <v>184</v>
      </c>
      <c r="F247" s="16" t="s">
        <v>325</v>
      </c>
      <c r="G247" s="16" t="s">
        <v>291</v>
      </c>
      <c r="H247" s="16" t="s">
        <v>630</v>
      </c>
      <c r="I247" s="16" t="s">
        <v>220</v>
      </c>
    </row>
    <row r="248" ht="242.25" customHeight="1">
      <c r="B248" s="32" t="str">
        <f>IMAGE("https://gymvisual.com/2898-catalog_default/band-single-leg-split-squat.jpg",4,500,500)</f>
        <v/>
      </c>
      <c r="C248" s="30">
        <v>247.0</v>
      </c>
      <c r="D248" s="16" t="s">
        <v>631</v>
      </c>
      <c r="E248" s="16" t="s">
        <v>184</v>
      </c>
      <c r="F248" s="16" t="s">
        <v>185</v>
      </c>
      <c r="G248" s="16" t="s">
        <v>291</v>
      </c>
      <c r="H248" s="16" t="s">
        <v>187</v>
      </c>
      <c r="I248" s="16" t="s">
        <v>480</v>
      </c>
    </row>
    <row r="249" ht="242.25" customHeight="1">
      <c r="B249" s="32" t="str">
        <f>IMAGE("https://gymvisual.com/2874-catalog_default/band-single-stiff-leg-deadlift.jpg",4,500,500)</f>
        <v/>
      </c>
      <c r="C249" s="30">
        <v>248.0</v>
      </c>
      <c r="D249" s="16" t="s">
        <v>632</v>
      </c>
      <c r="E249" s="16" t="s">
        <v>184</v>
      </c>
      <c r="F249" s="16" t="s">
        <v>185</v>
      </c>
      <c r="G249" s="16" t="s">
        <v>291</v>
      </c>
      <c r="H249" s="16" t="s">
        <v>187</v>
      </c>
      <c r="I249" s="16" t="s">
        <v>188</v>
      </c>
    </row>
    <row r="250" ht="242.25" customHeight="1">
      <c r="B250" s="32" t="str">
        <f>IMAGE("https://gymvisual.com/16749-catalog_default/band-single-stiff-leg-deadlift-with-single-arm-row.jpg",4,500,500)</f>
        <v/>
      </c>
      <c r="C250" s="30">
        <v>249.0</v>
      </c>
      <c r="D250" s="16" t="s">
        <v>633</v>
      </c>
      <c r="E250" s="16" t="s">
        <v>184</v>
      </c>
      <c r="F250" s="16" t="s">
        <v>484</v>
      </c>
      <c r="G250" s="16" t="s">
        <v>291</v>
      </c>
      <c r="H250" s="16" t="s">
        <v>220</v>
      </c>
      <c r="I250" s="16" t="s">
        <v>220</v>
      </c>
    </row>
    <row r="251" ht="242.25" customHeight="1">
      <c r="B251" s="32" t="str">
        <f>IMAGE("https://gymvisual.com/16763-catalog_default/band-skier.jpg",4,500,500)</f>
        <v/>
      </c>
      <c r="C251" s="30">
        <v>250.0</v>
      </c>
      <c r="D251" s="16" t="s">
        <v>634</v>
      </c>
      <c r="E251" s="16" t="s">
        <v>184</v>
      </c>
      <c r="F251" s="16" t="s">
        <v>192</v>
      </c>
      <c r="G251" s="16" t="s">
        <v>291</v>
      </c>
      <c r="H251" s="16" t="s">
        <v>220</v>
      </c>
      <c r="I251" s="16" t="s">
        <v>220</v>
      </c>
    </row>
    <row r="252" ht="242.25" customHeight="1">
      <c r="B252" s="32" t="str">
        <f>IMAGE("https://gymvisual.com/6741-catalog_default/band-skull-crusher.jpg",4,500,500)</f>
        <v/>
      </c>
      <c r="C252" s="30">
        <v>251.0</v>
      </c>
      <c r="D252" s="16" t="s">
        <v>635</v>
      </c>
      <c r="E252" s="16" t="s">
        <v>184</v>
      </c>
      <c r="F252" s="16" t="s">
        <v>219</v>
      </c>
      <c r="G252" s="16" t="s">
        <v>291</v>
      </c>
      <c r="H252" s="16" t="s">
        <v>220</v>
      </c>
      <c r="I252" s="16" t="s">
        <v>220</v>
      </c>
    </row>
    <row r="253" ht="242.25" customHeight="1">
      <c r="B253" s="32" t="str">
        <f>IMAGE("https://gymvisual.com/22592-catalog_default/band-split-squat.jpg",4,500,500)</f>
        <v/>
      </c>
      <c r="C253" s="30">
        <v>252.0</v>
      </c>
      <c r="D253" s="16" t="s">
        <v>636</v>
      </c>
      <c r="E253" s="16" t="s">
        <v>184</v>
      </c>
      <c r="F253" s="16" t="s">
        <v>285</v>
      </c>
      <c r="G253" s="16" t="s">
        <v>291</v>
      </c>
      <c r="H253" s="16" t="s">
        <v>189</v>
      </c>
      <c r="I253" s="16" t="s">
        <v>190</v>
      </c>
    </row>
    <row r="254" ht="242.25" customHeight="1">
      <c r="B254" s="32" t="str">
        <f>IMAGE("https://gymvisual.com/16755-catalog_default/band-split-squat-with-horizontal-pallof-hold.jpg",4,500,500)</f>
        <v/>
      </c>
      <c r="C254" s="30">
        <v>253.0</v>
      </c>
      <c r="D254" s="16" t="s">
        <v>637</v>
      </c>
      <c r="E254" s="16" t="s">
        <v>184</v>
      </c>
      <c r="F254" s="16" t="s">
        <v>522</v>
      </c>
      <c r="G254" s="16" t="s">
        <v>291</v>
      </c>
      <c r="H254" s="16" t="s">
        <v>220</v>
      </c>
      <c r="I254" s="16" t="s">
        <v>220</v>
      </c>
    </row>
    <row r="255" ht="242.25" customHeight="1">
      <c r="B255" s="32" t="str">
        <f>IMAGE("https://gymvisual.com/18905-catalog_default/band-squat.jpg",4,500,500)</f>
        <v/>
      </c>
      <c r="C255" s="30">
        <v>254.0</v>
      </c>
      <c r="D255" s="16" t="s">
        <v>638</v>
      </c>
      <c r="E255" s="16" t="s">
        <v>184</v>
      </c>
      <c r="F255" s="16" t="s">
        <v>185</v>
      </c>
      <c r="G255" s="16" t="s">
        <v>291</v>
      </c>
      <c r="H255" s="16" t="s">
        <v>187</v>
      </c>
      <c r="I255" s="16" t="s">
        <v>480</v>
      </c>
    </row>
    <row r="256" ht="242.25" customHeight="1">
      <c r="B256" s="32" t="str">
        <f>IMAGE("https://gymvisual.com/2900-catalog_default/band-squat-row.jpg",4,500,500)</f>
        <v/>
      </c>
      <c r="C256" s="30">
        <v>255.0</v>
      </c>
      <c r="D256" s="16" t="s">
        <v>639</v>
      </c>
      <c r="E256" s="16" t="s">
        <v>184</v>
      </c>
      <c r="F256" s="16" t="s">
        <v>192</v>
      </c>
      <c r="G256" s="16" t="s">
        <v>291</v>
      </c>
      <c r="H256" s="16" t="s">
        <v>640</v>
      </c>
      <c r="I256" s="16" t="s">
        <v>641</v>
      </c>
    </row>
    <row r="257" ht="242.25" customHeight="1">
      <c r="B257" s="32" t="str">
        <f>IMAGE("https://gymvisual.com/23585-catalog_default/band-squat-twist.jpg",4,500,500)</f>
        <v/>
      </c>
      <c r="C257" s="30">
        <v>256.0</v>
      </c>
      <c r="D257" s="16" t="s">
        <v>642</v>
      </c>
      <c r="E257" s="16" t="s">
        <v>184</v>
      </c>
      <c r="F257" s="16" t="s">
        <v>254</v>
      </c>
      <c r="G257" s="16" t="s">
        <v>291</v>
      </c>
      <c r="H257" s="16" t="s">
        <v>524</v>
      </c>
      <c r="I257" s="16" t="s">
        <v>190</v>
      </c>
    </row>
    <row r="258" ht="242.25" customHeight="1">
      <c r="B258" s="32" t="str">
        <f>IMAGE("https://gymvisual.com/16751-catalog_default/band-squat-with-horizontal-pallof-hold.jpg",4,500,500)</f>
        <v/>
      </c>
      <c r="C258" s="30">
        <v>257.0</v>
      </c>
      <c r="D258" s="16" t="s">
        <v>643</v>
      </c>
      <c r="E258" s="16" t="s">
        <v>184</v>
      </c>
      <c r="F258" s="16" t="s">
        <v>522</v>
      </c>
      <c r="G258" s="16" t="s">
        <v>291</v>
      </c>
      <c r="H258" s="16" t="s">
        <v>220</v>
      </c>
      <c r="I258" s="16" t="s">
        <v>220</v>
      </c>
    </row>
    <row r="259" ht="242.25" customHeight="1">
      <c r="B259" s="32" t="str">
        <f>IMAGE("https://gymvisual.com/16743-catalog_default/band-squat-with-single-arm-row.jpg",4,500,500)</f>
        <v/>
      </c>
      <c r="C259" s="30">
        <v>258.0</v>
      </c>
      <c r="D259" s="16" t="s">
        <v>644</v>
      </c>
      <c r="E259" s="16" t="s">
        <v>184</v>
      </c>
      <c r="F259" s="16" t="s">
        <v>645</v>
      </c>
      <c r="G259" s="16" t="s">
        <v>291</v>
      </c>
      <c r="H259" s="16" t="s">
        <v>220</v>
      </c>
      <c r="I259" s="16" t="s">
        <v>220</v>
      </c>
    </row>
    <row r="260" ht="242.25" customHeight="1">
      <c r="B260" s="32" t="str">
        <f>IMAGE("https://gymvisual.com/22121-catalog_default/band-standard-biceps-curl-male.jpg",4,500,500)</f>
        <v/>
      </c>
      <c r="C260" s="30">
        <v>259.0</v>
      </c>
      <c r="D260" s="16" t="s">
        <v>646</v>
      </c>
      <c r="E260" s="16" t="s">
        <v>184</v>
      </c>
      <c r="F260" s="16" t="s">
        <v>219</v>
      </c>
      <c r="G260" s="16" t="s">
        <v>291</v>
      </c>
      <c r="H260" s="16" t="s">
        <v>241</v>
      </c>
      <c r="I260" s="16" t="s">
        <v>292</v>
      </c>
    </row>
    <row r="261" ht="242.25" customHeight="1">
      <c r="B261" s="32" t="str">
        <f>IMAGE("https://gymvisual.com/22746-catalog_default/band-standing-alternate-chest-press-male.jpg",4,500,500)</f>
        <v/>
      </c>
      <c r="C261" s="30">
        <v>260.0</v>
      </c>
      <c r="D261" s="16" t="s">
        <v>647</v>
      </c>
      <c r="E261" s="16" t="s">
        <v>184</v>
      </c>
      <c r="F261" s="16" t="s">
        <v>234</v>
      </c>
      <c r="G261" s="16" t="s">
        <v>291</v>
      </c>
      <c r="H261" s="16" t="s">
        <v>347</v>
      </c>
      <c r="I261" s="16" t="s">
        <v>382</v>
      </c>
    </row>
    <row r="262" ht="242.25" customHeight="1">
      <c r="B262" s="32" t="str">
        <f>IMAGE("https://gymvisual.com/2811-catalog_default/band-standing-chest-press.jpg",4,500,500)</f>
        <v/>
      </c>
      <c r="C262" s="30">
        <v>261.0</v>
      </c>
      <c r="D262" s="16" t="s">
        <v>648</v>
      </c>
      <c r="E262" s="16" t="s">
        <v>184</v>
      </c>
      <c r="F262" s="16" t="s">
        <v>234</v>
      </c>
      <c r="G262" s="16" t="s">
        <v>291</v>
      </c>
      <c r="H262" s="16" t="s">
        <v>347</v>
      </c>
      <c r="I262" s="16" t="s">
        <v>382</v>
      </c>
    </row>
    <row r="263" ht="242.25" customHeight="1">
      <c r="B263" s="32" t="str">
        <f>IMAGE("https://gymvisual.com/19385-catalog_default/band-standing-chest-press-male.jpg",4,500,500)</f>
        <v/>
      </c>
      <c r="C263" s="30">
        <v>262.0</v>
      </c>
      <c r="D263" s="16" t="s">
        <v>649</v>
      </c>
      <c r="E263" s="16" t="s">
        <v>184</v>
      </c>
      <c r="F263" s="16" t="s">
        <v>234</v>
      </c>
      <c r="G263" s="16" t="s">
        <v>291</v>
      </c>
      <c r="H263" s="16" t="s">
        <v>347</v>
      </c>
      <c r="I263" s="16" t="s">
        <v>382</v>
      </c>
    </row>
    <row r="264" ht="242.25" customHeight="1">
      <c r="B264" s="32" t="str">
        <f>IMAGE("https://gymvisual.com/24799-catalog_default/band-standing-chest-press-version-2-male.jpg",4,500,500)</f>
        <v/>
      </c>
      <c r="C264" s="30">
        <v>263.0</v>
      </c>
      <c r="D264" s="16" t="s">
        <v>650</v>
      </c>
      <c r="E264" s="16" t="s">
        <v>184</v>
      </c>
      <c r="F264" s="16" t="s">
        <v>234</v>
      </c>
      <c r="G264" s="16" t="s">
        <v>291</v>
      </c>
      <c r="H264" s="16" t="s">
        <v>235</v>
      </c>
      <c r="I264" s="16" t="s">
        <v>243</v>
      </c>
    </row>
    <row r="265" ht="242.25" customHeight="1">
      <c r="B265" s="32" t="str">
        <f>IMAGE("https://gymvisual.com/2902-catalog_default/band-standing-crunch.jpg",4,500,500)</f>
        <v/>
      </c>
      <c r="C265" s="30">
        <v>264.0</v>
      </c>
      <c r="D265" s="16" t="s">
        <v>651</v>
      </c>
      <c r="E265" s="16" t="s">
        <v>184</v>
      </c>
      <c r="F265" s="16" t="s">
        <v>254</v>
      </c>
      <c r="G265" s="16" t="s">
        <v>291</v>
      </c>
      <c r="H265" s="16" t="s">
        <v>256</v>
      </c>
      <c r="I265" s="16" t="s">
        <v>257</v>
      </c>
    </row>
    <row r="266" ht="242.25" customHeight="1">
      <c r="B266" s="32" t="str">
        <f>IMAGE("https://gymvisual.com/17071-catalog_default/band-standing-crunch-female.jpg",4,500,500)</f>
        <v/>
      </c>
      <c r="C266" s="30">
        <v>265.0</v>
      </c>
      <c r="D266" s="16" t="s">
        <v>652</v>
      </c>
      <c r="E266" s="16" t="s">
        <v>184</v>
      </c>
      <c r="F266" s="16" t="s">
        <v>254</v>
      </c>
      <c r="G266" s="16" t="s">
        <v>291</v>
      </c>
      <c r="H266" s="16" t="s">
        <v>256</v>
      </c>
      <c r="I266" s="16" t="s">
        <v>257</v>
      </c>
    </row>
    <row r="267" ht="242.25" customHeight="1">
      <c r="B267" s="32" t="str">
        <f>IMAGE("https://gymvisual.com/2812-catalog_default/band-standing-external-shoulder-rotation.jpg",4,500,500)</f>
        <v/>
      </c>
      <c r="C267" s="30">
        <v>266.0</v>
      </c>
      <c r="D267" s="16" t="s">
        <v>653</v>
      </c>
      <c r="E267" s="16" t="s">
        <v>184</v>
      </c>
      <c r="F267" s="16" t="s">
        <v>192</v>
      </c>
      <c r="G267" s="16" t="s">
        <v>291</v>
      </c>
      <c r="H267" s="16" t="s">
        <v>654</v>
      </c>
      <c r="I267" s="16" t="s">
        <v>220</v>
      </c>
    </row>
    <row r="268" ht="242.25" customHeight="1">
      <c r="B268" s="32" t="str">
        <f>IMAGE("https://gymvisual.com/22183-catalog_default/band-standing-hammer-curl.jpg",4,500,500)</f>
        <v/>
      </c>
      <c r="C268" s="30">
        <v>267.0</v>
      </c>
      <c r="D268" s="16" t="s">
        <v>655</v>
      </c>
      <c r="E268" s="16" t="s">
        <v>184</v>
      </c>
      <c r="F268" s="16" t="s">
        <v>219</v>
      </c>
      <c r="G268" s="16" t="s">
        <v>291</v>
      </c>
      <c r="H268" s="16" t="s">
        <v>216</v>
      </c>
      <c r="I268" s="16" t="s">
        <v>217</v>
      </c>
    </row>
    <row r="269" ht="242.25" customHeight="1">
      <c r="B269" s="32" t="str">
        <f>IMAGE("https://gymvisual.com/2875-catalog_default/band-standing-hip-extension.jpg",4,500,500)</f>
        <v/>
      </c>
      <c r="C269" s="30">
        <v>268.0</v>
      </c>
      <c r="D269" s="16" t="s">
        <v>656</v>
      </c>
      <c r="E269" s="16" t="s">
        <v>184</v>
      </c>
      <c r="F269" s="16" t="s">
        <v>185</v>
      </c>
      <c r="G269" s="16" t="s">
        <v>291</v>
      </c>
      <c r="H269" s="16" t="s">
        <v>187</v>
      </c>
      <c r="I269" s="16" t="s">
        <v>188</v>
      </c>
    </row>
    <row r="270" ht="242.25" customHeight="1">
      <c r="B270" s="32" t="str">
        <f>IMAGE("https://gymvisual.com/17515-catalog_default/band-standing-hip-extension-male.jpg",4,500,500)</f>
        <v/>
      </c>
      <c r="C270" s="30">
        <v>269.0</v>
      </c>
      <c r="D270" s="16" t="s">
        <v>657</v>
      </c>
      <c r="E270" s="16" t="s">
        <v>184</v>
      </c>
      <c r="F270" s="16" t="s">
        <v>185</v>
      </c>
      <c r="G270" s="16" t="s">
        <v>291</v>
      </c>
      <c r="H270" s="16" t="s">
        <v>187</v>
      </c>
      <c r="I270" s="16" t="s">
        <v>188</v>
      </c>
    </row>
    <row r="271" ht="242.25" customHeight="1">
      <c r="B271" s="32" t="str">
        <f>IMAGE("https://gymvisual.com/2814-catalog_default/band-standing-incline-chest-press.jpg",4,500,500)</f>
        <v/>
      </c>
      <c r="C271" s="30">
        <v>270.0</v>
      </c>
      <c r="D271" s="16" t="s">
        <v>658</v>
      </c>
      <c r="E271" s="16" t="s">
        <v>184</v>
      </c>
      <c r="F271" s="16" t="s">
        <v>234</v>
      </c>
      <c r="G271" s="16" t="s">
        <v>291</v>
      </c>
      <c r="H271" s="16" t="s">
        <v>415</v>
      </c>
      <c r="I271" s="16" t="s">
        <v>659</v>
      </c>
    </row>
    <row r="272" ht="242.25" customHeight="1">
      <c r="B272" s="32" t="str">
        <f>IMAGE("https://gymvisual.com/2815-catalog_default/band-standing-internal-shoulder-rotation.jpg",4,500,500)</f>
        <v/>
      </c>
      <c r="C272" s="30">
        <v>271.0</v>
      </c>
      <c r="D272" s="16" t="s">
        <v>660</v>
      </c>
      <c r="E272" s="16" t="s">
        <v>184</v>
      </c>
      <c r="F272" s="16" t="s">
        <v>192</v>
      </c>
      <c r="G272" s="16" t="s">
        <v>291</v>
      </c>
      <c r="H272" s="16" t="s">
        <v>661</v>
      </c>
      <c r="I272" s="16" t="s">
        <v>662</v>
      </c>
    </row>
    <row r="273" ht="242.25" customHeight="1">
      <c r="B273" s="32" t="str">
        <f>IMAGE("https://gymvisual.com/2816-catalog_default/band-standing-leg-curl.jpg",4,500,500)</f>
        <v/>
      </c>
      <c r="C273" s="30">
        <v>272.0</v>
      </c>
      <c r="D273" s="16" t="s">
        <v>663</v>
      </c>
      <c r="E273" s="16" t="s">
        <v>184</v>
      </c>
      <c r="F273" s="16" t="s">
        <v>285</v>
      </c>
      <c r="G273" s="16" t="s">
        <v>291</v>
      </c>
      <c r="H273" s="16" t="s">
        <v>188</v>
      </c>
      <c r="I273" s="16" t="s">
        <v>368</v>
      </c>
    </row>
    <row r="274" ht="242.25" customHeight="1">
      <c r="B274" s="32" t="str">
        <f>IMAGE("https://gymvisual.com/17513-catalog_default/band-standing-leg-curl-male.jpg",4,500,500)</f>
        <v/>
      </c>
      <c r="C274" s="30">
        <v>273.0</v>
      </c>
      <c r="D274" s="16" t="s">
        <v>664</v>
      </c>
      <c r="E274" s="16" t="s">
        <v>184</v>
      </c>
      <c r="F274" s="16" t="s">
        <v>285</v>
      </c>
      <c r="G274" s="16" t="s">
        <v>291</v>
      </c>
      <c r="H274" s="16" t="s">
        <v>188</v>
      </c>
      <c r="I274" s="16" t="s">
        <v>665</v>
      </c>
    </row>
    <row r="275" ht="242.25" customHeight="1">
      <c r="B275" s="32" t="str">
        <f>IMAGE("https://gymvisual.com/2817-catalog_default/band-standing-leg-extension.jpg",4,500,500)</f>
        <v/>
      </c>
      <c r="C275" s="30">
        <v>274.0</v>
      </c>
      <c r="D275" s="16" t="s">
        <v>666</v>
      </c>
      <c r="E275" s="16" t="s">
        <v>184</v>
      </c>
      <c r="F275" s="16" t="s">
        <v>285</v>
      </c>
      <c r="G275" s="16" t="s">
        <v>291</v>
      </c>
      <c r="H275" s="16" t="s">
        <v>552</v>
      </c>
      <c r="I275" s="16" t="s">
        <v>476</v>
      </c>
    </row>
    <row r="276" ht="242.25" customHeight="1">
      <c r="B276" s="32" t="str">
        <f>IMAGE("https://gymvisual.com/2918-catalog_default/band-standing-leg-raise.jpg",4,500,500)</f>
        <v/>
      </c>
      <c r="C276" s="30">
        <v>275.0</v>
      </c>
      <c r="D276" s="16" t="s">
        <v>667</v>
      </c>
      <c r="E276" s="16" t="s">
        <v>184</v>
      </c>
      <c r="F276" s="16" t="s">
        <v>185</v>
      </c>
      <c r="G276" s="16" t="s">
        <v>291</v>
      </c>
      <c r="H276" s="16" t="s">
        <v>271</v>
      </c>
      <c r="I276" s="16" t="s">
        <v>668</v>
      </c>
    </row>
    <row r="277" ht="242.25" customHeight="1">
      <c r="B277" s="32" t="str">
        <f>IMAGE("https://gymvisual.com/2919-catalog_default/band-standing-rear-delt-row.jpg",4,500,500)</f>
        <v/>
      </c>
      <c r="C277" s="30">
        <v>276.0</v>
      </c>
      <c r="D277" s="16" t="s">
        <v>669</v>
      </c>
      <c r="E277" s="16" t="s">
        <v>184</v>
      </c>
      <c r="F277" s="16" t="s">
        <v>228</v>
      </c>
      <c r="G277" s="16" t="s">
        <v>291</v>
      </c>
      <c r="H277" s="16" t="s">
        <v>408</v>
      </c>
      <c r="I277" s="16" t="s">
        <v>490</v>
      </c>
    </row>
    <row r="278" ht="242.25" customHeight="1">
      <c r="B278" s="32" t="str">
        <f>IMAGE("https://gymvisual.com/17374-catalog_default/band-standing-rear-delt-row-female.jpg",4,500,500)</f>
        <v/>
      </c>
      <c r="C278" s="30">
        <v>277.0</v>
      </c>
      <c r="D278" s="16" t="s">
        <v>670</v>
      </c>
      <c r="E278" s="16" t="s">
        <v>184</v>
      </c>
      <c r="F278" s="16" t="s">
        <v>228</v>
      </c>
      <c r="G278" s="16" t="s">
        <v>291</v>
      </c>
      <c r="H278" s="16" t="s">
        <v>408</v>
      </c>
      <c r="I278" s="16" t="s">
        <v>671</v>
      </c>
    </row>
    <row r="279" ht="242.25" customHeight="1">
      <c r="B279" s="32" t="str">
        <f>IMAGE("https://gymvisual.com/19241-catalog_default/band-standing-single-arm-row.jpg",4,500,500)</f>
        <v/>
      </c>
      <c r="C279" s="30">
        <v>278.0</v>
      </c>
      <c r="D279" s="16" t="s">
        <v>672</v>
      </c>
      <c r="E279" s="16" t="s">
        <v>184</v>
      </c>
      <c r="F279" s="16" t="s">
        <v>192</v>
      </c>
      <c r="G279" s="16" t="s">
        <v>291</v>
      </c>
      <c r="H279" s="16" t="s">
        <v>220</v>
      </c>
      <c r="I279" s="16" t="s">
        <v>220</v>
      </c>
    </row>
    <row r="280" ht="242.25" customHeight="1">
      <c r="B280" s="32" t="str">
        <f>IMAGE("https://gymvisual.com/22750-catalog_default/band-standing-single-arm-twist-row.jpg",4,500,500)</f>
        <v/>
      </c>
      <c r="C280" s="30">
        <v>279.0</v>
      </c>
      <c r="D280" s="16" t="s">
        <v>673</v>
      </c>
      <c r="E280" s="16" t="s">
        <v>184</v>
      </c>
      <c r="F280" s="16" t="s">
        <v>192</v>
      </c>
      <c r="G280" s="16" t="s">
        <v>291</v>
      </c>
      <c r="H280" s="16" t="s">
        <v>570</v>
      </c>
      <c r="I280" s="16" t="s">
        <v>447</v>
      </c>
    </row>
    <row r="281" ht="242.25" customHeight="1">
      <c r="B281" s="32" t="str">
        <f>IMAGE("https://gymvisual.com/19243-catalog_default/band-standing-straight-arm-pulldown.jpg",4,500,500)</f>
        <v/>
      </c>
      <c r="C281" s="30">
        <v>280.0</v>
      </c>
      <c r="D281" s="16" t="s">
        <v>674</v>
      </c>
      <c r="E281" s="16" t="s">
        <v>184</v>
      </c>
      <c r="F281" s="16" t="s">
        <v>192</v>
      </c>
      <c r="G281" s="16" t="s">
        <v>291</v>
      </c>
      <c r="H281" s="16" t="s">
        <v>220</v>
      </c>
      <c r="I281" s="16" t="s">
        <v>220</v>
      </c>
    </row>
    <row r="282" ht="242.25" customHeight="1">
      <c r="B282" s="32" t="str">
        <f>IMAGE("https://gymvisual.com/2818-catalog_default/band-standing-straight-leg-raise.jpg",4,500,500)</f>
        <v/>
      </c>
      <c r="C282" s="30">
        <v>281.0</v>
      </c>
      <c r="D282" s="16" t="s">
        <v>675</v>
      </c>
      <c r="E282" s="16" t="s">
        <v>184</v>
      </c>
      <c r="F282" s="16" t="s">
        <v>185</v>
      </c>
      <c r="G282" s="16" t="s">
        <v>291</v>
      </c>
      <c r="H282" s="16" t="s">
        <v>271</v>
      </c>
      <c r="I282" s="16" t="s">
        <v>676</v>
      </c>
    </row>
    <row r="283" ht="242.25" customHeight="1">
      <c r="B283" s="32" t="str">
        <f>IMAGE("https://gymvisual.com/2904-catalog_default/band-standing-twisting-crunch.jpg",4,500,500)</f>
        <v/>
      </c>
      <c r="C283" s="30">
        <v>282.0</v>
      </c>
      <c r="D283" s="16" t="s">
        <v>677</v>
      </c>
      <c r="E283" s="16" t="s">
        <v>184</v>
      </c>
      <c r="F283" s="16" t="s">
        <v>254</v>
      </c>
      <c r="G283" s="16" t="s">
        <v>291</v>
      </c>
      <c r="H283" s="16" t="s">
        <v>257</v>
      </c>
      <c r="I283" s="16" t="s">
        <v>256</v>
      </c>
    </row>
    <row r="284" ht="242.25" customHeight="1">
      <c r="B284" s="32" t="str">
        <f>IMAGE("https://gymvisual.com/2905-catalog_default/band-step-up.jpg",4,500,500)</f>
        <v/>
      </c>
      <c r="C284" s="30">
        <v>283.0</v>
      </c>
      <c r="D284" s="16" t="s">
        <v>678</v>
      </c>
      <c r="E284" s="16" t="s">
        <v>184</v>
      </c>
      <c r="F284" s="16" t="s">
        <v>185</v>
      </c>
      <c r="G284" s="16" t="s">
        <v>291</v>
      </c>
      <c r="H284" s="16" t="s">
        <v>187</v>
      </c>
      <c r="I284" s="16" t="s">
        <v>679</v>
      </c>
    </row>
    <row r="285" ht="242.25" customHeight="1">
      <c r="B285" s="32" t="str">
        <f>IMAGE("https://gymvisual.com/2906-catalog_default/band-stiff-leg-deadlift.jpg",4,500,500)</f>
        <v/>
      </c>
      <c r="C285" s="30">
        <v>284.0</v>
      </c>
      <c r="D285" s="16" t="s">
        <v>680</v>
      </c>
      <c r="E285" s="16" t="s">
        <v>184</v>
      </c>
      <c r="F285" s="16" t="s">
        <v>185</v>
      </c>
      <c r="G285" s="16" t="s">
        <v>291</v>
      </c>
      <c r="H285" s="16" t="s">
        <v>187</v>
      </c>
      <c r="I285" s="16" t="s">
        <v>590</v>
      </c>
    </row>
    <row r="286" ht="242.25" customHeight="1">
      <c r="B286" s="32" t="str">
        <f>IMAGE("https://gymvisual.com/17083-catalog_default/band-straight-back-seated-row-male.jpg",4,500,500)</f>
        <v/>
      </c>
      <c r="C286" s="30">
        <v>285.0</v>
      </c>
      <c r="D286" s="16" t="s">
        <v>681</v>
      </c>
      <c r="E286" s="16" t="s">
        <v>184</v>
      </c>
      <c r="F286" s="16" t="s">
        <v>192</v>
      </c>
      <c r="G286" s="16" t="s">
        <v>291</v>
      </c>
      <c r="H286" s="16" t="s">
        <v>329</v>
      </c>
      <c r="I286" s="16" t="s">
        <v>447</v>
      </c>
    </row>
    <row r="287" ht="242.25" customHeight="1">
      <c r="B287" s="32" t="str">
        <f>IMAGE("https://gymvisual.com/2920-catalog_default/band-straight-back-stiff-leg-deadlift.jpg",4,500,500)</f>
        <v/>
      </c>
      <c r="C287" s="30">
        <v>286.0</v>
      </c>
      <c r="D287" s="16" t="s">
        <v>682</v>
      </c>
      <c r="E287" s="16" t="s">
        <v>184</v>
      </c>
      <c r="F287" s="16" t="s">
        <v>185</v>
      </c>
      <c r="G287" s="16" t="s">
        <v>291</v>
      </c>
      <c r="H287" s="16" t="s">
        <v>187</v>
      </c>
      <c r="I287" s="16" t="s">
        <v>683</v>
      </c>
    </row>
    <row r="288" ht="242.25" customHeight="1">
      <c r="B288" s="32" t="str">
        <f>IMAGE("https://gymvisual.com/2907-catalog_default/band-straight-leg-deadlift.jpg",4,500,500)</f>
        <v/>
      </c>
      <c r="C288" s="30">
        <v>287.0</v>
      </c>
      <c r="D288" s="16" t="s">
        <v>684</v>
      </c>
      <c r="E288" s="16" t="s">
        <v>184</v>
      </c>
      <c r="F288" s="16" t="s">
        <v>192</v>
      </c>
      <c r="G288" s="16" t="s">
        <v>291</v>
      </c>
      <c r="H288" s="16" t="s">
        <v>275</v>
      </c>
      <c r="I288" s="16" t="s">
        <v>685</v>
      </c>
    </row>
    <row r="289" ht="242.25" customHeight="1">
      <c r="B289" s="32" t="str">
        <f>IMAGE("https://gymvisual.com/2819-catalog_default/band-straight-arm-pulldown.jpg",4,500,500)</f>
        <v/>
      </c>
      <c r="C289" s="30">
        <v>288.0</v>
      </c>
      <c r="D289" s="16" t="s">
        <v>686</v>
      </c>
      <c r="E289" s="16" t="s">
        <v>184</v>
      </c>
      <c r="F289" s="16" t="s">
        <v>192</v>
      </c>
      <c r="G289" s="16" t="s">
        <v>291</v>
      </c>
      <c r="H289" s="16" t="s">
        <v>300</v>
      </c>
      <c r="I289" s="16" t="s">
        <v>687</v>
      </c>
    </row>
    <row r="290" ht="242.25" customHeight="1">
      <c r="B290" s="32" t="str">
        <f>IMAGE("https://gymvisual.com/2820-catalog_default/band-straight-back-seated-row.jpg",4,500,500)</f>
        <v/>
      </c>
      <c r="C290" s="30">
        <v>289.0</v>
      </c>
      <c r="D290" s="16" t="s">
        <v>688</v>
      </c>
      <c r="E290" s="16" t="s">
        <v>184</v>
      </c>
      <c r="F290" s="16" t="s">
        <v>192</v>
      </c>
      <c r="G290" s="16" t="s">
        <v>291</v>
      </c>
      <c r="H290" s="16" t="s">
        <v>329</v>
      </c>
      <c r="I290" s="16" t="s">
        <v>457</v>
      </c>
    </row>
    <row r="291" ht="242.25" customHeight="1">
      <c r="B291" s="32" t="str">
        <f>IMAGE("https://gymvisual.com/2821-catalog_default/band-straight-back-standing-row.jpg",4,500,500)</f>
        <v/>
      </c>
      <c r="C291" s="30">
        <v>290.0</v>
      </c>
      <c r="D291" s="16" t="s">
        <v>689</v>
      </c>
      <c r="E291" s="16" t="s">
        <v>184</v>
      </c>
      <c r="F291" s="16" t="s">
        <v>192</v>
      </c>
      <c r="G291" s="16" t="s">
        <v>291</v>
      </c>
      <c r="H291" s="16" t="s">
        <v>329</v>
      </c>
      <c r="I291" s="16" t="s">
        <v>457</v>
      </c>
    </row>
    <row r="292" ht="242.25" customHeight="1">
      <c r="B292" s="32" t="str">
        <f>IMAGE("https://gymvisual.com/13283-catalog_default/band-thruster.jpg",4,500,500)</f>
        <v/>
      </c>
      <c r="C292" s="30">
        <v>291.0</v>
      </c>
      <c r="D292" s="16" t="s">
        <v>690</v>
      </c>
      <c r="E292" s="16" t="s">
        <v>184</v>
      </c>
      <c r="F292" s="16" t="s">
        <v>691</v>
      </c>
      <c r="G292" s="16" t="s">
        <v>291</v>
      </c>
      <c r="H292" s="16" t="s">
        <v>220</v>
      </c>
      <c r="I292" s="16" t="s">
        <v>220</v>
      </c>
    </row>
    <row r="293" ht="242.25" customHeight="1">
      <c r="B293" s="32" t="str">
        <f>IMAGE("https://gymvisual.com/13285-catalog_default/band-thruster-female.jpg",4,500,500)</f>
        <v/>
      </c>
      <c r="C293" s="30">
        <v>292.0</v>
      </c>
      <c r="D293" s="16" t="s">
        <v>692</v>
      </c>
      <c r="E293" s="16" t="s">
        <v>184</v>
      </c>
      <c r="F293" s="16" t="s">
        <v>691</v>
      </c>
      <c r="G293" s="16" t="s">
        <v>291</v>
      </c>
      <c r="H293" s="16" t="s">
        <v>220</v>
      </c>
      <c r="I293" s="16" t="s">
        <v>220</v>
      </c>
    </row>
    <row r="294" ht="242.25" customHeight="1">
      <c r="B294" s="32" t="str">
        <f>IMAGE("https://gymvisual.com/18909-catalog_default/band-triceps-kickback.jpg",4,500,500)</f>
        <v/>
      </c>
      <c r="C294" s="30">
        <v>293.0</v>
      </c>
      <c r="D294" s="16" t="s">
        <v>693</v>
      </c>
      <c r="E294" s="16" t="s">
        <v>184</v>
      </c>
      <c r="F294" s="16" t="s">
        <v>219</v>
      </c>
      <c r="G294" s="16" t="s">
        <v>291</v>
      </c>
      <c r="H294" s="16" t="s">
        <v>223</v>
      </c>
      <c r="I294" s="16" t="s">
        <v>220</v>
      </c>
    </row>
    <row r="295" ht="242.25" customHeight="1">
      <c r="B295" s="32" t="str">
        <f>IMAGE("https://gymvisual.com/2824-catalog_default/band-twist.jpg",4,500,500)</f>
        <v/>
      </c>
      <c r="C295" s="30">
        <v>294.0</v>
      </c>
      <c r="D295" s="16" t="s">
        <v>694</v>
      </c>
      <c r="E295" s="16" t="s">
        <v>184</v>
      </c>
      <c r="F295" s="16" t="s">
        <v>254</v>
      </c>
      <c r="G295" s="16" t="s">
        <v>291</v>
      </c>
      <c r="H295" s="16" t="s">
        <v>257</v>
      </c>
      <c r="I295" s="16" t="s">
        <v>695</v>
      </c>
    </row>
    <row r="296" ht="242.25" customHeight="1">
      <c r="B296" s="32" t="str">
        <f>IMAGE("https://gymvisual.com/22714-catalog_default/band-twist-up-down-male.jpg",4,500,500)</f>
        <v/>
      </c>
      <c r="C296" s="30">
        <v>295.0</v>
      </c>
      <c r="D296" s="16" t="s">
        <v>696</v>
      </c>
      <c r="E296" s="16" t="s">
        <v>184</v>
      </c>
      <c r="F296" s="16" t="s">
        <v>254</v>
      </c>
      <c r="G296" s="16" t="s">
        <v>291</v>
      </c>
      <c r="H296" s="16" t="s">
        <v>257</v>
      </c>
      <c r="I296" s="16" t="s">
        <v>697</v>
      </c>
    </row>
    <row r="297" ht="242.25" customHeight="1">
      <c r="B297" s="32" t="str">
        <f>IMAGE("https://gymvisual.com/2822-catalog_default/band-twist-down-up.jpg",4,500,500)</f>
        <v/>
      </c>
      <c r="C297" s="30">
        <v>296.0</v>
      </c>
      <c r="D297" s="16" t="s">
        <v>698</v>
      </c>
      <c r="E297" s="16" t="s">
        <v>184</v>
      </c>
      <c r="F297" s="16" t="s">
        <v>254</v>
      </c>
      <c r="G297" s="16" t="s">
        <v>291</v>
      </c>
      <c r="H297" s="16" t="s">
        <v>257</v>
      </c>
      <c r="I297" s="16" t="s">
        <v>695</v>
      </c>
    </row>
    <row r="298" ht="242.25" customHeight="1">
      <c r="B298" s="32" t="str">
        <f>IMAGE("https://gymvisual.com/14246-catalog_default/band-twist-male.jpg",4,500,500)</f>
        <v/>
      </c>
      <c r="C298" s="30">
        <v>297.0</v>
      </c>
      <c r="D298" s="16" t="s">
        <v>699</v>
      </c>
      <c r="E298" s="16" t="s">
        <v>184</v>
      </c>
      <c r="F298" s="16" t="s">
        <v>254</v>
      </c>
      <c r="G298" s="16" t="s">
        <v>291</v>
      </c>
      <c r="H298" s="16" t="s">
        <v>257</v>
      </c>
      <c r="I298" s="16" t="s">
        <v>700</v>
      </c>
    </row>
    <row r="299" ht="242.25" customHeight="1">
      <c r="B299" s="32" t="str">
        <f>IMAGE("https://gymvisual.com/2876-catalog_default/band-twist-up-down.jpg",4,500,500)</f>
        <v/>
      </c>
      <c r="C299" s="30">
        <v>298.0</v>
      </c>
      <c r="D299" s="16" t="s">
        <v>701</v>
      </c>
      <c r="E299" s="16" t="s">
        <v>184</v>
      </c>
      <c r="F299" s="16" t="s">
        <v>254</v>
      </c>
      <c r="G299" s="16" t="s">
        <v>291</v>
      </c>
      <c r="H299" s="16" t="s">
        <v>257</v>
      </c>
      <c r="I299" s="16" t="s">
        <v>702</v>
      </c>
    </row>
    <row r="300" ht="242.25" customHeight="1">
      <c r="B300" s="32" t="str">
        <f>IMAGE("https://gymvisual.com/2909-catalog_default/band-twisting-overhead-press.jpg",4,500,500)</f>
        <v/>
      </c>
      <c r="C300" s="30">
        <v>299.0</v>
      </c>
      <c r="D300" s="16" t="s">
        <v>703</v>
      </c>
      <c r="E300" s="16" t="s">
        <v>184</v>
      </c>
      <c r="F300" s="16" t="s">
        <v>228</v>
      </c>
      <c r="G300" s="16" t="s">
        <v>291</v>
      </c>
      <c r="H300" s="16" t="s">
        <v>229</v>
      </c>
      <c r="I300" s="16" t="s">
        <v>704</v>
      </c>
    </row>
    <row r="301" ht="242.25" customHeight="1">
      <c r="B301" s="32" t="str">
        <f>IMAGE("https://gymvisual.com/6064-catalog_default/band-two-legs-calf-raise-band-under-both-legs-version-2.jpg",4,500,500)</f>
        <v/>
      </c>
      <c r="C301" s="30">
        <v>300.0</v>
      </c>
      <c r="D301" s="16" t="s">
        <v>705</v>
      </c>
      <c r="E301" s="16" t="s">
        <v>184</v>
      </c>
      <c r="F301" s="16" t="s">
        <v>325</v>
      </c>
      <c r="G301" s="16" t="s">
        <v>291</v>
      </c>
      <c r="H301" s="16" t="s">
        <v>368</v>
      </c>
      <c r="I301" s="16" t="s">
        <v>463</v>
      </c>
    </row>
    <row r="302" ht="242.25" customHeight="1">
      <c r="B302" s="32" t="str">
        <f>IMAGE("https://gymvisual.com/17370-catalog_default/band-two-legs-calf-raise-band-under-both-legs-version-2-female.jpg",4,500,500)</f>
        <v/>
      </c>
      <c r="C302" s="30">
        <v>301.0</v>
      </c>
      <c r="D302" s="16" t="s">
        <v>706</v>
      </c>
      <c r="E302" s="16" t="s">
        <v>184</v>
      </c>
      <c r="F302" s="16" t="s">
        <v>325</v>
      </c>
      <c r="G302" s="16" t="s">
        <v>291</v>
      </c>
      <c r="H302" s="16" t="s">
        <v>368</v>
      </c>
      <c r="I302" s="16" t="s">
        <v>463</v>
      </c>
    </row>
    <row r="303" ht="242.25" customHeight="1">
      <c r="B303" s="32" t="str">
        <f>IMAGE("https://gymvisual.com/2910-catalog_default/band-underhand-pulldown.jpg",4,500,500)</f>
        <v/>
      </c>
      <c r="C303" s="30">
        <v>302.0</v>
      </c>
      <c r="D303" s="16" t="s">
        <v>707</v>
      </c>
      <c r="E303" s="16" t="s">
        <v>184</v>
      </c>
      <c r="F303" s="16" t="s">
        <v>192</v>
      </c>
      <c r="G303" s="16" t="s">
        <v>291</v>
      </c>
      <c r="H303" s="16" t="s">
        <v>300</v>
      </c>
      <c r="I303" s="16" t="s">
        <v>708</v>
      </c>
    </row>
    <row r="304" ht="242.25" customHeight="1">
      <c r="B304" s="32" t="str">
        <f>IMAGE("https://gymvisual.com/16761-catalog_default/band-upper-body-lying-air-bike.jpg",4,500,500)</f>
        <v/>
      </c>
      <c r="C304" s="30">
        <v>303.0</v>
      </c>
      <c r="D304" s="16" t="s">
        <v>709</v>
      </c>
      <c r="E304" s="16" t="s">
        <v>184</v>
      </c>
      <c r="F304" s="16" t="s">
        <v>310</v>
      </c>
      <c r="G304" s="16" t="s">
        <v>291</v>
      </c>
      <c r="H304" s="16" t="s">
        <v>220</v>
      </c>
      <c r="I304" s="16" t="s">
        <v>220</v>
      </c>
    </row>
    <row r="305" ht="242.25" customHeight="1">
      <c r="B305" s="32" t="str">
        <f>IMAGE("https://gymvisual.com/12203-catalog_default/band-upper-body-resistance-dead-bug.jpg",4,500,500)</f>
        <v/>
      </c>
      <c r="C305" s="30">
        <v>304.0</v>
      </c>
      <c r="D305" s="16" t="s">
        <v>710</v>
      </c>
      <c r="E305" s="16" t="s">
        <v>184</v>
      </c>
      <c r="F305" s="16" t="s">
        <v>254</v>
      </c>
      <c r="G305" s="16" t="s">
        <v>291</v>
      </c>
      <c r="H305" s="16" t="s">
        <v>220</v>
      </c>
      <c r="I305" s="16" t="s">
        <v>220</v>
      </c>
    </row>
    <row r="306" ht="242.25" customHeight="1">
      <c r="B306" s="32" t="str">
        <f>IMAGE("https://gymvisual.com/22117-catalog_default/band-upper-crunch-male.jpg",4,500,500)</f>
        <v/>
      </c>
      <c r="C306" s="30">
        <v>305.0</v>
      </c>
      <c r="D306" s="16" t="s">
        <v>711</v>
      </c>
      <c r="E306" s="16" t="s">
        <v>184</v>
      </c>
      <c r="F306" s="16" t="s">
        <v>254</v>
      </c>
      <c r="G306" s="16" t="s">
        <v>291</v>
      </c>
      <c r="H306" s="16" t="s">
        <v>256</v>
      </c>
      <c r="I306" s="16" t="s">
        <v>257</v>
      </c>
    </row>
    <row r="307" ht="242.25" customHeight="1">
      <c r="B307" s="32" t="str">
        <f>IMAGE("https://gymvisual.com/2825-catalog_default/band-upright-row.jpg",4,500,500)</f>
        <v/>
      </c>
      <c r="C307" s="30">
        <v>306.0</v>
      </c>
      <c r="D307" s="16" t="s">
        <v>712</v>
      </c>
      <c r="E307" s="16" t="s">
        <v>184</v>
      </c>
      <c r="F307" s="16" t="s">
        <v>228</v>
      </c>
      <c r="G307" s="16" t="s">
        <v>291</v>
      </c>
      <c r="H307" s="16" t="s">
        <v>544</v>
      </c>
      <c r="I307" s="16" t="s">
        <v>713</v>
      </c>
    </row>
    <row r="308" ht="242.25" customHeight="1">
      <c r="B308" s="32" t="str">
        <f>IMAGE("https://gymvisual.com/6733-catalog_default/band-upright-row-under-two-feet.jpg",4,500,500)</f>
        <v/>
      </c>
      <c r="C308" s="30">
        <v>307.0</v>
      </c>
      <c r="D308" s="16" t="s">
        <v>714</v>
      </c>
      <c r="E308" s="16" t="s">
        <v>184</v>
      </c>
      <c r="F308" s="16" t="s">
        <v>228</v>
      </c>
      <c r="G308" s="16" t="s">
        <v>291</v>
      </c>
      <c r="H308" s="16" t="s">
        <v>544</v>
      </c>
      <c r="I308" s="16" t="s">
        <v>715</v>
      </c>
    </row>
    <row r="309" ht="242.25" customHeight="1">
      <c r="B309" s="32" t="str">
        <f>IMAGE("https://gymvisual.com/2826-catalog_default/band-upright-shoulder-external-rotation.jpg",4,500,500)</f>
        <v/>
      </c>
      <c r="C309" s="30">
        <v>308.0</v>
      </c>
      <c r="D309" s="16" t="s">
        <v>716</v>
      </c>
      <c r="E309" s="16" t="s">
        <v>184</v>
      </c>
      <c r="F309" s="16" t="s">
        <v>192</v>
      </c>
      <c r="G309" s="16" t="s">
        <v>291</v>
      </c>
      <c r="H309" s="16" t="s">
        <v>661</v>
      </c>
      <c r="I309" s="16" t="s">
        <v>220</v>
      </c>
    </row>
    <row r="310" ht="242.25" customHeight="1">
      <c r="B310" s="32" t="str">
        <f>IMAGE("https://gymvisual.com/2911-catalog_default/band-v-up.jpg",4,500,500)</f>
        <v/>
      </c>
      <c r="C310" s="30">
        <v>309.0</v>
      </c>
      <c r="D310" s="16" t="s">
        <v>717</v>
      </c>
      <c r="E310" s="16" t="s">
        <v>184</v>
      </c>
      <c r="F310" s="16" t="s">
        <v>254</v>
      </c>
      <c r="G310" s="16" t="s">
        <v>291</v>
      </c>
      <c r="H310" s="16" t="s">
        <v>305</v>
      </c>
      <c r="I310" s="16" t="s">
        <v>317</v>
      </c>
    </row>
    <row r="311" ht="242.25" customHeight="1">
      <c r="B311" s="32" t="str">
        <f>IMAGE("https://gymvisual.com/2912-catalog_default/band-vertical-pallof-press.jpg",4,500,500)</f>
        <v/>
      </c>
      <c r="C311" s="30">
        <v>310.0</v>
      </c>
      <c r="D311" s="16" t="s">
        <v>718</v>
      </c>
      <c r="E311" s="16" t="s">
        <v>184</v>
      </c>
      <c r="F311" s="16" t="s">
        <v>254</v>
      </c>
      <c r="G311" s="16" t="s">
        <v>291</v>
      </c>
      <c r="H311" s="16" t="s">
        <v>257</v>
      </c>
      <c r="I311" s="16" t="s">
        <v>220</v>
      </c>
    </row>
    <row r="312" ht="242.25" customHeight="1">
      <c r="B312" s="32" t="str">
        <f>IMAGE("https://gymvisual.com/2913-catalog_default/band-wrist-curl.jpg",4,500,500)</f>
        <v/>
      </c>
      <c r="C312" s="30">
        <v>311.0</v>
      </c>
      <c r="D312" s="16" t="s">
        <v>719</v>
      </c>
      <c r="E312" s="16" t="s">
        <v>184</v>
      </c>
      <c r="F312" s="16" t="s">
        <v>214</v>
      </c>
      <c r="G312" s="16" t="s">
        <v>291</v>
      </c>
      <c r="H312" s="16" t="s">
        <v>720</v>
      </c>
      <c r="I312" s="16" t="s">
        <v>220</v>
      </c>
    </row>
    <row r="313" ht="242.25" customHeight="1">
      <c r="B313" s="32" t="str">
        <f>IMAGE("https://gymvisual.com/2914-catalog_default/band-y-raise.jpg",4,500,500)</f>
        <v/>
      </c>
      <c r="C313" s="30">
        <v>312.0</v>
      </c>
      <c r="D313" s="16" t="s">
        <v>721</v>
      </c>
      <c r="E313" s="16" t="s">
        <v>184</v>
      </c>
      <c r="F313" s="16" t="s">
        <v>228</v>
      </c>
      <c r="G313" s="16" t="s">
        <v>291</v>
      </c>
      <c r="H313" s="16" t="s">
        <v>544</v>
      </c>
      <c r="I313" s="16" t="s">
        <v>722</v>
      </c>
    </row>
    <row r="314" ht="242.25" customHeight="1">
      <c r="B314" s="32" t="str">
        <f>IMAGE("https://gymvisual.com/22383-catalog_default/banded-glute-ham-raise-version-2.jpg",4,500,500)</f>
        <v/>
      </c>
      <c r="C314" s="30">
        <v>313.0</v>
      </c>
      <c r="D314" s="16" t="s">
        <v>723</v>
      </c>
      <c r="E314" s="16" t="s">
        <v>184</v>
      </c>
      <c r="F314" s="16" t="s">
        <v>285</v>
      </c>
      <c r="G314" s="16" t="s">
        <v>291</v>
      </c>
      <c r="H314" s="16" t="s">
        <v>188</v>
      </c>
      <c r="I314" s="16" t="s">
        <v>187</v>
      </c>
    </row>
    <row r="315" ht="242.25" customHeight="1">
      <c r="B315" s="32" t="str">
        <f>IMAGE("https://gymvisual.com/22456-catalog_default/banded-glute-ham-raise-version-3.jpg",4,500,500)</f>
        <v/>
      </c>
      <c r="C315" s="30">
        <v>314.0</v>
      </c>
      <c r="D315" s="16" t="s">
        <v>724</v>
      </c>
      <c r="E315" s="16" t="s">
        <v>184</v>
      </c>
      <c r="F315" s="16" t="s">
        <v>285</v>
      </c>
      <c r="G315" s="16" t="s">
        <v>291</v>
      </c>
      <c r="H315" s="16" t="s">
        <v>220</v>
      </c>
      <c r="I315" s="16" t="s">
        <v>220</v>
      </c>
    </row>
    <row r="316" ht="242.25" customHeight="1">
      <c r="B316" s="32" t="str">
        <f>IMAGE("https://gymvisual.com/22363-catalog_default/banded-lower-body-dead-bug.jpg",4,500,500)</f>
        <v/>
      </c>
      <c r="C316" s="30">
        <v>315.0</v>
      </c>
      <c r="D316" s="16" t="s">
        <v>725</v>
      </c>
      <c r="E316" s="16" t="s">
        <v>184</v>
      </c>
      <c r="F316" s="16" t="s">
        <v>254</v>
      </c>
      <c r="G316" s="16" t="s">
        <v>291</v>
      </c>
      <c r="H316" s="16" t="s">
        <v>220</v>
      </c>
      <c r="I316" s="16" t="s">
        <v>220</v>
      </c>
    </row>
    <row r="317" ht="242.25" customHeight="1">
      <c r="B317" s="32" t="str">
        <f>IMAGE("https://gymvisual.com/19748-catalog_default/bar-band-air-bike.jpg",4,500,500)</f>
        <v/>
      </c>
      <c r="C317" s="30">
        <v>316.0</v>
      </c>
      <c r="D317" s="16" t="s">
        <v>726</v>
      </c>
      <c r="E317" s="16" t="s">
        <v>184</v>
      </c>
      <c r="F317" s="16" t="s">
        <v>254</v>
      </c>
      <c r="G317" s="16" t="s">
        <v>727</v>
      </c>
      <c r="H317" s="16" t="s">
        <v>728</v>
      </c>
      <c r="I317" s="16" t="s">
        <v>729</v>
      </c>
    </row>
    <row r="318" ht="242.25" customHeight="1">
      <c r="B318" s="32" t="str">
        <f>IMAGE("https://gymvisual.com/19717-catalog_default/bar-band-bent-over-rear-delt-fly.jpg",4,500,500)</f>
        <v/>
      </c>
      <c r="C318" s="30">
        <v>317.0</v>
      </c>
      <c r="D318" s="16" t="s">
        <v>730</v>
      </c>
      <c r="E318" s="16" t="s">
        <v>184</v>
      </c>
      <c r="F318" s="16" t="s">
        <v>228</v>
      </c>
      <c r="G318" s="16" t="s">
        <v>727</v>
      </c>
      <c r="H318" s="16" t="s">
        <v>408</v>
      </c>
      <c r="I318" s="16" t="s">
        <v>731</v>
      </c>
    </row>
    <row r="319" ht="242.25" customHeight="1">
      <c r="B319" s="32" t="str">
        <f>IMAGE("https://gymvisual.com/19746-catalog_default/bar-band-bent-over-row.jpg",4,500,500)</f>
        <v/>
      </c>
      <c r="C319" s="30">
        <v>318.0</v>
      </c>
      <c r="D319" s="16" t="s">
        <v>732</v>
      </c>
      <c r="E319" s="16" t="s">
        <v>184</v>
      </c>
      <c r="F319" s="16" t="s">
        <v>192</v>
      </c>
      <c r="G319" s="16" t="s">
        <v>727</v>
      </c>
      <c r="H319" s="16" t="s">
        <v>329</v>
      </c>
      <c r="I319" s="16" t="s">
        <v>447</v>
      </c>
    </row>
    <row r="320" ht="242.25" customHeight="1">
      <c r="B320" s="32" t="str">
        <f>IMAGE("https://gymvisual.com/19742-catalog_default/bar-band-down-to-up-twist.jpg",4,500,500)</f>
        <v/>
      </c>
      <c r="C320" s="30">
        <v>319.0</v>
      </c>
      <c r="D320" s="16" t="s">
        <v>733</v>
      </c>
      <c r="E320" s="16" t="s">
        <v>184</v>
      </c>
      <c r="F320" s="16" t="s">
        <v>254</v>
      </c>
      <c r="G320" s="16" t="s">
        <v>727</v>
      </c>
      <c r="H320" s="16" t="s">
        <v>257</v>
      </c>
      <c r="I320" s="16" t="s">
        <v>734</v>
      </c>
    </row>
    <row r="321" ht="242.25" customHeight="1">
      <c r="B321" s="32" t="str">
        <f>IMAGE("https://gymvisual.com/19721-catalog_default/bar-band-kneeling-incline-press.jpg",4,500,500)</f>
        <v/>
      </c>
      <c r="C321" s="30">
        <v>320.0</v>
      </c>
      <c r="D321" s="16" t="s">
        <v>735</v>
      </c>
      <c r="E321" s="16" t="s">
        <v>184</v>
      </c>
      <c r="F321" s="16" t="s">
        <v>234</v>
      </c>
      <c r="G321" s="16" t="s">
        <v>727</v>
      </c>
      <c r="H321" s="16" t="s">
        <v>415</v>
      </c>
      <c r="I321" s="16" t="s">
        <v>243</v>
      </c>
    </row>
    <row r="322" ht="242.25" customHeight="1">
      <c r="B322" s="32" t="str">
        <f>IMAGE("https://gymvisual.com/19707-catalog_default/bar-band-kneeling-single-leg-kick.jpg",4,500,500)</f>
        <v/>
      </c>
      <c r="C322" s="30">
        <v>321.0</v>
      </c>
      <c r="D322" s="16" t="s">
        <v>736</v>
      </c>
      <c r="E322" s="16" t="s">
        <v>184</v>
      </c>
      <c r="F322" s="16" t="s">
        <v>185</v>
      </c>
      <c r="G322" s="16" t="s">
        <v>727</v>
      </c>
      <c r="H322" s="16" t="s">
        <v>187</v>
      </c>
      <c r="I322" s="16" t="s">
        <v>188</v>
      </c>
    </row>
    <row r="323" ht="242.25" customHeight="1">
      <c r="B323" s="32" t="str">
        <f>IMAGE("https://gymvisual.com/19715-catalog_default/bar-band-lying-alternate-leg-press.jpg",4,500,500)</f>
        <v/>
      </c>
      <c r="C323" s="30">
        <v>322.0</v>
      </c>
      <c r="D323" s="16" t="s">
        <v>737</v>
      </c>
      <c r="E323" s="16" t="s">
        <v>184</v>
      </c>
      <c r="F323" s="16" t="s">
        <v>285</v>
      </c>
      <c r="G323" s="16" t="s">
        <v>727</v>
      </c>
      <c r="H323" s="16" t="s">
        <v>189</v>
      </c>
      <c r="I323" s="16" t="s">
        <v>305</v>
      </c>
    </row>
    <row r="324" ht="242.25" customHeight="1">
      <c r="B324" s="32" t="str">
        <f>IMAGE("https://gymvisual.com/19738-catalog_default/bar-band-overhead-triceps-extension.jpg",4,500,500)</f>
        <v/>
      </c>
      <c r="C324" s="30">
        <v>323.0</v>
      </c>
      <c r="D324" s="16" t="s">
        <v>738</v>
      </c>
      <c r="E324" s="16" t="s">
        <v>184</v>
      </c>
      <c r="F324" s="16" t="s">
        <v>219</v>
      </c>
      <c r="G324" s="16" t="s">
        <v>727</v>
      </c>
      <c r="H324" s="16" t="s">
        <v>223</v>
      </c>
      <c r="I324" s="16" t="s">
        <v>220</v>
      </c>
    </row>
    <row r="325" ht="242.25" customHeight="1">
      <c r="B325" s="32" t="str">
        <f>IMAGE("https://gymvisual.com/19750-catalog_default/bar-band-side-bend-press.jpg",4,500,500)</f>
        <v/>
      </c>
      <c r="C325" s="30">
        <v>324.0</v>
      </c>
      <c r="D325" s="16" t="s">
        <v>739</v>
      </c>
      <c r="E325" s="16" t="s">
        <v>184</v>
      </c>
      <c r="F325" s="16" t="s">
        <v>740</v>
      </c>
      <c r="G325" s="16" t="s">
        <v>727</v>
      </c>
      <c r="H325" s="16" t="s">
        <v>741</v>
      </c>
      <c r="I325" s="16" t="s">
        <v>626</v>
      </c>
    </row>
    <row r="326" ht="242.25" customHeight="1">
      <c r="B326" s="32" t="str">
        <f>IMAGE("https://gymvisual.com/19752-catalog_default/bar-band-single-leg-reverse-hyperextension.jpg",4,500,500)</f>
        <v/>
      </c>
      <c r="C326" s="30">
        <v>325.0</v>
      </c>
      <c r="D326" s="16" t="s">
        <v>742</v>
      </c>
      <c r="E326" s="16" t="s">
        <v>184</v>
      </c>
      <c r="F326" s="16" t="s">
        <v>185</v>
      </c>
      <c r="G326" s="16" t="s">
        <v>727</v>
      </c>
      <c r="H326" s="16" t="s">
        <v>267</v>
      </c>
      <c r="I326" s="16" t="s">
        <v>188</v>
      </c>
    </row>
    <row r="327" ht="242.25" customHeight="1">
      <c r="B327" s="32" t="str">
        <f>IMAGE("https://gymvisual.com/19744-catalog_default/bar-band-skier.jpg",4,500,500)</f>
        <v/>
      </c>
      <c r="C327" s="30">
        <v>326.0</v>
      </c>
      <c r="D327" s="16" t="s">
        <v>743</v>
      </c>
      <c r="E327" s="16" t="s">
        <v>184</v>
      </c>
      <c r="F327" s="16" t="s">
        <v>228</v>
      </c>
      <c r="G327" s="16" t="s">
        <v>727</v>
      </c>
      <c r="H327" s="16" t="s">
        <v>408</v>
      </c>
      <c r="I327" s="16" t="s">
        <v>731</v>
      </c>
    </row>
    <row r="328" ht="242.25" customHeight="1">
      <c r="B328" s="32" t="str">
        <f>IMAGE("https://gymvisual.com/19711-catalog_default/bar-band-split-squat.jpg",4,500,500)</f>
        <v/>
      </c>
      <c r="C328" s="30">
        <v>327.0</v>
      </c>
      <c r="D328" s="16" t="s">
        <v>744</v>
      </c>
      <c r="E328" s="16" t="s">
        <v>184</v>
      </c>
      <c r="F328" s="16" t="s">
        <v>285</v>
      </c>
      <c r="G328" s="16" t="s">
        <v>727</v>
      </c>
      <c r="H328" s="16" t="s">
        <v>189</v>
      </c>
      <c r="I328" s="16" t="s">
        <v>190</v>
      </c>
    </row>
    <row r="329" ht="242.25" customHeight="1">
      <c r="B329" s="32" t="str">
        <f>IMAGE("https://gymvisual.com/19719-catalog_default/bar-band-squat.jpg",4,500,500)</f>
        <v/>
      </c>
      <c r="C329" s="30">
        <v>328.0</v>
      </c>
      <c r="D329" s="16" t="s">
        <v>745</v>
      </c>
      <c r="E329" s="16" t="s">
        <v>184</v>
      </c>
      <c r="F329" s="16" t="s">
        <v>285</v>
      </c>
      <c r="G329" s="16" t="s">
        <v>727</v>
      </c>
      <c r="H329" s="16" t="s">
        <v>189</v>
      </c>
      <c r="I329" s="16" t="s">
        <v>190</v>
      </c>
    </row>
    <row r="330" ht="242.25" customHeight="1">
      <c r="B330" s="32" t="str">
        <f>IMAGE("https://gymvisual.com/19725-catalog_default/bar-band-standing-behind-head-military-press.jpg",4,500,500)</f>
        <v/>
      </c>
      <c r="C330" s="30">
        <v>329.0</v>
      </c>
      <c r="D330" s="16" t="s">
        <v>746</v>
      </c>
      <c r="E330" s="16" t="s">
        <v>184</v>
      </c>
      <c r="F330" s="16" t="s">
        <v>228</v>
      </c>
      <c r="G330" s="16" t="s">
        <v>727</v>
      </c>
      <c r="H330" s="16" t="s">
        <v>229</v>
      </c>
      <c r="I330" s="16" t="s">
        <v>230</v>
      </c>
    </row>
    <row r="331" ht="242.25" customHeight="1">
      <c r="B331" s="32" t="str">
        <f>IMAGE("https://gymvisual.com/19723-catalog_default/bar-band-standing-side-bend.jpg",4,500,500)</f>
        <v/>
      </c>
      <c r="C331" s="30">
        <v>330.0</v>
      </c>
      <c r="D331" s="16" t="s">
        <v>747</v>
      </c>
      <c r="E331" s="16" t="s">
        <v>184</v>
      </c>
      <c r="F331" s="16" t="s">
        <v>254</v>
      </c>
      <c r="G331" s="16" t="s">
        <v>727</v>
      </c>
      <c r="H331" s="16" t="s">
        <v>257</v>
      </c>
      <c r="I331" s="16" t="s">
        <v>220</v>
      </c>
    </row>
    <row r="332" ht="242.25" customHeight="1">
      <c r="B332" s="32" t="str">
        <f>IMAGE("https://gymvisual.com/19740-catalog_default/bar-band-standing-single-arm-upright-row.jpg",4,500,500)</f>
        <v/>
      </c>
      <c r="C332" s="30">
        <v>331.0</v>
      </c>
      <c r="D332" s="16" t="s">
        <v>748</v>
      </c>
      <c r="E332" s="16" t="s">
        <v>184</v>
      </c>
      <c r="F332" s="16" t="s">
        <v>228</v>
      </c>
      <c r="G332" s="16" t="s">
        <v>727</v>
      </c>
      <c r="H332" s="16" t="s">
        <v>544</v>
      </c>
      <c r="I332" s="16" t="s">
        <v>713</v>
      </c>
    </row>
    <row r="333" ht="242.25" customHeight="1">
      <c r="B333" s="32" t="str">
        <f>IMAGE("https://gymvisual.com/19713-catalog_default/bar-band-standing-triceps-extension.jpg",4,500,500)</f>
        <v/>
      </c>
      <c r="C333" s="30">
        <v>332.0</v>
      </c>
      <c r="D333" s="16" t="s">
        <v>749</v>
      </c>
      <c r="E333" s="16" t="s">
        <v>184</v>
      </c>
      <c r="F333" s="16" t="s">
        <v>219</v>
      </c>
      <c r="G333" s="16" t="s">
        <v>727</v>
      </c>
      <c r="H333" s="16" t="s">
        <v>223</v>
      </c>
      <c r="I333" s="16" t="s">
        <v>220</v>
      </c>
    </row>
    <row r="334" ht="242.25" customHeight="1">
      <c r="B334" s="32" t="str">
        <f>IMAGE("https://gymvisual.com/19709-catalog_default/bar-band-swing.jpg",4,500,500)</f>
        <v/>
      </c>
      <c r="C334" s="30">
        <v>333.0</v>
      </c>
      <c r="D334" s="16" t="s">
        <v>750</v>
      </c>
      <c r="E334" s="16" t="s">
        <v>184</v>
      </c>
      <c r="F334" s="16" t="s">
        <v>185</v>
      </c>
      <c r="G334" s="16" t="s">
        <v>727</v>
      </c>
      <c r="H334" s="16" t="s">
        <v>751</v>
      </c>
      <c r="I334" s="16" t="s">
        <v>752</v>
      </c>
    </row>
    <row r="335" ht="242.25" customHeight="1">
      <c r="B335" s="32" t="str">
        <f>IMAGE("https://gymvisual.com/22195-catalog_default/bar-biceps-curl.jpg",4,500,500)</f>
        <v/>
      </c>
      <c r="C335" s="30">
        <v>334.0</v>
      </c>
      <c r="D335" s="16" t="s">
        <v>753</v>
      </c>
      <c r="E335" s="16" t="s">
        <v>184</v>
      </c>
      <c r="F335" s="16" t="s">
        <v>219</v>
      </c>
      <c r="G335" s="16" t="s">
        <v>255</v>
      </c>
      <c r="H335" s="16" t="s">
        <v>220</v>
      </c>
      <c r="I335" s="16" t="s">
        <v>220</v>
      </c>
    </row>
    <row r="336" ht="242.25" customHeight="1">
      <c r="B336" s="32" t="str">
        <f>IMAGE("https://gymvisual.com/22512-catalog_default/bar-close-grip-biceps-curl.jpg",4,500,500)</f>
        <v/>
      </c>
      <c r="C336" s="30">
        <v>335.0</v>
      </c>
      <c r="D336" s="16" t="s">
        <v>754</v>
      </c>
      <c r="E336" s="16" t="s">
        <v>184</v>
      </c>
      <c r="F336" s="16" t="s">
        <v>219</v>
      </c>
      <c r="G336" s="16" t="s">
        <v>255</v>
      </c>
      <c r="H336" s="16" t="s">
        <v>220</v>
      </c>
      <c r="I336" s="16" t="s">
        <v>220</v>
      </c>
    </row>
    <row r="337" ht="242.25" customHeight="1">
      <c r="A337" s="32" t="b">
        <v>0</v>
      </c>
      <c r="B337" s="32" t="str">
        <f>IMAGE("https://gymvisual.com/99-catalog_default/barbell-alternate-biceps-curl.jpg",4,500,500)</f>
        <v/>
      </c>
      <c r="C337" s="30">
        <v>336.0</v>
      </c>
      <c r="D337" s="16" t="s">
        <v>755</v>
      </c>
      <c r="E337" s="16" t="s">
        <v>184</v>
      </c>
      <c r="F337" s="16" t="s">
        <v>219</v>
      </c>
      <c r="G337" s="16" t="s">
        <v>186</v>
      </c>
      <c r="H337" s="16" t="s">
        <v>241</v>
      </c>
      <c r="I337" s="16" t="s">
        <v>292</v>
      </c>
    </row>
    <row r="338" ht="242.25" customHeight="1">
      <c r="A338" s="32" t="b">
        <v>0</v>
      </c>
      <c r="B338" s="32" t="str">
        <f>IMAGE("https://gymvisual.com/24997-catalog_default/barbell-anderson-squat.jpg",4,500,500)</f>
        <v/>
      </c>
      <c r="C338" s="30">
        <v>337.0</v>
      </c>
      <c r="D338" s="16" t="s">
        <v>756</v>
      </c>
      <c r="E338" s="16" t="s">
        <v>184</v>
      </c>
      <c r="F338" s="16" t="s">
        <v>285</v>
      </c>
      <c r="G338" s="16" t="s">
        <v>186</v>
      </c>
      <c r="H338" s="16" t="s">
        <v>220</v>
      </c>
      <c r="I338" s="16" t="s">
        <v>220</v>
      </c>
    </row>
    <row r="339" ht="242.25" customHeight="1">
      <c r="A339" s="32" t="b">
        <v>0</v>
      </c>
      <c r="B339" s="32" t="str">
        <f>IMAGE("https://gymvisual.com/20417-catalog_default/barbell-back-wide-shrug.jpg",4,500,500)</f>
        <v/>
      </c>
      <c r="C339" s="30">
        <v>338.0</v>
      </c>
      <c r="D339" s="16" t="s">
        <v>237</v>
      </c>
      <c r="E339" s="16" t="s">
        <v>184</v>
      </c>
      <c r="F339" s="16" t="s">
        <v>192</v>
      </c>
      <c r="G339" s="16" t="s">
        <v>186</v>
      </c>
      <c r="H339" s="16" t="s">
        <v>238</v>
      </c>
      <c r="I339" s="16" t="s">
        <v>239</v>
      </c>
    </row>
    <row r="340" ht="242.25" customHeight="1">
      <c r="B340" s="32" t="str">
        <f>IMAGE("https://gymvisual.com/22367-catalog_default/barbell-band-assisted-deadlift.jpg",4,500,500)</f>
        <v/>
      </c>
      <c r="C340" s="30">
        <v>339.0</v>
      </c>
      <c r="D340" s="16" t="s">
        <v>757</v>
      </c>
      <c r="E340" s="16" t="s">
        <v>184</v>
      </c>
      <c r="F340" s="16" t="s">
        <v>185</v>
      </c>
      <c r="G340" s="16" t="s">
        <v>186</v>
      </c>
      <c r="H340" s="16" t="s">
        <v>220</v>
      </c>
      <c r="I340" s="16" t="s">
        <v>220</v>
      </c>
    </row>
    <row r="341" ht="242.25" customHeight="1">
      <c r="B341" s="32" t="str">
        <f>IMAGE("https://gymvisual.com/17855-catalog_default/barbell-banded-bench-squat.jpg",4,500,500)</f>
        <v/>
      </c>
      <c r="C341" s="30">
        <v>340.0</v>
      </c>
      <c r="D341" s="16" t="s">
        <v>758</v>
      </c>
      <c r="E341" s="16" t="s">
        <v>184</v>
      </c>
      <c r="F341" s="16" t="s">
        <v>285</v>
      </c>
      <c r="G341" s="16" t="s">
        <v>186</v>
      </c>
      <c r="H341" s="16" t="s">
        <v>220</v>
      </c>
      <c r="I341" s="16" t="s">
        <v>220</v>
      </c>
    </row>
    <row r="342" ht="242.25" customHeight="1">
      <c r="B342" s="32" t="str">
        <f>IMAGE("https://gymvisual.com/17989-catalog_default/barbell-banded-romanian-deadlift.jpg",4,500,500)</f>
        <v/>
      </c>
      <c r="C342" s="30">
        <v>341.0</v>
      </c>
      <c r="D342" s="16" t="s">
        <v>759</v>
      </c>
      <c r="E342" s="16" t="s">
        <v>184</v>
      </c>
      <c r="F342" s="16" t="s">
        <v>185</v>
      </c>
      <c r="G342" s="16" t="s">
        <v>186</v>
      </c>
      <c r="H342" s="16" t="s">
        <v>220</v>
      </c>
      <c r="I342" s="16" t="s">
        <v>220</v>
      </c>
    </row>
    <row r="343" ht="242.25" customHeight="1">
      <c r="B343" s="32" t="str">
        <f>IMAGE("https://gymvisual.com/14072-catalog_default/barbell-banded-squat.jpg",4,500,500)</f>
        <v/>
      </c>
      <c r="C343" s="30">
        <v>342.0</v>
      </c>
      <c r="D343" s="16" t="s">
        <v>760</v>
      </c>
      <c r="E343" s="16" t="s">
        <v>184</v>
      </c>
      <c r="F343" s="16" t="s">
        <v>294</v>
      </c>
      <c r="G343" s="16" t="s">
        <v>186</v>
      </c>
      <c r="H343" s="16" t="s">
        <v>189</v>
      </c>
      <c r="I343" s="16" t="s">
        <v>190</v>
      </c>
    </row>
    <row r="344" ht="242.25" customHeight="1">
      <c r="B344" s="32" t="str">
        <f>IMAGE("https://gymvisual.com/18041-catalog_default/barbell-banded-sumo-deadlift.jpg",4,500,500)</f>
        <v/>
      </c>
      <c r="C344" s="30">
        <v>343.0</v>
      </c>
      <c r="D344" s="16" t="s">
        <v>761</v>
      </c>
      <c r="E344" s="16" t="s">
        <v>184</v>
      </c>
      <c r="F344" s="16" t="s">
        <v>185</v>
      </c>
      <c r="G344" s="16" t="s">
        <v>186</v>
      </c>
      <c r="H344" s="16" t="s">
        <v>220</v>
      </c>
      <c r="I344" s="16" t="s">
        <v>220</v>
      </c>
    </row>
    <row r="345" ht="242.25" customHeight="1">
      <c r="A345" s="32" t="b">
        <v>0</v>
      </c>
      <c r="B345" s="32" t="str">
        <f>IMAGE("https://gymvisual.com/6956-catalog_default/barbell-behind-back-finger-curl.jpg",4,500,500)</f>
        <v/>
      </c>
      <c r="C345" s="30">
        <v>344.0</v>
      </c>
      <c r="D345" s="16" t="s">
        <v>240</v>
      </c>
      <c r="E345" s="16" t="s">
        <v>184</v>
      </c>
      <c r="F345" s="16" t="s">
        <v>214</v>
      </c>
      <c r="G345" s="16" t="s">
        <v>186</v>
      </c>
      <c r="H345" s="16" t="s">
        <v>220</v>
      </c>
      <c r="I345" s="16" t="s">
        <v>220</v>
      </c>
    </row>
    <row r="346" ht="242.25" customHeight="1">
      <c r="A346" s="32" t="b">
        <v>0</v>
      </c>
      <c r="B346" s="32" t="str">
        <f>IMAGE("https://gymvisual.com/25005-catalog_default/barbell-behind-the-back-deadlift.jpg",4,500,500)</f>
        <v/>
      </c>
      <c r="C346" s="30">
        <v>345.0</v>
      </c>
      <c r="D346" s="16" t="s">
        <v>762</v>
      </c>
      <c r="E346" s="16" t="s">
        <v>184</v>
      </c>
      <c r="F346" s="16" t="s">
        <v>185</v>
      </c>
      <c r="G346" s="16" t="s">
        <v>186</v>
      </c>
      <c r="H346" s="16" t="s">
        <v>220</v>
      </c>
      <c r="I346" s="16" t="s">
        <v>220</v>
      </c>
    </row>
    <row r="347" ht="242.25" customHeight="1">
      <c r="A347" s="32" t="b">
        <v>0</v>
      </c>
      <c r="B347" s="32" t="str">
        <f>IMAGE("https://gymvisual.com/22399-catalog_default/barbell-behind-the-back-push-press.jpg",4,500,500)</f>
        <v/>
      </c>
      <c r="C347" s="30">
        <v>346.0</v>
      </c>
      <c r="D347" s="16" t="s">
        <v>763</v>
      </c>
      <c r="E347" s="16" t="s">
        <v>184</v>
      </c>
      <c r="F347" s="16" t="s">
        <v>764</v>
      </c>
      <c r="G347" s="16" t="s">
        <v>186</v>
      </c>
      <c r="H347" s="16" t="s">
        <v>229</v>
      </c>
      <c r="I347" s="16" t="s">
        <v>230</v>
      </c>
    </row>
    <row r="348" ht="242.25" customHeight="1">
      <c r="A348" s="32" t="b">
        <v>0</v>
      </c>
      <c r="B348" s="32" t="str">
        <f>IMAGE("https://gymvisual.com/16392-catalog_default/barbell-behind-the-back-shrug.jpg",4,500,500)</f>
        <v/>
      </c>
      <c r="C348" s="30">
        <v>347.0</v>
      </c>
      <c r="D348" s="16" t="s">
        <v>765</v>
      </c>
      <c r="E348" s="16" t="s">
        <v>184</v>
      </c>
      <c r="F348" s="16" t="s">
        <v>192</v>
      </c>
      <c r="G348" s="16" t="s">
        <v>186</v>
      </c>
      <c r="H348" s="16" t="s">
        <v>238</v>
      </c>
      <c r="I348" s="16" t="s">
        <v>239</v>
      </c>
    </row>
    <row r="349" ht="242.25" customHeight="1">
      <c r="A349" s="32" t="b">
        <v>0</v>
      </c>
      <c r="B349" s="32" t="str">
        <f>IMAGE("https://gymvisual.com/102-catalog_default/barbell-bench-front-squat.jpg",4,500,500)</f>
        <v/>
      </c>
      <c r="C349" s="30">
        <v>348.0</v>
      </c>
      <c r="D349" s="16" t="s">
        <v>766</v>
      </c>
      <c r="E349" s="16" t="s">
        <v>184</v>
      </c>
      <c r="F349" s="16" t="s">
        <v>285</v>
      </c>
      <c r="G349" s="16" t="s">
        <v>186</v>
      </c>
      <c r="H349" s="16" t="s">
        <v>552</v>
      </c>
      <c r="I349" s="16" t="s">
        <v>190</v>
      </c>
    </row>
    <row r="350" ht="242.25" customHeight="1">
      <c r="A350" s="32" t="b">
        <v>0</v>
      </c>
      <c r="B350" s="32" t="str">
        <f>IMAGE("https://gymvisual.com/13319-catalog_default/barbell-bench-front-squat-female.jpg",4,500,500)</f>
        <v/>
      </c>
      <c r="C350" s="30">
        <v>349.0</v>
      </c>
      <c r="D350" s="16" t="s">
        <v>767</v>
      </c>
      <c r="E350" s="16" t="s">
        <v>184</v>
      </c>
      <c r="F350" s="16" t="s">
        <v>294</v>
      </c>
      <c r="G350" s="16" t="s">
        <v>186</v>
      </c>
      <c r="H350" s="16" t="s">
        <v>220</v>
      </c>
      <c r="I350" s="16" t="s">
        <v>220</v>
      </c>
    </row>
    <row r="351" ht="242.25" customHeight="1">
      <c r="A351" s="32" t="b">
        <v>0</v>
      </c>
      <c r="B351" s="32" t="str">
        <f>IMAGE("https://gymvisual.com/19307-catalog_default/barbell-bench-press.jpg",4,500,500)</f>
        <v/>
      </c>
      <c r="C351" s="30">
        <v>350.0</v>
      </c>
      <c r="D351" s="16" t="s">
        <v>768</v>
      </c>
      <c r="E351" s="16" t="s">
        <v>184</v>
      </c>
      <c r="F351" s="16" t="s">
        <v>234</v>
      </c>
      <c r="G351" s="16" t="s">
        <v>186</v>
      </c>
      <c r="H351" s="16" t="s">
        <v>347</v>
      </c>
      <c r="I351" s="16" t="s">
        <v>382</v>
      </c>
    </row>
    <row r="352" ht="242.25" customHeight="1">
      <c r="A352" s="32" t="b">
        <v>0</v>
      </c>
      <c r="B352" s="32" t="str">
        <f>IMAGE("https://gymvisual.com/10945-catalog_default/barbell-bench-press-female.jpg",4,500,500)</f>
        <v/>
      </c>
      <c r="C352" s="30">
        <v>351.0</v>
      </c>
      <c r="D352" s="16" t="s">
        <v>769</v>
      </c>
      <c r="E352" s="16" t="s">
        <v>184</v>
      </c>
      <c r="F352" s="16" t="s">
        <v>234</v>
      </c>
      <c r="G352" s="16" t="s">
        <v>186</v>
      </c>
      <c r="H352" s="16" t="s">
        <v>235</v>
      </c>
      <c r="I352" s="16" t="s">
        <v>243</v>
      </c>
    </row>
    <row r="353" ht="242.25" customHeight="1">
      <c r="A353" s="32" t="b">
        <v>0</v>
      </c>
      <c r="B353" s="32" t="str">
        <f>IMAGE("https://gymvisual.com/12746-catalog_default/barbell-bench-press-knees-at-90-degrees.jpg",4,500,500)</f>
        <v/>
      </c>
      <c r="C353" s="30">
        <v>352.0</v>
      </c>
      <c r="D353" s="16" t="s">
        <v>770</v>
      </c>
      <c r="E353" s="16" t="s">
        <v>184</v>
      </c>
      <c r="F353" s="16" t="s">
        <v>234</v>
      </c>
      <c r="G353" s="16" t="s">
        <v>186</v>
      </c>
      <c r="H353" s="16" t="s">
        <v>235</v>
      </c>
      <c r="I353" s="16" t="s">
        <v>243</v>
      </c>
    </row>
    <row r="354" ht="242.25" customHeight="1">
      <c r="B354" s="32" t="str">
        <f>IMAGE("https://gymvisual.com/12832-catalog_default/barbell-bench-press-with-hanging-band-technique.jpg",4,500,500)</f>
        <v/>
      </c>
      <c r="C354" s="30">
        <v>353.0</v>
      </c>
      <c r="D354" s="16" t="s">
        <v>771</v>
      </c>
      <c r="E354" s="16" t="s">
        <v>184</v>
      </c>
      <c r="F354" s="16" t="s">
        <v>234</v>
      </c>
      <c r="G354" s="16" t="s">
        <v>186</v>
      </c>
      <c r="H354" s="16" t="s">
        <v>235</v>
      </c>
      <c r="I354" s="16" t="s">
        <v>243</v>
      </c>
    </row>
    <row r="355" ht="242.25" customHeight="1">
      <c r="A355" s="32" t="b">
        <v>0</v>
      </c>
      <c r="B355" s="32" t="str">
        <f>IMAGE("https://gymvisual.com/18037-catalog_default/barbell-bench-press-against-chains.jpg",4,500,500)</f>
        <v/>
      </c>
      <c r="C355" s="30">
        <v>354.0</v>
      </c>
      <c r="D355" s="16" t="s">
        <v>772</v>
      </c>
      <c r="E355" s="16" t="s">
        <v>184</v>
      </c>
      <c r="F355" s="16" t="s">
        <v>234</v>
      </c>
      <c r="G355" s="16" t="s">
        <v>186</v>
      </c>
      <c r="H355" s="16" t="s">
        <v>220</v>
      </c>
      <c r="I355" s="16" t="s">
        <v>220</v>
      </c>
    </row>
    <row r="356" ht="242.25" customHeight="1">
      <c r="A356" s="32" t="b">
        <v>0</v>
      </c>
      <c r="B356" s="32" t="str">
        <f>IMAGE("https://gymvisual.com/17873-catalog_default/barbell-bench-press-with-1-board.jpg",4,500,500)</f>
        <v/>
      </c>
      <c r="C356" s="30">
        <v>355.0</v>
      </c>
      <c r="D356" s="16" t="s">
        <v>773</v>
      </c>
      <c r="E356" s="16" t="s">
        <v>184</v>
      </c>
      <c r="F356" s="16" t="s">
        <v>234</v>
      </c>
      <c r="G356" s="16" t="s">
        <v>186</v>
      </c>
      <c r="H356" s="16" t="s">
        <v>220</v>
      </c>
      <c r="I356" s="16" t="s">
        <v>220</v>
      </c>
    </row>
    <row r="357" ht="242.25" customHeight="1">
      <c r="A357" s="32" t="b">
        <v>0</v>
      </c>
      <c r="B357" s="32" t="str">
        <f>IMAGE("https://gymvisual.com/17871-catalog_default/barbell-bench-press-with-2-board.jpg",4,500,500)</f>
        <v/>
      </c>
      <c r="C357" s="30">
        <v>356.0</v>
      </c>
      <c r="D357" s="16" t="s">
        <v>774</v>
      </c>
      <c r="E357" s="16" t="s">
        <v>184</v>
      </c>
      <c r="F357" s="16" t="s">
        <v>234</v>
      </c>
      <c r="G357" s="16" t="s">
        <v>186</v>
      </c>
      <c r="H357" s="16" t="s">
        <v>220</v>
      </c>
      <c r="I357" s="16" t="s">
        <v>220</v>
      </c>
    </row>
    <row r="358" ht="242.25" customHeight="1">
      <c r="A358" s="32" t="b">
        <v>0</v>
      </c>
      <c r="B358" s="32" t="str">
        <f>IMAGE("https://gymvisual.com/17869-catalog_default/barbell-bench-press-with-3-board.jpg",4,500,500)</f>
        <v/>
      </c>
      <c r="C358" s="30">
        <v>357.0</v>
      </c>
      <c r="D358" s="16" t="s">
        <v>775</v>
      </c>
      <c r="E358" s="16" t="s">
        <v>184</v>
      </c>
      <c r="F358" s="16" t="s">
        <v>234</v>
      </c>
      <c r="G358" s="16" t="s">
        <v>186</v>
      </c>
      <c r="H358" s="16" t="s">
        <v>220</v>
      </c>
      <c r="I358" s="16" t="s">
        <v>220</v>
      </c>
    </row>
    <row r="359" ht="242.25" customHeight="1">
      <c r="B359" s="32" t="str">
        <f>IMAGE("https://gymvisual.com/19495-catalog_default/barbell-bench-press-with-band-suspended-kettlebell.jpg",4,500,500)</f>
        <v/>
      </c>
      <c r="C359" s="30">
        <v>358.0</v>
      </c>
      <c r="D359" s="16" t="s">
        <v>776</v>
      </c>
      <c r="E359" s="16" t="s">
        <v>184</v>
      </c>
      <c r="F359" s="16" t="s">
        <v>234</v>
      </c>
      <c r="G359" s="16" t="s">
        <v>186</v>
      </c>
      <c r="H359" s="16" t="s">
        <v>220</v>
      </c>
      <c r="I359" s="16" t="s">
        <v>220</v>
      </c>
    </row>
    <row r="360" ht="242.25" customHeight="1">
      <c r="A360" s="32" t="b">
        <v>0</v>
      </c>
      <c r="B360" s="32" t="str">
        <f>IMAGE("https://gymvisual.com/108-catalog_default/barbell-bench-squat.jpg",4,500,500)</f>
        <v/>
      </c>
      <c r="C360" s="30">
        <v>359.0</v>
      </c>
      <c r="D360" s="16" t="s">
        <v>777</v>
      </c>
      <c r="E360" s="16" t="s">
        <v>184</v>
      </c>
      <c r="F360" s="16" t="s">
        <v>185</v>
      </c>
      <c r="G360" s="16" t="s">
        <v>186</v>
      </c>
      <c r="H360" s="16" t="s">
        <v>552</v>
      </c>
      <c r="I360" s="16" t="s">
        <v>190</v>
      </c>
    </row>
    <row r="361" ht="242.25" customHeight="1">
      <c r="A361" s="32" t="b">
        <v>0</v>
      </c>
      <c r="B361" s="32" t="str">
        <f>IMAGE("https://gymvisual.com/9589-catalog_default/barbell-bench-squat-female.jpg",4,500,500)</f>
        <v/>
      </c>
      <c r="C361" s="30">
        <v>360.0</v>
      </c>
      <c r="D361" s="16" t="s">
        <v>778</v>
      </c>
      <c r="E361" s="16" t="s">
        <v>184</v>
      </c>
      <c r="F361" s="16" t="s">
        <v>294</v>
      </c>
      <c r="G361" s="16" t="s">
        <v>186</v>
      </c>
      <c r="H361" s="16" t="s">
        <v>189</v>
      </c>
      <c r="I361" s="16" t="s">
        <v>190</v>
      </c>
    </row>
    <row r="362" ht="242.25" customHeight="1">
      <c r="A362" s="32" t="b">
        <v>0</v>
      </c>
      <c r="B362" s="32" t="str">
        <f>IMAGE("https://gymvisual.com/6751-catalog_default/barbell-bench-squat-with-chains.jpg",4,500,500)</f>
        <v/>
      </c>
      <c r="C362" s="30">
        <v>361.0</v>
      </c>
      <c r="D362" s="16" t="s">
        <v>779</v>
      </c>
      <c r="E362" s="16" t="s">
        <v>184</v>
      </c>
      <c r="F362" s="16" t="s">
        <v>285</v>
      </c>
      <c r="G362" s="16" t="s">
        <v>186</v>
      </c>
      <c r="H362" s="16" t="s">
        <v>220</v>
      </c>
      <c r="I362" s="16" t="s">
        <v>220</v>
      </c>
    </row>
    <row r="363" ht="242.25" customHeight="1">
      <c r="A363" s="32" t="b">
        <v>0</v>
      </c>
      <c r="B363" s="32" t="str">
        <f>IMAGE("https://gymvisual.com/6007-catalog_default/barbell-bent-arm-pullover.jpg",4,500,500)</f>
        <v/>
      </c>
      <c r="C363" s="30">
        <v>362.0</v>
      </c>
      <c r="D363" s="16" t="s">
        <v>780</v>
      </c>
      <c r="E363" s="16" t="s">
        <v>184</v>
      </c>
      <c r="F363" s="16" t="s">
        <v>192</v>
      </c>
      <c r="G363" s="16" t="s">
        <v>186</v>
      </c>
      <c r="H363" s="16" t="s">
        <v>300</v>
      </c>
      <c r="I363" s="16" t="s">
        <v>781</v>
      </c>
    </row>
    <row r="364" ht="242.25" customHeight="1">
      <c r="A364" s="32" t="b">
        <v>0</v>
      </c>
      <c r="B364" s="32" t="str">
        <f>IMAGE("https://gymvisual.com/19309-catalog_default/barbell-bent-over-row.jpg",4,500,500)</f>
        <v/>
      </c>
      <c r="C364" s="30">
        <v>363.0</v>
      </c>
      <c r="D364" s="16" t="s">
        <v>782</v>
      </c>
      <c r="E364" s="16" t="s">
        <v>184</v>
      </c>
      <c r="F364" s="16" t="s">
        <v>192</v>
      </c>
      <c r="G364" s="16" t="s">
        <v>186</v>
      </c>
      <c r="H364" s="16" t="s">
        <v>570</v>
      </c>
      <c r="I364" s="16" t="s">
        <v>447</v>
      </c>
    </row>
    <row r="365" ht="242.25" customHeight="1">
      <c r="A365" s="32" t="b">
        <v>0</v>
      </c>
      <c r="B365" s="32" t="str">
        <f>IMAGE("https://gymvisual.com/9640-catalog_default/barbell-bent-over-row-female.jpg",4,500,500)</f>
        <v/>
      </c>
      <c r="C365" s="30">
        <v>364.0</v>
      </c>
      <c r="D365" s="16" t="s">
        <v>783</v>
      </c>
      <c r="E365" s="16" t="s">
        <v>184</v>
      </c>
      <c r="F365" s="16" t="s">
        <v>192</v>
      </c>
      <c r="G365" s="16" t="s">
        <v>186</v>
      </c>
      <c r="H365" s="16" t="s">
        <v>570</v>
      </c>
      <c r="I365" s="16" t="s">
        <v>447</v>
      </c>
    </row>
    <row r="366" ht="242.25" customHeight="1">
      <c r="A366" s="32" t="b">
        <v>0</v>
      </c>
      <c r="B366" s="32" t="str">
        <f>IMAGE("https://gymvisual.com/17405-catalog_default/barbell-bent-over-wide-alternate-row-plus.jpg",4,500,500)</f>
        <v/>
      </c>
      <c r="C366" s="30">
        <v>365.0</v>
      </c>
      <c r="D366" s="16" t="s">
        <v>784</v>
      </c>
      <c r="E366" s="16" t="s">
        <v>184</v>
      </c>
      <c r="F366" s="16" t="s">
        <v>192</v>
      </c>
      <c r="G366" s="16" t="s">
        <v>186</v>
      </c>
      <c r="H366" s="16" t="s">
        <v>329</v>
      </c>
      <c r="I366" s="16" t="s">
        <v>447</v>
      </c>
    </row>
    <row r="367" ht="242.25" customHeight="1">
      <c r="A367" s="32" t="b">
        <v>0</v>
      </c>
      <c r="B367" s="32" t="str">
        <f>IMAGE("https://gymvisual.com/16374-catalog_default/barbell-bent-over-wide-grip-row.jpg",4,500,500)</f>
        <v/>
      </c>
      <c r="C367" s="30">
        <v>366.0</v>
      </c>
      <c r="D367" s="16" t="s">
        <v>785</v>
      </c>
      <c r="E367" s="16" t="s">
        <v>184</v>
      </c>
      <c r="F367" s="16" t="s">
        <v>192</v>
      </c>
      <c r="G367" s="16" t="s">
        <v>186</v>
      </c>
      <c r="H367" s="16" t="s">
        <v>329</v>
      </c>
      <c r="I367" s="16" t="s">
        <v>447</v>
      </c>
    </row>
    <row r="368" ht="242.25" customHeight="1">
      <c r="A368" s="32" t="b">
        <v>0</v>
      </c>
      <c r="B368" s="32" t="str">
        <f>IMAGE("https://gymvisual.com/17407-catalog_default/barbell-bent-over-wide-row-plus.jpg",4,500,500)</f>
        <v/>
      </c>
      <c r="C368" s="30">
        <v>367.0</v>
      </c>
      <c r="D368" s="16" t="s">
        <v>786</v>
      </c>
      <c r="E368" s="16" t="s">
        <v>184</v>
      </c>
      <c r="F368" s="16" t="s">
        <v>192</v>
      </c>
      <c r="G368" s="16" t="s">
        <v>186</v>
      </c>
      <c r="H368" s="16" t="s">
        <v>329</v>
      </c>
      <c r="I368" s="16" t="s">
        <v>447</v>
      </c>
    </row>
    <row r="369" ht="242.25" customHeight="1">
      <c r="A369" s="32" t="b">
        <v>0</v>
      </c>
      <c r="B369" s="32" t="str">
        <f>IMAGE("https://gymvisual.com/10460-catalog_default/barbell-biceps-curl-with-arm-blaster.jpg",4,500,500)</f>
        <v/>
      </c>
      <c r="C369" s="30">
        <v>368.0</v>
      </c>
      <c r="D369" s="16" t="s">
        <v>787</v>
      </c>
      <c r="E369" s="16" t="s">
        <v>184</v>
      </c>
      <c r="F369" s="16" t="s">
        <v>219</v>
      </c>
      <c r="G369" s="16" t="s">
        <v>186</v>
      </c>
      <c r="H369" s="16" t="s">
        <v>241</v>
      </c>
      <c r="I369" s="16" t="s">
        <v>292</v>
      </c>
    </row>
    <row r="370" ht="242.25" customHeight="1">
      <c r="A370" s="32" t="b">
        <v>0</v>
      </c>
      <c r="B370" s="32" t="str">
        <f>IMAGE("https://gymvisual.com/22492-catalog_default/barbell-box-squat.jpg",4,500,500)</f>
        <v/>
      </c>
      <c r="C370" s="30">
        <v>369.0</v>
      </c>
      <c r="D370" s="16" t="s">
        <v>788</v>
      </c>
      <c r="E370" s="16" t="s">
        <v>184</v>
      </c>
      <c r="F370" s="16" t="s">
        <v>185</v>
      </c>
      <c r="G370" s="16" t="s">
        <v>186</v>
      </c>
      <c r="H370" s="16" t="s">
        <v>189</v>
      </c>
      <c r="I370" s="16" t="s">
        <v>190</v>
      </c>
    </row>
    <row r="371" ht="242.25" customHeight="1">
      <c r="B371" s="32" t="str">
        <f>IMAGE("https://gymvisual.com/16390-catalog_default/barbell-chest-press-on-stability-ball.jpg",4,500,500)</f>
        <v/>
      </c>
      <c r="C371" s="30">
        <v>370.0</v>
      </c>
      <c r="D371" s="16" t="s">
        <v>789</v>
      </c>
      <c r="E371" s="16" t="s">
        <v>184</v>
      </c>
      <c r="F371" s="16" t="s">
        <v>234</v>
      </c>
      <c r="G371" s="16" t="s">
        <v>790</v>
      </c>
      <c r="H371" s="16" t="s">
        <v>235</v>
      </c>
      <c r="I371" s="16" t="s">
        <v>243</v>
      </c>
    </row>
    <row r="372" ht="242.25" customHeight="1">
      <c r="A372" s="32" t="b">
        <v>0</v>
      </c>
      <c r="B372" s="32" t="str">
        <f>IMAGE("https://gymvisual.com/22540-catalog_default/barbell-clean-and-jerk.jpg",4,500,500)</f>
        <v/>
      </c>
      <c r="C372" s="30">
        <v>371.0</v>
      </c>
      <c r="D372" s="16" t="s">
        <v>791</v>
      </c>
      <c r="E372" s="16" t="s">
        <v>184</v>
      </c>
      <c r="F372" s="16" t="s">
        <v>764</v>
      </c>
      <c r="G372" s="16" t="s">
        <v>186</v>
      </c>
      <c r="H372" s="16" t="s">
        <v>220</v>
      </c>
      <c r="I372" s="16" t="s">
        <v>220</v>
      </c>
    </row>
    <row r="373" ht="242.25" customHeight="1">
      <c r="A373" s="32" t="b">
        <v>0</v>
      </c>
      <c r="B373" s="32" t="str">
        <f>IMAGE("https://gymvisual.com/114-catalog_default/barbell-clean-and-press.jpg",4,500,500)</f>
        <v/>
      </c>
      <c r="C373" s="30">
        <v>372.0</v>
      </c>
      <c r="D373" s="16" t="s">
        <v>792</v>
      </c>
      <c r="E373" s="16" t="s">
        <v>184</v>
      </c>
      <c r="F373" s="16" t="s">
        <v>228</v>
      </c>
      <c r="G373" s="16" t="s">
        <v>186</v>
      </c>
      <c r="H373" s="16" t="s">
        <v>793</v>
      </c>
      <c r="I373" s="16" t="s">
        <v>220</v>
      </c>
    </row>
    <row r="374" ht="242.25" customHeight="1">
      <c r="A374" s="32" t="b">
        <v>0</v>
      </c>
      <c r="B374" s="32" t="str">
        <f>IMAGE("https://gymvisual.com/14386-catalog_default/barbell-clean-and-press-female.jpg",4,500,500)</f>
        <v/>
      </c>
      <c r="C374" s="30">
        <v>373.0</v>
      </c>
      <c r="D374" s="16" t="s">
        <v>794</v>
      </c>
      <c r="E374" s="16" t="s">
        <v>184</v>
      </c>
      <c r="F374" s="16" t="s">
        <v>691</v>
      </c>
      <c r="G374" s="16" t="s">
        <v>186</v>
      </c>
      <c r="H374" s="16" t="s">
        <v>795</v>
      </c>
      <c r="I374" s="16" t="s">
        <v>220</v>
      </c>
    </row>
    <row r="375" ht="242.25" customHeight="1">
      <c r="A375" s="32" t="b">
        <v>0</v>
      </c>
      <c r="B375" s="32" t="str">
        <f>IMAGE("https://gymvisual.com/6763-catalog_default/barbell-clean-deadlift.jpg",4,500,500)</f>
        <v/>
      </c>
      <c r="C375" s="30">
        <v>374.0</v>
      </c>
      <c r="D375" s="16" t="s">
        <v>796</v>
      </c>
      <c r="E375" s="16" t="s">
        <v>184</v>
      </c>
      <c r="F375" s="16" t="s">
        <v>285</v>
      </c>
      <c r="G375" s="16" t="s">
        <v>186</v>
      </c>
      <c r="H375" s="16" t="s">
        <v>220</v>
      </c>
      <c r="I375" s="16" t="s">
        <v>220</v>
      </c>
    </row>
    <row r="376" ht="242.25" customHeight="1">
      <c r="A376" s="32" t="b">
        <v>0</v>
      </c>
      <c r="B376" s="32" t="str">
        <f>IMAGE("https://gymvisual.com/6764-catalog_default/barbell-clean-from-blocks.jpg",4,500,500)</f>
        <v/>
      </c>
      <c r="C376" s="30">
        <v>375.0</v>
      </c>
      <c r="D376" s="16" t="s">
        <v>797</v>
      </c>
      <c r="E376" s="16" t="s">
        <v>184</v>
      </c>
      <c r="F376" s="16" t="s">
        <v>764</v>
      </c>
      <c r="G376" s="16" t="s">
        <v>186</v>
      </c>
      <c r="H376" s="16" t="s">
        <v>220</v>
      </c>
      <c r="I376" s="16" t="s">
        <v>220</v>
      </c>
    </row>
    <row r="377" ht="242.25" customHeight="1">
      <c r="A377" s="32" t="b">
        <v>0</v>
      </c>
      <c r="B377" s="32" t="str">
        <f>IMAGE("https://gymvisual.com/25138-catalog_default/barbell-clean-high-pull.jpg",4,500,500)</f>
        <v/>
      </c>
      <c r="C377" s="30">
        <v>376.0</v>
      </c>
      <c r="D377" s="16" t="s">
        <v>798</v>
      </c>
      <c r="E377" s="16" t="s">
        <v>184</v>
      </c>
      <c r="F377" s="16" t="s">
        <v>764</v>
      </c>
      <c r="G377" s="16" t="s">
        <v>186</v>
      </c>
      <c r="H377" s="16" t="s">
        <v>799</v>
      </c>
      <c r="I377" s="16" t="s">
        <v>800</v>
      </c>
    </row>
    <row r="378" ht="242.25" customHeight="1">
      <c r="A378" s="32" t="b">
        <v>0</v>
      </c>
      <c r="B378" s="32" t="str">
        <f>IMAGE("https://gymvisual.com/25134-catalog_default/barbell-clean-pull.jpg",4,500,500)</f>
        <v/>
      </c>
      <c r="C378" s="30">
        <v>377.0</v>
      </c>
      <c r="D378" s="16" t="s">
        <v>801</v>
      </c>
      <c r="E378" s="16" t="s">
        <v>184</v>
      </c>
      <c r="F378" s="16" t="s">
        <v>764</v>
      </c>
      <c r="G378" s="16" t="s">
        <v>186</v>
      </c>
      <c r="H378" s="16" t="s">
        <v>220</v>
      </c>
      <c r="I378" s="16" t="s">
        <v>220</v>
      </c>
    </row>
    <row r="379" ht="242.25" customHeight="1">
      <c r="A379" s="32" t="b">
        <v>0</v>
      </c>
      <c r="B379" s="32" t="str">
        <f>IMAGE("https://gymvisual.com/24450-catalog_default/barbell-clean-grip-front-squat.jpg",4,500,500)</f>
        <v/>
      </c>
      <c r="C379" s="30">
        <v>378.0</v>
      </c>
      <c r="D379" s="16" t="s">
        <v>802</v>
      </c>
      <c r="E379" s="16" t="s">
        <v>184</v>
      </c>
      <c r="F379" s="16" t="s">
        <v>285</v>
      </c>
      <c r="G379" s="16" t="s">
        <v>186</v>
      </c>
      <c r="H379" s="16" t="s">
        <v>189</v>
      </c>
      <c r="I379" s="16" t="s">
        <v>190</v>
      </c>
    </row>
    <row r="380" ht="242.25" customHeight="1">
      <c r="A380" s="32" t="b">
        <v>0</v>
      </c>
      <c r="B380" s="32" t="str">
        <f>IMAGE("https://gymvisual.com/10369-catalog_default/barbell-close-grip-bench-press-female.jpg",4,500,500)</f>
        <v/>
      </c>
      <c r="C380" s="30">
        <v>379.0</v>
      </c>
      <c r="D380" s="16" t="s">
        <v>803</v>
      </c>
      <c r="E380" s="16" t="s">
        <v>184</v>
      </c>
      <c r="F380" s="16" t="s">
        <v>219</v>
      </c>
      <c r="G380" s="16" t="s">
        <v>186</v>
      </c>
      <c r="H380" s="16" t="s">
        <v>223</v>
      </c>
      <c r="I380" s="16" t="s">
        <v>804</v>
      </c>
    </row>
    <row r="381" ht="242.25" customHeight="1">
      <c r="A381" s="32" t="b">
        <v>0</v>
      </c>
      <c r="B381" s="32" t="str">
        <f>IMAGE("https://gymvisual.com/20048-catalog_default/barbell-close-grip-bench-press.jpg",4,500,500)</f>
        <v/>
      </c>
      <c r="C381" s="30">
        <v>380.0</v>
      </c>
      <c r="D381" s="16" t="s">
        <v>805</v>
      </c>
      <c r="E381" s="16" t="s">
        <v>184</v>
      </c>
      <c r="F381" s="16" t="s">
        <v>219</v>
      </c>
      <c r="G381" s="16" t="s">
        <v>186</v>
      </c>
      <c r="H381" s="16" t="s">
        <v>223</v>
      </c>
      <c r="I381" s="16" t="s">
        <v>472</v>
      </c>
    </row>
    <row r="382" ht="242.25" customHeight="1">
      <c r="A382" s="32" t="b">
        <v>0</v>
      </c>
      <c r="B382" s="32" t="str">
        <f>IMAGE("https://gymvisual.com/13582-catalog_default/illustration.jpg",4,500,500)</f>
        <v/>
      </c>
      <c r="C382" s="30">
        <v>381.0</v>
      </c>
      <c r="D382" s="16" t="s">
        <v>806</v>
      </c>
      <c r="E382" s="16" t="s">
        <v>184</v>
      </c>
      <c r="F382" s="16" t="s">
        <v>691</v>
      </c>
      <c r="G382" s="16" t="s">
        <v>186</v>
      </c>
      <c r="H382" s="16" t="s">
        <v>220</v>
      </c>
      <c r="I382" s="16" t="s">
        <v>220</v>
      </c>
    </row>
    <row r="383" ht="242.25" customHeight="1">
      <c r="A383" s="32" t="b">
        <v>0</v>
      </c>
      <c r="B383" s="32" t="str">
        <f>IMAGE("https://gymvisual.com/18998-catalog_default/barbell-curl.jpg",4,500,500)</f>
        <v/>
      </c>
      <c r="C383" s="30">
        <v>382.0</v>
      </c>
      <c r="D383" s="16" t="s">
        <v>13</v>
      </c>
      <c r="E383" s="16" t="s">
        <v>184</v>
      </c>
      <c r="F383" s="16" t="s">
        <v>219</v>
      </c>
      <c r="G383" s="16" t="s">
        <v>186</v>
      </c>
      <c r="H383" s="16" t="s">
        <v>241</v>
      </c>
      <c r="I383" s="16" t="s">
        <v>292</v>
      </c>
    </row>
    <row r="384" ht="242.25" customHeight="1">
      <c r="A384" s="32" t="b">
        <v>0</v>
      </c>
      <c r="B384" s="32" t="str">
        <f>IMAGE("https://gymvisual.com/14248-catalog_default/barbell-curl-female.jpg",4,500,500)</f>
        <v/>
      </c>
      <c r="C384" s="30">
        <v>383.0</v>
      </c>
      <c r="D384" s="16" t="s">
        <v>807</v>
      </c>
      <c r="E384" s="16" t="s">
        <v>184</v>
      </c>
      <c r="F384" s="16" t="s">
        <v>219</v>
      </c>
      <c r="G384" s="16" t="s">
        <v>186</v>
      </c>
      <c r="H384" s="16" t="s">
        <v>217</v>
      </c>
      <c r="I384" s="16" t="s">
        <v>216</v>
      </c>
    </row>
    <row r="385" ht="242.25" customHeight="1">
      <c r="A385" s="32" t="b">
        <v>0</v>
      </c>
      <c r="B385" s="32" t="str">
        <f>IMAGE("https://gymvisual.com/26116-catalog_default/barbell-curl-press-extension-male.jpg",4,500,500)</f>
        <v/>
      </c>
      <c r="C385" s="30">
        <v>384.0</v>
      </c>
      <c r="D385" s="16" t="s">
        <v>808</v>
      </c>
      <c r="E385" s="16" t="s">
        <v>184</v>
      </c>
      <c r="F385" s="16" t="s">
        <v>219</v>
      </c>
      <c r="G385" s="16" t="s">
        <v>186</v>
      </c>
      <c r="H385" s="16" t="s">
        <v>220</v>
      </c>
      <c r="I385" s="16" t="s">
        <v>220</v>
      </c>
    </row>
    <row r="386" ht="242.25" customHeight="1">
      <c r="A386" s="32" t="b">
        <v>0</v>
      </c>
      <c r="B386" s="32" t="str">
        <f>IMAGE("https://gymvisual.com/16378-catalog_default/barbell-curtsey-lunge.jpg",4,500,500)</f>
        <v/>
      </c>
      <c r="C386" s="30">
        <v>385.0</v>
      </c>
      <c r="D386" s="16" t="s">
        <v>809</v>
      </c>
      <c r="E386" s="16" t="s">
        <v>184</v>
      </c>
      <c r="F386" s="16" t="s">
        <v>294</v>
      </c>
      <c r="G386" s="16" t="s">
        <v>186</v>
      </c>
      <c r="H386" s="16" t="s">
        <v>295</v>
      </c>
      <c r="I386" s="16" t="s">
        <v>810</v>
      </c>
    </row>
    <row r="387" ht="242.25" customHeight="1">
      <c r="A387" s="32" t="b">
        <v>0</v>
      </c>
      <c r="B387" s="32" t="str">
        <f>IMAGE("https://gymvisual.com/20608-catalog_default/barbell-deadlift.jpg",4,500,500)</f>
        <v/>
      </c>
      <c r="C387" s="30">
        <v>386.0</v>
      </c>
      <c r="D387" s="16" t="s">
        <v>811</v>
      </c>
      <c r="E387" s="16" t="s">
        <v>184</v>
      </c>
      <c r="F387" s="16" t="s">
        <v>185</v>
      </c>
      <c r="G387" s="16" t="s">
        <v>186</v>
      </c>
      <c r="H387" s="16" t="s">
        <v>187</v>
      </c>
      <c r="I387" s="16" t="s">
        <v>482</v>
      </c>
    </row>
    <row r="388" ht="242.25" customHeight="1">
      <c r="A388" s="32" t="b">
        <v>0</v>
      </c>
      <c r="B388" s="32" t="str">
        <f>IMAGE("https://gymvisual.com/9556-catalog_default/barbell-deadlift-female.jpg",4,500,500)</f>
        <v/>
      </c>
      <c r="C388" s="30">
        <v>387.0</v>
      </c>
      <c r="D388" s="16" t="s">
        <v>812</v>
      </c>
      <c r="E388" s="16" t="s">
        <v>184</v>
      </c>
      <c r="F388" s="16" t="s">
        <v>294</v>
      </c>
      <c r="G388" s="16" t="s">
        <v>186</v>
      </c>
      <c r="H388" s="16" t="s">
        <v>187</v>
      </c>
      <c r="I388" s="16" t="s">
        <v>482</v>
      </c>
    </row>
    <row r="389" ht="242.25" customHeight="1">
      <c r="A389" s="32" t="b">
        <v>0</v>
      </c>
      <c r="B389" s="32" t="str">
        <f>IMAGE("https://gymvisual.com/18033-catalog_default/barbell-deadlift-against-chains.jpg",4,500,500)</f>
        <v/>
      </c>
      <c r="C389" s="30">
        <v>388.0</v>
      </c>
      <c r="D389" s="16" t="s">
        <v>813</v>
      </c>
      <c r="E389" s="16" t="s">
        <v>184</v>
      </c>
      <c r="F389" s="16" t="s">
        <v>185</v>
      </c>
      <c r="G389" s="16" t="s">
        <v>186</v>
      </c>
      <c r="H389" s="16" t="s">
        <v>220</v>
      </c>
      <c r="I389" s="16" t="s">
        <v>220</v>
      </c>
    </row>
    <row r="390" ht="242.25" customHeight="1">
      <c r="A390" s="32" t="b">
        <v>0</v>
      </c>
      <c r="B390" s="32" t="str">
        <f>IMAGE("https://gymvisual.com/25124-catalog_default/barbell-deadlift-from-deficit.jpg",4,500,500)</f>
        <v/>
      </c>
      <c r="C390" s="30">
        <v>389.0</v>
      </c>
      <c r="D390" s="16" t="s">
        <v>814</v>
      </c>
      <c r="E390" s="16" t="s">
        <v>184</v>
      </c>
      <c r="F390" s="16" t="s">
        <v>185</v>
      </c>
      <c r="G390" s="16" t="s">
        <v>186</v>
      </c>
      <c r="H390" s="16" t="s">
        <v>220</v>
      </c>
      <c r="I390" s="16" t="s">
        <v>220</v>
      </c>
    </row>
    <row r="391" ht="242.25" customHeight="1">
      <c r="A391" s="32" t="b">
        <v>0</v>
      </c>
      <c r="B391" s="32" t="str">
        <f>IMAGE("https://gymvisual.com/17953-catalog_default/barbell-deadstop-row-with-rack-male.jpg",4,500,500)</f>
        <v/>
      </c>
      <c r="C391" s="30">
        <v>390.0</v>
      </c>
      <c r="D391" s="16" t="s">
        <v>815</v>
      </c>
      <c r="E391" s="16" t="s">
        <v>184</v>
      </c>
      <c r="F391" s="16" t="s">
        <v>192</v>
      </c>
      <c r="G391" s="16" t="s">
        <v>186</v>
      </c>
      <c r="H391" s="16" t="s">
        <v>220</v>
      </c>
      <c r="I391" s="16" t="s">
        <v>220</v>
      </c>
    </row>
    <row r="392" ht="242.25" customHeight="1">
      <c r="A392" s="32" t="b">
        <v>0</v>
      </c>
      <c r="B392" s="32" t="str">
        <f>IMAGE("https://gymvisual.com/6766-catalog_default/barbell-decline-bench-lunge.jpg",4,500,500)</f>
        <v/>
      </c>
      <c r="C392" s="30">
        <v>391.0</v>
      </c>
      <c r="D392" s="16" t="s">
        <v>816</v>
      </c>
      <c r="E392" s="16" t="s">
        <v>184</v>
      </c>
      <c r="F392" s="16" t="s">
        <v>285</v>
      </c>
      <c r="G392" s="16" t="s">
        <v>186</v>
      </c>
      <c r="H392" s="16" t="s">
        <v>220</v>
      </c>
      <c r="I392" s="16" t="s">
        <v>220</v>
      </c>
    </row>
    <row r="393" ht="242.25" customHeight="1">
      <c r="A393" s="32" t="b">
        <v>0</v>
      </c>
      <c r="B393" s="32" t="str">
        <f>IMAGE("https://gymvisual.com/19000-catalog_default/barbell-decline-bench-press.jpg",4,500,500)</f>
        <v/>
      </c>
      <c r="C393" s="30">
        <v>392.0</v>
      </c>
      <c r="D393" s="16" t="s">
        <v>817</v>
      </c>
      <c r="E393" s="16" t="s">
        <v>184</v>
      </c>
      <c r="F393" s="16" t="s">
        <v>234</v>
      </c>
      <c r="G393" s="16" t="s">
        <v>186</v>
      </c>
      <c r="H393" s="16" t="s">
        <v>347</v>
      </c>
      <c r="I393" s="16" t="s">
        <v>382</v>
      </c>
    </row>
    <row r="394" ht="242.25" customHeight="1">
      <c r="A394" s="32" t="b">
        <v>0</v>
      </c>
      <c r="B394" s="32" t="str">
        <f>IMAGE("https://gymvisual.com/10984-catalog_default/barbell-decline-bench-press-female.jpg",4,500,500)</f>
        <v/>
      </c>
      <c r="C394" s="30">
        <v>393.0</v>
      </c>
      <c r="D394" s="16" t="s">
        <v>818</v>
      </c>
      <c r="E394" s="16" t="s">
        <v>184</v>
      </c>
      <c r="F394" s="16" t="s">
        <v>234</v>
      </c>
      <c r="G394" s="16" t="s">
        <v>186</v>
      </c>
      <c r="H394" s="16" t="s">
        <v>347</v>
      </c>
      <c r="I394" s="16" t="s">
        <v>382</v>
      </c>
    </row>
    <row r="395" ht="242.25" customHeight="1">
      <c r="A395" s="32" t="b">
        <v>0</v>
      </c>
      <c r="B395" s="32" t="str">
        <f>IMAGE("https://gymvisual.com/131-catalog_default/barbell-decline-bent-arm-pullover.jpg",4,500,500)</f>
        <v/>
      </c>
      <c r="C395" s="30">
        <v>394.0</v>
      </c>
      <c r="D395" s="16" t="s">
        <v>819</v>
      </c>
      <c r="E395" s="16" t="s">
        <v>184</v>
      </c>
      <c r="F395" s="16" t="s">
        <v>192</v>
      </c>
      <c r="G395" s="16" t="s">
        <v>186</v>
      </c>
      <c r="H395" s="16" t="s">
        <v>300</v>
      </c>
      <c r="I395" s="16" t="s">
        <v>820</v>
      </c>
    </row>
    <row r="396" ht="242.25" customHeight="1">
      <c r="A396" s="32" t="b">
        <v>0</v>
      </c>
      <c r="B396" s="32" t="str">
        <f>IMAGE("https://gymvisual.com/134-catalog_default/barbell-decline-close-grip-to-skull-press.jpg",4,500,500)</f>
        <v/>
      </c>
      <c r="C396" s="30">
        <v>395.0</v>
      </c>
      <c r="D396" s="16" t="s">
        <v>821</v>
      </c>
      <c r="E396" s="16" t="s">
        <v>184</v>
      </c>
      <c r="F396" s="16" t="s">
        <v>219</v>
      </c>
      <c r="G396" s="16" t="s">
        <v>186</v>
      </c>
      <c r="H396" s="16" t="s">
        <v>223</v>
      </c>
      <c r="I396" s="16" t="s">
        <v>220</v>
      </c>
    </row>
    <row r="397" ht="242.25" customHeight="1">
      <c r="A397" s="32" t="b">
        <v>0</v>
      </c>
      <c r="B397" s="32" t="str">
        <f>IMAGE("https://gymvisual.com/13321-catalog_default/barbell-decline-close-grip-to-skull-press-female.jpg",4,500,500)</f>
        <v/>
      </c>
      <c r="C397" s="30">
        <v>396.0</v>
      </c>
      <c r="D397" s="16" t="s">
        <v>822</v>
      </c>
      <c r="E397" s="16" t="s">
        <v>184</v>
      </c>
      <c r="F397" s="16" t="s">
        <v>219</v>
      </c>
      <c r="G397" s="16" t="s">
        <v>186</v>
      </c>
      <c r="H397" s="16" t="s">
        <v>220</v>
      </c>
      <c r="I397" s="16" t="s">
        <v>220</v>
      </c>
    </row>
    <row r="398" ht="242.25" customHeight="1">
      <c r="A398" s="32" t="b">
        <v>0</v>
      </c>
      <c r="B398" s="32" t="str">
        <f>IMAGE("https://gymvisual.com/5944-catalog_default/barbell-decline-pullover.jpg",4,500,500)</f>
        <v/>
      </c>
      <c r="C398" s="30">
        <v>397.0</v>
      </c>
      <c r="D398" s="16" t="s">
        <v>823</v>
      </c>
      <c r="E398" s="16" t="s">
        <v>184</v>
      </c>
      <c r="F398" s="16" t="s">
        <v>234</v>
      </c>
      <c r="G398" s="16" t="s">
        <v>186</v>
      </c>
      <c r="H398" s="16" t="s">
        <v>347</v>
      </c>
      <c r="I398" s="16" t="s">
        <v>824</v>
      </c>
    </row>
    <row r="399" ht="242.25" customHeight="1">
      <c r="A399" s="32" t="b">
        <v>0</v>
      </c>
      <c r="B399" s="32" t="str">
        <f>IMAGE("https://gymvisual.com/137-catalog_default/barbell-decline-wide-grip-press.jpg",4,500,500)</f>
        <v/>
      </c>
      <c r="C399" s="30">
        <v>398.0</v>
      </c>
      <c r="D399" s="16" t="s">
        <v>825</v>
      </c>
      <c r="E399" s="16" t="s">
        <v>184</v>
      </c>
      <c r="F399" s="16" t="s">
        <v>234</v>
      </c>
      <c r="G399" s="16" t="s">
        <v>186</v>
      </c>
      <c r="H399" s="16" t="s">
        <v>347</v>
      </c>
      <c r="I399" s="16" t="s">
        <v>382</v>
      </c>
    </row>
    <row r="400" ht="242.25" customHeight="1">
      <c r="A400" s="32" t="b">
        <v>0</v>
      </c>
      <c r="B400" s="32" t="str">
        <f>IMAGE("https://gymvisual.com/140-catalog_default/barbell-decline-wide-grip-pullover.jpg",4,500,500)</f>
        <v/>
      </c>
      <c r="C400" s="30">
        <v>399.0</v>
      </c>
      <c r="D400" s="16" t="s">
        <v>826</v>
      </c>
      <c r="E400" s="16" t="s">
        <v>184</v>
      </c>
      <c r="F400" s="16" t="s">
        <v>192</v>
      </c>
      <c r="G400" s="16" t="s">
        <v>186</v>
      </c>
      <c r="H400" s="16" t="s">
        <v>300</v>
      </c>
      <c r="I400" s="16" t="s">
        <v>827</v>
      </c>
    </row>
    <row r="401" ht="242.25" customHeight="1">
      <c r="A401" s="32" t="b">
        <v>0</v>
      </c>
      <c r="B401" s="32" t="str">
        <f>IMAGE("https://gymvisual.com/143-catalog_default/barbell-drag-curl.jpg",4,500,500)</f>
        <v/>
      </c>
      <c r="C401" s="30">
        <v>400.0</v>
      </c>
      <c r="D401" s="16" t="s">
        <v>145</v>
      </c>
      <c r="E401" s="16" t="s">
        <v>184</v>
      </c>
      <c r="F401" s="16" t="s">
        <v>219</v>
      </c>
      <c r="G401" s="16" t="s">
        <v>186</v>
      </c>
      <c r="H401" s="16" t="s">
        <v>241</v>
      </c>
      <c r="I401" s="16" t="s">
        <v>242</v>
      </c>
    </row>
    <row r="402" ht="242.25" customHeight="1">
      <c r="A402" s="32" t="b">
        <v>0</v>
      </c>
      <c r="B402" s="32" t="str">
        <f>IMAGE("https://gymvisual.com/13323-catalog_default/barbell-drag-curl-female.jpg",4,500,500)</f>
        <v/>
      </c>
      <c r="C402" s="30">
        <v>401.0</v>
      </c>
      <c r="D402" s="16" t="s">
        <v>828</v>
      </c>
      <c r="E402" s="16" t="s">
        <v>184</v>
      </c>
      <c r="F402" s="16" t="s">
        <v>829</v>
      </c>
      <c r="G402" s="16" t="s">
        <v>186</v>
      </c>
      <c r="H402" s="16" t="s">
        <v>236</v>
      </c>
      <c r="I402" s="16" t="s">
        <v>292</v>
      </c>
    </row>
    <row r="403" ht="242.25" customHeight="1">
      <c r="A403" s="32" t="b">
        <v>0</v>
      </c>
      <c r="B403" s="32" t="str">
        <f>IMAGE("https://gymvisual.com/17999-catalog_default/barbell-elevated-heel-squat.jpg",4,500,500)</f>
        <v/>
      </c>
      <c r="C403" s="30">
        <v>402.0</v>
      </c>
      <c r="D403" s="16" t="s">
        <v>830</v>
      </c>
      <c r="E403" s="16" t="s">
        <v>184</v>
      </c>
      <c r="F403" s="16" t="s">
        <v>285</v>
      </c>
      <c r="G403" s="16" t="s">
        <v>186</v>
      </c>
      <c r="H403" s="16" t="s">
        <v>220</v>
      </c>
      <c r="I403" s="16" t="s">
        <v>220</v>
      </c>
    </row>
    <row r="404" ht="242.25" customHeight="1">
      <c r="A404" s="32" t="b">
        <v>0</v>
      </c>
      <c r="B404" s="32" t="str">
        <f>IMAGE("https://gymvisual.com/22633-catalog_default/barbell-elevated-split-squat-female.jpg",4,500,500)</f>
        <v/>
      </c>
      <c r="C404" s="30">
        <v>403.0</v>
      </c>
      <c r="D404" s="16" t="s">
        <v>831</v>
      </c>
      <c r="E404" s="16" t="s">
        <v>184</v>
      </c>
      <c r="F404" s="16" t="s">
        <v>285</v>
      </c>
      <c r="G404" s="16" t="s">
        <v>186</v>
      </c>
      <c r="H404" s="16" t="s">
        <v>220</v>
      </c>
      <c r="I404" s="16" t="s">
        <v>220</v>
      </c>
    </row>
    <row r="405" ht="242.25" customHeight="1">
      <c r="A405" s="32" t="b">
        <v>0</v>
      </c>
      <c r="B405" s="32" t="str">
        <f>IMAGE("https://gymvisual.com/6065-catalog_default/barbell-floor-calf-raise.jpg",4,500,500)</f>
        <v/>
      </c>
      <c r="C405" s="30">
        <v>404.0</v>
      </c>
      <c r="D405" s="16" t="s">
        <v>832</v>
      </c>
      <c r="E405" s="16" t="s">
        <v>184</v>
      </c>
      <c r="F405" s="16" t="s">
        <v>325</v>
      </c>
      <c r="G405" s="16" t="s">
        <v>186</v>
      </c>
      <c r="H405" s="16" t="s">
        <v>368</v>
      </c>
      <c r="I405" s="16" t="s">
        <v>463</v>
      </c>
    </row>
    <row r="406" ht="242.25" customHeight="1">
      <c r="A406" s="32" t="b">
        <v>0</v>
      </c>
      <c r="B406" s="32" t="str">
        <f>IMAGE("https://gymvisual.com/16380-catalog_default/barbell-floor-chest-press.jpg",4,500,500)</f>
        <v/>
      </c>
      <c r="C406" s="30">
        <v>405.0</v>
      </c>
      <c r="D406" s="16" t="s">
        <v>181</v>
      </c>
      <c r="E406" s="16" t="s">
        <v>184</v>
      </c>
      <c r="F406" s="16" t="s">
        <v>234</v>
      </c>
      <c r="G406" s="16" t="s">
        <v>186</v>
      </c>
      <c r="H406" s="16" t="s">
        <v>235</v>
      </c>
      <c r="I406" s="16" t="s">
        <v>243</v>
      </c>
    </row>
    <row r="407" ht="242.25" customHeight="1">
      <c r="A407" s="32" t="b">
        <v>0</v>
      </c>
      <c r="B407" s="32" t="str">
        <f>IMAGE("https://gymvisual.com/16386-catalog_default/barbell-front-bench-squat.jpg",4,500,500)</f>
        <v/>
      </c>
      <c r="C407" s="30">
        <v>406.0</v>
      </c>
      <c r="D407" s="16" t="s">
        <v>833</v>
      </c>
      <c r="E407" s="16" t="s">
        <v>184</v>
      </c>
      <c r="F407" s="16" t="s">
        <v>285</v>
      </c>
      <c r="G407" s="16" t="s">
        <v>186</v>
      </c>
      <c r="H407" s="16" t="s">
        <v>189</v>
      </c>
      <c r="I407" s="16" t="s">
        <v>190</v>
      </c>
    </row>
    <row r="408" ht="242.25" customHeight="1">
      <c r="A408" s="32" t="b">
        <v>0</v>
      </c>
      <c r="B408" s="32" t="str">
        <f>IMAGE("https://gymvisual.com/146-catalog_default/barbell-front-chest-squat.jpg",4,500,500)</f>
        <v/>
      </c>
      <c r="C408" s="30">
        <v>407.0</v>
      </c>
      <c r="D408" s="16" t="s">
        <v>834</v>
      </c>
      <c r="E408" s="16" t="s">
        <v>184</v>
      </c>
      <c r="F408" s="16" t="s">
        <v>285</v>
      </c>
      <c r="G408" s="16" t="s">
        <v>186</v>
      </c>
      <c r="H408" s="16" t="s">
        <v>189</v>
      </c>
      <c r="I408" s="16" t="s">
        <v>190</v>
      </c>
    </row>
    <row r="409" ht="242.25" customHeight="1">
      <c r="B409" s="32" t="str">
        <f>IMAGE("https://gymvisual.com/17741-catalog_default/barbell-front-chest-squat-with-resistance-band.jpg",4,500,500)</f>
        <v/>
      </c>
      <c r="C409" s="30">
        <v>408.0</v>
      </c>
      <c r="D409" s="16" t="s">
        <v>835</v>
      </c>
      <c r="E409" s="16" t="s">
        <v>184</v>
      </c>
      <c r="F409" s="16" t="s">
        <v>285</v>
      </c>
      <c r="G409" s="16" t="s">
        <v>186</v>
      </c>
      <c r="H409" s="16" t="s">
        <v>220</v>
      </c>
      <c r="I409" s="16" t="s">
        <v>220</v>
      </c>
    </row>
    <row r="410" ht="242.25" customHeight="1">
      <c r="A410" s="32" t="b">
        <v>0</v>
      </c>
      <c r="B410" s="32" t="str">
        <f>IMAGE("https://gymvisual.com/19433-catalog_default/barbell-front-rack-lunge.jpg",4,500,500)</f>
        <v/>
      </c>
      <c r="C410" s="30">
        <v>409.0</v>
      </c>
      <c r="D410" s="16" t="s">
        <v>836</v>
      </c>
      <c r="E410" s="16" t="s">
        <v>184</v>
      </c>
      <c r="F410" s="16" t="s">
        <v>285</v>
      </c>
      <c r="G410" s="16" t="s">
        <v>186</v>
      </c>
      <c r="H410" s="16" t="s">
        <v>220</v>
      </c>
      <c r="I410" s="16" t="s">
        <v>220</v>
      </c>
    </row>
    <row r="411" ht="242.25" customHeight="1">
      <c r="A411" s="32" t="b">
        <v>0</v>
      </c>
      <c r="B411" s="32" t="str">
        <f>IMAGE("https://gymvisual.com/22093-catalog_default/barbell-front-rack-lunge.jpg",4,500,500)</f>
        <v/>
      </c>
      <c r="C411" s="30">
        <v>410.0</v>
      </c>
      <c r="D411" s="16" t="s">
        <v>836</v>
      </c>
      <c r="E411" s="16" t="s">
        <v>184</v>
      </c>
      <c r="F411" s="16" t="s">
        <v>285</v>
      </c>
      <c r="G411" s="16" t="s">
        <v>186</v>
      </c>
      <c r="H411" s="16" t="s">
        <v>189</v>
      </c>
      <c r="I411" s="16" t="s">
        <v>190</v>
      </c>
    </row>
    <row r="412" ht="242.25" customHeight="1">
      <c r="A412" s="32" t="b">
        <v>0</v>
      </c>
      <c r="B412" s="32" t="str">
        <f>IMAGE("https://gymvisual.com/19449-catalog_default/barbell-front-rack-rear-lunge.jpg",4,500,500)</f>
        <v/>
      </c>
      <c r="C412" s="30">
        <v>411.0</v>
      </c>
      <c r="D412" s="16" t="s">
        <v>837</v>
      </c>
      <c r="E412" s="16" t="s">
        <v>184</v>
      </c>
      <c r="F412" s="16" t="s">
        <v>285</v>
      </c>
      <c r="G412" s="16" t="s">
        <v>186</v>
      </c>
      <c r="H412" s="16" t="s">
        <v>220</v>
      </c>
      <c r="I412" s="16" t="s">
        <v>220</v>
      </c>
    </row>
    <row r="413" ht="242.25" customHeight="1">
      <c r="A413" s="32" t="b">
        <v>0</v>
      </c>
      <c r="B413" s="32" t="str">
        <f>IMAGE("https://gymvisual.com/19463-catalog_default/barbell-front-rack-split-squat.jpg",4,500,500)</f>
        <v/>
      </c>
      <c r="C413" s="30">
        <v>412.0</v>
      </c>
      <c r="D413" s="16" t="s">
        <v>838</v>
      </c>
      <c r="E413" s="16" t="s">
        <v>184</v>
      </c>
      <c r="F413" s="16" t="s">
        <v>285</v>
      </c>
      <c r="G413" s="16" t="s">
        <v>186</v>
      </c>
      <c r="H413" s="16" t="s">
        <v>220</v>
      </c>
      <c r="I413" s="16" t="s">
        <v>220</v>
      </c>
    </row>
    <row r="414" ht="242.25" customHeight="1">
      <c r="A414" s="32" t="b">
        <v>0</v>
      </c>
      <c r="B414" s="32" t="str">
        <f>IMAGE("https://gymvisual.com/152-catalog_default/barbell-front-raise.jpg",4,500,500)</f>
        <v/>
      </c>
      <c r="C414" s="30">
        <v>413.0</v>
      </c>
      <c r="D414" s="16" t="s">
        <v>166</v>
      </c>
      <c r="E414" s="16" t="s">
        <v>184</v>
      </c>
      <c r="F414" s="16" t="s">
        <v>228</v>
      </c>
      <c r="G414" s="16" t="s">
        <v>186</v>
      </c>
      <c r="H414" s="16" t="s">
        <v>229</v>
      </c>
      <c r="I414" s="16" t="s">
        <v>244</v>
      </c>
    </row>
    <row r="415" ht="242.25" customHeight="1">
      <c r="A415" s="32" t="b">
        <v>0</v>
      </c>
      <c r="B415" s="32" t="str">
        <f>IMAGE("https://gymvisual.com/11002-catalog_default/barbell-front-raise-female.jpg",4,500,500)</f>
        <v/>
      </c>
      <c r="C415" s="30">
        <v>414.0</v>
      </c>
      <c r="D415" s="16" t="s">
        <v>839</v>
      </c>
      <c r="E415" s="16" t="s">
        <v>184</v>
      </c>
      <c r="F415" s="16" t="s">
        <v>228</v>
      </c>
      <c r="G415" s="16" t="s">
        <v>186</v>
      </c>
      <c r="H415" s="16" t="s">
        <v>229</v>
      </c>
      <c r="I415" s="16" t="s">
        <v>244</v>
      </c>
    </row>
    <row r="416" ht="242.25" customHeight="1">
      <c r="A416" s="32" t="b">
        <v>0</v>
      </c>
      <c r="B416" s="32" t="str">
        <f>IMAGE("https://gymvisual.com/149-catalog_default/barbell-front-raise-and-pullover.jpg",4,500,500)</f>
        <v/>
      </c>
      <c r="C416" s="30">
        <v>415.0</v>
      </c>
      <c r="D416" s="16" t="s">
        <v>840</v>
      </c>
      <c r="E416" s="16" t="s">
        <v>184</v>
      </c>
      <c r="F416" s="16" t="s">
        <v>234</v>
      </c>
      <c r="G416" s="16" t="s">
        <v>186</v>
      </c>
      <c r="H416" s="16" t="s">
        <v>235</v>
      </c>
      <c r="I416" s="16" t="s">
        <v>841</v>
      </c>
    </row>
    <row r="417" ht="242.25" customHeight="1">
      <c r="A417" s="32" t="b">
        <v>0</v>
      </c>
      <c r="B417" s="32" t="str">
        <f>IMAGE("https://gymvisual.com/10574-catalog_default/barbell-front-squat.jpg",4,500,500)</f>
        <v/>
      </c>
      <c r="C417" s="30">
        <v>416.0</v>
      </c>
      <c r="D417" s="16" t="s">
        <v>842</v>
      </c>
      <c r="E417" s="16" t="s">
        <v>184</v>
      </c>
      <c r="F417" s="16" t="s">
        <v>185</v>
      </c>
      <c r="G417" s="16" t="s">
        <v>186</v>
      </c>
      <c r="H417" s="16" t="s">
        <v>189</v>
      </c>
      <c r="I417" s="16" t="s">
        <v>190</v>
      </c>
    </row>
    <row r="418" ht="242.25" customHeight="1">
      <c r="A418" s="32" t="b">
        <v>0</v>
      </c>
      <c r="B418" s="32" t="str">
        <f>IMAGE("https://gymvisual.com/11077-catalog_default/barbell-front-squat-female.jpg",4,500,500)</f>
        <v/>
      </c>
      <c r="C418" s="30">
        <v>417.0</v>
      </c>
      <c r="D418" s="16" t="s">
        <v>843</v>
      </c>
      <c r="E418" s="16" t="s">
        <v>184</v>
      </c>
      <c r="F418" s="16" t="s">
        <v>294</v>
      </c>
      <c r="G418" s="16" t="s">
        <v>186</v>
      </c>
      <c r="H418" s="16" t="s">
        <v>189</v>
      </c>
      <c r="I418" s="16" t="s">
        <v>190</v>
      </c>
    </row>
    <row r="419" ht="242.25" customHeight="1">
      <c r="A419" s="32" t="b">
        <v>0</v>
      </c>
      <c r="B419" s="32" t="str">
        <f>IMAGE("https://gymvisual.com/13163-catalog_default/barbell-front-squat-from-blocks.jpg",4,500,500)</f>
        <v/>
      </c>
      <c r="C419" s="30">
        <v>418.0</v>
      </c>
      <c r="D419" s="16" t="s">
        <v>844</v>
      </c>
      <c r="E419" s="16" t="s">
        <v>184</v>
      </c>
      <c r="F419" s="16" t="s">
        <v>285</v>
      </c>
      <c r="G419" s="16" t="s">
        <v>186</v>
      </c>
      <c r="H419" s="16" t="s">
        <v>189</v>
      </c>
      <c r="I419" s="16" t="s">
        <v>314</v>
      </c>
    </row>
    <row r="420" ht="242.25" customHeight="1">
      <c r="A420" s="32" t="b">
        <v>0</v>
      </c>
      <c r="B420" s="32" t="str">
        <f>IMAGE("https://gymvisual.com/16388-catalog_default/barbell-front-step-up.jpg",4,500,500)</f>
        <v/>
      </c>
      <c r="C420" s="30">
        <v>419.0</v>
      </c>
      <c r="D420" s="16" t="s">
        <v>845</v>
      </c>
      <c r="E420" s="16" t="s">
        <v>184</v>
      </c>
      <c r="F420" s="16" t="s">
        <v>285</v>
      </c>
      <c r="G420" s="16" t="s">
        <v>186</v>
      </c>
      <c r="H420" s="16" t="s">
        <v>189</v>
      </c>
      <c r="I420" s="16" t="s">
        <v>190</v>
      </c>
    </row>
    <row r="421" ht="242.25" customHeight="1">
      <c r="A421" s="32" t="b">
        <v>0</v>
      </c>
      <c r="B421" s="32" t="str">
        <f>IMAGE("https://gymvisual.com/20586-catalog_default/barbell-full-clean.jpg",4,500,500)</f>
        <v/>
      </c>
      <c r="C421" s="30">
        <v>420.0</v>
      </c>
      <c r="D421" s="16" t="s">
        <v>846</v>
      </c>
      <c r="E421" s="16" t="s">
        <v>184</v>
      </c>
      <c r="F421" s="16" t="s">
        <v>764</v>
      </c>
      <c r="G421" s="16" t="s">
        <v>186</v>
      </c>
      <c r="H421" s="16" t="s">
        <v>220</v>
      </c>
      <c r="I421" s="16" t="s">
        <v>220</v>
      </c>
    </row>
    <row r="422" ht="242.25" customHeight="1">
      <c r="A422" s="32" t="b">
        <v>0</v>
      </c>
      <c r="B422" s="32" t="str">
        <f>IMAGE("https://gymvisual.com/158-catalog_default/barbell-full-squat.jpg",4,500,500)</f>
        <v/>
      </c>
      <c r="C422" s="30">
        <v>421.0</v>
      </c>
      <c r="D422" s="16" t="s">
        <v>847</v>
      </c>
      <c r="E422" s="16" t="s">
        <v>184</v>
      </c>
      <c r="F422" s="16" t="s">
        <v>285</v>
      </c>
      <c r="G422" s="16" t="s">
        <v>186</v>
      </c>
      <c r="H422" s="16" t="s">
        <v>189</v>
      </c>
      <c r="I422" s="16" t="s">
        <v>190</v>
      </c>
    </row>
    <row r="423" ht="242.25" customHeight="1">
      <c r="A423" s="32" t="b">
        <v>0</v>
      </c>
      <c r="B423" s="32" t="str">
        <f>IMAGE("https://gymvisual.com/6480-catalog_default/barbell-full-squat-back-pov.jpg",4,500,500)</f>
        <v/>
      </c>
      <c r="C423" s="30">
        <v>422.0</v>
      </c>
      <c r="D423" s="16" t="s">
        <v>848</v>
      </c>
      <c r="E423" s="16" t="s">
        <v>184</v>
      </c>
      <c r="F423" s="16" t="s">
        <v>285</v>
      </c>
      <c r="G423" s="16" t="s">
        <v>186</v>
      </c>
      <c r="H423" s="16" t="s">
        <v>189</v>
      </c>
      <c r="I423" s="16" t="s">
        <v>190</v>
      </c>
    </row>
    <row r="424" ht="242.25" customHeight="1">
      <c r="A424" s="32" t="b">
        <v>0</v>
      </c>
      <c r="B424" s="32" t="str">
        <f>IMAGE("https://gymvisual.com/6478-catalog_default/barbell-full-squat-side-pov.jpg",4,500,500)</f>
        <v/>
      </c>
      <c r="C424" s="30">
        <v>423.0</v>
      </c>
      <c r="D424" s="16" t="s">
        <v>849</v>
      </c>
      <c r="E424" s="16" t="s">
        <v>184</v>
      </c>
      <c r="F424" s="16" t="s">
        <v>285</v>
      </c>
      <c r="G424" s="16" t="s">
        <v>186</v>
      </c>
      <c r="H424" s="16" t="s">
        <v>189</v>
      </c>
      <c r="I424" s="16" t="s">
        <v>190</v>
      </c>
    </row>
    <row r="425" ht="242.25" customHeight="1">
      <c r="A425" s="32" t="b">
        <v>0</v>
      </c>
      <c r="B425" s="32" t="str">
        <f>IMAGE("https://gymvisual.com/2768-catalog_default/barbell-full-squat-with-rack.jpg",4,500,500)</f>
        <v/>
      </c>
      <c r="C425" s="30">
        <v>424.0</v>
      </c>
      <c r="D425" s="16" t="s">
        <v>850</v>
      </c>
      <c r="E425" s="16" t="s">
        <v>184</v>
      </c>
      <c r="F425" s="16" t="s">
        <v>285</v>
      </c>
      <c r="G425" s="16" t="s">
        <v>186</v>
      </c>
      <c r="H425" s="16" t="s">
        <v>189</v>
      </c>
      <c r="I425" s="16" t="s">
        <v>190</v>
      </c>
    </row>
    <row r="426" ht="242.25" customHeight="1">
      <c r="A426" s="32" t="b">
        <v>0</v>
      </c>
      <c r="B426" s="32" t="str">
        <f>IMAGE("https://gymvisual.com/10022-catalog_default/barbell-full-zercher-squat.jpg",4,500,500)</f>
        <v/>
      </c>
      <c r="C426" s="30">
        <v>425.0</v>
      </c>
      <c r="D426" s="16" t="s">
        <v>851</v>
      </c>
      <c r="E426" s="16" t="s">
        <v>184</v>
      </c>
      <c r="F426" s="16" t="s">
        <v>285</v>
      </c>
      <c r="G426" s="16" t="s">
        <v>186</v>
      </c>
      <c r="H426" s="16" t="s">
        <v>189</v>
      </c>
      <c r="I426" s="16" t="s">
        <v>190</v>
      </c>
    </row>
    <row r="427" ht="242.25" customHeight="1">
      <c r="A427" s="32" t="b">
        <v>0</v>
      </c>
      <c r="B427" s="32" t="str">
        <f>IMAGE("https://gymvisual.com/6261-catalog_default/barbell-glute-bridge.jpg",4,500,500)</f>
        <v/>
      </c>
      <c r="C427" s="30">
        <v>426.0</v>
      </c>
      <c r="D427" s="16" t="s">
        <v>172</v>
      </c>
      <c r="E427" s="16" t="s">
        <v>184</v>
      </c>
      <c r="F427" s="16" t="s">
        <v>185</v>
      </c>
      <c r="G427" s="16" t="s">
        <v>186</v>
      </c>
      <c r="H427" s="16" t="s">
        <v>187</v>
      </c>
      <c r="I427" s="16" t="s">
        <v>188</v>
      </c>
    </row>
    <row r="428" ht="242.25" customHeight="1">
      <c r="A428" s="32" t="b">
        <v>0</v>
      </c>
      <c r="B428" s="32" t="str">
        <f>IMAGE("https://gymvisual.com/13273-catalog_default/barbell-glute-bridge-hands-on-bar.jpg",4,500,500)</f>
        <v/>
      </c>
      <c r="C428" s="30">
        <v>427.0</v>
      </c>
      <c r="D428" s="16" t="s">
        <v>852</v>
      </c>
      <c r="E428" s="16" t="s">
        <v>184</v>
      </c>
      <c r="F428" s="16" t="s">
        <v>185</v>
      </c>
      <c r="G428" s="16" t="s">
        <v>186</v>
      </c>
      <c r="H428" s="16" t="s">
        <v>220</v>
      </c>
      <c r="I428" s="16" t="s">
        <v>220</v>
      </c>
    </row>
    <row r="429" ht="242.25" customHeight="1">
      <c r="A429" s="32" t="b">
        <v>0</v>
      </c>
      <c r="B429" s="32" t="str">
        <f>IMAGE("https://gymvisual.com/13275-catalog_default/barbell-glute-bridge-hands-on-bar-female.jpg",4,500,500)</f>
        <v/>
      </c>
      <c r="C429" s="30">
        <v>428.0</v>
      </c>
      <c r="D429" s="16" t="s">
        <v>853</v>
      </c>
      <c r="E429" s="16" t="s">
        <v>184</v>
      </c>
      <c r="F429" s="16" t="s">
        <v>185</v>
      </c>
      <c r="G429" s="16" t="s">
        <v>186</v>
      </c>
      <c r="H429" s="16" t="s">
        <v>187</v>
      </c>
      <c r="I429" s="16" t="s">
        <v>854</v>
      </c>
    </row>
    <row r="430" ht="242.25" customHeight="1">
      <c r="A430" s="32" t="b">
        <v>0</v>
      </c>
      <c r="B430" s="32" t="str">
        <f>IMAGE("https://gymvisual.com/14151-catalog_default/barbell-glute-bridge-two-legs-on-bench-male.jpg",4,500,500)</f>
        <v/>
      </c>
      <c r="C430" s="30">
        <v>429.0</v>
      </c>
      <c r="D430" s="16" t="s">
        <v>855</v>
      </c>
      <c r="E430" s="16" t="s">
        <v>184</v>
      </c>
      <c r="F430" s="16" t="s">
        <v>185</v>
      </c>
      <c r="G430" s="16" t="s">
        <v>186</v>
      </c>
      <c r="H430" s="16" t="s">
        <v>187</v>
      </c>
      <c r="I430" s="16" t="s">
        <v>188</v>
      </c>
    </row>
    <row r="431" ht="242.25" customHeight="1">
      <c r="A431" s="32" t="b">
        <v>0</v>
      </c>
      <c r="B431" s="32" t="str">
        <f>IMAGE("https://gymvisual.com/19311-catalog_default/barbell-good-morning.jpg",4,500,500)</f>
        <v/>
      </c>
      <c r="C431" s="30">
        <v>430.0</v>
      </c>
      <c r="D431" s="16" t="s">
        <v>856</v>
      </c>
      <c r="E431" s="16" t="s">
        <v>184</v>
      </c>
      <c r="F431" s="16" t="s">
        <v>285</v>
      </c>
      <c r="G431" s="16" t="s">
        <v>186</v>
      </c>
      <c r="H431" s="16" t="s">
        <v>188</v>
      </c>
      <c r="I431" s="16" t="s">
        <v>857</v>
      </c>
    </row>
    <row r="432" ht="242.25" customHeight="1">
      <c r="A432" s="32" t="b">
        <v>0</v>
      </c>
      <c r="B432" s="32" t="str">
        <f>IMAGE("https://gymvisual.com/9559-catalog_default/barbell-good-morning-female.jpg",4,500,500)</f>
        <v/>
      </c>
      <c r="C432" s="30">
        <v>431.0</v>
      </c>
      <c r="D432" s="16" t="s">
        <v>858</v>
      </c>
      <c r="E432" s="16" t="s">
        <v>184</v>
      </c>
      <c r="F432" s="16" t="s">
        <v>185</v>
      </c>
      <c r="G432" s="16" t="s">
        <v>186</v>
      </c>
      <c r="H432" s="16" t="s">
        <v>188</v>
      </c>
      <c r="I432" s="16" t="s">
        <v>857</v>
      </c>
    </row>
    <row r="433" ht="242.25" customHeight="1">
      <c r="A433" s="32" t="b">
        <v>0</v>
      </c>
      <c r="B433" s="32" t="str">
        <f>IMAGE("https://gymvisual.com/164-catalog_default/barbell-guillotine-bench-press.jpg",4,500,500)</f>
        <v/>
      </c>
      <c r="C433" s="30">
        <v>432.0</v>
      </c>
      <c r="D433" s="16" t="s">
        <v>859</v>
      </c>
      <c r="E433" s="16" t="s">
        <v>184</v>
      </c>
      <c r="F433" s="16" t="s">
        <v>234</v>
      </c>
      <c r="G433" s="16" t="s">
        <v>186</v>
      </c>
      <c r="H433" s="16" t="s">
        <v>347</v>
      </c>
      <c r="I433" s="16" t="s">
        <v>382</v>
      </c>
    </row>
    <row r="434" ht="242.25" customHeight="1">
      <c r="A434" s="32" t="b">
        <v>0</v>
      </c>
      <c r="B434" s="32" t="str">
        <f>IMAGE("https://gymvisual.com/167-catalog_default/barbell-hack-squat.jpg",4,500,500)</f>
        <v/>
      </c>
      <c r="C434" s="30">
        <v>433.0</v>
      </c>
      <c r="D434" s="16" t="s">
        <v>175</v>
      </c>
      <c r="E434" s="16" t="s">
        <v>184</v>
      </c>
      <c r="F434" s="16" t="s">
        <v>185</v>
      </c>
      <c r="G434" s="16" t="s">
        <v>186</v>
      </c>
      <c r="H434" s="16" t="s">
        <v>189</v>
      </c>
      <c r="I434" s="16" t="s">
        <v>190</v>
      </c>
    </row>
    <row r="435" ht="242.25" customHeight="1">
      <c r="A435" s="32" t="b">
        <v>0</v>
      </c>
      <c r="B435" s="32" t="str">
        <f>IMAGE("https://gymvisual.com/11444-catalog_default/barbell-hack-squat-female.jpg",4,500,500)</f>
        <v/>
      </c>
      <c r="C435" s="30">
        <v>434.0</v>
      </c>
      <c r="D435" s="16" t="s">
        <v>860</v>
      </c>
      <c r="E435" s="16" t="s">
        <v>184</v>
      </c>
      <c r="F435" s="16" t="s">
        <v>294</v>
      </c>
      <c r="G435" s="16" t="s">
        <v>186</v>
      </c>
      <c r="H435" s="16" t="s">
        <v>220</v>
      </c>
      <c r="I435" s="16" t="s">
        <v>220</v>
      </c>
    </row>
    <row r="436" ht="242.25" customHeight="1">
      <c r="A436" s="32" t="b">
        <v>0</v>
      </c>
      <c r="B436" s="32" t="str">
        <f>IMAGE("https://gymvisual.com/6768-catalog_default/barbell-hang-clean.jpg",4,500,500)</f>
        <v/>
      </c>
      <c r="C436" s="30">
        <v>435.0</v>
      </c>
      <c r="D436" s="16" t="s">
        <v>861</v>
      </c>
      <c r="E436" s="16" t="s">
        <v>184</v>
      </c>
      <c r="F436" s="16" t="s">
        <v>764</v>
      </c>
      <c r="G436" s="16" t="s">
        <v>186</v>
      </c>
      <c r="H436" s="16" t="s">
        <v>220</v>
      </c>
      <c r="I436" s="16" t="s">
        <v>220</v>
      </c>
    </row>
    <row r="437" ht="242.25" customHeight="1">
      <c r="A437" s="32" t="b">
        <v>0</v>
      </c>
      <c r="B437" s="32" t="str">
        <f>IMAGE("https://gymvisual.com/20430-catalog_default/barbell-hang-clean-below-the-knees.jpg",4,500,500)</f>
        <v/>
      </c>
      <c r="C437" s="30">
        <v>436.0</v>
      </c>
      <c r="D437" s="16" t="s">
        <v>862</v>
      </c>
      <c r="E437" s="16" t="s">
        <v>184</v>
      </c>
      <c r="F437" s="16" t="s">
        <v>764</v>
      </c>
      <c r="G437" s="16" t="s">
        <v>186</v>
      </c>
      <c r="H437" s="16" t="s">
        <v>220</v>
      </c>
      <c r="I437" s="16" t="s">
        <v>220</v>
      </c>
    </row>
    <row r="438" ht="242.25" customHeight="1">
      <c r="A438" s="32" t="b">
        <v>0</v>
      </c>
      <c r="B438" s="32" t="str">
        <f>IMAGE("https://gymvisual.com/12828-catalog_default/barbell-hang-clean-below-the-knees-version-2.jpg",4,500,500)</f>
        <v/>
      </c>
      <c r="C438" s="30">
        <v>437.0</v>
      </c>
      <c r="D438" s="16" t="s">
        <v>863</v>
      </c>
      <c r="E438" s="16" t="s">
        <v>184</v>
      </c>
      <c r="F438" s="16" t="s">
        <v>764</v>
      </c>
      <c r="G438" s="16" t="s">
        <v>186</v>
      </c>
      <c r="H438" s="16" t="s">
        <v>220</v>
      </c>
      <c r="I438" s="16" t="s">
        <v>220</v>
      </c>
    </row>
    <row r="439" ht="242.25" customHeight="1">
      <c r="A439" s="32" t="b">
        <v>0</v>
      </c>
      <c r="B439" s="32" t="str">
        <f>IMAGE("https://gymvisual.com/25136-catalog_default/barbell-hang-power-clean.jpg",4,500,500)</f>
        <v/>
      </c>
      <c r="C439" s="30">
        <v>438.0</v>
      </c>
      <c r="D439" s="16" t="s">
        <v>864</v>
      </c>
      <c r="E439" s="16" t="s">
        <v>184</v>
      </c>
      <c r="F439" s="16" t="s">
        <v>764</v>
      </c>
      <c r="G439" s="16" t="s">
        <v>186</v>
      </c>
      <c r="H439" s="16" t="s">
        <v>220</v>
      </c>
      <c r="I439" s="16" t="s">
        <v>220</v>
      </c>
    </row>
    <row r="440" ht="242.25" customHeight="1">
      <c r="A440" s="32" t="b">
        <v>0</v>
      </c>
      <c r="B440" s="32" t="str">
        <f>IMAGE("https://gymvisual.com/6770-catalog_default/barbell-hang-snatch.jpg",4,500,500)</f>
        <v/>
      </c>
      <c r="C440" s="30">
        <v>439.0</v>
      </c>
      <c r="D440" s="16" t="s">
        <v>865</v>
      </c>
      <c r="E440" s="16" t="s">
        <v>184</v>
      </c>
      <c r="F440" s="16" t="s">
        <v>764</v>
      </c>
      <c r="G440" s="16" t="s">
        <v>186</v>
      </c>
      <c r="H440" s="16" t="s">
        <v>866</v>
      </c>
      <c r="I440" s="16" t="s">
        <v>220</v>
      </c>
    </row>
    <row r="441" ht="242.25" customHeight="1">
      <c r="A441" s="32" t="b">
        <v>0</v>
      </c>
      <c r="B441" s="32" t="str">
        <f>IMAGE("https://gymvisual.com/20652-catalog_default/barbell-hang-snatch-below-the-knees.jpg",4,500,500)</f>
        <v/>
      </c>
      <c r="C441" s="30">
        <v>440.0</v>
      </c>
      <c r="D441" s="16" t="s">
        <v>867</v>
      </c>
      <c r="E441" s="16" t="s">
        <v>184</v>
      </c>
      <c r="F441" s="16" t="s">
        <v>764</v>
      </c>
      <c r="G441" s="16" t="s">
        <v>186</v>
      </c>
      <c r="H441" s="16" t="s">
        <v>220</v>
      </c>
      <c r="I441" s="16" t="s">
        <v>220</v>
      </c>
    </row>
    <row r="442" ht="242.25" customHeight="1">
      <c r="A442" s="32" t="b">
        <v>0</v>
      </c>
      <c r="B442" s="32" t="str">
        <f>IMAGE("https://gymvisual.com/6772-catalog_default/barbell-heaving-snatch-balance.jpg",4,500,500)</f>
        <v/>
      </c>
      <c r="C442" s="30">
        <v>441.0</v>
      </c>
      <c r="D442" s="16" t="s">
        <v>868</v>
      </c>
      <c r="E442" s="16" t="s">
        <v>184</v>
      </c>
      <c r="F442" s="16" t="s">
        <v>764</v>
      </c>
      <c r="G442" s="16" t="s">
        <v>186</v>
      </c>
      <c r="H442" s="16" t="s">
        <v>220</v>
      </c>
      <c r="I442" s="16" t="s">
        <v>220</v>
      </c>
    </row>
    <row r="443" ht="242.25" customHeight="1">
      <c r="A443" s="32" t="b">
        <v>0</v>
      </c>
      <c r="B443" s="32" t="str">
        <f>IMAGE("https://gymvisual.com/6448-catalog_default/barbell-high-bar-squat.jpg",4,500,500)</f>
        <v/>
      </c>
      <c r="C443" s="30">
        <v>442.0</v>
      </c>
      <c r="D443" s="16" t="s">
        <v>869</v>
      </c>
      <c r="E443" s="16" t="s">
        <v>184</v>
      </c>
      <c r="F443" s="16" t="s">
        <v>285</v>
      </c>
      <c r="G443" s="16" t="s">
        <v>186</v>
      </c>
      <c r="H443" s="16" t="s">
        <v>189</v>
      </c>
      <c r="I443" s="16" t="s">
        <v>190</v>
      </c>
    </row>
    <row r="444" ht="242.25" customHeight="1">
      <c r="A444" s="32" t="b">
        <v>0</v>
      </c>
      <c r="B444" s="32" t="str">
        <f>IMAGE("https://gymvisual.com/4073-catalog_default/barbell-hip-thrust.jpg",4,500,500)</f>
        <v/>
      </c>
      <c r="C444" s="30">
        <v>443.0</v>
      </c>
      <c r="D444" s="16" t="s">
        <v>870</v>
      </c>
      <c r="E444" s="16" t="s">
        <v>184</v>
      </c>
      <c r="F444" s="16" t="s">
        <v>185</v>
      </c>
      <c r="G444" s="16" t="s">
        <v>186</v>
      </c>
      <c r="H444" s="16" t="s">
        <v>187</v>
      </c>
      <c r="I444" s="16" t="s">
        <v>854</v>
      </c>
    </row>
    <row r="445" ht="242.25" customHeight="1">
      <c r="A445" s="32" t="b">
        <v>0</v>
      </c>
      <c r="B445" s="32" t="str">
        <f>IMAGE("https://gymvisual.com/9562-catalog_default/barbell-hip-thrust-female.jpg",4,500,500)</f>
        <v/>
      </c>
      <c r="C445" s="30">
        <v>444.0</v>
      </c>
      <c r="D445" s="16" t="s">
        <v>871</v>
      </c>
      <c r="E445" s="16" t="s">
        <v>184</v>
      </c>
      <c r="F445" s="16" t="s">
        <v>185</v>
      </c>
      <c r="G445" s="16" t="s">
        <v>186</v>
      </c>
      <c r="H445" s="16" t="s">
        <v>187</v>
      </c>
      <c r="I445" s="16" t="s">
        <v>188</v>
      </c>
    </row>
    <row r="446" ht="242.25" customHeight="1">
      <c r="B446" s="32" t="str">
        <f>IMAGE("https://gymvisual.com/17745-catalog_default/barbell-hip-thrust-with-resistance-band.jpg",4,500,500)</f>
        <v/>
      </c>
      <c r="C446" s="30">
        <v>445.0</v>
      </c>
      <c r="D446" s="16" t="s">
        <v>872</v>
      </c>
      <c r="E446" s="16" t="s">
        <v>184</v>
      </c>
      <c r="F446" s="16" t="s">
        <v>185</v>
      </c>
      <c r="G446" s="16" t="s">
        <v>186</v>
      </c>
      <c r="H446" s="16" t="s">
        <v>220</v>
      </c>
      <c r="I446" s="16" t="s">
        <v>220</v>
      </c>
    </row>
    <row r="447" ht="242.25" customHeight="1">
      <c r="A447" s="32" t="b">
        <v>0</v>
      </c>
      <c r="B447" s="32" t="str">
        <f>IMAGE("https://gymvisual.com/19313-catalog_default/barbell-incline-bench-press.jpg",4,500,500)</f>
        <v/>
      </c>
      <c r="C447" s="30">
        <v>446.0</v>
      </c>
      <c r="D447" s="16" t="s">
        <v>873</v>
      </c>
      <c r="E447" s="16" t="s">
        <v>184</v>
      </c>
      <c r="F447" s="16" t="s">
        <v>234</v>
      </c>
      <c r="G447" s="16" t="s">
        <v>186</v>
      </c>
      <c r="H447" s="16" t="s">
        <v>415</v>
      </c>
      <c r="I447" s="16" t="s">
        <v>243</v>
      </c>
    </row>
    <row r="448" ht="242.25" customHeight="1">
      <c r="A448" s="32" t="b">
        <v>0</v>
      </c>
      <c r="B448" s="32" t="str">
        <f>IMAGE("https://gymvisual.com/10366-catalog_default/barbell-incline-bench-press-female.jpg",4,500,500)</f>
        <v/>
      </c>
      <c r="C448" s="30">
        <v>447.0</v>
      </c>
      <c r="D448" s="16" t="s">
        <v>874</v>
      </c>
      <c r="E448" s="16" t="s">
        <v>184</v>
      </c>
      <c r="F448" s="16" t="s">
        <v>234</v>
      </c>
      <c r="G448" s="16" t="s">
        <v>186</v>
      </c>
      <c r="H448" s="16" t="s">
        <v>415</v>
      </c>
      <c r="I448" s="16" t="s">
        <v>243</v>
      </c>
    </row>
    <row r="449" ht="242.25" customHeight="1">
      <c r="A449" s="32" t="b">
        <v>0</v>
      </c>
      <c r="B449" s="32" t="str">
        <f>IMAGE("https://gymvisual.com/7438-catalog_default/barbell-incline-close-grip-bench-press.jpg",4,500,500)</f>
        <v/>
      </c>
      <c r="C449" s="30">
        <v>448.0</v>
      </c>
      <c r="D449" s="16" t="s">
        <v>875</v>
      </c>
      <c r="E449" s="16" t="s">
        <v>184</v>
      </c>
      <c r="F449" s="16" t="s">
        <v>219</v>
      </c>
      <c r="G449" s="16" t="s">
        <v>186</v>
      </c>
      <c r="H449" s="16" t="s">
        <v>223</v>
      </c>
      <c r="I449" s="16" t="s">
        <v>472</v>
      </c>
    </row>
    <row r="450" ht="242.25" customHeight="1">
      <c r="A450" s="32" t="b">
        <v>0</v>
      </c>
      <c r="B450" s="32" t="str">
        <f>IMAGE("https://gymvisual.com/11128-catalog_default/barbell-incline-close-grip-bench-press-female.jpg",4,500,500)</f>
        <v/>
      </c>
      <c r="C450" s="30">
        <v>449.0</v>
      </c>
      <c r="D450" s="16" t="s">
        <v>876</v>
      </c>
      <c r="E450" s="16" t="s">
        <v>184</v>
      </c>
      <c r="F450" s="16" t="s">
        <v>234</v>
      </c>
      <c r="G450" s="16" t="s">
        <v>186</v>
      </c>
      <c r="H450" s="16" t="s">
        <v>220</v>
      </c>
      <c r="I450" s="16" t="s">
        <v>220</v>
      </c>
    </row>
    <row r="451" ht="242.25" customHeight="1">
      <c r="A451" s="32" t="b">
        <v>0</v>
      </c>
      <c r="B451" s="32" t="str">
        <f>IMAGE("https://gymvisual.com/16376-catalog_default/barbell-incline-lying-rear-delt-raise.jpg",4,500,500)</f>
        <v/>
      </c>
      <c r="C451" s="30">
        <v>450.0</v>
      </c>
      <c r="D451" s="16" t="s">
        <v>877</v>
      </c>
      <c r="E451" s="16" t="s">
        <v>184</v>
      </c>
      <c r="F451" s="16" t="s">
        <v>228</v>
      </c>
      <c r="G451" s="16" t="s">
        <v>186</v>
      </c>
      <c r="H451" s="16" t="s">
        <v>229</v>
      </c>
      <c r="I451" s="16" t="s">
        <v>878</v>
      </c>
    </row>
    <row r="452" ht="242.25" customHeight="1">
      <c r="A452" s="32" t="b">
        <v>0</v>
      </c>
      <c r="B452" s="32" t="str">
        <f>IMAGE("https://gymvisual.com/26080-catalog_default/barbell-incline-rear-delt-row.jpg",4,500,500)</f>
        <v/>
      </c>
      <c r="C452" s="30">
        <v>451.0</v>
      </c>
      <c r="D452" s="16" t="s">
        <v>879</v>
      </c>
      <c r="E452" s="16" t="s">
        <v>184</v>
      </c>
      <c r="F452" s="16" t="s">
        <v>192</v>
      </c>
      <c r="G452" s="16" t="s">
        <v>186</v>
      </c>
      <c r="H452" s="16" t="s">
        <v>220</v>
      </c>
      <c r="I452" s="16" t="s">
        <v>220</v>
      </c>
    </row>
    <row r="453" ht="242.25" customHeight="1">
      <c r="A453" s="32" t="b">
        <v>0</v>
      </c>
      <c r="B453" s="32" t="str">
        <f>IMAGE("https://gymvisual.com/17399-catalog_default/barbell-incline-reverse-grip-spider-curl-with-chest-support.jpg",4,500,500)</f>
        <v/>
      </c>
      <c r="C453" s="30">
        <v>452.0</v>
      </c>
      <c r="D453" s="16" t="s">
        <v>880</v>
      </c>
      <c r="E453" s="16" t="s">
        <v>184</v>
      </c>
      <c r="F453" s="16" t="s">
        <v>214</v>
      </c>
      <c r="G453" s="16" t="s">
        <v>186</v>
      </c>
      <c r="H453" s="16" t="s">
        <v>216</v>
      </c>
      <c r="I453" s="16" t="s">
        <v>217</v>
      </c>
    </row>
    <row r="454" ht="242.25" customHeight="1">
      <c r="A454" s="32" t="b">
        <v>0</v>
      </c>
      <c r="B454" s="32" t="str">
        <f>IMAGE("https://gymvisual.com/173-catalog_default/barbell-incline-reverse-grip-press.jpg",4,500,500)</f>
        <v/>
      </c>
      <c r="C454" s="30">
        <v>453.0</v>
      </c>
      <c r="D454" s="16" t="s">
        <v>881</v>
      </c>
      <c r="E454" s="16" t="s">
        <v>184</v>
      </c>
      <c r="F454" s="16" t="s">
        <v>219</v>
      </c>
      <c r="G454" s="16" t="s">
        <v>186</v>
      </c>
      <c r="H454" s="16" t="s">
        <v>223</v>
      </c>
      <c r="I454" s="16" t="s">
        <v>882</v>
      </c>
    </row>
    <row r="455" ht="242.25" customHeight="1">
      <c r="A455" s="32" t="b">
        <v>0</v>
      </c>
      <c r="B455" s="32" t="str">
        <f>IMAGE("https://gymvisual.com/23495-catalog_default/barbell-incline-row.jpg",4,500,500)</f>
        <v/>
      </c>
      <c r="C455" s="30">
        <v>454.0</v>
      </c>
      <c r="D455" s="16" t="s">
        <v>191</v>
      </c>
      <c r="E455" s="16" t="s">
        <v>184</v>
      </c>
      <c r="F455" s="16" t="s">
        <v>192</v>
      </c>
      <c r="G455" s="16" t="s">
        <v>186</v>
      </c>
      <c r="H455" s="16" t="s">
        <v>193</v>
      </c>
      <c r="I455" s="16" t="s">
        <v>194</v>
      </c>
    </row>
    <row r="456" ht="242.25" customHeight="1">
      <c r="A456" s="32" t="b">
        <v>0</v>
      </c>
      <c r="B456" s="32" t="str">
        <f>IMAGE("https://gymvisual.com/11080-catalog_default/barbell-incline-row-female.jpg",4,500,500)</f>
        <v/>
      </c>
      <c r="C456" s="30">
        <v>455.0</v>
      </c>
      <c r="D456" s="16" t="s">
        <v>883</v>
      </c>
      <c r="E456" s="16" t="s">
        <v>184</v>
      </c>
      <c r="F456" s="16" t="s">
        <v>192</v>
      </c>
      <c r="G456" s="16" t="s">
        <v>186</v>
      </c>
      <c r="H456" s="16" t="s">
        <v>220</v>
      </c>
      <c r="I456" s="16" t="s">
        <v>220</v>
      </c>
    </row>
    <row r="457" ht="242.25" customHeight="1">
      <c r="A457" s="32" t="b">
        <v>0</v>
      </c>
      <c r="B457" s="32" t="str">
        <f>IMAGE("https://gymvisual.com/179-catalog_default/barbell-incline-shoulder-raise.jpg",4,500,500)</f>
        <v/>
      </c>
      <c r="C457" s="30">
        <v>456.0</v>
      </c>
      <c r="D457" s="16" t="s">
        <v>884</v>
      </c>
      <c r="E457" s="16" t="s">
        <v>184</v>
      </c>
      <c r="F457" s="16" t="s">
        <v>234</v>
      </c>
      <c r="G457" s="16" t="s">
        <v>186</v>
      </c>
      <c r="H457" s="16" t="s">
        <v>885</v>
      </c>
      <c r="I457" s="16" t="s">
        <v>415</v>
      </c>
    </row>
    <row r="458" ht="242.25" customHeight="1">
      <c r="A458" s="32" t="b">
        <v>0</v>
      </c>
      <c r="B458" s="32" t="str">
        <f>IMAGE("https://gymvisual.com/18760-catalog_default/barbell-incline-triceps-extension-skull-crusher.jpg",4,500,500)</f>
        <v/>
      </c>
      <c r="C458" s="30">
        <v>457.0</v>
      </c>
      <c r="D458" s="16" t="s">
        <v>886</v>
      </c>
      <c r="E458" s="16" t="s">
        <v>184</v>
      </c>
      <c r="F458" s="16" t="s">
        <v>219</v>
      </c>
      <c r="G458" s="16" t="s">
        <v>186</v>
      </c>
      <c r="H458" s="16" t="s">
        <v>223</v>
      </c>
      <c r="I458" s="16" t="s">
        <v>220</v>
      </c>
    </row>
    <row r="459" ht="242.25" customHeight="1">
      <c r="A459" s="32" t="b">
        <v>0</v>
      </c>
      <c r="B459" s="32" t="str">
        <f>IMAGE("https://gymvisual.com/4419-catalog_default/barbell-incline-wide-reverse-grip-bench-press.jpg",4,500,500)</f>
        <v/>
      </c>
      <c r="C459" s="30">
        <v>458.0</v>
      </c>
      <c r="D459" s="16" t="s">
        <v>887</v>
      </c>
      <c r="E459" s="16" t="s">
        <v>184</v>
      </c>
      <c r="F459" s="16" t="s">
        <v>234</v>
      </c>
      <c r="G459" s="16" t="s">
        <v>186</v>
      </c>
      <c r="H459" s="16" t="s">
        <v>415</v>
      </c>
      <c r="I459" s="16" t="s">
        <v>888</v>
      </c>
    </row>
    <row r="460" ht="242.25" customHeight="1">
      <c r="A460" s="32" t="b">
        <v>0</v>
      </c>
      <c r="B460" s="32" t="str">
        <f>IMAGE("https://gymvisual.com/17397-catalog_default/barbell-incline-wrist-curl-with-chest-support.jpg",4,500,500)</f>
        <v/>
      </c>
      <c r="C460" s="30">
        <v>459.0</v>
      </c>
      <c r="D460" s="16" t="s">
        <v>889</v>
      </c>
      <c r="E460" s="16" t="s">
        <v>184</v>
      </c>
      <c r="F460" s="16" t="s">
        <v>214</v>
      </c>
      <c r="G460" s="16" t="s">
        <v>186</v>
      </c>
      <c r="H460" s="16" t="s">
        <v>720</v>
      </c>
      <c r="I460" s="16" t="s">
        <v>220</v>
      </c>
    </row>
    <row r="461" ht="242.25" customHeight="1">
      <c r="A461" s="32" t="b">
        <v>0</v>
      </c>
      <c r="B461" s="32" t="str">
        <f>IMAGE("https://gymvisual.com/25140-catalog_default/barbell-jefferson-deadlift.jpg",4,500,500)</f>
        <v/>
      </c>
      <c r="C461" s="30">
        <v>460.0</v>
      </c>
      <c r="D461" s="16" t="s">
        <v>890</v>
      </c>
      <c r="E461" s="16" t="s">
        <v>184</v>
      </c>
      <c r="F461" s="16" t="s">
        <v>185</v>
      </c>
      <c r="G461" s="16" t="s">
        <v>186</v>
      </c>
      <c r="H461" s="16" t="s">
        <v>891</v>
      </c>
      <c r="I461" s="16" t="s">
        <v>892</v>
      </c>
    </row>
    <row r="462" ht="242.25" customHeight="1">
      <c r="A462" s="32" t="b">
        <v>0</v>
      </c>
      <c r="B462" s="32" t="str">
        <f>IMAGE("https://gymvisual.com/14728-catalog_default/barbell-jefferson-squat.jpg",4,500,500)</f>
        <v/>
      </c>
      <c r="C462" s="30">
        <v>461.0</v>
      </c>
      <c r="D462" s="16" t="s">
        <v>893</v>
      </c>
      <c r="E462" s="16" t="s">
        <v>184</v>
      </c>
      <c r="F462" s="16" t="s">
        <v>285</v>
      </c>
      <c r="G462" s="16" t="s">
        <v>186</v>
      </c>
      <c r="H462" s="16" t="s">
        <v>189</v>
      </c>
      <c r="I462" s="16" t="s">
        <v>190</v>
      </c>
    </row>
    <row r="463" ht="242.25" customHeight="1">
      <c r="A463" s="32" t="b">
        <v>0</v>
      </c>
      <c r="B463" s="32" t="str">
        <f>IMAGE("https://gymvisual.com/6773-catalog_default/barbell-jerk-dip-squat.jpg",4,500,500)</f>
        <v/>
      </c>
      <c r="C463" s="30">
        <v>462.0</v>
      </c>
      <c r="D463" s="16" t="s">
        <v>894</v>
      </c>
      <c r="E463" s="16" t="s">
        <v>184</v>
      </c>
      <c r="F463" s="16" t="s">
        <v>285</v>
      </c>
      <c r="G463" s="16" t="s">
        <v>186</v>
      </c>
      <c r="H463" s="16" t="s">
        <v>220</v>
      </c>
      <c r="I463" s="16" t="s">
        <v>220</v>
      </c>
    </row>
    <row r="464" ht="242.25" customHeight="1">
      <c r="A464" s="32" t="b">
        <v>0</v>
      </c>
      <c r="B464" s="32" t="str">
        <f>IMAGE("https://gymvisual.com/25132-catalog_default/barbell-jm-bench-press.jpg",4,500,500)</f>
        <v/>
      </c>
      <c r="C464" s="30">
        <v>463.0</v>
      </c>
      <c r="D464" s="16" t="s">
        <v>895</v>
      </c>
      <c r="E464" s="16" t="s">
        <v>184</v>
      </c>
      <c r="F464" s="16" t="s">
        <v>219</v>
      </c>
      <c r="G464" s="16" t="s">
        <v>186</v>
      </c>
      <c r="H464" s="16" t="s">
        <v>223</v>
      </c>
      <c r="I464" s="16" t="s">
        <v>896</v>
      </c>
    </row>
    <row r="465" ht="242.25" customHeight="1">
      <c r="A465" s="32" t="b">
        <v>0</v>
      </c>
      <c r="B465" s="32" t="str">
        <f>IMAGE("https://gymvisual.com/13325-catalog_default/barbell-jm-bench-press-female.jpg",4,500,500)</f>
        <v/>
      </c>
      <c r="C465" s="30">
        <v>464.0</v>
      </c>
      <c r="D465" s="16" t="s">
        <v>897</v>
      </c>
      <c r="E465" s="16" t="s">
        <v>184</v>
      </c>
      <c r="F465" s="16" t="s">
        <v>219</v>
      </c>
      <c r="G465" s="16" t="s">
        <v>186</v>
      </c>
      <c r="H465" s="16" t="s">
        <v>220</v>
      </c>
      <c r="I465" s="16" t="s">
        <v>220</v>
      </c>
    </row>
    <row r="466" ht="242.25" customHeight="1">
      <c r="A466" s="32" t="b">
        <v>0</v>
      </c>
      <c r="B466" s="32" t="str">
        <f>IMAGE("https://gymvisual.com/23467-catalog_default/barbell-kas-glute-bridge-female.jpg",4,500,500)</f>
        <v/>
      </c>
      <c r="C466" s="30">
        <v>465.0</v>
      </c>
      <c r="D466" s="16" t="s">
        <v>898</v>
      </c>
      <c r="E466" s="16" t="s">
        <v>184</v>
      </c>
      <c r="F466" s="16" t="s">
        <v>185</v>
      </c>
      <c r="G466" s="16" t="s">
        <v>186</v>
      </c>
      <c r="H466" s="16" t="s">
        <v>187</v>
      </c>
      <c r="I466" s="16" t="s">
        <v>854</v>
      </c>
    </row>
    <row r="467" ht="242.25" customHeight="1">
      <c r="A467" s="32" t="b">
        <v>0</v>
      </c>
      <c r="B467" s="32" t="str">
        <f>IMAGE("https://gymvisual.com/19471-catalog_default/barbell-knee-raise-step-up.jpg",4,500,500)</f>
        <v/>
      </c>
      <c r="C467" s="30">
        <v>466.0</v>
      </c>
      <c r="D467" s="16" t="s">
        <v>899</v>
      </c>
      <c r="E467" s="16" t="s">
        <v>184</v>
      </c>
      <c r="F467" s="16" t="s">
        <v>285</v>
      </c>
      <c r="G467" s="16" t="s">
        <v>186</v>
      </c>
      <c r="H467" s="16" t="s">
        <v>220</v>
      </c>
      <c r="I467" s="16" t="s">
        <v>220</v>
      </c>
    </row>
    <row r="468" ht="242.25" customHeight="1">
      <c r="A468" s="32" t="b">
        <v>0</v>
      </c>
      <c r="B468" s="32" t="str">
        <f>IMAGE("https://gymvisual.com/6262-catalog_default/barbell-lateral-lunge.jpg",4,500,500)</f>
        <v/>
      </c>
      <c r="C468" s="30">
        <v>467.0</v>
      </c>
      <c r="D468" s="16" t="s">
        <v>900</v>
      </c>
      <c r="E468" s="16" t="s">
        <v>184</v>
      </c>
      <c r="F468" s="16" t="s">
        <v>185</v>
      </c>
      <c r="G468" s="16" t="s">
        <v>186</v>
      </c>
      <c r="H468" s="16" t="s">
        <v>189</v>
      </c>
      <c r="I468" s="16" t="s">
        <v>190</v>
      </c>
    </row>
    <row r="469" ht="242.25" customHeight="1">
      <c r="A469" s="32" t="b">
        <v>0</v>
      </c>
      <c r="B469" s="32" t="str">
        <f>IMAGE("https://gymvisual.com/9598-catalog_default/barbell-lateral-lunge-female.jpg",4,500,500)</f>
        <v/>
      </c>
      <c r="C469" s="30">
        <v>468.0</v>
      </c>
      <c r="D469" s="16" t="s">
        <v>901</v>
      </c>
      <c r="E469" s="16" t="s">
        <v>184</v>
      </c>
      <c r="F469" s="16" t="s">
        <v>294</v>
      </c>
      <c r="G469" s="16" t="s">
        <v>186</v>
      </c>
      <c r="H469" s="16" t="s">
        <v>189</v>
      </c>
      <c r="I469" s="16" t="s">
        <v>902</v>
      </c>
    </row>
    <row r="470" ht="242.25" customHeight="1">
      <c r="A470" s="32" t="b">
        <v>0</v>
      </c>
      <c r="B470" s="32" t="str">
        <f>IMAGE("https://gymvisual.com/11974-catalog_default/barbell-leg-twist-press.jpg",4,500,500)</f>
        <v/>
      </c>
      <c r="C470" s="30">
        <v>469.0</v>
      </c>
      <c r="D470" s="16" t="s">
        <v>903</v>
      </c>
      <c r="E470" s="16" t="s">
        <v>184</v>
      </c>
      <c r="F470" s="16" t="s">
        <v>254</v>
      </c>
      <c r="G470" s="16" t="s">
        <v>186</v>
      </c>
      <c r="H470" s="16" t="s">
        <v>220</v>
      </c>
      <c r="I470" s="16" t="s">
        <v>220</v>
      </c>
    </row>
    <row r="471" ht="242.25" customHeight="1">
      <c r="A471" s="32" t="b">
        <v>0</v>
      </c>
      <c r="B471" s="32" t="str">
        <f>IMAGE("https://gymvisual.com/6446-catalog_default/barbell-low-bar-squat.jpg",4,500,500)</f>
        <v/>
      </c>
      <c r="C471" s="30">
        <v>470.0</v>
      </c>
      <c r="D471" s="16" t="s">
        <v>904</v>
      </c>
      <c r="E471" s="16" t="s">
        <v>184</v>
      </c>
      <c r="F471" s="16" t="s">
        <v>285</v>
      </c>
      <c r="G471" s="16" t="s">
        <v>186</v>
      </c>
      <c r="H471" s="16" t="s">
        <v>189</v>
      </c>
      <c r="I471" s="16" t="s">
        <v>190</v>
      </c>
    </row>
    <row r="472" ht="242.25" customHeight="1">
      <c r="A472" s="32" t="b">
        <v>0</v>
      </c>
      <c r="B472" s="32" t="str">
        <f>IMAGE("https://gymvisual.com/7720-catalog_default/barbell-low-bar-squat-with-rack.jpg",4,500,500)</f>
        <v/>
      </c>
      <c r="C472" s="30">
        <v>471.0</v>
      </c>
      <c r="D472" s="16" t="s">
        <v>905</v>
      </c>
      <c r="E472" s="16" t="s">
        <v>184</v>
      </c>
      <c r="F472" s="16" t="s">
        <v>285</v>
      </c>
      <c r="G472" s="16" t="s">
        <v>186</v>
      </c>
      <c r="H472" s="16" t="s">
        <v>220</v>
      </c>
      <c r="I472" s="16" t="s">
        <v>220</v>
      </c>
    </row>
    <row r="473" ht="242.25" customHeight="1">
      <c r="A473" s="32" t="b">
        <v>0</v>
      </c>
      <c r="B473" s="32" t="str">
        <f>IMAGE("https://gymvisual.com/190-catalog_default/barbell-lunge.jpg",4,500,500)</f>
        <v/>
      </c>
      <c r="C473" s="30">
        <v>472.0</v>
      </c>
      <c r="D473" s="16" t="s">
        <v>906</v>
      </c>
      <c r="E473" s="16" t="s">
        <v>184</v>
      </c>
      <c r="F473" s="16" t="s">
        <v>285</v>
      </c>
      <c r="G473" s="16" t="s">
        <v>186</v>
      </c>
      <c r="H473" s="16" t="s">
        <v>189</v>
      </c>
      <c r="I473" s="16" t="s">
        <v>190</v>
      </c>
    </row>
    <row r="474" ht="242.25" customHeight="1">
      <c r="A474" s="32" t="b">
        <v>0</v>
      </c>
      <c r="B474" s="32" t="str">
        <f>IMAGE("https://gymvisual.com/11005-catalog_default/barbell-lunge-female.jpg",4,500,500)</f>
        <v/>
      </c>
      <c r="C474" s="30">
        <v>473.0</v>
      </c>
      <c r="D474" s="16" t="s">
        <v>907</v>
      </c>
      <c r="E474" s="16" t="s">
        <v>184</v>
      </c>
      <c r="F474" s="16" t="s">
        <v>294</v>
      </c>
      <c r="G474" s="16" t="s">
        <v>186</v>
      </c>
      <c r="H474" s="16" t="s">
        <v>189</v>
      </c>
      <c r="I474" s="16" t="s">
        <v>190</v>
      </c>
    </row>
    <row r="475" ht="242.25" customHeight="1">
      <c r="A475" s="32" t="b">
        <v>0</v>
      </c>
      <c r="B475" s="32" t="str">
        <f>IMAGE("https://gymvisual.com/7439-catalog_default/barbell-lying-back-of-the-head-tricep-extension.jpg",4,500,500)</f>
        <v/>
      </c>
      <c r="C475" s="30">
        <v>474.0</v>
      </c>
      <c r="D475" s="16" t="s">
        <v>218</v>
      </c>
      <c r="E475" s="16" t="s">
        <v>184</v>
      </c>
      <c r="F475" s="16" t="s">
        <v>219</v>
      </c>
      <c r="G475" s="16" t="s">
        <v>186</v>
      </c>
      <c r="H475" s="16" t="s">
        <v>220</v>
      </c>
      <c r="I475" s="16" t="s">
        <v>220</v>
      </c>
    </row>
    <row r="476" ht="242.25" customHeight="1">
      <c r="A476" s="32" t="b">
        <v>0</v>
      </c>
      <c r="B476" s="32" t="str">
        <f>IMAGE("https://gymvisual.com/11369-catalog_default/barbell-lying-close-grip-triceps-extension-female.jpg",4,500,500)</f>
        <v/>
      </c>
      <c r="C476" s="30">
        <v>475.0</v>
      </c>
      <c r="D476" s="16" t="s">
        <v>908</v>
      </c>
      <c r="E476" s="16" t="s">
        <v>184</v>
      </c>
      <c r="F476" s="16" t="s">
        <v>219</v>
      </c>
      <c r="G476" s="16" t="s">
        <v>186</v>
      </c>
      <c r="H476" s="16" t="s">
        <v>220</v>
      </c>
      <c r="I476" s="16" t="s">
        <v>220</v>
      </c>
    </row>
    <row r="477" ht="242.25" customHeight="1">
      <c r="A477" s="32" t="b">
        <v>0</v>
      </c>
      <c r="B477" s="32" t="str">
        <f>IMAGE("https://gymvisual.com/18971-catalog_default/barbell-lying-close-grip-overhand-row-on-rack.jpg",4,500,500)</f>
        <v/>
      </c>
      <c r="C477" s="30">
        <v>476.0</v>
      </c>
      <c r="D477" s="16" t="s">
        <v>909</v>
      </c>
      <c r="E477" s="16" t="s">
        <v>184</v>
      </c>
      <c r="F477" s="16" t="s">
        <v>192</v>
      </c>
      <c r="G477" s="16" t="s">
        <v>186</v>
      </c>
      <c r="H477" s="16" t="s">
        <v>329</v>
      </c>
      <c r="I477" s="16" t="s">
        <v>447</v>
      </c>
    </row>
    <row r="478" ht="242.25" customHeight="1">
      <c r="A478" s="32" t="b">
        <v>0</v>
      </c>
      <c r="B478" s="32" t="str">
        <f>IMAGE("https://gymvisual.com/193-catalog_default/barbell-lying-close-grip-press.jpg",4,500,500)</f>
        <v/>
      </c>
      <c r="C478" s="30">
        <v>477.0</v>
      </c>
      <c r="D478" s="16" t="s">
        <v>910</v>
      </c>
      <c r="E478" s="16" t="s">
        <v>184</v>
      </c>
      <c r="F478" s="16" t="s">
        <v>219</v>
      </c>
      <c r="G478" s="16" t="s">
        <v>186</v>
      </c>
      <c r="H478" s="16" t="s">
        <v>223</v>
      </c>
      <c r="I478" s="16" t="s">
        <v>896</v>
      </c>
    </row>
    <row r="479" ht="242.25" customHeight="1">
      <c r="A479" s="32" t="b">
        <v>0</v>
      </c>
      <c r="B479" s="32" t="str">
        <f>IMAGE("https://gymvisual.com/196-catalog_default/barbell-lying-close-grip-triceps-extension.jpg",4,500,500)</f>
        <v/>
      </c>
      <c r="C479" s="30">
        <v>478.0</v>
      </c>
      <c r="D479" s="16" t="s">
        <v>911</v>
      </c>
      <c r="E479" s="16" t="s">
        <v>184</v>
      </c>
      <c r="F479" s="16" t="s">
        <v>219</v>
      </c>
      <c r="G479" s="16" t="s">
        <v>186</v>
      </c>
      <c r="H479" s="16" t="s">
        <v>223</v>
      </c>
      <c r="I479" s="16" t="s">
        <v>220</v>
      </c>
    </row>
    <row r="480" ht="242.25" customHeight="1">
      <c r="A480" s="32" t="b">
        <v>0</v>
      </c>
      <c r="B480" s="32" t="str">
        <f>IMAGE("https://gymvisual.com/18969-catalog_default/barbell-lying-close-grip-underhand-row-on-rack.jpg",4,500,500)</f>
        <v/>
      </c>
      <c r="C480" s="30">
        <v>479.0</v>
      </c>
      <c r="D480" s="16" t="s">
        <v>912</v>
      </c>
      <c r="E480" s="16" t="s">
        <v>184</v>
      </c>
      <c r="F480" s="16" t="s">
        <v>192</v>
      </c>
      <c r="G480" s="16" t="s">
        <v>186</v>
      </c>
      <c r="H480" s="16" t="s">
        <v>329</v>
      </c>
      <c r="I480" s="16" t="s">
        <v>357</v>
      </c>
    </row>
    <row r="481" ht="242.25" customHeight="1">
      <c r="A481" s="32" t="b">
        <v>0</v>
      </c>
      <c r="B481" s="32" t="str">
        <f>IMAGE("https://gymvisual.com/2940-catalog_default/barbell-lying-extension.jpg",4,500,500)</f>
        <v/>
      </c>
      <c r="C481" s="30">
        <v>480.0</v>
      </c>
      <c r="D481" s="16" t="s">
        <v>913</v>
      </c>
      <c r="E481" s="16" t="s">
        <v>184</v>
      </c>
      <c r="F481" s="16" t="s">
        <v>219</v>
      </c>
      <c r="G481" s="16" t="s">
        <v>186</v>
      </c>
      <c r="H481" s="16" t="s">
        <v>223</v>
      </c>
      <c r="I481" s="16" t="s">
        <v>220</v>
      </c>
    </row>
    <row r="482" ht="242.25" customHeight="1">
      <c r="A482" s="32" t="b">
        <v>0</v>
      </c>
      <c r="B482" s="32" t="str">
        <f>IMAGE("https://gymvisual.com/202-catalog_default/barbell-lying-lifting-on-hip.jpg",4,500,500)</f>
        <v/>
      </c>
      <c r="C482" s="30">
        <v>481.0</v>
      </c>
      <c r="D482" s="16" t="s">
        <v>914</v>
      </c>
      <c r="E482" s="16" t="s">
        <v>184</v>
      </c>
      <c r="F482" s="16" t="s">
        <v>185</v>
      </c>
      <c r="G482" s="16" t="s">
        <v>186</v>
      </c>
      <c r="H482" s="16" t="s">
        <v>187</v>
      </c>
      <c r="I482" s="16" t="s">
        <v>665</v>
      </c>
    </row>
    <row r="483" ht="242.25" customHeight="1">
      <c r="A483" s="32" t="b">
        <v>0</v>
      </c>
      <c r="B483" s="32" t="str">
        <f>IMAGE("https://gymvisual.com/205-catalog_default/barbell-lying-preacher-curl.jpg",4,500,500)</f>
        <v/>
      </c>
      <c r="C483" s="30">
        <v>482.0</v>
      </c>
      <c r="D483" s="16" t="s">
        <v>915</v>
      </c>
      <c r="E483" s="16" t="s">
        <v>184</v>
      </c>
      <c r="F483" s="16" t="s">
        <v>219</v>
      </c>
      <c r="G483" s="16" t="s">
        <v>186</v>
      </c>
      <c r="H483" s="16" t="s">
        <v>232</v>
      </c>
      <c r="I483" s="16" t="s">
        <v>233</v>
      </c>
    </row>
    <row r="484" ht="242.25" customHeight="1">
      <c r="A484" s="32" t="b">
        <v>0</v>
      </c>
      <c r="B484" s="32" t="str">
        <f>IMAGE("https://gymvisual.com/14420-catalog_default/barbell-lying-row-on-rack.jpg",4,500,500)</f>
        <v/>
      </c>
      <c r="C484" s="30">
        <v>483.0</v>
      </c>
      <c r="D484" s="16" t="s">
        <v>916</v>
      </c>
      <c r="E484" s="16" t="s">
        <v>184</v>
      </c>
      <c r="F484" s="16" t="s">
        <v>192</v>
      </c>
      <c r="G484" s="16" t="s">
        <v>186</v>
      </c>
      <c r="H484" s="16" t="s">
        <v>329</v>
      </c>
      <c r="I484" s="16" t="s">
        <v>447</v>
      </c>
    </row>
    <row r="485" ht="242.25" customHeight="1">
      <c r="A485" s="32" t="b">
        <v>0</v>
      </c>
      <c r="B485" s="32" t="str">
        <f>IMAGE("https://gymvisual.com/211-catalog_default/barbell-lying-triceps-extension.jpg",4,500,500)</f>
        <v/>
      </c>
      <c r="C485" s="30">
        <v>484.0</v>
      </c>
      <c r="D485" s="16" t="s">
        <v>917</v>
      </c>
      <c r="E485" s="16" t="s">
        <v>184</v>
      </c>
      <c r="F485" s="16" t="s">
        <v>219</v>
      </c>
      <c r="G485" s="16" t="s">
        <v>186</v>
      </c>
      <c r="H485" s="16" t="s">
        <v>223</v>
      </c>
      <c r="I485" s="16" t="s">
        <v>220</v>
      </c>
    </row>
    <row r="486" ht="242.25" customHeight="1">
      <c r="A486" s="32" t="b">
        <v>0</v>
      </c>
      <c r="B486" s="32" t="str">
        <f>IMAGE("https://gymvisual.com/11573-catalog_default/barbell-lying-triceps-extension-female.jpg",4,500,500)</f>
        <v/>
      </c>
      <c r="C486" s="30">
        <v>485.0</v>
      </c>
      <c r="D486" s="16" t="s">
        <v>918</v>
      </c>
      <c r="E486" s="16" t="s">
        <v>184</v>
      </c>
      <c r="F486" s="16" t="s">
        <v>219</v>
      </c>
      <c r="G486" s="16" t="s">
        <v>186</v>
      </c>
      <c r="H486" s="16" t="s">
        <v>223</v>
      </c>
      <c r="I486" s="16" t="s">
        <v>220</v>
      </c>
    </row>
    <row r="487" ht="242.25" customHeight="1">
      <c r="A487" s="32" t="b">
        <v>0</v>
      </c>
      <c r="B487" s="32" t="str">
        <f>IMAGE("https://gymvisual.com/18241-catalog_default/barbell-lying-triceps-extension-skull-crusher.jpg",4,500,500)</f>
        <v/>
      </c>
      <c r="C487" s="30">
        <v>486.0</v>
      </c>
      <c r="D487" s="16" t="s">
        <v>919</v>
      </c>
      <c r="E487" s="16" t="s">
        <v>184</v>
      </c>
      <c r="F487" s="16" t="s">
        <v>219</v>
      </c>
      <c r="G487" s="16" t="s">
        <v>186</v>
      </c>
      <c r="H487" s="16" t="s">
        <v>223</v>
      </c>
      <c r="I487" s="16" t="s">
        <v>472</v>
      </c>
    </row>
    <row r="488" ht="242.25" customHeight="1">
      <c r="B488" s="32" t="str">
        <f>IMAGE("https://gymvisual.com/12834-catalog_default/barbell-military-press-with-hanging-band-technique.jpg",4,500,500)</f>
        <v/>
      </c>
      <c r="C488" s="30">
        <v>487.0</v>
      </c>
      <c r="D488" s="16" t="s">
        <v>920</v>
      </c>
      <c r="E488" s="16" t="s">
        <v>184</v>
      </c>
      <c r="F488" s="16" t="s">
        <v>228</v>
      </c>
      <c r="G488" s="16" t="s">
        <v>186</v>
      </c>
      <c r="H488" s="16" t="s">
        <v>229</v>
      </c>
      <c r="I488" s="16" t="s">
        <v>626</v>
      </c>
    </row>
    <row r="489" ht="242.25" customHeight="1">
      <c r="A489" s="32" t="b">
        <v>0</v>
      </c>
      <c r="B489" s="32" t="str">
        <f>IMAGE("https://gymvisual.com/20432-catalog_default/barbell-muscle-snatch.jpg",4,500,500)</f>
        <v/>
      </c>
      <c r="C489" s="30">
        <v>488.0</v>
      </c>
      <c r="D489" s="16" t="s">
        <v>921</v>
      </c>
      <c r="E489" s="16" t="s">
        <v>184</v>
      </c>
      <c r="F489" s="16" t="s">
        <v>764</v>
      </c>
      <c r="G489" s="16" t="s">
        <v>186</v>
      </c>
      <c r="H489" s="16" t="s">
        <v>220</v>
      </c>
      <c r="I489" s="16" t="s">
        <v>220</v>
      </c>
    </row>
    <row r="490" ht="242.25" customHeight="1">
      <c r="A490" s="32" t="b">
        <v>0</v>
      </c>
      <c r="B490" s="32" t="str">
        <f>IMAGE("https://gymvisual.com/214-catalog_default/barbell-narrow-row.jpg",4,500,500)</f>
        <v/>
      </c>
      <c r="C490" s="30">
        <v>489.0</v>
      </c>
      <c r="D490" s="16" t="s">
        <v>922</v>
      </c>
      <c r="E490" s="16" t="s">
        <v>184</v>
      </c>
      <c r="F490" s="16" t="s">
        <v>192</v>
      </c>
      <c r="G490" s="16" t="s">
        <v>186</v>
      </c>
      <c r="H490" s="16" t="s">
        <v>570</v>
      </c>
      <c r="I490" s="16" t="s">
        <v>447</v>
      </c>
    </row>
    <row r="491" ht="242.25" customHeight="1">
      <c r="A491" s="32" t="b">
        <v>0</v>
      </c>
      <c r="B491" s="32" t="str">
        <f>IMAGE("https://gymvisual.com/217-catalog_default/barbell-narrow-stance-squat.jpg",4,500,500)</f>
        <v/>
      </c>
      <c r="C491" s="30">
        <v>490.0</v>
      </c>
      <c r="D491" s="16" t="s">
        <v>923</v>
      </c>
      <c r="E491" s="16" t="s">
        <v>184</v>
      </c>
      <c r="F491" s="16" t="s">
        <v>285</v>
      </c>
      <c r="G491" s="16" t="s">
        <v>186</v>
      </c>
      <c r="H491" s="16" t="s">
        <v>189</v>
      </c>
      <c r="I491" s="16" t="s">
        <v>190</v>
      </c>
    </row>
    <row r="492" ht="242.25" customHeight="1">
      <c r="A492" s="32" t="b">
        <v>0</v>
      </c>
      <c r="B492" s="32" t="str">
        <f>IMAGE("https://gymvisual.com/10367-catalog_default/barbell-narrow-stance-squat-female.jpg",4,500,500)</f>
        <v/>
      </c>
      <c r="C492" s="30">
        <v>491.0</v>
      </c>
      <c r="D492" s="16" t="s">
        <v>924</v>
      </c>
      <c r="E492" s="16" t="s">
        <v>184</v>
      </c>
      <c r="F492" s="16" t="s">
        <v>285</v>
      </c>
      <c r="G492" s="16" t="s">
        <v>186</v>
      </c>
      <c r="H492" s="16" t="s">
        <v>189</v>
      </c>
      <c r="I492" s="16" t="s">
        <v>190</v>
      </c>
    </row>
    <row r="493" ht="242.25" customHeight="1">
      <c r="A493" s="32" t="b">
        <v>0</v>
      </c>
      <c r="B493" s="32" t="str">
        <f>IMAGE("https://gymvisual.com/24828-catalog_default/barbell-narrow-stance-squat-male.jpg",4,500,500)</f>
        <v/>
      </c>
      <c r="C493" s="30">
        <v>492.0</v>
      </c>
      <c r="D493" s="16" t="s">
        <v>925</v>
      </c>
      <c r="E493" s="16" t="s">
        <v>184</v>
      </c>
      <c r="F493" s="16" t="s">
        <v>285</v>
      </c>
      <c r="G493" s="16" t="s">
        <v>186</v>
      </c>
      <c r="H493" s="16" t="s">
        <v>552</v>
      </c>
      <c r="I493" s="16" t="s">
        <v>553</v>
      </c>
    </row>
    <row r="494" ht="242.25" customHeight="1">
      <c r="A494" s="32" t="b">
        <v>0</v>
      </c>
      <c r="B494" s="32" t="str">
        <f>IMAGE("https://gymvisual.com/6775-catalog_default/barbell-olympic-squat.jpg",4,500,500)</f>
        <v/>
      </c>
      <c r="C494" s="30">
        <v>493.0</v>
      </c>
      <c r="D494" s="16" t="s">
        <v>926</v>
      </c>
      <c r="E494" s="16" t="s">
        <v>184</v>
      </c>
      <c r="F494" s="16" t="s">
        <v>285</v>
      </c>
      <c r="G494" s="16" t="s">
        <v>186</v>
      </c>
      <c r="H494" s="16" t="s">
        <v>220</v>
      </c>
      <c r="I494" s="16" t="s">
        <v>220</v>
      </c>
    </row>
    <row r="495" ht="242.25" customHeight="1">
      <c r="A495" s="32" t="b">
        <v>0</v>
      </c>
      <c r="B495" s="32" t="str">
        <f>IMAGE("https://gymvisual.com/220-catalog_default/barbell-one-arm-bent-over-row.jpg",4,500,500)</f>
        <v/>
      </c>
      <c r="C495" s="30">
        <v>494.0</v>
      </c>
      <c r="D495" s="16" t="s">
        <v>927</v>
      </c>
      <c r="E495" s="16" t="s">
        <v>184</v>
      </c>
      <c r="F495" s="16" t="s">
        <v>192</v>
      </c>
      <c r="G495" s="16" t="s">
        <v>186</v>
      </c>
      <c r="H495" s="16" t="s">
        <v>329</v>
      </c>
      <c r="I495" s="16" t="s">
        <v>330</v>
      </c>
    </row>
    <row r="496" ht="242.25" customHeight="1">
      <c r="A496" s="32" t="b">
        <v>0</v>
      </c>
      <c r="B496" s="32" t="str">
        <f>IMAGE("https://gymvisual.com/223-catalog_default/barbell-one-arm-floor-press.jpg",4,500,500)</f>
        <v/>
      </c>
      <c r="C496" s="30">
        <v>495.0</v>
      </c>
      <c r="D496" s="16" t="s">
        <v>928</v>
      </c>
      <c r="E496" s="16" t="s">
        <v>184</v>
      </c>
      <c r="F496" s="16" t="s">
        <v>219</v>
      </c>
      <c r="G496" s="16" t="s">
        <v>186</v>
      </c>
      <c r="H496" s="16" t="s">
        <v>223</v>
      </c>
      <c r="I496" s="16" t="s">
        <v>408</v>
      </c>
    </row>
    <row r="497" ht="242.25" customHeight="1">
      <c r="A497" s="32" t="b">
        <v>0</v>
      </c>
      <c r="B497" s="32" t="str">
        <f>IMAGE("https://gymvisual.com/20459-catalog_default/barbell-one-arm-side-deadlift.jpg",4,500,500)</f>
        <v/>
      </c>
      <c r="C497" s="30">
        <v>496.0</v>
      </c>
      <c r="D497" s="16" t="s">
        <v>929</v>
      </c>
      <c r="E497" s="16" t="s">
        <v>184</v>
      </c>
      <c r="F497" s="16" t="s">
        <v>285</v>
      </c>
      <c r="G497" s="16" t="s">
        <v>186</v>
      </c>
      <c r="H497" s="16" t="s">
        <v>189</v>
      </c>
      <c r="I497" s="16" t="s">
        <v>190</v>
      </c>
    </row>
    <row r="498" ht="242.25" customHeight="1">
      <c r="A498" s="32" t="b">
        <v>0</v>
      </c>
      <c r="B498" s="32" t="str">
        <f>IMAGE("https://gymvisual.com/229-catalog_default/barbell-one-arm-snatch.jpg",4,500,500)</f>
        <v/>
      </c>
      <c r="C498" s="30">
        <v>497.0</v>
      </c>
      <c r="D498" s="16" t="s">
        <v>930</v>
      </c>
      <c r="E498" s="16" t="s">
        <v>184</v>
      </c>
      <c r="F498" s="16" t="s">
        <v>228</v>
      </c>
      <c r="G498" s="16" t="s">
        <v>186</v>
      </c>
      <c r="H498" s="16" t="s">
        <v>220</v>
      </c>
      <c r="I498" s="16" t="s">
        <v>220</v>
      </c>
    </row>
    <row r="499" ht="242.25" customHeight="1">
      <c r="A499" s="32" t="b">
        <v>0</v>
      </c>
      <c r="B499" s="32" t="str">
        <f>IMAGE("https://gymvisual.com/4076-catalog_default/barbell-one-leg-hip-thrust.jpg",4,500,500)</f>
        <v/>
      </c>
      <c r="C499" s="30">
        <v>498.0</v>
      </c>
      <c r="D499" s="16" t="s">
        <v>931</v>
      </c>
      <c r="E499" s="16" t="s">
        <v>184</v>
      </c>
      <c r="F499" s="16" t="s">
        <v>185</v>
      </c>
      <c r="G499" s="16" t="s">
        <v>186</v>
      </c>
      <c r="H499" s="16" t="s">
        <v>187</v>
      </c>
      <c r="I499" s="16" t="s">
        <v>854</v>
      </c>
    </row>
    <row r="500" ht="242.25" customHeight="1">
      <c r="A500" s="32" t="b">
        <v>0</v>
      </c>
      <c r="B500" s="32" t="str">
        <f>IMAGE("https://gymvisual.com/231-catalog_default/barbell-one-leg-squat.jpg",4,500,500)</f>
        <v/>
      </c>
      <c r="C500" s="30">
        <v>499.0</v>
      </c>
      <c r="D500" s="16" t="s">
        <v>932</v>
      </c>
      <c r="E500" s="16" t="s">
        <v>184</v>
      </c>
      <c r="F500" s="16" t="s">
        <v>285</v>
      </c>
      <c r="G500" s="16" t="s">
        <v>186</v>
      </c>
      <c r="H500" s="16" t="s">
        <v>552</v>
      </c>
      <c r="I500" s="16" t="s">
        <v>553</v>
      </c>
    </row>
    <row r="501" ht="242.25" customHeight="1">
      <c r="A501" s="32" t="b">
        <v>0</v>
      </c>
      <c r="B501" s="32" t="str">
        <f>IMAGE("https://gymvisual.com/12176-catalog_default/barbell-overhead-carry.jpg",4,500,500)</f>
        <v/>
      </c>
      <c r="C501" s="30">
        <v>500.0</v>
      </c>
      <c r="D501" s="16" t="s">
        <v>933</v>
      </c>
      <c r="E501" s="16" t="s">
        <v>184</v>
      </c>
      <c r="F501" s="16" t="s">
        <v>285</v>
      </c>
      <c r="G501" s="16" t="s">
        <v>186</v>
      </c>
      <c r="H501" s="16" t="s">
        <v>220</v>
      </c>
      <c r="I501" s="16" t="s">
        <v>220</v>
      </c>
    </row>
    <row r="502" ht="242.25" customHeight="1">
      <c r="A502" s="32" t="b">
        <v>0</v>
      </c>
      <c r="B502" s="32" t="str">
        <f>IMAGE("https://gymvisual.com/16382-catalog_default/barbell-overhead-lunge.jpg",4,500,500)</f>
        <v/>
      </c>
      <c r="C502" s="30">
        <v>501.0</v>
      </c>
      <c r="D502" s="16" t="s">
        <v>934</v>
      </c>
      <c r="E502" s="16" t="s">
        <v>184</v>
      </c>
      <c r="F502" s="16" t="s">
        <v>285</v>
      </c>
      <c r="G502" s="16" t="s">
        <v>186</v>
      </c>
      <c r="H502" s="16" t="s">
        <v>189</v>
      </c>
      <c r="I502" s="16" t="s">
        <v>190</v>
      </c>
    </row>
    <row r="503" ht="242.25" customHeight="1">
      <c r="A503" s="32" t="b">
        <v>0</v>
      </c>
      <c r="B503" s="32" t="str">
        <f>IMAGE("https://gymvisual.com/12193-catalog_default/barbell-overhead-shrug.jpg",4,500,500)</f>
        <v/>
      </c>
      <c r="C503" s="30">
        <v>502.0</v>
      </c>
      <c r="D503" s="16" t="s">
        <v>935</v>
      </c>
      <c r="E503" s="16" t="s">
        <v>184</v>
      </c>
      <c r="F503" s="16" t="s">
        <v>192</v>
      </c>
      <c r="G503" s="16" t="s">
        <v>186</v>
      </c>
      <c r="H503" s="16" t="s">
        <v>238</v>
      </c>
      <c r="I503" s="16" t="s">
        <v>618</v>
      </c>
    </row>
    <row r="504" ht="242.25" customHeight="1">
      <c r="A504" s="32" t="b">
        <v>0</v>
      </c>
      <c r="B504" s="32" t="str">
        <f>IMAGE("https://gymvisual.com/234-catalog_default/barbell-overhead-squat.jpg",4,500,500)</f>
        <v/>
      </c>
      <c r="C504" s="30">
        <v>503.0</v>
      </c>
      <c r="D504" s="16" t="s">
        <v>936</v>
      </c>
      <c r="E504" s="16" t="s">
        <v>184</v>
      </c>
      <c r="F504" s="16" t="s">
        <v>285</v>
      </c>
      <c r="G504" s="16" t="s">
        <v>186</v>
      </c>
      <c r="H504" s="16" t="s">
        <v>552</v>
      </c>
      <c r="I504" s="16" t="s">
        <v>553</v>
      </c>
    </row>
    <row r="505" ht="242.25" customHeight="1">
      <c r="A505" s="32" t="b">
        <v>0</v>
      </c>
      <c r="B505" s="32" t="str">
        <f>IMAGE("https://gymvisual.com/6263-catalog_default/barbell-palms-down-wrist-curl-over-a-bench.jpg",4,500,500)</f>
        <v/>
      </c>
      <c r="C505" s="30">
        <v>504.0</v>
      </c>
      <c r="D505" s="16" t="s">
        <v>937</v>
      </c>
      <c r="E505" s="16" t="s">
        <v>184</v>
      </c>
      <c r="F505" s="16" t="s">
        <v>214</v>
      </c>
      <c r="G505" s="16" t="s">
        <v>186</v>
      </c>
      <c r="H505" s="16" t="s">
        <v>604</v>
      </c>
      <c r="I505" s="16" t="s">
        <v>220</v>
      </c>
    </row>
    <row r="506" ht="242.25" customHeight="1">
      <c r="A506" s="32" t="b">
        <v>0</v>
      </c>
      <c r="B506" s="32" t="str">
        <f>IMAGE("https://gymvisual.com/11540-catalog_default/barbell-palms-down-wrist-curl-over-a-bench-female.jpg",4,500,500)</f>
        <v/>
      </c>
      <c r="C506" s="30">
        <v>505.0</v>
      </c>
      <c r="D506" s="16" t="s">
        <v>938</v>
      </c>
      <c r="E506" s="16" t="s">
        <v>184</v>
      </c>
      <c r="F506" s="16" t="s">
        <v>214</v>
      </c>
      <c r="G506" s="16" t="s">
        <v>186</v>
      </c>
      <c r="H506" s="16" t="s">
        <v>220</v>
      </c>
      <c r="I506" s="16" t="s">
        <v>220</v>
      </c>
    </row>
    <row r="507" ht="242.25" customHeight="1">
      <c r="A507" s="32" t="b">
        <v>0</v>
      </c>
      <c r="B507" s="32" t="str">
        <f>IMAGE("https://gymvisual.com/6264-catalog_default/barbell-palms-up-wrist-curl-over-a-bench.jpg",4,500,500)</f>
        <v/>
      </c>
      <c r="C507" s="30">
        <v>506.0</v>
      </c>
      <c r="D507" s="16" t="s">
        <v>939</v>
      </c>
      <c r="E507" s="16" t="s">
        <v>184</v>
      </c>
      <c r="F507" s="16" t="s">
        <v>214</v>
      </c>
      <c r="G507" s="16" t="s">
        <v>186</v>
      </c>
      <c r="H507" s="16" t="s">
        <v>720</v>
      </c>
      <c r="I507" s="16" t="s">
        <v>220</v>
      </c>
    </row>
    <row r="508" ht="242.25" customHeight="1">
      <c r="A508" s="32" t="b">
        <v>0</v>
      </c>
      <c r="B508" s="32" t="str">
        <f>IMAGE("https://gymvisual.com/11543-catalog_default/barbell-palms-up-wrist-curl-over-a-bench-female.jpg",4,500,500)</f>
        <v/>
      </c>
      <c r="C508" s="30">
        <v>507.0</v>
      </c>
      <c r="D508" s="16" t="s">
        <v>940</v>
      </c>
      <c r="E508" s="16" t="s">
        <v>184</v>
      </c>
      <c r="F508" s="16" t="s">
        <v>214</v>
      </c>
      <c r="G508" s="16" t="s">
        <v>186</v>
      </c>
      <c r="H508" s="16" t="s">
        <v>220</v>
      </c>
      <c r="I508" s="16" t="s">
        <v>220</v>
      </c>
    </row>
    <row r="509" ht="242.25" customHeight="1">
      <c r="A509" s="32" t="b">
        <v>0</v>
      </c>
      <c r="B509" s="32" t="str">
        <f>IMAGE("https://gymvisual.com/22532-catalog_default/barbell-pause-bench-press.jpg",4,500,500)</f>
        <v/>
      </c>
      <c r="C509" s="30">
        <v>508.0</v>
      </c>
      <c r="D509" s="16" t="s">
        <v>941</v>
      </c>
      <c r="E509" s="16" t="s">
        <v>184</v>
      </c>
      <c r="F509" s="16" t="s">
        <v>234</v>
      </c>
      <c r="G509" s="16" t="s">
        <v>186</v>
      </c>
      <c r="H509" s="16" t="s">
        <v>347</v>
      </c>
      <c r="I509" s="16" t="s">
        <v>382</v>
      </c>
    </row>
    <row r="510" ht="242.25" customHeight="1">
      <c r="A510" s="32" t="b">
        <v>0</v>
      </c>
      <c r="B510" s="32" t="str">
        <f>IMAGE("https://gymvisual.com/25122-catalog_default/barbell-pause-deadlift.jpg",4,500,500)</f>
        <v/>
      </c>
      <c r="C510" s="30">
        <v>509.0</v>
      </c>
      <c r="D510" s="16" t="s">
        <v>942</v>
      </c>
      <c r="E510" s="16" t="s">
        <v>184</v>
      </c>
      <c r="F510" s="16" t="s">
        <v>185</v>
      </c>
      <c r="G510" s="16" t="s">
        <v>186</v>
      </c>
      <c r="H510" s="16" t="s">
        <v>220</v>
      </c>
      <c r="I510" s="16" t="s">
        <v>220</v>
      </c>
    </row>
    <row r="511" ht="242.25" customHeight="1">
      <c r="A511" s="32" t="b">
        <v>0</v>
      </c>
      <c r="B511" s="32" t="str">
        <f>IMAGE("https://gymvisual.com/22528-catalog_default/barbell-pause-decline-bench-press.jpg",4,500,500)</f>
        <v/>
      </c>
      <c r="C511" s="30">
        <v>510.0</v>
      </c>
      <c r="D511" s="16" t="s">
        <v>943</v>
      </c>
      <c r="E511" s="16" t="s">
        <v>184</v>
      </c>
      <c r="F511" s="16" t="s">
        <v>234</v>
      </c>
      <c r="G511" s="16" t="s">
        <v>186</v>
      </c>
      <c r="H511" s="16" t="s">
        <v>347</v>
      </c>
      <c r="I511" s="16" t="s">
        <v>382</v>
      </c>
    </row>
    <row r="512" ht="242.25" customHeight="1">
      <c r="A512" s="32" t="b">
        <v>0</v>
      </c>
      <c r="B512" s="32" t="str">
        <f>IMAGE("https://gymvisual.com/22530-catalog_default/barbell-pause-incline-bench-press.jpg",4,500,500)</f>
        <v/>
      </c>
      <c r="C512" s="30">
        <v>511.0</v>
      </c>
      <c r="D512" s="16" t="s">
        <v>944</v>
      </c>
      <c r="E512" s="16" t="s">
        <v>184</v>
      </c>
      <c r="F512" s="16" t="s">
        <v>234</v>
      </c>
      <c r="G512" s="16" t="s">
        <v>186</v>
      </c>
      <c r="H512" s="16" t="s">
        <v>415</v>
      </c>
      <c r="I512" s="16" t="s">
        <v>243</v>
      </c>
    </row>
    <row r="513" ht="242.25" customHeight="1">
      <c r="A513" s="32" t="b">
        <v>0</v>
      </c>
      <c r="B513" s="32" t="str">
        <f>IMAGE("https://gymvisual.com/26078-catalog_default/barbell-paused-sumo-deadlift.jpg",4,500,500)</f>
        <v/>
      </c>
      <c r="C513" s="30">
        <v>512.0</v>
      </c>
      <c r="D513" s="16" t="s">
        <v>945</v>
      </c>
      <c r="E513" s="16" t="s">
        <v>184</v>
      </c>
      <c r="F513" s="16" t="s">
        <v>185</v>
      </c>
      <c r="G513" s="16" t="s">
        <v>186</v>
      </c>
      <c r="H513" s="16" t="s">
        <v>220</v>
      </c>
      <c r="I513" s="16" t="s">
        <v>220</v>
      </c>
    </row>
    <row r="514" ht="242.25" customHeight="1">
      <c r="A514" s="32" t="b">
        <v>0</v>
      </c>
      <c r="B514" s="32" t="str">
        <f>IMAGE("https://gymvisual.com/12418-catalog_default/barbell-pendlay-row.jpg",4,500,500)</f>
        <v/>
      </c>
      <c r="C514" s="30">
        <v>513.0</v>
      </c>
      <c r="D514" s="16" t="s">
        <v>946</v>
      </c>
      <c r="E514" s="16" t="s">
        <v>184</v>
      </c>
      <c r="F514" s="16" t="s">
        <v>192</v>
      </c>
      <c r="G514" s="16" t="s">
        <v>186</v>
      </c>
      <c r="H514" s="16" t="s">
        <v>329</v>
      </c>
      <c r="I514" s="16" t="s">
        <v>447</v>
      </c>
    </row>
    <row r="515" ht="242.25" customHeight="1">
      <c r="A515" s="32" t="b">
        <v>0</v>
      </c>
      <c r="B515" s="32" t="str">
        <f>IMAGE("https://gymvisual.com/24999-catalog_default/barbell-pin-chest-press.jpg",4,500,500)</f>
        <v/>
      </c>
      <c r="C515" s="30">
        <v>514.0</v>
      </c>
      <c r="D515" s="16" t="s">
        <v>947</v>
      </c>
      <c r="E515" s="16" t="s">
        <v>184</v>
      </c>
      <c r="F515" s="16" t="s">
        <v>234</v>
      </c>
      <c r="G515" s="16" t="s">
        <v>186</v>
      </c>
      <c r="H515" s="16" t="s">
        <v>220</v>
      </c>
      <c r="I515" s="16" t="s">
        <v>220</v>
      </c>
    </row>
    <row r="516" ht="242.25" customHeight="1">
      <c r="A516" s="32" t="b">
        <v>0</v>
      </c>
      <c r="B516" s="32" t="str">
        <f>IMAGE("https://gymvisual.com/22397-catalog_default/barbell-pin-close-grip-bench-press.jpg",4,500,500)</f>
        <v/>
      </c>
      <c r="C516" s="30">
        <v>515.0</v>
      </c>
      <c r="D516" s="16" t="s">
        <v>948</v>
      </c>
      <c r="E516" s="16" t="s">
        <v>184</v>
      </c>
      <c r="F516" s="16" t="s">
        <v>219</v>
      </c>
      <c r="G516" s="16" t="s">
        <v>186</v>
      </c>
      <c r="H516" s="16" t="s">
        <v>220</v>
      </c>
      <c r="I516" s="16" t="s">
        <v>220</v>
      </c>
    </row>
    <row r="517" ht="242.25" customHeight="1">
      <c r="A517" s="32" t="b">
        <v>0</v>
      </c>
      <c r="B517" s="32" t="str">
        <f>IMAGE("https://gymvisual.com/22381-catalog_default/barbell-pin-front-squat.jpg",4,500,500)</f>
        <v/>
      </c>
      <c r="C517" s="30">
        <v>516.0</v>
      </c>
      <c r="D517" s="16" t="s">
        <v>949</v>
      </c>
      <c r="E517" s="16" t="s">
        <v>184</v>
      </c>
      <c r="F517" s="16" t="s">
        <v>285</v>
      </c>
      <c r="G517" s="16" t="s">
        <v>186</v>
      </c>
      <c r="H517" s="16" t="s">
        <v>220</v>
      </c>
      <c r="I517" s="16" t="s">
        <v>220</v>
      </c>
    </row>
    <row r="518" ht="242.25" customHeight="1">
      <c r="A518" s="32" t="b">
        <v>0</v>
      </c>
      <c r="B518" s="32" t="str">
        <f>IMAGE("https://gymvisual.com/22387-catalog_default/barbell-pin-good-morning.jpg",4,500,500)</f>
        <v/>
      </c>
      <c r="C518" s="30">
        <v>517.0</v>
      </c>
      <c r="D518" s="16" t="s">
        <v>950</v>
      </c>
      <c r="E518" s="16" t="s">
        <v>184</v>
      </c>
      <c r="F518" s="16" t="s">
        <v>285</v>
      </c>
      <c r="G518" s="16" t="s">
        <v>186</v>
      </c>
      <c r="H518" s="16" t="s">
        <v>220</v>
      </c>
      <c r="I518" s="16" t="s">
        <v>220</v>
      </c>
    </row>
    <row r="519" ht="242.25" customHeight="1">
      <c r="A519" s="32" t="b">
        <v>0</v>
      </c>
      <c r="B519" s="32" t="str">
        <f>IMAGE("https://gymvisual.com/7470-catalog_default/barbell-pin-presses.jpg",4,500,500)</f>
        <v/>
      </c>
      <c r="C519" s="30">
        <v>518.0</v>
      </c>
      <c r="D519" s="16" t="s">
        <v>951</v>
      </c>
      <c r="E519" s="16" t="s">
        <v>184</v>
      </c>
      <c r="F519" s="16" t="s">
        <v>219</v>
      </c>
      <c r="G519" s="16" t="s">
        <v>186</v>
      </c>
      <c r="H519" s="16" t="s">
        <v>220</v>
      </c>
      <c r="I519" s="16" t="s">
        <v>220</v>
      </c>
    </row>
    <row r="520" ht="242.25" customHeight="1">
      <c r="A520" s="32" t="b">
        <v>0</v>
      </c>
      <c r="B520" s="32" t="str">
        <f>IMAGE("https://gymvisual.com/25123-catalog_default/barbell-pin-squat.jpg",4,500,500)</f>
        <v/>
      </c>
      <c r="C520" s="30">
        <v>519.0</v>
      </c>
      <c r="D520" s="16" t="s">
        <v>952</v>
      </c>
      <c r="E520" s="16" t="s">
        <v>184</v>
      </c>
      <c r="F520" s="16" t="s">
        <v>285</v>
      </c>
      <c r="G520" s="16" t="s">
        <v>186</v>
      </c>
      <c r="H520" s="16" t="s">
        <v>220</v>
      </c>
      <c r="I520" s="16" t="s">
        <v>220</v>
      </c>
    </row>
    <row r="521" ht="242.25" customHeight="1">
      <c r="A521" s="32" t="b">
        <v>0</v>
      </c>
      <c r="B521" s="32" t="str">
        <f>IMAGE("https://gymvisual.com/6776-catalog_default/barbell-power-clean-from-blocks.jpg",4,500,500)</f>
        <v/>
      </c>
      <c r="C521" s="30">
        <v>520.0</v>
      </c>
      <c r="D521" s="16" t="s">
        <v>953</v>
      </c>
      <c r="E521" s="16" t="s">
        <v>184</v>
      </c>
      <c r="F521" s="16" t="s">
        <v>764</v>
      </c>
      <c r="G521" s="16" t="s">
        <v>186</v>
      </c>
      <c r="H521" s="16" t="s">
        <v>954</v>
      </c>
      <c r="I521" s="16" t="s">
        <v>220</v>
      </c>
    </row>
    <row r="522" ht="242.25" customHeight="1">
      <c r="A522" s="32" t="b">
        <v>0</v>
      </c>
      <c r="B522" s="32" t="str">
        <f>IMAGE("https://gymvisual.com/6777-catalog_default/barbell-power-jerk.jpg",4,500,500)</f>
        <v/>
      </c>
      <c r="C522" s="30">
        <v>521.0</v>
      </c>
      <c r="D522" s="16" t="s">
        <v>955</v>
      </c>
      <c r="E522" s="16" t="s">
        <v>184</v>
      </c>
      <c r="F522" s="16" t="s">
        <v>764</v>
      </c>
      <c r="G522" s="16" t="s">
        <v>186</v>
      </c>
      <c r="H522" s="16" t="s">
        <v>956</v>
      </c>
      <c r="I522" s="16" t="s">
        <v>220</v>
      </c>
    </row>
    <row r="523" ht="242.25" customHeight="1">
      <c r="A523" s="32" t="b">
        <v>0</v>
      </c>
      <c r="B523" s="32" t="str">
        <f>IMAGE("https://gymvisual.com/11200-catalog_default/barbell-power-jerk-female.jpg",4,500,500)</f>
        <v/>
      </c>
      <c r="C523" s="30">
        <v>522.0</v>
      </c>
      <c r="D523" s="16" t="s">
        <v>957</v>
      </c>
      <c r="E523" s="16" t="s">
        <v>184</v>
      </c>
      <c r="F523" s="16" t="s">
        <v>691</v>
      </c>
      <c r="G523" s="16" t="s">
        <v>186</v>
      </c>
      <c r="H523" s="16" t="s">
        <v>220</v>
      </c>
      <c r="I523" s="16" t="s">
        <v>220</v>
      </c>
    </row>
    <row r="524" ht="242.25" customHeight="1">
      <c r="A524" s="32" t="b">
        <v>0</v>
      </c>
      <c r="B524" s="32" t="str">
        <f>IMAGE("https://gymvisual.com/25003-catalog_default/barbell-power-shrug.jpg",4,500,500)</f>
        <v/>
      </c>
      <c r="C524" s="30">
        <v>523.0</v>
      </c>
      <c r="D524" s="16" t="s">
        <v>958</v>
      </c>
      <c r="E524" s="16" t="s">
        <v>184</v>
      </c>
      <c r="F524" s="16" t="s">
        <v>192</v>
      </c>
      <c r="G524" s="16" t="s">
        <v>186</v>
      </c>
      <c r="H524" s="16" t="s">
        <v>220</v>
      </c>
      <c r="I524" s="16" t="s">
        <v>220</v>
      </c>
    </row>
    <row r="525" ht="242.25" customHeight="1">
      <c r="A525" s="32" t="b">
        <v>0</v>
      </c>
      <c r="B525" s="32" t="str">
        <f>IMAGE("https://gymvisual.com/20434-catalog_default/barbell-power-snatch.jpg",4,500,500)</f>
        <v/>
      </c>
      <c r="C525" s="30">
        <v>524.0</v>
      </c>
      <c r="D525" s="16" t="s">
        <v>959</v>
      </c>
      <c r="E525" s="16" t="s">
        <v>184</v>
      </c>
      <c r="F525" s="16" t="s">
        <v>764</v>
      </c>
      <c r="G525" s="16" t="s">
        <v>186</v>
      </c>
      <c r="H525" s="16" t="s">
        <v>954</v>
      </c>
      <c r="I525" s="16" t="s">
        <v>220</v>
      </c>
    </row>
    <row r="526" ht="242.25" customHeight="1">
      <c r="A526" s="32" t="b">
        <v>0</v>
      </c>
      <c r="B526" s="32" t="str">
        <f>IMAGE("https://gymvisual.com/6779-catalog_default/barbell-power-snatch-from-blocks.jpg",4,500,500)</f>
        <v/>
      </c>
      <c r="C526" s="30">
        <v>525.0</v>
      </c>
      <c r="D526" s="16" t="s">
        <v>960</v>
      </c>
      <c r="E526" s="16" t="s">
        <v>184</v>
      </c>
      <c r="F526" s="16" t="s">
        <v>764</v>
      </c>
      <c r="G526" s="16" t="s">
        <v>186</v>
      </c>
      <c r="H526" s="16" t="s">
        <v>961</v>
      </c>
      <c r="I526" s="16" t="s">
        <v>220</v>
      </c>
    </row>
    <row r="527" ht="242.25" customHeight="1">
      <c r="A527" s="32" t="b">
        <v>0</v>
      </c>
      <c r="B527" s="32" t="str">
        <f>IMAGE("https://gymvisual.com/15632-catalog_default/barbell-preacher-curl.jpg",4,500,500)</f>
        <v/>
      </c>
      <c r="C527" s="30">
        <v>526.0</v>
      </c>
      <c r="D527" s="16" t="s">
        <v>962</v>
      </c>
      <c r="E527" s="16" t="s">
        <v>184</v>
      </c>
      <c r="F527" s="16" t="s">
        <v>219</v>
      </c>
      <c r="G527" s="16" t="s">
        <v>186</v>
      </c>
      <c r="H527" s="16" t="s">
        <v>232</v>
      </c>
      <c r="I527" s="16" t="s">
        <v>233</v>
      </c>
    </row>
    <row r="528" ht="242.25" customHeight="1">
      <c r="A528" s="32" t="b">
        <v>0</v>
      </c>
      <c r="B528" s="32" t="str">
        <f>IMAGE("https://gymvisual.com/11062-catalog_default/barbell-preacher-curl-female.jpg",4,500,500)</f>
        <v/>
      </c>
      <c r="C528" s="30">
        <v>527.0</v>
      </c>
      <c r="D528" s="16" t="s">
        <v>963</v>
      </c>
      <c r="E528" s="16" t="s">
        <v>184</v>
      </c>
      <c r="F528" s="16" t="s">
        <v>219</v>
      </c>
      <c r="G528" s="16" t="s">
        <v>186</v>
      </c>
      <c r="H528" s="16" t="s">
        <v>232</v>
      </c>
      <c r="I528" s="16" t="s">
        <v>233</v>
      </c>
    </row>
    <row r="529" ht="242.25" customHeight="1">
      <c r="A529" s="32" t="b">
        <v>0</v>
      </c>
      <c r="B529" s="32" t="str">
        <f>IMAGE("https://gymvisual.com/240-catalog_default/barbell-press-sit-up.jpg",4,500,500)</f>
        <v/>
      </c>
      <c r="C529" s="30">
        <v>528.0</v>
      </c>
      <c r="D529" s="16" t="s">
        <v>964</v>
      </c>
      <c r="E529" s="16" t="s">
        <v>184</v>
      </c>
      <c r="F529" s="16" t="s">
        <v>254</v>
      </c>
      <c r="G529" s="16" t="s">
        <v>186</v>
      </c>
      <c r="H529" s="16" t="s">
        <v>965</v>
      </c>
      <c r="I529" s="16" t="s">
        <v>966</v>
      </c>
    </row>
    <row r="530" ht="242.25" customHeight="1">
      <c r="A530" s="32" t="b">
        <v>0</v>
      </c>
      <c r="B530" s="32" t="str">
        <f>IMAGE("https://gymvisual.com/243-catalog_default/barbell-prone-incline-curl.jpg",4,500,500)</f>
        <v/>
      </c>
      <c r="C530" s="30">
        <v>529.0</v>
      </c>
      <c r="D530" s="16" t="s">
        <v>967</v>
      </c>
      <c r="E530" s="16" t="s">
        <v>184</v>
      </c>
      <c r="F530" s="16" t="s">
        <v>219</v>
      </c>
      <c r="G530" s="16" t="s">
        <v>186</v>
      </c>
      <c r="H530" s="16" t="s">
        <v>232</v>
      </c>
      <c r="I530" s="16" t="s">
        <v>233</v>
      </c>
    </row>
    <row r="531" ht="242.25" customHeight="1">
      <c r="A531" s="32" t="b">
        <v>0</v>
      </c>
      <c r="B531" s="32" t="str">
        <f>IMAGE("https://gymvisual.com/11089-catalog_default/barbell-prone-incline-curl-female.jpg",4,500,500)</f>
        <v/>
      </c>
      <c r="C531" s="30">
        <v>530.0</v>
      </c>
      <c r="D531" s="16" t="s">
        <v>968</v>
      </c>
      <c r="E531" s="16" t="s">
        <v>184</v>
      </c>
      <c r="F531" s="16" t="s">
        <v>219</v>
      </c>
      <c r="G531" s="16" t="s">
        <v>186</v>
      </c>
      <c r="H531" s="16" t="s">
        <v>241</v>
      </c>
      <c r="I531" s="16" t="s">
        <v>292</v>
      </c>
    </row>
    <row r="532" ht="242.25" customHeight="1">
      <c r="A532" s="32" t="b">
        <v>0</v>
      </c>
      <c r="B532" s="32" t="str">
        <f>IMAGE("https://gymvisual.com/246-catalog_default/barbell-pullover.jpg",4,500,500)</f>
        <v/>
      </c>
      <c r="C532" s="30">
        <v>531.0</v>
      </c>
      <c r="D532" s="16" t="s">
        <v>969</v>
      </c>
      <c r="E532" s="16" t="s">
        <v>184</v>
      </c>
      <c r="F532" s="16" t="s">
        <v>192</v>
      </c>
      <c r="G532" s="16" t="s">
        <v>186</v>
      </c>
      <c r="H532" s="16" t="s">
        <v>300</v>
      </c>
      <c r="I532" s="16" t="s">
        <v>970</v>
      </c>
    </row>
    <row r="533" ht="242.25" customHeight="1">
      <c r="A533" s="32" t="b">
        <v>0</v>
      </c>
      <c r="B533" s="32" t="str">
        <f>IMAGE("https://gymvisual.com/18750-catalog_default/barbell-pullover.jpg",4,500,500)</f>
        <v/>
      </c>
      <c r="C533" s="30">
        <v>532.0</v>
      </c>
      <c r="D533" s="16" t="s">
        <v>969</v>
      </c>
      <c r="E533" s="16" t="s">
        <v>184</v>
      </c>
      <c r="F533" s="16" t="s">
        <v>192</v>
      </c>
      <c r="G533" s="16" t="s">
        <v>186</v>
      </c>
      <c r="H533" s="16" t="s">
        <v>220</v>
      </c>
      <c r="I533" s="16" t="s">
        <v>220</v>
      </c>
    </row>
    <row r="534" ht="242.25" customHeight="1">
      <c r="A534" s="32" t="b">
        <v>0</v>
      </c>
      <c r="B534" s="32" t="str">
        <f>IMAGE("https://gymvisual.com/23542-catalog_default/barbell-pullover-to-press.jpg",4,500,500)</f>
        <v/>
      </c>
      <c r="C534" s="30">
        <v>533.0</v>
      </c>
      <c r="D534" s="16" t="s">
        <v>971</v>
      </c>
      <c r="E534" s="16" t="s">
        <v>184</v>
      </c>
      <c r="F534" s="16" t="s">
        <v>192</v>
      </c>
      <c r="G534" s="16" t="s">
        <v>186</v>
      </c>
      <c r="H534" s="16" t="s">
        <v>300</v>
      </c>
      <c r="I534" s="16" t="s">
        <v>972</v>
      </c>
    </row>
    <row r="535" ht="242.25" customHeight="1">
      <c r="A535" s="32" t="b">
        <v>0</v>
      </c>
      <c r="B535" s="32" t="str">
        <f>IMAGE("https://gymvisual.com/6762-catalog_default/barbell-quarter-squat.jpg",4,500,500)</f>
        <v/>
      </c>
      <c r="C535" s="30">
        <v>534.0</v>
      </c>
      <c r="D535" s="16" t="s">
        <v>973</v>
      </c>
      <c r="E535" s="16" t="s">
        <v>184</v>
      </c>
      <c r="F535" s="16" t="s">
        <v>285</v>
      </c>
      <c r="G535" s="16" t="s">
        <v>186</v>
      </c>
      <c r="H535" s="16" t="s">
        <v>189</v>
      </c>
      <c r="I535" s="16" t="s">
        <v>190</v>
      </c>
    </row>
    <row r="536" ht="242.25" customHeight="1">
      <c r="A536" s="32" t="b">
        <v>0</v>
      </c>
      <c r="B536" s="32" t="str">
        <f>IMAGE("https://gymvisual.com/13132-catalog_default/barbell-rack-pull.jpg",4,500,500)</f>
        <v/>
      </c>
      <c r="C536" s="30">
        <v>535.0</v>
      </c>
      <c r="D536" s="16" t="s">
        <v>974</v>
      </c>
      <c r="E536" s="16" t="s">
        <v>184</v>
      </c>
      <c r="F536" s="16" t="s">
        <v>185</v>
      </c>
      <c r="G536" s="16" t="s">
        <v>186</v>
      </c>
      <c r="H536" s="16" t="s">
        <v>267</v>
      </c>
      <c r="I536" s="16" t="s">
        <v>975</v>
      </c>
    </row>
    <row r="537" ht="242.25" customHeight="1">
      <c r="A537" s="32" t="b">
        <v>0</v>
      </c>
      <c r="B537" s="32" t="str">
        <f>IMAGE("https://gymvisual.com/252-catalog_default/barbell-rear-delt-raise.jpg",4,500,500)</f>
        <v/>
      </c>
      <c r="C537" s="30">
        <v>536.0</v>
      </c>
      <c r="D537" s="16" t="s">
        <v>976</v>
      </c>
      <c r="E537" s="16" t="s">
        <v>184</v>
      </c>
      <c r="F537" s="16" t="s">
        <v>228</v>
      </c>
      <c r="G537" s="16" t="s">
        <v>186</v>
      </c>
      <c r="H537" s="16" t="s">
        <v>408</v>
      </c>
      <c r="I537" s="16" t="s">
        <v>977</v>
      </c>
    </row>
    <row r="538" ht="242.25" customHeight="1">
      <c r="A538" s="32" t="b">
        <v>0</v>
      </c>
      <c r="B538" s="32" t="str">
        <f>IMAGE("https://gymvisual.com/11441-catalog_default/barbell-rear-delt-raise-femaleshoulder.jpg",4,500,500)</f>
        <v/>
      </c>
      <c r="C538" s="30">
        <v>537.0</v>
      </c>
      <c r="D538" s="16" t="s">
        <v>978</v>
      </c>
      <c r="E538" s="16" t="s">
        <v>184</v>
      </c>
      <c r="F538" s="16" t="s">
        <v>228</v>
      </c>
      <c r="G538" s="16" t="s">
        <v>186</v>
      </c>
      <c r="H538" s="16" t="s">
        <v>408</v>
      </c>
      <c r="I538" s="16" t="s">
        <v>452</v>
      </c>
    </row>
    <row r="539" ht="242.25" customHeight="1">
      <c r="A539" s="32" t="b">
        <v>0</v>
      </c>
      <c r="B539" s="32" t="str">
        <f>IMAGE("https://gymvisual.com/19315-catalog_default/barbell-rear-delt-row.jpg",4,500,500)</f>
        <v/>
      </c>
      <c r="C539" s="30">
        <v>538.0</v>
      </c>
      <c r="D539" s="16" t="s">
        <v>979</v>
      </c>
      <c r="E539" s="16" t="s">
        <v>184</v>
      </c>
      <c r="F539" s="16" t="s">
        <v>228</v>
      </c>
      <c r="G539" s="16" t="s">
        <v>186</v>
      </c>
      <c r="H539" s="16" t="s">
        <v>408</v>
      </c>
      <c r="I539" s="16" t="s">
        <v>980</v>
      </c>
    </row>
    <row r="540" ht="242.25" customHeight="1">
      <c r="A540" s="32" t="b">
        <v>0</v>
      </c>
      <c r="B540" s="32" t="str">
        <f>IMAGE("https://gymvisual.com/261-catalog_default/barbell-rear-lunge.jpg",4,500,500)</f>
        <v/>
      </c>
      <c r="C540" s="30">
        <v>539.0</v>
      </c>
      <c r="D540" s="16" t="s">
        <v>97</v>
      </c>
      <c r="E540" s="16" t="s">
        <v>184</v>
      </c>
      <c r="F540" s="16" t="s">
        <v>285</v>
      </c>
      <c r="G540" s="16" t="s">
        <v>186</v>
      </c>
      <c r="H540" s="16" t="s">
        <v>189</v>
      </c>
      <c r="I540" s="16" t="s">
        <v>190</v>
      </c>
    </row>
    <row r="541" ht="242.25" customHeight="1">
      <c r="A541" s="32" t="b">
        <v>0</v>
      </c>
      <c r="B541" s="32" t="str">
        <f>IMAGE("https://gymvisual.com/9592-catalog_default/barbell-rear-lunge-female.jpg",4,500,500)</f>
        <v/>
      </c>
      <c r="C541" s="30">
        <v>540.0</v>
      </c>
      <c r="D541" s="16" t="s">
        <v>981</v>
      </c>
      <c r="E541" s="16" t="s">
        <v>184</v>
      </c>
      <c r="F541" s="16" t="s">
        <v>294</v>
      </c>
      <c r="G541" s="16" t="s">
        <v>186</v>
      </c>
      <c r="H541" s="16" t="s">
        <v>189</v>
      </c>
      <c r="I541" s="16" t="s">
        <v>190</v>
      </c>
    </row>
    <row r="542" ht="242.25" customHeight="1">
      <c r="A542" s="32" t="b">
        <v>0</v>
      </c>
      <c r="B542" s="32" t="str">
        <f>IMAGE("https://gymvisual.com/258-catalog_default/barbell-rear-lunge-version-2.jpg",4,500,500)</f>
        <v/>
      </c>
      <c r="C542" s="30">
        <v>541.0</v>
      </c>
      <c r="D542" s="16" t="s">
        <v>982</v>
      </c>
      <c r="E542" s="16" t="s">
        <v>184</v>
      </c>
      <c r="F542" s="16" t="s">
        <v>285</v>
      </c>
      <c r="G542" s="16" t="s">
        <v>186</v>
      </c>
      <c r="H542" s="16" t="s">
        <v>189</v>
      </c>
      <c r="I542" s="16" t="s">
        <v>190</v>
      </c>
    </row>
    <row r="543" ht="242.25" customHeight="1">
      <c r="A543" s="32" t="b">
        <v>0</v>
      </c>
      <c r="B543" s="32" t="str">
        <f>IMAGE("https://gymvisual.com/17933-catalog_default/barbell-reeves-deadlift-male.jpg",4,500,500)</f>
        <v/>
      </c>
      <c r="C543" s="30">
        <v>542.0</v>
      </c>
      <c r="D543" s="16" t="s">
        <v>983</v>
      </c>
      <c r="E543" s="16" t="s">
        <v>184</v>
      </c>
      <c r="F543" s="16" t="s">
        <v>185</v>
      </c>
      <c r="G543" s="16" t="s">
        <v>186</v>
      </c>
      <c r="H543" s="16" t="s">
        <v>220</v>
      </c>
      <c r="I543" s="16" t="s">
        <v>220</v>
      </c>
    </row>
    <row r="544" ht="242.25" customHeight="1">
      <c r="B544" s="32" t="str">
        <f>IMAGE("https://gymvisual.com/19517-catalog_default/barbell-resistance-band-hip-thrust.jpg",4,500,500)</f>
        <v/>
      </c>
      <c r="C544" s="30">
        <v>543.0</v>
      </c>
      <c r="D544" s="16" t="s">
        <v>984</v>
      </c>
      <c r="E544" s="16" t="s">
        <v>184</v>
      </c>
      <c r="F544" s="16" t="s">
        <v>185</v>
      </c>
      <c r="G544" s="16" t="s">
        <v>186</v>
      </c>
      <c r="H544" s="16" t="s">
        <v>220</v>
      </c>
      <c r="I544" s="16" t="s">
        <v>220</v>
      </c>
    </row>
    <row r="545" ht="242.25" customHeight="1">
      <c r="A545" s="32" t="b">
        <v>0</v>
      </c>
      <c r="B545" s="32" t="str">
        <f>IMAGE("https://gymvisual.com/264-catalog_default/barbell-revers-wrist-curl-version-2.jpg",4,500,500)</f>
        <v/>
      </c>
      <c r="C545" s="30">
        <v>544.0</v>
      </c>
      <c r="D545" s="16" t="s">
        <v>985</v>
      </c>
      <c r="E545" s="16" t="s">
        <v>184</v>
      </c>
      <c r="F545" s="16" t="s">
        <v>214</v>
      </c>
      <c r="G545" s="16" t="s">
        <v>186</v>
      </c>
      <c r="H545" s="16" t="s">
        <v>604</v>
      </c>
      <c r="I545" s="16" t="s">
        <v>220</v>
      </c>
    </row>
    <row r="546" ht="242.25" customHeight="1">
      <c r="A546" s="32" t="b">
        <v>0</v>
      </c>
      <c r="B546" s="32" t="str">
        <f>IMAGE("https://gymvisual.com/11546-catalog_default/barbell-revers-wrist-curl-version-2-female.jpg",4,500,500)</f>
        <v/>
      </c>
      <c r="C546" s="30">
        <v>545.0</v>
      </c>
      <c r="D546" s="16" t="s">
        <v>986</v>
      </c>
      <c r="E546" s="16" t="s">
        <v>184</v>
      </c>
      <c r="F546" s="16" t="s">
        <v>214</v>
      </c>
      <c r="G546" s="16" t="s">
        <v>186</v>
      </c>
      <c r="H546" s="16" t="s">
        <v>220</v>
      </c>
      <c r="I546" s="16" t="s">
        <v>220</v>
      </c>
    </row>
    <row r="547" ht="242.25" customHeight="1">
      <c r="B547" s="32" t="str">
        <f>IMAGE("https://gymvisual.com/6725-catalog_default/barbell-reverse-band-bench-press.jpg",4,500,500)</f>
        <v/>
      </c>
      <c r="C547" s="30">
        <v>546.0</v>
      </c>
      <c r="D547" s="16" t="s">
        <v>987</v>
      </c>
      <c r="E547" s="16" t="s">
        <v>184</v>
      </c>
      <c r="F547" s="16" t="s">
        <v>219</v>
      </c>
      <c r="G547" s="16" t="s">
        <v>291</v>
      </c>
      <c r="H547" s="16" t="s">
        <v>223</v>
      </c>
      <c r="I547" s="16" t="s">
        <v>472</v>
      </c>
    </row>
    <row r="548" ht="242.25" customHeight="1">
      <c r="A548" s="32" t="b">
        <v>0</v>
      </c>
      <c r="B548" s="32" t="str">
        <f>IMAGE("https://gymvisual.com/8824-catalog_default/barbell-reverse-close-grip-bench-press.jpg",4,500,500)</f>
        <v/>
      </c>
      <c r="C548" s="30">
        <v>547.0</v>
      </c>
      <c r="D548" s="16" t="s">
        <v>988</v>
      </c>
      <c r="E548" s="16" t="s">
        <v>184</v>
      </c>
      <c r="F548" s="16" t="s">
        <v>219</v>
      </c>
      <c r="G548" s="16" t="s">
        <v>186</v>
      </c>
      <c r="H548" s="16" t="s">
        <v>223</v>
      </c>
      <c r="I548" s="16" t="s">
        <v>472</v>
      </c>
    </row>
    <row r="549" ht="242.25" customHeight="1">
      <c r="A549" s="32" t="b">
        <v>0</v>
      </c>
      <c r="B549" s="32" t="str">
        <f>IMAGE("https://gymvisual.com/24756-catalog_default/barbell-reverse-curl.jpg",4,500,500)</f>
        <v/>
      </c>
      <c r="C549" s="30">
        <v>548.0</v>
      </c>
      <c r="D549" s="16" t="s">
        <v>989</v>
      </c>
      <c r="E549" s="16" t="s">
        <v>184</v>
      </c>
      <c r="F549" s="16" t="s">
        <v>214</v>
      </c>
      <c r="G549" s="16" t="s">
        <v>186</v>
      </c>
      <c r="H549" s="16" t="s">
        <v>216</v>
      </c>
      <c r="I549" s="16" t="s">
        <v>217</v>
      </c>
    </row>
    <row r="550" ht="242.25" customHeight="1">
      <c r="A550" s="32" t="b">
        <v>0</v>
      </c>
      <c r="B550" s="32" t="str">
        <f>IMAGE("https://gymvisual.com/11008-catalog_default/barbell-reverse-curl-female.jpg",4,500,500)</f>
        <v/>
      </c>
      <c r="C550" s="30">
        <v>549.0</v>
      </c>
      <c r="D550" s="16" t="s">
        <v>990</v>
      </c>
      <c r="E550" s="16" t="s">
        <v>184</v>
      </c>
      <c r="F550" s="16" t="s">
        <v>214</v>
      </c>
      <c r="G550" s="16" t="s">
        <v>186</v>
      </c>
      <c r="H550" s="16" t="s">
        <v>216</v>
      </c>
      <c r="I550" s="16" t="s">
        <v>217</v>
      </c>
    </row>
    <row r="551" ht="242.25" customHeight="1">
      <c r="A551" s="32" t="b">
        <v>0</v>
      </c>
      <c r="B551" s="32" t="str">
        <f>IMAGE("https://gymvisual.com/23891-catalog_default/barbell-reverse-grip-bench-press.jpg",4,500,500)</f>
        <v/>
      </c>
      <c r="C551" s="30">
        <v>550.0</v>
      </c>
      <c r="D551" s="16" t="s">
        <v>991</v>
      </c>
      <c r="E551" s="16" t="s">
        <v>184</v>
      </c>
      <c r="F551" s="16" t="s">
        <v>234</v>
      </c>
      <c r="G551" s="16" t="s">
        <v>186</v>
      </c>
      <c r="H551" s="16" t="s">
        <v>347</v>
      </c>
      <c r="I551" s="16" t="s">
        <v>382</v>
      </c>
    </row>
    <row r="552" ht="242.25" customHeight="1">
      <c r="A552" s="32" t="b">
        <v>0</v>
      </c>
      <c r="B552" s="32" t="str">
        <f>IMAGE("https://gymvisual.com/10575-catalog_default/barbell-reverse-grip-bent-over-row.jpg",4,500,500)</f>
        <v/>
      </c>
      <c r="C552" s="30">
        <v>551.0</v>
      </c>
      <c r="D552" s="16" t="s">
        <v>992</v>
      </c>
      <c r="E552" s="16" t="s">
        <v>184</v>
      </c>
      <c r="F552" s="16" t="s">
        <v>192</v>
      </c>
      <c r="G552" s="16" t="s">
        <v>186</v>
      </c>
      <c r="H552" s="16" t="s">
        <v>329</v>
      </c>
      <c r="I552" s="16" t="s">
        <v>330</v>
      </c>
    </row>
    <row r="553" ht="242.25" customHeight="1">
      <c r="A553" s="32" t="b">
        <v>0</v>
      </c>
      <c r="B553" s="32" t="str">
        <f>IMAGE("https://gymvisual.com/19369-catalog_default/barbell-reverse-grip-bent-over-row-female.jpg",4,500,500)</f>
        <v/>
      </c>
      <c r="C553" s="30">
        <v>552.0</v>
      </c>
      <c r="D553" s="16" t="s">
        <v>993</v>
      </c>
      <c r="E553" s="16" t="s">
        <v>184</v>
      </c>
      <c r="F553" s="16" t="s">
        <v>192</v>
      </c>
      <c r="G553" s="16" t="s">
        <v>186</v>
      </c>
      <c r="H553" s="16" t="s">
        <v>329</v>
      </c>
      <c r="I553" s="16" t="s">
        <v>457</v>
      </c>
    </row>
    <row r="554" ht="242.25" customHeight="1">
      <c r="A554" s="32" t="b">
        <v>0</v>
      </c>
      <c r="B554" s="32" t="str">
        <f>IMAGE("https://gymvisual.com/5945-catalog_default/barbell-reverse-grip-decline-bench-press.jpg",4,500,500)</f>
        <v/>
      </c>
      <c r="C554" s="30">
        <v>553.0</v>
      </c>
      <c r="D554" s="16" t="s">
        <v>823</v>
      </c>
      <c r="E554" s="16" t="s">
        <v>184</v>
      </c>
      <c r="F554" s="16" t="s">
        <v>234</v>
      </c>
      <c r="G554" s="16" t="s">
        <v>186</v>
      </c>
      <c r="H554" s="16" t="s">
        <v>347</v>
      </c>
      <c r="I554" s="16" t="s">
        <v>382</v>
      </c>
    </row>
    <row r="555" ht="242.25" customHeight="1">
      <c r="A555" s="32" t="b">
        <v>0</v>
      </c>
      <c r="B555" s="32" t="str">
        <f>IMAGE("https://gymvisual.com/5946-catalog_default/barbell-reverse-grip-incline-bench-press.jpg",4,500,500)</f>
        <v/>
      </c>
      <c r="C555" s="30">
        <v>554.0</v>
      </c>
      <c r="D555" s="16" t="s">
        <v>823</v>
      </c>
      <c r="E555" s="16" t="s">
        <v>184</v>
      </c>
      <c r="F555" s="16" t="s">
        <v>234</v>
      </c>
      <c r="G555" s="16" t="s">
        <v>186</v>
      </c>
      <c r="H555" s="16" t="s">
        <v>415</v>
      </c>
      <c r="I555" s="16" t="s">
        <v>243</v>
      </c>
    </row>
    <row r="556" ht="242.25" customHeight="1">
      <c r="A556" s="32" t="b">
        <v>0</v>
      </c>
      <c r="B556" s="32" t="str">
        <f>IMAGE("https://gymvisual.com/6008-catalog_default/barbell-reverse-grip-incline-bench-row.jpg",4,500,500)</f>
        <v/>
      </c>
      <c r="C556" s="30">
        <v>555.0</v>
      </c>
      <c r="D556" s="16" t="s">
        <v>994</v>
      </c>
      <c r="E556" s="16" t="s">
        <v>184</v>
      </c>
      <c r="F556" s="16" t="s">
        <v>192</v>
      </c>
      <c r="G556" s="16" t="s">
        <v>186</v>
      </c>
      <c r="H556" s="16" t="s">
        <v>329</v>
      </c>
      <c r="I556" s="16" t="s">
        <v>447</v>
      </c>
    </row>
    <row r="557" ht="242.25" customHeight="1">
      <c r="A557" s="32" t="b">
        <v>0</v>
      </c>
      <c r="B557" s="32" t="str">
        <f>IMAGE("https://gymvisual.com/11098-catalog_default/barbell-reverse-grip-incline-row-female.jpg",4,500,500)</f>
        <v/>
      </c>
      <c r="C557" s="30">
        <v>556.0</v>
      </c>
      <c r="D557" s="16" t="s">
        <v>995</v>
      </c>
      <c r="E557" s="16" t="s">
        <v>184</v>
      </c>
      <c r="F557" s="16" t="s">
        <v>192</v>
      </c>
      <c r="G557" s="16" t="s">
        <v>186</v>
      </c>
      <c r="H557" s="16" t="s">
        <v>220</v>
      </c>
      <c r="I557" s="16" t="s">
        <v>220</v>
      </c>
    </row>
    <row r="558" ht="242.25" customHeight="1">
      <c r="A558" s="32" t="b">
        <v>0</v>
      </c>
      <c r="B558" s="32" t="str">
        <f>IMAGE("https://gymvisual.com/7440-catalog_default/barbell-reverse-grip-skullcrusher.jpg",4,500,500)</f>
        <v/>
      </c>
      <c r="C558" s="30">
        <v>557.0</v>
      </c>
      <c r="D558" s="16" t="s">
        <v>996</v>
      </c>
      <c r="E558" s="16" t="s">
        <v>184</v>
      </c>
      <c r="F558" s="16" t="s">
        <v>219</v>
      </c>
      <c r="G558" s="16" t="s">
        <v>186</v>
      </c>
      <c r="H558" s="16" t="s">
        <v>220</v>
      </c>
      <c r="I558" s="16" t="s">
        <v>220</v>
      </c>
    </row>
    <row r="559" ht="242.25" customHeight="1">
      <c r="A559" s="32" t="b">
        <v>0</v>
      </c>
      <c r="B559" s="32" t="str">
        <f>IMAGE("https://gymvisual.com/25851-catalog_default/barbell-reverse-preacher-curl.jpg",4,500,500)</f>
        <v/>
      </c>
      <c r="C559" s="30">
        <v>558.0</v>
      </c>
      <c r="D559" s="16" t="s">
        <v>997</v>
      </c>
      <c r="E559" s="16" t="s">
        <v>184</v>
      </c>
      <c r="F559" s="16" t="s">
        <v>214</v>
      </c>
      <c r="G559" s="16" t="s">
        <v>186</v>
      </c>
      <c r="H559" s="16" t="s">
        <v>216</v>
      </c>
      <c r="I559" s="16" t="s">
        <v>217</v>
      </c>
    </row>
    <row r="560" ht="242.25" customHeight="1">
      <c r="A560" s="32" t="b">
        <v>0</v>
      </c>
      <c r="B560" s="32" t="str">
        <f>IMAGE("https://gymvisual.com/11095-catalog_default/barbell-reverse-preacher-curl-femaleforearm.jpg",4,500,500)</f>
        <v/>
      </c>
      <c r="C560" s="30">
        <v>559.0</v>
      </c>
      <c r="D560" s="16" t="s">
        <v>998</v>
      </c>
      <c r="E560" s="16" t="s">
        <v>184</v>
      </c>
      <c r="F560" s="16" t="s">
        <v>214</v>
      </c>
      <c r="G560" s="16" t="s">
        <v>186</v>
      </c>
      <c r="H560" s="16" t="s">
        <v>220</v>
      </c>
      <c r="I560" s="16" t="s">
        <v>220</v>
      </c>
    </row>
    <row r="561" ht="242.25" customHeight="1">
      <c r="A561" s="32" t="b">
        <v>0</v>
      </c>
      <c r="B561" s="32" t="str">
        <f>IMAGE("https://gymvisual.com/273-catalog_default/barbell-reverse-wrist-curl.jpg",4,500,500)</f>
        <v/>
      </c>
      <c r="C561" s="30">
        <v>560.0</v>
      </c>
      <c r="D561" s="16" t="s">
        <v>125</v>
      </c>
      <c r="E561" s="16" t="s">
        <v>184</v>
      </c>
      <c r="F561" s="16" t="s">
        <v>214</v>
      </c>
      <c r="G561" s="16" t="s">
        <v>186</v>
      </c>
      <c r="H561" s="16" t="s">
        <v>604</v>
      </c>
      <c r="I561" s="16" t="s">
        <v>220</v>
      </c>
    </row>
    <row r="562" ht="242.25" customHeight="1">
      <c r="A562" s="32" t="b">
        <v>0</v>
      </c>
      <c r="B562" s="32" t="str">
        <f>IMAGE("https://gymvisual.com/13327-catalog_default/barbell-reverse-wrist-curl-female.jpg",4,500,500)</f>
        <v/>
      </c>
      <c r="C562" s="30">
        <v>561.0</v>
      </c>
      <c r="D562" s="16" t="s">
        <v>999</v>
      </c>
      <c r="E562" s="16" t="s">
        <v>184</v>
      </c>
      <c r="F562" s="16" t="s">
        <v>214</v>
      </c>
      <c r="G562" s="16" t="s">
        <v>186</v>
      </c>
      <c r="H562" s="16" t="s">
        <v>604</v>
      </c>
      <c r="I562" s="16" t="s">
        <v>220</v>
      </c>
    </row>
    <row r="563" ht="242.25" customHeight="1">
      <c r="A563" s="32" t="b">
        <v>0</v>
      </c>
      <c r="B563" s="32" t="str">
        <f>IMAGE("https://gymvisual.com/17181-catalog_default/barbell-reverse-grip-floor-press.jpg",4,500,500)</f>
        <v/>
      </c>
      <c r="C563" s="30">
        <v>562.0</v>
      </c>
      <c r="D563" s="16" t="s">
        <v>1000</v>
      </c>
      <c r="E563" s="16" t="s">
        <v>184</v>
      </c>
      <c r="F563" s="16" t="s">
        <v>219</v>
      </c>
      <c r="G563" s="16" t="s">
        <v>186</v>
      </c>
      <c r="H563" s="16" t="s">
        <v>223</v>
      </c>
      <c r="I563" s="16" t="s">
        <v>472</v>
      </c>
    </row>
    <row r="564" ht="242.25" customHeight="1">
      <c r="A564" s="32" t="b">
        <v>0</v>
      </c>
      <c r="B564" s="32" t="str">
        <f>IMAGE("https://gymvisual.com/279-catalog_default/barbell-rollout.jpg",4,500,500)</f>
        <v/>
      </c>
      <c r="C564" s="30">
        <v>563.0</v>
      </c>
      <c r="D564" s="16" t="s">
        <v>1001</v>
      </c>
      <c r="E564" s="16" t="s">
        <v>184</v>
      </c>
      <c r="F564" s="16" t="s">
        <v>185</v>
      </c>
      <c r="G564" s="16" t="s">
        <v>186</v>
      </c>
      <c r="H564" s="16" t="s">
        <v>305</v>
      </c>
      <c r="I564" s="16" t="s">
        <v>1002</v>
      </c>
    </row>
    <row r="565" ht="242.25" customHeight="1">
      <c r="A565" s="32" t="b">
        <v>0</v>
      </c>
      <c r="B565" s="32" t="str">
        <f>IMAGE("https://gymvisual.com/11594-catalog_default/barbell-rollout-female.jpg",4,500,500)</f>
        <v/>
      </c>
      <c r="C565" s="30">
        <v>564.0</v>
      </c>
      <c r="D565" s="16" t="s">
        <v>1003</v>
      </c>
      <c r="E565" s="16" t="s">
        <v>184</v>
      </c>
      <c r="F565" s="16" t="s">
        <v>254</v>
      </c>
      <c r="G565" s="16" t="s">
        <v>186</v>
      </c>
      <c r="H565" s="16" t="s">
        <v>220</v>
      </c>
      <c r="I565" s="16" t="s">
        <v>220</v>
      </c>
    </row>
    <row r="566" ht="242.25" customHeight="1">
      <c r="A566" s="32" t="b">
        <v>0</v>
      </c>
      <c r="B566" s="32" t="str">
        <f>IMAGE("https://gymvisual.com/276-catalog_default/barbell-rollout-from-bench.jpg",4,500,500)</f>
        <v/>
      </c>
      <c r="C566" s="30">
        <v>565.0</v>
      </c>
      <c r="D566" s="16" t="s">
        <v>1004</v>
      </c>
      <c r="E566" s="16" t="s">
        <v>184</v>
      </c>
      <c r="F566" s="16" t="s">
        <v>254</v>
      </c>
      <c r="G566" s="16" t="s">
        <v>186</v>
      </c>
      <c r="H566" s="16" t="s">
        <v>305</v>
      </c>
      <c r="I566" s="16" t="s">
        <v>1005</v>
      </c>
    </row>
    <row r="567" ht="242.25" customHeight="1">
      <c r="A567" s="32" t="b">
        <v>0</v>
      </c>
      <c r="B567" s="32" t="str">
        <f>IMAGE("https://gymvisual.com/2574-catalog_default/barbell-romanian-deadlift.jpg",4,500,500)</f>
        <v/>
      </c>
      <c r="C567" s="30">
        <v>566.0</v>
      </c>
      <c r="D567" s="16" t="s">
        <v>1006</v>
      </c>
      <c r="E567" s="16" t="s">
        <v>184</v>
      </c>
      <c r="F567" s="16" t="s">
        <v>185</v>
      </c>
      <c r="G567" s="16" t="s">
        <v>186</v>
      </c>
      <c r="H567" s="16" t="s">
        <v>267</v>
      </c>
      <c r="I567" s="16" t="s">
        <v>975</v>
      </c>
    </row>
    <row r="568" ht="242.25" customHeight="1">
      <c r="A568" s="32" t="b">
        <v>0</v>
      </c>
      <c r="B568" s="32" t="str">
        <f>IMAGE("https://gymvisual.com/13267-catalog_default/barbell-romanian-deadlift-female.jpg",4,500,500)</f>
        <v/>
      </c>
      <c r="C568" s="30">
        <v>567.0</v>
      </c>
      <c r="D568" s="16" t="s">
        <v>1007</v>
      </c>
      <c r="E568" s="16" t="s">
        <v>184</v>
      </c>
      <c r="F568" s="16" t="s">
        <v>294</v>
      </c>
      <c r="G568" s="16" t="s">
        <v>186</v>
      </c>
      <c r="H568" s="16" t="s">
        <v>267</v>
      </c>
      <c r="I568" s="16" t="s">
        <v>975</v>
      </c>
    </row>
    <row r="569" ht="242.25" customHeight="1">
      <c r="A569" s="32" t="b">
        <v>0</v>
      </c>
      <c r="B569" s="32" t="str">
        <f>IMAGE("https://gymvisual.com/6780-catalog_default/barbell-romanian-deadlift-from-deficit.jpg",4,500,500)</f>
        <v/>
      </c>
      <c r="C569" s="30">
        <v>568.0</v>
      </c>
      <c r="D569" s="16" t="s">
        <v>1008</v>
      </c>
      <c r="E569" s="16" t="s">
        <v>184</v>
      </c>
      <c r="F569" s="16" t="s">
        <v>185</v>
      </c>
      <c r="G569" s="16" t="s">
        <v>186</v>
      </c>
      <c r="H569" s="16" t="s">
        <v>220</v>
      </c>
      <c r="I569" s="16" t="s">
        <v>220</v>
      </c>
    </row>
    <row r="570" ht="242.25" customHeight="1">
      <c r="A570" s="32" t="b">
        <v>0</v>
      </c>
      <c r="B570" s="32" t="str">
        <f>IMAGE("https://gymvisual.com/285-catalog_default/barbell-seated-behind-head-military-press.jpg",4,500,500)</f>
        <v/>
      </c>
      <c r="C570" s="30">
        <v>569.0</v>
      </c>
      <c r="D570" s="16" t="s">
        <v>1009</v>
      </c>
      <c r="E570" s="16" t="s">
        <v>184</v>
      </c>
      <c r="F570" s="16" t="s">
        <v>228</v>
      </c>
      <c r="G570" s="16" t="s">
        <v>186</v>
      </c>
      <c r="H570" s="16" t="s">
        <v>229</v>
      </c>
      <c r="I570" s="16" t="s">
        <v>230</v>
      </c>
    </row>
    <row r="571" ht="242.25" customHeight="1">
      <c r="A571" s="32" t="b">
        <v>0</v>
      </c>
      <c r="B571" s="32" t="str">
        <f>IMAGE("https://gymvisual.com/11357-catalog_default/barbell-seated-behind-head-military-press-female.jpg",4,500,500)</f>
        <v/>
      </c>
      <c r="C571" s="30">
        <v>570.0</v>
      </c>
      <c r="D571" s="16" t="s">
        <v>1010</v>
      </c>
      <c r="E571" s="16" t="s">
        <v>184</v>
      </c>
      <c r="F571" s="16" t="s">
        <v>228</v>
      </c>
      <c r="G571" s="16" t="s">
        <v>186</v>
      </c>
      <c r="H571" s="16" t="s">
        <v>229</v>
      </c>
      <c r="I571" s="16" t="s">
        <v>230</v>
      </c>
    </row>
    <row r="572" ht="242.25" customHeight="1">
      <c r="A572" s="32" t="b">
        <v>0</v>
      </c>
      <c r="B572" s="32" t="str">
        <f>IMAGE("https://gymvisual.com/288-catalog_default/barbell-seated-bradford-rocky-press.jpg",4,500,500)</f>
        <v/>
      </c>
      <c r="C572" s="30">
        <v>571.0</v>
      </c>
      <c r="D572" s="16" t="s">
        <v>1011</v>
      </c>
      <c r="E572" s="16" t="s">
        <v>184</v>
      </c>
      <c r="F572" s="16" t="s">
        <v>228</v>
      </c>
      <c r="G572" s="16" t="s">
        <v>186</v>
      </c>
      <c r="H572" s="16" t="s">
        <v>229</v>
      </c>
      <c r="I572" s="16" t="s">
        <v>230</v>
      </c>
    </row>
    <row r="573" ht="242.25" customHeight="1">
      <c r="A573" s="32" t="b">
        <v>0</v>
      </c>
      <c r="B573" s="32" t="str">
        <f>IMAGE("https://gymvisual.com/290-catalog_default/barbell-seated-calf-raise.jpg",4,500,500)</f>
        <v/>
      </c>
      <c r="C573" s="30">
        <v>572.0</v>
      </c>
      <c r="D573" s="16" t="s">
        <v>1012</v>
      </c>
      <c r="E573" s="16" t="s">
        <v>184</v>
      </c>
      <c r="F573" s="16" t="s">
        <v>325</v>
      </c>
      <c r="G573" s="16" t="s">
        <v>186</v>
      </c>
      <c r="H573" s="16" t="s">
        <v>368</v>
      </c>
      <c r="I573" s="16" t="s">
        <v>463</v>
      </c>
    </row>
    <row r="574" ht="242.25" customHeight="1">
      <c r="A574" s="32" t="b">
        <v>0</v>
      </c>
      <c r="B574" s="32" t="str">
        <f>IMAGE("https://gymvisual.com/6066-catalog_default/barbell-seated-calf-raise.jpg",4,500,500)</f>
        <v/>
      </c>
      <c r="C574" s="30">
        <v>573.0</v>
      </c>
      <c r="D574" s="16" t="s">
        <v>1012</v>
      </c>
      <c r="E574" s="16" t="s">
        <v>184</v>
      </c>
      <c r="F574" s="16" t="s">
        <v>325</v>
      </c>
      <c r="G574" s="16" t="s">
        <v>186</v>
      </c>
      <c r="H574" s="16" t="s">
        <v>368</v>
      </c>
      <c r="I574" s="16" t="s">
        <v>463</v>
      </c>
    </row>
    <row r="575" ht="242.25" customHeight="1">
      <c r="A575" s="32" t="b">
        <v>0</v>
      </c>
      <c r="B575" s="32" t="str">
        <f>IMAGE("https://gymvisual.com/11525-catalog_default/barbell-seated-calf-raise-female.jpg",4,500,500)</f>
        <v/>
      </c>
      <c r="C575" s="30">
        <v>574.0</v>
      </c>
      <c r="D575" s="16" t="s">
        <v>1013</v>
      </c>
      <c r="E575" s="16" t="s">
        <v>184</v>
      </c>
      <c r="F575" s="16" t="s">
        <v>325</v>
      </c>
      <c r="G575" s="16" t="s">
        <v>186</v>
      </c>
      <c r="H575" s="16" t="s">
        <v>220</v>
      </c>
      <c r="I575" s="16" t="s">
        <v>220</v>
      </c>
    </row>
    <row r="576" ht="242.25" customHeight="1">
      <c r="A576" s="32" t="b">
        <v>0</v>
      </c>
      <c r="B576" s="32" t="str">
        <f>IMAGE("https://gymvisual.com/7436-catalog_default/barbell-seated-close-grip-behind-neck-triceps-extension.jpg",4,500,500)</f>
        <v/>
      </c>
      <c r="C576" s="30">
        <v>575.0</v>
      </c>
      <c r="D576" s="16" t="s">
        <v>1014</v>
      </c>
      <c r="E576" s="16" t="s">
        <v>184</v>
      </c>
      <c r="F576" s="16" t="s">
        <v>219</v>
      </c>
      <c r="G576" s="16" t="s">
        <v>186</v>
      </c>
      <c r="H576" s="16" t="s">
        <v>220</v>
      </c>
      <c r="I576" s="16" t="s">
        <v>220</v>
      </c>
    </row>
    <row r="577" ht="242.25" customHeight="1">
      <c r="A577" s="32" t="b">
        <v>0</v>
      </c>
      <c r="B577" s="32" t="str">
        <f>IMAGE("https://gymvisual.com/7158-catalog_default/barbell-seated-close-grip-concentration-curl.jpg",4,500,500)</f>
        <v/>
      </c>
      <c r="C577" s="30">
        <v>576.0</v>
      </c>
      <c r="D577" s="16" t="s">
        <v>1015</v>
      </c>
      <c r="E577" s="16" t="s">
        <v>184</v>
      </c>
      <c r="F577" s="16" t="s">
        <v>219</v>
      </c>
      <c r="G577" s="16" t="s">
        <v>186</v>
      </c>
      <c r="H577" s="16" t="s">
        <v>232</v>
      </c>
      <c r="I577" s="16" t="s">
        <v>233</v>
      </c>
    </row>
    <row r="578" ht="242.25" customHeight="1">
      <c r="A578" s="32" t="b">
        <v>0</v>
      </c>
      <c r="B578" s="32" t="str">
        <f>IMAGE("https://gymvisual.com/16384-catalog_default/barbell-seated-front-raise.jpg",4,500,500)</f>
        <v/>
      </c>
      <c r="C578" s="30">
        <v>577.0</v>
      </c>
      <c r="D578" s="16" t="s">
        <v>1016</v>
      </c>
      <c r="E578" s="16" t="s">
        <v>184</v>
      </c>
      <c r="F578" s="16" t="s">
        <v>228</v>
      </c>
      <c r="G578" s="16" t="s">
        <v>186</v>
      </c>
      <c r="H578" s="16" t="s">
        <v>229</v>
      </c>
      <c r="I578" s="16" t="s">
        <v>244</v>
      </c>
    </row>
    <row r="579" ht="242.25" customHeight="1">
      <c r="A579" s="32" t="b">
        <v>0</v>
      </c>
      <c r="B579" s="32" t="str">
        <f>IMAGE("https://gymvisual.com/296-catalog_default/barbell-seated-good-morning.jpg",4,500,500)</f>
        <v/>
      </c>
      <c r="C579" s="30">
        <v>578.0</v>
      </c>
      <c r="D579" s="16" t="s">
        <v>1017</v>
      </c>
      <c r="E579" s="16" t="s">
        <v>184</v>
      </c>
      <c r="F579" s="16" t="s">
        <v>185</v>
      </c>
      <c r="G579" s="16" t="s">
        <v>186</v>
      </c>
      <c r="H579" s="16" t="s">
        <v>187</v>
      </c>
      <c r="I579" s="16" t="s">
        <v>188</v>
      </c>
    </row>
    <row r="580" ht="242.25" customHeight="1">
      <c r="A580" s="32" t="b">
        <v>0</v>
      </c>
      <c r="B580" s="32" t="str">
        <f>IMAGE("https://gymvisual.com/11354-catalog_default/barbell-seated-good-morning-female.jpg",4,500,500)</f>
        <v/>
      </c>
      <c r="C580" s="30">
        <v>579.0</v>
      </c>
      <c r="D580" s="16" t="s">
        <v>1018</v>
      </c>
      <c r="E580" s="16" t="s">
        <v>184</v>
      </c>
      <c r="F580" s="16" t="s">
        <v>185</v>
      </c>
      <c r="G580" s="16" t="s">
        <v>186</v>
      </c>
      <c r="H580" s="16" t="s">
        <v>220</v>
      </c>
      <c r="I580" s="16" t="s">
        <v>220</v>
      </c>
    </row>
    <row r="581" ht="242.25" customHeight="1">
      <c r="A581" s="32" t="b">
        <v>0</v>
      </c>
      <c r="B581" s="32" t="str">
        <f>IMAGE("https://gymvisual.com/19491-catalog_default/barbell-seated-high-front-raise.jpg",4,500,500)</f>
        <v/>
      </c>
      <c r="C581" s="30">
        <v>580.0</v>
      </c>
      <c r="D581" s="16" t="s">
        <v>1019</v>
      </c>
      <c r="E581" s="16" t="s">
        <v>184</v>
      </c>
      <c r="F581" s="16" t="s">
        <v>228</v>
      </c>
      <c r="G581" s="16" t="s">
        <v>186</v>
      </c>
      <c r="H581" s="16" t="s">
        <v>220</v>
      </c>
      <c r="I581" s="16" t="s">
        <v>220</v>
      </c>
    </row>
    <row r="582" ht="242.25" customHeight="1">
      <c r="A582" s="32" t="b">
        <v>0</v>
      </c>
      <c r="B582" s="32" t="str">
        <f>IMAGE("https://gymvisual.com/2956-catalog_default/barbell-seated-military-press-inside-squat-cage.jpg",4,500,500)</f>
        <v/>
      </c>
      <c r="C582" s="30">
        <v>581.0</v>
      </c>
      <c r="D582" s="16" t="s">
        <v>1020</v>
      </c>
      <c r="E582" s="16" t="s">
        <v>184</v>
      </c>
      <c r="F582" s="16" t="s">
        <v>228</v>
      </c>
      <c r="G582" s="16" t="s">
        <v>186</v>
      </c>
      <c r="H582" s="16" t="s">
        <v>229</v>
      </c>
      <c r="I582" s="16" t="s">
        <v>626</v>
      </c>
    </row>
    <row r="583" ht="242.25" customHeight="1">
      <c r="A583" s="32" t="b">
        <v>0</v>
      </c>
      <c r="B583" s="32" t="str">
        <f>IMAGE("https://gymvisual.com/299-catalog_default/barbell-seated-overhead-press.jpg",4,500,500)</f>
        <v/>
      </c>
      <c r="C583" s="30">
        <v>582.0</v>
      </c>
      <c r="D583" s="16" t="s">
        <v>1021</v>
      </c>
      <c r="E583" s="16" t="s">
        <v>184</v>
      </c>
      <c r="F583" s="16" t="s">
        <v>228</v>
      </c>
      <c r="G583" s="16" t="s">
        <v>186</v>
      </c>
      <c r="H583" s="16" t="s">
        <v>229</v>
      </c>
      <c r="I583" s="16" t="s">
        <v>230</v>
      </c>
    </row>
    <row r="584" ht="242.25" customHeight="1">
      <c r="A584" s="32" t="b">
        <v>0</v>
      </c>
      <c r="B584" s="32" t="str">
        <f>IMAGE("https://gymvisual.com/11360-catalog_default/barbell-seated-overhead-press-female.jpg",4,500,500)</f>
        <v/>
      </c>
      <c r="C584" s="30">
        <v>583.0</v>
      </c>
      <c r="D584" s="16" t="s">
        <v>1022</v>
      </c>
      <c r="E584" s="16" t="s">
        <v>184</v>
      </c>
      <c r="F584" s="16" t="s">
        <v>228</v>
      </c>
      <c r="G584" s="16" t="s">
        <v>186</v>
      </c>
      <c r="H584" s="16" t="s">
        <v>229</v>
      </c>
      <c r="I584" s="16" t="s">
        <v>230</v>
      </c>
    </row>
    <row r="585" ht="242.25" customHeight="1">
      <c r="A585" s="32" t="b">
        <v>0</v>
      </c>
      <c r="B585" s="32" t="str">
        <f>IMAGE("https://gymvisual.com/302-catalog_default/barbell-seated-overhead-triceps-extension.jpg",4,500,500)</f>
        <v/>
      </c>
      <c r="C585" s="30">
        <v>584.0</v>
      </c>
      <c r="D585" s="16" t="s">
        <v>1023</v>
      </c>
      <c r="E585" s="16" t="s">
        <v>184</v>
      </c>
      <c r="F585" s="16" t="s">
        <v>219</v>
      </c>
      <c r="G585" s="16" t="s">
        <v>186</v>
      </c>
      <c r="H585" s="16" t="s">
        <v>223</v>
      </c>
      <c r="I585" s="16" t="s">
        <v>220</v>
      </c>
    </row>
    <row r="586" ht="242.25" customHeight="1">
      <c r="A586" s="32" t="b">
        <v>0</v>
      </c>
      <c r="B586" s="32" t="str">
        <f>IMAGE("https://gymvisual.com/11366-catalog_default/barbell-seated-overhead-triceps-extension-female.jpg",4,500,500)</f>
        <v/>
      </c>
      <c r="C586" s="30">
        <v>585.0</v>
      </c>
      <c r="D586" s="16" t="s">
        <v>1024</v>
      </c>
      <c r="E586" s="16" t="s">
        <v>184</v>
      </c>
      <c r="F586" s="16" t="s">
        <v>219</v>
      </c>
      <c r="G586" s="16" t="s">
        <v>186</v>
      </c>
      <c r="H586" s="16" t="s">
        <v>223</v>
      </c>
      <c r="I586" s="16" t="s">
        <v>220</v>
      </c>
    </row>
    <row r="587" ht="242.25" customHeight="1">
      <c r="A587" s="32" t="b">
        <v>0</v>
      </c>
      <c r="B587" s="32" t="str">
        <f>IMAGE("https://gymvisual.com/17464-catalog_default/barbell-seated-shrug.jpg",4,500,500)</f>
        <v/>
      </c>
      <c r="C587" s="30">
        <v>586.0</v>
      </c>
      <c r="D587" s="16" t="s">
        <v>1025</v>
      </c>
      <c r="E587" s="16" t="s">
        <v>184</v>
      </c>
      <c r="F587" s="16" t="s">
        <v>192</v>
      </c>
      <c r="G587" s="16" t="s">
        <v>186</v>
      </c>
      <c r="H587" s="16" t="s">
        <v>238</v>
      </c>
      <c r="I587" s="16" t="s">
        <v>239</v>
      </c>
    </row>
    <row r="588" ht="242.25" customHeight="1">
      <c r="A588" s="32" t="b">
        <v>0</v>
      </c>
      <c r="B588" s="32" t="str">
        <f>IMAGE("https://gymvisual.com/308-catalog_default/barbell-seated-twist.jpg",4,500,500)</f>
        <v/>
      </c>
      <c r="C588" s="30">
        <v>587.0</v>
      </c>
      <c r="D588" s="16" t="s">
        <v>1026</v>
      </c>
      <c r="E588" s="16" t="s">
        <v>184</v>
      </c>
      <c r="F588" s="16" t="s">
        <v>254</v>
      </c>
      <c r="G588" s="16" t="s">
        <v>186</v>
      </c>
      <c r="H588" s="16" t="s">
        <v>257</v>
      </c>
      <c r="I588" s="16" t="s">
        <v>271</v>
      </c>
    </row>
    <row r="589" ht="242.25" customHeight="1">
      <c r="A589" s="32" t="b">
        <v>0</v>
      </c>
      <c r="B589" s="32" t="str">
        <f>IMAGE("https://gymvisual.com/305-catalog_default/barbell-seated-twist-on-stability-ball.jpg",4,500,500)</f>
        <v/>
      </c>
      <c r="C589" s="30">
        <v>588.0</v>
      </c>
      <c r="D589" s="16" t="s">
        <v>1027</v>
      </c>
      <c r="E589" s="16" t="s">
        <v>184</v>
      </c>
      <c r="F589" s="16" t="s">
        <v>254</v>
      </c>
      <c r="G589" s="16" t="s">
        <v>186</v>
      </c>
      <c r="H589" s="16" t="s">
        <v>257</v>
      </c>
      <c r="I589" s="16" t="s">
        <v>271</v>
      </c>
    </row>
    <row r="590" ht="242.25" customHeight="1">
      <c r="A590" s="32" t="b">
        <v>0</v>
      </c>
      <c r="B590" s="32" t="str">
        <f>IMAGE("https://gymvisual.com/10255-catalog_default/barbell-shoulder-grip-upright-row-female.jpg",4,500,500)</f>
        <v/>
      </c>
      <c r="C590" s="30">
        <v>589.0</v>
      </c>
      <c r="D590" s="16" t="s">
        <v>1028</v>
      </c>
      <c r="E590" s="16" t="s">
        <v>184</v>
      </c>
      <c r="F590" s="16" t="s">
        <v>228</v>
      </c>
      <c r="G590" s="16" t="s">
        <v>186</v>
      </c>
      <c r="H590" s="16" t="s">
        <v>544</v>
      </c>
      <c r="I590" s="16" t="s">
        <v>713</v>
      </c>
    </row>
    <row r="591" ht="242.25" customHeight="1">
      <c r="A591" s="32" t="b">
        <v>0</v>
      </c>
      <c r="B591" s="32" t="str">
        <f>IMAGE("https://gymvisual.com/24812-catalog_default/barbell-shoulder-grip-upright-row-male.jpg",4,500,500)</f>
        <v/>
      </c>
      <c r="C591" s="30">
        <v>590.0</v>
      </c>
      <c r="D591" s="16" t="s">
        <v>1029</v>
      </c>
      <c r="E591" s="16" t="s">
        <v>184</v>
      </c>
      <c r="F591" s="16" t="s">
        <v>228</v>
      </c>
      <c r="G591" s="16" t="s">
        <v>186</v>
      </c>
      <c r="H591" s="16" t="s">
        <v>544</v>
      </c>
      <c r="I591" s="16" t="s">
        <v>715</v>
      </c>
    </row>
    <row r="592" ht="242.25" customHeight="1">
      <c r="A592" s="32" t="b">
        <v>0</v>
      </c>
      <c r="B592" s="32" t="str">
        <f>IMAGE("https://gymvisual.com/311-catalog_default/barbell-shrug.jpg",4,500,500)</f>
        <v/>
      </c>
      <c r="C592" s="30">
        <v>591.0</v>
      </c>
      <c r="D592" s="16" t="s">
        <v>1030</v>
      </c>
      <c r="E592" s="16" t="s">
        <v>184</v>
      </c>
      <c r="F592" s="16" t="s">
        <v>192</v>
      </c>
      <c r="G592" s="16" t="s">
        <v>186</v>
      </c>
      <c r="H592" s="16" t="s">
        <v>238</v>
      </c>
      <c r="I592" s="16" t="s">
        <v>618</v>
      </c>
    </row>
    <row r="593" ht="242.25" customHeight="1">
      <c r="A593" s="32" t="b">
        <v>0</v>
      </c>
      <c r="B593" s="32" t="str">
        <f>IMAGE("https://gymvisual.com/11011-catalog_default/barbell-shrug-female.jpg",4,500,500)</f>
        <v/>
      </c>
      <c r="C593" s="30">
        <v>592.0</v>
      </c>
      <c r="D593" s="16" t="s">
        <v>1031</v>
      </c>
      <c r="E593" s="16" t="s">
        <v>184</v>
      </c>
      <c r="F593" s="16" t="s">
        <v>192</v>
      </c>
      <c r="G593" s="16" t="s">
        <v>186</v>
      </c>
      <c r="H593" s="16" t="s">
        <v>238</v>
      </c>
      <c r="I593" s="16" t="s">
        <v>618</v>
      </c>
    </row>
    <row r="594" ht="242.25" customHeight="1">
      <c r="A594" s="32" t="b">
        <v>0</v>
      </c>
      <c r="B594" s="32" t="str">
        <f>IMAGE("https://gymvisual.com/314-catalog_default/barbell-side-bent-version-2.jpg",4,500,500)</f>
        <v/>
      </c>
      <c r="C594" s="30">
        <v>593.0</v>
      </c>
      <c r="D594" s="16" t="s">
        <v>1032</v>
      </c>
      <c r="E594" s="16" t="s">
        <v>184</v>
      </c>
      <c r="F594" s="16" t="s">
        <v>254</v>
      </c>
      <c r="G594" s="16" t="s">
        <v>186</v>
      </c>
      <c r="H594" s="16" t="s">
        <v>257</v>
      </c>
      <c r="I594" s="16" t="s">
        <v>271</v>
      </c>
    </row>
    <row r="595" ht="242.25" customHeight="1">
      <c r="A595" s="32" t="b">
        <v>0</v>
      </c>
      <c r="B595" s="32" t="str">
        <f>IMAGE("https://gymvisual.com/320-catalog_default/barbell-side-split-squat.jpg",4,500,500)</f>
        <v/>
      </c>
      <c r="C595" s="30">
        <v>594.0</v>
      </c>
      <c r="D595" s="16" t="s">
        <v>1033</v>
      </c>
      <c r="E595" s="16" t="s">
        <v>184</v>
      </c>
      <c r="F595" s="16" t="s">
        <v>285</v>
      </c>
      <c r="G595" s="16" t="s">
        <v>186</v>
      </c>
      <c r="H595" s="16" t="s">
        <v>189</v>
      </c>
      <c r="I595" s="16" t="s">
        <v>1034</v>
      </c>
    </row>
    <row r="596" ht="242.25" customHeight="1">
      <c r="A596" s="32" t="b">
        <v>0</v>
      </c>
      <c r="B596" s="32" t="str">
        <f>IMAGE("https://gymvisual.com/317-catalog_default/barbell-side-split-squat-version-2.jpg",4,500,500)</f>
        <v/>
      </c>
      <c r="C596" s="30">
        <v>595.0</v>
      </c>
      <c r="D596" s="16" t="s">
        <v>1035</v>
      </c>
      <c r="E596" s="16" t="s">
        <v>184</v>
      </c>
      <c r="F596" s="16" t="s">
        <v>285</v>
      </c>
      <c r="G596" s="16" t="s">
        <v>186</v>
      </c>
      <c r="H596" s="16" t="s">
        <v>189</v>
      </c>
      <c r="I596" s="16" t="s">
        <v>190</v>
      </c>
    </row>
    <row r="597" ht="242.25" customHeight="1">
      <c r="A597" s="32" t="b">
        <v>0</v>
      </c>
      <c r="B597" s="32" t="str">
        <f>IMAGE("https://gymvisual.com/7516-catalog_default/barbell-single-leg-deadlift.jpg",4,500,500)</f>
        <v/>
      </c>
      <c r="C597" s="30">
        <v>596.0</v>
      </c>
      <c r="D597" s="16" t="s">
        <v>1036</v>
      </c>
      <c r="E597" s="16" t="s">
        <v>184</v>
      </c>
      <c r="F597" s="16" t="s">
        <v>185</v>
      </c>
      <c r="G597" s="16" t="s">
        <v>186</v>
      </c>
      <c r="H597" s="16" t="s">
        <v>187</v>
      </c>
      <c r="I597" s="16" t="s">
        <v>482</v>
      </c>
    </row>
    <row r="598" ht="242.25" customHeight="1">
      <c r="A598" s="32" t="b">
        <v>0</v>
      </c>
      <c r="B598" s="32" t="str">
        <f>IMAGE("https://gymvisual.com/11432-catalog_default/barbell-single-leg-deadlift-female.jpg",4,500,500)</f>
        <v/>
      </c>
      <c r="C598" s="30">
        <v>597.0</v>
      </c>
      <c r="D598" s="16" t="s">
        <v>1037</v>
      </c>
      <c r="E598" s="16" t="s">
        <v>184</v>
      </c>
      <c r="F598" s="16" t="s">
        <v>185</v>
      </c>
      <c r="G598" s="16" t="s">
        <v>186</v>
      </c>
      <c r="H598" s="16" t="s">
        <v>220</v>
      </c>
      <c r="I598" s="16" t="s">
        <v>220</v>
      </c>
    </row>
    <row r="599" ht="242.25" customHeight="1">
      <c r="A599" s="32" t="b">
        <v>0</v>
      </c>
      <c r="B599" s="32" t="str">
        <f>IMAGE("https://gymvisual.com/22385-catalog_default/barbell-single-leg-good-morning.jpg",4,500,500)</f>
        <v/>
      </c>
      <c r="C599" s="30">
        <v>598.0</v>
      </c>
      <c r="D599" s="16" t="s">
        <v>1038</v>
      </c>
      <c r="E599" s="16" t="s">
        <v>184</v>
      </c>
      <c r="F599" s="16" t="s">
        <v>285</v>
      </c>
      <c r="G599" s="16" t="s">
        <v>186</v>
      </c>
      <c r="H599" s="16" t="s">
        <v>220</v>
      </c>
      <c r="I599" s="16" t="s">
        <v>220</v>
      </c>
    </row>
    <row r="600" ht="242.25" customHeight="1">
      <c r="A600" s="32" t="b">
        <v>0</v>
      </c>
      <c r="B600" s="32" t="str">
        <f>IMAGE("https://gymvisual.com/24721-catalog_default/barbell-single-leg-split-squat.jpg",4,500,500)</f>
        <v/>
      </c>
      <c r="C600" s="30">
        <v>599.0</v>
      </c>
      <c r="D600" s="16" t="s">
        <v>1039</v>
      </c>
      <c r="E600" s="16" t="s">
        <v>184</v>
      </c>
      <c r="F600" s="16" t="s">
        <v>185</v>
      </c>
      <c r="G600" s="16" t="s">
        <v>186</v>
      </c>
      <c r="H600" s="16" t="s">
        <v>189</v>
      </c>
      <c r="I600" s="16" t="s">
        <v>190</v>
      </c>
    </row>
    <row r="601" ht="242.25" customHeight="1">
      <c r="A601" s="32" t="b">
        <v>0</v>
      </c>
      <c r="B601" s="32" t="str">
        <f>IMAGE("https://gymvisual.com/9595-catalog_default/barbell-single-leg-split-squat-female.jpg",4,500,500)</f>
        <v/>
      </c>
      <c r="C601" s="30">
        <v>600.0</v>
      </c>
      <c r="D601" s="16" t="s">
        <v>1040</v>
      </c>
      <c r="E601" s="16" t="s">
        <v>184</v>
      </c>
      <c r="F601" s="16" t="s">
        <v>294</v>
      </c>
      <c r="G601" s="16" t="s">
        <v>186</v>
      </c>
      <c r="H601" s="16" t="s">
        <v>189</v>
      </c>
      <c r="I601" s="16" t="s">
        <v>190</v>
      </c>
    </row>
    <row r="602" ht="242.25" customHeight="1">
      <c r="A602" s="32" t="b">
        <v>0</v>
      </c>
      <c r="B602" s="32" t="str">
        <f>IMAGE("https://gymvisual.com/18770-catalog_default/barbell-single-leg-squat.jpg",4,500,500)</f>
        <v/>
      </c>
      <c r="C602" s="30">
        <v>601.0</v>
      </c>
      <c r="D602" s="16" t="s">
        <v>1041</v>
      </c>
      <c r="E602" s="16" t="s">
        <v>184</v>
      </c>
      <c r="F602" s="16" t="s">
        <v>285</v>
      </c>
      <c r="G602" s="16" t="s">
        <v>186</v>
      </c>
      <c r="H602" s="16" t="s">
        <v>220</v>
      </c>
      <c r="I602" s="16" t="s">
        <v>220</v>
      </c>
    </row>
    <row r="603" ht="242.25" customHeight="1">
      <c r="A603" s="32" t="b">
        <v>0</v>
      </c>
      <c r="B603" s="32" t="str">
        <f>IMAGE("https://gymvisual.com/11962-catalog_default/barbell-sitted-alternate-leg-raise.jpg",4,500,500)</f>
        <v/>
      </c>
      <c r="C603" s="30">
        <v>602.0</v>
      </c>
      <c r="D603" s="16" t="s">
        <v>1042</v>
      </c>
      <c r="E603" s="16" t="s">
        <v>184</v>
      </c>
      <c r="F603" s="16" t="s">
        <v>254</v>
      </c>
      <c r="G603" s="16" t="s">
        <v>186</v>
      </c>
      <c r="H603" s="16" t="s">
        <v>220</v>
      </c>
      <c r="I603" s="16" t="s">
        <v>220</v>
      </c>
    </row>
    <row r="604" ht="242.25" customHeight="1">
      <c r="A604" s="32" t="b">
        <v>0</v>
      </c>
      <c r="B604" s="32" t="str">
        <f>IMAGE("https://gymvisual.com/11963-catalog_default/barbell-sitted-alternate-leg-raise-female.jpg",4,500,500)</f>
        <v/>
      </c>
      <c r="C604" s="30">
        <v>603.0</v>
      </c>
      <c r="D604" s="16" t="s">
        <v>1043</v>
      </c>
      <c r="E604" s="16" t="s">
        <v>184</v>
      </c>
      <c r="F604" s="16" t="s">
        <v>254</v>
      </c>
      <c r="G604" s="16" t="s">
        <v>186</v>
      </c>
      <c r="H604" s="16" t="s">
        <v>220</v>
      </c>
      <c r="I604" s="16" t="s">
        <v>220</v>
      </c>
    </row>
    <row r="605" ht="242.25" customHeight="1">
      <c r="A605" s="32" t="b">
        <v>0</v>
      </c>
      <c r="B605" s="32" t="str">
        <f>IMAGE("https://gymvisual.com/22393-catalog_default/barbell-sitting-on-floor-oblique-twist.jpg",4,500,500)</f>
        <v/>
      </c>
      <c r="C605" s="30">
        <v>604.0</v>
      </c>
      <c r="D605" s="16" t="s">
        <v>1044</v>
      </c>
      <c r="E605" s="16" t="s">
        <v>184</v>
      </c>
      <c r="F605" s="16" t="s">
        <v>254</v>
      </c>
      <c r="G605" s="16" t="s">
        <v>186</v>
      </c>
      <c r="H605" s="16" t="s">
        <v>220</v>
      </c>
      <c r="I605" s="16" t="s">
        <v>220</v>
      </c>
    </row>
    <row r="606" ht="242.25" customHeight="1">
      <c r="A606" s="32" t="b">
        <v>0</v>
      </c>
      <c r="B606" s="32" t="str">
        <f>IMAGE("https://gymvisual.com/326-catalog_default/barbell-skier.jpg",4,500,500)</f>
        <v/>
      </c>
      <c r="C606" s="30">
        <v>605.0</v>
      </c>
      <c r="D606" s="16" t="s">
        <v>1045</v>
      </c>
      <c r="E606" s="16" t="s">
        <v>184</v>
      </c>
      <c r="F606" s="16" t="s">
        <v>228</v>
      </c>
      <c r="G606" s="16" t="s">
        <v>186</v>
      </c>
      <c r="H606" s="16" t="s">
        <v>408</v>
      </c>
      <c r="I606" s="16" t="s">
        <v>1046</v>
      </c>
    </row>
    <row r="607" ht="242.25" customHeight="1">
      <c r="A607" s="32" t="b">
        <v>0</v>
      </c>
      <c r="B607" s="32" t="str">
        <f>IMAGE("https://gymvisual.com/12056-catalog_default/barbell-skier-female.jpg",4,500,500)</f>
        <v/>
      </c>
      <c r="C607" s="30">
        <v>606.0</v>
      </c>
      <c r="D607" s="16" t="s">
        <v>1047</v>
      </c>
      <c r="E607" s="16" t="s">
        <v>184</v>
      </c>
      <c r="F607" s="16" t="s">
        <v>228</v>
      </c>
      <c r="G607" s="16" t="s">
        <v>186</v>
      </c>
      <c r="H607" s="16" t="s">
        <v>220</v>
      </c>
      <c r="I607" s="16" t="s">
        <v>220</v>
      </c>
    </row>
    <row r="608" ht="242.25" customHeight="1">
      <c r="A608" s="32" t="b">
        <v>0</v>
      </c>
      <c r="B608" s="32" t="str">
        <f>IMAGE("https://gymvisual.com/20436-catalog_default/barbell-snatch.jpg",4,500,500)</f>
        <v/>
      </c>
      <c r="C608" s="30">
        <v>607.0</v>
      </c>
      <c r="D608" s="16" t="s">
        <v>1048</v>
      </c>
      <c r="E608" s="16" t="s">
        <v>184</v>
      </c>
      <c r="F608" s="16" t="s">
        <v>764</v>
      </c>
      <c r="G608" s="16" t="s">
        <v>186</v>
      </c>
      <c r="H608" s="16" t="s">
        <v>1049</v>
      </c>
      <c r="I608" s="16" t="s">
        <v>220</v>
      </c>
    </row>
    <row r="609" ht="242.25" customHeight="1">
      <c r="A609" s="32" t="b">
        <v>0</v>
      </c>
      <c r="B609" s="32" t="str">
        <f>IMAGE("https://gymvisual.com/6782-catalog_default/barbell-snatch-balance.jpg",4,500,500)</f>
        <v/>
      </c>
      <c r="C609" s="30">
        <v>608.0</v>
      </c>
      <c r="D609" s="16" t="s">
        <v>1050</v>
      </c>
      <c r="E609" s="16" t="s">
        <v>184</v>
      </c>
      <c r="F609" s="16" t="s">
        <v>764</v>
      </c>
      <c r="G609" s="16" t="s">
        <v>186</v>
      </c>
      <c r="H609" s="16" t="s">
        <v>1051</v>
      </c>
      <c r="I609" s="16" t="s">
        <v>220</v>
      </c>
    </row>
    <row r="610" ht="242.25" customHeight="1">
      <c r="A610" s="32" t="b">
        <v>0</v>
      </c>
      <c r="B610" s="32" t="str">
        <f>IMAGE("https://gymvisual.com/6783-catalog_default/barbell-snatch-deadlift.jpg",4,500,500)</f>
        <v/>
      </c>
      <c r="C610" s="30">
        <v>609.0</v>
      </c>
      <c r="D610" s="16" t="s">
        <v>1052</v>
      </c>
      <c r="E610" s="16" t="s">
        <v>184</v>
      </c>
      <c r="F610" s="16" t="s">
        <v>285</v>
      </c>
      <c r="G610" s="16" t="s">
        <v>186</v>
      </c>
      <c r="H610" s="16" t="s">
        <v>1053</v>
      </c>
      <c r="I610" s="16" t="s">
        <v>220</v>
      </c>
    </row>
    <row r="611" ht="242.25" customHeight="1">
      <c r="A611" s="32" t="b">
        <v>0</v>
      </c>
      <c r="B611" s="32" t="str">
        <f>IMAGE("https://gymvisual.com/6784-catalog_default/barbell-snatch-from-blocks.jpg",4,500,500)</f>
        <v/>
      </c>
      <c r="C611" s="30">
        <v>610.0</v>
      </c>
      <c r="D611" s="16" t="s">
        <v>1054</v>
      </c>
      <c r="E611" s="16" t="s">
        <v>184</v>
      </c>
      <c r="F611" s="16" t="s">
        <v>764</v>
      </c>
      <c r="G611" s="16" t="s">
        <v>186</v>
      </c>
      <c r="H611" s="16" t="s">
        <v>1055</v>
      </c>
      <c r="I611" s="16" t="s">
        <v>220</v>
      </c>
    </row>
    <row r="612" ht="242.25" customHeight="1">
      <c r="A612" s="32" t="b">
        <v>0</v>
      </c>
      <c r="B612" s="32" t="str">
        <f>IMAGE("https://gymvisual.com/329-catalog_default/barbell-speed-squat.jpg",4,500,500)</f>
        <v/>
      </c>
      <c r="C612" s="30">
        <v>611.0</v>
      </c>
      <c r="D612" s="16" t="s">
        <v>1056</v>
      </c>
      <c r="E612" s="16" t="s">
        <v>184</v>
      </c>
      <c r="F612" s="16" t="s">
        <v>285</v>
      </c>
      <c r="G612" s="16" t="s">
        <v>186</v>
      </c>
      <c r="H612" s="16" t="s">
        <v>189</v>
      </c>
      <c r="I612" s="16" t="s">
        <v>190</v>
      </c>
    </row>
    <row r="613" ht="242.25" customHeight="1">
      <c r="A613" s="32" t="b">
        <v>0</v>
      </c>
      <c r="B613" s="32" t="str">
        <f>IMAGE("https://gymvisual.com/18748-catalog_default/barbell-spider-curl.jpg",4,500,500)</f>
        <v/>
      </c>
      <c r="C613" s="30">
        <v>612.0</v>
      </c>
      <c r="D613" s="16" t="s">
        <v>1057</v>
      </c>
      <c r="E613" s="16" t="s">
        <v>184</v>
      </c>
      <c r="F613" s="16" t="s">
        <v>219</v>
      </c>
      <c r="G613" s="16" t="s">
        <v>186</v>
      </c>
      <c r="H613" s="16" t="s">
        <v>220</v>
      </c>
      <c r="I613" s="16" t="s">
        <v>220</v>
      </c>
    </row>
    <row r="614" ht="242.25" customHeight="1">
      <c r="A614" s="32" t="b">
        <v>0</v>
      </c>
      <c r="B614" s="32" t="str">
        <f>IMAGE("https://gymvisual.com/6785-catalog_default/barbell-split-clean.jpg",4,500,500)</f>
        <v/>
      </c>
      <c r="C614" s="30">
        <v>613.0</v>
      </c>
      <c r="D614" s="16" t="s">
        <v>1058</v>
      </c>
      <c r="E614" s="16" t="s">
        <v>184</v>
      </c>
      <c r="F614" s="16" t="s">
        <v>764</v>
      </c>
      <c r="G614" s="16" t="s">
        <v>186</v>
      </c>
      <c r="H614" s="16" t="s">
        <v>1059</v>
      </c>
      <c r="I614" s="16" t="s">
        <v>220</v>
      </c>
    </row>
    <row r="615" ht="242.25" customHeight="1">
      <c r="A615" s="32" t="b">
        <v>0</v>
      </c>
      <c r="B615" s="32" t="str">
        <f>IMAGE("https://gymvisual.com/6786-catalog_default/barbell-split-jerk.jpg",4,500,500)</f>
        <v/>
      </c>
      <c r="C615" s="30">
        <v>614.0</v>
      </c>
      <c r="D615" s="16" t="s">
        <v>1060</v>
      </c>
      <c r="E615" s="16" t="s">
        <v>184</v>
      </c>
      <c r="F615" s="16" t="s">
        <v>764</v>
      </c>
      <c r="G615" s="16" t="s">
        <v>186</v>
      </c>
      <c r="H615" s="16" t="s">
        <v>1061</v>
      </c>
      <c r="I615" s="16" t="s">
        <v>220</v>
      </c>
    </row>
    <row r="616" ht="242.25" customHeight="1">
      <c r="A616" s="32" t="b">
        <v>0</v>
      </c>
      <c r="B616" s="32" t="str">
        <f>IMAGE("https://gymvisual.com/13329-catalog_default/barbell-split-squat.jpg",4,500,500)</f>
        <v/>
      </c>
      <c r="C616" s="30">
        <v>615.0</v>
      </c>
      <c r="D616" s="16" t="s">
        <v>1062</v>
      </c>
      <c r="E616" s="16" t="s">
        <v>184</v>
      </c>
      <c r="F616" s="16" t="s">
        <v>294</v>
      </c>
      <c r="G616" s="16" t="s">
        <v>186</v>
      </c>
      <c r="H616" s="16" t="s">
        <v>189</v>
      </c>
      <c r="I616" s="16" t="s">
        <v>190</v>
      </c>
    </row>
    <row r="617" ht="242.25" customHeight="1">
      <c r="A617" s="32" t="b">
        <v>0</v>
      </c>
      <c r="B617" s="32" t="str">
        <f>IMAGE("https://gymvisual.com/10259-catalog_default/barbell-split-squat-female.jpg",4,500,500)</f>
        <v/>
      </c>
      <c r="C617" s="30">
        <v>616.0</v>
      </c>
      <c r="D617" s="16" t="s">
        <v>1063</v>
      </c>
      <c r="E617" s="16" t="s">
        <v>184</v>
      </c>
      <c r="F617" s="16" t="s">
        <v>294</v>
      </c>
      <c r="G617" s="16" t="s">
        <v>186</v>
      </c>
      <c r="H617" s="16" t="s">
        <v>189</v>
      </c>
      <c r="I617" s="16" t="s">
        <v>190</v>
      </c>
    </row>
    <row r="618" ht="242.25" customHeight="1">
      <c r="A618" s="32" t="b">
        <v>0</v>
      </c>
      <c r="B618" s="32" t="str">
        <f>IMAGE("https://gymvisual.com/11972-catalog_default/barbell-split-squat-version-2.jpg",4,500,500)</f>
        <v/>
      </c>
      <c r="C618" s="30">
        <v>617.0</v>
      </c>
      <c r="D618" s="16" t="s">
        <v>1064</v>
      </c>
      <c r="E618" s="16" t="s">
        <v>184</v>
      </c>
      <c r="F618" s="16" t="s">
        <v>185</v>
      </c>
      <c r="G618" s="16" t="s">
        <v>186</v>
      </c>
      <c r="H618" s="16" t="s">
        <v>189</v>
      </c>
      <c r="I618" s="16" t="s">
        <v>190</v>
      </c>
    </row>
    <row r="619" ht="242.25" customHeight="1">
      <c r="A619" s="32" t="b">
        <v>0</v>
      </c>
      <c r="B619" s="32" t="str">
        <f>IMAGE("https://gymvisual.com/11973-catalog_default/barbell-split-squat-version-2-female.jpg",4,500,500)</f>
        <v/>
      </c>
      <c r="C619" s="30">
        <v>618.0</v>
      </c>
      <c r="D619" s="16" t="s">
        <v>1065</v>
      </c>
      <c r="E619" s="16" t="s">
        <v>184</v>
      </c>
      <c r="F619" s="16" t="s">
        <v>185</v>
      </c>
      <c r="G619" s="16" t="s">
        <v>186</v>
      </c>
      <c r="H619" s="16" t="s">
        <v>220</v>
      </c>
      <c r="I619" s="16" t="s">
        <v>220</v>
      </c>
    </row>
    <row r="620" ht="242.25" customHeight="1">
      <c r="A620" s="32" t="b">
        <v>0</v>
      </c>
      <c r="B620" s="32" t="str">
        <f>IMAGE("https://gymvisual.com/14250-catalog_default/barbell-squat-female.jpg",4,500,500)</f>
        <v/>
      </c>
      <c r="C620" s="30">
        <v>619.0</v>
      </c>
      <c r="D620" s="16" t="s">
        <v>1066</v>
      </c>
      <c r="E620" s="16" t="s">
        <v>184</v>
      </c>
      <c r="F620" s="16" t="s">
        <v>294</v>
      </c>
      <c r="G620" s="16" t="s">
        <v>186</v>
      </c>
      <c r="H620" s="16" t="s">
        <v>189</v>
      </c>
      <c r="I620" s="16" t="s">
        <v>190</v>
      </c>
    </row>
    <row r="621" ht="242.25" customHeight="1">
      <c r="A621" s="32" t="b">
        <v>0</v>
      </c>
      <c r="B621" s="32" t="str">
        <f>IMAGE("https://gymvisual.com/332-catalog_default/barbell-squat-on-knees.jpg",4,500,500)</f>
        <v/>
      </c>
      <c r="C621" s="30">
        <v>620.0</v>
      </c>
      <c r="D621" s="16" t="s">
        <v>1067</v>
      </c>
      <c r="E621" s="16" t="s">
        <v>184</v>
      </c>
      <c r="F621" s="16" t="s">
        <v>285</v>
      </c>
      <c r="G621" s="16" t="s">
        <v>186</v>
      </c>
      <c r="H621" s="16" t="s">
        <v>552</v>
      </c>
      <c r="I621" s="16" t="s">
        <v>683</v>
      </c>
    </row>
    <row r="622" ht="242.25" customHeight="1">
      <c r="B622" s="32" t="str">
        <f>IMAGE("https://gymvisual.com/12830-catalog_default/barbell-squat-with-hanging-band-technique.jpg",4,500,500)</f>
        <v/>
      </c>
      <c r="C622" s="30">
        <v>621.0</v>
      </c>
      <c r="D622" s="16" t="s">
        <v>1068</v>
      </c>
      <c r="E622" s="16" t="s">
        <v>184</v>
      </c>
      <c r="F622" s="16" t="s">
        <v>285</v>
      </c>
      <c r="G622" s="16" t="s">
        <v>186</v>
      </c>
      <c r="H622" s="16" t="s">
        <v>189</v>
      </c>
      <c r="I622" s="16" t="s">
        <v>190</v>
      </c>
    </row>
    <row r="623" ht="242.25" customHeight="1">
      <c r="A623" s="32" t="b">
        <v>0</v>
      </c>
      <c r="B623" s="32" t="str">
        <f>IMAGE("https://gymvisual.com/10233-catalog_default/barbell-squat-hips-wrong-right.jpg",4,500,500)</f>
        <v/>
      </c>
      <c r="C623" s="30">
        <v>622.0</v>
      </c>
      <c r="D623" s="16" t="s">
        <v>1069</v>
      </c>
      <c r="E623" s="16" t="s">
        <v>184</v>
      </c>
      <c r="F623" s="16" t="s">
        <v>294</v>
      </c>
      <c r="G623" s="16" t="s">
        <v>186</v>
      </c>
      <c r="H623" s="16" t="s">
        <v>220</v>
      </c>
      <c r="I623" s="16" t="s">
        <v>220</v>
      </c>
    </row>
    <row r="624" ht="242.25" customHeight="1">
      <c r="A624" s="32" t="b">
        <v>0</v>
      </c>
      <c r="B624" s="32" t="str">
        <f>IMAGE("https://gymvisual.com/10229-catalog_default/barbell-squat-knees-end-position-wrong-right.jpg",4,500,500)</f>
        <v/>
      </c>
      <c r="C624" s="30">
        <v>623.0</v>
      </c>
      <c r="D624" s="16" t="s">
        <v>1070</v>
      </c>
      <c r="E624" s="16" t="s">
        <v>184</v>
      </c>
      <c r="F624" s="16" t="s">
        <v>285</v>
      </c>
      <c r="G624" s="16" t="s">
        <v>186</v>
      </c>
      <c r="H624" s="16" t="s">
        <v>220</v>
      </c>
      <c r="I624" s="16" t="s">
        <v>220</v>
      </c>
    </row>
    <row r="625" ht="242.25" customHeight="1">
      <c r="A625" s="32" t="b">
        <v>0</v>
      </c>
      <c r="B625" s="32" t="str">
        <f>IMAGE("https://gymvisual.com/10231-catalog_default/barbell-squat-knees-middle-position-wrong-right.jpg",4,500,500)</f>
        <v/>
      </c>
      <c r="C625" s="30">
        <v>624.0</v>
      </c>
      <c r="D625" s="16" t="s">
        <v>1071</v>
      </c>
      <c r="E625" s="16" t="s">
        <v>184</v>
      </c>
      <c r="F625" s="16" t="s">
        <v>294</v>
      </c>
      <c r="G625" s="16" t="s">
        <v>186</v>
      </c>
      <c r="H625" s="16" t="s">
        <v>220</v>
      </c>
      <c r="I625" s="16" t="s">
        <v>220</v>
      </c>
    </row>
    <row r="626" ht="242.25" customHeight="1">
      <c r="A626" s="32" t="b">
        <v>0</v>
      </c>
      <c r="B626" s="32" t="str">
        <f>IMAGE("https://gymvisual.com/19778-catalog_default/barbell-squat-2-sec-hold.jpg",4,500,500)</f>
        <v/>
      </c>
      <c r="C626" s="30">
        <v>625.0</v>
      </c>
      <c r="D626" s="16" t="s">
        <v>1072</v>
      </c>
      <c r="E626" s="16" t="s">
        <v>184</v>
      </c>
      <c r="F626" s="16" t="s">
        <v>285</v>
      </c>
      <c r="G626" s="16" t="s">
        <v>186</v>
      </c>
      <c r="H626" s="16" t="s">
        <v>189</v>
      </c>
      <c r="I626" s="16" t="s">
        <v>190</v>
      </c>
    </row>
    <row r="627" ht="242.25" customHeight="1">
      <c r="A627" s="32" t="b">
        <v>0</v>
      </c>
      <c r="B627" s="32" t="str">
        <f>IMAGE("https://gymvisual.com/6788-catalog_default/barbell-squat-to-shoulder-press.jpg",4,500,500)</f>
        <v/>
      </c>
      <c r="C627" s="30">
        <v>626.0</v>
      </c>
      <c r="D627" s="16" t="s">
        <v>1073</v>
      </c>
      <c r="E627" s="16" t="s">
        <v>184</v>
      </c>
      <c r="F627" s="16" t="s">
        <v>285</v>
      </c>
      <c r="G627" s="16" t="s">
        <v>186</v>
      </c>
      <c r="H627" s="16" t="s">
        <v>220</v>
      </c>
      <c r="I627" s="16" t="s">
        <v>220</v>
      </c>
    </row>
    <row r="628" ht="242.25" customHeight="1">
      <c r="A628" s="32" t="b">
        <v>0</v>
      </c>
      <c r="B628" s="32" t="str">
        <f>IMAGE("https://gymvisual.com/6789-catalog_default/barbell-squat-to-upright-row.jpg",4,500,500)</f>
        <v/>
      </c>
      <c r="C628" s="30">
        <v>627.0</v>
      </c>
      <c r="D628" s="16" t="s">
        <v>1074</v>
      </c>
      <c r="E628" s="16" t="s">
        <v>184</v>
      </c>
      <c r="F628" s="16" t="s">
        <v>285</v>
      </c>
      <c r="G628" s="16" t="s">
        <v>186</v>
      </c>
      <c r="H628" s="16" t="s">
        <v>220</v>
      </c>
      <c r="I628" s="16" t="s">
        <v>220</v>
      </c>
    </row>
    <row r="629" ht="242.25" customHeight="1">
      <c r="A629" s="32" t="b">
        <v>0</v>
      </c>
      <c r="B629" s="32" t="str">
        <f>IMAGE("https://gymvisual.com/17861-catalog_default/barbell-squat-with-chains.jpg",4,500,500)</f>
        <v/>
      </c>
      <c r="C629" s="30">
        <v>628.0</v>
      </c>
      <c r="D629" s="16" t="s">
        <v>1075</v>
      </c>
      <c r="E629" s="16" t="s">
        <v>184</v>
      </c>
      <c r="F629" s="16" t="s">
        <v>285</v>
      </c>
      <c r="G629" s="16" t="s">
        <v>186</v>
      </c>
      <c r="H629" s="16" t="s">
        <v>220</v>
      </c>
      <c r="I629" s="16" t="s">
        <v>220</v>
      </c>
    </row>
    <row r="630" ht="242.25" customHeight="1">
      <c r="A630" s="32" t="b">
        <v>0</v>
      </c>
      <c r="B630" s="32" t="str">
        <f>IMAGE("https://gymvisual.com/25017-catalog_default/barbell-srtict-curl.jpg",4,500,500)</f>
        <v/>
      </c>
      <c r="C630" s="30">
        <v>629.0</v>
      </c>
      <c r="D630" s="16" t="s">
        <v>1076</v>
      </c>
      <c r="E630" s="16" t="s">
        <v>184</v>
      </c>
      <c r="F630" s="16" t="s">
        <v>219</v>
      </c>
      <c r="G630" s="16" t="s">
        <v>186</v>
      </c>
      <c r="H630" s="16" t="s">
        <v>220</v>
      </c>
      <c r="I630" s="16" t="s">
        <v>220</v>
      </c>
    </row>
    <row r="631" ht="242.25" customHeight="1">
      <c r="A631" s="32" t="b">
        <v>0</v>
      </c>
      <c r="B631" s="32" t="str">
        <f>IMAGE("https://gymvisual.com/23857-catalog_default/barbell-staggered-stance-hip-thrust.jpg",4,500,500)</f>
        <v/>
      </c>
      <c r="C631" s="30">
        <v>630.0</v>
      </c>
      <c r="D631" s="16" t="s">
        <v>1077</v>
      </c>
      <c r="E631" s="16" t="s">
        <v>184</v>
      </c>
      <c r="F631" s="16" t="s">
        <v>185</v>
      </c>
      <c r="G631" s="16" t="s">
        <v>186</v>
      </c>
      <c r="H631" s="16" t="s">
        <v>220</v>
      </c>
      <c r="I631" s="16" t="s">
        <v>220</v>
      </c>
    </row>
    <row r="632" ht="242.25" customHeight="1">
      <c r="A632" s="32" t="b">
        <v>0</v>
      </c>
      <c r="B632" s="32" t="str">
        <f>IMAGE("https://gymvisual.com/335-catalog_default/barbell-standing-ab-rollout.jpg",4,500,500)</f>
        <v/>
      </c>
      <c r="C632" s="30">
        <v>631.0</v>
      </c>
      <c r="D632" s="16" t="s">
        <v>1078</v>
      </c>
      <c r="E632" s="16" t="s">
        <v>184</v>
      </c>
      <c r="F632" s="16" t="s">
        <v>254</v>
      </c>
      <c r="G632" s="16" t="s">
        <v>186</v>
      </c>
      <c r="H632" s="16" t="s">
        <v>305</v>
      </c>
      <c r="I632" s="16" t="s">
        <v>1079</v>
      </c>
    </row>
    <row r="633" ht="242.25" customHeight="1">
      <c r="A633" s="32" t="b">
        <v>0</v>
      </c>
      <c r="B633" s="32" t="str">
        <f>IMAGE("https://gymvisual.com/12065-catalog_default/barbell-standing-ab-rollout-female.jpg",4,500,500)</f>
        <v/>
      </c>
      <c r="C633" s="30">
        <v>632.0</v>
      </c>
      <c r="D633" s="16" t="s">
        <v>1080</v>
      </c>
      <c r="E633" s="16" t="s">
        <v>184</v>
      </c>
      <c r="F633" s="16" t="s">
        <v>254</v>
      </c>
      <c r="G633" s="16" t="s">
        <v>186</v>
      </c>
      <c r="H633" s="16" t="s">
        <v>220</v>
      </c>
      <c r="I633" s="16" t="s">
        <v>220</v>
      </c>
    </row>
    <row r="634" ht="242.25" customHeight="1">
      <c r="A634" s="32" t="b">
        <v>0</v>
      </c>
      <c r="B634" s="32" t="str">
        <f>IMAGE("https://gymvisual.com/338-catalog_default/barbell-standing-back-wrist-curl.jpg",4,500,500)</f>
        <v/>
      </c>
      <c r="C634" s="30">
        <v>633.0</v>
      </c>
      <c r="D634" s="16" t="s">
        <v>1081</v>
      </c>
      <c r="E634" s="16" t="s">
        <v>184</v>
      </c>
      <c r="F634" s="16" t="s">
        <v>214</v>
      </c>
      <c r="G634" s="16" t="s">
        <v>186</v>
      </c>
      <c r="H634" s="16" t="s">
        <v>720</v>
      </c>
      <c r="I634" s="16" t="s">
        <v>220</v>
      </c>
    </row>
    <row r="635" ht="242.25" customHeight="1">
      <c r="A635" s="32" t="b">
        <v>0</v>
      </c>
      <c r="B635" s="32" t="str">
        <f>IMAGE("https://gymvisual.com/11014-catalog_default/barbell-standing-back-wrist-curl-female.jpg",4,500,500)</f>
        <v/>
      </c>
      <c r="C635" s="30">
        <v>634.0</v>
      </c>
      <c r="D635" s="16" t="s">
        <v>1082</v>
      </c>
      <c r="E635" s="16" t="s">
        <v>184</v>
      </c>
      <c r="F635" s="16" t="s">
        <v>214</v>
      </c>
      <c r="G635" s="16" t="s">
        <v>186</v>
      </c>
      <c r="H635" s="16" t="s">
        <v>720</v>
      </c>
      <c r="I635" s="16" t="s">
        <v>220</v>
      </c>
    </row>
    <row r="636" ht="242.25" customHeight="1">
      <c r="A636" s="32" t="b">
        <v>0</v>
      </c>
      <c r="B636" s="32" t="str">
        <f>IMAGE("https://gymvisual.com/341-catalog_default/barbell-standing-bradford-press.jpg",4,500,500)</f>
        <v/>
      </c>
      <c r="C636" s="30">
        <v>635.0</v>
      </c>
      <c r="D636" s="16" t="s">
        <v>1083</v>
      </c>
      <c r="E636" s="16" t="s">
        <v>184</v>
      </c>
      <c r="F636" s="16" t="s">
        <v>228</v>
      </c>
      <c r="G636" s="16" t="s">
        <v>186</v>
      </c>
      <c r="H636" s="16" t="s">
        <v>229</v>
      </c>
      <c r="I636" s="16" t="s">
        <v>230</v>
      </c>
    </row>
    <row r="637" ht="242.25" customHeight="1">
      <c r="A637" s="32" t="b">
        <v>0</v>
      </c>
      <c r="B637" s="32" t="str">
        <f>IMAGE("https://gymvisual.com/6067-catalog_default/barbell-standing-calf-raise.jpg",4,500,500)</f>
        <v/>
      </c>
      <c r="C637" s="30">
        <v>636.0</v>
      </c>
      <c r="D637" s="16" t="s">
        <v>1084</v>
      </c>
      <c r="E637" s="16" t="s">
        <v>184</v>
      </c>
      <c r="F637" s="16" t="s">
        <v>325</v>
      </c>
      <c r="G637" s="16" t="s">
        <v>186</v>
      </c>
      <c r="H637" s="16" t="s">
        <v>368</v>
      </c>
      <c r="I637" s="16" t="s">
        <v>463</v>
      </c>
    </row>
    <row r="638" ht="242.25" customHeight="1">
      <c r="A638" s="32" t="b">
        <v>0</v>
      </c>
      <c r="B638" s="32" t="str">
        <f>IMAGE("https://gymvisual.com/11501-catalog_default/barbell-standing-calf-raise-female.jpg",4,500,500)</f>
        <v/>
      </c>
      <c r="C638" s="30">
        <v>637.0</v>
      </c>
      <c r="D638" s="16" t="s">
        <v>1085</v>
      </c>
      <c r="E638" s="16" t="s">
        <v>184</v>
      </c>
      <c r="F638" s="16" t="s">
        <v>325</v>
      </c>
      <c r="G638" s="16" t="s">
        <v>186</v>
      </c>
      <c r="H638" s="16" t="s">
        <v>220</v>
      </c>
      <c r="I638" s="16" t="s">
        <v>220</v>
      </c>
    </row>
    <row r="639" ht="242.25" customHeight="1">
      <c r="A639" s="32" t="b">
        <v>0</v>
      </c>
      <c r="B639" s="32" t="str">
        <f>IMAGE("https://gymvisual.com/2943-catalog_default/barbell-standing-close-grip-curl.jpg",4,500,500)</f>
        <v/>
      </c>
      <c r="C639" s="30">
        <v>638.0</v>
      </c>
      <c r="D639" s="16" t="s">
        <v>1086</v>
      </c>
      <c r="E639" s="16" t="s">
        <v>184</v>
      </c>
      <c r="F639" s="16" t="s">
        <v>219</v>
      </c>
      <c r="G639" s="16" t="s">
        <v>186</v>
      </c>
      <c r="H639" s="16" t="s">
        <v>241</v>
      </c>
      <c r="I639" s="16" t="s">
        <v>292</v>
      </c>
    </row>
    <row r="640" ht="242.25" customHeight="1">
      <c r="A640" s="32" t="b">
        <v>0</v>
      </c>
      <c r="B640" s="32" t="str">
        <f>IMAGE("https://gymvisual.com/11576-catalog_default/barbell-standing-close-grip-curl-female.jpg",4,500,500)</f>
        <v/>
      </c>
      <c r="C640" s="30">
        <v>639.0</v>
      </c>
      <c r="D640" s="16" t="s">
        <v>1087</v>
      </c>
      <c r="E640" s="16" t="s">
        <v>184</v>
      </c>
      <c r="F640" s="16" t="s">
        <v>219</v>
      </c>
      <c r="G640" s="16" t="s">
        <v>186</v>
      </c>
      <c r="H640" s="16" t="s">
        <v>220</v>
      </c>
      <c r="I640" s="16" t="s">
        <v>220</v>
      </c>
    </row>
    <row r="641" ht="242.25" customHeight="1">
      <c r="A641" s="32" t="b">
        <v>0</v>
      </c>
      <c r="B641" s="32" t="str">
        <f>IMAGE("https://gymvisual.com/6470-catalog_default/barbell-standing-close-grip-military-press.jpg",4,500,500)</f>
        <v/>
      </c>
      <c r="C641" s="30">
        <v>640.0</v>
      </c>
      <c r="D641" s="16" t="s">
        <v>1088</v>
      </c>
      <c r="E641" s="16" t="s">
        <v>184</v>
      </c>
      <c r="F641" s="16" t="s">
        <v>228</v>
      </c>
      <c r="G641" s="16" t="s">
        <v>186</v>
      </c>
      <c r="H641" s="16" t="s">
        <v>243</v>
      </c>
      <c r="I641" s="16" t="s">
        <v>244</v>
      </c>
    </row>
    <row r="642" ht="242.25" customHeight="1">
      <c r="A642" s="32" t="b">
        <v>0</v>
      </c>
      <c r="B642" s="32" t="str">
        <f>IMAGE("https://gymvisual.com/13331-catalog_default/barbell-standing-close-grip-military-press-female.jpg",4,500,500)</f>
        <v/>
      </c>
      <c r="C642" s="30">
        <v>641.0</v>
      </c>
      <c r="D642" s="16" t="s">
        <v>1089</v>
      </c>
      <c r="E642" s="16" t="s">
        <v>184</v>
      </c>
      <c r="F642" s="16" t="s">
        <v>228</v>
      </c>
      <c r="G642" s="16" t="s">
        <v>186</v>
      </c>
      <c r="H642" s="16" t="s">
        <v>220</v>
      </c>
      <c r="I642" s="16" t="s">
        <v>220</v>
      </c>
    </row>
    <row r="643" ht="242.25" customHeight="1">
      <c r="A643" s="32" t="b">
        <v>0</v>
      </c>
      <c r="B643" s="32" t="str">
        <f>IMAGE("https://gymvisual.com/10488-catalog_default/barbell-standing-concentration-curl.jpg",4,500,500)</f>
        <v/>
      </c>
      <c r="C643" s="30">
        <v>642.0</v>
      </c>
      <c r="D643" s="16" t="s">
        <v>1090</v>
      </c>
      <c r="E643" s="16" t="s">
        <v>184</v>
      </c>
      <c r="F643" s="16" t="s">
        <v>219</v>
      </c>
      <c r="G643" s="16" t="s">
        <v>186</v>
      </c>
      <c r="H643" s="16" t="s">
        <v>232</v>
      </c>
      <c r="I643" s="16" t="s">
        <v>233</v>
      </c>
    </row>
    <row r="644" ht="242.25" customHeight="1">
      <c r="A644" s="32" t="b">
        <v>0</v>
      </c>
      <c r="B644" s="32" t="str">
        <f>IMAGE("https://gymvisual.com/346-catalog_default/barbell-standing-front-raise-over-head.jpg",4,500,500)</f>
        <v/>
      </c>
      <c r="C644" s="30">
        <v>643.0</v>
      </c>
      <c r="D644" s="16" t="s">
        <v>1091</v>
      </c>
      <c r="E644" s="16" t="s">
        <v>184</v>
      </c>
      <c r="F644" s="16" t="s">
        <v>228</v>
      </c>
      <c r="G644" s="16" t="s">
        <v>186</v>
      </c>
      <c r="H644" s="16" t="s">
        <v>229</v>
      </c>
      <c r="I644" s="16" t="s">
        <v>626</v>
      </c>
    </row>
    <row r="645" ht="242.25" customHeight="1">
      <c r="A645" s="32" t="b">
        <v>0</v>
      </c>
      <c r="B645" s="32" t="str">
        <f>IMAGE("https://gymvisual.com/11561-catalog_default/barbell-standing-front-raise-over-head-female.jpg",4,500,500)</f>
        <v/>
      </c>
      <c r="C645" s="30">
        <v>644.0</v>
      </c>
      <c r="D645" s="16" t="s">
        <v>1092</v>
      </c>
      <c r="E645" s="16" t="s">
        <v>184</v>
      </c>
      <c r="F645" s="16" t="s">
        <v>228</v>
      </c>
      <c r="G645" s="16" t="s">
        <v>186</v>
      </c>
      <c r="H645" s="16" t="s">
        <v>220</v>
      </c>
      <c r="I645" s="16" t="s">
        <v>220</v>
      </c>
    </row>
    <row r="646" ht="242.25" customHeight="1">
      <c r="A646" s="32" t="b">
        <v>0</v>
      </c>
      <c r="B646" s="32" t="str">
        <f>IMAGE("https://gymvisual.com/349-catalog_default/barbell-standing-leg-calf-raise.jpg",4,500,500)</f>
        <v/>
      </c>
      <c r="C646" s="30">
        <v>645.0</v>
      </c>
      <c r="D646" s="16" t="s">
        <v>1093</v>
      </c>
      <c r="E646" s="16" t="s">
        <v>184</v>
      </c>
      <c r="F646" s="16" t="s">
        <v>325</v>
      </c>
      <c r="G646" s="16" t="s">
        <v>186</v>
      </c>
      <c r="H646" s="16" t="s">
        <v>368</v>
      </c>
      <c r="I646" s="16" t="s">
        <v>463</v>
      </c>
    </row>
    <row r="647" ht="242.25" customHeight="1">
      <c r="A647" s="32" t="b">
        <v>0</v>
      </c>
      <c r="B647" s="32" t="str">
        <f>IMAGE("https://gymvisual.com/4375-catalog_default/barbell-standing-military-press.jpg",4,500,500)</f>
        <v/>
      </c>
      <c r="C647" s="30">
        <v>646.0</v>
      </c>
      <c r="D647" s="16" t="s">
        <v>1094</v>
      </c>
      <c r="E647" s="16" t="s">
        <v>184</v>
      </c>
      <c r="F647" s="16" t="s">
        <v>228</v>
      </c>
      <c r="G647" s="16" t="s">
        <v>186</v>
      </c>
      <c r="H647" s="16" t="s">
        <v>229</v>
      </c>
      <c r="I647" s="16" t="s">
        <v>626</v>
      </c>
    </row>
    <row r="648" ht="242.25" customHeight="1">
      <c r="A648" s="32" t="b">
        <v>0</v>
      </c>
      <c r="B648" s="32" t="str">
        <f>IMAGE("https://gymvisual.com/20646-catalog_default/barbell-standing-military-press-without-rack.jpg",4,500,500)</f>
        <v/>
      </c>
      <c r="C648" s="30">
        <v>647.0</v>
      </c>
      <c r="D648" s="16" t="s">
        <v>1095</v>
      </c>
      <c r="E648" s="16" t="s">
        <v>184</v>
      </c>
      <c r="F648" s="16" t="s">
        <v>228</v>
      </c>
      <c r="G648" s="16" t="s">
        <v>186</v>
      </c>
      <c r="H648" s="16" t="s">
        <v>229</v>
      </c>
      <c r="I648" s="16" t="s">
        <v>626</v>
      </c>
    </row>
    <row r="649" ht="242.25" customHeight="1">
      <c r="A649" s="32" t="b">
        <v>0</v>
      </c>
      <c r="B649" s="32" t="str">
        <f>IMAGE("https://gymvisual.com/352-catalog_default/barbell-standing-overhead-triceps-extension.jpg",4,500,500)</f>
        <v/>
      </c>
      <c r="C649" s="30">
        <v>648.0</v>
      </c>
      <c r="D649" s="16" t="s">
        <v>1096</v>
      </c>
      <c r="E649" s="16" t="s">
        <v>184</v>
      </c>
      <c r="F649" s="16" t="s">
        <v>219</v>
      </c>
      <c r="G649" s="16" t="s">
        <v>186</v>
      </c>
      <c r="H649" s="16" t="s">
        <v>223</v>
      </c>
      <c r="I649" s="16" t="s">
        <v>220</v>
      </c>
    </row>
    <row r="650" ht="242.25" customHeight="1">
      <c r="A650" s="32" t="b">
        <v>0</v>
      </c>
      <c r="B650" s="32" t="str">
        <f>IMAGE("https://gymvisual.com/11363-catalog_default/barbell-standing-overhead-triceps-extension-female.jpg",4,500,500)</f>
        <v/>
      </c>
      <c r="C650" s="30">
        <v>649.0</v>
      </c>
      <c r="D650" s="16" t="s">
        <v>1097</v>
      </c>
      <c r="E650" s="16" t="s">
        <v>184</v>
      </c>
      <c r="F650" s="16" t="s">
        <v>219</v>
      </c>
      <c r="G650" s="16" t="s">
        <v>186</v>
      </c>
      <c r="H650" s="16" t="s">
        <v>223</v>
      </c>
      <c r="I650" s="16" t="s">
        <v>220</v>
      </c>
    </row>
    <row r="651" ht="242.25" customHeight="1">
      <c r="A651" s="32" t="b">
        <v>0</v>
      </c>
      <c r="B651" s="32" t="str">
        <f>IMAGE("https://gymvisual.com/355-catalog_default/barbell-standing-reverse-grip-curl.jpg",4,500,500)</f>
        <v/>
      </c>
      <c r="C651" s="30">
        <v>650.0</v>
      </c>
      <c r="D651" s="16" t="s">
        <v>1098</v>
      </c>
      <c r="E651" s="16" t="s">
        <v>184</v>
      </c>
      <c r="F651" s="16" t="s">
        <v>214</v>
      </c>
      <c r="G651" s="16" t="s">
        <v>186</v>
      </c>
      <c r="H651" s="16" t="s">
        <v>216</v>
      </c>
      <c r="I651" s="16" t="s">
        <v>217</v>
      </c>
    </row>
    <row r="652" ht="242.25" customHeight="1">
      <c r="A652" s="32" t="b">
        <v>0</v>
      </c>
      <c r="B652" s="32" t="str">
        <f>IMAGE("https://gymvisual.com/358-catalog_default/barbell-standing-rocking-leg-calf-raise.jpg",4,500,500)</f>
        <v/>
      </c>
      <c r="C652" s="30">
        <v>651.0</v>
      </c>
      <c r="D652" s="16" t="s">
        <v>1099</v>
      </c>
      <c r="E652" s="16" t="s">
        <v>184</v>
      </c>
      <c r="F652" s="16" t="s">
        <v>325</v>
      </c>
      <c r="G652" s="16" t="s">
        <v>186</v>
      </c>
      <c r="H652" s="16" t="s">
        <v>1100</v>
      </c>
      <c r="I652" s="16" t="s">
        <v>463</v>
      </c>
    </row>
    <row r="653" ht="242.25" customHeight="1">
      <c r="A653" s="32" t="b">
        <v>0</v>
      </c>
      <c r="B653" s="32" t="str">
        <f>IMAGE("https://gymvisual.com/25015-catalog_default/barbell-standing-shoulder-pin-press.jpg",4,500,500)</f>
        <v/>
      </c>
      <c r="C653" s="30">
        <v>652.0</v>
      </c>
      <c r="D653" s="16" t="s">
        <v>1101</v>
      </c>
      <c r="E653" s="16" t="s">
        <v>184</v>
      </c>
      <c r="F653" s="16" t="s">
        <v>228</v>
      </c>
      <c r="G653" s="16" t="s">
        <v>186</v>
      </c>
      <c r="H653" s="16" t="s">
        <v>220</v>
      </c>
      <c r="I653" s="16" t="s">
        <v>220</v>
      </c>
    </row>
    <row r="654" ht="242.25" customHeight="1">
      <c r="A654" s="32" t="b">
        <v>0</v>
      </c>
      <c r="B654" s="32" t="str">
        <f>IMAGE("https://gymvisual.com/24926-catalog_default/barbell-standing-shoulders-press.jpg",4,500,500)</f>
        <v/>
      </c>
      <c r="C654" s="30">
        <v>653.0</v>
      </c>
      <c r="D654" s="16" t="s">
        <v>1102</v>
      </c>
      <c r="E654" s="16" t="s">
        <v>184</v>
      </c>
      <c r="F654" s="16" t="s">
        <v>228</v>
      </c>
      <c r="G654" s="16" t="s">
        <v>186</v>
      </c>
      <c r="H654" s="16" t="s">
        <v>229</v>
      </c>
      <c r="I654" s="16" t="s">
        <v>230</v>
      </c>
    </row>
    <row r="655" ht="242.25" customHeight="1">
      <c r="A655" s="32" t="b">
        <v>0</v>
      </c>
      <c r="B655" s="32" t="str">
        <f>IMAGE("https://gymvisual.com/22408-catalog_default/barbell-standing-snatch-grip-shrug.jpg",4,500,500)</f>
        <v/>
      </c>
      <c r="C655" s="30">
        <v>654.0</v>
      </c>
      <c r="D655" s="16" t="s">
        <v>1103</v>
      </c>
      <c r="E655" s="16" t="s">
        <v>184</v>
      </c>
      <c r="F655" s="16" t="s">
        <v>192</v>
      </c>
      <c r="G655" s="16" t="s">
        <v>186</v>
      </c>
      <c r="H655" s="16" t="s">
        <v>220</v>
      </c>
      <c r="I655" s="16" t="s">
        <v>220</v>
      </c>
    </row>
    <row r="656" ht="242.25" customHeight="1">
      <c r="A656" s="32" t="b">
        <v>0</v>
      </c>
      <c r="B656" s="32" t="str">
        <f>IMAGE("https://gymvisual.com/361-catalog_default/barbell-standing-twist.jpg",4,500,500)</f>
        <v/>
      </c>
      <c r="C656" s="30">
        <v>655.0</v>
      </c>
      <c r="D656" s="16" t="s">
        <v>1104</v>
      </c>
      <c r="E656" s="16" t="s">
        <v>184</v>
      </c>
      <c r="F656" s="16" t="s">
        <v>254</v>
      </c>
      <c r="G656" s="16" t="s">
        <v>186</v>
      </c>
      <c r="H656" s="16" t="s">
        <v>257</v>
      </c>
      <c r="I656" s="16" t="s">
        <v>271</v>
      </c>
    </row>
    <row r="657" ht="242.25" customHeight="1">
      <c r="A657" s="32" t="b">
        <v>0</v>
      </c>
      <c r="B657" s="32" t="str">
        <f>IMAGE("https://gymvisual.com/9820-catalog_default/barbell-standing-twist-female.jpg",4,500,500)</f>
        <v/>
      </c>
      <c r="C657" s="30">
        <v>656.0</v>
      </c>
      <c r="D657" s="16" t="s">
        <v>1105</v>
      </c>
      <c r="E657" s="16" t="s">
        <v>184</v>
      </c>
      <c r="F657" s="16" t="s">
        <v>254</v>
      </c>
      <c r="G657" s="16" t="s">
        <v>186</v>
      </c>
      <c r="H657" s="16" t="s">
        <v>257</v>
      </c>
      <c r="I657" s="16" t="s">
        <v>271</v>
      </c>
    </row>
    <row r="658" ht="242.25" customHeight="1">
      <c r="A658" s="32" t="b">
        <v>0</v>
      </c>
      <c r="B658" s="32" t="str">
        <f>IMAGE("https://gymvisual.com/10025-catalog_default/barbell-standing-wide-grip-biceps-curl.jpg",4,500,500)</f>
        <v/>
      </c>
      <c r="C658" s="30">
        <v>657.0</v>
      </c>
      <c r="D658" s="16" t="s">
        <v>1106</v>
      </c>
      <c r="E658" s="16" t="s">
        <v>184</v>
      </c>
      <c r="F658" s="16" t="s">
        <v>219</v>
      </c>
      <c r="G658" s="16" t="s">
        <v>186</v>
      </c>
      <c r="H658" s="16" t="s">
        <v>241</v>
      </c>
      <c r="I658" s="16" t="s">
        <v>232</v>
      </c>
    </row>
    <row r="659" ht="242.25" customHeight="1">
      <c r="A659" s="32" t="b">
        <v>0</v>
      </c>
      <c r="B659" s="32" t="str">
        <f>IMAGE("https://gymvisual.com/6488-catalog_default/barbell-standing-wide-military-press.jpg",4,500,500)</f>
        <v/>
      </c>
      <c r="C659" s="30">
        <v>658.0</v>
      </c>
      <c r="D659" s="16" t="s">
        <v>1107</v>
      </c>
      <c r="E659" s="16" t="s">
        <v>184</v>
      </c>
      <c r="F659" s="16" t="s">
        <v>228</v>
      </c>
      <c r="G659" s="16" t="s">
        <v>186</v>
      </c>
      <c r="H659" s="16" t="s">
        <v>229</v>
      </c>
      <c r="I659" s="16" t="s">
        <v>230</v>
      </c>
    </row>
    <row r="660" ht="242.25" customHeight="1">
      <c r="A660" s="32" t="b">
        <v>0</v>
      </c>
      <c r="B660" s="32" t="str">
        <f>IMAGE("https://gymvisual.com/13333-catalog_default/barbell-standing-wide-military-press-female.jpg",4,500,500)</f>
        <v/>
      </c>
      <c r="C660" s="30">
        <v>659.0</v>
      </c>
      <c r="D660" s="16" t="s">
        <v>1108</v>
      </c>
      <c r="E660" s="16" t="s">
        <v>184</v>
      </c>
      <c r="F660" s="16" t="s">
        <v>228</v>
      </c>
      <c r="G660" s="16" t="s">
        <v>186</v>
      </c>
      <c r="H660" s="16" t="s">
        <v>220</v>
      </c>
      <c r="I660" s="16" t="s">
        <v>220</v>
      </c>
    </row>
    <row r="661" ht="242.25" customHeight="1">
      <c r="A661" s="32" t="b">
        <v>0</v>
      </c>
      <c r="B661" s="32" t="str">
        <f>IMAGE("https://gymvisual.com/364-catalog_default/barbell-standing-wide-grip-curl.jpg",4,500,500)</f>
        <v/>
      </c>
      <c r="C661" s="30">
        <v>660.0</v>
      </c>
      <c r="D661" s="16" t="s">
        <v>1109</v>
      </c>
      <c r="E661" s="16" t="s">
        <v>184</v>
      </c>
      <c r="F661" s="16" t="s">
        <v>219</v>
      </c>
      <c r="G661" s="16" t="s">
        <v>186</v>
      </c>
      <c r="H661" s="16" t="s">
        <v>217</v>
      </c>
      <c r="I661" s="16" t="s">
        <v>216</v>
      </c>
    </row>
    <row r="662" ht="242.25" customHeight="1">
      <c r="A662" s="32" t="b">
        <v>0</v>
      </c>
      <c r="B662" s="32" t="str">
        <f>IMAGE("https://gymvisual.com/11074-catalog_default/barbell-step-up-female.jpg",4,500,500)</f>
        <v/>
      </c>
      <c r="C662" s="30">
        <v>661.0</v>
      </c>
      <c r="D662" s="16" t="s">
        <v>1110</v>
      </c>
      <c r="E662" s="16" t="s">
        <v>184</v>
      </c>
      <c r="F662" s="16" t="s">
        <v>294</v>
      </c>
      <c r="G662" s="16" t="s">
        <v>186</v>
      </c>
      <c r="H662" s="16" t="s">
        <v>220</v>
      </c>
      <c r="I662" s="16" t="s">
        <v>220</v>
      </c>
    </row>
    <row r="663" ht="242.25" customHeight="1">
      <c r="A663" s="32" t="b">
        <v>0</v>
      </c>
      <c r="B663" s="32" t="str">
        <f>IMAGE("https://gymvisual.com/367-catalog_default/barbell-step-up.jpg",4,500,500)</f>
        <v/>
      </c>
      <c r="C663" s="30">
        <v>662.0</v>
      </c>
      <c r="D663" s="16" t="s">
        <v>1111</v>
      </c>
      <c r="E663" s="16" t="s">
        <v>184</v>
      </c>
      <c r="F663" s="16" t="s">
        <v>285</v>
      </c>
      <c r="G663" s="16" t="s">
        <v>186</v>
      </c>
      <c r="H663" s="16" t="s">
        <v>189</v>
      </c>
      <c r="I663" s="16" t="s">
        <v>190</v>
      </c>
    </row>
    <row r="664" ht="242.25" customHeight="1">
      <c r="A664" s="32" t="b">
        <v>0</v>
      </c>
      <c r="B664" s="32" t="str">
        <f>IMAGE("https://gymvisual.com/6790-catalog_default/barbell-stiff-leg-deadlift-on-bench.jpg",4,500,500)</f>
        <v/>
      </c>
      <c r="C664" s="30">
        <v>663.0</v>
      </c>
      <c r="D664" s="16" t="s">
        <v>1112</v>
      </c>
      <c r="E664" s="16" t="s">
        <v>184</v>
      </c>
      <c r="F664" s="16" t="s">
        <v>185</v>
      </c>
      <c r="G664" s="16" t="s">
        <v>186</v>
      </c>
      <c r="H664" s="16" t="s">
        <v>220</v>
      </c>
      <c r="I664" s="16" t="s">
        <v>220</v>
      </c>
    </row>
    <row r="665" ht="242.25" customHeight="1">
      <c r="A665" s="32" t="b">
        <v>0</v>
      </c>
      <c r="B665" s="32" t="str">
        <f>IMAGE("https://gymvisual.com/370-catalog_default/barbell-stiff-leg-good-morning.jpg",4,500,500)</f>
        <v/>
      </c>
      <c r="C665" s="30">
        <v>664.0</v>
      </c>
      <c r="D665" s="16" t="s">
        <v>1113</v>
      </c>
      <c r="E665" s="16" t="s">
        <v>184</v>
      </c>
      <c r="F665" s="16" t="s">
        <v>285</v>
      </c>
      <c r="G665" s="16" t="s">
        <v>186</v>
      </c>
      <c r="H665" s="16" t="s">
        <v>1114</v>
      </c>
      <c r="I665" s="16" t="s">
        <v>1115</v>
      </c>
    </row>
    <row r="666" ht="242.25" customHeight="1">
      <c r="A666" s="32" t="b">
        <v>0</v>
      </c>
      <c r="B666" s="32" t="str">
        <f>IMAGE("https://gymvisual.com/6791-catalog_default/barbell-stiff-legged-deadlift.jpg",4,500,500)</f>
        <v/>
      </c>
      <c r="C666" s="30">
        <v>665.0</v>
      </c>
      <c r="D666" s="16" t="s">
        <v>1116</v>
      </c>
      <c r="E666" s="16" t="s">
        <v>184</v>
      </c>
      <c r="F666" s="16" t="s">
        <v>185</v>
      </c>
      <c r="G666" s="16" t="s">
        <v>186</v>
      </c>
      <c r="H666" s="16" t="s">
        <v>267</v>
      </c>
      <c r="I666" s="16" t="s">
        <v>188</v>
      </c>
    </row>
    <row r="667" ht="242.25" customHeight="1">
      <c r="A667" s="32" t="b">
        <v>0</v>
      </c>
      <c r="B667" s="32" t="str">
        <f>IMAGE("https://gymvisual.com/15635-catalog_default/barbell-straight-leg-deadlift.jpg",4,500,500)</f>
        <v/>
      </c>
      <c r="C667" s="30">
        <v>666.0</v>
      </c>
      <c r="D667" s="16" t="s">
        <v>1117</v>
      </c>
      <c r="E667" s="16" t="s">
        <v>184</v>
      </c>
      <c r="F667" s="16" t="s">
        <v>285</v>
      </c>
      <c r="G667" s="16" t="s">
        <v>186</v>
      </c>
      <c r="H667" s="16" t="s">
        <v>227</v>
      </c>
      <c r="I667" s="16" t="s">
        <v>857</v>
      </c>
    </row>
    <row r="668" ht="242.25" customHeight="1">
      <c r="A668" s="32" t="b">
        <v>0</v>
      </c>
      <c r="B668" s="32" t="str">
        <f>IMAGE("https://gymvisual.com/14252-catalog_default/barbell-straight-leg-deadlift-female.jpg",4,500,500)</f>
        <v/>
      </c>
      <c r="C668" s="30">
        <v>667.0</v>
      </c>
      <c r="D668" s="16" t="s">
        <v>1118</v>
      </c>
      <c r="E668" s="16" t="s">
        <v>184</v>
      </c>
      <c r="F668" s="16" t="s">
        <v>185</v>
      </c>
      <c r="G668" s="16" t="s">
        <v>186</v>
      </c>
      <c r="H668" s="16" t="s">
        <v>267</v>
      </c>
      <c r="I668" s="16" t="s">
        <v>188</v>
      </c>
    </row>
    <row r="669" ht="242.25" customHeight="1">
      <c r="A669" s="32" t="b">
        <v>0</v>
      </c>
      <c r="B669" s="32" t="str">
        <f>IMAGE("https://gymvisual.com/12180-catalog_default/barbell-suitcase-carry.jpg",4,500,500)</f>
        <v/>
      </c>
      <c r="C669" s="30">
        <v>668.0</v>
      </c>
      <c r="D669" s="16" t="s">
        <v>1119</v>
      </c>
      <c r="E669" s="16" t="s">
        <v>184</v>
      </c>
      <c r="F669" s="16" t="s">
        <v>285</v>
      </c>
      <c r="G669" s="16" t="s">
        <v>186</v>
      </c>
      <c r="H669" s="16" t="s">
        <v>220</v>
      </c>
      <c r="I669" s="16" t="s">
        <v>220</v>
      </c>
    </row>
    <row r="670" ht="242.25" customHeight="1">
      <c r="A670" s="32" t="b">
        <v>0</v>
      </c>
      <c r="B670" s="32" t="str">
        <f>IMAGE("https://gymvisual.com/24726-catalog_default/barbell-sumo-deadlift.jpg",4,500,500)</f>
        <v/>
      </c>
      <c r="C670" s="30">
        <v>669.0</v>
      </c>
      <c r="D670" s="16" t="s">
        <v>1120</v>
      </c>
      <c r="E670" s="16" t="s">
        <v>184</v>
      </c>
      <c r="F670" s="16" t="s">
        <v>185</v>
      </c>
      <c r="G670" s="16" t="s">
        <v>186</v>
      </c>
      <c r="H670" s="16" t="s">
        <v>189</v>
      </c>
      <c r="I670" s="16" t="s">
        <v>1121</v>
      </c>
    </row>
    <row r="671" ht="242.25" customHeight="1">
      <c r="A671" s="32" t="b">
        <v>0</v>
      </c>
      <c r="B671" s="32" t="str">
        <f>IMAGE("https://gymvisual.com/11122-catalog_default/barbell-sumo-deadlift-female.jpg",4,500,500)</f>
        <v/>
      </c>
      <c r="C671" s="30">
        <v>670.0</v>
      </c>
      <c r="D671" s="16" t="s">
        <v>1122</v>
      </c>
      <c r="E671" s="16" t="s">
        <v>184</v>
      </c>
      <c r="F671" s="16" t="s">
        <v>294</v>
      </c>
      <c r="G671" s="16" t="s">
        <v>186</v>
      </c>
      <c r="H671" s="16" t="s">
        <v>189</v>
      </c>
      <c r="I671" s="16" t="s">
        <v>1121</v>
      </c>
    </row>
    <row r="672" ht="242.25" customHeight="1">
      <c r="A672" s="32" t="b">
        <v>0</v>
      </c>
      <c r="B672" s="32" t="str">
        <f>IMAGE("https://gymvisual.com/17915-catalog_default/barbell-sumo-deadlift-from-blocks-male.jpg",4,500,500)</f>
        <v/>
      </c>
      <c r="C672" s="30">
        <v>671.0</v>
      </c>
      <c r="D672" s="16" t="s">
        <v>1123</v>
      </c>
      <c r="E672" s="16" t="s">
        <v>184</v>
      </c>
      <c r="F672" s="16" t="s">
        <v>185</v>
      </c>
      <c r="G672" s="16" t="s">
        <v>186</v>
      </c>
      <c r="H672" s="16" t="s">
        <v>220</v>
      </c>
      <c r="I672" s="16" t="s">
        <v>220</v>
      </c>
    </row>
    <row r="673" ht="242.25" customHeight="1">
      <c r="A673" s="32" t="b">
        <v>0</v>
      </c>
      <c r="B673" s="32" t="str">
        <f>IMAGE("https://gymvisual.com/22412-catalog_default/barbell-sumo-deadlift-from-deficit.jpg",4,500,500)</f>
        <v/>
      </c>
      <c r="C673" s="30">
        <v>672.0</v>
      </c>
      <c r="D673" s="16" t="s">
        <v>1124</v>
      </c>
      <c r="E673" s="16" t="s">
        <v>184</v>
      </c>
      <c r="F673" s="16" t="s">
        <v>185</v>
      </c>
      <c r="G673" s="16" t="s">
        <v>186</v>
      </c>
      <c r="H673" s="16" t="s">
        <v>220</v>
      </c>
      <c r="I673" s="16" t="s">
        <v>220</v>
      </c>
    </row>
    <row r="674" ht="242.25" customHeight="1">
      <c r="A674" s="32" t="b">
        <v>0</v>
      </c>
      <c r="B674" s="32" t="str">
        <f>IMAGE("https://gymvisual.com/16394-catalog_default/barbell-sumo-romanian-deadlift.jpg",4,500,500)</f>
        <v/>
      </c>
      <c r="C674" s="30">
        <v>673.0</v>
      </c>
      <c r="D674" s="16" t="s">
        <v>1125</v>
      </c>
      <c r="E674" s="16" t="s">
        <v>184</v>
      </c>
      <c r="F674" s="16" t="s">
        <v>185</v>
      </c>
      <c r="G674" s="16" t="s">
        <v>186</v>
      </c>
      <c r="H674" s="16" t="s">
        <v>267</v>
      </c>
      <c r="I674" s="16" t="s">
        <v>975</v>
      </c>
    </row>
    <row r="675" ht="242.25" customHeight="1">
      <c r="A675" s="32" t="b">
        <v>0</v>
      </c>
      <c r="B675" s="32" t="str">
        <f>IMAGE("https://gymvisual.com/15659-catalog_default/barbell-sumo-squat.jpg",4,500,500)</f>
        <v/>
      </c>
      <c r="C675" s="30">
        <v>674.0</v>
      </c>
      <c r="D675" s="16" t="s">
        <v>1126</v>
      </c>
      <c r="E675" s="16" t="s">
        <v>184</v>
      </c>
      <c r="F675" s="16" t="s">
        <v>285</v>
      </c>
      <c r="G675" s="16" t="s">
        <v>186</v>
      </c>
      <c r="H675" s="16" t="s">
        <v>189</v>
      </c>
      <c r="I675" s="16" t="s">
        <v>1127</v>
      </c>
    </row>
    <row r="676" ht="242.25" customHeight="1">
      <c r="A676" s="32" t="b">
        <v>0</v>
      </c>
      <c r="B676" s="32" t="str">
        <f>IMAGE("https://gymvisual.com/13547-catalog_default/barbell-thruster.jpg",4,500,500)</f>
        <v/>
      </c>
      <c r="C676" s="30">
        <v>675.0</v>
      </c>
      <c r="D676" s="16" t="s">
        <v>1128</v>
      </c>
      <c r="E676" s="16" t="s">
        <v>184</v>
      </c>
      <c r="F676" s="16" t="s">
        <v>1129</v>
      </c>
      <c r="G676" s="16" t="s">
        <v>186</v>
      </c>
      <c r="H676" s="16" t="s">
        <v>793</v>
      </c>
      <c r="I676" s="16" t="s">
        <v>1130</v>
      </c>
    </row>
    <row r="677" ht="242.25" customHeight="1">
      <c r="A677" s="32" t="b">
        <v>0</v>
      </c>
      <c r="B677" s="32" t="str">
        <f>IMAGE("https://gymvisual.com/385-catalog_default/barbell-upright-row.jpg",4,500,500)</f>
        <v/>
      </c>
      <c r="C677" s="30">
        <v>676.0</v>
      </c>
      <c r="D677" s="16" t="s">
        <v>50</v>
      </c>
      <c r="E677" s="16" t="s">
        <v>184</v>
      </c>
      <c r="F677" s="16" t="s">
        <v>228</v>
      </c>
      <c r="G677" s="16" t="s">
        <v>186</v>
      </c>
      <c r="H677" s="16" t="s">
        <v>544</v>
      </c>
      <c r="I677" s="16" t="s">
        <v>713</v>
      </c>
    </row>
    <row r="678" ht="242.25" customHeight="1">
      <c r="A678" s="32" t="b">
        <v>0</v>
      </c>
      <c r="B678" s="32" t="str">
        <f>IMAGE("https://gymvisual.com/9601-catalog_default/barbell-upright-row-female.jpg",4,500,500)</f>
        <v/>
      </c>
      <c r="C678" s="30">
        <v>677.0</v>
      </c>
      <c r="D678" s="16" t="s">
        <v>1131</v>
      </c>
      <c r="E678" s="16" t="s">
        <v>184</v>
      </c>
      <c r="F678" s="16" t="s">
        <v>228</v>
      </c>
      <c r="G678" s="16" t="s">
        <v>186</v>
      </c>
      <c r="H678" s="16" t="s">
        <v>220</v>
      </c>
      <c r="I678" s="16" t="s">
        <v>220</v>
      </c>
    </row>
    <row r="679" ht="242.25" customHeight="1">
      <c r="A679" s="32" t="b">
        <v>0</v>
      </c>
      <c r="B679" s="32" t="str">
        <f>IMAGE("https://gymvisual.com/382-catalog_default/barbell-upright-row-version-2.jpg",4,500,500)</f>
        <v/>
      </c>
      <c r="C679" s="30">
        <v>678.0</v>
      </c>
      <c r="D679" s="16" t="s">
        <v>1132</v>
      </c>
      <c r="E679" s="16" t="s">
        <v>184</v>
      </c>
      <c r="F679" s="16" t="s">
        <v>228</v>
      </c>
      <c r="G679" s="16" t="s">
        <v>186</v>
      </c>
      <c r="H679" s="16" t="s">
        <v>544</v>
      </c>
      <c r="I679" s="16" t="s">
        <v>1133</v>
      </c>
    </row>
    <row r="680" ht="242.25" customHeight="1">
      <c r="A680" s="32" t="b">
        <v>0</v>
      </c>
      <c r="B680" s="32" t="str">
        <f>IMAGE("https://gymvisual.com/24788-catalog_default/barbell-upright-row-version-3.jpg",4,500,500)</f>
        <v/>
      </c>
      <c r="C680" s="30">
        <v>679.0</v>
      </c>
      <c r="D680" s="16" t="s">
        <v>1134</v>
      </c>
      <c r="E680" s="16" t="s">
        <v>184</v>
      </c>
      <c r="F680" s="16" t="s">
        <v>228</v>
      </c>
      <c r="G680" s="16" t="s">
        <v>186</v>
      </c>
      <c r="H680" s="16" t="s">
        <v>544</v>
      </c>
      <c r="I680" s="16" t="s">
        <v>713</v>
      </c>
    </row>
    <row r="681" ht="242.25" customHeight="1">
      <c r="A681" s="32" t="b">
        <v>0</v>
      </c>
      <c r="B681" s="32" t="str">
        <f>IMAGE("https://gymvisual.com/13161-catalog_default/barbell-weighted-bench-press.jpg",4,500,500)</f>
        <v/>
      </c>
      <c r="C681" s="30">
        <v>680.0</v>
      </c>
      <c r="D681" s="16" t="s">
        <v>1135</v>
      </c>
      <c r="E681" s="16" t="s">
        <v>184</v>
      </c>
      <c r="F681" s="16" t="s">
        <v>234</v>
      </c>
      <c r="G681" s="16" t="s">
        <v>186</v>
      </c>
      <c r="H681" s="16" t="s">
        <v>235</v>
      </c>
      <c r="I681" s="16" t="s">
        <v>243</v>
      </c>
    </row>
    <row r="682" ht="242.25" customHeight="1">
      <c r="A682" s="32" t="b">
        <v>0</v>
      </c>
      <c r="B682" s="32" t="str">
        <f>IMAGE("https://gymvisual.com/26128-catalog_default/barbell-weighted-chains-sumo-deadlift.jpg",4,500,500)</f>
        <v/>
      </c>
      <c r="C682" s="30">
        <v>681.0</v>
      </c>
      <c r="D682" s="16" t="s">
        <v>1136</v>
      </c>
      <c r="E682" s="16" t="s">
        <v>184</v>
      </c>
      <c r="F682" s="16" t="s">
        <v>185</v>
      </c>
      <c r="G682" s="16" t="s">
        <v>186</v>
      </c>
      <c r="H682" s="16" t="s">
        <v>220</v>
      </c>
      <c r="I682" s="16" t="s">
        <v>220</v>
      </c>
    </row>
    <row r="683" ht="242.25" customHeight="1">
      <c r="A683" s="32" t="b">
        <v>0</v>
      </c>
      <c r="B683" s="32" t="str">
        <f>IMAGE("https://gymvisual.com/13157-catalog_default/barbell-weighted-deadlift.jpg",4,500,500)</f>
        <v/>
      </c>
      <c r="C683" s="30">
        <v>682.0</v>
      </c>
      <c r="D683" s="16" t="s">
        <v>1137</v>
      </c>
      <c r="E683" s="16" t="s">
        <v>184</v>
      </c>
      <c r="F683" s="16" t="s">
        <v>185</v>
      </c>
      <c r="G683" s="16" t="s">
        <v>186</v>
      </c>
      <c r="H683" s="16" t="s">
        <v>189</v>
      </c>
      <c r="I683" s="16" t="s">
        <v>314</v>
      </c>
    </row>
    <row r="684" ht="242.25" customHeight="1">
      <c r="A684" s="32" t="b">
        <v>0</v>
      </c>
      <c r="B684" s="32" t="str">
        <f>IMAGE("https://gymvisual.com/13159-catalog_default/barbell-weighted-front-chest-squat.jpg",4,500,500)</f>
        <v/>
      </c>
      <c r="C684" s="30">
        <v>683.0</v>
      </c>
      <c r="D684" s="16" t="s">
        <v>1138</v>
      </c>
      <c r="E684" s="16" t="s">
        <v>184</v>
      </c>
      <c r="F684" s="16" t="s">
        <v>285</v>
      </c>
      <c r="G684" s="16" t="s">
        <v>186</v>
      </c>
      <c r="H684" s="16" t="s">
        <v>189</v>
      </c>
      <c r="I684" s="16" t="s">
        <v>314</v>
      </c>
    </row>
    <row r="685" ht="242.25" customHeight="1">
      <c r="A685" s="32" t="b">
        <v>0</v>
      </c>
      <c r="B685" s="32" t="str">
        <f>IMAGE("https://gymvisual.com/13561-catalog_default/barbell-weightlifting-complex.jpg",4,500,500)</f>
        <v/>
      </c>
      <c r="C685" s="30">
        <v>684.0</v>
      </c>
      <c r="D685" s="16" t="s">
        <v>1139</v>
      </c>
      <c r="E685" s="16" t="s">
        <v>184</v>
      </c>
      <c r="F685" s="16" t="s">
        <v>691</v>
      </c>
      <c r="G685" s="16" t="s">
        <v>186</v>
      </c>
      <c r="H685" s="16" t="s">
        <v>793</v>
      </c>
      <c r="I685" s="16" t="s">
        <v>1140</v>
      </c>
    </row>
    <row r="686" ht="242.25" customHeight="1">
      <c r="A686" s="32" t="b">
        <v>0</v>
      </c>
      <c r="B686" s="32" t="str">
        <f>IMAGE("https://gymvisual.com/391-catalog_default/barbell-wide-bench-press.jpg",4,500,500)</f>
        <v/>
      </c>
      <c r="C686" s="30">
        <v>685.0</v>
      </c>
      <c r="D686" s="16" t="s">
        <v>1141</v>
      </c>
      <c r="E686" s="16" t="s">
        <v>184</v>
      </c>
      <c r="F686" s="16" t="s">
        <v>234</v>
      </c>
      <c r="G686" s="16" t="s">
        <v>186</v>
      </c>
      <c r="H686" s="16" t="s">
        <v>347</v>
      </c>
      <c r="I686" s="16" t="s">
        <v>382</v>
      </c>
    </row>
    <row r="687" ht="242.25" customHeight="1">
      <c r="A687" s="32" t="b">
        <v>0</v>
      </c>
      <c r="B687" s="32" t="str">
        <f>IMAGE("https://gymvisual.com/14254-catalog_default/barbell-wide-grip-upright-row-female.jpg",4,500,500)</f>
        <v/>
      </c>
      <c r="C687" s="30">
        <v>686.0</v>
      </c>
      <c r="D687" s="16" t="s">
        <v>1142</v>
      </c>
      <c r="E687" s="16" t="s">
        <v>184</v>
      </c>
      <c r="F687" s="16" t="s">
        <v>228</v>
      </c>
      <c r="G687" s="16" t="s">
        <v>186</v>
      </c>
      <c r="H687" s="16" t="s">
        <v>544</v>
      </c>
      <c r="I687" s="16" t="s">
        <v>1143</v>
      </c>
    </row>
    <row r="688" ht="242.25" customHeight="1">
      <c r="A688" s="32" t="b">
        <v>0</v>
      </c>
      <c r="B688" s="32" t="str">
        <f>IMAGE("https://gymvisual.com/18752-catalog_default/barbell-wide-pullover.jpg",4,500,500)</f>
        <v/>
      </c>
      <c r="C688" s="30">
        <v>687.0</v>
      </c>
      <c r="D688" s="16" t="s">
        <v>1144</v>
      </c>
      <c r="E688" s="16" t="s">
        <v>184</v>
      </c>
      <c r="F688" s="16" t="s">
        <v>192</v>
      </c>
      <c r="G688" s="16" t="s">
        <v>186</v>
      </c>
      <c r="H688" s="16" t="s">
        <v>220</v>
      </c>
      <c r="I688" s="16" t="s">
        <v>220</v>
      </c>
    </row>
    <row r="689" ht="242.25" customHeight="1">
      <c r="A689" s="32" t="b">
        <v>0</v>
      </c>
      <c r="B689" s="32" t="str">
        <f>IMAGE("https://gymvisual.com/5947-catalog_default/barbell-wide-reverse-grip-bench-press.jpg",4,500,500)</f>
        <v/>
      </c>
      <c r="C689" s="30">
        <v>688.0</v>
      </c>
      <c r="D689" s="16" t="s">
        <v>823</v>
      </c>
      <c r="E689" s="16" t="s">
        <v>184</v>
      </c>
      <c r="F689" s="16" t="s">
        <v>234</v>
      </c>
      <c r="G689" s="16" t="s">
        <v>186</v>
      </c>
      <c r="H689" s="16" t="s">
        <v>347</v>
      </c>
      <c r="I689" s="16" t="s">
        <v>382</v>
      </c>
    </row>
    <row r="690" ht="242.25" customHeight="1">
      <c r="A690" s="32" t="b">
        <v>0</v>
      </c>
      <c r="B690" s="32" t="str">
        <f>IMAGE("https://gymvisual.com/20413-catalog_default/barbell-wide-shrug.jpg",4,500,500)</f>
        <v/>
      </c>
      <c r="C690" s="30">
        <v>689.0</v>
      </c>
      <c r="D690" s="16" t="s">
        <v>1145</v>
      </c>
      <c r="E690" s="16" t="s">
        <v>184</v>
      </c>
      <c r="F690" s="16" t="s">
        <v>192</v>
      </c>
      <c r="G690" s="16" t="s">
        <v>186</v>
      </c>
      <c r="H690" s="16" t="s">
        <v>238</v>
      </c>
      <c r="I690" s="16" t="s">
        <v>239</v>
      </c>
    </row>
    <row r="691" ht="242.25" customHeight="1">
      <c r="A691" s="32" t="b">
        <v>0</v>
      </c>
      <c r="B691" s="32" t="str">
        <f>IMAGE("https://gymvisual.com/24918-catalog_default/barbell-wide-squat.jpg",4,500,500)</f>
        <v/>
      </c>
      <c r="C691" s="30">
        <v>690.0</v>
      </c>
      <c r="D691" s="16" t="s">
        <v>1146</v>
      </c>
      <c r="E691" s="16" t="s">
        <v>184</v>
      </c>
      <c r="F691" s="16" t="s">
        <v>285</v>
      </c>
      <c r="G691" s="16" t="s">
        <v>186</v>
      </c>
      <c r="H691" s="16" t="s">
        <v>552</v>
      </c>
      <c r="I691" s="16" t="s">
        <v>553</v>
      </c>
    </row>
    <row r="692" ht="242.25" customHeight="1">
      <c r="A692" s="32" t="b">
        <v>0</v>
      </c>
      <c r="B692" s="32" t="str">
        <f>IMAGE("https://gymvisual.com/11125-catalog_default/barbell-wide-squat-female.jpg",4,500,500)</f>
        <v/>
      </c>
      <c r="C692" s="30">
        <v>691.0</v>
      </c>
      <c r="D692" s="16" t="s">
        <v>1147</v>
      </c>
      <c r="E692" s="16" t="s">
        <v>184</v>
      </c>
      <c r="F692" s="16" t="s">
        <v>294</v>
      </c>
      <c r="G692" s="16" t="s">
        <v>186</v>
      </c>
      <c r="H692" s="16" t="s">
        <v>220</v>
      </c>
      <c r="I692" s="16" t="s">
        <v>220</v>
      </c>
    </row>
    <row r="693" ht="242.25" customHeight="1">
      <c r="A693" s="32" t="b">
        <v>0</v>
      </c>
      <c r="B693" s="32" t="str">
        <f>IMAGE("https://gymvisual.com/6792-catalog_default/barbell-wide-stance-stiff-leg-deadlift.jpg",4,500,500)</f>
        <v/>
      </c>
      <c r="C693" s="30">
        <v>692.0</v>
      </c>
      <c r="D693" s="16" t="s">
        <v>1148</v>
      </c>
      <c r="E693" s="16" t="s">
        <v>184</v>
      </c>
      <c r="F693" s="16" t="s">
        <v>185</v>
      </c>
      <c r="G693" s="16" t="s">
        <v>186</v>
      </c>
      <c r="H693" s="16" t="s">
        <v>220</v>
      </c>
      <c r="I693" s="16" t="s">
        <v>220</v>
      </c>
    </row>
    <row r="694" ht="242.25" customHeight="1">
      <c r="A694" s="32" t="b">
        <v>0</v>
      </c>
      <c r="B694" s="32" t="str">
        <f>IMAGE("https://gymvisual.com/10533-catalog_default/barbell-wide-grip-drag-curl.jpg",4,500,500)</f>
        <v/>
      </c>
      <c r="C694" s="30">
        <v>693.0</v>
      </c>
      <c r="D694" s="16" t="s">
        <v>1149</v>
      </c>
      <c r="E694" s="16" t="s">
        <v>184</v>
      </c>
      <c r="F694" s="16" t="s">
        <v>219</v>
      </c>
      <c r="G694" s="16" t="s">
        <v>186</v>
      </c>
      <c r="H694" s="16" t="s">
        <v>241</v>
      </c>
      <c r="I694" s="16" t="s">
        <v>242</v>
      </c>
    </row>
    <row r="695" ht="242.25" customHeight="1">
      <c r="A695" s="32" t="b">
        <v>0</v>
      </c>
      <c r="B695" s="32" t="str">
        <f>IMAGE("https://gymvisual.com/394-catalog_default/barbell-wide-grip-upright-row.jpg",4,500,500)</f>
        <v/>
      </c>
      <c r="C695" s="30">
        <v>694.0</v>
      </c>
      <c r="D695" s="16" t="s">
        <v>1150</v>
      </c>
      <c r="E695" s="16" t="s">
        <v>184</v>
      </c>
      <c r="F695" s="16" t="s">
        <v>228</v>
      </c>
      <c r="G695" s="16" t="s">
        <v>186</v>
      </c>
      <c r="H695" s="16" t="s">
        <v>544</v>
      </c>
      <c r="I695" s="16" t="s">
        <v>1151</v>
      </c>
    </row>
    <row r="696" ht="242.25" customHeight="1">
      <c r="A696" s="32" t="b">
        <v>0</v>
      </c>
      <c r="B696" s="32" t="str">
        <f>IMAGE("https://gymvisual.com/403-catalog_default/barbell-wrist-curl.jpg",4,500,500)</f>
        <v/>
      </c>
      <c r="C696" s="30">
        <v>695.0</v>
      </c>
      <c r="D696" s="16" t="s">
        <v>1152</v>
      </c>
      <c r="E696" s="16" t="s">
        <v>184</v>
      </c>
      <c r="F696" s="16" t="s">
        <v>214</v>
      </c>
      <c r="G696" s="16" t="s">
        <v>186</v>
      </c>
      <c r="H696" s="16" t="s">
        <v>720</v>
      </c>
      <c r="I696" s="16" t="s">
        <v>220</v>
      </c>
    </row>
    <row r="697" ht="242.25" customHeight="1">
      <c r="A697" s="32" t="b">
        <v>0</v>
      </c>
      <c r="B697" s="32" t="str">
        <f>IMAGE("https://gymvisual.com/13335-catalog_default/barbell-wrist-curl-female.jpg",4,500,500)</f>
        <v/>
      </c>
      <c r="C697" s="30">
        <v>696.0</v>
      </c>
      <c r="D697" s="16" t="s">
        <v>1153</v>
      </c>
      <c r="E697" s="16" t="s">
        <v>184</v>
      </c>
      <c r="F697" s="16" t="s">
        <v>214</v>
      </c>
      <c r="G697" s="16" t="s">
        <v>186</v>
      </c>
      <c r="H697" s="16" t="s">
        <v>720</v>
      </c>
      <c r="I697" s="16" t="s">
        <v>220</v>
      </c>
    </row>
    <row r="698" ht="242.25" customHeight="1">
      <c r="A698" s="32" t="b">
        <v>0</v>
      </c>
      <c r="B698" s="32" t="str">
        <f>IMAGE("https://gymvisual.com/400-catalog_default/barbell-wrist-curl-version-2.jpg",4,500,500)</f>
        <v/>
      </c>
      <c r="C698" s="30">
        <v>697.0</v>
      </c>
      <c r="D698" s="16" t="s">
        <v>1154</v>
      </c>
      <c r="E698" s="16" t="s">
        <v>184</v>
      </c>
      <c r="F698" s="16" t="s">
        <v>214</v>
      </c>
      <c r="G698" s="16" t="s">
        <v>186</v>
      </c>
      <c r="H698" s="16" t="s">
        <v>720</v>
      </c>
      <c r="I698" s="16" t="s">
        <v>220</v>
      </c>
    </row>
    <row r="699" ht="242.25" customHeight="1">
      <c r="A699" s="32" t="b">
        <v>0</v>
      </c>
      <c r="B699" s="32" t="str">
        <f>IMAGE("https://gymvisual.com/22416-catalog_default/barbell-z-press.jpg",4,500,500)</f>
        <v/>
      </c>
      <c r="C699" s="30">
        <v>698.0</v>
      </c>
      <c r="D699" s="16" t="s">
        <v>1155</v>
      </c>
      <c r="E699" s="16" t="s">
        <v>184</v>
      </c>
      <c r="F699" s="16" t="s">
        <v>228</v>
      </c>
      <c r="G699" s="16" t="s">
        <v>186</v>
      </c>
      <c r="H699" s="16" t="s">
        <v>220</v>
      </c>
      <c r="I699" s="16" t="s">
        <v>220</v>
      </c>
    </row>
    <row r="700" ht="242.25" customHeight="1">
      <c r="A700" s="32" t="b">
        <v>0</v>
      </c>
      <c r="B700" s="32" t="str">
        <f>IMAGE("https://gymvisual.com/12177-catalog_default/barbell-zercher-carry.jpg",4,500,500)</f>
        <v/>
      </c>
      <c r="C700" s="30">
        <v>699.0</v>
      </c>
      <c r="D700" s="16" t="s">
        <v>1156</v>
      </c>
      <c r="E700" s="16" t="s">
        <v>184</v>
      </c>
      <c r="F700" s="16" t="s">
        <v>285</v>
      </c>
      <c r="G700" s="16" t="s">
        <v>186</v>
      </c>
      <c r="H700" s="16" t="s">
        <v>220</v>
      </c>
      <c r="I700" s="16" t="s">
        <v>220</v>
      </c>
    </row>
    <row r="701" ht="242.25" customHeight="1">
      <c r="A701" s="32" t="b">
        <v>0</v>
      </c>
      <c r="B701" s="32" t="str">
        <f>IMAGE("https://gymvisual.com/25019-catalog_default/barbell-zercher-deadlift.jpg",4,500,500)</f>
        <v/>
      </c>
      <c r="C701" s="30">
        <v>700.0</v>
      </c>
      <c r="D701" s="16" t="s">
        <v>1157</v>
      </c>
      <c r="E701" s="16" t="s">
        <v>184</v>
      </c>
      <c r="F701" s="16" t="s">
        <v>185</v>
      </c>
      <c r="G701" s="16" t="s">
        <v>186</v>
      </c>
      <c r="H701" s="16" t="s">
        <v>220</v>
      </c>
      <c r="I701" s="16" t="s">
        <v>220</v>
      </c>
    </row>
    <row r="702" ht="242.25" customHeight="1">
      <c r="A702" s="32" t="b">
        <v>0</v>
      </c>
      <c r="B702" s="32" t="str">
        <f>IMAGE("https://gymvisual.com/406-catalog_default/barbell-zercher-squat.jpg",4,500,500)</f>
        <v/>
      </c>
      <c r="C702" s="30">
        <v>701.0</v>
      </c>
      <c r="D702" s="16" t="s">
        <v>1158</v>
      </c>
      <c r="E702" s="16" t="s">
        <v>184</v>
      </c>
      <c r="F702" s="16" t="s">
        <v>185</v>
      </c>
      <c r="G702" s="16" t="s">
        <v>186</v>
      </c>
      <c r="H702" s="16" t="s">
        <v>189</v>
      </c>
      <c r="I702" s="16" t="s">
        <v>190</v>
      </c>
    </row>
    <row r="703" ht="242.25" customHeight="1">
      <c r="B703" s="32" t="str">
        <f>IMAGE("https://gymvisual.com/9415-catalog_default/battling-ropes.jpg",4,500,500)</f>
        <v/>
      </c>
      <c r="C703" s="30">
        <v>702.0</v>
      </c>
      <c r="D703" s="16" t="s">
        <v>1159</v>
      </c>
      <c r="E703" s="16" t="s">
        <v>184</v>
      </c>
      <c r="F703" s="16" t="s">
        <v>228</v>
      </c>
      <c r="G703" s="16" t="s">
        <v>1160</v>
      </c>
      <c r="H703" s="16" t="s">
        <v>408</v>
      </c>
      <c r="I703" s="16" t="s">
        <v>490</v>
      </c>
    </row>
    <row r="704" ht="242.25" customHeight="1">
      <c r="B704" s="32" t="str">
        <f>IMAGE("https://gymvisual.com/11254-catalog_default/battling-ropes-female.jpg",4,500,500)</f>
        <v/>
      </c>
      <c r="C704" s="30">
        <v>703.0</v>
      </c>
      <c r="D704" s="16" t="s">
        <v>1161</v>
      </c>
      <c r="E704" s="16" t="s">
        <v>184</v>
      </c>
      <c r="F704" s="16" t="s">
        <v>1162</v>
      </c>
      <c r="G704" s="16" t="s">
        <v>1163</v>
      </c>
      <c r="H704" s="16" t="s">
        <v>220</v>
      </c>
      <c r="I704" s="16" t="s">
        <v>220</v>
      </c>
    </row>
    <row r="705" ht="242.25" customHeight="1">
      <c r="B705" s="32" t="str">
        <f>IMAGE("https://gymvisual.com/13707-catalog_default/battling-ropes-alternate-arms-side-lunge.jpg",4,500,500)</f>
        <v/>
      </c>
      <c r="C705" s="30">
        <v>704.0</v>
      </c>
      <c r="D705" s="16" t="s">
        <v>1164</v>
      </c>
      <c r="E705" s="16" t="s">
        <v>184</v>
      </c>
      <c r="F705" s="16" t="s">
        <v>1165</v>
      </c>
      <c r="G705" s="16" t="s">
        <v>1163</v>
      </c>
      <c r="H705" s="16" t="s">
        <v>220</v>
      </c>
      <c r="I705" s="16" t="s">
        <v>220</v>
      </c>
    </row>
    <row r="706" ht="242.25" customHeight="1">
      <c r="B706" s="32" t="str">
        <f>IMAGE("https://gymvisual.com/13701-catalog_default/battling-ropes-alternate-arms-squat.jpg",4,500,500)</f>
        <v/>
      </c>
      <c r="C706" s="30">
        <v>705.0</v>
      </c>
      <c r="D706" s="16" t="s">
        <v>1166</v>
      </c>
      <c r="E706" s="16" t="s">
        <v>184</v>
      </c>
      <c r="F706" s="16" t="s">
        <v>1165</v>
      </c>
      <c r="G706" s="16" t="s">
        <v>1163</v>
      </c>
      <c r="H706" s="16" t="s">
        <v>220</v>
      </c>
      <c r="I706" s="16" t="s">
        <v>220</v>
      </c>
    </row>
    <row r="707" ht="242.25" customHeight="1">
      <c r="B707" s="32" t="str">
        <f>IMAGE("https://gymvisual.com/13713-catalog_default/battling-ropes-fly.jpg",4,500,500)</f>
        <v/>
      </c>
      <c r="C707" s="30">
        <v>706.0</v>
      </c>
      <c r="D707" s="16" t="s">
        <v>1167</v>
      </c>
      <c r="E707" s="16" t="s">
        <v>184</v>
      </c>
      <c r="F707" s="16" t="s">
        <v>1168</v>
      </c>
      <c r="G707" s="16" t="s">
        <v>1163</v>
      </c>
      <c r="H707" s="16" t="s">
        <v>220</v>
      </c>
      <c r="I707" s="16" t="s">
        <v>220</v>
      </c>
    </row>
    <row r="708" ht="242.25" customHeight="1">
      <c r="B708" s="32" t="str">
        <f>IMAGE("https://gymvisual.com/13721-catalog_default/battling-ropes-high-waves.jpg",4,500,500)</f>
        <v/>
      </c>
      <c r="C708" s="30">
        <v>707.0</v>
      </c>
      <c r="D708" s="16" t="s">
        <v>1169</v>
      </c>
      <c r="E708" s="16" t="s">
        <v>184</v>
      </c>
      <c r="F708" s="16" t="s">
        <v>1170</v>
      </c>
      <c r="G708" s="16" t="s">
        <v>1163</v>
      </c>
      <c r="H708" s="16" t="s">
        <v>220</v>
      </c>
      <c r="I708" s="16" t="s">
        <v>220</v>
      </c>
    </row>
    <row r="709" ht="242.25" customHeight="1">
      <c r="B709" s="32" t="str">
        <f>IMAGE("https://gymvisual.com/13709-catalog_default/battling-ropes-inside-circle.jpg",4,500,500)</f>
        <v/>
      </c>
      <c r="C709" s="30">
        <v>708.0</v>
      </c>
      <c r="D709" s="16" t="s">
        <v>1171</v>
      </c>
      <c r="E709" s="16" t="s">
        <v>184</v>
      </c>
      <c r="F709" s="16" t="s">
        <v>1172</v>
      </c>
      <c r="G709" s="16" t="s">
        <v>1163</v>
      </c>
      <c r="H709" s="16" t="s">
        <v>220</v>
      </c>
      <c r="I709" s="16" t="s">
        <v>220</v>
      </c>
    </row>
    <row r="710" ht="242.25" customHeight="1">
      <c r="B710" s="32" t="str">
        <f>IMAGE("https://gymvisual.com/13723-catalog_default/battling-ropes-low-waves.jpg",4,500,500)</f>
        <v/>
      </c>
      <c r="C710" s="30">
        <v>709.0</v>
      </c>
      <c r="D710" s="16" t="s">
        <v>1173</v>
      </c>
      <c r="E710" s="16" t="s">
        <v>184</v>
      </c>
      <c r="F710" s="16" t="s">
        <v>1174</v>
      </c>
      <c r="G710" s="16" t="s">
        <v>1163</v>
      </c>
      <c r="H710" s="16" t="s">
        <v>220</v>
      </c>
      <c r="I710" s="16" t="s">
        <v>220</v>
      </c>
    </row>
    <row r="711" ht="242.25" customHeight="1">
      <c r="B711" s="32" t="str">
        <f>IMAGE("https://gymvisual.com/13711-catalog_default/battling-ropes-outside-circle.jpg",4,500,500)</f>
        <v/>
      </c>
      <c r="C711" s="30">
        <v>710.0</v>
      </c>
      <c r="D711" s="16" t="s">
        <v>1175</v>
      </c>
      <c r="E711" s="16" t="s">
        <v>184</v>
      </c>
      <c r="F711" s="16" t="s">
        <v>1172</v>
      </c>
      <c r="G711" s="16" t="s">
        <v>1163</v>
      </c>
      <c r="H711" s="16" t="s">
        <v>220</v>
      </c>
      <c r="I711" s="16" t="s">
        <v>220</v>
      </c>
    </row>
    <row r="712" ht="242.25" customHeight="1">
      <c r="B712" s="32" t="str">
        <f>IMAGE("https://gymvisual.com/13731-catalog_default/battling-ropes-power-slam.jpg",4,500,500)</f>
        <v/>
      </c>
      <c r="C712" s="30">
        <v>711.0</v>
      </c>
      <c r="D712" s="16" t="s">
        <v>1176</v>
      </c>
      <c r="E712" s="16" t="s">
        <v>184</v>
      </c>
      <c r="F712" s="16" t="s">
        <v>1177</v>
      </c>
      <c r="G712" s="16" t="s">
        <v>1163</v>
      </c>
      <c r="H712" s="16" t="s">
        <v>220</v>
      </c>
      <c r="I712" s="16" t="s">
        <v>220</v>
      </c>
    </row>
    <row r="713" ht="242.25" customHeight="1">
      <c r="B713" s="32" t="str">
        <f>IMAGE("https://gymvisual.com/13717-catalog_default/battling-ropes-russian-twist.jpg",4,500,500)</f>
        <v/>
      </c>
      <c r="C713" s="30">
        <v>712.0</v>
      </c>
      <c r="D713" s="16" t="s">
        <v>1178</v>
      </c>
      <c r="E713" s="16" t="s">
        <v>184</v>
      </c>
      <c r="F713" s="16" t="s">
        <v>254</v>
      </c>
      <c r="G713" s="16" t="s">
        <v>1163</v>
      </c>
      <c r="H713" s="16" t="s">
        <v>220</v>
      </c>
      <c r="I713" s="16" t="s">
        <v>220</v>
      </c>
    </row>
    <row r="714" ht="242.25" customHeight="1">
      <c r="B714" s="32" t="str">
        <f>IMAGE("https://gymvisual.com/13705-catalog_default/battling-ropes-side-to-side-arms.jpg",4,500,500)</f>
        <v/>
      </c>
      <c r="C714" s="30">
        <v>713.0</v>
      </c>
      <c r="D714" s="16" t="s">
        <v>1179</v>
      </c>
      <c r="E714" s="16" t="s">
        <v>184</v>
      </c>
      <c r="F714" s="16" t="s">
        <v>1177</v>
      </c>
      <c r="G714" s="16" t="s">
        <v>1163</v>
      </c>
      <c r="H714" s="16" t="s">
        <v>220</v>
      </c>
      <c r="I714" s="16" t="s">
        <v>220</v>
      </c>
    </row>
    <row r="715" ht="242.25" customHeight="1">
      <c r="B715" s="32" t="str">
        <f>IMAGE("https://gymvisual.com/412-catalog_default/bench-dip-knees-bent.jpg",4,500,500)</f>
        <v/>
      </c>
      <c r="C715" s="30">
        <v>714.0</v>
      </c>
      <c r="D715" s="16" t="s">
        <v>1180</v>
      </c>
      <c r="E715" s="16" t="s">
        <v>184</v>
      </c>
      <c r="F715" s="16" t="s">
        <v>219</v>
      </c>
      <c r="G715" s="16" t="s">
        <v>255</v>
      </c>
      <c r="H715" s="16" t="s">
        <v>223</v>
      </c>
      <c r="I715" s="16" t="s">
        <v>1181</v>
      </c>
    </row>
    <row r="716" ht="242.25" customHeight="1">
      <c r="B716" s="32" t="str">
        <f>IMAGE("https://gymvisual.com/10303-catalog_default/bench-dip-knees-bent-female.jpg",4,500,500)</f>
        <v/>
      </c>
      <c r="C716" s="30">
        <v>715.0</v>
      </c>
      <c r="D716" s="16" t="s">
        <v>1182</v>
      </c>
      <c r="E716" s="16" t="s">
        <v>184</v>
      </c>
      <c r="F716" s="16" t="s">
        <v>219</v>
      </c>
      <c r="G716" s="16" t="s">
        <v>255</v>
      </c>
      <c r="H716" s="16" t="s">
        <v>223</v>
      </c>
      <c r="I716" s="16" t="s">
        <v>1183</v>
      </c>
    </row>
    <row r="717" ht="242.25" customHeight="1">
      <c r="B717" s="32" t="str">
        <f>IMAGE("https://gymvisual.com/10192-catalog_default/bench-dip-back-arms-wrong-right.jpg",4,500,500)</f>
        <v/>
      </c>
      <c r="C717" s="30">
        <v>716.0</v>
      </c>
      <c r="D717" s="16" t="s">
        <v>1184</v>
      </c>
      <c r="E717" s="16" t="s">
        <v>184</v>
      </c>
      <c r="F717" s="16" t="s">
        <v>219</v>
      </c>
      <c r="G717" s="16" t="s">
        <v>255</v>
      </c>
      <c r="H717" s="16" t="s">
        <v>220</v>
      </c>
      <c r="I717" s="16" t="s">
        <v>220</v>
      </c>
    </row>
    <row r="718" ht="242.25" customHeight="1">
      <c r="B718" s="32" t="str">
        <f>IMAGE("https://gymvisual.com/6240-catalog_default/bench-dip-on-floor.jpg",4,500,500)</f>
        <v/>
      </c>
      <c r="C718" s="30">
        <v>717.0</v>
      </c>
      <c r="D718" s="16" t="s">
        <v>1185</v>
      </c>
      <c r="E718" s="16" t="s">
        <v>184</v>
      </c>
      <c r="F718" s="16" t="s">
        <v>219</v>
      </c>
      <c r="G718" s="16" t="s">
        <v>255</v>
      </c>
      <c r="H718" s="16" t="s">
        <v>223</v>
      </c>
      <c r="I718" s="16" t="s">
        <v>394</v>
      </c>
    </row>
    <row r="719" ht="242.25" customHeight="1">
      <c r="B719" s="32" t="str">
        <f>IMAGE("https://gymvisual.com/20672-catalog_default/bench-dip-on-floor-female.jpg",4,500,500)</f>
        <v/>
      </c>
      <c r="C719" s="30">
        <v>718.0</v>
      </c>
      <c r="D719" s="16" t="s">
        <v>1186</v>
      </c>
      <c r="E719" s="16" t="s">
        <v>184</v>
      </c>
      <c r="F719" s="16" t="s">
        <v>219</v>
      </c>
      <c r="G719" s="16" t="s">
        <v>255</v>
      </c>
      <c r="H719" s="16" t="s">
        <v>223</v>
      </c>
      <c r="I719" s="16" t="s">
        <v>394</v>
      </c>
    </row>
    <row r="720" ht="242.25" customHeight="1">
      <c r="B720" s="32" t="str">
        <f>IMAGE("https://gymvisual.com/18779-catalog_default/bench-dip-on-floor-version-2.jpg",4,500,500)</f>
        <v/>
      </c>
      <c r="C720" s="30">
        <v>719.0</v>
      </c>
      <c r="D720" s="16" t="s">
        <v>1187</v>
      </c>
      <c r="E720" s="16" t="s">
        <v>184</v>
      </c>
      <c r="F720" s="16" t="s">
        <v>219</v>
      </c>
      <c r="G720" s="16" t="s">
        <v>255</v>
      </c>
      <c r="H720" s="16" t="s">
        <v>223</v>
      </c>
      <c r="I720" s="16" t="s">
        <v>1188</v>
      </c>
    </row>
    <row r="721" ht="242.25" customHeight="1">
      <c r="B721" s="32" t="str">
        <f>IMAGE("https://gymvisual.com/24286-catalog_default/bench-dip-on-stability-ball.jpg",4,500,500)</f>
        <v/>
      </c>
      <c r="C721" s="30">
        <v>720.0</v>
      </c>
      <c r="D721" s="16" t="s">
        <v>1189</v>
      </c>
      <c r="E721" s="16" t="s">
        <v>184</v>
      </c>
      <c r="F721" s="16" t="s">
        <v>219</v>
      </c>
      <c r="G721" s="16" t="s">
        <v>255</v>
      </c>
      <c r="H721" s="16" t="s">
        <v>223</v>
      </c>
      <c r="I721" s="16" t="s">
        <v>1190</v>
      </c>
    </row>
    <row r="722" ht="242.25" customHeight="1">
      <c r="B722" s="32" t="str">
        <f>IMAGE("https://gymvisual.com/18925-catalog_default/bench-dip-with-legs-on-bench.jpg",4,500,500)</f>
        <v/>
      </c>
      <c r="C722" s="30">
        <v>721.0</v>
      </c>
      <c r="D722" s="16" t="s">
        <v>1191</v>
      </c>
      <c r="E722" s="16" t="s">
        <v>184</v>
      </c>
      <c r="F722" s="16" t="s">
        <v>219</v>
      </c>
      <c r="G722" s="16" t="s">
        <v>255</v>
      </c>
      <c r="H722" s="16" t="s">
        <v>223</v>
      </c>
      <c r="I722" s="16" t="s">
        <v>1188</v>
      </c>
    </row>
    <row r="723" ht="242.25" customHeight="1">
      <c r="B723" s="32" t="str">
        <f>IMAGE("https://gymvisual.com/11239-catalog_default/bench-full-squat-female.jpg",4,500,500)</f>
        <v/>
      </c>
      <c r="C723" s="30">
        <v>722.0</v>
      </c>
      <c r="D723" s="16" t="s">
        <v>1192</v>
      </c>
      <c r="E723" s="16" t="s">
        <v>184</v>
      </c>
      <c r="F723" s="16" t="s">
        <v>294</v>
      </c>
      <c r="G723" s="16" t="s">
        <v>255</v>
      </c>
      <c r="H723" s="16" t="s">
        <v>220</v>
      </c>
      <c r="I723" s="16" t="s">
        <v>220</v>
      </c>
    </row>
    <row r="724" ht="242.25" customHeight="1">
      <c r="B724" s="32" t="str">
        <f>IMAGE("https://gymvisual.com/415-catalog_default/bench-hip-extension.jpg",4,500,500)</f>
        <v/>
      </c>
      <c r="C724" s="30">
        <v>723.0</v>
      </c>
      <c r="D724" s="16" t="s">
        <v>1193</v>
      </c>
      <c r="E724" s="16" t="s">
        <v>184</v>
      </c>
      <c r="F724" s="16" t="s">
        <v>185</v>
      </c>
      <c r="G724" s="16" t="s">
        <v>255</v>
      </c>
      <c r="H724" s="16" t="s">
        <v>187</v>
      </c>
      <c r="I724" s="16" t="s">
        <v>188</v>
      </c>
    </row>
    <row r="725" ht="242.25" customHeight="1">
      <c r="B725" s="32" t="str">
        <f>IMAGE("https://gymvisual.com/12424-catalog_default/bench-pull-ups.jpg",4,500,500)</f>
        <v/>
      </c>
      <c r="C725" s="30">
        <v>724.0</v>
      </c>
      <c r="D725" s="16" t="s">
        <v>1194</v>
      </c>
      <c r="E725" s="16" t="s">
        <v>184</v>
      </c>
      <c r="F725" s="16" t="s">
        <v>192</v>
      </c>
      <c r="G725" s="16" t="s">
        <v>255</v>
      </c>
      <c r="H725" s="16" t="s">
        <v>300</v>
      </c>
      <c r="I725" s="16" t="s">
        <v>387</v>
      </c>
    </row>
    <row r="726" ht="242.25" customHeight="1">
      <c r="B726" s="32" t="str">
        <f>IMAGE("https://gymvisual.com/12427-catalog_default/bench-pull-ups-female.jpg",4,500,500)</f>
        <v/>
      </c>
      <c r="C726" s="30">
        <v>725.0</v>
      </c>
      <c r="D726" s="16" t="s">
        <v>1195</v>
      </c>
      <c r="E726" s="16" t="s">
        <v>184</v>
      </c>
      <c r="F726" s="16" t="s">
        <v>192</v>
      </c>
      <c r="G726" s="16" t="s">
        <v>255</v>
      </c>
      <c r="H726" s="16" t="s">
        <v>300</v>
      </c>
      <c r="I726" s="16" t="s">
        <v>387</v>
      </c>
    </row>
    <row r="727" ht="242.25" customHeight="1">
      <c r="B727" s="32" t="str">
        <f>IMAGE("https://gymvisual.com/18256-catalog_default/bench-reverse-crunch-circle.jpg",4,500,500)</f>
        <v/>
      </c>
      <c r="C727" s="30">
        <v>726.0</v>
      </c>
      <c r="D727" s="16" t="s">
        <v>1196</v>
      </c>
      <c r="E727" s="16" t="s">
        <v>184</v>
      </c>
      <c r="F727" s="16" t="s">
        <v>310</v>
      </c>
      <c r="G727" s="16" t="s">
        <v>255</v>
      </c>
      <c r="H727" s="16" t="s">
        <v>1197</v>
      </c>
      <c r="I727" s="16" t="s">
        <v>1198</v>
      </c>
    </row>
    <row r="728" ht="242.25" customHeight="1">
      <c r="B728" s="32" t="str">
        <f>IMAGE("https://gymvisual.com/23949-catalog_default/bent-arms-chin-up.jpg",4,500,500)</f>
        <v/>
      </c>
      <c r="C728" s="30">
        <v>727.0</v>
      </c>
      <c r="D728" s="16" t="s">
        <v>1199</v>
      </c>
      <c r="E728" s="16" t="s">
        <v>184</v>
      </c>
      <c r="F728" s="16" t="s">
        <v>192</v>
      </c>
      <c r="G728" s="16" t="s">
        <v>255</v>
      </c>
      <c r="H728" s="16" t="s">
        <v>220</v>
      </c>
      <c r="I728" s="16" t="s">
        <v>220</v>
      </c>
    </row>
    <row r="729" ht="242.25" customHeight="1">
      <c r="B729" s="32" t="str">
        <f>IMAGE("https://gymvisual.com/23653-catalog_default/bent-knee-back-to-side-kick-female.jpg",4,500,500)</f>
        <v/>
      </c>
      <c r="C729" s="30">
        <v>728.0</v>
      </c>
      <c r="D729" s="16" t="s">
        <v>1200</v>
      </c>
      <c r="E729" s="16" t="s">
        <v>184</v>
      </c>
      <c r="F729" s="16" t="s">
        <v>185</v>
      </c>
      <c r="G729" s="16" t="s">
        <v>255</v>
      </c>
      <c r="H729" s="16" t="s">
        <v>1201</v>
      </c>
      <c r="I729" s="16" t="s">
        <v>1202</v>
      </c>
    </row>
    <row r="730" ht="242.25" customHeight="1">
      <c r="B730" s="32" t="str">
        <f>IMAGE("https://gymvisual.com/23659-catalog_default/bent-knee-back-to-side-kick-male.jpg",4,500,500)</f>
        <v/>
      </c>
      <c r="C730" s="30">
        <v>729.0</v>
      </c>
      <c r="D730" s="16" t="s">
        <v>1203</v>
      </c>
      <c r="E730" s="16" t="s">
        <v>184</v>
      </c>
      <c r="F730" s="16" t="s">
        <v>185</v>
      </c>
      <c r="G730" s="16" t="s">
        <v>255</v>
      </c>
      <c r="H730" s="16" t="s">
        <v>1201</v>
      </c>
      <c r="I730" s="16" t="s">
        <v>1204</v>
      </c>
    </row>
    <row r="731" ht="242.25" customHeight="1">
      <c r="B731" s="32" t="str">
        <f>IMAGE("https://gymvisual.com/14368-catalog_default/bent-knee-lying-twist-male.jpg",4,500,500)</f>
        <v/>
      </c>
      <c r="C731" s="30">
        <v>730.0</v>
      </c>
      <c r="D731" s="16" t="s">
        <v>1205</v>
      </c>
      <c r="E731" s="16" t="s">
        <v>184</v>
      </c>
      <c r="F731" s="16" t="s">
        <v>185</v>
      </c>
      <c r="G731" s="16" t="s">
        <v>255</v>
      </c>
      <c r="H731" s="16" t="s">
        <v>475</v>
      </c>
      <c r="I731" s="16" t="s">
        <v>1206</v>
      </c>
    </row>
    <row r="732" ht="242.25" customHeight="1">
      <c r="B732" s="32" t="str">
        <f>IMAGE("https://gymvisual.com/11265-catalog_default/bent-leg-circle-kick-kneeling-female.jpg",4,500,500)</f>
        <v/>
      </c>
      <c r="C732" s="30">
        <v>731.0</v>
      </c>
      <c r="D732" s="16" t="s">
        <v>1207</v>
      </c>
      <c r="E732" s="16" t="s">
        <v>184</v>
      </c>
      <c r="F732" s="16" t="s">
        <v>185</v>
      </c>
      <c r="G732" s="16" t="s">
        <v>255</v>
      </c>
      <c r="H732" s="16" t="s">
        <v>220</v>
      </c>
      <c r="I732" s="16" t="s">
        <v>220</v>
      </c>
    </row>
    <row r="733" ht="242.25" customHeight="1">
      <c r="B733" s="32" t="str">
        <f>IMAGE("https://gymvisual.com/6415-catalog_default/bent-leg-kickback-kneeling.jpg",4,500,500)</f>
        <v/>
      </c>
      <c r="C733" s="30">
        <v>732.0</v>
      </c>
      <c r="D733" s="16" t="s">
        <v>1208</v>
      </c>
      <c r="E733" s="16" t="s">
        <v>184</v>
      </c>
      <c r="F733" s="16" t="s">
        <v>185</v>
      </c>
      <c r="G733" s="16" t="s">
        <v>255</v>
      </c>
      <c r="H733" s="16" t="s">
        <v>187</v>
      </c>
      <c r="I733" s="16" t="s">
        <v>220</v>
      </c>
    </row>
    <row r="734" ht="242.25" customHeight="1">
      <c r="B734" s="32" t="str">
        <f>IMAGE("https://gymvisual.com/13337-catalog_default/bent-leg-kickback-kneeling-male.jpg",4,500,500)</f>
        <v/>
      </c>
      <c r="C734" s="30">
        <v>733.0</v>
      </c>
      <c r="D734" s="16" t="s">
        <v>1209</v>
      </c>
      <c r="E734" s="16" t="s">
        <v>184</v>
      </c>
      <c r="F734" s="16" t="s">
        <v>185</v>
      </c>
      <c r="G734" s="16" t="s">
        <v>255</v>
      </c>
      <c r="H734" s="16" t="s">
        <v>187</v>
      </c>
      <c r="I734" s="16" t="s">
        <v>220</v>
      </c>
    </row>
    <row r="735" ht="242.25" customHeight="1">
      <c r="B735" s="32" t="str">
        <f>IMAGE("https://gymvisual.com/6417-catalog_default/bent-leg-side-kick-kneeling.jpg",4,500,500)</f>
        <v/>
      </c>
      <c r="C735" s="30">
        <v>734.0</v>
      </c>
      <c r="D735" s="16" t="s">
        <v>1210</v>
      </c>
      <c r="E735" s="16" t="s">
        <v>184</v>
      </c>
      <c r="F735" s="16" t="s">
        <v>185</v>
      </c>
      <c r="G735" s="16" t="s">
        <v>255</v>
      </c>
      <c r="H735" s="16" t="s">
        <v>475</v>
      </c>
      <c r="I735" s="16" t="s">
        <v>476</v>
      </c>
    </row>
    <row r="736" ht="242.25" customHeight="1">
      <c r="B736" s="32" t="str">
        <f>IMAGE("https://gymvisual.com/13339-catalog_default/bent-leg-side-kick-kneeling-male.jpg",4,500,500)</f>
        <v/>
      </c>
      <c r="C736" s="30">
        <v>735.0</v>
      </c>
      <c r="D736" s="16" t="s">
        <v>1211</v>
      </c>
      <c r="E736" s="16" t="s">
        <v>184</v>
      </c>
      <c r="F736" s="16" t="s">
        <v>185</v>
      </c>
      <c r="G736" s="16" t="s">
        <v>255</v>
      </c>
      <c r="H736" s="16" t="s">
        <v>475</v>
      </c>
      <c r="I736" s="16" t="s">
        <v>476</v>
      </c>
    </row>
    <row r="737" ht="242.25" customHeight="1">
      <c r="B737" s="32" t="str">
        <f>IMAGE("https://gymvisual.com/427-catalog_default/bent-side-knee-push-up.jpg",4,500,500)</f>
        <v/>
      </c>
      <c r="C737" s="30">
        <v>736.0</v>
      </c>
      <c r="D737" s="16" t="s">
        <v>1212</v>
      </c>
      <c r="E737" s="16" t="s">
        <v>184</v>
      </c>
      <c r="F737" s="16" t="s">
        <v>185</v>
      </c>
      <c r="G737" s="16" t="s">
        <v>255</v>
      </c>
      <c r="H737" s="16" t="s">
        <v>1213</v>
      </c>
      <c r="I737" s="16" t="s">
        <v>1214</v>
      </c>
    </row>
    <row r="738" ht="242.25" customHeight="1">
      <c r="B738" s="32" t="str">
        <f>IMAGE("https://gymvisual.com/13109-catalog_default/bent-knee-lying-twist.jpg",4,500,500)</f>
        <v/>
      </c>
      <c r="C738" s="30">
        <v>737.0</v>
      </c>
      <c r="D738" s="16" t="s">
        <v>1215</v>
      </c>
      <c r="E738" s="16" t="s">
        <v>184</v>
      </c>
      <c r="F738" s="16" t="s">
        <v>254</v>
      </c>
      <c r="G738" s="16" t="s">
        <v>255</v>
      </c>
      <c r="H738" s="16" t="s">
        <v>257</v>
      </c>
      <c r="I738" s="16" t="s">
        <v>220</v>
      </c>
    </row>
    <row r="739" ht="242.25" customHeight="1">
      <c r="B739" s="32" t="str">
        <f>IMAGE("https://gymvisual.com/418-catalog_default/bent-knee-lying-twist-on-stability-ball.jpg",4,500,500)</f>
        <v/>
      </c>
      <c r="C739" s="30">
        <v>738.0</v>
      </c>
      <c r="D739" s="16" t="s">
        <v>1216</v>
      </c>
      <c r="E739" s="16" t="s">
        <v>184</v>
      </c>
      <c r="F739" s="16" t="s">
        <v>254</v>
      </c>
      <c r="G739" s="16" t="s">
        <v>399</v>
      </c>
      <c r="H739" s="16" t="s">
        <v>257</v>
      </c>
      <c r="I739" s="16" t="s">
        <v>220</v>
      </c>
    </row>
    <row r="740" ht="242.25" customHeight="1">
      <c r="B740" s="32" t="str">
        <f>IMAGE("https://gymvisual.com/424-catalog_default/bent-knee-side-plank.jpg",4,500,500)</f>
        <v/>
      </c>
      <c r="C740" s="30">
        <v>739.0</v>
      </c>
      <c r="D740" s="16" t="s">
        <v>1217</v>
      </c>
      <c r="E740" s="16" t="s">
        <v>184</v>
      </c>
      <c r="F740" s="16" t="s">
        <v>254</v>
      </c>
      <c r="G740" s="16" t="s">
        <v>255</v>
      </c>
      <c r="H740" s="16" t="s">
        <v>257</v>
      </c>
      <c r="I740" s="16" t="s">
        <v>220</v>
      </c>
    </row>
    <row r="741" ht="242.25" customHeight="1">
      <c r="A741" s="32" t="b">
        <v>0</v>
      </c>
      <c r="B741" s="32" t="str">
        <f>IMAGE("https://gymvisual.com/10186-catalog_default/bent-over-row-back-wrong-right.jpg",4,500,500)</f>
        <v/>
      </c>
      <c r="C741" s="30">
        <v>740.0</v>
      </c>
      <c r="D741" s="16" t="s">
        <v>1218</v>
      </c>
      <c r="E741" s="16" t="s">
        <v>184</v>
      </c>
      <c r="F741" s="16" t="s">
        <v>192</v>
      </c>
      <c r="G741" s="16" t="s">
        <v>222</v>
      </c>
      <c r="H741" s="16" t="s">
        <v>220</v>
      </c>
      <c r="I741" s="16" t="s">
        <v>220</v>
      </c>
    </row>
    <row r="742" ht="242.25" customHeight="1">
      <c r="B742" s="32" t="str">
        <f>IMAGE("https://gymvisual.com/19387-catalog_default/bent-over-row-with-towel.jpg",4,500,500)</f>
        <v/>
      </c>
      <c r="C742" s="30">
        <v>741.0</v>
      </c>
      <c r="D742" s="16" t="s">
        <v>1219</v>
      </c>
      <c r="E742" s="16" t="s">
        <v>184</v>
      </c>
      <c r="F742" s="16" t="s">
        <v>192</v>
      </c>
      <c r="G742" s="16" t="s">
        <v>255</v>
      </c>
      <c r="H742" s="16" t="s">
        <v>570</v>
      </c>
      <c r="I742" s="16" t="s">
        <v>447</v>
      </c>
    </row>
    <row r="743" ht="242.25" customHeight="1">
      <c r="A743" s="32" t="b">
        <v>0</v>
      </c>
      <c r="B743" s="32" t="str">
        <f>IMAGE("https://gymvisual.com/10207-catalog_default/biceps-curl-arms-body-wrong-right.jpg",4,500,500)</f>
        <v/>
      </c>
      <c r="C743" s="30">
        <v>742.0</v>
      </c>
      <c r="D743" s="16" t="s">
        <v>1220</v>
      </c>
      <c r="E743" s="16" t="s">
        <v>184</v>
      </c>
      <c r="F743" s="16" t="s">
        <v>219</v>
      </c>
      <c r="G743" s="16" t="s">
        <v>222</v>
      </c>
      <c r="H743" s="16" t="s">
        <v>220</v>
      </c>
      <c r="I743" s="16" t="s">
        <v>220</v>
      </c>
    </row>
    <row r="744" ht="242.25" customHeight="1">
      <c r="B744" s="32" t="str">
        <f>IMAGE("https://gymvisual.com/16538-catalog_default/biceps-curl-with-bed-sheet.jpg",4,500,500)</f>
        <v/>
      </c>
      <c r="C744" s="30">
        <v>743.0</v>
      </c>
      <c r="D744" s="16" t="s">
        <v>1221</v>
      </c>
      <c r="E744" s="16" t="s">
        <v>184</v>
      </c>
      <c r="F744" s="16" t="s">
        <v>219</v>
      </c>
      <c r="G744" s="16" t="s">
        <v>255</v>
      </c>
      <c r="H744" s="16" t="s">
        <v>241</v>
      </c>
      <c r="I744" s="16" t="s">
        <v>292</v>
      </c>
    </row>
    <row r="745" ht="242.25" customHeight="1">
      <c r="B745" s="32" t="str">
        <f>IMAGE("https://gymvisual.com/7619-catalog_default/biceps-leg-concentration-curl.jpg",4,500,500)</f>
        <v/>
      </c>
      <c r="C745" s="30">
        <v>744.0</v>
      </c>
      <c r="D745" s="16" t="s">
        <v>1222</v>
      </c>
      <c r="E745" s="16" t="s">
        <v>184</v>
      </c>
      <c r="F745" s="16" t="s">
        <v>219</v>
      </c>
      <c r="G745" s="16" t="s">
        <v>255</v>
      </c>
      <c r="H745" s="16" t="s">
        <v>241</v>
      </c>
      <c r="I745" s="16" t="s">
        <v>292</v>
      </c>
    </row>
    <row r="746" ht="242.25" customHeight="1">
      <c r="B746" s="32" t="str">
        <f>IMAGE("https://gymvisual.com/430-catalog_default/bird-dog.jpg",4,500,500)</f>
        <v/>
      </c>
      <c r="C746" s="30">
        <v>745.0</v>
      </c>
      <c r="D746" s="16" t="s">
        <v>1223</v>
      </c>
      <c r="E746" s="16" t="s">
        <v>184</v>
      </c>
      <c r="F746" s="16" t="s">
        <v>254</v>
      </c>
      <c r="G746" s="16" t="s">
        <v>255</v>
      </c>
      <c r="H746" s="16" t="s">
        <v>275</v>
      </c>
      <c r="I746" s="16" t="s">
        <v>1224</v>
      </c>
    </row>
    <row r="747" ht="242.25" customHeight="1">
      <c r="B747" s="32" t="str">
        <f>IMAGE("https://gymvisual.com/14187-catalog_default/bird-dog-female.jpg",4,500,500)</f>
        <v/>
      </c>
      <c r="C747" s="30">
        <v>746.0</v>
      </c>
      <c r="D747" s="16" t="s">
        <v>1225</v>
      </c>
      <c r="E747" s="16" t="s">
        <v>184</v>
      </c>
      <c r="F747" s="16" t="s">
        <v>185</v>
      </c>
      <c r="G747" s="16" t="s">
        <v>255</v>
      </c>
      <c r="H747" s="16" t="s">
        <v>220</v>
      </c>
      <c r="I747" s="16" t="s">
        <v>220</v>
      </c>
    </row>
    <row r="748" ht="242.25" customHeight="1">
      <c r="B748" s="32" t="str">
        <f>IMAGE("https://gymvisual.com/18921-catalog_default/bird-dog-male.jpg",4,500,500)</f>
        <v/>
      </c>
      <c r="C748" s="30">
        <v>747.0</v>
      </c>
      <c r="D748" s="16" t="s">
        <v>1226</v>
      </c>
      <c r="E748" s="16" t="s">
        <v>184</v>
      </c>
      <c r="F748" s="16" t="s">
        <v>192</v>
      </c>
      <c r="G748" s="16" t="s">
        <v>255</v>
      </c>
      <c r="H748" s="16" t="s">
        <v>267</v>
      </c>
      <c r="I748" s="16" t="s">
        <v>1227</v>
      </c>
    </row>
    <row r="749" ht="242.25" customHeight="1">
      <c r="B749" s="32" t="str">
        <f>IMAGE("https://gymvisual.com/17853-catalog_default/bird-dog-push-up.jpg",4,500,500)</f>
        <v/>
      </c>
      <c r="C749" s="30">
        <v>748.0</v>
      </c>
      <c r="D749" s="16" t="s">
        <v>1228</v>
      </c>
      <c r="E749" s="16" t="s">
        <v>184</v>
      </c>
      <c r="F749" s="16" t="s">
        <v>234</v>
      </c>
      <c r="G749" s="16" t="s">
        <v>255</v>
      </c>
      <c r="H749" s="16" t="s">
        <v>220</v>
      </c>
      <c r="I749" s="16" t="s">
        <v>220</v>
      </c>
    </row>
    <row r="750" ht="242.25" customHeight="1">
      <c r="B750" s="32" t="str">
        <f>IMAGE("https://gymvisual.com/19437-catalog_default/body-saw-plank.jpg",4,500,500)</f>
        <v/>
      </c>
      <c r="C750" s="30">
        <v>749.0</v>
      </c>
      <c r="D750" s="16" t="s">
        <v>1229</v>
      </c>
      <c r="E750" s="16" t="s">
        <v>184</v>
      </c>
      <c r="F750" s="16" t="s">
        <v>228</v>
      </c>
      <c r="G750" s="16" t="s">
        <v>255</v>
      </c>
      <c r="H750" s="16" t="s">
        <v>1230</v>
      </c>
      <c r="I750" s="16" t="s">
        <v>1231</v>
      </c>
    </row>
    <row r="751" ht="242.25" customHeight="1">
      <c r="B751" s="32" t="str">
        <f>IMAGE("https://gymvisual.com/20610-catalog_default/body-up.jpg",4,500,500)</f>
        <v/>
      </c>
      <c r="C751" s="30">
        <v>750.0</v>
      </c>
      <c r="D751" s="16" t="s">
        <v>1232</v>
      </c>
      <c r="E751" s="16" t="s">
        <v>184</v>
      </c>
      <c r="F751" s="16" t="s">
        <v>228</v>
      </c>
      <c r="G751" s="16" t="s">
        <v>255</v>
      </c>
      <c r="H751" s="16" t="s">
        <v>223</v>
      </c>
      <c r="I751" s="16" t="s">
        <v>472</v>
      </c>
    </row>
    <row r="752" ht="242.25" customHeight="1">
      <c r="B752" s="32" t="str">
        <f>IMAGE("https://gymvisual.com/25061-catalog_default/bodyweight-b-stance-good-morning.jpg",4,500,500)</f>
        <v/>
      </c>
      <c r="C752" s="30">
        <v>751.0</v>
      </c>
      <c r="D752" s="16" t="s">
        <v>1233</v>
      </c>
      <c r="E752" s="16" t="s">
        <v>184</v>
      </c>
      <c r="F752" s="16" t="s">
        <v>185</v>
      </c>
      <c r="G752" s="16" t="s">
        <v>255</v>
      </c>
      <c r="H752" s="16" t="s">
        <v>220</v>
      </c>
      <c r="I752" s="16" t="s">
        <v>220</v>
      </c>
    </row>
    <row r="753" ht="242.25" customHeight="1">
      <c r="B753" s="32" t="str">
        <f>IMAGE("https://gymvisual.com/17987-catalog_default/bodyweight-bent-over-rear-delt-fly.jpg",4,500,500)</f>
        <v/>
      </c>
      <c r="C753" s="30">
        <v>752.0</v>
      </c>
      <c r="D753" s="16" t="s">
        <v>1234</v>
      </c>
      <c r="E753" s="16" t="s">
        <v>184</v>
      </c>
      <c r="F753" s="16" t="s">
        <v>228</v>
      </c>
      <c r="G753" s="16" t="s">
        <v>255</v>
      </c>
      <c r="H753" s="16" t="s">
        <v>220</v>
      </c>
      <c r="I753" s="16" t="s">
        <v>220</v>
      </c>
    </row>
    <row r="754" ht="242.25" customHeight="1">
      <c r="B754" s="32" t="str">
        <f>IMAGE("https://gymvisual.com/19215-catalog_default/bodyweight-elevanted-heel-squat.jpg",4,500,500)</f>
        <v/>
      </c>
      <c r="C754" s="30">
        <v>753.0</v>
      </c>
      <c r="D754" s="16" t="s">
        <v>1235</v>
      </c>
      <c r="E754" s="16" t="s">
        <v>184</v>
      </c>
      <c r="F754" s="16" t="s">
        <v>1236</v>
      </c>
      <c r="G754" s="16" t="s">
        <v>255</v>
      </c>
      <c r="H754" s="16" t="s">
        <v>220</v>
      </c>
      <c r="I754" s="16" t="s">
        <v>220</v>
      </c>
    </row>
    <row r="755" ht="242.25" customHeight="1">
      <c r="B755" s="32" t="str">
        <f>IMAGE("https://gymvisual.com/20029-catalog_default/bodyweight-forward-lunge-hinge-at-hips.jpg",4,500,500)</f>
        <v/>
      </c>
      <c r="C755" s="30">
        <v>754.0</v>
      </c>
      <c r="D755" s="16" t="s">
        <v>1237</v>
      </c>
      <c r="E755" s="16" t="s">
        <v>184</v>
      </c>
      <c r="F755" s="16" t="s">
        <v>294</v>
      </c>
      <c r="G755" s="16" t="s">
        <v>255</v>
      </c>
      <c r="H755" s="16" t="s">
        <v>189</v>
      </c>
      <c r="I755" s="16" t="s">
        <v>190</v>
      </c>
    </row>
    <row r="756" ht="242.25" customHeight="1">
      <c r="B756" s="32" t="str">
        <f>IMAGE("https://gymvisual.com/20031-catalog_default/bodyweight-forward-lunge-smaller-stance-upright-torso.jpg",4,500,500)</f>
        <v/>
      </c>
      <c r="C756" s="30">
        <v>755.0</v>
      </c>
      <c r="D756" s="16" t="s">
        <v>1238</v>
      </c>
      <c r="E756" s="16" t="s">
        <v>184</v>
      </c>
      <c r="F756" s="16" t="s">
        <v>285</v>
      </c>
      <c r="G756" s="16" t="s">
        <v>255</v>
      </c>
      <c r="H756" s="16" t="s">
        <v>552</v>
      </c>
      <c r="I756" s="16" t="s">
        <v>553</v>
      </c>
    </row>
    <row r="757" ht="242.25" customHeight="1">
      <c r="B757" s="32" t="str">
        <f>IMAGE("https://gymvisual.com/12754-catalog_default/bodyweight-frog-pump.jpg",4,500,500)</f>
        <v/>
      </c>
      <c r="C757" s="30">
        <v>756.0</v>
      </c>
      <c r="D757" s="16" t="s">
        <v>1239</v>
      </c>
      <c r="E757" s="16" t="s">
        <v>184</v>
      </c>
      <c r="F757" s="16" t="s">
        <v>185</v>
      </c>
      <c r="G757" s="16" t="s">
        <v>255</v>
      </c>
      <c r="H757" s="16" t="s">
        <v>1240</v>
      </c>
      <c r="I757" s="16" t="s">
        <v>1241</v>
      </c>
    </row>
    <row r="758" ht="242.25" customHeight="1">
      <c r="B758" s="32" t="str">
        <f>IMAGE("https://gymvisual.com/23611-catalog_default/bodyweight-full-squat-with-overhead-press.jpg",4,500,500)</f>
        <v/>
      </c>
      <c r="C758" s="30">
        <v>757.0</v>
      </c>
      <c r="D758" s="16" t="s">
        <v>1242</v>
      </c>
      <c r="E758" s="16" t="s">
        <v>184</v>
      </c>
      <c r="F758" s="16" t="s">
        <v>321</v>
      </c>
      <c r="G758" s="16" t="s">
        <v>255</v>
      </c>
      <c r="H758" s="16" t="s">
        <v>220</v>
      </c>
      <c r="I758" s="16" t="s">
        <v>220</v>
      </c>
    </row>
    <row r="759" ht="242.25" customHeight="1">
      <c r="B759" s="32" t="str">
        <f>IMAGE("https://gymvisual.com/20547-catalog_default/bodyweight-glute-dominant-step-up.jpg",4,500,500)</f>
        <v/>
      </c>
      <c r="C759" s="30">
        <v>758.0</v>
      </c>
      <c r="D759" s="16" t="s">
        <v>1243</v>
      </c>
      <c r="E759" s="16" t="s">
        <v>184</v>
      </c>
      <c r="F759" s="16" t="s">
        <v>294</v>
      </c>
      <c r="G759" s="16" t="s">
        <v>255</v>
      </c>
      <c r="H759" s="16" t="s">
        <v>189</v>
      </c>
      <c r="I759" s="16" t="s">
        <v>190</v>
      </c>
    </row>
    <row r="760" ht="242.25" customHeight="1">
      <c r="B760" s="32" t="str">
        <f>IMAGE("https://gymvisual.com/24689-catalog_default/bodyweight-good-morning.jpg",4,500,500)</f>
        <v/>
      </c>
      <c r="C760" s="30">
        <v>759.0</v>
      </c>
      <c r="D760" s="16" t="s">
        <v>1244</v>
      </c>
      <c r="E760" s="16" t="s">
        <v>184</v>
      </c>
      <c r="F760" s="16" t="s">
        <v>185</v>
      </c>
      <c r="G760" s="16" t="s">
        <v>255</v>
      </c>
      <c r="H760" s="16" t="s">
        <v>220</v>
      </c>
      <c r="I760" s="16" t="s">
        <v>220</v>
      </c>
    </row>
    <row r="761" ht="242.25" customHeight="1">
      <c r="B761" s="32" t="str">
        <f>IMAGE("https://gymvisual.com/14100-catalog_default/bodyweight-incline-side-plank.jpg",4,500,500)</f>
        <v/>
      </c>
      <c r="C761" s="30">
        <v>760.0</v>
      </c>
      <c r="D761" s="16" t="s">
        <v>1245</v>
      </c>
      <c r="E761" s="16" t="s">
        <v>184</v>
      </c>
      <c r="F761" s="16" t="s">
        <v>254</v>
      </c>
      <c r="G761" s="16" t="s">
        <v>255</v>
      </c>
      <c r="H761" s="16" t="s">
        <v>257</v>
      </c>
      <c r="I761" s="16" t="s">
        <v>1246</v>
      </c>
    </row>
    <row r="762" ht="242.25" customHeight="1">
      <c r="B762" s="32" t="str">
        <f>IMAGE("https://gymvisual.com/23919-catalog_default/bodyweight-kneeling-hold-to-stand.jpg",4,500,500)</f>
        <v/>
      </c>
      <c r="C762" s="30">
        <v>761.0</v>
      </c>
      <c r="D762" s="16" t="s">
        <v>1247</v>
      </c>
      <c r="E762" s="16" t="s">
        <v>184</v>
      </c>
      <c r="F762" s="16" t="s">
        <v>285</v>
      </c>
      <c r="G762" s="16" t="s">
        <v>255</v>
      </c>
      <c r="H762" s="16" t="s">
        <v>189</v>
      </c>
      <c r="I762" s="16" t="s">
        <v>190</v>
      </c>
    </row>
    <row r="763" ht="242.25" customHeight="1">
      <c r="B763" s="32" t="str">
        <f>IMAGE("https://gymvisual.com/22716-catalog_default/bodyweight-kneeling-push-up-row.jpg",4,500,500)</f>
        <v/>
      </c>
      <c r="C763" s="30">
        <v>762.0</v>
      </c>
      <c r="D763" s="16" t="s">
        <v>1248</v>
      </c>
      <c r="E763" s="16" t="s">
        <v>184</v>
      </c>
      <c r="F763" s="16" t="s">
        <v>234</v>
      </c>
      <c r="G763" s="16" t="s">
        <v>255</v>
      </c>
      <c r="H763" s="16" t="s">
        <v>1249</v>
      </c>
      <c r="I763" s="16" t="s">
        <v>1250</v>
      </c>
    </row>
    <row r="764" ht="242.25" customHeight="1">
      <c r="B764" s="32" t="str">
        <f>IMAGE("https://gymvisual.com/20698-catalog_default/bodyweight-kneeling-sissy-squat.jpg",4,500,500)</f>
        <v/>
      </c>
      <c r="C764" s="30">
        <v>763.0</v>
      </c>
      <c r="D764" s="16" t="s">
        <v>1251</v>
      </c>
      <c r="E764" s="16" t="s">
        <v>184</v>
      </c>
      <c r="F764" s="16" t="s">
        <v>285</v>
      </c>
      <c r="G764" s="16" t="s">
        <v>255</v>
      </c>
      <c r="H764" s="16" t="s">
        <v>552</v>
      </c>
      <c r="I764" s="16" t="s">
        <v>220</v>
      </c>
    </row>
    <row r="765" ht="242.25" customHeight="1">
      <c r="B765" s="32" t="str">
        <f>IMAGE("https://gymvisual.com/7617-catalog_default/bodyweight-kneeling-triceps-extension.jpg",4,500,500)</f>
        <v/>
      </c>
      <c r="C765" s="30">
        <v>764.0</v>
      </c>
      <c r="D765" s="16" t="s">
        <v>1252</v>
      </c>
      <c r="E765" s="16" t="s">
        <v>184</v>
      </c>
      <c r="F765" s="16" t="s">
        <v>219</v>
      </c>
      <c r="G765" s="16" t="s">
        <v>255</v>
      </c>
      <c r="H765" s="16" t="s">
        <v>223</v>
      </c>
      <c r="I765" s="16" t="s">
        <v>220</v>
      </c>
    </row>
    <row r="766" ht="242.25" customHeight="1">
      <c r="B766" s="32" t="str">
        <f>IMAGE("https://gymvisual.com/13341-catalog_default/bodyweight-kneeling-triceps-extension-female.jpg",4,500,500)</f>
        <v/>
      </c>
      <c r="C766" s="30">
        <v>765.0</v>
      </c>
      <c r="D766" s="16" t="s">
        <v>1253</v>
      </c>
      <c r="E766" s="16" t="s">
        <v>184</v>
      </c>
      <c r="F766" s="16" t="s">
        <v>219</v>
      </c>
      <c r="G766" s="16" t="s">
        <v>255</v>
      </c>
      <c r="H766" s="16" t="s">
        <v>223</v>
      </c>
      <c r="I766" s="16" t="s">
        <v>220</v>
      </c>
    </row>
    <row r="767" ht="242.25" customHeight="1">
      <c r="B767" s="32" t="str">
        <f>IMAGE("https://gymvisual.com/25651-catalog_default/bodyweight-lying-prone-ys.jpg",4,500,500)</f>
        <v/>
      </c>
      <c r="C767" s="30">
        <v>766.0</v>
      </c>
      <c r="D767" s="16" t="s">
        <v>1254</v>
      </c>
      <c r="E767" s="16" t="s">
        <v>184</v>
      </c>
      <c r="F767" s="16" t="s">
        <v>192</v>
      </c>
      <c r="G767" s="16" t="s">
        <v>255</v>
      </c>
      <c r="H767" s="16" t="s">
        <v>220</v>
      </c>
      <c r="I767" s="16" t="s">
        <v>220</v>
      </c>
    </row>
    <row r="768" ht="242.25" customHeight="1">
      <c r="B768" s="32" t="str">
        <f>IMAGE("https://gymvisual.com/24808-catalog_default/bodyweight-narrow-stance-squat-male.jpg",4,500,500)</f>
        <v/>
      </c>
      <c r="C768" s="30">
        <v>767.0</v>
      </c>
      <c r="D768" s="16" t="s">
        <v>1255</v>
      </c>
      <c r="E768" s="16" t="s">
        <v>184</v>
      </c>
      <c r="F768" s="16" t="s">
        <v>285</v>
      </c>
      <c r="G768" s="16" t="s">
        <v>255</v>
      </c>
      <c r="H768" s="16" t="s">
        <v>189</v>
      </c>
      <c r="I768" s="16" t="s">
        <v>190</v>
      </c>
    </row>
    <row r="769" ht="242.25" customHeight="1">
      <c r="B769" s="32" t="str">
        <f>IMAGE("https://gymvisual.com/22762-catalog_default/bodyweight-overhead-squat.jpg",4,500,500)</f>
        <v/>
      </c>
      <c r="C769" s="30">
        <v>768.0</v>
      </c>
      <c r="D769" s="16" t="s">
        <v>1256</v>
      </c>
      <c r="E769" s="16" t="s">
        <v>184</v>
      </c>
      <c r="F769" s="16" t="s">
        <v>285</v>
      </c>
      <c r="G769" s="16" t="s">
        <v>255</v>
      </c>
      <c r="H769" s="16" t="s">
        <v>189</v>
      </c>
      <c r="I769" s="16" t="s">
        <v>190</v>
      </c>
    </row>
    <row r="770" ht="242.25" customHeight="1">
      <c r="B770" s="32" t="str">
        <f>IMAGE("https://gymvisual.com/23651-catalog_default/bodyweight-overhead-triceps-extension-female.jpg",4,500,500)</f>
        <v/>
      </c>
      <c r="C770" s="30">
        <v>769.0</v>
      </c>
      <c r="D770" s="16" t="s">
        <v>1257</v>
      </c>
      <c r="E770" s="16" t="s">
        <v>184</v>
      </c>
      <c r="F770" s="16" t="s">
        <v>219</v>
      </c>
      <c r="G770" s="16" t="s">
        <v>255</v>
      </c>
      <c r="H770" s="16" t="s">
        <v>223</v>
      </c>
      <c r="I770" s="16" t="s">
        <v>220</v>
      </c>
    </row>
    <row r="771" ht="242.25" customHeight="1">
      <c r="B771" s="32" t="str">
        <f>IMAGE("https://gymvisual.com/14082-catalog_default/bodyweight-pulse-squat.jpg",4,500,500)</f>
        <v/>
      </c>
      <c r="C771" s="30">
        <v>770.0</v>
      </c>
      <c r="D771" s="16" t="s">
        <v>1258</v>
      </c>
      <c r="E771" s="16" t="s">
        <v>184</v>
      </c>
      <c r="F771" s="16" t="s">
        <v>294</v>
      </c>
      <c r="G771" s="16" t="s">
        <v>255</v>
      </c>
      <c r="H771" s="16" t="s">
        <v>189</v>
      </c>
      <c r="I771" s="16" t="s">
        <v>190</v>
      </c>
    </row>
    <row r="772" ht="242.25" customHeight="1">
      <c r="B772" s="32" t="str">
        <f>IMAGE("https://gymvisual.com/22704-catalog_default/bodyweight-pulse-squat-female.jpg",4,500,500)</f>
        <v/>
      </c>
      <c r="C772" s="30">
        <v>771.0</v>
      </c>
      <c r="D772" s="16" t="s">
        <v>1259</v>
      </c>
      <c r="E772" s="16" t="s">
        <v>184</v>
      </c>
      <c r="F772" s="16" t="s">
        <v>285</v>
      </c>
      <c r="G772" s="16" t="s">
        <v>255</v>
      </c>
      <c r="H772" s="16" t="s">
        <v>189</v>
      </c>
      <c r="I772" s="16" t="s">
        <v>190</v>
      </c>
    </row>
    <row r="773" ht="242.25" customHeight="1">
      <c r="B773" s="32" t="str">
        <f>IMAGE("https://gymvisual.com/14060-catalog_default/bodyweight-rear-lunge.jpg",4,500,500)</f>
        <v/>
      </c>
      <c r="C773" s="30">
        <v>772.0</v>
      </c>
      <c r="D773" s="16" t="s">
        <v>1260</v>
      </c>
      <c r="E773" s="16" t="s">
        <v>184</v>
      </c>
      <c r="F773" s="16" t="s">
        <v>285</v>
      </c>
      <c r="G773" s="16" t="s">
        <v>255</v>
      </c>
      <c r="H773" s="16" t="s">
        <v>189</v>
      </c>
      <c r="I773" s="16" t="s">
        <v>190</v>
      </c>
    </row>
    <row r="774" ht="242.25" customHeight="1">
      <c r="B774" s="32" t="str">
        <f>IMAGE("https://gymvisual.com/13791-catalog_default/bodyweight-row-in-doorway.jpg",4,500,500)</f>
        <v/>
      </c>
      <c r="C774" s="30">
        <v>773.0</v>
      </c>
      <c r="D774" s="16" t="s">
        <v>1261</v>
      </c>
      <c r="E774" s="16" t="s">
        <v>184</v>
      </c>
      <c r="F774" s="16" t="s">
        <v>192</v>
      </c>
      <c r="G774" s="16" t="s">
        <v>255</v>
      </c>
      <c r="H774" s="16" t="s">
        <v>329</v>
      </c>
      <c r="I774" s="16" t="s">
        <v>447</v>
      </c>
    </row>
    <row r="775" ht="242.25" customHeight="1">
      <c r="B775" s="32" t="str">
        <f>IMAGE("https://gymvisual.com/18927-catalog_default/bodyweight-shrug.jpg",4,500,500)</f>
        <v/>
      </c>
      <c r="C775" s="30">
        <v>774.0</v>
      </c>
      <c r="D775" s="16" t="s">
        <v>1262</v>
      </c>
      <c r="E775" s="16" t="s">
        <v>184</v>
      </c>
      <c r="F775" s="16" t="s">
        <v>192</v>
      </c>
      <c r="G775" s="16" t="s">
        <v>255</v>
      </c>
      <c r="H775" s="16" t="s">
        <v>238</v>
      </c>
      <c r="I775" s="16" t="s">
        <v>239</v>
      </c>
    </row>
    <row r="776" ht="242.25" customHeight="1">
      <c r="B776" s="32" t="str">
        <f>IMAGE("https://gymvisual.com/7621-catalog_default/bodyweight-side-lying-biceps-curl.jpg",4,500,500)</f>
        <v/>
      </c>
      <c r="C776" s="30">
        <v>775.0</v>
      </c>
      <c r="D776" s="16" t="s">
        <v>1263</v>
      </c>
      <c r="E776" s="16" t="s">
        <v>184</v>
      </c>
      <c r="F776" s="16" t="s">
        <v>219</v>
      </c>
      <c r="G776" s="16" t="s">
        <v>255</v>
      </c>
      <c r="H776" s="16" t="s">
        <v>220</v>
      </c>
      <c r="I776" s="16" t="s">
        <v>220</v>
      </c>
    </row>
    <row r="777" ht="242.25" customHeight="1">
      <c r="B777" s="32" t="str">
        <f>IMAGE("https://gymvisual.com/22722-catalog_default/bodyweight-single-leg-deadlift.jpg",4,500,500)</f>
        <v/>
      </c>
      <c r="C777" s="30">
        <v>776.0</v>
      </c>
      <c r="D777" s="16" t="s">
        <v>1264</v>
      </c>
      <c r="E777" s="16" t="s">
        <v>184</v>
      </c>
      <c r="F777" s="16" t="s">
        <v>285</v>
      </c>
      <c r="G777" s="16" t="s">
        <v>255</v>
      </c>
      <c r="H777" s="16" t="s">
        <v>187</v>
      </c>
      <c r="I777" s="16" t="s">
        <v>482</v>
      </c>
    </row>
    <row r="778" ht="242.25" customHeight="1">
      <c r="B778" s="32" t="str">
        <f>IMAGE("https://gymvisual.com/25059-catalog_default/bodyweight-single-leg-kas-glute-bridge.jpg",4,500,500)</f>
        <v/>
      </c>
      <c r="C778" s="30">
        <v>777.0</v>
      </c>
      <c r="D778" s="16" t="s">
        <v>1265</v>
      </c>
      <c r="E778" s="16" t="s">
        <v>184</v>
      </c>
      <c r="F778" s="16" t="s">
        <v>185</v>
      </c>
      <c r="G778" s="16" t="s">
        <v>255</v>
      </c>
      <c r="H778" s="16" t="s">
        <v>220</v>
      </c>
      <c r="I778" s="16" t="s">
        <v>220</v>
      </c>
    </row>
    <row r="779" ht="242.25" customHeight="1">
      <c r="B779" s="32" t="str">
        <f>IMAGE("https://gymvisual.com/22496-catalog_default/bodyweight-single-leg-rdl.jpg",4,500,500)</f>
        <v/>
      </c>
      <c r="C779" s="30">
        <v>778.0</v>
      </c>
      <c r="D779" s="16" t="s">
        <v>1266</v>
      </c>
      <c r="E779" s="16" t="s">
        <v>184</v>
      </c>
      <c r="F779" s="16" t="s">
        <v>185</v>
      </c>
      <c r="G779" s="16" t="s">
        <v>255</v>
      </c>
      <c r="H779" s="16" t="s">
        <v>220</v>
      </c>
      <c r="I779" s="16" t="s">
        <v>220</v>
      </c>
    </row>
    <row r="780" ht="242.25" customHeight="1">
      <c r="B780" s="32" t="str">
        <f>IMAGE("https://gymvisual.com/17877-catalog_default/bodyweight-single-leg-wall-squat.jpg",4,500,500)</f>
        <v/>
      </c>
      <c r="C780" s="30">
        <v>779.0</v>
      </c>
      <c r="D780" s="16" t="s">
        <v>1267</v>
      </c>
      <c r="E780" s="16" t="s">
        <v>184</v>
      </c>
      <c r="F780" s="16" t="s">
        <v>285</v>
      </c>
      <c r="G780" s="16" t="s">
        <v>255</v>
      </c>
      <c r="H780" s="16" t="s">
        <v>220</v>
      </c>
      <c r="I780" s="16" t="s">
        <v>220</v>
      </c>
    </row>
    <row r="781" ht="242.25" customHeight="1">
      <c r="B781" s="32" t="str">
        <f>IMAGE("https://gymvisual.com/12723-catalog_default/bodyweight-squatting-row.jpg",4,500,500)</f>
        <v/>
      </c>
      <c r="C781" s="30">
        <v>780.0</v>
      </c>
      <c r="D781" s="16" t="s">
        <v>1268</v>
      </c>
      <c r="E781" s="16" t="s">
        <v>184</v>
      </c>
      <c r="F781" s="16" t="s">
        <v>192</v>
      </c>
      <c r="G781" s="16" t="s">
        <v>255</v>
      </c>
      <c r="H781" s="16" t="s">
        <v>329</v>
      </c>
      <c r="I781" s="16" t="s">
        <v>447</v>
      </c>
    </row>
    <row r="782" ht="242.25" customHeight="1">
      <c r="B782" s="32" t="str">
        <f>IMAGE("https://gymvisual.com/12725-catalog_default/bodyweight-squatting-row-female.jpg",4,500,500)</f>
        <v/>
      </c>
      <c r="C782" s="30">
        <v>781.0</v>
      </c>
      <c r="D782" s="16" t="s">
        <v>1269</v>
      </c>
      <c r="E782" s="16" t="s">
        <v>184</v>
      </c>
      <c r="F782" s="16" t="s">
        <v>192</v>
      </c>
      <c r="G782" s="16" t="s">
        <v>255</v>
      </c>
      <c r="H782" s="16" t="s">
        <v>329</v>
      </c>
      <c r="I782" s="16" t="s">
        <v>447</v>
      </c>
    </row>
    <row r="783" ht="242.25" customHeight="1">
      <c r="B783" s="32" t="str">
        <f>IMAGE("https://gymvisual.com/12722-catalog_default/bodyweight-squatting-row-with-towel.jpg",4,500,500)</f>
        <v/>
      </c>
      <c r="C783" s="30">
        <v>782.0</v>
      </c>
      <c r="D783" s="16" t="s">
        <v>1270</v>
      </c>
      <c r="E783" s="16" t="s">
        <v>184</v>
      </c>
      <c r="F783" s="16" t="s">
        <v>192</v>
      </c>
      <c r="G783" s="16" t="s">
        <v>255</v>
      </c>
      <c r="H783" s="16" t="s">
        <v>329</v>
      </c>
      <c r="I783" s="16" t="s">
        <v>447</v>
      </c>
    </row>
    <row r="784" ht="242.25" customHeight="1">
      <c r="B784" s="32" t="str">
        <f>IMAGE("https://gymvisual.com/12724-catalog_default/bodyweight-squatting-row-with-towel-female.jpg",4,500,500)</f>
        <v/>
      </c>
      <c r="C784" s="30">
        <v>783.0</v>
      </c>
      <c r="D784" s="16" t="s">
        <v>1271</v>
      </c>
      <c r="E784" s="16" t="s">
        <v>184</v>
      </c>
      <c r="F784" s="16" t="s">
        <v>192</v>
      </c>
      <c r="G784" s="16" t="s">
        <v>255</v>
      </c>
      <c r="H784" s="16" t="s">
        <v>329</v>
      </c>
      <c r="I784" s="16" t="s">
        <v>447</v>
      </c>
    </row>
    <row r="785" ht="242.25" customHeight="1">
      <c r="B785" s="32" t="str">
        <f>IMAGE("https://gymvisual.com/23627-catalog_default/bodyweight-standing-around-world-wall-supported.jpg",4,500,500)</f>
        <v/>
      </c>
      <c r="C785" s="30">
        <v>784.0</v>
      </c>
      <c r="D785" s="16" t="s">
        <v>1272</v>
      </c>
      <c r="E785" s="16" t="s">
        <v>184</v>
      </c>
      <c r="F785" s="16" t="s">
        <v>228</v>
      </c>
      <c r="G785" s="16" t="s">
        <v>255</v>
      </c>
      <c r="H785" s="16" t="s">
        <v>333</v>
      </c>
      <c r="I785" s="16" t="s">
        <v>1273</v>
      </c>
    </row>
    <row r="786" ht="242.25" customHeight="1">
      <c r="B786" s="32" t="str">
        <f>IMAGE("https://gymvisual.com/12187-catalog_default/bodyweight-standing-biceps-curl.jpg",4,500,500)</f>
        <v/>
      </c>
      <c r="C786" s="30">
        <v>785.0</v>
      </c>
      <c r="D786" s="16" t="s">
        <v>1274</v>
      </c>
      <c r="E786" s="16" t="s">
        <v>184</v>
      </c>
      <c r="F786" s="16" t="s">
        <v>219</v>
      </c>
      <c r="G786" s="16" t="s">
        <v>255</v>
      </c>
      <c r="H786" s="16" t="s">
        <v>220</v>
      </c>
      <c r="I786" s="16" t="s">
        <v>220</v>
      </c>
    </row>
    <row r="787" ht="242.25" customHeight="1">
      <c r="B787" s="32" t="str">
        <f>IMAGE("https://gymvisual.com/19407-catalog_default/bodyweight-standing-biceps-curl-version-2.jpg",4,500,500)</f>
        <v/>
      </c>
      <c r="C787" s="30">
        <v>786.0</v>
      </c>
      <c r="D787" s="16" t="s">
        <v>1275</v>
      </c>
      <c r="E787" s="16" t="s">
        <v>184</v>
      </c>
      <c r="F787" s="16" t="s">
        <v>219</v>
      </c>
      <c r="G787" s="16" t="s">
        <v>255</v>
      </c>
      <c r="H787" s="16" t="s">
        <v>220</v>
      </c>
      <c r="I787" s="16" t="s">
        <v>220</v>
      </c>
    </row>
    <row r="788" ht="242.25" customHeight="1">
      <c r="B788" s="32" t="str">
        <f>IMAGE("https://gymvisual.com/6068-catalog_default/bodyweight-standing-calf-raise.jpg",4,500,500)</f>
        <v/>
      </c>
      <c r="C788" s="30">
        <v>787.0</v>
      </c>
      <c r="D788" s="16" t="s">
        <v>1276</v>
      </c>
      <c r="E788" s="16" t="s">
        <v>184</v>
      </c>
      <c r="F788" s="16" t="s">
        <v>325</v>
      </c>
      <c r="G788" s="16" t="s">
        <v>255</v>
      </c>
      <c r="H788" s="16" t="s">
        <v>368</v>
      </c>
      <c r="I788" s="16" t="s">
        <v>463</v>
      </c>
    </row>
    <row r="789" ht="242.25" customHeight="1">
      <c r="B789" s="32" t="str">
        <f>IMAGE("https://gymvisual.com/12684-catalog_default/bodyweight-standing-close-grip-one-arm-row.jpg",4,500,500)</f>
        <v/>
      </c>
      <c r="C789" s="30">
        <v>788.0</v>
      </c>
      <c r="D789" s="16" t="s">
        <v>1277</v>
      </c>
      <c r="E789" s="16" t="s">
        <v>184</v>
      </c>
      <c r="F789" s="16" t="s">
        <v>192</v>
      </c>
      <c r="G789" s="16" t="s">
        <v>255</v>
      </c>
      <c r="H789" s="16" t="s">
        <v>329</v>
      </c>
      <c r="I789" s="16" t="s">
        <v>447</v>
      </c>
    </row>
    <row r="790" ht="242.25" customHeight="1">
      <c r="B790" s="32" t="str">
        <f>IMAGE("https://gymvisual.com/12683-catalog_default/bodyweight-standing-close-grip-one-arm-row-female.jpg",4,500,500)</f>
        <v/>
      </c>
      <c r="C790" s="30">
        <v>789.0</v>
      </c>
      <c r="D790" s="16" t="s">
        <v>1278</v>
      </c>
      <c r="E790" s="16" t="s">
        <v>184</v>
      </c>
      <c r="F790" s="16" t="s">
        <v>192</v>
      </c>
      <c r="G790" s="16" t="s">
        <v>255</v>
      </c>
      <c r="H790" s="16" t="s">
        <v>329</v>
      </c>
      <c r="I790" s="16" t="s">
        <v>447</v>
      </c>
    </row>
    <row r="791" ht="242.25" customHeight="1">
      <c r="A791" s="32" t="b">
        <v>0</v>
      </c>
      <c r="B791" s="32" t="str">
        <f>IMAGE("https://gymvisual.com/25212-catalog_default/cable-kneeling-crunch.jpg",4,500,500)</f>
        <v/>
      </c>
      <c r="C791" s="30">
        <v>790.0</v>
      </c>
      <c r="D791" s="16" t="s">
        <v>1279</v>
      </c>
      <c r="E791" s="16" t="s">
        <v>184</v>
      </c>
      <c r="F791" s="16" t="s">
        <v>254</v>
      </c>
      <c r="G791" s="16" t="s">
        <v>215</v>
      </c>
      <c r="H791" s="16" t="s">
        <v>256</v>
      </c>
      <c r="I791" s="16" t="s">
        <v>257</v>
      </c>
    </row>
    <row r="792" ht="242.25" customHeight="1">
      <c r="B792" s="32" t="str">
        <f>IMAGE("https://gymvisual.com/12685-catalog_default/bodyweight-standing-close-grip-row-female.jpg",4,500,500)</f>
        <v/>
      </c>
      <c r="C792" s="30">
        <v>791.0</v>
      </c>
      <c r="D792" s="16" t="s">
        <v>1280</v>
      </c>
      <c r="E792" s="16" t="s">
        <v>184</v>
      </c>
      <c r="F792" s="16" t="s">
        <v>192</v>
      </c>
      <c r="G792" s="16" t="s">
        <v>255</v>
      </c>
      <c r="H792" s="16" t="s">
        <v>329</v>
      </c>
      <c r="I792" s="16" t="s">
        <v>447</v>
      </c>
    </row>
    <row r="793" ht="242.25" customHeight="1">
      <c r="B793" s="32" t="str">
        <f>IMAGE("https://gymvisual.com/23941-catalog_default/bodyweight-standing-fly-male.jpg",4,500,500)</f>
        <v/>
      </c>
      <c r="C793" s="30">
        <v>792.0</v>
      </c>
      <c r="D793" s="16" t="s">
        <v>1281</v>
      </c>
      <c r="E793" s="16" t="s">
        <v>184</v>
      </c>
      <c r="F793" s="16" t="s">
        <v>234</v>
      </c>
      <c r="G793" s="16" t="s">
        <v>255</v>
      </c>
      <c r="H793" s="16" t="s">
        <v>235</v>
      </c>
      <c r="I793" s="16" t="s">
        <v>236</v>
      </c>
    </row>
    <row r="794" ht="242.25" customHeight="1">
      <c r="B794" s="32" t="str">
        <f>IMAGE("https://gymvisual.com/18764-catalog_default/bodyweight-standing-military-press.jpg",4,500,500)</f>
        <v/>
      </c>
      <c r="C794" s="30">
        <v>793.0</v>
      </c>
      <c r="D794" s="16" t="s">
        <v>1282</v>
      </c>
      <c r="E794" s="16" t="s">
        <v>184</v>
      </c>
      <c r="F794" s="16" t="s">
        <v>228</v>
      </c>
      <c r="G794" s="16" t="s">
        <v>255</v>
      </c>
      <c r="H794" s="16" t="s">
        <v>220</v>
      </c>
      <c r="I794" s="16" t="s">
        <v>220</v>
      </c>
    </row>
    <row r="795" ht="242.25" customHeight="1">
      <c r="B795" s="32" t="str">
        <f>IMAGE("https://gymvisual.com/22616-catalog_default/bodyweight-standing-military-press-wall-supported.jpg",4,500,500)</f>
        <v/>
      </c>
      <c r="C795" s="30">
        <v>794.0</v>
      </c>
      <c r="D795" s="16" t="s">
        <v>1283</v>
      </c>
      <c r="E795" s="16" t="s">
        <v>184</v>
      </c>
      <c r="F795" s="16" t="s">
        <v>228</v>
      </c>
      <c r="G795" s="16" t="s">
        <v>255</v>
      </c>
      <c r="H795" s="16" t="s">
        <v>229</v>
      </c>
      <c r="I795" s="16" t="s">
        <v>230</v>
      </c>
    </row>
    <row r="796" ht="242.25" customHeight="1">
      <c r="B796" s="32" t="str">
        <f>IMAGE("https://gymvisual.com/22395-catalog_default/bodyweight-standing-oblique-twist.jpg",4,500,500)</f>
        <v/>
      </c>
      <c r="C796" s="30">
        <v>795.0</v>
      </c>
      <c r="D796" s="16" t="s">
        <v>1284</v>
      </c>
      <c r="E796" s="16" t="s">
        <v>184</v>
      </c>
      <c r="F796" s="16" t="s">
        <v>254</v>
      </c>
      <c r="G796" s="16" t="s">
        <v>255</v>
      </c>
      <c r="H796" s="16" t="s">
        <v>220</v>
      </c>
      <c r="I796" s="16" t="s">
        <v>220</v>
      </c>
    </row>
    <row r="797" ht="242.25" customHeight="1">
      <c r="B797" s="32" t="str">
        <f>IMAGE("https://gymvisual.com/12688-catalog_default/bodyweight-standing-one-arm-row.jpg",4,500,500)</f>
        <v/>
      </c>
      <c r="C797" s="30">
        <v>796.0</v>
      </c>
      <c r="D797" s="16" t="s">
        <v>1285</v>
      </c>
      <c r="E797" s="16" t="s">
        <v>184</v>
      </c>
      <c r="F797" s="16" t="s">
        <v>192</v>
      </c>
      <c r="G797" s="16" t="s">
        <v>255</v>
      </c>
      <c r="H797" s="16" t="s">
        <v>329</v>
      </c>
      <c r="I797" s="16" t="s">
        <v>447</v>
      </c>
    </row>
    <row r="798" ht="242.25" customHeight="1">
      <c r="B798" s="32" t="str">
        <f>IMAGE("https://gymvisual.com/12687-catalog_default/bodyweight-standing-one-arm-row-female.jpg",4,500,500)</f>
        <v/>
      </c>
      <c r="C798" s="30">
        <v>797.0</v>
      </c>
      <c r="D798" s="16" t="s">
        <v>1286</v>
      </c>
      <c r="E798" s="16" t="s">
        <v>184</v>
      </c>
      <c r="F798" s="16" t="s">
        <v>192</v>
      </c>
      <c r="G798" s="16" t="s">
        <v>255</v>
      </c>
      <c r="H798" s="16" t="s">
        <v>329</v>
      </c>
      <c r="I798" s="16" t="s">
        <v>447</v>
      </c>
    </row>
    <row r="799" ht="242.25" customHeight="1">
      <c r="B799" s="32" t="str">
        <f>IMAGE("https://gymvisual.com/12690-catalog_default/bodyweight-standing-one-arm-row-with-towel.jpg",4,500,500)</f>
        <v/>
      </c>
      <c r="C799" s="30">
        <v>798.0</v>
      </c>
      <c r="D799" s="16" t="s">
        <v>1287</v>
      </c>
      <c r="E799" s="16" t="s">
        <v>184</v>
      </c>
      <c r="F799" s="16" t="s">
        <v>192</v>
      </c>
      <c r="G799" s="16" t="s">
        <v>255</v>
      </c>
      <c r="H799" s="16" t="s">
        <v>329</v>
      </c>
      <c r="I799" s="16" t="s">
        <v>447</v>
      </c>
    </row>
    <row r="800" ht="242.25" customHeight="1">
      <c r="B800" s="32" t="str">
        <f>IMAGE("https://gymvisual.com/12689-catalog_default/bodyweight-standing-one-arm-row-with-towel-female.jpg",4,500,500)</f>
        <v/>
      </c>
      <c r="C800" s="30">
        <v>799.0</v>
      </c>
      <c r="D800" s="16" t="s">
        <v>1288</v>
      </c>
      <c r="E800" s="16" t="s">
        <v>184</v>
      </c>
      <c r="F800" s="16" t="s">
        <v>192</v>
      </c>
      <c r="G800" s="16" t="s">
        <v>255</v>
      </c>
      <c r="H800" s="16" t="s">
        <v>329</v>
      </c>
      <c r="I800" s="16" t="s">
        <v>447</v>
      </c>
    </row>
    <row r="801" ht="242.25" customHeight="1">
      <c r="B801" s="32" t="str">
        <f>IMAGE("https://gymvisual.com/14080-catalog_default/bodyweight-standing-pulse-calf-raise.jpg",4,500,500)</f>
        <v/>
      </c>
      <c r="C801" s="30">
        <v>800.0</v>
      </c>
      <c r="D801" s="16" t="s">
        <v>1289</v>
      </c>
      <c r="E801" s="16" t="s">
        <v>184</v>
      </c>
      <c r="F801" s="16" t="s">
        <v>325</v>
      </c>
      <c r="G801" s="16" t="s">
        <v>255</v>
      </c>
      <c r="H801" s="16" t="s">
        <v>561</v>
      </c>
      <c r="I801" s="16" t="s">
        <v>220</v>
      </c>
    </row>
    <row r="802" ht="242.25" customHeight="1">
      <c r="B802" s="32" t="str">
        <f>IMAGE("https://gymvisual.com/12692-catalog_default/bodyweight-standing-row.jpg",4,500,500)</f>
        <v/>
      </c>
      <c r="C802" s="30">
        <v>801.0</v>
      </c>
      <c r="D802" s="16" t="s">
        <v>1290</v>
      </c>
      <c r="E802" s="16" t="s">
        <v>184</v>
      </c>
      <c r="F802" s="16" t="s">
        <v>192</v>
      </c>
      <c r="G802" s="16" t="s">
        <v>255</v>
      </c>
      <c r="H802" s="16" t="s">
        <v>329</v>
      </c>
      <c r="I802" s="16" t="s">
        <v>447</v>
      </c>
    </row>
    <row r="803" ht="242.25" customHeight="1">
      <c r="B803" s="32" t="str">
        <f>IMAGE("https://gymvisual.com/12691-catalog_default/bodyweight-standing-row-female.jpg",4,500,500)</f>
        <v/>
      </c>
      <c r="C803" s="30">
        <v>802.0</v>
      </c>
      <c r="D803" s="16" t="s">
        <v>1291</v>
      </c>
      <c r="E803" s="16" t="s">
        <v>184</v>
      </c>
      <c r="F803" s="16" t="s">
        <v>192</v>
      </c>
      <c r="G803" s="16" t="s">
        <v>255</v>
      </c>
      <c r="H803" s="16" t="s">
        <v>329</v>
      </c>
      <c r="I803" s="16" t="s">
        <v>447</v>
      </c>
    </row>
    <row r="804" ht="242.25" customHeight="1">
      <c r="B804" s="32" t="str">
        <f>IMAGE("https://gymvisual.com/12694-catalog_default/bodyweight-standing-row-with-towel.jpg",4,500,500)</f>
        <v/>
      </c>
      <c r="C804" s="30">
        <v>803.0</v>
      </c>
      <c r="D804" s="16" t="s">
        <v>1292</v>
      </c>
      <c r="E804" s="16" t="s">
        <v>184</v>
      </c>
      <c r="F804" s="16" t="s">
        <v>192</v>
      </c>
      <c r="G804" s="16" t="s">
        <v>255</v>
      </c>
      <c r="H804" s="16" t="s">
        <v>329</v>
      </c>
      <c r="I804" s="16" t="s">
        <v>447</v>
      </c>
    </row>
    <row r="805" ht="242.25" customHeight="1">
      <c r="B805" s="32" t="str">
        <f>IMAGE("https://gymvisual.com/12693-catalog_default/bodyweight-standing-row-with-towel-female.jpg",4,500,500)</f>
        <v/>
      </c>
      <c r="C805" s="30">
        <v>804.0</v>
      </c>
      <c r="D805" s="16" t="s">
        <v>1293</v>
      </c>
      <c r="E805" s="16" t="s">
        <v>184</v>
      </c>
      <c r="F805" s="16" t="s">
        <v>192</v>
      </c>
      <c r="G805" s="16" t="s">
        <v>255</v>
      </c>
      <c r="H805" s="16" t="s">
        <v>329</v>
      </c>
      <c r="I805" s="16" t="s">
        <v>447</v>
      </c>
    </row>
    <row r="806" ht="242.25" customHeight="1">
      <c r="B806" s="32" t="str">
        <f>IMAGE("https://gymvisual.com/22197-catalog_default/bodyweight-standing-sissy-squat.jpg",4,500,500)</f>
        <v/>
      </c>
      <c r="C806" s="30">
        <v>805.0</v>
      </c>
      <c r="D806" s="16" t="s">
        <v>1294</v>
      </c>
      <c r="E806" s="16" t="s">
        <v>184</v>
      </c>
      <c r="F806" s="16" t="s">
        <v>285</v>
      </c>
      <c r="G806" s="16" t="s">
        <v>255</v>
      </c>
      <c r="H806" s="16" t="s">
        <v>220</v>
      </c>
      <c r="I806" s="16" t="s">
        <v>220</v>
      </c>
    </row>
    <row r="807" ht="242.25" customHeight="1">
      <c r="B807" s="32" t="str">
        <f>IMAGE("https://gymvisual.com/22165-catalog_default/bodyweight-step-up-on-stepbox.jpg",4,500,500)</f>
        <v/>
      </c>
      <c r="C807" s="30">
        <v>806.0</v>
      </c>
      <c r="D807" s="16" t="s">
        <v>1295</v>
      </c>
      <c r="E807" s="16" t="s">
        <v>184</v>
      </c>
      <c r="F807" s="16" t="s">
        <v>285</v>
      </c>
      <c r="G807" s="16" t="s">
        <v>255</v>
      </c>
      <c r="H807" s="16" t="s">
        <v>189</v>
      </c>
      <c r="I807" s="16" t="s">
        <v>190</v>
      </c>
    </row>
    <row r="808" ht="242.25" customHeight="1">
      <c r="B808" s="32" t="str">
        <f>IMAGE("https://gymvisual.com/24117-catalog_default/bodyweight-svend-press.jpg",4,500,500)</f>
        <v/>
      </c>
      <c r="C808" s="30">
        <v>807.0</v>
      </c>
      <c r="D808" s="16" t="s">
        <v>1296</v>
      </c>
      <c r="E808" s="16" t="s">
        <v>184</v>
      </c>
      <c r="F808" s="16" t="s">
        <v>234</v>
      </c>
      <c r="G808" s="16" t="s">
        <v>255</v>
      </c>
      <c r="H808" s="16" t="s">
        <v>220</v>
      </c>
      <c r="I808" s="16" t="s">
        <v>220</v>
      </c>
    </row>
    <row r="809" ht="242.25" customHeight="1">
      <c r="B809" s="32" t="str">
        <f>IMAGE("https://gymvisual.com/26102-catalog_default/bodyweight-swing.jpg",4,500,500)</f>
        <v/>
      </c>
      <c r="C809" s="30">
        <v>808.0</v>
      </c>
      <c r="D809" s="16" t="s">
        <v>1297</v>
      </c>
      <c r="E809" s="16" t="s">
        <v>184</v>
      </c>
      <c r="F809" s="16" t="s">
        <v>185</v>
      </c>
      <c r="G809" s="16" t="s">
        <v>255</v>
      </c>
      <c r="H809" s="16" t="s">
        <v>220</v>
      </c>
      <c r="I809" s="16" t="s">
        <v>220</v>
      </c>
    </row>
    <row r="810" ht="242.25" customHeight="1">
      <c r="B810" s="32" t="str">
        <f>IMAGE("https://gymvisual.com/25071-catalog_default/bodyweight-walking-calf-raise.jpg",4,500,500)</f>
        <v/>
      </c>
      <c r="C810" s="30">
        <v>809.0</v>
      </c>
      <c r="D810" s="16" t="s">
        <v>1298</v>
      </c>
      <c r="E810" s="16" t="s">
        <v>184</v>
      </c>
      <c r="F810" s="16" t="s">
        <v>325</v>
      </c>
      <c r="G810" s="16" t="s">
        <v>255</v>
      </c>
      <c r="H810" s="16" t="s">
        <v>220</v>
      </c>
      <c r="I810" s="16" t="s">
        <v>220</v>
      </c>
    </row>
    <row r="811" ht="242.25" customHeight="1">
      <c r="B811" s="32" t="str">
        <f>IMAGE("https://gymvisual.com/6793-catalog_default/bodyweight-wall-squat.jpg",4,500,500)</f>
        <v/>
      </c>
      <c r="C811" s="30">
        <v>810.0</v>
      </c>
      <c r="D811" s="16" t="s">
        <v>1299</v>
      </c>
      <c r="E811" s="16" t="s">
        <v>184</v>
      </c>
      <c r="F811" s="16" t="s">
        <v>285</v>
      </c>
      <c r="G811" s="16" t="s">
        <v>255</v>
      </c>
      <c r="H811" s="16" t="s">
        <v>189</v>
      </c>
      <c r="I811" s="16" t="s">
        <v>190</v>
      </c>
    </row>
    <row r="812" ht="242.25" customHeight="1">
      <c r="B812" s="32" t="str">
        <f>IMAGE("https://gymvisual.com/22718-catalog_default/bodyweight-windmill.jpg",4,500,500)</f>
        <v/>
      </c>
      <c r="C812" s="30">
        <v>811.0</v>
      </c>
      <c r="D812" s="16" t="s">
        <v>1300</v>
      </c>
      <c r="E812" s="16" t="s">
        <v>184</v>
      </c>
      <c r="F812" s="16" t="s">
        <v>254</v>
      </c>
      <c r="G812" s="16" t="s">
        <v>255</v>
      </c>
      <c r="H812" s="16" t="s">
        <v>260</v>
      </c>
      <c r="I812" s="16" t="s">
        <v>271</v>
      </c>
    </row>
    <row r="813" ht="242.25" customHeight="1">
      <c r="B813" s="32" t="str">
        <f>IMAGE("https://gymvisual.com/17787-catalog_default/bodyweight-windmill-female.jpg",4,500,500)</f>
        <v/>
      </c>
      <c r="C813" s="30">
        <v>812.0</v>
      </c>
      <c r="D813" s="16" t="s">
        <v>1301</v>
      </c>
      <c r="E813" s="16" t="s">
        <v>184</v>
      </c>
      <c r="F813" s="16" t="s">
        <v>254</v>
      </c>
      <c r="G813" s="16" t="s">
        <v>255</v>
      </c>
      <c r="H813" s="16" t="s">
        <v>424</v>
      </c>
      <c r="I813" s="16" t="s">
        <v>1302</v>
      </c>
    </row>
    <row r="814" ht="242.25" customHeight="1">
      <c r="B814" s="32" t="str">
        <f>IMAGE("https://gymvisual.com/26114-catalog_default/bodyweight-wood-chop-squat.jpg",4,500,500)</f>
        <v/>
      </c>
      <c r="C814" s="30">
        <v>813.0</v>
      </c>
      <c r="D814" s="16" t="s">
        <v>1303</v>
      </c>
      <c r="E814" s="16" t="s">
        <v>184</v>
      </c>
      <c r="F814" s="16" t="s">
        <v>254</v>
      </c>
      <c r="G814" s="16" t="s">
        <v>255</v>
      </c>
      <c r="H814" s="16" t="s">
        <v>220</v>
      </c>
      <c r="I814" s="16" t="s">
        <v>220</v>
      </c>
    </row>
    <row r="815" ht="242.25" customHeight="1">
      <c r="B815" s="32" t="str">
        <f>IMAGE("https://gymvisual.com/14135-catalog_default/bottle-hammer-curl.jpg",4,500,500)</f>
        <v/>
      </c>
      <c r="C815" s="30">
        <v>814.0</v>
      </c>
      <c r="D815" s="16" t="s">
        <v>1304</v>
      </c>
      <c r="E815" s="16" t="s">
        <v>184</v>
      </c>
      <c r="F815" s="16" t="s">
        <v>219</v>
      </c>
      <c r="G815" s="16" t="s">
        <v>396</v>
      </c>
      <c r="H815" s="16" t="s">
        <v>232</v>
      </c>
      <c r="I815" s="16" t="s">
        <v>233</v>
      </c>
    </row>
    <row r="816" ht="242.25" customHeight="1">
      <c r="B816" s="32" t="str">
        <f>IMAGE("https://gymvisual.com/10933-catalog_default/bottoms-up-female.jpg",4,500,500)</f>
        <v/>
      </c>
      <c r="C816" s="30">
        <v>815.0</v>
      </c>
      <c r="D816" s="16" t="s">
        <v>1305</v>
      </c>
      <c r="E816" s="16" t="s">
        <v>184</v>
      </c>
      <c r="F816" s="16" t="s">
        <v>310</v>
      </c>
      <c r="G816" s="16" t="s">
        <v>255</v>
      </c>
      <c r="H816" s="16" t="s">
        <v>305</v>
      </c>
      <c r="I816" s="16" t="s">
        <v>1306</v>
      </c>
    </row>
    <row r="817" ht="242.25" customHeight="1">
      <c r="B817" s="32" t="str">
        <f>IMAGE("https://gymvisual.com/438-catalog_default/bottoms-up.jpg",4,500,500)</f>
        <v/>
      </c>
      <c r="C817" s="30">
        <v>816.0</v>
      </c>
      <c r="D817" s="16" t="s">
        <v>1307</v>
      </c>
      <c r="E817" s="16" t="s">
        <v>184</v>
      </c>
      <c r="F817" s="16" t="s">
        <v>254</v>
      </c>
      <c r="G817" s="16" t="s">
        <v>255</v>
      </c>
      <c r="H817" s="16" t="s">
        <v>256</v>
      </c>
      <c r="I817" s="16" t="s">
        <v>1308</v>
      </c>
    </row>
    <row r="818" ht="242.25" customHeight="1">
      <c r="B818" s="32" t="str">
        <f>IMAGE("https://gymvisual.com/11579-catalog_default/brachialis-narrow-pull-ups-female.jpg",4,500,500)</f>
        <v/>
      </c>
      <c r="C818" s="30">
        <v>817.0</v>
      </c>
      <c r="D818" s="16" t="s">
        <v>1309</v>
      </c>
      <c r="E818" s="16" t="s">
        <v>184</v>
      </c>
      <c r="F818" s="16" t="s">
        <v>192</v>
      </c>
      <c r="G818" s="16" t="s">
        <v>255</v>
      </c>
      <c r="H818" s="16" t="s">
        <v>220</v>
      </c>
      <c r="I818" s="16" t="s">
        <v>220</v>
      </c>
    </row>
    <row r="819" ht="242.25" customHeight="1">
      <c r="B819" s="32" t="str">
        <f>IMAGE("https://gymvisual.com/441-catalog_default/brachialis-narrow-pull-ups.jpg",4,500,500)</f>
        <v/>
      </c>
      <c r="C819" s="30">
        <v>818.0</v>
      </c>
      <c r="D819" s="16" t="s">
        <v>1310</v>
      </c>
      <c r="E819" s="16" t="s">
        <v>184</v>
      </c>
      <c r="F819" s="16" t="s">
        <v>219</v>
      </c>
      <c r="G819" s="16" t="s">
        <v>255</v>
      </c>
      <c r="H819" s="16" t="s">
        <v>216</v>
      </c>
      <c r="I819" s="16" t="s">
        <v>217</v>
      </c>
    </row>
    <row r="820" ht="242.25" customHeight="1">
      <c r="B820" s="32" t="str">
        <f>IMAGE("https://gymvisual.com/444-catalog_default/brachialis-pull-up.jpg",4,500,500)</f>
        <v/>
      </c>
      <c r="C820" s="30">
        <v>819.0</v>
      </c>
      <c r="D820" s="16" t="s">
        <v>1311</v>
      </c>
      <c r="E820" s="16" t="s">
        <v>184</v>
      </c>
      <c r="F820" s="16" t="s">
        <v>214</v>
      </c>
      <c r="G820" s="16" t="s">
        <v>255</v>
      </c>
      <c r="H820" s="16" t="s">
        <v>292</v>
      </c>
      <c r="I820" s="16" t="s">
        <v>1312</v>
      </c>
    </row>
    <row r="821" ht="242.25" customHeight="1">
      <c r="B821" s="32" t="str">
        <f>IMAGE("https://gymvisual.com/450-catalog_default/bridge-on-knees.jpg",4,500,500)</f>
        <v/>
      </c>
      <c r="C821" s="30">
        <v>820.0</v>
      </c>
      <c r="D821" s="16" t="s">
        <v>1313</v>
      </c>
      <c r="E821" s="16" t="s">
        <v>184</v>
      </c>
      <c r="F821" s="16" t="s">
        <v>254</v>
      </c>
      <c r="G821" s="16" t="s">
        <v>255</v>
      </c>
      <c r="H821" s="16" t="s">
        <v>256</v>
      </c>
      <c r="I821" s="16" t="s">
        <v>1314</v>
      </c>
    </row>
    <row r="822" ht="242.25" customHeight="1">
      <c r="B822" s="32" t="str">
        <f>IMAGE("https://gymvisual.com/452-catalog_default/bridge-straight-arm.jpg",4,500,500)</f>
        <v/>
      </c>
      <c r="C822" s="30">
        <v>821.0</v>
      </c>
      <c r="D822" s="16" t="s">
        <v>1315</v>
      </c>
      <c r="E822" s="16" t="s">
        <v>184</v>
      </c>
      <c r="F822" s="16" t="s">
        <v>254</v>
      </c>
      <c r="G822" s="16" t="s">
        <v>255</v>
      </c>
      <c r="H822" s="16" t="s">
        <v>256</v>
      </c>
      <c r="I822" s="16" t="s">
        <v>1316</v>
      </c>
    </row>
    <row r="823" ht="242.25" customHeight="1">
      <c r="B823" s="32" t="str">
        <f>IMAGE("https://gymvisual.com/10577-catalog_default/bridge-mountain-climber-cross-body.jpg",4,500,500)</f>
        <v/>
      </c>
      <c r="C823" s="30">
        <v>822.0</v>
      </c>
      <c r="D823" s="16" t="s">
        <v>1317</v>
      </c>
      <c r="E823" s="16" t="s">
        <v>184</v>
      </c>
      <c r="F823" s="16" t="s">
        <v>254</v>
      </c>
      <c r="G823" s="16" t="s">
        <v>255</v>
      </c>
      <c r="H823" s="16" t="s">
        <v>260</v>
      </c>
      <c r="I823" s="16" t="s">
        <v>220</v>
      </c>
    </row>
    <row r="824" ht="242.25" customHeight="1">
      <c r="B824" s="32" t="str">
        <f>IMAGE("https://gymvisual.com/10576-catalog_default/bridge-mountain-climber-cross-body-female.jpg",4,500,500)</f>
        <v/>
      </c>
      <c r="C824" s="30">
        <v>823.0</v>
      </c>
      <c r="D824" s="16" t="s">
        <v>1318</v>
      </c>
      <c r="E824" s="16" t="s">
        <v>184</v>
      </c>
      <c r="F824" s="16" t="s">
        <v>254</v>
      </c>
      <c r="G824" s="16" t="s">
        <v>255</v>
      </c>
      <c r="H824" s="16" t="s">
        <v>257</v>
      </c>
      <c r="I824" s="16" t="s">
        <v>1319</v>
      </c>
    </row>
    <row r="825" ht="242.25" customHeight="1">
      <c r="B825" s="32" t="str">
        <f>IMAGE("https://gymvisual.com/454-catalog_default/bridge-hip-abduction.jpg",4,500,500)</f>
        <v/>
      </c>
      <c r="C825" s="30">
        <v>824.0</v>
      </c>
      <c r="D825" s="16" t="s">
        <v>1320</v>
      </c>
      <c r="E825" s="16" t="s">
        <v>184</v>
      </c>
      <c r="F825" s="16" t="s">
        <v>185</v>
      </c>
      <c r="G825" s="16" t="s">
        <v>255</v>
      </c>
      <c r="H825" s="16" t="s">
        <v>508</v>
      </c>
      <c r="I825" s="16" t="s">
        <v>220</v>
      </c>
    </row>
    <row r="826" ht="242.25" customHeight="1">
      <c r="B826" s="32" t="str">
        <f>IMAGE("https://gymvisual.com/22805-catalog_default/bridge-hip-abduction-male.jpg",4,500,500)</f>
        <v/>
      </c>
      <c r="C826" s="30">
        <v>825.0</v>
      </c>
      <c r="D826" s="16" t="s">
        <v>1321</v>
      </c>
      <c r="E826" s="16" t="s">
        <v>184</v>
      </c>
      <c r="F826" s="16" t="s">
        <v>185</v>
      </c>
      <c r="G826" s="16" t="s">
        <v>255</v>
      </c>
      <c r="H826" s="16" t="s">
        <v>1322</v>
      </c>
      <c r="I826" s="16" t="s">
        <v>1323</v>
      </c>
    </row>
    <row r="827" ht="242.25" customHeight="1">
      <c r="B827" s="32" t="str">
        <f>IMAGE("https://gymvisual.com/14078-catalog_default/bulgarian-split-squat.jpg",4,500,500)</f>
        <v/>
      </c>
      <c r="C827" s="30">
        <v>826.0</v>
      </c>
      <c r="D827" s="16" t="s">
        <v>1324</v>
      </c>
      <c r="E827" s="16" t="s">
        <v>184</v>
      </c>
      <c r="F827" s="16" t="s">
        <v>294</v>
      </c>
      <c r="G827" s="16" t="s">
        <v>255</v>
      </c>
      <c r="H827" s="16" t="s">
        <v>189</v>
      </c>
      <c r="I827" s="16" t="s">
        <v>190</v>
      </c>
    </row>
    <row r="828" ht="242.25" customHeight="1">
      <c r="B828" s="32" t="str">
        <f>IMAGE("https://gymvisual.com/16524-catalog_default/bulgarian-split-squat-with-chair.jpg",4,500,500)</f>
        <v/>
      </c>
      <c r="C828" s="30">
        <v>827.0</v>
      </c>
      <c r="D828" s="16" t="s">
        <v>1325</v>
      </c>
      <c r="E828" s="16" t="s">
        <v>184</v>
      </c>
      <c r="F828" s="16" t="s">
        <v>285</v>
      </c>
      <c r="G828" s="16" t="s">
        <v>255</v>
      </c>
      <c r="H828" s="16" t="s">
        <v>189</v>
      </c>
      <c r="I828" s="16" t="s">
        <v>190</v>
      </c>
    </row>
    <row r="829" ht="242.25" customHeight="1">
      <c r="B829" s="32" t="str">
        <f>IMAGE("https://gymvisual.com/457-catalog_default/butt-bridge.jpg",4,500,500)</f>
        <v/>
      </c>
      <c r="C829" s="30">
        <v>828.0</v>
      </c>
      <c r="D829" s="16" t="s">
        <v>1326</v>
      </c>
      <c r="E829" s="16" t="s">
        <v>184</v>
      </c>
      <c r="F829" s="16" t="s">
        <v>254</v>
      </c>
      <c r="G829" s="16" t="s">
        <v>255</v>
      </c>
      <c r="H829" s="16" t="s">
        <v>1327</v>
      </c>
      <c r="I829" s="16" t="s">
        <v>1328</v>
      </c>
    </row>
    <row r="830" ht="242.25" customHeight="1">
      <c r="B830" s="32" t="str">
        <f>IMAGE("https://gymvisual.com/2648-catalog_default/butt-ups.jpg",4,500,500)</f>
        <v/>
      </c>
      <c r="C830" s="30">
        <v>829.0</v>
      </c>
      <c r="D830" s="16" t="s">
        <v>1329</v>
      </c>
      <c r="E830" s="16" t="s">
        <v>184</v>
      </c>
      <c r="F830" s="16" t="s">
        <v>254</v>
      </c>
      <c r="G830" s="16" t="s">
        <v>255</v>
      </c>
      <c r="H830" s="16" t="s">
        <v>305</v>
      </c>
      <c r="I830" s="16" t="s">
        <v>1330</v>
      </c>
    </row>
    <row r="831" ht="242.25" customHeight="1">
      <c r="B831" s="32" t="str">
        <f>IMAGE("https://gymvisual.com/463-catalog_default/bycicle-twisting-crunch.jpg",4,500,500)</f>
        <v/>
      </c>
      <c r="C831" s="30">
        <v>830.0</v>
      </c>
      <c r="D831" s="16" t="s">
        <v>1331</v>
      </c>
      <c r="E831" s="16" t="s">
        <v>184</v>
      </c>
      <c r="F831" s="16" t="s">
        <v>254</v>
      </c>
      <c r="G831" s="16" t="s">
        <v>255</v>
      </c>
      <c r="H831" s="16" t="s">
        <v>260</v>
      </c>
      <c r="I831" s="16" t="s">
        <v>1332</v>
      </c>
    </row>
    <row r="832" ht="242.25" customHeight="1">
      <c r="A832" s="32" t="b">
        <v>0</v>
      </c>
      <c r="B832" s="32" t="str">
        <f>IMAGE("https://gymvisual.com/466-catalog_default/cable-alternate-shoulder-press.jpg",4,500,500)</f>
        <v/>
      </c>
      <c r="C832" s="30">
        <v>831.0</v>
      </c>
      <c r="D832" s="16" t="s">
        <v>1333</v>
      </c>
      <c r="E832" s="16" t="s">
        <v>184</v>
      </c>
      <c r="F832" s="16" t="s">
        <v>228</v>
      </c>
      <c r="G832" s="16" t="s">
        <v>215</v>
      </c>
      <c r="H832" s="16" t="s">
        <v>229</v>
      </c>
      <c r="I832" s="16" t="s">
        <v>1334</v>
      </c>
    </row>
    <row r="833" ht="242.25" customHeight="1">
      <c r="A833" s="32" t="b">
        <v>0</v>
      </c>
      <c r="B833" s="32" t="str">
        <f>IMAGE("https://gymvisual.com/13345-catalog_default/cable-alternate-shoulder-press-female.jpg",4,500,500)</f>
        <v/>
      </c>
      <c r="C833" s="30">
        <v>832.0</v>
      </c>
      <c r="D833" s="16" t="s">
        <v>1335</v>
      </c>
      <c r="E833" s="16" t="s">
        <v>184</v>
      </c>
      <c r="F833" s="16" t="s">
        <v>228</v>
      </c>
      <c r="G833" s="16" t="s">
        <v>215</v>
      </c>
      <c r="H833" s="16" t="s">
        <v>220</v>
      </c>
      <c r="I833" s="16" t="s">
        <v>220</v>
      </c>
    </row>
    <row r="834" ht="242.25" customHeight="1">
      <c r="A834" s="32" t="b">
        <v>0</v>
      </c>
      <c r="B834" s="32" t="str">
        <f>IMAGE("https://gymvisual.com/469-catalog_default/cable-alternate-triceps-extension.jpg",4,500,500)</f>
        <v/>
      </c>
      <c r="C834" s="30">
        <v>833.0</v>
      </c>
      <c r="D834" s="16" t="s">
        <v>1336</v>
      </c>
      <c r="E834" s="16" t="s">
        <v>184</v>
      </c>
      <c r="F834" s="16" t="s">
        <v>219</v>
      </c>
      <c r="G834" s="16" t="s">
        <v>215</v>
      </c>
      <c r="H834" s="16" t="s">
        <v>223</v>
      </c>
      <c r="I834" s="16" t="s">
        <v>220</v>
      </c>
    </row>
    <row r="835" ht="242.25" customHeight="1">
      <c r="A835" s="32" t="b">
        <v>0</v>
      </c>
      <c r="B835" s="32" t="str">
        <f>IMAGE("https://gymvisual.com/13347-catalog_default/cable-alternate-triceps-extension-female.jpg",4,500,500)</f>
        <v/>
      </c>
      <c r="C835" s="30">
        <v>834.0</v>
      </c>
      <c r="D835" s="16" t="s">
        <v>1337</v>
      </c>
      <c r="E835" s="16" t="s">
        <v>184</v>
      </c>
      <c r="F835" s="16" t="s">
        <v>219</v>
      </c>
      <c r="G835" s="16" t="s">
        <v>215</v>
      </c>
      <c r="H835" s="16" t="s">
        <v>220</v>
      </c>
      <c r="I835" s="16" t="s">
        <v>220</v>
      </c>
    </row>
    <row r="836" ht="242.25" customHeight="1">
      <c r="A836" s="32" t="b">
        <v>0</v>
      </c>
      <c r="B836" s="32" t="str">
        <f>IMAGE("https://gymvisual.com/12982-catalog_default/cable-assisted-inverse-leg-curl.jpg",4,500,500)</f>
        <v/>
      </c>
      <c r="C836" s="30">
        <v>835.0</v>
      </c>
      <c r="D836" s="16" t="s">
        <v>1338</v>
      </c>
      <c r="E836" s="16" t="s">
        <v>184</v>
      </c>
      <c r="F836" s="16" t="s">
        <v>285</v>
      </c>
      <c r="G836" s="16" t="s">
        <v>215</v>
      </c>
      <c r="H836" s="16" t="s">
        <v>854</v>
      </c>
      <c r="I836" s="16" t="s">
        <v>1339</v>
      </c>
    </row>
    <row r="837" ht="242.25" customHeight="1">
      <c r="A837" s="32" t="b">
        <v>0</v>
      </c>
      <c r="B837" s="32" t="str">
        <f>IMAGE("https://gymvisual.com/13349-catalog_default/cable-bar-high-pulley-overhead-tricep-extension-female.jpg",4,500,500)</f>
        <v/>
      </c>
      <c r="C837" s="30">
        <v>836.0</v>
      </c>
      <c r="D837" s="16" t="s">
        <v>1340</v>
      </c>
      <c r="E837" s="16" t="s">
        <v>184</v>
      </c>
      <c r="F837" s="16" t="s">
        <v>219</v>
      </c>
      <c r="G837" s="16" t="s">
        <v>215</v>
      </c>
      <c r="H837" s="16" t="s">
        <v>220</v>
      </c>
      <c r="I837" s="16" t="s">
        <v>220</v>
      </c>
    </row>
    <row r="838" ht="242.25" customHeight="1">
      <c r="A838" s="32" t="b">
        <v>0</v>
      </c>
      <c r="B838" s="32" t="str">
        <f>IMAGE("https://gymvisual.com/472-catalog_default/cable-bar-lateral-pulldown.jpg",4,500,500)</f>
        <v/>
      </c>
      <c r="C838" s="30">
        <v>837.0</v>
      </c>
      <c r="D838" s="16" t="s">
        <v>1341</v>
      </c>
      <c r="E838" s="16" t="s">
        <v>184</v>
      </c>
      <c r="F838" s="16" t="s">
        <v>192</v>
      </c>
      <c r="G838" s="16" t="s">
        <v>215</v>
      </c>
      <c r="H838" s="16" t="s">
        <v>300</v>
      </c>
      <c r="I838" s="16" t="s">
        <v>387</v>
      </c>
    </row>
    <row r="839" ht="242.25" customHeight="1">
      <c r="A839" s="32" t="b">
        <v>0</v>
      </c>
      <c r="B839" s="32" t="str">
        <f>IMAGE("https://gymvisual.com/9655-catalog_default/cable-bar-lateral-pulldown-female.jpg",4,500,500)</f>
        <v/>
      </c>
      <c r="C839" s="30">
        <v>838.0</v>
      </c>
      <c r="D839" s="16" t="s">
        <v>1342</v>
      </c>
      <c r="E839" s="16" t="s">
        <v>184</v>
      </c>
      <c r="F839" s="16" t="s">
        <v>192</v>
      </c>
      <c r="G839" s="16" t="s">
        <v>215</v>
      </c>
      <c r="H839" s="16" t="s">
        <v>220</v>
      </c>
      <c r="I839" s="16" t="s">
        <v>220</v>
      </c>
    </row>
    <row r="840" ht="242.25" customHeight="1">
      <c r="A840" s="32" t="b">
        <v>0</v>
      </c>
      <c r="B840" s="32" t="str">
        <f>IMAGE("https://gymvisual.com/475-catalog_default/cable-bench-press.jpg",4,500,500)</f>
        <v/>
      </c>
      <c r="C840" s="30">
        <v>839.0</v>
      </c>
      <c r="D840" s="16" t="s">
        <v>113</v>
      </c>
      <c r="E840" s="16" t="s">
        <v>184</v>
      </c>
      <c r="F840" s="16" t="s">
        <v>234</v>
      </c>
      <c r="G840" s="16" t="s">
        <v>215</v>
      </c>
      <c r="H840" s="16" t="s">
        <v>235</v>
      </c>
      <c r="I840" s="16" t="s">
        <v>243</v>
      </c>
    </row>
    <row r="841" ht="242.25" customHeight="1">
      <c r="A841" s="32" t="b">
        <v>0</v>
      </c>
      <c r="B841" s="32" t="str">
        <f>IMAGE("https://gymvisual.com/11531-catalog_default/cable-bench-press-female.jpg",4,500,500)</f>
        <v/>
      </c>
      <c r="C841" s="30">
        <v>840.0</v>
      </c>
      <c r="D841" s="16" t="s">
        <v>1343</v>
      </c>
      <c r="E841" s="16" t="s">
        <v>184</v>
      </c>
      <c r="F841" s="16" t="s">
        <v>234</v>
      </c>
      <c r="G841" s="16" t="s">
        <v>215</v>
      </c>
      <c r="H841" s="16" t="s">
        <v>220</v>
      </c>
      <c r="I841" s="16" t="s">
        <v>220</v>
      </c>
    </row>
    <row r="842" ht="242.25" customHeight="1">
      <c r="A842" s="32" t="b">
        <v>0</v>
      </c>
      <c r="B842" s="32" t="str">
        <f>IMAGE("https://gymvisual.com/17717-catalog_default/cable-bent-over-row.jpg",4,500,500)</f>
        <v/>
      </c>
      <c r="C842" s="30">
        <v>841.0</v>
      </c>
      <c r="D842" s="16" t="s">
        <v>1344</v>
      </c>
      <c r="E842" s="16" t="s">
        <v>184</v>
      </c>
      <c r="F842" s="16" t="s">
        <v>192</v>
      </c>
      <c r="G842" s="16" t="s">
        <v>215</v>
      </c>
      <c r="H842" s="16" t="s">
        <v>220</v>
      </c>
      <c r="I842" s="16" t="s">
        <v>220</v>
      </c>
    </row>
    <row r="843" ht="242.25" customHeight="1">
      <c r="A843" s="32" t="b">
        <v>0</v>
      </c>
      <c r="B843" s="32" t="str">
        <f>IMAGE("https://gymvisual.com/17454-catalog_default/cable-bent-over-row-with-bar.jpg",4,500,500)</f>
        <v/>
      </c>
      <c r="C843" s="30">
        <v>842.0</v>
      </c>
      <c r="D843" s="16" t="s">
        <v>1345</v>
      </c>
      <c r="E843" s="16" t="s">
        <v>184</v>
      </c>
      <c r="F843" s="16" t="s">
        <v>192</v>
      </c>
      <c r="G843" s="16" t="s">
        <v>215</v>
      </c>
      <c r="H843" s="16" t="s">
        <v>329</v>
      </c>
      <c r="I843" s="16" t="s">
        <v>447</v>
      </c>
    </row>
    <row r="844" ht="242.25" customHeight="1">
      <c r="A844" s="32" t="b">
        <v>0</v>
      </c>
      <c r="B844" s="32" t="str">
        <f>IMAGE("https://gymvisual.com/19573-catalog_default/cable-bent-over-neutral-grip-kickback-with-rope-attachment.jpg",4,500,500)</f>
        <v/>
      </c>
      <c r="C844" s="30">
        <v>843.0</v>
      </c>
      <c r="D844" s="16" t="s">
        <v>1346</v>
      </c>
      <c r="E844" s="16" t="s">
        <v>184</v>
      </c>
      <c r="F844" s="16" t="s">
        <v>219</v>
      </c>
      <c r="G844" s="16" t="s">
        <v>215</v>
      </c>
      <c r="H844" s="16" t="s">
        <v>220</v>
      </c>
      <c r="I844" s="16" t="s">
        <v>220</v>
      </c>
    </row>
    <row r="845" ht="242.25" customHeight="1">
      <c r="A845" s="32" t="b">
        <v>0</v>
      </c>
      <c r="B845" s="32" t="str">
        <f>IMAGE("https://gymvisual.com/17175-catalog_default/cable-bent-over-one-arm-lateral-raise.jpg",4,500,500)</f>
        <v/>
      </c>
      <c r="C845" s="30">
        <v>844.0</v>
      </c>
      <c r="D845" s="16" t="s">
        <v>1347</v>
      </c>
      <c r="E845" s="16" t="s">
        <v>184</v>
      </c>
      <c r="F845" s="16" t="s">
        <v>228</v>
      </c>
      <c r="G845" s="16" t="s">
        <v>215</v>
      </c>
      <c r="H845" s="16" t="s">
        <v>408</v>
      </c>
      <c r="I845" s="16" t="s">
        <v>1348</v>
      </c>
    </row>
    <row r="846" ht="242.25" customHeight="1">
      <c r="A846" s="32" t="b">
        <v>0</v>
      </c>
      <c r="B846" s="32" t="str">
        <f>IMAGE("https://gymvisual.com/19403-catalog_default/cable-bent-over-reverse-grip-row.jpg",4,500,500)</f>
        <v/>
      </c>
      <c r="C846" s="30">
        <v>845.0</v>
      </c>
      <c r="D846" s="16" t="s">
        <v>1349</v>
      </c>
      <c r="E846" s="16" t="s">
        <v>184</v>
      </c>
      <c r="F846" s="16" t="s">
        <v>192</v>
      </c>
      <c r="G846" s="16" t="s">
        <v>215</v>
      </c>
      <c r="H846" s="16" t="s">
        <v>570</v>
      </c>
      <c r="I846" s="16" t="s">
        <v>447</v>
      </c>
    </row>
    <row r="847" ht="242.25" customHeight="1">
      <c r="A847" s="32" t="b">
        <v>0</v>
      </c>
      <c r="B847" s="32" t="str">
        <f>IMAGE("https://gymvisual.com/19405-catalog_default/cable-bent-over-row-with-rope-attachment.jpg",4,500,500)</f>
        <v/>
      </c>
      <c r="C847" s="30">
        <v>846.0</v>
      </c>
      <c r="D847" s="16" t="s">
        <v>1350</v>
      </c>
      <c r="E847" s="16" t="s">
        <v>184</v>
      </c>
      <c r="F847" s="16" t="s">
        <v>192</v>
      </c>
      <c r="G847" s="16" t="s">
        <v>215</v>
      </c>
      <c r="H847" s="16" t="s">
        <v>220</v>
      </c>
      <c r="I847" s="16" t="s">
        <v>220</v>
      </c>
    </row>
    <row r="848" ht="242.25" customHeight="1">
      <c r="A848" s="32" t="b">
        <v>0</v>
      </c>
      <c r="B848" s="32" t="str">
        <f>IMAGE("https://gymvisual.com/19567-catalog_default/cable-bent-over-single-arm-kickback.jpg",4,500,500)</f>
        <v/>
      </c>
      <c r="C848" s="30">
        <v>847.0</v>
      </c>
      <c r="D848" s="16" t="s">
        <v>1351</v>
      </c>
      <c r="E848" s="16" t="s">
        <v>184</v>
      </c>
      <c r="F848" s="16" t="s">
        <v>219</v>
      </c>
      <c r="G848" s="16" t="s">
        <v>215</v>
      </c>
      <c r="H848" s="16" t="s">
        <v>220</v>
      </c>
      <c r="I848" s="16" t="s">
        <v>220</v>
      </c>
    </row>
    <row r="849" ht="242.25" customHeight="1">
      <c r="A849" s="32" t="b">
        <v>0</v>
      </c>
      <c r="B849" s="32" t="str">
        <f>IMAGE("https://gymvisual.com/19571-catalog_default/cable-bent-over-single-arm-neutral-grip-kickback-with-rope-attachment.jpg",4,500,500)</f>
        <v/>
      </c>
      <c r="C849" s="30">
        <v>848.0</v>
      </c>
      <c r="D849" s="16" t="s">
        <v>1352</v>
      </c>
      <c r="E849" s="16" t="s">
        <v>184</v>
      </c>
      <c r="F849" s="16" t="s">
        <v>219</v>
      </c>
      <c r="G849" s="16" t="s">
        <v>215</v>
      </c>
      <c r="H849" s="16" t="s">
        <v>220</v>
      </c>
      <c r="I849" s="16" t="s">
        <v>220</v>
      </c>
    </row>
    <row r="850" ht="242.25" customHeight="1">
      <c r="A850" s="32" t="b">
        <v>0</v>
      </c>
      <c r="B850" s="32" t="str">
        <f>IMAGE("https://gymvisual.com/6950-catalog_default/cable-biceps-curl-sz-bar.jpg",4,500,500)</f>
        <v/>
      </c>
      <c r="C850" s="30">
        <v>849.0</v>
      </c>
      <c r="D850" s="16" t="s">
        <v>1353</v>
      </c>
      <c r="E850" s="16" t="s">
        <v>184</v>
      </c>
      <c r="F850" s="16" t="s">
        <v>219</v>
      </c>
      <c r="G850" s="16" t="s">
        <v>215</v>
      </c>
      <c r="H850" s="16" t="s">
        <v>241</v>
      </c>
      <c r="I850" s="16" t="s">
        <v>292</v>
      </c>
    </row>
    <row r="851" ht="242.25" customHeight="1">
      <c r="A851" s="32" t="b">
        <v>0</v>
      </c>
      <c r="B851" s="32" t="str">
        <f>IMAGE("https://gymvisual.com/7104-catalog_default/cable-close-grip-curl.jpg",4,500,500)</f>
        <v/>
      </c>
      <c r="C851" s="30">
        <v>850.0</v>
      </c>
      <c r="D851" s="16" t="s">
        <v>1354</v>
      </c>
      <c r="E851" s="16" t="s">
        <v>184</v>
      </c>
      <c r="F851" s="16" t="s">
        <v>219</v>
      </c>
      <c r="G851" s="16" t="s">
        <v>215</v>
      </c>
      <c r="H851" s="16" t="s">
        <v>220</v>
      </c>
      <c r="I851" s="16" t="s">
        <v>220</v>
      </c>
    </row>
    <row r="852" ht="242.25" customHeight="1">
      <c r="A852" s="32" t="b">
        <v>0</v>
      </c>
      <c r="B852" s="32" t="str">
        <f>IMAGE("https://gymvisual.com/13351-catalog_default/cable-close-grip-curl-female.jpg",4,500,500)</f>
        <v/>
      </c>
      <c r="C852" s="30">
        <v>851.0</v>
      </c>
      <c r="D852" s="16" t="s">
        <v>1355</v>
      </c>
      <c r="E852" s="16" t="s">
        <v>184</v>
      </c>
      <c r="F852" s="16" t="s">
        <v>219</v>
      </c>
      <c r="G852" s="16" t="s">
        <v>215</v>
      </c>
      <c r="H852" s="16" t="s">
        <v>220</v>
      </c>
      <c r="I852" s="16" t="s">
        <v>220</v>
      </c>
    </row>
    <row r="853" ht="242.25" customHeight="1">
      <c r="A853" s="32" t="b">
        <v>0</v>
      </c>
      <c r="B853" s="32" t="str">
        <f>IMAGE("https://gymvisual.com/2958-catalog_default/cable-close-grip-front-lat-pulldown.jpg",4,500,500)</f>
        <v/>
      </c>
      <c r="C853" s="30">
        <v>852.0</v>
      </c>
      <c r="D853" s="16" t="s">
        <v>1356</v>
      </c>
      <c r="E853" s="16" t="s">
        <v>184</v>
      </c>
      <c r="F853" s="16" t="s">
        <v>192</v>
      </c>
      <c r="G853" s="16" t="s">
        <v>215</v>
      </c>
      <c r="H853" s="16" t="s">
        <v>300</v>
      </c>
      <c r="I853" s="16" t="s">
        <v>1357</v>
      </c>
    </row>
    <row r="854" ht="242.25" customHeight="1">
      <c r="A854" s="32" t="b">
        <v>0</v>
      </c>
      <c r="B854" s="32" t="str">
        <f>IMAGE("https://gymvisual.com/16618-catalog_default/cable-close-grip-front-lat-pulldown-female.jpg",4,500,500)</f>
        <v/>
      </c>
      <c r="C854" s="30">
        <v>853.0</v>
      </c>
      <c r="D854" s="16" t="s">
        <v>1358</v>
      </c>
      <c r="E854" s="16" t="s">
        <v>184</v>
      </c>
      <c r="F854" s="16" t="s">
        <v>192</v>
      </c>
      <c r="G854" s="16" t="s">
        <v>215</v>
      </c>
      <c r="H854" s="16" t="s">
        <v>300</v>
      </c>
      <c r="I854" s="16" t="s">
        <v>445</v>
      </c>
    </row>
    <row r="855" ht="242.25" customHeight="1">
      <c r="A855" s="32" t="b">
        <v>0</v>
      </c>
      <c r="B855" s="32" t="str">
        <f>IMAGE("https://gymvisual.com/7105-catalog_default/cable-concentration-curl.jpg",4,500,500)</f>
        <v/>
      </c>
      <c r="C855" s="30">
        <v>854.0</v>
      </c>
      <c r="D855" s="16" t="s">
        <v>1359</v>
      </c>
      <c r="E855" s="16" t="s">
        <v>184</v>
      </c>
      <c r="F855" s="16" t="s">
        <v>219</v>
      </c>
      <c r="G855" s="16" t="s">
        <v>215</v>
      </c>
      <c r="H855" s="16" t="s">
        <v>220</v>
      </c>
      <c r="I855" s="16" t="s">
        <v>220</v>
      </c>
    </row>
    <row r="856" ht="242.25" customHeight="1">
      <c r="A856" s="32" t="b">
        <v>0</v>
      </c>
      <c r="B856" s="32" t="str">
        <f>IMAGE("https://gymvisual.com/13353-catalog_default/cable-concentration-curl-female.jpg",4,500,500)</f>
        <v/>
      </c>
      <c r="C856" s="30">
        <v>855.0</v>
      </c>
      <c r="D856" s="16" t="s">
        <v>1360</v>
      </c>
      <c r="E856" s="16" t="s">
        <v>184</v>
      </c>
      <c r="F856" s="16" t="s">
        <v>219</v>
      </c>
      <c r="G856" s="16" t="s">
        <v>215</v>
      </c>
      <c r="H856" s="16" t="s">
        <v>220</v>
      </c>
      <c r="I856" s="16" t="s">
        <v>220</v>
      </c>
    </row>
    <row r="857" ht="242.25" customHeight="1">
      <c r="A857" s="32" t="b">
        <v>0</v>
      </c>
      <c r="B857" s="32" t="str">
        <f>IMAGE("https://gymvisual.com/478-catalog_default/cable-concentration-extension-on-knee.jpg",4,500,500)</f>
        <v/>
      </c>
      <c r="C857" s="30">
        <v>856.0</v>
      </c>
      <c r="D857" s="16" t="s">
        <v>1361</v>
      </c>
      <c r="E857" s="16" t="s">
        <v>184</v>
      </c>
      <c r="F857" s="16" t="s">
        <v>219</v>
      </c>
      <c r="G857" s="16" t="s">
        <v>215</v>
      </c>
      <c r="H857" s="16" t="s">
        <v>223</v>
      </c>
      <c r="I857" s="16" t="s">
        <v>220</v>
      </c>
    </row>
    <row r="858" ht="242.25" customHeight="1">
      <c r="A858" s="32" t="b">
        <v>0</v>
      </c>
      <c r="B858" s="32" t="str">
        <f>IMAGE("https://gymvisual.com/13355-catalog_default/cable-concentration-extension-on-knee-female.jpg",4,500,500)</f>
        <v/>
      </c>
      <c r="C858" s="30">
        <v>857.0</v>
      </c>
      <c r="D858" s="16" t="s">
        <v>1362</v>
      </c>
      <c r="E858" s="16" t="s">
        <v>184</v>
      </c>
      <c r="F858" s="16" t="s">
        <v>219</v>
      </c>
      <c r="G858" s="16" t="s">
        <v>215</v>
      </c>
      <c r="H858" s="16" t="s">
        <v>220</v>
      </c>
      <c r="I858" s="16" t="s">
        <v>220</v>
      </c>
    </row>
    <row r="859" ht="242.25" customHeight="1">
      <c r="A859" s="32" t="b">
        <v>0</v>
      </c>
      <c r="B859" s="32" t="str">
        <f>IMAGE("https://gymvisual.com/13357-catalog_default/cable-cross-over-lateral-pulldown-female.jpg",4,500,500)</f>
        <v/>
      </c>
      <c r="C859" s="30">
        <v>858.0</v>
      </c>
      <c r="D859" s="16" t="s">
        <v>1363</v>
      </c>
      <c r="E859" s="16" t="s">
        <v>184</v>
      </c>
      <c r="F859" s="16" t="s">
        <v>192</v>
      </c>
      <c r="G859" s="16" t="s">
        <v>215</v>
      </c>
      <c r="H859" s="16" t="s">
        <v>220</v>
      </c>
      <c r="I859" s="16" t="s">
        <v>220</v>
      </c>
    </row>
    <row r="860" ht="242.25" customHeight="1">
      <c r="A860" s="32" t="b">
        <v>0</v>
      </c>
      <c r="B860" s="32" t="str">
        <f>IMAGE("https://gymvisual.com/11050-catalog_default/cable-cross-over-revers-fly-female.jpg",4,500,500)</f>
        <v/>
      </c>
      <c r="C860" s="30">
        <v>859.0</v>
      </c>
      <c r="D860" s="16" t="s">
        <v>1364</v>
      </c>
      <c r="E860" s="16" t="s">
        <v>184</v>
      </c>
      <c r="F860" s="16" t="s">
        <v>228</v>
      </c>
      <c r="G860" s="16" t="s">
        <v>215</v>
      </c>
      <c r="H860" s="16" t="s">
        <v>408</v>
      </c>
      <c r="I860" s="16" t="s">
        <v>452</v>
      </c>
    </row>
    <row r="861" ht="242.25" customHeight="1">
      <c r="A861" s="32" t="b">
        <v>0</v>
      </c>
      <c r="B861" s="32" t="str">
        <f>IMAGE("https://gymvisual.com/481-catalog_default/cable-cross-over-lateral-pulldown.jpg",4,500,500)</f>
        <v/>
      </c>
      <c r="C861" s="30">
        <v>860.0</v>
      </c>
      <c r="D861" s="16" t="s">
        <v>1365</v>
      </c>
      <c r="E861" s="16" t="s">
        <v>184</v>
      </c>
      <c r="F861" s="16" t="s">
        <v>192</v>
      </c>
      <c r="G861" s="16" t="s">
        <v>215</v>
      </c>
      <c r="H861" s="16" t="s">
        <v>300</v>
      </c>
      <c r="I861" s="16" t="s">
        <v>535</v>
      </c>
    </row>
    <row r="862" ht="242.25" customHeight="1">
      <c r="A862" s="32" t="b">
        <v>0</v>
      </c>
      <c r="B862" s="32" t="str">
        <f>IMAGE("https://gymvisual.com/484-catalog_default/cable-cross-over-revers-fly.jpg",4,500,500)</f>
        <v/>
      </c>
      <c r="C862" s="30">
        <v>861.0</v>
      </c>
      <c r="D862" s="16" t="s">
        <v>1366</v>
      </c>
      <c r="E862" s="16" t="s">
        <v>184</v>
      </c>
      <c r="F862" s="16" t="s">
        <v>228</v>
      </c>
      <c r="G862" s="16" t="s">
        <v>215</v>
      </c>
      <c r="H862" s="16" t="s">
        <v>408</v>
      </c>
      <c r="I862" s="16" t="s">
        <v>452</v>
      </c>
    </row>
    <row r="863" ht="242.25" customHeight="1">
      <c r="A863" s="32" t="b">
        <v>0</v>
      </c>
      <c r="B863" s="32" t="str">
        <f>IMAGE("https://gymvisual.com/487-catalog_default/cable-cross-over-variation.jpg",4,500,500)</f>
        <v/>
      </c>
      <c r="C863" s="30">
        <v>862.0</v>
      </c>
      <c r="D863" s="16" t="s">
        <v>1367</v>
      </c>
      <c r="E863" s="16" t="s">
        <v>184</v>
      </c>
      <c r="F863" s="16" t="s">
        <v>234</v>
      </c>
      <c r="G863" s="16" t="s">
        <v>215</v>
      </c>
      <c r="H863" s="16" t="s">
        <v>235</v>
      </c>
      <c r="I863" s="16" t="s">
        <v>229</v>
      </c>
    </row>
    <row r="864" ht="242.25" customHeight="1">
      <c r="A864" s="32" t="b">
        <v>0</v>
      </c>
      <c r="B864" s="32" t="str">
        <f>IMAGE("https://gymvisual.com/490-catalog_default/cable-curl.jpg",4,500,500)</f>
        <v/>
      </c>
      <c r="C864" s="30">
        <v>863.0</v>
      </c>
      <c r="D864" s="16" t="s">
        <v>1368</v>
      </c>
      <c r="E864" s="16" t="s">
        <v>184</v>
      </c>
      <c r="F864" s="16" t="s">
        <v>219</v>
      </c>
      <c r="G864" s="16" t="s">
        <v>215</v>
      </c>
      <c r="H864" s="16" t="s">
        <v>241</v>
      </c>
      <c r="I864" s="16" t="s">
        <v>292</v>
      </c>
    </row>
    <row r="865" ht="242.25" customHeight="1">
      <c r="A865" s="32" t="b">
        <v>0</v>
      </c>
      <c r="B865" s="32" t="str">
        <f>IMAGE("https://gymvisual.com/18896-catalog_default/cable-curl.jpg",4,500,500)</f>
        <v/>
      </c>
      <c r="C865" s="30">
        <v>864.0</v>
      </c>
      <c r="D865" s="16" t="s">
        <v>1368</v>
      </c>
      <c r="E865" s="16" t="s">
        <v>184</v>
      </c>
      <c r="F865" s="16" t="s">
        <v>219</v>
      </c>
      <c r="G865" s="16" t="s">
        <v>215</v>
      </c>
      <c r="H865" s="16" t="s">
        <v>241</v>
      </c>
      <c r="I865" s="16" t="s">
        <v>292</v>
      </c>
    </row>
    <row r="866" ht="242.25" customHeight="1">
      <c r="A866" s="32" t="b">
        <v>0</v>
      </c>
      <c r="B866" s="32" t="str">
        <f>IMAGE("https://gymvisual.com/7713-catalog_default/cable-curl-with-multipurpose-v-bar.jpg",4,500,500)</f>
        <v/>
      </c>
      <c r="C866" s="30">
        <v>865.0</v>
      </c>
      <c r="D866" s="16" t="s">
        <v>1369</v>
      </c>
      <c r="E866" s="16" t="s">
        <v>184</v>
      </c>
      <c r="F866" s="16" t="s">
        <v>214</v>
      </c>
      <c r="G866" s="16" t="s">
        <v>215</v>
      </c>
      <c r="H866" s="16" t="s">
        <v>220</v>
      </c>
      <c r="I866" s="16" t="s">
        <v>220</v>
      </c>
    </row>
    <row r="867" ht="242.25" customHeight="1">
      <c r="A867" s="32" t="b">
        <v>0</v>
      </c>
      <c r="B867" s="32" t="str">
        <f>IMAGE("https://gymvisual.com/493-catalog_default/cable-deadlift.jpg",4,500,500)</f>
        <v/>
      </c>
      <c r="C867" s="30">
        <v>866.0</v>
      </c>
      <c r="D867" s="16" t="s">
        <v>1370</v>
      </c>
      <c r="E867" s="16" t="s">
        <v>184</v>
      </c>
      <c r="F867" s="16" t="s">
        <v>285</v>
      </c>
      <c r="G867" s="16" t="s">
        <v>215</v>
      </c>
      <c r="H867" s="16" t="s">
        <v>189</v>
      </c>
      <c r="I867" s="16" t="s">
        <v>190</v>
      </c>
    </row>
    <row r="868" ht="242.25" customHeight="1">
      <c r="A868" s="32" t="b">
        <v>0</v>
      </c>
      <c r="B868" s="32" t="str">
        <f>IMAGE("https://gymvisual.com/13359-catalog_default/cable-deadlift-female.jpg",4,500,500)</f>
        <v/>
      </c>
      <c r="C868" s="30">
        <v>867.0</v>
      </c>
      <c r="D868" s="16" t="s">
        <v>1371</v>
      </c>
      <c r="E868" s="16" t="s">
        <v>184</v>
      </c>
      <c r="F868" s="16" t="s">
        <v>294</v>
      </c>
      <c r="G868" s="16" t="s">
        <v>215</v>
      </c>
      <c r="H868" s="16" t="s">
        <v>220</v>
      </c>
      <c r="I868" s="16" t="s">
        <v>220</v>
      </c>
    </row>
    <row r="869" ht="242.25" customHeight="1">
      <c r="A869" s="32" t="b">
        <v>0</v>
      </c>
      <c r="B869" s="32" t="str">
        <f>IMAGE("https://gymvisual.com/19317-catalog_default/cable-decline-fly.jpg",4,500,500)</f>
        <v/>
      </c>
      <c r="C869" s="30">
        <v>868.0</v>
      </c>
      <c r="D869" s="16" t="s">
        <v>1372</v>
      </c>
      <c r="E869" s="16" t="s">
        <v>184</v>
      </c>
      <c r="F869" s="16" t="s">
        <v>234</v>
      </c>
      <c r="G869" s="16" t="s">
        <v>215</v>
      </c>
      <c r="H869" s="16" t="s">
        <v>347</v>
      </c>
      <c r="I869" s="16" t="s">
        <v>420</v>
      </c>
    </row>
    <row r="870" ht="242.25" customHeight="1">
      <c r="A870" s="32" t="b">
        <v>0</v>
      </c>
      <c r="B870" s="32" t="str">
        <f>IMAGE("https://gymvisual.com/11107-catalog_default/cable-decline-fly-female.jpg",4,500,500)</f>
        <v/>
      </c>
      <c r="C870" s="30">
        <v>869.0</v>
      </c>
      <c r="D870" s="16" t="s">
        <v>1373</v>
      </c>
      <c r="E870" s="16" t="s">
        <v>184</v>
      </c>
      <c r="F870" s="16" t="s">
        <v>234</v>
      </c>
      <c r="G870" s="16" t="s">
        <v>215</v>
      </c>
      <c r="H870" s="16" t="s">
        <v>347</v>
      </c>
      <c r="I870" s="16" t="s">
        <v>420</v>
      </c>
    </row>
    <row r="871" ht="242.25" customHeight="1">
      <c r="A871" s="32" t="b">
        <v>0</v>
      </c>
      <c r="B871" s="32" t="str">
        <f>IMAGE("https://gymvisual.com/5949-catalog_default/cable-decline-one-arm-press.jpg",4,500,500)</f>
        <v/>
      </c>
      <c r="C871" s="30">
        <v>870.0</v>
      </c>
      <c r="D871" s="16" t="s">
        <v>823</v>
      </c>
      <c r="E871" s="16" t="s">
        <v>184</v>
      </c>
      <c r="F871" s="16" t="s">
        <v>234</v>
      </c>
      <c r="G871" s="16" t="s">
        <v>215</v>
      </c>
      <c r="H871" s="16" t="s">
        <v>347</v>
      </c>
      <c r="I871" s="16" t="s">
        <v>382</v>
      </c>
    </row>
    <row r="872" ht="242.25" customHeight="1">
      <c r="A872" s="32" t="b">
        <v>0</v>
      </c>
      <c r="B872" s="32" t="str">
        <f>IMAGE("https://gymvisual.com/5950-catalog_default/cable-decline-press.jpg",4,500,500)</f>
        <v/>
      </c>
      <c r="C872" s="30">
        <v>871.0</v>
      </c>
      <c r="D872" s="16" t="s">
        <v>823</v>
      </c>
      <c r="E872" s="16" t="s">
        <v>184</v>
      </c>
      <c r="F872" s="16" t="s">
        <v>234</v>
      </c>
      <c r="G872" s="16" t="s">
        <v>215</v>
      </c>
      <c r="H872" s="16" t="s">
        <v>347</v>
      </c>
      <c r="I872" s="16" t="s">
        <v>382</v>
      </c>
    </row>
    <row r="873" ht="242.25" customHeight="1">
      <c r="A873" s="32" t="b">
        <v>0</v>
      </c>
      <c r="B873" s="32" t="str">
        <f>IMAGE("https://gymvisual.com/13361-catalog_default/cable-decline-press-female.jpg",4,500,500)</f>
        <v/>
      </c>
      <c r="C873" s="30">
        <v>872.0</v>
      </c>
      <c r="D873" s="16" t="s">
        <v>1374</v>
      </c>
      <c r="E873" s="16" t="s">
        <v>184</v>
      </c>
      <c r="F873" s="16" t="s">
        <v>234</v>
      </c>
      <c r="G873" s="16" t="s">
        <v>215</v>
      </c>
      <c r="H873" s="16" t="s">
        <v>220</v>
      </c>
      <c r="I873" s="16" t="s">
        <v>220</v>
      </c>
    </row>
    <row r="874" ht="242.25" customHeight="1">
      <c r="A874" s="32" t="b">
        <v>0</v>
      </c>
      <c r="B874" s="32" t="str">
        <f>IMAGE("https://gymvisual.com/499-catalog_default/cable-decline-seated-wide-grip-row.jpg",4,500,500)</f>
        <v/>
      </c>
      <c r="C874" s="30">
        <v>873.0</v>
      </c>
      <c r="D874" s="16" t="s">
        <v>1375</v>
      </c>
      <c r="E874" s="16" t="s">
        <v>184</v>
      </c>
      <c r="F874" s="16" t="s">
        <v>192</v>
      </c>
      <c r="G874" s="16" t="s">
        <v>215</v>
      </c>
      <c r="H874" s="16" t="s">
        <v>329</v>
      </c>
      <c r="I874" s="16" t="s">
        <v>447</v>
      </c>
    </row>
    <row r="875" ht="242.25" customHeight="1">
      <c r="A875" s="32" t="b">
        <v>0</v>
      </c>
      <c r="B875" s="32" t="str">
        <f>IMAGE("https://gymvisual.com/18949-catalog_default/cable-donkey-kickback-female.jpg",4,500,500)</f>
        <v/>
      </c>
      <c r="C875" s="30">
        <v>874.0</v>
      </c>
      <c r="D875" s="16" t="s">
        <v>1376</v>
      </c>
      <c r="E875" s="16" t="s">
        <v>184</v>
      </c>
      <c r="F875" s="16" t="s">
        <v>185</v>
      </c>
      <c r="G875" s="16" t="s">
        <v>215</v>
      </c>
      <c r="H875" s="16" t="s">
        <v>187</v>
      </c>
      <c r="I875" s="16" t="s">
        <v>188</v>
      </c>
    </row>
    <row r="876" ht="242.25" customHeight="1">
      <c r="A876" s="32" t="b">
        <v>0</v>
      </c>
      <c r="B876" s="32" t="str">
        <f>IMAGE("https://gymvisual.com/7106-catalog_default/cable-drag-curl.jpg",4,500,500)</f>
        <v/>
      </c>
      <c r="C876" s="30">
        <v>875.0</v>
      </c>
      <c r="D876" s="16" t="s">
        <v>1377</v>
      </c>
      <c r="E876" s="16" t="s">
        <v>184</v>
      </c>
      <c r="F876" s="16" t="s">
        <v>219</v>
      </c>
      <c r="G876" s="16" t="s">
        <v>215</v>
      </c>
      <c r="H876" s="16" t="s">
        <v>220</v>
      </c>
      <c r="I876" s="16" t="s">
        <v>220</v>
      </c>
    </row>
    <row r="877" ht="242.25" customHeight="1">
      <c r="A877" s="32" t="b">
        <v>0</v>
      </c>
      <c r="B877" s="32" t="str">
        <f>IMAGE("https://gymvisual.com/2957-catalog_default/cable-elevated-row.jpg",4,500,500)</f>
        <v/>
      </c>
      <c r="C877" s="30">
        <v>876.0</v>
      </c>
      <c r="D877" s="16" t="s">
        <v>1378</v>
      </c>
      <c r="E877" s="16" t="s">
        <v>184</v>
      </c>
      <c r="F877" s="16" t="s">
        <v>192</v>
      </c>
      <c r="G877" s="16" t="s">
        <v>215</v>
      </c>
      <c r="H877" s="16" t="s">
        <v>300</v>
      </c>
      <c r="I877" s="16" t="s">
        <v>1379</v>
      </c>
    </row>
    <row r="878" ht="242.25" customHeight="1">
      <c r="A878" s="32" t="b">
        <v>0</v>
      </c>
      <c r="B878" s="32" t="str">
        <f>IMAGE("https://gymvisual.com/502-catalog_default/cable-floor-seated-wide-grip-row.jpg",4,500,500)</f>
        <v/>
      </c>
      <c r="C878" s="30">
        <v>877.0</v>
      </c>
      <c r="D878" s="16" t="s">
        <v>1380</v>
      </c>
      <c r="E878" s="16" t="s">
        <v>184</v>
      </c>
      <c r="F878" s="16" t="s">
        <v>192</v>
      </c>
      <c r="G878" s="16" t="s">
        <v>215</v>
      </c>
      <c r="H878" s="16" t="s">
        <v>329</v>
      </c>
      <c r="I878" s="16" t="s">
        <v>447</v>
      </c>
    </row>
    <row r="879" ht="242.25" customHeight="1">
      <c r="A879" s="32" t="b">
        <v>0</v>
      </c>
      <c r="B879" s="32" t="str">
        <f>IMAGE("https://gymvisual.com/17735-catalog_default/cable-fly-with-chest-supported.jpg",4,500,500)</f>
        <v/>
      </c>
      <c r="C879" s="30">
        <v>878.0</v>
      </c>
      <c r="D879" s="16" t="s">
        <v>1381</v>
      </c>
      <c r="E879" s="16" t="s">
        <v>184</v>
      </c>
      <c r="F879" s="16" t="s">
        <v>234</v>
      </c>
      <c r="G879" s="16" t="s">
        <v>215</v>
      </c>
      <c r="H879" s="16" t="s">
        <v>220</v>
      </c>
      <c r="I879" s="16" t="s">
        <v>220</v>
      </c>
    </row>
    <row r="880" ht="242.25" customHeight="1">
      <c r="A880" s="32" t="b">
        <v>0</v>
      </c>
      <c r="B880" s="32" t="str">
        <f>IMAGE("https://gymvisual.com/13661-catalog_default/cable-forward-lunge.jpg",4,500,500)</f>
        <v/>
      </c>
      <c r="C880" s="30">
        <v>879.0</v>
      </c>
      <c r="D880" s="16" t="s">
        <v>1382</v>
      </c>
      <c r="E880" s="16" t="s">
        <v>184</v>
      </c>
      <c r="F880" s="16" t="s">
        <v>285</v>
      </c>
      <c r="G880" s="16" t="s">
        <v>215</v>
      </c>
      <c r="H880" s="16" t="s">
        <v>189</v>
      </c>
      <c r="I880" s="16" t="s">
        <v>220</v>
      </c>
    </row>
    <row r="881" ht="242.25" customHeight="1">
      <c r="A881" s="32" t="b">
        <v>0</v>
      </c>
      <c r="B881" s="32" t="str">
        <f>IMAGE("https://gymvisual.com/505-catalog_default/cable-forward-raise.jpg",4,500,500)</f>
        <v/>
      </c>
      <c r="C881" s="30">
        <v>880.0</v>
      </c>
      <c r="D881" s="16" t="s">
        <v>1383</v>
      </c>
      <c r="E881" s="16" t="s">
        <v>184</v>
      </c>
      <c r="F881" s="16" t="s">
        <v>228</v>
      </c>
      <c r="G881" s="16" t="s">
        <v>215</v>
      </c>
      <c r="H881" s="16" t="s">
        <v>229</v>
      </c>
      <c r="I881" s="16" t="s">
        <v>244</v>
      </c>
    </row>
    <row r="882" ht="242.25" customHeight="1">
      <c r="A882" s="32" t="b">
        <v>0</v>
      </c>
      <c r="B882" s="32" t="str">
        <f>IMAGE("https://gymvisual.com/508-catalog_default/cable-front-raise.jpg",4,500,500)</f>
        <v/>
      </c>
      <c r="C882" s="30">
        <v>881.0</v>
      </c>
      <c r="D882" s="16" t="s">
        <v>57</v>
      </c>
      <c r="E882" s="16" t="s">
        <v>184</v>
      </c>
      <c r="F882" s="16" t="s">
        <v>228</v>
      </c>
      <c r="G882" s="16" t="s">
        <v>215</v>
      </c>
      <c r="H882" s="16" t="s">
        <v>229</v>
      </c>
      <c r="I882" s="16" t="s">
        <v>244</v>
      </c>
    </row>
    <row r="883" ht="242.25" customHeight="1">
      <c r="A883" s="32" t="b">
        <v>0</v>
      </c>
      <c r="B883" s="32" t="str">
        <f>IMAGE("https://gymvisual.com/9604-catalog_default/cable-front-raise-female.jpg",4,500,500)</f>
        <v/>
      </c>
      <c r="C883" s="30">
        <v>882.0</v>
      </c>
      <c r="D883" s="16" t="s">
        <v>1384</v>
      </c>
      <c r="E883" s="16" t="s">
        <v>184</v>
      </c>
      <c r="F883" s="16" t="s">
        <v>228</v>
      </c>
      <c r="G883" s="16" t="s">
        <v>215</v>
      </c>
      <c r="H883" s="16" t="s">
        <v>229</v>
      </c>
      <c r="I883" s="16" t="s">
        <v>244</v>
      </c>
    </row>
    <row r="884" ht="242.25" customHeight="1">
      <c r="A884" s="32" t="b">
        <v>0</v>
      </c>
      <c r="B884" s="32" t="str">
        <f>IMAGE("https://gymvisual.com/11116-catalog_default/cable-front-raise-female.jpg",4,500,500)</f>
        <v/>
      </c>
      <c r="C884" s="30">
        <v>883.0</v>
      </c>
      <c r="D884" s="16" t="s">
        <v>1384</v>
      </c>
      <c r="E884" s="16" t="s">
        <v>184</v>
      </c>
      <c r="F884" s="16" t="s">
        <v>234</v>
      </c>
      <c r="G884" s="16" t="s">
        <v>215</v>
      </c>
      <c r="H884" s="16" t="s">
        <v>220</v>
      </c>
      <c r="I884" s="16" t="s">
        <v>220</v>
      </c>
    </row>
    <row r="885" ht="242.25" customHeight="1">
      <c r="A885" s="32" t="b">
        <v>0</v>
      </c>
      <c r="B885" s="32" t="str">
        <f>IMAGE("https://gymvisual.com/511-catalog_default/cable-front-seated-row.jpg",4,500,500)</f>
        <v/>
      </c>
      <c r="C885" s="30">
        <v>884.0</v>
      </c>
      <c r="D885" s="16" t="s">
        <v>1385</v>
      </c>
      <c r="E885" s="16" t="s">
        <v>184</v>
      </c>
      <c r="F885" s="16" t="s">
        <v>192</v>
      </c>
      <c r="G885" s="16" t="s">
        <v>215</v>
      </c>
      <c r="H885" s="16" t="s">
        <v>329</v>
      </c>
      <c r="I885" s="16" t="s">
        <v>357</v>
      </c>
    </row>
    <row r="886" ht="242.25" customHeight="1">
      <c r="A886" s="32" t="b">
        <v>0</v>
      </c>
      <c r="B886" s="32" t="str">
        <f>IMAGE("https://gymvisual.com/514-catalog_default/cable-front-shoulder-raise.jpg",4,500,500)</f>
        <v/>
      </c>
      <c r="C886" s="30">
        <v>885.0</v>
      </c>
      <c r="D886" s="16" t="s">
        <v>1386</v>
      </c>
      <c r="E886" s="16" t="s">
        <v>184</v>
      </c>
      <c r="F886" s="16" t="s">
        <v>228</v>
      </c>
      <c r="G886" s="16" t="s">
        <v>215</v>
      </c>
      <c r="H886" s="16" t="s">
        <v>229</v>
      </c>
      <c r="I886" s="16" t="s">
        <v>244</v>
      </c>
    </row>
    <row r="887" ht="242.25" customHeight="1">
      <c r="A887" s="32" t="b">
        <v>0</v>
      </c>
      <c r="B887" s="32" t="str">
        <f>IMAGE("https://gymvisual.com/13652-catalog_default/cable-front-squat.jpg",4,500,500)</f>
        <v/>
      </c>
      <c r="C887" s="30">
        <v>886.0</v>
      </c>
      <c r="D887" s="16" t="s">
        <v>1387</v>
      </c>
      <c r="E887" s="16" t="s">
        <v>184</v>
      </c>
      <c r="F887" s="16" t="s">
        <v>285</v>
      </c>
      <c r="G887" s="16" t="s">
        <v>215</v>
      </c>
      <c r="H887" s="16" t="s">
        <v>189</v>
      </c>
      <c r="I887" s="16" t="s">
        <v>190</v>
      </c>
    </row>
    <row r="888" ht="242.25" customHeight="1">
      <c r="A888" s="32" t="b">
        <v>0</v>
      </c>
      <c r="B888" s="32" t="str">
        <f>IMAGE("https://gymvisual.com/13659-catalog_default/cable-front-squat-version-2.jpg",4,500,500)</f>
        <v/>
      </c>
      <c r="C888" s="30">
        <v>887.0</v>
      </c>
      <c r="D888" s="16" t="s">
        <v>1388</v>
      </c>
      <c r="E888" s="16" t="s">
        <v>184</v>
      </c>
      <c r="F888" s="16" t="s">
        <v>285</v>
      </c>
      <c r="G888" s="16" t="s">
        <v>215</v>
      </c>
      <c r="H888" s="16" t="s">
        <v>189</v>
      </c>
      <c r="I888" s="16" t="s">
        <v>220</v>
      </c>
    </row>
    <row r="889" ht="242.25" customHeight="1">
      <c r="A889" s="32" t="b">
        <v>0</v>
      </c>
      <c r="B889" s="32" t="str">
        <f>IMAGE("https://gymvisual.com/20992-catalog_default/cable-glute-dominant-step-up-female.jpg",4,500,500)</f>
        <v/>
      </c>
      <c r="C889" s="30">
        <v>888.0</v>
      </c>
      <c r="D889" s="16" t="s">
        <v>1389</v>
      </c>
      <c r="E889" s="16" t="s">
        <v>184</v>
      </c>
      <c r="F889" s="16" t="s">
        <v>294</v>
      </c>
      <c r="G889" s="16" t="s">
        <v>215</v>
      </c>
      <c r="H889" s="16" t="s">
        <v>189</v>
      </c>
      <c r="I889" s="16" t="s">
        <v>190</v>
      </c>
    </row>
    <row r="890" ht="242.25" customHeight="1">
      <c r="A890" s="32" t="b">
        <v>0</v>
      </c>
      <c r="B890" s="32" t="str">
        <f>IMAGE("https://gymvisual.com/18027-catalog_default/cable-half-kneeling-adductor-pallof-press.jpg",4,500,500)</f>
        <v/>
      </c>
      <c r="C890" s="30">
        <v>889.0</v>
      </c>
      <c r="D890" s="16" t="s">
        <v>1390</v>
      </c>
      <c r="E890" s="16" t="s">
        <v>184</v>
      </c>
      <c r="F890" s="16" t="s">
        <v>254</v>
      </c>
      <c r="G890" s="16" t="s">
        <v>215</v>
      </c>
      <c r="H890" s="16" t="s">
        <v>220</v>
      </c>
      <c r="I890" s="16" t="s">
        <v>220</v>
      </c>
    </row>
    <row r="891" ht="242.25" customHeight="1">
      <c r="A891" s="32" t="b">
        <v>0</v>
      </c>
      <c r="B891" s="32" t="str">
        <f>IMAGE("https://gymvisual.com/18023-catalog_default/cable-half-kneeling-external-rotation.jpg",4,500,500)</f>
        <v/>
      </c>
      <c r="C891" s="30">
        <v>890.0</v>
      </c>
      <c r="D891" s="16" t="s">
        <v>1391</v>
      </c>
      <c r="E891" s="16" t="s">
        <v>184</v>
      </c>
      <c r="F891" s="16" t="s">
        <v>192</v>
      </c>
      <c r="G891" s="16" t="s">
        <v>215</v>
      </c>
      <c r="H891" s="16" t="s">
        <v>220</v>
      </c>
      <c r="I891" s="16" t="s">
        <v>220</v>
      </c>
    </row>
    <row r="892" ht="242.25" customHeight="1">
      <c r="A892" s="32" t="b">
        <v>0</v>
      </c>
      <c r="B892" s="32" t="str">
        <f>IMAGE("https://gymvisual.com/18021-catalog_default/cable-half-kneeling-pallof-press.jpg",4,500,500)</f>
        <v/>
      </c>
      <c r="C892" s="30">
        <v>891.0</v>
      </c>
      <c r="D892" s="16" t="s">
        <v>1392</v>
      </c>
      <c r="E892" s="16" t="s">
        <v>184</v>
      </c>
      <c r="F892" s="16" t="s">
        <v>254</v>
      </c>
      <c r="G892" s="16" t="s">
        <v>215</v>
      </c>
      <c r="H892" s="16" t="s">
        <v>220</v>
      </c>
      <c r="I892" s="16" t="s">
        <v>220</v>
      </c>
    </row>
    <row r="893" ht="242.25" customHeight="1">
      <c r="A893" s="32" t="b">
        <v>0</v>
      </c>
      <c r="B893" s="32" t="str">
        <f>IMAGE("https://gymvisual.com/18089-catalog_default/cable-half-kneeling-push-pull.jpg",4,500,500)</f>
        <v/>
      </c>
      <c r="C893" s="30">
        <v>892.0</v>
      </c>
      <c r="D893" s="16" t="s">
        <v>1393</v>
      </c>
      <c r="E893" s="16" t="s">
        <v>184</v>
      </c>
      <c r="F893" s="16" t="s">
        <v>192</v>
      </c>
      <c r="G893" s="16" t="s">
        <v>215</v>
      </c>
      <c r="H893" s="16" t="s">
        <v>220</v>
      </c>
      <c r="I893" s="16" t="s">
        <v>220</v>
      </c>
    </row>
    <row r="894" ht="242.25" customHeight="1">
      <c r="A894" s="32" t="b">
        <v>0</v>
      </c>
      <c r="B894" s="32" t="str">
        <f>IMAGE("https://gymvisual.com/520-catalog_default/cable-hammer-curl.jpg",4,500,500)</f>
        <v/>
      </c>
      <c r="C894" s="30">
        <v>893.0</v>
      </c>
      <c r="D894" s="16" t="s">
        <v>1394</v>
      </c>
      <c r="E894" s="16" t="s">
        <v>184</v>
      </c>
      <c r="F894" s="16" t="s">
        <v>214</v>
      </c>
      <c r="G894" s="16" t="s">
        <v>215</v>
      </c>
      <c r="H894" s="16" t="s">
        <v>216</v>
      </c>
      <c r="I894" s="16" t="s">
        <v>217</v>
      </c>
    </row>
    <row r="895" ht="242.25" customHeight="1">
      <c r="A895" s="32" t="b">
        <v>0</v>
      </c>
      <c r="B895" s="32" t="str">
        <f>IMAGE("https://gymvisual.com/20978-catalog_default/cable-hammer-curl-with-rope.jpg",4,500,500)</f>
        <v/>
      </c>
      <c r="C895" s="30">
        <v>894.0</v>
      </c>
      <c r="D895" s="16" t="s">
        <v>213</v>
      </c>
      <c r="E895" s="16" t="s">
        <v>184</v>
      </c>
      <c r="F895" s="16" t="s">
        <v>214</v>
      </c>
      <c r="G895" s="16" t="s">
        <v>215</v>
      </c>
      <c r="H895" s="16" t="s">
        <v>216</v>
      </c>
      <c r="I895" s="16" t="s">
        <v>217</v>
      </c>
    </row>
    <row r="896" ht="242.25" customHeight="1">
      <c r="A896" s="32" t="b">
        <v>0</v>
      </c>
      <c r="B896" s="32" t="str">
        <f>IMAGE("https://gymvisual.com/12069-catalog_default/cable-hanging-leg-raise.jpg",4,500,500)</f>
        <v/>
      </c>
      <c r="C896" s="30">
        <v>895.0</v>
      </c>
      <c r="D896" s="16" t="s">
        <v>1395</v>
      </c>
      <c r="E896" s="16" t="s">
        <v>184</v>
      </c>
      <c r="F896" s="16" t="s">
        <v>254</v>
      </c>
      <c r="G896" s="16" t="s">
        <v>215</v>
      </c>
      <c r="H896" s="16" t="s">
        <v>305</v>
      </c>
      <c r="I896" s="16" t="s">
        <v>600</v>
      </c>
    </row>
    <row r="897" ht="242.25" customHeight="1">
      <c r="A897" s="32" t="b">
        <v>0</v>
      </c>
      <c r="B897" s="32" t="str">
        <f>IMAGE("https://gymvisual.com/12068-catalog_default/cable-hanging-leg-raise-female.jpg",4,500,500)</f>
        <v/>
      </c>
      <c r="C897" s="30">
        <v>896.0</v>
      </c>
      <c r="D897" s="16" t="s">
        <v>1396</v>
      </c>
      <c r="E897" s="16" t="s">
        <v>184</v>
      </c>
      <c r="F897" s="16" t="s">
        <v>254</v>
      </c>
      <c r="G897" s="16" t="s">
        <v>215</v>
      </c>
      <c r="H897" s="16" t="s">
        <v>305</v>
      </c>
      <c r="I897" s="16" t="s">
        <v>600</v>
      </c>
    </row>
    <row r="898" ht="242.25" customHeight="1">
      <c r="A898" s="32" t="b">
        <v>0</v>
      </c>
      <c r="B898" s="32" t="str">
        <f>IMAGE("https://gymvisual.com/9727-catalog_default/cable-high-pulley-overhead-tricep-extension.jpg",4,500,500)</f>
        <v/>
      </c>
      <c r="C898" s="30">
        <v>897.0</v>
      </c>
      <c r="D898" s="16" t="s">
        <v>1397</v>
      </c>
      <c r="E898" s="16" t="s">
        <v>184</v>
      </c>
      <c r="F898" s="16" t="s">
        <v>219</v>
      </c>
      <c r="G898" s="16" t="s">
        <v>215</v>
      </c>
      <c r="H898" s="16" t="s">
        <v>223</v>
      </c>
      <c r="I898" s="16" t="s">
        <v>220</v>
      </c>
    </row>
    <row r="899" ht="242.25" customHeight="1">
      <c r="A899" s="32" t="b">
        <v>0</v>
      </c>
      <c r="B899" s="32" t="str">
        <f>IMAGE("https://gymvisual.com/13363-catalog_default/cable-high-pulley-overhead-tricep-extension-female.jpg",4,500,500)</f>
        <v/>
      </c>
      <c r="C899" s="30">
        <v>898.0</v>
      </c>
      <c r="D899" s="16" t="s">
        <v>1398</v>
      </c>
      <c r="E899" s="16" t="s">
        <v>184</v>
      </c>
      <c r="F899" s="16" t="s">
        <v>219</v>
      </c>
      <c r="G899" s="16" t="s">
        <v>215</v>
      </c>
      <c r="H899" s="16" t="s">
        <v>223</v>
      </c>
      <c r="I899" s="16" t="s">
        <v>220</v>
      </c>
    </row>
    <row r="900" ht="242.25" customHeight="1">
      <c r="A900" s="32" t="b">
        <v>0</v>
      </c>
      <c r="B900" s="32" t="str">
        <f>IMAGE("https://gymvisual.com/9646-catalog_default/cable-high-row-kneeling-rope-attachment-female.jpg",4,500,500)</f>
        <v/>
      </c>
      <c r="C900" s="30">
        <v>899.0</v>
      </c>
      <c r="D900" s="16" t="s">
        <v>1399</v>
      </c>
      <c r="E900" s="16" t="s">
        <v>184</v>
      </c>
      <c r="F900" s="16" t="s">
        <v>228</v>
      </c>
      <c r="G900" s="16" t="s">
        <v>215</v>
      </c>
      <c r="H900" s="16" t="s">
        <v>220</v>
      </c>
      <c r="I900" s="16" t="s">
        <v>220</v>
      </c>
    </row>
    <row r="901" ht="242.25" customHeight="1">
      <c r="A901" s="32" t="b">
        <v>0</v>
      </c>
      <c r="B901" s="32" t="str">
        <f>IMAGE("https://gymvisual.com/523-catalog_default/cable-high-row-kneeling.jpg",4,500,500)</f>
        <v/>
      </c>
      <c r="C901" s="30">
        <v>900.0</v>
      </c>
      <c r="D901" s="16" t="s">
        <v>1400</v>
      </c>
      <c r="E901" s="16" t="s">
        <v>184</v>
      </c>
      <c r="F901" s="16" t="s">
        <v>192</v>
      </c>
      <c r="G901" s="16" t="s">
        <v>215</v>
      </c>
      <c r="H901" s="16" t="s">
        <v>329</v>
      </c>
      <c r="I901" s="16" t="s">
        <v>447</v>
      </c>
    </row>
    <row r="902" ht="242.25" customHeight="1">
      <c r="A902" s="32" t="b">
        <v>0</v>
      </c>
      <c r="B902" s="32" t="str">
        <f>IMAGE("https://gymvisual.com/20056-catalog_default/cable-high-triceps-extension.jpg",4,500,500)</f>
        <v/>
      </c>
      <c r="C902" s="30">
        <v>901.0</v>
      </c>
      <c r="D902" s="16" t="s">
        <v>1401</v>
      </c>
      <c r="E902" s="16" t="s">
        <v>184</v>
      </c>
      <c r="F902" s="16" t="s">
        <v>219</v>
      </c>
      <c r="G902" s="16" t="s">
        <v>215</v>
      </c>
      <c r="H902" s="16" t="s">
        <v>223</v>
      </c>
      <c r="I902" s="16" t="s">
        <v>220</v>
      </c>
    </row>
    <row r="903" ht="242.25" customHeight="1">
      <c r="A903" s="32" t="b">
        <v>0</v>
      </c>
      <c r="B903" s="32" t="str">
        <f>IMAGE("https://gymvisual.com/11833-catalog_default/cable-hip-abduction-toe-in-female.jpg",4,500,500)</f>
        <v/>
      </c>
      <c r="C903" s="30">
        <v>902.0</v>
      </c>
      <c r="D903" s="16" t="s">
        <v>1402</v>
      </c>
      <c r="E903" s="16" t="s">
        <v>184</v>
      </c>
      <c r="F903" s="16" t="s">
        <v>185</v>
      </c>
      <c r="G903" s="16" t="s">
        <v>215</v>
      </c>
      <c r="H903" s="16" t="s">
        <v>220</v>
      </c>
      <c r="I903" s="16" t="s">
        <v>220</v>
      </c>
    </row>
    <row r="904" ht="242.25" customHeight="1">
      <c r="A904" s="32" t="b">
        <v>0</v>
      </c>
      <c r="B904" s="32" t="str">
        <f>IMAGE("https://gymvisual.com/11832-catalog_default/cable-hip-abduction-toe-out-female.jpg",4,500,500)</f>
        <v/>
      </c>
      <c r="C904" s="30">
        <v>903.0</v>
      </c>
      <c r="D904" s="16" t="s">
        <v>1403</v>
      </c>
      <c r="E904" s="16" t="s">
        <v>184</v>
      </c>
      <c r="F904" s="16" t="s">
        <v>185</v>
      </c>
      <c r="G904" s="16" t="s">
        <v>215</v>
      </c>
      <c r="H904" s="16" t="s">
        <v>220</v>
      </c>
      <c r="I904" s="16" t="s">
        <v>220</v>
      </c>
    </row>
    <row r="905" ht="242.25" customHeight="1">
      <c r="A905" s="32" t="b">
        <v>0</v>
      </c>
      <c r="B905" s="32" t="str">
        <f>IMAGE("https://gymvisual.com/2769-catalog_default/cable-hip-abduction-version-2.jpg",4,500,500)</f>
        <v/>
      </c>
      <c r="C905" s="30">
        <v>904.0</v>
      </c>
      <c r="D905" s="16" t="s">
        <v>1404</v>
      </c>
      <c r="E905" s="16" t="s">
        <v>184</v>
      </c>
      <c r="F905" s="16" t="s">
        <v>185</v>
      </c>
      <c r="G905" s="16" t="s">
        <v>215</v>
      </c>
      <c r="H905" s="16" t="s">
        <v>508</v>
      </c>
      <c r="I905" s="16" t="s">
        <v>220</v>
      </c>
    </row>
    <row r="906" ht="242.25" customHeight="1">
      <c r="A906" s="32" t="b">
        <v>0</v>
      </c>
      <c r="B906" s="32" t="str">
        <f>IMAGE("https://gymvisual.com/13365-catalog_default/cable-hip-abduction-version-2-male.jpg",4,500,500)</f>
        <v/>
      </c>
      <c r="C906" s="30">
        <v>905.0</v>
      </c>
      <c r="D906" s="16" t="s">
        <v>1405</v>
      </c>
      <c r="E906" s="16" t="s">
        <v>184</v>
      </c>
      <c r="F906" s="16" t="s">
        <v>185</v>
      </c>
      <c r="G906" s="16" t="s">
        <v>215</v>
      </c>
      <c r="H906" s="16" t="s">
        <v>475</v>
      </c>
      <c r="I906" s="16" t="s">
        <v>476</v>
      </c>
    </row>
    <row r="907" ht="242.25" customHeight="1">
      <c r="A907" s="32" t="b">
        <v>0</v>
      </c>
      <c r="B907" s="32" t="str">
        <f>IMAGE("https://gymvisual.com/526-catalog_default/cable-hip-adduction.jpg",4,500,500)</f>
        <v/>
      </c>
      <c r="C907" s="30">
        <v>906.0</v>
      </c>
      <c r="D907" s="16" t="s">
        <v>1406</v>
      </c>
      <c r="E907" s="16" t="s">
        <v>184</v>
      </c>
      <c r="F907" s="16" t="s">
        <v>285</v>
      </c>
      <c r="G907" s="16" t="s">
        <v>215</v>
      </c>
      <c r="H907" s="16" t="s">
        <v>1407</v>
      </c>
      <c r="I907" s="16" t="s">
        <v>1408</v>
      </c>
    </row>
    <row r="908" ht="242.25" customHeight="1">
      <c r="A908" s="32" t="b">
        <v>0</v>
      </c>
      <c r="B908" s="32" t="str">
        <f>IMAGE("https://gymvisual.com/10135-catalog_default/cable-hip-adduction-female.jpg",4,500,500)</f>
        <v/>
      </c>
      <c r="C908" s="30">
        <v>907.0</v>
      </c>
      <c r="D908" s="16" t="s">
        <v>1409</v>
      </c>
      <c r="E908" s="16" t="s">
        <v>184</v>
      </c>
      <c r="F908" s="16" t="s">
        <v>185</v>
      </c>
      <c r="G908" s="16" t="s">
        <v>215</v>
      </c>
      <c r="H908" s="16" t="s">
        <v>1410</v>
      </c>
      <c r="I908" s="16" t="s">
        <v>515</v>
      </c>
    </row>
    <row r="909" ht="242.25" customHeight="1">
      <c r="A909" s="32" t="b">
        <v>0</v>
      </c>
      <c r="B909" s="32" t="str">
        <f>IMAGE("https://gymvisual.com/4570-catalog_default/cable-horizontal-pallof-press.jpg",4,500,500)</f>
        <v/>
      </c>
      <c r="C909" s="30">
        <v>908.0</v>
      </c>
      <c r="D909" s="16" t="s">
        <v>1411</v>
      </c>
      <c r="E909" s="16" t="s">
        <v>184</v>
      </c>
      <c r="F909" s="16" t="s">
        <v>254</v>
      </c>
      <c r="G909" s="16" t="s">
        <v>215</v>
      </c>
      <c r="H909" s="16" t="s">
        <v>257</v>
      </c>
      <c r="I909" s="16" t="s">
        <v>220</v>
      </c>
    </row>
    <row r="910" ht="242.25" customHeight="1">
      <c r="A910" s="32" t="b">
        <v>0</v>
      </c>
      <c r="B910" s="32" t="str">
        <f>IMAGE("https://gymvisual.com/19397-catalog_default/cable-horizontal-pallof-press-version-2.jpg",4,500,500)</f>
        <v/>
      </c>
      <c r="C910" s="30">
        <v>909.0</v>
      </c>
      <c r="D910" s="16" t="s">
        <v>1412</v>
      </c>
      <c r="E910" s="16" t="s">
        <v>184</v>
      </c>
      <c r="F910" s="16" t="s">
        <v>254</v>
      </c>
      <c r="G910" s="16" t="s">
        <v>215</v>
      </c>
      <c r="H910" s="16" t="s">
        <v>220</v>
      </c>
      <c r="I910" s="16" t="s">
        <v>220</v>
      </c>
    </row>
    <row r="911" ht="242.25" customHeight="1">
      <c r="A911" s="32" t="b">
        <v>0</v>
      </c>
      <c r="B911" s="32" t="str">
        <f>IMAGE("https://gymvisual.com/529-catalog_default/cable-incline-bench-press.jpg",4,500,500)</f>
        <v/>
      </c>
      <c r="C911" s="30">
        <v>910.0</v>
      </c>
      <c r="D911" s="16" t="s">
        <v>1413</v>
      </c>
      <c r="E911" s="16" t="s">
        <v>184</v>
      </c>
      <c r="F911" s="16" t="s">
        <v>234</v>
      </c>
      <c r="G911" s="16" t="s">
        <v>215</v>
      </c>
      <c r="H911" s="16" t="s">
        <v>415</v>
      </c>
      <c r="I911" s="16" t="s">
        <v>243</v>
      </c>
    </row>
    <row r="912" ht="242.25" customHeight="1">
      <c r="A912" s="32" t="b">
        <v>0</v>
      </c>
      <c r="B912" s="32" t="str">
        <f>IMAGE("https://gymvisual.com/13367-catalog_default/cable-incline-bench-press-female.jpg",4,500,500)</f>
        <v/>
      </c>
      <c r="C912" s="30">
        <v>911.0</v>
      </c>
      <c r="D912" s="16" t="s">
        <v>1414</v>
      </c>
      <c r="E912" s="16" t="s">
        <v>184</v>
      </c>
      <c r="F912" s="16" t="s">
        <v>234</v>
      </c>
      <c r="G912" s="16" t="s">
        <v>215</v>
      </c>
      <c r="H912" s="16" t="s">
        <v>415</v>
      </c>
      <c r="I912" s="16" t="s">
        <v>243</v>
      </c>
    </row>
    <row r="913" ht="242.25" customHeight="1">
      <c r="A913" s="32" t="b">
        <v>0</v>
      </c>
      <c r="B913" s="32" t="str">
        <f>IMAGE("https://gymvisual.com/6009-catalog_default/cable-incline-bench-row.jpg",4,500,500)</f>
        <v/>
      </c>
      <c r="C913" s="30">
        <v>912.0</v>
      </c>
      <c r="D913" s="16" t="s">
        <v>1415</v>
      </c>
      <c r="E913" s="16" t="s">
        <v>184</v>
      </c>
      <c r="F913" s="16" t="s">
        <v>192</v>
      </c>
      <c r="G913" s="16" t="s">
        <v>215</v>
      </c>
      <c r="H913" s="16" t="s">
        <v>329</v>
      </c>
      <c r="I913" s="16" t="s">
        <v>457</v>
      </c>
    </row>
    <row r="914" ht="242.25" customHeight="1">
      <c r="A914" s="32" t="b">
        <v>0</v>
      </c>
      <c r="B914" s="32" t="str">
        <f>IMAGE("https://gymvisual.com/25125-catalog_default/cable-incline-biceps-curl.jpg",4,500,500)</f>
        <v/>
      </c>
      <c r="C914" s="30">
        <v>913.0</v>
      </c>
      <c r="D914" s="16" t="s">
        <v>1416</v>
      </c>
      <c r="E914" s="16" t="s">
        <v>184</v>
      </c>
      <c r="F914" s="16" t="s">
        <v>219</v>
      </c>
      <c r="G914" s="16" t="s">
        <v>215</v>
      </c>
      <c r="H914" s="16" t="s">
        <v>220</v>
      </c>
      <c r="I914" s="16" t="s">
        <v>220</v>
      </c>
    </row>
    <row r="915" ht="242.25" customHeight="1">
      <c r="A915" s="32" t="b">
        <v>0</v>
      </c>
      <c r="B915" s="32" t="str">
        <f>IMAGE("https://gymvisual.com/18762-catalog_default/cable-incline-close-grip-curl.jpg",4,500,500)</f>
        <v/>
      </c>
      <c r="C915" s="30">
        <v>914.0</v>
      </c>
      <c r="D915" s="16" t="s">
        <v>1417</v>
      </c>
      <c r="E915" s="16" t="s">
        <v>184</v>
      </c>
      <c r="F915" s="16" t="s">
        <v>219</v>
      </c>
      <c r="G915" s="16" t="s">
        <v>215</v>
      </c>
      <c r="H915" s="16" t="s">
        <v>220</v>
      </c>
      <c r="I915" s="16" t="s">
        <v>220</v>
      </c>
    </row>
    <row r="916" ht="242.25" customHeight="1">
      <c r="A916" s="32" t="b">
        <v>0</v>
      </c>
      <c r="B916" s="32" t="str">
        <f>IMAGE("https://gymvisual.com/17456-catalog_default/cable-incline-cross-rear-fly.jpg",4,500,500)</f>
        <v/>
      </c>
      <c r="C916" s="30">
        <v>915.0</v>
      </c>
      <c r="D916" s="16" t="s">
        <v>1418</v>
      </c>
      <c r="E916" s="16" t="s">
        <v>184</v>
      </c>
      <c r="F916" s="16" t="s">
        <v>228</v>
      </c>
      <c r="G916" s="16" t="s">
        <v>215</v>
      </c>
      <c r="H916" s="16" t="s">
        <v>408</v>
      </c>
      <c r="I916" s="16" t="s">
        <v>731</v>
      </c>
    </row>
    <row r="917" ht="242.25" customHeight="1">
      <c r="A917" s="32" t="b">
        <v>0</v>
      </c>
      <c r="B917" s="32" t="str">
        <f>IMAGE("https://gymvisual.com/535-catalog_default/cable-incline-fly.jpg",4,500,500)</f>
        <v/>
      </c>
      <c r="C917" s="30">
        <v>916.0</v>
      </c>
      <c r="D917" s="16" t="s">
        <v>1419</v>
      </c>
      <c r="E917" s="16" t="s">
        <v>184</v>
      </c>
      <c r="F917" s="16" t="s">
        <v>234</v>
      </c>
      <c r="G917" s="16" t="s">
        <v>215</v>
      </c>
      <c r="H917" s="16" t="s">
        <v>415</v>
      </c>
      <c r="I917" s="16" t="s">
        <v>236</v>
      </c>
    </row>
    <row r="918" ht="242.25" customHeight="1">
      <c r="A918" s="32" t="b">
        <v>0</v>
      </c>
      <c r="B918" s="32" t="str">
        <f>IMAGE("https://gymvisual.com/13369-catalog_default/cable-incline-fly-female.jpg",4,500,500)</f>
        <v/>
      </c>
      <c r="C918" s="30">
        <v>917.0</v>
      </c>
      <c r="D918" s="16" t="s">
        <v>1420</v>
      </c>
      <c r="E918" s="16" t="s">
        <v>184</v>
      </c>
      <c r="F918" s="16" t="s">
        <v>234</v>
      </c>
      <c r="G918" s="16" t="s">
        <v>215</v>
      </c>
      <c r="H918" s="16" t="s">
        <v>415</v>
      </c>
      <c r="I918" s="16" t="s">
        <v>236</v>
      </c>
    </row>
    <row r="919" ht="242.25" customHeight="1">
      <c r="A919" s="32" t="b">
        <v>0</v>
      </c>
      <c r="B919" s="32" t="str">
        <f>IMAGE("https://gymvisual.com/2580-catalog_default/cable-incline-fly-on-stability-ball.jpg",4,500,500)</f>
        <v/>
      </c>
      <c r="C919" s="30">
        <v>918.0</v>
      </c>
      <c r="D919" s="16" t="s">
        <v>1421</v>
      </c>
      <c r="E919" s="16" t="s">
        <v>184</v>
      </c>
      <c r="F919" s="16" t="s">
        <v>234</v>
      </c>
      <c r="G919" s="16" t="s">
        <v>215</v>
      </c>
      <c r="H919" s="16" t="s">
        <v>415</v>
      </c>
      <c r="I919" s="16" t="s">
        <v>236</v>
      </c>
    </row>
    <row r="920" ht="242.25" customHeight="1">
      <c r="A920" s="32" t="b">
        <v>0</v>
      </c>
      <c r="B920" s="32" t="str">
        <f>IMAGE("https://gymvisual.com/538-catalog_default/cable-incline-pushdown.jpg",4,500,500)</f>
        <v/>
      </c>
      <c r="C920" s="30">
        <v>919.0</v>
      </c>
      <c r="D920" s="16" t="s">
        <v>1422</v>
      </c>
      <c r="E920" s="16" t="s">
        <v>184</v>
      </c>
      <c r="F920" s="16" t="s">
        <v>192</v>
      </c>
      <c r="G920" s="16" t="s">
        <v>215</v>
      </c>
      <c r="H920" s="16" t="s">
        <v>300</v>
      </c>
      <c r="I920" s="16" t="s">
        <v>1423</v>
      </c>
    </row>
    <row r="921" ht="242.25" customHeight="1">
      <c r="A921" s="32" t="b">
        <v>0</v>
      </c>
      <c r="B921" s="32" t="str">
        <f>IMAGE("https://gymvisual.com/13371-catalog_default/cable-incline-pushdown-female.jpg",4,500,500)</f>
        <v/>
      </c>
      <c r="C921" s="30">
        <v>920.0</v>
      </c>
      <c r="D921" s="16" t="s">
        <v>1424</v>
      </c>
      <c r="E921" s="16" t="s">
        <v>184</v>
      </c>
      <c r="F921" s="16" t="s">
        <v>192</v>
      </c>
      <c r="G921" s="16" t="s">
        <v>215</v>
      </c>
      <c r="H921" s="16" t="s">
        <v>300</v>
      </c>
      <c r="I921" s="16" t="s">
        <v>1423</v>
      </c>
    </row>
    <row r="922" ht="242.25" customHeight="1">
      <c r="A922" s="32" t="b">
        <v>0</v>
      </c>
      <c r="B922" s="32" t="str">
        <f>IMAGE("https://gymvisual.com/18777-catalog_default/cable-incline-skull-crusher.jpg",4,500,500)</f>
        <v/>
      </c>
      <c r="C922" s="30">
        <v>921.0</v>
      </c>
      <c r="D922" s="16" t="s">
        <v>1425</v>
      </c>
      <c r="E922" s="16" t="s">
        <v>184</v>
      </c>
      <c r="F922" s="16" t="s">
        <v>219</v>
      </c>
      <c r="G922" s="16" t="s">
        <v>215</v>
      </c>
      <c r="H922" s="16" t="s">
        <v>220</v>
      </c>
      <c r="I922" s="16" t="s">
        <v>220</v>
      </c>
    </row>
    <row r="923" ht="242.25" customHeight="1">
      <c r="A923" s="32" t="b">
        <v>0</v>
      </c>
      <c r="B923" s="32" t="str">
        <f>IMAGE("https://gymvisual.com/541-catalog_default/cable-incline-triceps-extension.jpg",4,500,500)</f>
        <v/>
      </c>
      <c r="C923" s="30">
        <v>922.0</v>
      </c>
      <c r="D923" s="16" t="s">
        <v>1426</v>
      </c>
      <c r="E923" s="16" t="s">
        <v>184</v>
      </c>
      <c r="F923" s="16" t="s">
        <v>219</v>
      </c>
      <c r="G923" s="16" t="s">
        <v>215</v>
      </c>
      <c r="H923" s="16" t="s">
        <v>223</v>
      </c>
      <c r="I923" s="16" t="s">
        <v>220</v>
      </c>
    </row>
    <row r="924" ht="242.25" customHeight="1">
      <c r="A924" s="32" t="b">
        <v>0</v>
      </c>
      <c r="B924" s="32" t="str">
        <f>IMAGE("https://gymvisual.com/13373-catalog_default/cable-incline-triceps-extension-female.jpg",4,500,500)</f>
        <v/>
      </c>
      <c r="C924" s="30">
        <v>923.0</v>
      </c>
      <c r="D924" s="16" t="s">
        <v>1427</v>
      </c>
      <c r="E924" s="16" t="s">
        <v>184</v>
      </c>
      <c r="F924" s="16" t="s">
        <v>219</v>
      </c>
      <c r="G924" s="16" t="s">
        <v>215</v>
      </c>
      <c r="H924" s="16" t="s">
        <v>223</v>
      </c>
      <c r="I924" s="16" t="s">
        <v>220</v>
      </c>
    </row>
    <row r="925" ht="242.25" customHeight="1">
      <c r="A925" s="32" t="b">
        <v>0</v>
      </c>
      <c r="B925" s="32" t="str">
        <f>IMAGE("https://gymvisual.com/544-catalog_default/cable-judo-flip.jpg",4,500,500)</f>
        <v/>
      </c>
      <c r="C925" s="30">
        <v>924.0</v>
      </c>
      <c r="D925" s="16" t="s">
        <v>1428</v>
      </c>
      <c r="E925" s="16" t="s">
        <v>184</v>
      </c>
      <c r="F925" s="16" t="s">
        <v>254</v>
      </c>
      <c r="G925" s="16" t="s">
        <v>215</v>
      </c>
      <c r="H925" s="16" t="s">
        <v>257</v>
      </c>
      <c r="I925" s="16" t="s">
        <v>256</v>
      </c>
    </row>
    <row r="926" ht="242.25" customHeight="1">
      <c r="A926" s="32" t="b">
        <v>0</v>
      </c>
      <c r="B926" s="32" t="str">
        <f>IMAGE("https://gymvisual.com/13375-catalog_default/cable-judo-flip-female.jpg",4,500,500)</f>
        <v/>
      </c>
      <c r="C926" s="30">
        <v>925.0</v>
      </c>
      <c r="D926" s="16" t="s">
        <v>1429</v>
      </c>
      <c r="E926" s="16" t="s">
        <v>184</v>
      </c>
      <c r="F926" s="16" t="s">
        <v>254</v>
      </c>
      <c r="G926" s="16" t="s">
        <v>215</v>
      </c>
      <c r="H926" s="16" t="s">
        <v>220</v>
      </c>
      <c r="I926" s="16" t="s">
        <v>220</v>
      </c>
    </row>
    <row r="927" ht="242.25" customHeight="1">
      <c r="A927" s="32" t="b">
        <v>0</v>
      </c>
      <c r="B927" s="32" t="str">
        <f>IMAGE("https://gymvisual.com/17179-catalog_default/cable-kickback.jpg",4,500,500)</f>
        <v/>
      </c>
      <c r="C927" s="30">
        <v>926.0</v>
      </c>
      <c r="D927" s="16" t="s">
        <v>1430</v>
      </c>
      <c r="E927" s="16" t="s">
        <v>184</v>
      </c>
      <c r="F927" s="16" t="s">
        <v>219</v>
      </c>
      <c r="G927" s="16" t="s">
        <v>215</v>
      </c>
      <c r="H927" s="16" t="s">
        <v>223</v>
      </c>
      <c r="I927" s="16" t="s">
        <v>220</v>
      </c>
    </row>
    <row r="928" ht="242.25" customHeight="1">
      <c r="A928" s="32" t="b">
        <v>0</v>
      </c>
      <c r="B928" s="32" t="str">
        <f>IMAGE("https://gymvisual.com/11450-catalog_default/cable-kickback-female.jpg",4,500,500)</f>
        <v/>
      </c>
      <c r="C928" s="30">
        <v>927.0</v>
      </c>
      <c r="D928" s="16" t="s">
        <v>1431</v>
      </c>
      <c r="E928" s="16" t="s">
        <v>184</v>
      </c>
      <c r="F928" s="16" t="s">
        <v>219</v>
      </c>
      <c r="G928" s="16" t="s">
        <v>215</v>
      </c>
      <c r="H928" s="16" t="s">
        <v>220</v>
      </c>
      <c r="I928" s="16" t="s">
        <v>220</v>
      </c>
    </row>
    <row r="929" ht="242.25" customHeight="1">
      <c r="A929" s="32" t="b">
        <v>0</v>
      </c>
      <c r="B929" s="32" t="str">
        <f>IMAGE("https://gymvisual.com/21115-catalog_default/cable-kickback-male.jpg",4,500,500)</f>
        <v/>
      </c>
      <c r="C929" s="30">
        <v>928.0</v>
      </c>
      <c r="D929" s="16" t="s">
        <v>1432</v>
      </c>
      <c r="E929" s="16" t="s">
        <v>184</v>
      </c>
      <c r="F929" s="16" t="s">
        <v>185</v>
      </c>
      <c r="G929" s="16" t="s">
        <v>215</v>
      </c>
      <c r="H929" s="16" t="s">
        <v>220</v>
      </c>
      <c r="I929" s="16" t="s">
        <v>220</v>
      </c>
    </row>
    <row r="930" ht="242.25" customHeight="1">
      <c r="A930" s="32" t="b">
        <v>0</v>
      </c>
      <c r="B930" s="32" t="str">
        <f>IMAGE("https://gymvisual.com/4097-catalog_default/cable-kickback-version-2.jpg",4,500,500)</f>
        <v/>
      </c>
      <c r="C930" s="30">
        <v>929.0</v>
      </c>
      <c r="D930" s="16" t="s">
        <v>1433</v>
      </c>
      <c r="E930" s="16" t="s">
        <v>184</v>
      </c>
      <c r="F930" s="16" t="s">
        <v>219</v>
      </c>
      <c r="G930" s="16" t="s">
        <v>215</v>
      </c>
      <c r="H930" s="16" t="s">
        <v>223</v>
      </c>
      <c r="I930" s="16" t="s">
        <v>220</v>
      </c>
    </row>
    <row r="931" ht="242.25" customHeight="1">
      <c r="A931" s="32" t="b">
        <v>0</v>
      </c>
      <c r="B931" s="32" t="str">
        <f>IMAGE("https://gymvisual.com/25212-catalog_default/cable-kneeling-crunch.jpg",4,500,500)</f>
        <v/>
      </c>
      <c r="C931" s="30">
        <v>930.0</v>
      </c>
      <c r="D931" s="16" t="s">
        <v>1279</v>
      </c>
      <c r="E931" s="16" t="s">
        <v>184</v>
      </c>
      <c r="F931" s="16" t="s">
        <v>254</v>
      </c>
      <c r="G931" s="16" t="s">
        <v>215</v>
      </c>
      <c r="H931" s="16" t="s">
        <v>256</v>
      </c>
      <c r="I931" s="16" t="s">
        <v>257</v>
      </c>
    </row>
    <row r="932" ht="242.25" customHeight="1">
      <c r="A932" s="32" t="b">
        <v>0</v>
      </c>
      <c r="B932" s="32" t="str">
        <f>IMAGE("https://gymvisual.com/10258-catalog_default/cable-kneeling-crunch-female.jpg",4,500,500)</f>
        <v/>
      </c>
      <c r="C932" s="30">
        <v>931.0</v>
      </c>
      <c r="D932" s="16" t="s">
        <v>1434</v>
      </c>
      <c r="E932" s="16" t="s">
        <v>184</v>
      </c>
      <c r="F932" s="16" t="s">
        <v>254</v>
      </c>
      <c r="G932" s="16" t="s">
        <v>215</v>
      </c>
      <c r="H932" s="16" t="s">
        <v>256</v>
      </c>
      <c r="I932" s="16" t="s">
        <v>257</v>
      </c>
    </row>
    <row r="933" ht="242.25" customHeight="1">
      <c r="A933" s="32" t="b">
        <v>0</v>
      </c>
      <c r="B933" s="32" t="str">
        <f>IMAGE("https://gymvisual.com/25210-catalog_default/cable-kneeling-crunch-version-2.jpg",4,500,500)</f>
        <v/>
      </c>
      <c r="C933" s="30">
        <v>932.0</v>
      </c>
      <c r="D933" s="16" t="s">
        <v>1435</v>
      </c>
      <c r="E933" s="16" t="s">
        <v>184</v>
      </c>
      <c r="F933" s="16" t="s">
        <v>254</v>
      </c>
      <c r="G933" s="16" t="s">
        <v>215</v>
      </c>
      <c r="H933" s="16" t="s">
        <v>305</v>
      </c>
      <c r="I933" s="16" t="s">
        <v>257</v>
      </c>
    </row>
    <row r="934" ht="242.25" customHeight="1">
      <c r="A934" s="32" t="b">
        <v>0</v>
      </c>
      <c r="B934" s="32" t="str">
        <f>IMAGE("https://gymvisual.com/24338-catalog_default/cable-kneeling-leaning-forward-one-arm-row.jpg",4,500,500)</f>
        <v/>
      </c>
      <c r="C934" s="30">
        <v>933.0</v>
      </c>
      <c r="D934" s="16" t="s">
        <v>1436</v>
      </c>
      <c r="E934" s="16" t="s">
        <v>184</v>
      </c>
      <c r="F934" s="16" t="s">
        <v>192</v>
      </c>
      <c r="G934" s="16" t="s">
        <v>215</v>
      </c>
      <c r="H934" s="16" t="s">
        <v>220</v>
      </c>
      <c r="I934" s="16" t="s">
        <v>220</v>
      </c>
    </row>
    <row r="935" ht="242.25" customHeight="1">
      <c r="A935" s="32" t="b">
        <v>0</v>
      </c>
      <c r="B935" s="32" t="str">
        <f>IMAGE("https://gymvisual.com/20027-catalog_default/cable-kneeling-one-arm-lat-pulldown.jpg",4,500,500)</f>
        <v/>
      </c>
      <c r="C935" s="30">
        <v>934.0</v>
      </c>
      <c r="D935" s="16" t="s">
        <v>1437</v>
      </c>
      <c r="E935" s="16" t="s">
        <v>184</v>
      </c>
      <c r="F935" s="16" t="s">
        <v>192</v>
      </c>
      <c r="G935" s="16" t="s">
        <v>215</v>
      </c>
      <c r="H935" s="16" t="s">
        <v>300</v>
      </c>
      <c r="I935" s="16" t="s">
        <v>535</v>
      </c>
    </row>
    <row r="936" ht="242.25" customHeight="1">
      <c r="A936" s="32" t="b">
        <v>0</v>
      </c>
      <c r="B936" s="32" t="str">
        <f>IMAGE("https://gymvisual.com/23044-catalog_default/cable-kneeling-one-arm-row.jpg",4,500,500)</f>
        <v/>
      </c>
      <c r="C936" s="30">
        <v>935.0</v>
      </c>
      <c r="D936" s="16" t="s">
        <v>1438</v>
      </c>
      <c r="E936" s="16" t="s">
        <v>184</v>
      </c>
      <c r="F936" s="16" t="s">
        <v>192</v>
      </c>
      <c r="G936" s="16" t="s">
        <v>215</v>
      </c>
      <c r="H936" s="16" t="s">
        <v>220</v>
      </c>
      <c r="I936" s="16" t="s">
        <v>220</v>
      </c>
    </row>
    <row r="937" ht="242.25" customHeight="1">
      <c r="A937" s="32" t="b">
        <v>0</v>
      </c>
      <c r="B937" s="32" t="str">
        <f>IMAGE("https://gymvisual.com/20590-catalog_default/cable-kneeling-preacher-curl-male.jpg",4,500,500)</f>
        <v/>
      </c>
      <c r="C937" s="30">
        <v>936.0</v>
      </c>
      <c r="D937" s="16" t="s">
        <v>1439</v>
      </c>
      <c r="E937" s="16" t="s">
        <v>184</v>
      </c>
      <c r="F937" s="16" t="s">
        <v>219</v>
      </c>
      <c r="G937" s="16" t="s">
        <v>215</v>
      </c>
      <c r="H937" s="16" t="s">
        <v>241</v>
      </c>
      <c r="I937" s="16" t="s">
        <v>292</v>
      </c>
    </row>
    <row r="938" ht="242.25" customHeight="1">
      <c r="A938" s="32" t="b">
        <v>0</v>
      </c>
      <c r="B938" s="32" t="str">
        <f>IMAGE("https://gymvisual.com/13655-catalog_default/cable-kneeling-pull-through.jpg",4,500,500)</f>
        <v/>
      </c>
      <c r="C938" s="30">
        <v>937.0</v>
      </c>
      <c r="D938" s="16" t="s">
        <v>1440</v>
      </c>
      <c r="E938" s="16" t="s">
        <v>184</v>
      </c>
      <c r="F938" s="16" t="s">
        <v>185</v>
      </c>
      <c r="G938" s="16" t="s">
        <v>215</v>
      </c>
      <c r="H938" s="16" t="s">
        <v>187</v>
      </c>
      <c r="I938" s="16" t="s">
        <v>188</v>
      </c>
    </row>
    <row r="939" ht="242.25" customHeight="1">
      <c r="A939" s="32" t="b">
        <v>0</v>
      </c>
      <c r="B939" s="32" t="str">
        <f>IMAGE("https://gymvisual.com/14695-catalog_default/cable-kneeling-rear-delt-row-with-rope-male.jpg",4,500,500)</f>
        <v/>
      </c>
      <c r="C939" s="30">
        <v>938.0</v>
      </c>
      <c r="D939" s="16" t="s">
        <v>1441</v>
      </c>
      <c r="E939" s="16" t="s">
        <v>184</v>
      </c>
      <c r="F939" s="16" t="s">
        <v>228</v>
      </c>
      <c r="G939" s="16" t="s">
        <v>215</v>
      </c>
      <c r="H939" s="16" t="s">
        <v>408</v>
      </c>
      <c r="I939" s="16" t="s">
        <v>490</v>
      </c>
    </row>
    <row r="940" ht="242.25" customHeight="1">
      <c r="A940" s="32" t="b">
        <v>0</v>
      </c>
      <c r="B940" s="32" t="str">
        <f>IMAGE("https://gymvisual.com/25669-catalog_default/cable-kneeling-shoulder-90-degrees-external-rotation-press.jpg",4,500,500)</f>
        <v/>
      </c>
      <c r="C940" s="30">
        <v>939.0</v>
      </c>
      <c r="D940" s="16" t="s">
        <v>1442</v>
      </c>
      <c r="E940" s="16" t="s">
        <v>184</v>
      </c>
      <c r="F940" s="16" t="s">
        <v>192</v>
      </c>
      <c r="G940" s="16" t="s">
        <v>215</v>
      </c>
      <c r="H940" s="16" t="s">
        <v>220</v>
      </c>
      <c r="I940" s="16" t="s">
        <v>220</v>
      </c>
    </row>
    <row r="941" ht="242.25" customHeight="1">
      <c r="A941" s="32" t="b">
        <v>0</v>
      </c>
      <c r="B941" s="32" t="str">
        <f>IMAGE("https://gymvisual.com/17452-catalog_default/cable-kneeling-shoulder-press.jpg",4,500,500)</f>
        <v/>
      </c>
      <c r="C941" s="30">
        <v>940.0</v>
      </c>
      <c r="D941" s="16" t="s">
        <v>1443</v>
      </c>
      <c r="E941" s="16" t="s">
        <v>184</v>
      </c>
      <c r="F941" s="16" t="s">
        <v>228</v>
      </c>
      <c r="G941" s="16" t="s">
        <v>215</v>
      </c>
      <c r="H941" s="16" t="s">
        <v>243</v>
      </c>
      <c r="I941" s="16" t="s">
        <v>1444</v>
      </c>
    </row>
    <row r="942" ht="242.25" customHeight="1">
      <c r="A942" s="32" t="b">
        <v>0</v>
      </c>
      <c r="B942" s="32" t="str">
        <f>IMAGE("https://gymvisual.com/24768-catalog_default/cable-kneeling-single-lat-pulldown.jpg",4,500,500)</f>
        <v/>
      </c>
      <c r="C942" s="30">
        <v>941.0</v>
      </c>
      <c r="D942" s="16" t="s">
        <v>1445</v>
      </c>
      <c r="E942" s="16" t="s">
        <v>184</v>
      </c>
      <c r="F942" s="16" t="s">
        <v>192</v>
      </c>
      <c r="G942" s="16" t="s">
        <v>215</v>
      </c>
      <c r="H942" s="16" t="s">
        <v>220</v>
      </c>
      <c r="I942" s="16" t="s">
        <v>220</v>
      </c>
    </row>
    <row r="943" ht="242.25" customHeight="1">
      <c r="A943" s="32" t="b">
        <v>0</v>
      </c>
      <c r="B943" s="32" t="str">
        <f>IMAGE("https://gymvisual.com/550-catalog_default/cable-kneeling-triceps-extension.jpg",4,500,500)</f>
        <v/>
      </c>
      <c r="C943" s="30">
        <v>942.0</v>
      </c>
      <c r="D943" s="16" t="s">
        <v>1446</v>
      </c>
      <c r="E943" s="16" t="s">
        <v>184</v>
      </c>
      <c r="F943" s="16" t="s">
        <v>219</v>
      </c>
      <c r="G943" s="16" t="s">
        <v>215</v>
      </c>
      <c r="H943" s="16" t="s">
        <v>223</v>
      </c>
      <c r="I943" s="16" t="s">
        <v>220</v>
      </c>
    </row>
    <row r="944" ht="242.25" customHeight="1">
      <c r="A944" s="32" t="b">
        <v>0</v>
      </c>
      <c r="B944" s="32" t="str">
        <f>IMAGE("https://gymvisual.com/7711-catalog_default/cable-kneeling-triceps-extension-version-2.jpg",4,500,500)</f>
        <v/>
      </c>
      <c r="C944" s="30">
        <v>943.0</v>
      </c>
      <c r="D944" s="16" t="s">
        <v>1447</v>
      </c>
      <c r="E944" s="16" t="s">
        <v>184</v>
      </c>
      <c r="F944" s="16" t="s">
        <v>219</v>
      </c>
      <c r="G944" s="16" t="s">
        <v>215</v>
      </c>
      <c r="H944" s="16" t="s">
        <v>223</v>
      </c>
      <c r="I944" s="16" t="s">
        <v>220</v>
      </c>
    </row>
    <row r="945" ht="242.25" customHeight="1">
      <c r="A945" s="32" t="b">
        <v>0</v>
      </c>
      <c r="B945" s="32" t="str">
        <f>IMAGE("https://gymvisual.com/10037-catalog_default/cable-lat-pulldown-full-range-of-motion.jpg",4,500,500)</f>
        <v/>
      </c>
      <c r="C945" s="30">
        <v>944.0</v>
      </c>
      <c r="D945" s="16" t="s">
        <v>1448</v>
      </c>
      <c r="E945" s="16" t="s">
        <v>184</v>
      </c>
      <c r="F945" s="16" t="s">
        <v>192</v>
      </c>
      <c r="G945" s="16" t="s">
        <v>215</v>
      </c>
      <c r="H945" s="16" t="s">
        <v>300</v>
      </c>
      <c r="I945" s="16" t="s">
        <v>1449</v>
      </c>
    </row>
    <row r="946" ht="242.25" customHeight="1">
      <c r="A946" s="32" t="b">
        <v>0</v>
      </c>
      <c r="B946" s="32" t="str">
        <f>IMAGE("https://gymvisual.com/13653-catalog_default/cable-lateral-lunge.jpg",4,500,500)</f>
        <v/>
      </c>
      <c r="C946" s="30">
        <v>945.0</v>
      </c>
      <c r="D946" s="16" t="s">
        <v>1450</v>
      </c>
      <c r="E946" s="16" t="s">
        <v>184</v>
      </c>
      <c r="F946" s="16" t="s">
        <v>285</v>
      </c>
      <c r="G946" s="16" t="s">
        <v>215</v>
      </c>
      <c r="H946" s="16" t="s">
        <v>295</v>
      </c>
      <c r="I946" s="16" t="s">
        <v>220</v>
      </c>
    </row>
    <row r="947" ht="242.25" customHeight="1">
      <c r="A947" s="32" t="b">
        <v>0</v>
      </c>
      <c r="B947" s="32" t="str">
        <f>IMAGE("https://gymvisual.com/13660-catalog_default/cable-lateral-lunge-version-2.jpg",4,500,500)</f>
        <v/>
      </c>
      <c r="C947" s="30">
        <v>946.0</v>
      </c>
      <c r="D947" s="16" t="s">
        <v>1451</v>
      </c>
      <c r="E947" s="16" t="s">
        <v>184</v>
      </c>
      <c r="F947" s="16" t="s">
        <v>285</v>
      </c>
      <c r="G947" s="16" t="s">
        <v>215</v>
      </c>
      <c r="H947" s="16" t="s">
        <v>295</v>
      </c>
      <c r="I947" s="16" t="s">
        <v>220</v>
      </c>
    </row>
    <row r="948" ht="242.25" customHeight="1">
      <c r="A948" s="32" t="b">
        <v>0</v>
      </c>
      <c r="B948" s="32" t="str">
        <f>IMAGE("https://gymvisual.com/553-catalog_default/cable-lateral-pulldown-with-rope-attachment.jpg",4,500,500)</f>
        <v/>
      </c>
      <c r="C948" s="30">
        <v>947.0</v>
      </c>
      <c r="D948" s="16" t="s">
        <v>1452</v>
      </c>
      <c r="E948" s="16" t="s">
        <v>184</v>
      </c>
      <c r="F948" s="16" t="s">
        <v>192</v>
      </c>
      <c r="G948" s="16" t="s">
        <v>215</v>
      </c>
      <c r="H948" s="16" t="s">
        <v>300</v>
      </c>
      <c r="I948" s="16" t="s">
        <v>1357</v>
      </c>
    </row>
    <row r="949" ht="242.25" customHeight="1">
      <c r="A949" s="32" t="b">
        <v>0</v>
      </c>
      <c r="B949" s="32" t="str">
        <f>IMAGE("https://gymvisual.com/10798-catalog_default/cable-lateral-pulldown-with-v-bar.jpg",4,500,500)</f>
        <v/>
      </c>
      <c r="C949" s="30">
        <v>948.0</v>
      </c>
      <c r="D949" s="16" t="s">
        <v>1453</v>
      </c>
      <c r="E949" s="16" t="s">
        <v>184</v>
      </c>
      <c r="F949" s="16" t="s">
        <v>192</v>
      </c>
      <c r="G949" s="16" t="s">
        <v>215</v>
      </c>
      <c r="H949" s="16" t="s">
        <v>300</v>
      </c>
      <c r="I949" s="16" t="s">
        <v>1357</v>
      </c>
    </row>
    <row r="950" ht="242.25" customHeight="1">
      <c r="A950" s="32" t="b">
        <v>0</v>
      </c>
      <c r="B950" s="32" t="str">
        <f>IMAGE("https://gymvisual.com/556-catalog_default/cable-lateral-raise.jpg",4,500,500)</f>
        <v/>
      </c>
      <c r="C950" s="30">
        <v>949.0</v>
      </c>
      <c r="D950" s="16" t="s">
        <v>54</v>
      </c>
      <c r="E950" s="16" t="s">
        <v>184</v>
      </c>
      <c r="F950" s="16" t="s">
        <v>228</v>
      </c>
      <c r="G950" s="16" t="s">
        <v>215</v>
      </c>
      <c r="H950" s="16" t="s">
        <v>544</v>
      </c>
      <c r="I950" s="16" t="s">
        <v>545</v>
      </c>
    </row>
    <row r="951" ht="242.25" customHeight="1">
      <c r="A951" s="32" t="b">
        <v>0</v>
      </c>
      <c r="B951" s="32" t="str">
        <f>IMAGE("https://gymvisual.com/13377-catalog_default/cable-lateral-raise-female.jpg",4,500,500)</f>
        <v/>
      </c>
      <c r="C951" s="30">
        <v>950.0</v>
      </c>
      <c r="D951" s="16" t="s">
        <v>1454</v>
      </c>
      <c r="E951" s="16" t="s">
        <v>184</v>
      </c>
      <c r="F951" s="16" t="s">
        <v>228</v>
      </c>
      <c r="G951" s="16" t="s">
        <v>215</v>
      </c>
      <c r="H951" s="16" t="s">
        <v>544</v>
      </c>
      <c r="I951" s="16" t="s">
        <v>545</v>
      </c>
    </row>
    <row r="952" ht="242.25" customHeight="1">
      <c r="A952" s="32" t="b">
        <v>0</v>
      </c>
      <c r="B952" s="32" t="str">
        <f>IMAGE("https://gymvisual.com/17759-catalog_default/cable-leaning-lateral-raise.jpg",4,500,500)</f>
        <v/>
      </c>
      <c r="C952" s="30">
        <v>951.0</v>
      </c>
      <c r="D952" s="16" t="s">
        <v>1455</v>
      </c>
      <c r="E952" s="16" t="s">
        <v>184</v>
      </c>
      <c r="F952" s="16" t="s">
        <v>228</v>
      </c>
      <c r="G952" s="16" t="s">
        <v>215</v>
      </c>
      <c r="H952" s="16" t="s">
        <v>220</v>
      </c>
      <c r="I952" s="16" t="s">
        <v>220</v>
      </c>
    </row>
    <row r="953" ht="242.25" customHeight="1">
      <c r="A953" s="32" t="b">
        <v>0</v>
      </c>
      <c r="B953" s="32" t="str">
        <f>IMAGE("https://gymvisual.com/25655-catalog_default/cable-low-chest-press-male.jpg",4,500,500)</f>
        <v/>
      </c>
      <c r="C953" s="30">
        <v>952.0</v>
      </c>
      <c r="D953" s="16" t="s">
        <v>1456</v>
      </c>
      <c r="E953" s="16" t="s">
        <v>184</v>
      </c>
      <c r="F953" s="16" t="s">
        <v>234</v>
      </c>
      <c r="G953" s="16" t="s">
        <v>215</v>
      </c>
      <c r="H953" s="16" t="s">
        <v>220</v>
      </c>
      <c r="I953" s="16" t="s">
        <v>220</v>
      </c>
    </row>
    <row r="954" ht="242.25" customHeight="1">
      <c r="A954" s="32" t="b">
        <v>0</v>
      </c>
      <c r="B954" s="32" t="str">
        <f>IMAGE("https://gymvisual.com/19319-catalog_default/cable-low-fly.jpg",4,500,500)</f>
        <v/>
      </c>
      <c r="C954" s="30">
        <v>953.0</v>
      </c>
      <c r="D954" s="16" t="s">
        <v>1457</v>
      </c>
      <c r="E954" s="16" t="s">
        <v>184</v>
      </c>
      <c r="F954" s="16" t="s">
        <v>234</v>
      </c>
      <c r="G954" s="16" t="s">
        <v>215</v>
      </c>
      <c r="H954" s="16" t="s">
        <v>415</v>
      </c>
      <c r="I954" s="16" t="s">
        <v>236</v>
      </c>
    </row>
    <row r="955" ht="242.25" customHeight="1">
      <c r="A955" s="32" t="b">
        <v>0</v>
      </c>
      <c r="B955" s="32" t="str">
        <f>IMAGE("https://gymvisual.com/9670-catalog_default/cable-low-fly-female.jpg",4,500,500)</f>
        <v/>
      </c>
      <c r="C955" s="30">
        <v>954.0</v>
      </c>
      <c r="D955" s="16" t="s">
        <v>1458</v>
      </c>
      <c r="E955" s="16" t="s">
        <v>184</v>
      </c>
      <c r="F955" s="16" t="s">
        <v>234</v>
      </c>
      <c r="G955" s="16" t="s">
        <v>215</v>
      </c>
      <c r="H955" s="16" t="s">
        <v>347</v>
      </c>
      <c r="I955" s="16" t="s">
        <v>420</v>
      </c>
    </row>
    <row r="956" ht="242.25" customHeight="1">
      <c r="A956" s="32" t="b">
        <v>0</v>
      </c>
      <c r="B956" s="32" t="str">
        <f>IMAGE("https://gymvisual.com/19451-catalog_default/cable-low-row-with-rope-attachment.jpg",4,500,500)</f>
        <v/>
      </c>
      <c r="C956" s="30">
        <v>955.0</v>
      </c>
      <c r="D956" s="16" t="s">
        <v>1459</v>
      </c>
      <c r="E956" s="16" t="s">
        <v>184</v>
      </c>
      <c r="F956" s="16" t="s">
        <v>192</v>
      </c>
      <c r="G956" s="16" t="s">
        <v>215</v>
      </c>
      <c r="H956" s="16" t="s">
        <v>220</v>
      </c>
      <c r="I956" s="16" t="s">
        <v>220</v>
      </c>
    </row>
    <row r="957" ht="242.25" customHeight="1">
      <c r="A957" s="32" t="b">
        <v>0</v>
      </c>
      <c r="B957" s="32" t="str">
        <f>IMAGE("https://gymvisual.com/562-catalog_default/cable-low-seated-row.jpg",4,500,500)</f>
        <v/>
      </c>
      <c r="C957" s="30">
        <v>956.0</v>
      </c>
      <c r="D957" s="16" t="s">
        <v>1460</v>
      </c>
      <c r="E957" s="16" t="s">
        <v>184</v>
      </c>
      <c r="F957" s="16" t="s">
        <v>192</v>
      </c>
      <c r="G957" s="16" t="s">
        <v>215</v>
      </c>
      <c r="H957" s="16" t="s">
        <v>329</v>
      </c>
      <c r="I957" s="16" t="s">
        <v>457</v>
      </c>
    </row>
    <row r="958" ht="242.25" customHeight="1">
      <c r="A958" s="32" t="b">
        <v>0</v>
      </c>
      <c r="B958" s="32" t="str">
        <f>IMAGE("https://gymvisual.com/26458-catalog_default/cable-low-seated-row-female.jpg",4,500,500)</f>
        <v/>
      </c>
      <c r="C958" s="30">
        <v>957.0</v>
      </c>
      <c r="D958" s="16" t="s">
        <v>1461</v>
      </c>
      <c r="E958" s="16" t="s">
        <v>184</v>
      </c>
      <c r="F958" s="16" t="s">
        <v>192</v>
      </c>
      <c r="G958" s="16" t="s">
        <v>215</v>
      </c>
      <c r="H958" s="16" t="s">
        <v>329</v>
      </c>
      <c r="I958" s="16" t="s">
        <v>447</v>
      </c>
    </row>
    <row r="959" ht="242.25" customHeight="1">
      <c r="A959" s="32" t="b">
        <v>0</v>
      </c>
      <c r="B959" s="32" t="str">
        <f>IMAGE("https://gymvisual.com/13654-catalog_default/cable-lunge.jpg",4,500,500)</f>
        <v/>
      </c>
      <c r="C959" s="30">
        <v>958.0</v>
      </c>
      <c r="D959" s="16" t="s">
        <v>1462</v>
      </c>
      <c r="E959" s="16" t="s">
        <v>184</v>
      </c>
      <c r="F959" s="16" t="s">
        <v>285</v>
      </c>
      <c r="G959" s="16" t="s">
        <v>215</v>
      </c>
      <c r="H959" s="16" t="s">
        <v>189</v>
      </c>
      <c r="I959" s="16" t="s">
        <v>220</v>
      </c>
    </row>
    <row r="960" ht="242.25" customHeight="1">
      <c r="A960" s="32" t="b">
        <v>0</v>
      </c>
      <c r="B960" s="32" t="str">
        <f>IMAGE("https://gymvisual.com/20467-catalog_default/cable-lying-bicep-curl.jpg",4,500,500)</f>
        <v/>
      </c>
      <c r="C960" s="30">
        <v>959.0</v>
      </c>
      <c r="D960" s="16" t="s">
        <v>1463</v>
      </c>
      <c r="E960" s="16" t="s">
        <v>184</v>
      </c>
      <c r="F960" s="16" t="s">
        <v>219</v>
      </c>
      <c r="G960" s="16" t="s">
        <v>215</v>
      </c>
      <c r="H960" s="16" t="s">
        <v>241</v>
      </c>
      <c r="I960" s="16" t="s">
        <v>292</v>
      </c>
    </row>
    <row r="961" ht="242.25" customHeight="1">
      <c r="A961" s="32" t="b">
        <v>0</v>
      </c>
      <c r="B961" s="32" t="str">
        <f>IMAGE("https://gymvisual.com/13379-catalog_default/cable-lying-bicep-curl-female.jpg",4,500,500)</f>
        <v/>
      </c>
      <c r="C961" s="30">
        <v>960.0</v>
      </c>
      <c r="D961" s="16" t="s">
        <v>1464</v>
      </c>
      <c r="E961" s="16" t="s">
        <v>184</v>
      </c>
      <c r="F961" s="16" t="s">
        <v>219</v>
      </c>
      <c r="G961" s="16" t="s">
        <v>215</v>
      </c>
      <c r="H961" s="16" t="s">
        <v>220</v>
      </c>
      <c r="I961" s="16" t="s">
        <v>220</v>
      </c>
    </row>
    <row r="962" ht="242.25" customHeight="1">
      <c r="A962" s="32" t="b">
        <v>0</v>
      </c>
      <c r="B962" s="32" t="str">
        <f>IMAGE("https://gymvisual.com/10374-catalog_default/cable-lying-biceps-curl-version-2.jpg",4,500,500)</f>
        <v/>
      </c>
      <c r="C962" s="30">
        <v>961.0</v>
      </c>
      <c r="D962" s="16" t="s">
        <v>1465</v>
      </c>
      <c r="E962" s="16" t="s">
        <v>184</v>
      </c>
      <c r="F962" s="16" t="s">
        <v>219</v>
      </c>
      <c r="G962" s="16" t="s">
        <v>215</v>
      </c>
      <c r="H962" s="16" t="s">
        <v>241</v>
      </c>
      <c r="I962" s="16" t="s">
        <v>292</v>
      </c>
    </row>
    <row r="963" ht="242.25" customHeight="1">
      <c r="A963" s="32" t="b">
        <v>0</v>
      </c>
      <c r="B963" s="32" t="str">
        <f>IMAGE("https://gymvisual.com/13680-catalog_default/cable-lying-close-press.jpg",4,500,500)</f>
        <v/>
      </c>
      <c r="C963" s="30">
        <v>962.0</v>
      </c>
      <c r="D963" s="16" t="s">
        <v>1466</v>
      </c>
      <c r="E963" s="16" t="s">
        <v>184</v>
      </c>
      <c r="F963" s="16" t="s">
        <v>219</v>
      </c>
      <c r="G963" s="16" t="s">
        <v>215</v>
      </c>
      <c r="H963" s="16" t="s">
        <v>223</v>
      </c>
      <c r="I963" s="16" t="s">
        <v>472</v>
      </c>
    </row>
    <row r="964" ht="242.25" customHeight="1">
      <c r="A964" s="32" t="b">
        <v>0</v>
      </c>
      <c r="B964" s="32" t="str">
        <f>IMAGE("https://gymvisual.com/19321-catalog_default/cable-lying-close-grip-curl.jpg",4,500,500)</f>
        <v/>
      </c>
      <c r="C964" s="30">
        <v>963.0</v>
      </c>
      <c r="D964" s="16" t="s">
        <v>1467</v>
      </c>
      <c r="E964" s="16" t="s">
        <v>184</v>
      </c>
      <c r="F964" s="16" t="s">
        <v>219</v>
      </c>
      <c r="G964" s="16" t="s">
        <v>215</v>
      </c>
      <c r="H964" s="16" t="s">
        <v>241</v>
      </c>
      <c r="I964" s="16" t="s">
        <v>292</v>
      </c>
    </row>
    <row r="965" ht="242.25" customHeight="1">
      <c r="A965" s="32" t="b">
        <v>0</v>
      </c>
      <c r="B965" s="32" t="str">
        <f>IMAGE("https://gymvisual.com/568-catalog_default/cable-lying-close-grip-curl.jpg",4,500,500)</f>
        <v/>
      </c>
      <c r="C965" s="30">
        <v>964.0</v>
      </c>
      <c r="D965" s="16" t="s">
        <v>1467</v>
      </c>
      <c r="E965" s="16" t="s">
        <v>184</v>
      </c>
      <c r="F965" s="16" t="s">
        <v>219</v>
      </c>
      <c r="G965" s="16" t="s">
        <v>215</v>
      </c>
      <c r="H965" s="16" t="s">
        <v>241</v>
      </c>
      <c r="I965" s="16" t="s">
        <v>292</v>
      </c>
    </row>
    <row r="966" ht="242.25" customHeight="1">
      <c r="A966" s="32" t="b">
        <v>0</v>
      </c>
      <c r="B966" s="32" t="str">
        <f>IMAGE("https://gymvisual.com/17458-catalog_default/cable-lying-cross-lateral-raise.jpg",4,500,500)</f>
        <v/>
      </c>
      <c r="C966" s="30">
        <v>965.0</v>
      </c>
      <c r="D966" s="16" t="s">
        <v>1468</v>
      </c>
      <c r="E966" s="16" t="s">
        <v>184</v>
      </c>
      <c r="F966" s="16" t="s">
        <v>228</v>
      </c>
      <c r="G966" s="16" t="s">
        <v>215</v>
      </c>
      <c r="H966" s="16" t="s">
        <v>544</v>
      </c>
      <c r="I966" s="16" t="s">
        <v>545</v>
      </c>
    </row>
    <row r="967" ht="242.25" customHeight="1">
      <c r="A967" s="32" t="b">
        <v>0</v>
      </c>
      <c r="B967" s="32" t="str">
        <f>IMAGE("https://gymvisual.com/571-catalog_default/cable-lying-curl.jpg",4,500,500)</f>
        <v/>
      </c>
      <c r="C967" s="30">
        <v>966.0</v>
      </c>
      <c r="D967" s="16" t="s">
        <v>1469</v>
      </c>
      <c r="E967" s="16" t="s">
        <v>184</v>
      </c>
      <c r="F967" s="16" t="s">
        <v>219</v>
      </c>
      <c r="G967" s="16" t="s">
        <v>215</v>
      </c>
      <c r="H967" s="16" t="s">
        <v>241</v>
      </c>
      <c r="I967" s="16" t="s">
        <v>292</v>
      </c>
    </row>
    <row r="968" ht="242.25" customHeight="1">
      <c r="A968" s="32" t="b">
        <v>0</v>
      </c>
      <c r="B968" s="32" t="str">
        <f>IMAGE("https://gymvisual.com/6002-catalog_default/cable-lying-extension-pullover-with-rope-attachment.jpg",4,500,500)</f>
        <v/>
      </c>
      <c r="C968" s="30">
        <v>967.0</v>
      </c>
      <c r="D968" s="16" t="s">
        <v>1470</v>
      </c>
      <c r="E968" s="16" t="s">
        <v>184</v>
      </c>
      <c r="F968" s="16" t="s">
        <v>192</v>
      </c>
      <c r="G968" s="16" t="s">
        <v>215</v>
      </c>
      <c r="H968" s="16" t="s">
        <v>300</v>
      </c>
      <c r="I968" s="16" t="s">
        <v>781</v>
      </c>
    </row>
    <row r="969" ht="242.25" customHeight="1">
      <c r="A969" s="32" t="b">
        <v>0</v>
      </c>
      <c r="B969" s="32" t="str">
        <f>IMAGE("https://gymvisual.com/13381-catalog_default/cable-lying-extension-pullover-with-rope-attachment-female.jpg",4,500,500)</f>
        <v/>
      </c>
      <c r="C969" s="30">
        <v>968.0</v>
      </c>
      <c r="D969" s="16" t="s">
        <v>1471</v>
      </c>
      <c r="E969" s="16" t="s">
        <v>184</v>
      </c>
      <c r="F969" s="16" t="s">
        <v>192</v>
      </c>
      <c r="G969" s="16" t="s">
        <v>215</v>
      </c>
      <c r="H969" s="16" t="s">
        <v>220</v>
      </c>
      <c r="I969" s="16" t="s">
        <v>220</v>
      </c>
    </row>
    <row r="970" ht="242.25" customHeight="1">
      <c r="A970" s="32" t="b">
        <v>0</v>
      </c>
      <c r="B970" s="32" t="str">
        <f>IMAGE("https://gymvisual.com/577-catalog_default/cable-lying-fly.jpg",4,500,500)</f>
        <v/>
      </c>
      <c r="C970" s="30">
        <v>969.0</v>
      </c>
      <c r="D970" s="16" t="s">
        <v>1472</v>
      </c>
      <c r="E970" s="16" t="s">
        <v>184</v>
      </c>
      <c r="F970" s="16" t="s">
        <v>234</v>
      </c>
      <c r="G970" s="16" t="s">
        <v>215</v>
      </c>
      <c r="H970" s="16" t="s">
        <v>235</v>
      </c>
      <c r="I970" s="16" t="s">
        <v>236</v>
      </c>
    </row>
    <row r="971" ht="242.25" customHeight="1">
      <c r="A971" s="32" t="b">
        <v>0</v>
      </c>
      <c r="B971" s="32" t="str">
        <f>IMAGE("https://gymvisual.com/10519-catalog_default/cable-lying-fly-female.jpg",4,500,500)</f>
        <v/>
      </c>
      <c r="C971" s="30">
        <v>970.0</v>
      </c>
      <c r="D971" s="16" t="s">
        <v>1473</v>
      </c>
      <c r="E971" s="16" t="s">
        <v>184</v>
      </c>
      <c r="F971" s="16" t="s">
        <v>234</v>
      </c>
      <c r="G971" s="16" t="s">
        <v>215</v>
      </c>
      <c r="H971" s="16" t="s">
        <v>235</v>
      </c>
      <c r="I971" s="16" t="s">
        <v>236</v>
      </c>
    </row>
    <row r="972" ht="242.25" customHeight="1">
      <c r="A972" s="32" t="b">
        <v>0</v>
      </c>
      <c r="B972" s="32" t="str">
        <f>IMAGE("https://gymvisual.com/18087-catalog_default/cable-lying-front-raise.jpg",4,500,500)</f>
        <v/>
      </c>
      <c r="C972" s="30">
        <v>971.0</v>
      </c>
      <c r="D972" s="16" t="s">
        <v>1474</v>
      </c>
      <c r="E972" s="16" t="s">
        <v>184</v>
      </c>
      <c r="F972" s="16" t="s">
        <v>228</v>
      </c>
      <c r="G972" s="16" t="s">
        <v>215</v>
      </c>
      <c r="H972" s="16" t="s">
        <v>220</v>
      </c>
      <c r="I972" s="16" t="s">
        <v>220</v>
      </c>
    </row>
    <row r="973" ht="242.25" customHeight="1">
      <c r="A973" s="32" t="b">
        <v>0</v>
      </c>
      <c r="B973" s="32" t="str">
        <f>IMAGE("https://gymvisual.com/18081-catalog_default/cable-lying-pallof-press.jpg",4,500,500)</f>
        <v/>
      </c>
      <c r="C973" s="30">
        <v>972.0</v>
      </c>
      <c r="D973" s="16" t="s">
        <v>1475</v>
      </c>
      <c r="E973" s="16" t="s">
        <v>184</v>
      </c>
      <c r="F973" s="16" t="s">
        <v>254</v>
      </c>
      <c r="G973" s="16" t="s">
        <v>215</v>
      </c>
      <c r="H973" s="16" t="s">
        <v>220</v>
      </c>
      <c r="I973" s="16" t="s">
        <v>220</v>
      </c>
    </row>
    <row r="974" ht="242.25" customHeight="1">
      <c r="A974" s="32" t="b">
        <v>0</v>
      </c>
      <c r="B974" s="32" t="str">
        <f>IMAGE("https://gymvisual.com/18772-catalog_default/cable-lying-regular-grip-curl-female.jpg",4,500,500)</f>
        <v/>
      </c>
      <c r="C974" s="30">
        <v>973.0</v>
      </c>
      <c r="D974" s="16" t="s">
        <v>1476</v>
      </c>
      <c r="E974" s="16" t="s">
        <v>184</v>
      </c>
      <c r="F974" s="16" t="s">
        <v>219</v>
      </c>
      <c r="G974" s="16" t="s">
        <v>215</v>
      </c>
      <c r="H974" s="16" t="s">
        <v>220</v>
      </c>
      <c r="I974" s="16" t="s">
        <v>220</v>
      </c>
    </row>
    <row r="975" ht="242.25" customHeight="1">
      <c r="A975" s="32" t="b">
        <v>0</v>
      </c>
      <c r="B975" s="32" t="str">
        <f>IMAGE("https://gymvisual.com/18085-catalog_default/cable-lying-shrug.jpg",4,500,500)</f>
        <v/>
      </c>
      <c r="C975" s="30">
        <v>974.0</v>
      </c>
      <c r="D975" s="16" t="s">
        <v>1477</v>
      </c>
      <c r="E975" s="16" t="s">
        <v>184</v>
      </c>
      <c r="F975" s="16" t="s">
        <v>192</v>
      </c>
      <c r="G975" s="16" t="s">
        <v>215</v>
      </c>
      <c r="H975" s="16" t="s">
        <v>220</v>
      </c>
      <c r="I975" s="16" t="s">
        <v>220</v>
      </c>
    </row>
    <row r="976" ht="242.25" customHeight="1">
      <c r="A976" s="32" t="b">
        <v>0</v>
      </c>
      <c r="B976" s="32" t="str">
        <f>IMAGE("https://gymvisual.com/20463-catalog_default/cable-lying-triceps-extension.jpg",4,500,500)</f>
        <v/>
      </c>
      <c r="C976" s="30">
        <v>975.0</v>
      </c>
      <c r="D976" s="16" t="s">
        <v>1478</v>
      </c>
      <c r="E976" s="16" t="s">
        <v>184</v>
      </c>
      <c r="F976" s="16" t="s">
        <v>219</v>
      </c>
      <c r="G976" s="16" t="s">
        <v>215</v>
      </c>
      <c r="H976" s="16" t="s">
        <v>223</v>
      </c>
      <c r="I976" s="16" t="s">
        <v>220</v>
      </c>
    </row>
    <row r="977" ht="242.25" customHeight="1">
      <c r="A977" s="32" t="b">
        <v>0</v>
      </c>
      <c r="B977" s="32" t="str">
        <f>IMAGE("https://gymvisual.com/20481-catalog_default/cable-lying-triceps-extension-low.jpg",4,500,500)</f>
        <v/>
      </c>
      <c r="C977" s="30">
        <v>976.0</v>
      </c>
      <c r="D977" s="16" t="s">
        <v>1479</v>
      </c>
      <c r="E977" s="16" t="s">
        <v>184</v>
      </c>
      <c r="F977" s="16" t="s">
        <v>219</v>
      </c>
      <c r="G977" s="16" t="s">
        <v>215</v>
      </c>
      <c r="H977" s="16" t="s">
        <v>223</v>
      </c>
      <c r="I977" s="16" t="s">
        <v>220</v>
      </c>
    </row>
    <row r="978" ht="242.25" customHeight="1">
      <c r="A978" s="32" t="b">
        <v>0</v>
      </c>
      <c r="B978" s="32" t="str">
        <f>IMAGE("https://gymvisual.com/20537-catalog_default/cable-lying-triceps-extension-low-female.jpg",4,500,500)</f>
        <v/>
      </c>
      <c r="C978" s="30">
        <v>977.0</v>
      </c>
      <c r="D978" s="16" t="s">
        <v>1480</v>
      </c>
      <c r="E978" s="16" t="s">
        <v>184</v>
      </c>
      <c r="F978" s="16" t="s">
        <v>219</v>
      </c>
      <c r="G978" s="16" t="s">
        <v>215</v>
      </c>
      <c r="H978" s="16" t="s">
        <v>223</v>
      </c>
      <c r="I978" s="16" t="s">
        <v>220</v>
      </c>
    </row>
    <row r="979" ht="242.25" customHeight="1">
      <c r="A979" s="32" t="b">
        <v>0</v>
      </c>
      <c r="B979" s="32" t="str">
        <f>IMAGE("https://gymvisual.com/580-catalog_default/cable-lying-triceps-extension-version-2.jpg",4,500,500)</f>
        <v/>
      </c>
      <c r="C979" s="30">
        <v>978.0</v>
      </c>
      <c r="D979" s="16" t="s">
        <v>1481</v>
      </c>
      <c r="E979" s="16" t="s">
        <v>184</v>
      </c>
      <c r="F979" s="16" t="s">
        <v>219</v>
      </c>
      <c r="G979" s="16" t="s">
        <v>215</v>
      </c>
      <c r="H979" s="16" t="s">
        <v>223</v>
      </c>
      <c r="I979" s="16" t="s">
        <v>220</v>
      </c>
    </row>
    <row r="980" ht="242.25" customHeight="1">
      <c r="A980" s="32" t="b">
        <v>0</v>
      </c>
      <c r="B980" s="32" t="str">
        <f>IMAGE("https://gymvisual.com/18871-catalog_default/cable-lying-triceps-extension-with-rope.jpg",4,500,500)</f>
        <v/>
      </c>
      <c r="C980" s="30">
        <v>979.0</v>
      </c>
      <c r="D980" s="16" t="s">
        <v>1482</v>
      </c>
      <c r="E980" s="16" t="s">
        <v>184</v>
      </c>
      <c r="F980" s="16" t="s">
        <v>219</v>
      </c>
      <c r="G980" s="16" t="s">
        <v>215</v>
      </c>
      <c r="H980" s="16" t="s">
        <v>223</v>
      </c>
      <c r="I980" s="16" t="s">
        <v>220</v>
      </c>
    </row>
    <row r="981" ht="242.25" customHeight="1">
      <c r="A981" s="32" t="b">
        <v>0</v>
      </c>
      <c r="B981" s="32" t="str">
        <f>IMAGE("https://gymvisual.com/18083-catalog_default/cable-lying-upright-row.jpg",4,500,500)</f>
        <v/>
      </c>
      <c r="C981" s="30">
        <v>980.0</v>
      </c>
      <c r="D981" s="16" t="s">
        <v>1483</v>
      </c>
      <c r="E981" s="16" t="s">
        <v>184</v>
      </c>
      <c r="F981" s="16" t="s">
        <v>228</v>
      </c>
      <c r="G981" s="16" t="s">
        <v>215</v>
      </c>
      <c r="H981" s="16" t="s">
        <v>220</v>
      </c>
      <c r="I981" s="16" t="s">
        <v>220</v>
      </c>
    </row>
    <row r="982" ht="242.25" customHeight="1">
      <c r="A982" s="32" t="b">
        <v>0</v>
      </c>
      <c r="B982" s="32" t="str">
        <f>IMAGE("https://gymvisual.com/23849-catalog_default/cable-medius-kickback.jpg",4,500,500)</f>
        <v/>
      </c>
      <c r="C982" s="30">
        <v>981.0</v>
      </c>
      <c r="D982" s="16" t="s">
        <v>1484</v>
      </c>
      <c r="E982" s="16" t="s">
        <v>184</v>
      </c>
      <c r="F982" s="16" t="s">
        <v>185</v>
      </c>
      <c r="G982" s="16" t="s">
        <v>215</v>
      </c>
      <c r="H982" s="16" t="s">
        <v>220</v>
      </c>
      <c r="I982" s="16" t="s">
        <v>220</v>
      </c>
    </row>
    <row r="983" ht="242.25" customHeight="1">
      <c r="A983" s="32" t="b">
        <v>0</v>
      </c>
      <c r="B983" s="32" t="str">
        <f>IMAGE("https://gymvisual.com/19323-catalog_default/cable-middle-fly.jpg",4,500,500)</f>
        <v/>
      </c>
      <c r="C983" s="30">
        <v>982.0</v>
      </c>
      <c r="D983" s="16" t="s">
        <v>1485</v>
      </c>
      <c r="E983" s="16" t="s">
        <v>184</v>
      </c>
      <c r="F983" s="16" t="s">
        <v>234</v>
      </c>
      <c r="G983" s="16" t="s">
        <v>215</v>
      </c>
      <c r="H983" s="16" t="s">
        <v>347</v>
      </c>
      <c r="I983" s="16" t="s">
        <v>568</v>
      </c>
    </row>
    <row r="984" ht="242.25" customHeight="1">
      <c r="A984" s="32" t="b">
        <v>0</v>
      </c>
      <c r="B984" s="32" t="str">
        <f>IMAGE("https://gymvisual.com/10942-catalog_default/cable-middle-fly-female.jpg",4,500,500)</f>
        <v/>
      </c>
      <c r="C984" s="30">
        <v>983.0</v>
      </c>
      <c r="D984" s="16" t="s">
        <v>1486</v>
      </c>
      <c r="E984" s="16" t="s">
        <v>184</v>
      </c>
      <c r="F984" s="16" t="s">
        <v>234</v>
      </c>
      <c r="G984" s="16" t="s">
        <v>215</v>
      </c>
      <c r="H984" s="16" t="s">
        <v>220</v>
      </c>
      <c r="I984" s="16" t="s">
        <v>220</v>
      </c>
    </row>
    <row r="985" ht="242.25" customHeight="1">
      <c r="A985" s="32" t="b">
        <v>0</v>
      </c>
      <c r="B985" s="32" t="str">
        <f>IMAGE("https://gymvisual.com/11996-catalog_default/cable-narrow-chair-stand-up.jpg",4,500,500)</f>
        <v/>
      </c>
      <c r="C985" s="30">
        <v>984.0</v>
      </c>
      <c r="D985" s="16" t="s">
        <v>1487</v>
      </c>
      <c r="E985" s="16" t="s">
        <v>184</v>
      </c>
      <c r="F985" s="16" t="s">
        <v>185</v>
      </c>
      <c r="G985" s="16" t="s">
        <v>215</v>
      </c>
      <c r="H985" s="16" t="s">
        <v>189</v>
      </c>
      <c r="I985" s="16" t="s">
        <v>190</v>
      </c>
    </row>
    <row r="986" ht="242.25" customHeight="1">
      <c r="A986" s="32" t="b">
        <v>0</v>
      </c>
      <c r="B986" s="32" t="str">
        <f>IMAGE("https://gymvisual.com/22163-catalog_default/cable-neutral-grip-kickback.jpg",4,500,500)</f>
        <v/>
      </c>
      <c r="C986" s="30">
        <v>985.0</v>
      </c>
      <c r="D986" s="16" t="s">
        <v>1488</v>
      </c>
      <c r="E986" s="16" t="s">
        <v>184</v>
      </c>
      <c r="F986" s="16" t="s">
        <v>219</v>
      </c>
      <c r="G986" s="16" t="s">
        <v>215</v>
      </c>
      <c r="H986" s="16" t="s">
        <v>223</v>
      </c>
      <c r="I986" s="16" t="s">
        <v>220</v>
      </c>
    </row>
    <row r="987" ht="242.25" customHeight="1">
      <c r="A987" s="32" t="b">
        <v>0</v>
      </c>
      <c r="B987" s="32" t="str">
        <f>IMAGE("https://gymvisual.com/13656-catalog_default/cable-one-arm-bent-over-row.jpg",4,500,500)</f>
        <v/>
      </c>
      <c r="C987" s="30">
        <v>986.0</v>
      </c>
      <c r="D987" s="16" t="s">
        <v>1489</v>
      </c>
      <c r="E987" s="16" t="s">
        <v>184</v>
      </c>
      <c r="F987" s="16" t="s">
        <v>192</v>
      </c>
      <c r="G987" s="16" t="s">
        <v>215</v>
      </c>
      <c r="H987" s="16" t="s">
        <v>329</v>
      </c>
      <c r="I987" s="16" t="s">
        <v>457</v>
      </c>
    </row>
    <row r="988" ht="242.25" customHeight="1">
      <c r="A988" s="32" t="b">
        <v>0</v>
      </c>
      <c r="B988" s="32" t="str">
        <f>IMAGE("https://gymvisual.com/10781-catalog_default/cable-one-arm-biceps-curl-version-2.jpg",4,500,500)</f>
        <v/>
      </c>
      <c r="C988" s="30">
        <v>987.0</v>
      </c>
      <c r="D988" s="16" t="s">
        <v>1490</v>
      </c>
      <c r="E988" s="16" t="s">
        <v>184</v>
      </c>
      <c r="F988" s="16" t="s">
        <v>219</v>
      </c>
      <c r="G988" s="16" t="s">
        <v>215</v>
      </c>
      <c r="H988" s="16" t="s">
        <v>241</v>
      </c>
      <c r="I988" s="16" t="s">
        <v>292</v>
      </c>
    </row>
    <row r="989" ht="242.25" customHeight="1">
      <c r="A989" s="32" t="b">
        <v>0</v>
      </c>
      <c r="B989" s="32" t="str">
        <f>IMAGE("https://gymvisual.com/10784-catalog_default/cable-one-arm-biceps-curl-version-2-female.jpg",4,500,500)</f>
        <v/>
      </c>
      <c r="C989" s="30">
        <v>988.0</v>
      </c>
      <c r="D989" s="16" t="s">
        <v>1491</v>
      </c>
      <c r="E989" s="16" t="s">
        <v>184</v>
      </c>
      <c r="F989" s="16" t="s">
        <v>219</v>
      </c>
      <c r="G989" s="16" t="s">
        <v>215</v>
      </c>
      <c r="H989" s="16" t="s">
        <v>241</v>
      </c>
      <c r="I989" s="16" t="s">
        <v>292</v>
      </c>
    </row>
    <row r="990" ht="242.25" customHeight="1">
      <c r="A990" s="32" t="b">
        <v>0</v>
      </c>
      <c r="B990" s="32" t="str">
        <f>IMAGE("https://gymvisual.com/592-catalog_default/cable-one-arm-curl.jpg",4,500,500)</f>
        <v/>
      </c>
      <c r="C990" s="30">
        <v>989.0</v>
      </c>
      <c r="D990" s="16" t="s">
        <v>1492</v>
      </c>
      <c r="E990" s="16" t="s">
        <v>184</v>
      </c>
      <c r="F990" s="16" t="s">
        <v>219</v>
      </c>
      <c r="G990" s="16" t="s">
        <v>215</v>
      </c>
      <c r="H990" s="16" t="s">
        <v>241</v>
      </c>
      <c r="I990" s="16" t="s">
        <v>292</v>
      </c>
    </row>
    <row r="991" ht="242.25" customHeight="1">
      <c r="A991" s="32" t="b">
        <v>0</v>
      </c>
      <c r="B991" s="32" t="str">
        <f>IMAGE("https://gymvisual.com/11297-catalog_default/cable-one-arm-curl-female.jpg",4,500,500)</f>
        <v/>
      </c>
      <c r="C991" s="30">
        <v>990.0</v>
      </c>
      <c r="D991" s="16" t="s">
        <v>1493</v>
      </c>
      <c r="E991" s="16" t="s">
        <v>184</v>
      </c>
      <c r="F991" s="16" t="s">
        <v>219</v>
      </c>
      <c r="G991" s="16" t="s">
        <v>215</v>
      </c>
      <c r="H991" s="16" t="s">
        <v>241</v>
      </c>
      <c r="I991" s="16" t="s">
        <v>292</v>
      </c>
    </row>
    <row r="992" ht="242.25" customHeight="1">
      <c r="A992" s="32" t="b">
        <v>0</v>
      </c>
      <c r="B992" s="32" t="str">
        <f>IMAGE("https://gymvisual.com/5951-catalog_default/cable-one-arm-decline-chest-fly.jpg",4,500,500)</f>
        <v/>
      </c>
      <c r="C992" s="30">
        <v>991.0</v>
      </c>
      <c r="D992" s="16" t="s">
        <v>823</v>
      </c>
      <c r="E992" s="16" t="s">
        <v>184</v>
      </c>
      <c r="F992" s="16" t="s">
        <v>234</v>
      </c>
      <c r="G992" s="16" t="s">
        <v>215</v>
      </c>
      <c r="H992" s="16" t="s">
        <v>347</v>
      </c>
      <c r="I992" s="16" t="s">
        <v>420</v>
      </c>
    </row>
    <row r="993" ht="242.25" customHeight="1">
      <c r="A993" s="32" t="b">
        <v>0</v>
      </c>
      <c r="B993" s="32" t="str">
        <f>IMAGE("https://gymvisual.com/5952-catalog_default/cable-one-arm-fly-on-exercise-ball.jpg",4,500,500)</f>
        <v/>
      </c>
      <c r="C993" s="30">
        <v>992.0</v>
      </c>
      <c r="D993" s="16" t="s">
        <v>823</v>
      </c>
      <c r="E993" s="16" t="s">
        <v>184</v>
      </c>
      <c r="F993" s="16" t="s">
        <v>234</v>
      </c>
      <c r="G993" s="16" t="s">
        <v>215</v>
      </c>
      <c r="H993" s="16" t="s">
        <v>347</v>
      </c>
      <c r="I993" s="16" t="s">
        <v>420</v>
      </c>
    </row>
    <row r="994" ht="242.25" customHeight="1">
      <c r="A994" s="32" t="b">
        <v>0</v>
      </c>
      <c r="B994" s="32" t="str">
        <f>IMAGE("https://gymvisual.com/11564-catalog_default/cable-one-arm-front-raise-female.jpg",4,500,500)</f>
        <v/>
      </c>
      <c r="C994" s="30">
        <v>993.0</v>
      </c>
      <c r="D994" s="16" t="s">
        <v>1494</v>
      </c>
      <c r="E994" s="16" t="s">
        <v>184</v>
      </c>
      <c r="F994" s="16" t="s">
        <v>228</v>
      </c>
      <c r="G994" s="16" t="s">
        <v>215</v>
      </c>
      <c r="H994" s="16" t="s">
        <v>229</v>
      </c>
      <c r="I994" s="16" t="s">
        <v>244</v>
      </c>
    </row>
    <row r="995" ht="242.25" customHeight="1">
      <c r="A995" s="32" t="b">
        <v>0</v>
      </c>
      <c r="B995" s="32" t="str">
        <f>IMAGE("https://gymvisual.com/13658-catalog_default/cable-one-arm-high-pulley-overhead-tricep-extension.jpg",4,500,500)</f>
        <v/>
      </c>
      <c r="C995" s="30">
        <v>994.0</v>
      </c>
      <c r="D995" s="16" t="s">
        <v>1495</v>
      </c>
      <c r="E995" s="16" t="s">
        <v>184</v>
      </c>
      <c r="F995" s="16" t="s">
        <v>219</v>
      </c>
      <c r="G995" s="16" t="s">
        <v>215</v>
      </c>
      <c r="H995" s="16" t="s">
        <v>223</v>
      </c>
      <c r="I995" s="16" t="s">
        <v>220</v>
      </c>
    </row>
    <row r="996" ht="242.25" customHeight="1">
      <c r="A996" s="32" t="b">
        <v>0</v>
      </c>
      <c r="B996" s="32" t="str">
        <f>IMAGE("https://gymvisual.com/5953-catalog_default/cable-one-arm-incline-fly-on-exercise-ball.jpg",4,500,500)</f>
        <v/>
      </c>
      <c r="C996" s="30">
        <v>995.0</v>
      </c>
      <c r="D996" s="16" t="s">
        <v>823</v>
      </c>
      <c r="E996" s="16" t="s">
        <v>184</v>
      </c>
      <c r="F996" s="16" t="s">
        <v>234</v>
      </c>
      <c r="G996" s="16" t="s">
        <v>215</v>
      </c>
      <c r="H996" s="16" t="s">
        <v>415</v>
      </c>
      <c r="I996" s="16" t="s">
        <v>236</v>
      </c>
    </row>
    <row r="997" ht="242.25" customHeight="1">
      <c r="A997" s="32" t="b">
        <v>0</v>
      </c>
      <c r="B997" s="32" t="str">
        <f>IMAGE("https://gymvisual.com/5954-catalog_default/cable-one-arm-incline-press.jpg",4,500,500)</f>
        <v/>
      </c>
      <c r="C997" s="30">
        <v>996.0</v>
      </c>
      <c r="D997" s="16" t="s">
        <v>823</v>
      </c>
      <c r="E997" s="16" t="s">
        <v>184</v>
      </c>
      <c r="F997" s="16" t="s">
        <v>234</v>
      </c>
      <c r="G997" s="16" t="s">
        <v>215</v>
      </c>
      <c r="H997" s="16" t="s">
        <v>415</v>
      </c>
      <c r="I997" s="16" t="s">
        <v>243</v>
      </c>
    </row>
    <row r="998" ht="242.25" customHeight="1">
      <c r="A998" s="32" t="b">
        <v>0</v>
      </c>
      <c r="B998" s="32" t="str">
        <f>IMAGE("https://gymvisual.com/5955-catalog_default/cable-one-arm-incline-press-on-exercise-ball.jpg",4,500,500)</f>
        <v/>
      </c>
      <c r="C998" s="30">
        <v>997.0</v>
      </c>
      <c r="D998" s="16" t="s">
        <v>823</v>
      </c>
      <c r="E998" s="16" t="s">
        <v>184</v>
      </c>
      <c r="F998" s="16" t="s">
        <v>234</v>
      </c>
      <c r="G998" s="16" t="s">
        <v>215</v>
      </c>
      <c r="H998" s="16" t="s">
        <v>415</v>
      </c>
      <c r="I998" s="16" t="s">
        <v>243</v>
      </c>
    </row>
    <row r="999" ht="242.25" customHeight="1">
      <c r="A999" s="32" t="b">
        <v>0</v>
      </c>
      <c r="B999" s="32" t="str">
        <f>IMAGE("https://gymvisual.com/4571-catalog_default/cable-one-arm-inner-biceps-curl.jpg",4,500,500)</f>
        <v/>
      </c>
      <c r="C999" s="30">
        <v>998.0</v>
      </c>
      <c r="D999" s="16" t="s">
        <v>1496</v>
      </c>
      <c r="E999" s="16" t="s">
        <v>184</v>
      </c>
      <c r="F999" s="16" t="s">
        <v>219</v>
      </c>
      <c r="G999" s="16" t="s">
        <v>215</v>
      </c>
      <c r="H999" s="16" t="s">
        <v>232</v>
      </c>
      <c r="I999" s="16" t="s">
        <v>233</v>
      </c>
    </row>
    <row r="1000" ht="242.25" customHeight="1">
      <c r="A1000" s="32" t="b">
        <v>0</v>
      </c>
      <c r="B1000" s="32" t="str">
        <f>IMAGE("https://gymvisual.com/4572-catalog_default/cable-one-arm-lat-pulldown.jpg",4,500,500)</f>
        <v/>
      </c>
      <c r="C1000" s="30">
        <v>999.0</v>
      </c>
      <c r="D1000" s="16" t="s">
        <v>1497</v>
      </c>
      <c r="E1000" s="16" t="s">
        <v>184</v>
      </c>
      <c r="F1000" s="16" t="s">
        <v>192</v>
      </c>
      <c r="G1000" s="16" t="s">
        <v>215</v>
      </c>
      <c r="H1000" s="16" t="s">
        <v>300</v>
      </c>
      <c r="I1000" s="16" t="s">
        <v>1498</v>
      </c>
    </row>
    <row r="1001" ht="242.25" customHeight="1">
      <c r="A1001" s="32" t="b">
        <v>0</v>
      </c>
      <c r="B1001" s="32" t="str">
        <f>IMAGE("https://gymvisual.com/14256-catalog_default/cable-one-arm-lat-pulldown-female.jpg",4,500,500)</f>
        <v/>
      </c>
      <c r="C1001" s="30">
        <v>1000.0</v>
      </c>
      <c r="D1001" s="16" t="s">
        <v>1499</v>
      </c>
      <c r="E1001" s="16" t="s">
        <v>184</v>
      </c>
      <c r="F1001" s="16" t="s">
        <v>192</v>
      </c>
      <c r="G1001" s="16" t="s">
        <v>215</v>
      </c>
      <c r="H1001" s="16" t="s">
        <v>300</v>
      </c>
      <c r="I1001" s="16" t="s">
        <v>1500</v>
      </c>
    </row>
    <row r="1002" ht="242.25" customHeight="1">
      <c r="A1002" s="32" t="b">
        <v>0</v>
      </c>
      <c r="B1002" s="32" t="str">
        <f>IMAGE("https://gymvisual.com/11110-catalog_default/cable-one-arm-lateral-bent-over-female.jpg",4,500,500)</f>
        <v/>
      </c>
      <c r="C1002" s="30">
        <v>1001.0</v>
      </c>
      <c r="D1002" s="16" t="s">
        <v>1501</v>
      </c>
      <c r="E1002" s="16" t="s">
        <v>184</v>
      </c>
      <c r="F1002" s="16" t="s">
        <v>234</v>
      </c>
      <c r="G1002" s="16" t="s">
        <v>215</v>
      </c>
      <c r="H1002" s="16" t="s">
        <v>220</v>
      </c>
      <c r="I1002" s="16" t="s">
        <v>220</v>
      </c>
    </row>
    <row r="1003" ht="242.25" customHeight="1">
      <c r="A1003" s="32" t="b">
        <v>0</v>
      </c>
      <c r="B1003" s="32" t="str">
        <f>IMAGE("https://gymvisual.com/595-catalog_default/cable-one-arm-lateral-bent-over.jpg",4,500,500)</f>
        <v/>
      </c>
      <c r="C1003" s="30">
        <v>1002.0</v>
      </c>
      <c r="D1003" s="16" t="s">
        <v>1502</v>
      </c>
      <c r="E1003" s="16" t="s">
        <v>184</v>
      </c>
      <c r="F1003" s="16" t="s">
        <v>234</v>
      </c>
      <c r="G1003" s="16" t="s">
        <v>215</v>
      </c>
      <c r="H1003" s="16" t="s">
        <v>347</v>
      </c>
      <c r="I1003" s="16" t="s">
        <v>505</v>
      </c>
    </row>
    <row r="1004" ht="242.25" customHeight="1">
      <c r="A1004" s="32" t="b">
        <v>0</v>
      </c>
      <c r="B1004" s="32" t="str">
        <f>IMAGE("https://gymvisual.com/598-catalog_default/cable-one-arm-lateral-raise.jpg",4,500,500)</f>
        <v/>
      </c>
      <c r="C1004" s="30">
        <v>1003.0</v>
      </c>
      <c r="D1004" s="16" t="s">
        <v>1503</v>
      </c>
      <c r="E1004" s="16" t="s">
        <v>184</v>
      </c>
      <c r="F1004" s="16" t="s">
        <v>228</v>
      </c>
      <c r="G1004" s="16" t="s">
        <v>215</v>
      </c>
      <c r="H1004" s="16" t="s">
        <v>544</v>
      </c>
      <c r="I1004" s="16" t="s">
        <v>545</v>
      </c>
    </row>
    <row r="1005" ht="242.25" customHeight="1">
      <c r="A1005" s="32" t="b">
        <v>0</v>
      </c>
      <c r="B1005" s="32" t="str">
        <f>IMAGE("https://gymvisual.com/9607-catalog_default/cable-one-arm-lateral-raise-female.jpg",4,500,500)</f>
        <v/>
      </c>
      <c r="C1005" s="30">
        <v>1004.0</v>
      </c>
      <c r="D1005" s="16" t="s">
        <v>1504</v>
      </c>
      <c r="E1005" s="16" t="s">
        <v>184</v>
      </c>
      <c r="F1005" s="16" t="s">
        <v>228</v>
      </c>
      <c r="G1005" s="16" t="s">
        <v>215</v>
      </c>
      <c r="H1005" s="16" t="s">
        <v>544</v>
      </c>
      <c r="I1005" s="16" t="s">
        <v>545</v>
      </c>
    </row>
    <row r="1006" ht="242.25" customHeight="1">
      <c r="A1006" s="32" t="b">
        <v>0</v>
      </c>
      <c r="B1006" s="32" t="str">
        <f>IMAGE("https://gymvisual.com/7107-catalog_default/cable-one-arm-preacher-curl.jpg",4,500,500)</f>
        <v/>
      </c>
      <c r="C1006" s="30">
        <v>1005.0</v>
      </c>
      <c r="D1006" s="16" t="s">
        <v>1505</v>
      </c>
      <c r="E1006" s="16" t="s">
        <v>184</v>
      </c>
      <c r="F1006" s="16" t="s">
        <v>219</v>
      </c>
      <c r="G1006" s="16" t="s">
        <v>215</v>
      </c>
      <c r="H1006" s="16" t="s">
        <v>220</v>
      </c>
      <c r="I1006" s="16" t="s">
        <v>220</v>
      </c>
    </row>
    <row r="1007" ht="242.25" customHeight="1">
      <c r="A1007" s="32" t="b">
        <v>0</v>
      </c>
      <c r="B1007" s="32" t="str">
        <f>IMAGE("https://gymvisual.com/5956-catalog_default/cable-one-arm-press-on-exercise-ball.jpg",4,500,500)</f>
        <v/>
      </c>
      <c r="C1007" s="30">
        <v>1006.0</v>
      </c>
      <c r="D1007" s="16" t="s">
        <v>823</v>
      </c>
      <c r="E1007" s="16" t="s">
        <v>184</v>
      </c>
      <c r="F1007" s="16" t="s">
        <v>234</v>
      </c>
      <c r="G1007" s="16" t="s">
        <v>215</v>
      </c>
      <c r="H1007" s="16" t="s">
        <v>347</v>
      </c>
      <c r="I1007" s="16" t="s">
        <v>382</v>
      </c>
    </row>
    <row r="1008" ht="242.25" customHeight="1">
      <c r="A1008" s="32" t="b">
        <v>0</v>
      </c>
      <c r="B1008" s="32" t="str">
        <f>IMAGE("https://gymvisual.com/14153-catalog_default/cable-one-arm-pulldown.jpg",4,500,500)</f>
        <v/>
      </c>
      <c r="C1008" s="30">
        <v>1007.0</v>
      </c>
      <c r="D1008" s="16" t="s">
        <v>1506</v>
      </c>
      <c r="E1008" s="16" t="s">
        <v>184</v>
      </c>
      <c r="F1008" s="16" t="s">
        <v>192</v>
      </c>
      <c r="G1008" s="16" t="s">
        <v>215</v>
      </c>
      <c r="H1008" s="16" t="s">
        <v>300</v>
      </c>
      <c r="I1008" s="16" t="s">
        <v>1507</v>
      </c>
    </row>
    <row r="1009" ht="242.25" customHeight="1">
      <c r="A1009" s="32" t="b">
        <v>0</v>
      </c>
      <c r="B1009" s="32" t="str">
        <f>IMAGE("https://gymvisual.com/17945-catalog_default/cable-one-arm-reverse-fly-male.jpg",4,500,500)</f>
        <v/>
      </c>
      <c r="C1009" s="30">
        <v>1008.0</v>
      </c>
      <c r="D1009" s="16" t="s">
        <v>1508</v>
      </c>
      <c r="E1009" s="16" t="s">
        <v>184</v>
      </c>
      <c r="F1009" s="16" t="s">
        <v>228</v>
      </c>
      <c r="G1009" s="16" t="s">
        <v>215</v>
      </c>
      <c r="H1009" s="16" t="s">
        <v>220</v>
      </c>
      <c r="I1009" s="16" t="s">
        <v>220</v>
      </c>
    </row>
    <row r="1010" ht="242.25" customHeight="1">
      <c r="A1010" s="32" t="b">
        <v>0</v>
      </c>
      <c r="B1010" s="32" t="str">
        <f>IMAGE("https://gymvisual.com/7109-catalog_default/cable-one-arm-reverse-preacher-curl.jpg",4,500,500)</f>
        <v/>
      </c>
      <c r="C1010" s="30">
        <v>1009.0</v>
      </c>
      <c r="D1010" s="16" t="s">
        <v>1509</v>
      </c>
      <c r="E1010" s="16" t="s">
        <v>184</v>
      </c>
      <c r="F1010" s="16" t="s">
        <v>219</v>
      </c>
      <c r="G1010" s="16" t="s">
        <v>215</v>
      </c>
      <c r="H1010" s="16" t="s">
        <v>220</v>
      </c>
      <c r="I1010" s="16" t="s">
        <v>220</v>
      </c>
    </row>
    <row r="1011" ht="242.25" customHeight="1">
      <c r="A1011" s="32" t="b">
        <v>0</v>
      </c>
      <c r="B1011" s="32" t="str">
        <f>IMAGE("https://gymvisual.com/6954-catalog_default/cable-one-arm-side-triceps-pushdown.jpg",4,500,500)</f>
        <v/>
      </c>
      <c r="C1011" s="30">
        <v>1010.0</v>
      </c>
      <c r="D1011" s="16" t="s">
        <v>1510</v>
      </c>
      <c r="E1011" s="16" t="s">
        <v>184</v>
      </c>
      <c r="F1011" s="16" t="s">
        <v>219</v>
      </c>
      <c r="G1011" s="16" t="s">
        <v>215</v>
      </c>
      <c r="H1011" s="16" t="s">
        <v>223</v>
      </c>
      <c r="I1011" s="16" t="s">
        <v>220</v>
      </c>
    </row>
    <row r="1012" ht="242.25" customHeight="1">
      <c r="A1012" s="32" t="b">
        <v>0</v>
      </c>
      <c r="B1012" s="32" t="str">
        <f>IMAGE("https://gymvisual.com/601-catalog_default/cable-one-arm-straight-back-high-row-kneeling.jpg",4,500,500)</f>
        <v/>
      </c>
      <c r="C1012" s="30">
        <v>1011.0</v>
      </c>
      <c r="D1012" s="16" t="s">
        <v>1511</v>
      </c>
      <c r="E1012" s="16" t="s">
        <v>184</v>
      </c>
      <c r="F1012" s="16" t="s">
        <v>192</v>
      </c>
      <c r="G1012" s="16" t="s">
        <v>215</v>
      </c>
      <c r="H1012" s="16" t="s">
        <v>329</v>
      </c>
      <c r="I1012" s="16" t="s">
        <v>457</v>
      </c>
    </row>
    <row r="1013" ht="242.25" customHeight="1">
      <c r="A1013" s="32" t="b">
        <v>0</v>
      </c>
      <c r="B1013" s="32" t="str">
        <f>IMAGE("https://gymvisual.com/7442-catalog_default/cable-one-arm-tricep-pushdown.jpg",4,500,500)</f>
        <v/>
      </c>
      <c r="C1013" s="30">
        <v>1012.0</v>
      </c>
      <c r="D1013" s="16" t="s">
        <v>1512</v>
      </c>
      <c r="E1013" s="16" t="s">
        <v>184</v>
      </c>
      <c r="F1013" s="16" t="s">
        <v>219</v>
      </c>
      <c r="G1013" s="16" t="s">
        <v>215</v>
      </c>
      <c r="H1013" s="16" t="s">
        <v>223</v>
      </c>
      <c r="I1013" s="16" t="s">
        <v>220</v>
      </c>
    </row>
    <row r="1014" ht="242.25" customHeight="1">
      <c r="A1014" s="32" t="b">
        <v>0</v>
      </c>
      <c r="B1014" s="32" t="str">
        <f>IMAGE("https://gymvisual.com/4573-catalog_default/cable-one-arm-twisting-seated-row.jpg",4,500,500)</f>
        <v/>
      </c>
      <c r="C1014" s="30">
        <v>1013.0</v>
      </c>
      <c r="D1014" s="16" t="s">
        <v>1513</v>
      </c>
      <c r="E1014" s="16" t="s">
        <v>184</v>
      </c>
      <c r="F1014" s="16" t="s">
        <v>192</v>
      </c>
      <c r="G1014" s="16" t="s">
        <v>215</v>
      </c>
      <c r="H1014" s="16" t="s">
        <v>329</v>
      </c>
      <c r="I1014" s="16" t="s">
        <v>1514</v>
      </c>
    </row>
    <row r="1015" ht="242.25" customHeight="1">
      <c r="A1015" s="32" t="b">
        <v>0</v>
      </c>
      <c r="B1015" s="32" t="str">
        <f>IMAGE("https://gymvisual.com/14258-catalog_default/cable-one-arm-twisting-seated-row-female.jpg",4,500,500)</f>
        <v/>
      </c>
      <c r="C1015" s="30">
        <v>1014.0</v>
      </c>
      <c r="D1015" s="16" t="s">
        <v>1515</v>
      </c>
      <c r="E1015" s="16" t="s">
        <v>184</v>
      </c>
      <c r="F1015" s="16" t="s">
        <v>192</v>
      </c>
      <c r="G1015" s="16" t="s">
        <v>215</v>
      </c>
      <c r="H1015" s="16" t="s">
        <v>300</v>
      </c>
      <c r="I1015" s="16" t="s">
        <v>1516</v>
      </c>
    </row>
    <row r="1016" ht="242.25" customHeight="1">
      <c r="A1016" s="32" t="b">
        <v>0</v>
      </c>
      <c r="B1016" s="32" t="str">
        <f>IMAGE("https://gymvisual.com/17587-catalog_default/cable-one-arm-wrist-curl.jpg",4,500,500)</f>
        <v/>
      </c>
      <c r="C1016" s="30">
        <v>1015.0</v>
      </c>
      <c r="D1016" s="16" t="s">
        <v>1517</v>
      </c>
      <c r="E1016" s="16" t="s">
        <v>184</v>
      </c>
      <c r="F1016" s="16" t="s">
        <v>214</v>
      </c>
      <c r="G1016" s="16" t="s">
        <v>215</v>
      </c>
      <c r="H1016" s="16" t="s">
        <v>720</v>
      </c>
      <c r="I1016" s="16" t="s">
        <v>220</v>
      </c>
    </row>
    <row r="1017" ht="242.25" customHeight="1">
      <c r="A1017" s="32" t="b">
        <v>0</v>
      </c>
      <c r="B1017" s="32" t="str">
        <f>IMAGE("https://gymvisual.com/7110-catalog_default/cable-overhead-curl.jpg",4,500,500)</f>
        <v/>
      </c>
      <c r="C1017" s="30">
        <v>1016.0</v>
      </c>
      <c r="D1017" s="16" t="s">
        <v>1518</v>
      </c>
      <c r="E1017" s="16" t="s">
        <v>184</v>
      </c>
      <c r="F1017" s="16" t="s">
        <v>219</v>
      </c>
      <c r="G1017" s="16" t="s">
        <v>215</v>
      </c>
      <c r="H1017" s="16" t="s">
        <v>241</v>
      </c>
      <c r="I1017" s="16" t="s">
        <v>292</v>
      </c>
    </row>
    <row r="1018" ht="242.25" customHeight="1">
      <c r="A1018" s="32" t="b">
        <v>0</v>
      </c>
      <c r="B1018" s="32" t="str">
        <f>IMAGE("https://gymvisual.com/7111-catalog_default/cable-overhead-curl-on-exercise-ball.jpg",4,500,500)</f>
        <v/>
      </c>
      <c r="C1018" s="30">
        <v>1017.0</v>
      </c>
      <c r="D1018" s="16" t="s">
        <v>1519</v>
      </c>
      <c r="E1018" s="16" t="s">
        <v>184</v>
      </c>
      <c r="F1018" s="16" t="s">
        <v>219</v>
      </c>
      <c r="G1018" s="16" t="s">
        <v>215</v>
      </c>
      <c r="H1018" s="16" t="s">
        <v>220</v>
      </c>
      <c r="I1018" s="16" t="s">
        <v>220</v>
      </c>
    </row>
    <row r="1019" ht="242.25" customHeight="1">
      <c r="A1019" s="32" t="b">
        <v>0</v>
      </c>
      <c r="B1019" s="32" t="str">
        <f>IMAGE("https://gymvisual.com/20054-catalog_default/cable-overhead-single-arm-triceps-extension-rope-attachment.jpg",4,500,500)</f>
        <v/>
      </c>
      <c r="C1019" s="30">
        <v>1018.0</v>
      </c>
      <c r="D1019" s="16" t="s">
        <v>1520</v>
      </c>
      <c r="E1019" s="16" t="s">
        <v>184</v>
      </c>
      <c r="F1019" s="16" t="s">
        <v>219</v>
      </c>
      <c r="G1019" s="16" t="s">
        <v>215</v>
      </c>
      <c r="H1019" s="16" t="s">
        <v>223</v>
      </c>
      <c r="I1019" s="16" t="s">
        <v>220</v>
      </c>
    </row>
    <row r="1020" ht="242.25" customHeight="1">
      <c r="A1020" s="32" t="b">
        <v>0</v>
      </c>
      <c r="B1020" s="32" t="str">
        <f>IMAGE("https://gymvisual.com/17931-catalog_default/cable-overhead-tricep-extension-straight-bar-male.jpg",4,500,500)</f>
        <v/>
      </c>
      <c r="C1020" s="30">
        <v>1019.0</v>
      </c>
      <c r="D1020" s="16" t="s">
        <v>1521</v>
      </c>
      <c r="E1020" s="16" t="s">
        <v>184</v>
      </c>
      <c r="F1020" s="16" t="s">
        <v>219</v>
      </c>
      <c r="G1020" s="16" t="s">
        <v>215</v>
      </c>
      <c r="H1020" s="16" t="s">
        <v>220</v>
      </c>
      <c r="I1020" s="16" t="s">
        <v>220</v>
      </c>
    </row>
    <row r="1021" ht="242.25" customHeight="1">
      <c r="A1021" s="32" t="b">
        <v>0</v>
      </c>
      <c r="B1021" s="32" t="str">
        <f>IMAGE("https://gymvisual.com/604-catalog_default/cable-overhead-triceps-extension-rope-attachment.jpg",4,500,500)</f>
        <v/>
      </c>
      <c r="C1021" s="30">
        <v>1020.0</v>
      </c>
      <c r="D1021" s="16" t="s">
        <v>225</v>
      </c>
      <c r="E1021" s="16" t="s">
        <v>184</v>
      </c>
      <c r="F1021" s="16" t="s">
        <v>219</v>
      </c>
      <c r="G1021" s="16" t="s">
        <v>215</v>
      </c>
      <c r="H1021" s="16" t="s">
        <v>223</v>
      </c>
      <c r="I1021" s="16" t="s">
        <v>220</v>
      </c>
    </row>
    <row r="1022" ht="242.25" customHeight="1">
      <c r="A1022" s="32" t="b">
        <v>0</v>
      </c>
      <c r="B1022" s="32" t="str">
        <f>IMAGE("https://gymvisual.com/9658-catalog_default/cable-overhead-triceps-extension-rope-attachment-female.jpg",4,500,500)</f>
        <v/>
      </c>
      <c r="C1022" s="30">
        <v>1021.0</v>
      </c>
      <c r="D1022" s="16" t="s">
        <v>1522</v>
      </c>
      <c r="E1022" s="16" t="s">
        <v>184</v>
      </c>
      <c r="F1022" s="16" t="s">
        <v>219</v>
      </c>
      <c r="G1022" s="16" t="s">
        <v>215</v>
      </c>
      <c r="H1022" s="16" t="s">
        <v>223</v>
      </c>
      <c r="I1022" s="16" t="s">
        <v>220</v>
      </c>
    </row>
    <row r="1023" ht="242.25" customHeight="1">
      <c r="A1023" s="32" t="b">
        <v>0</v>
      </c>
      <c r="B1023" s="32" t="str">
        <f>IMAGE("https://gymvisual.com/18029-catalog_default/cable-pallof-press-with-glute-bridge.jpg",4,500,500)</f>
        <v/>
      </c>
      <c r="C1023" s="30">
        <v>1022.0</v>
      </c>
      <c r="D1023" s="16" t="s">
        <v>224</v>
      </c>
      <c r="E1023" s="16" t="s">
        <v>184</v>
      </c>
      <c r="F1023" s="16" t="s">
        <v>254</v>
      </c>
      <c r="G1023" s="16" t="s">
        <v>215</v>
      </c>
      <c r="H1023" s="16" t="s">
        <v>220</v>
      </c>
      <c r="I1023" s="16" t="s">
        <v>220</v>
      </c>
    </row>
    <row r="1024" ht="242.25" customHeight="1">
      <c r="A1024" s="32" t="b">
        <v>0</v>
      </c>
      <c r="B1024" s="32" t="str">
        <f>IMAGE("https://gymvisual.com/6010-catalog_default/cable-palm-rotational-row.jpg",4,500,500)</f>
        <v/>
      </c>
      <c r="C1024" s="30">
        <v>1023.0</v>
      </c>
      <c r="D1024" s="16" t="s">
        <v>1523</v>
      </c>
      <c r="E1024" s="16" t="s">
        <v>184</v>
      </c>
      <c r="F1024" s="16" t="s">
        <v>192</v>
      </c>
      <c r="G1024" s="16" t="s">
        <v>215</v>
      </c>
      <c r="H1024" s="16" t="s">
        <v>329</v>
      </c>
      <c r="I1024" s="16" t="s">
        <v>457</v>
      </c>
    </row>
    <row r="1025" ht="242.25" customHeight="1">
      <c r="A1025" s="32" t="b">
        <v>0</v>
      </c>
      <c r="B1025" s="32" t="str">
        <f>IMAGE("https://gymvisual.com/13669-catalog_default/cable-parallel-grip-lat-pulldown-on-floor.jpg",4,500,500)</f>
        <v/>
      </c>
      <c r="C1025" s="30">
        <v>1024.0</v>
      </c>
      <c r="D1025" s="16" t="s">
        <v>1524</v>
      </c>
      <c r="E1025" s="16" t="s">
        <v>184</v>
      </c>
      <c r="F1025" s="16" t="s">
        <v>192</v>
      </c>
      <c r="G1025" s="16" t="s">
        <v>215</v>
      </c>
      <c r="H1025" s="16" t="s">
        <v>300</v>
      </c>
      <c r="I1025" s="16" t="s">
        <v>220</v>
      </c>
    </row>
    <row r="1026" ht="242.25" customHeight="1">
      <c r="A1026" s="32" t="b">
        <v>0</v>
      </c>
      <c r="B1026" s="32" t="str">
        <f>IMAGE("https://gymvisual.com/607-catalog_default/cable-preacher-curl.jpg",4,500,500)</f>
        <v/>
      </c>
      <c r="C1026" s="30">
        <v>1025.0</v>
      </c>
      <c r="D1026" s="16" t="s">
        <v>1525</v>
      </c>
      <c r="E1026" s="16" t="s">
        <v>184</v>
      </c>
      <c r="F1026" s="16" t="s">
        <v>219</v>
      </c>
      <c r="G1026" s="16" t="s">
        <v>215</v>
      </c>
      <c r="H1026" s="16" t="s">
        <v>232</v>
      </c>
      <c r="I1026" s="16" t="s">
        <v>233</v>
      </c>
    </row>
    <row r="1027" ht="242.25" customHeight="1">
      <c r="A1027" s="32" t="b">
        <v>0</v>
      </c>
      <c r="B1027" s="32" t="str">
        <f>IMAGE("https://gymvisual.com/5957-catalog_default/cable-press-on-exercise-ball.jpg",4,500,500)</f>
        <v/>
      </c>
      <c r="C1027" s="30">
        <v>1026.0</v>
      </c>
      <c r="D1027" s="16" t="s">
        <v>823</v>
      </c>
      <c r="E1027" s="16" t="s">
        <v>184</v>
      </c>
      <c r="F1027" s="16" t="s">
        <v>234</v>
      </c>
      <c r="G1027" s="16" t="s">
        <v>215</v>
      </c>
      <c r="H1027" s="16" t="s">
        <v>347</v>
      </c>
      <c r="I1027" s="16" t="s">
        <v>382</v>
      </c>
    </row>
    <row r="1028" ht="242.25" customHeight="1">
      <c r="A1028" s="32" t="b">
        <v>0</v>
      </c>
      <c r="B1028" s="32" t="str">
        <f>IMAGE("https://gymvisual.com/4574-catalog_default/cable-pull-through.jpg",4,500,500)</f>
        <v/>
      </c>
      <c r="C1028" s="30">
        <v>1027.0</v>
      </c>
      <c r="D1028" s="16" t="s">
        <v>226</v>
      </c>
      <c r="E1028" s="16" t="s">
        <v>184</v>
      </c>
      <c r="F1028" s="16" t="s">
        <v>185</v>
      </c>
      <c r="G1028" s="16" t="s">
        <v>215</v>
      </c>
      <c r="H1028" s="16" t="s">
        <v>187</v>
      </c>
      <c r="I1028" s="16" t="s">
        <v>227</v>
      </c>
    </row>
    <row r="1029" ht="242.25" customHeight="1">
      <c r="A1029" s="32" t="b">
        <v>0</v>
      </c>
      <c r="B1029" s="32" t="str">
        <f>IMAGE("https://gymvisual.com/2583-catalog_default/cable-pull-through-with-rope.jpg",4,500,500)</f>
        <v/>
      </c>
      <c r="C1029" s="30">
        <v>1028.0</v>
      </c>
      <c r="D1029" s="16" t="s">
        <v>1526</v>
      </c>
      <c r="E1029" s="16" t="s">
        <v>184</v>
      </c>
      <c r="F1029" s="16" t="s">
        <v>185</v>
      </c>
      <c r="G1029" s="16" t="s">
        <v>215</v>
      </c>
      <c r="H1029" s="16" t="s">
        <v>187</v>
      </c>
      <c r="I1029" s="16" t="s">
        <v>227</v>
      </c>
    </row>
    <row r="1030" ht="242.25" customHeight="1">
      <c r="A1030" s="32" t="b">
        <v>0</v>
      </c>
      <c r="B1030" s="32" t="str">
        <f>IMAGE("https://gymvisual.com/616-catalog_default/cable-pulldown.jpg",4,500,500)</f>
        <v/>
      </c>
      <c r="C1030" s="30">
        <v>1029.0</v>
      </c>
      <c r="D1030" s="16" t="s">
        <v>1527</v>
      </c>
      <c r="E1030" s="16" t="s">
        <v>184</v>
      </c>
      <c r="F1030" s="16" t="s">
        <v>192</v>
      </c>
      <c r="G1030" s="16" t="s">
        <v>215</v>
      </c>
      <c r="H1030" s="16" t="s">
        <v>300</v>
      </c>
      <c r="I1030" s="16" t="s">
        <v>387</v>
      </c>
    </row>
    <row r="1031" ht="242.25" customHeight="1">
      <c r="A1031" s="32" t="b">
        <v>0</v>
      </c>
      <c r="B1031" s="32" t="str">
        <f>IMAGE("https://gymvisual.com/9643-catalog_default/cable-pulldown-female.jpg",4,500,500)</f>
        <v/>
      </c>
      <c r="C1031" s="30">
        <v>1030.0</v>
      </c>
      <c r="D1031" s="16" t="s">
        <v>1528</v>
      </c>
      <c r="E1031" s="16" t="s">
        <v>184</v>
      </c>
      <c r="F1031" s="16" t="s">
        <v>192</v>
      </c>
      <c r="G1031" s="16" t="s">
        <v>215</v>
      </c>
      <c r="H1031" s="16" t="s">
        <v>220</v>
      </c>
      <c r="I1031" s="16" t="s">
        <v>220</v>
      </c>
    </row>
    <row r="1032" ht="242.25" customHeight="1">
      <c r="A1032" s="32" t="b">
        <v>0</v>
      </c>
      <c r="B1032" s="32" t="str">
        <f>IMAGE("https://gymvisual.com/7112-catalog_default/cable-pulldown-bicep-curl.jpg",4,500,500)</f>
        <v/>
      </c>
      <c r="C1032" s="30">
        <v>1031.0</v>
      </c>
      <c r="D1032" s="16" t="s">
        <v>1529</v>
      </c>
      <c r="E1032" s="16" t="s">
        <v>184</v>
      </c>
      <c r="F1032" s="16" t="s">
        <v>219</v>
      </c>
      <c r="G1032" s="16" t="s">
        <v>215</v>
      </c>
      <c r="H1032" s="16" t="s">
        <v>220</v>
      </c>
      <c r="I1032" s="16" t="s">
        <v>220</v>
      </c>
    </row>
    <row r="1033" ht="242.25" customHeight="1">
      <c r="A1033" s="32" t="b">
        <v>0</v>
      </c>
      <c r="B1033" s="32" t="str">
        <f>IMAGE("https://gymvisual.com/13383-catalog_default/cable-pulldown-bicep-curl-female.jpg",4,500,500)</f>
        <v/>
      </c>
      <c r="C1033" s="30">
        <v>1032.0</v>
      </c>
      <c r="D1033" s="16" t="s">
        <v>1530</v>
      </c>
      <c r="E1033" s="16" t="s">
        <v>184</v>
      </c>
      <c r="F1033" s="16" t="s">
        <v>219</v>
      </c>
      <c r="G1033" s="16" t="s">
        <v>215</v>
      </c>
      <c r="H1033" s="16" t="s">
        <v>220</v>
      </c>
      <c r="I1033" s="16" t="s">
        <v>220</v>
      </c>
    </row>
    <row r="1034" ht="242.25" customHeight="1">
      <c r="A1034" s="32" t="b">
        <v>0</v>
      </c>
      <c r="B1034" s="32" t="str">
        <f>IMAGE("https://gymvisual.com/625-catalog_default/cable-pushdown.jpg",4,500,500)</f>
        <v/>
      </c>
      <c r="C1034" s="30">
        <v>1033.0</v>
      </c>
      <c r="D1034" s="16" t="s">
        <v>1531</v>
      </c>
      <c r="E1034" s="16" t="s">
        <v>184</v>
      </c>
      <c r="F1034" s="16" t="s">
        <v>219</v>
      </c>
      <c r="G1034" s="16" t="s">
        <v>215</v>
      </c>
      <c r="H1034" s="16" t="s">
        <v>223</v>
      </c>
      <c r="I1034" s="16" t="s">
        <v>220</v>
      </c>
    </row>
    <row r="1035" ht="242.25" customHeight="1">
      <c r="A1035" s="32" t="b">
        <v>0</v>
      </c>
      <c r="B1035" s="32" t="str">
        <f>IMAGE("https://gymvisual.com/619-catalog_default/cable-pushdown-straight-arm-version-2.jpg",4,500,500)</f>
        <v/>
      </c>
      <c r="C1035" s="30">
        <v>1034.0</v>
      </c>
      <c r="D1035" s="16" t="s">
        <v>1532</v>
      </c>
      <c r="E1035" s="16" t="s">
        <v>184</v>
      </c>
      <c r="F1035" s="16" t="s">
        <v>192</v>
      </c>
      <c r="G1035" s="16" t="s">
        <v>215</v>
      </c>
      <c r="H1035" s="16" t="s">
        <v>300</v>
      </c>
      <c r="I1035" s="16" t="s">
        <v>1533</v>
      </c>
    </row>
    <row r="1036" ht="242.25" customHeight="1">
      <c r="A1036" s="32" t="b">
        <v>0</v>
      </c>
      <c r="B1036" s="32" t="str">
        <f>IMAGE("https://gymvisual.com/622-catalog_default/cable-pushdown-with-rope-attachment.jpg",4,500,500)</f>
        <v/>
      </c>
      <c r="C1036" s="30">
        <v>1035.0</v>
      </c>
      <c r="D1036" s="16" t="s">
        <v>1534</v>
      </c>
      <c r="E1036" s="16" t="s">
        <v>184</v>
      </c>
      <c r="F1036" s="16" t="s">
        <v>219</v>
      </c>
      <c r="G1036" s="16" t="s">
        <v>215</v>
      </c>
      <c r="H1036" s="16" t="s">
        <v>223</v>
      </c>
      <c r="I1036" s="16" t="s">
        <v>220</v>
      </c>
    </row>
    <row r="1037" ht="242.25" customHeight="1">
      <c r="A1037" s="32" t="b">
        <v>0</v>
      </c>
      <c r="B1037" s="32" t="str">
        <f>IMAGE("https://gymvisual.com/10939-catalog_default/cable-pushdown-with-rope-attachment-female.jpg",4,500,500)</f>
        <v/>
      </c>
      <c r="C1037" s="30">
        <v>1036.0</v>
      </c>
      <c r="D1037" s="16" t="s">
        <v>1535</v>
      </c>
      <c r="E1037" s="16" t="s">
        <v>184</v>
      </c>
      <c r="F1037" s="16" t="s">
        <v>219</v>
      </c>
      <c r="G1037" s="16" t="s">
        <v>215</v>
      </c>
      <c r="H1037" s="16" t="s">
        <v>223</v>
      </c>
      <c r="I1037" s="16" t="s">
        <v>220</v>
      </c>
    </row>
    <row r="1038" ht="242.25" customHeight="1">
      <c r="A1038" s="32" t="b">
        <v>0</v>
      </c>
      <c r="B1038" s="32" t="str">
        <f>IMAGE("https://gymvisual.com/17775-catalog_default/cable-rear-delt-row.jpg",4,500,500)</f>
        <v/>
      </c>
      <c r="C1038" s="30">
        <v>1037.0</v>
      </c>
      <c r="D1038" s="16" t="s">
        <v>1536</v>
      </c>
      <c r="E1038" s="16" t="s">
        <v>184</v>
      </c>
      <c r="F1038" s="16" t="s">
        <v>228</v>
      </c>
      <c r="G1038" s="16" t="s">
        <v>215</v>
      </c>
      <c r="H1038" s="16" t="s">
        <v>220</v>
      </c>
      <c r="I1038" s="16" t="s">
        <v>220</v>
      </c>
    </row>
    <row r="1039" ht="242.25" customHeight="1">
      <c r="A1039" s="32" t="b">
        <v>0</v>
      </c>
      <c r="B1039" s="32" t="str">
        <f>IMAGE("https://gymvisual.com/628-catalog_default/cable-rear-delt-row-stirrups.jpg",4,500,500)</f>
        <v/>
      </c>
      <c r="C1039" s="30">
        <v>1038.0</v>
      </c>
      <c r="D1039" s="16" t="s">
        <v>1537</v>
      </c>
      <c r="E1039" s="16" t="s">
        <v>184</v>
      </c>
      <c r="F1039" s="16" t="s">
        <v>228</v>
      </c>
      <c r="G1039" s="16" t="s">
        <v>215</v>
      </c>
      <c r="H1039" s="16" t="s">
        <v>408</v>
      </c>
      <c r="I1039" s="16" t="s">
        <v>490</v>
      </c>
    </row>
    <row r="1040" ht="242.25" customHeight="1">
      <c r="A1040" s="32" t="b">
        <v>0</v>
      </c>
      <c r="B1040" s="32" t="str">
        <f>IMAGE("https://gymvisual.com/13385-catalog_default/cable-rear-delt-row-stirrups-female.jpg",4,500,500)</f>
        <v/>
      </c>
      <c r="C1040" s="30">
        <v>1039.0</v>
      </c>
      <c r="D1040" s="16" t="s">
        <v>1538</v>
      </c>
      <c r="E1040" s="16" t="s">
        <v>184</v>
      </c>
      <c r="F1040" s="16" t="s">
        <v>228</v>
      </c>
      <c r="G1040" s="16" t="s">
        <v>215</v>
      </c>
      <c r="H1040" s="16" t="s">
        <v>220</v>
      </c>
      <c r="I1040" s="16" t="s">
        <v>220</v>
      </c>
    </row>
    <row r="1041" ht="242.25" customHeight="1">
      <c r="A1041" s="32" t="b">
        <v>0</v>
      </c>
      <c r="B1041" s="32" t="str">
        <f>IMAGE("https://gymvisual.com/631-catalog_default/cable-rear-delt-row-with-rope.jpg",4,500,500)</f>
        <v/>
      </c>
      <c r="C1041" s="30">
        <v>1040.0</v>
      </c>
      <c r="D1041" s="16" t="s">
        <v>1539</v>
      </c>
      <c r="E1041" s="16" t="s">
        <v>184</v>
      </c>
      <c r="F1041" s="16" t="s">
        <v>228</v>
      </c>
      <c r="G1041" s="16" t="s">
        <v>215</v>
      </c>
      <c r="H1041" s="16" t="s">
        <v>408</v>
      </c>
      <c r="I1041" s="16" t="s">
        <v>490</v>
      </c>
    </row>
    <row r="1042" ht="242.25" customHeight="1">
      <c r="A1042" s="32" t="b">
        <v>0</v>
      </c>
      <c r="B1042" s="32" t="str">
        <f>IMAGE("https://gymvisual.com/634-catalog_default/cable-rear-drive.jpg",4,500,500)</f>
        <v/>
      </c>
      <c r="C1042" s="30">
        <v>1041.0</v>
      </c>
      <c r="D1042" s="16" t="s">
        <v>1540</v>
      </c>
      <c r="E1042" s="16" t="s">
        <v>184</v>
      </c>
      <c r="F1042" s="16" t="s">
        <v>219</v>
      </c>
      <c r="G1042" s="16" t="s">
        <v>215</v>
      </c>
      <c r="H1042" s="16" t="s">
        <v>223</v>
      </c>
      <c r="I1042" s="16" t="s">
        <v>1541</v>
      </c>
    </row>
    <row r="1043" ht="242.25" customHeight="1">
      <c r="A1043" s="32" t="b">
        <v>0</v>
      </c>
      <c r="B1043" s="32" t="str">
        <f>IMAGE("https://gymvisual.com/13387-catalog_default/cable-rear-drive-female.jpg",4,500,500)</f>
        <v/>
      </c>
      <c r="C1043" s="30">
        <v>1042.0</v>
      </c>
      <c r="D1043" s="16" t="s">
        <v>1542</v>
      </c>
      <c r="E1043" s="16" t="s">
        <v>184</v>
      </c>
      <c r="F1043" s="16" t="s">
        <v>219</v>
      </c>
      <c r="G1043" s="16" t="s">
        <v>215</v>
      </c>
      <c r="H1043" s="16" t="s">
        <v>220</v>
      </c>
      <c r="I1043" s="16" t="s">
        <v>220</v>
      </c>
    </row>
    <row r="1044" ht="242.25" customHeight="1">
      <c r="A1044" s="32" t="b">
        <v>0</v>
      </c>
      <c r="B1044" s="32" t="str">
        <f>IMAGE("https://gymvisual.com/11998-catalog_default/cable-rear-lunge-from-stepbox.jpg",4,500,500)</f>
        <v/>
      </c>
      <c r="C1044" s="30">
        <v>1043.0</v>
      </c>
      <c r="D1044" s="16" t="s">
        <v>1543</v>
      </c>
      <c r="E1044" s="16" t="s">
        <v>184</v>
      </c>
      <c r="F1044" s="16" t="s">
        <v>285</v>
      </c>
      <c r="G1044" s="16" t="s">
        <v>215</v>
      </c>
      <c r="H1044" s="16" t="s">
        <v>220</v>
      </c>
      <c r="I1044" s="16" t="s">
        <v>220</v>
      </c>
    </row>
    <row r="1045" ht="242.25" customHeight="1">
      <c r="A1045" s="32" t="b">
        <v>0</v>
      </c>
      <c r="B1045" s="32" t="str">
        <f>IMAGE("https://gymvisual.com/637-catalog_default/cable-rear-pulldown.jpg",4,500,500)</f>
        <v/>
      </c>
      <c r="C1045" s="30">
        <v>1044.0</v>
      </c>
      <c r="D1045" s="16" t="s">
        <v>1544</v>
      </c>
      <c r="E1045" s="16" t="s">
        <v>184</v>
      </c>
      <c r="F1045" s="16" t="s">
        <v>192</v>
      </c>
      <c r="G1045" s="16" t="s">
        <v>215</v>
      </c>
      <c r="H1045" s="16" t="s">
        <v>300</v>
      </c>
      <c r="I1045" s="16" t="s">
        <v>1545</v>
      </c>
    </row>
    <row r="1046" ht="242.25" customHeight="1">
      <c r="A1046" s="32" t="b">
        <v>0</v>
      </c>
      <c r="B1046" s="32" t="str">
        <f>IMAGE("https://gymvisual.com/2657-catalog_default/cable-reverse-crunch.jpg",4,500,500)</f>
        <v/>
      </c>
      <c r="C1046" s="30">
        <v>1045.0</v>
      </c>
      <c r="D1046" s="16" t="s">
        <v>1546</v>
      </c>
      <c r="E1046" s="16" t="s">
        <v>184</v>
      </c>
      <c r="F1046" s="16" t="s">
        <v>254</v>
      </c>
      <c r="G1046" s="16" t="s">
        <v>215</v>
      </c>
      <c r="H1046" s="16" t="s">
        <v>256</v>
      </c>
      <c r="I1046" s="16" t="s">
        <v>257</v>
      </c>
    </row>
    <row r="1047" ht="242.25" customHeight="1">
      <c r="A1047" s="32" t="b">
        <v>0</v>
      </c>
      <c r="B1047" s="32" t="str">
        <f>IMAGE("https://gymvisual.com/11480-catalog_default/cable-reverse-crunch-female.jpg",4,500,500)</f>
        <v/>
      </c>
      <c r="C1047" s="30">
        <v>1046.0</v>
      </c>
      <c r="D1047" s="16" t="s">
        <v>1547</v>
      </c>
      <c r="E1047" s="16" t="s">
        <v>184</v>
      </c>
      <c r="F1047" s="16" t="s">
        <v>254</v>
      </c>
      <c r="G1047" s="16" t="s">
        <v>215</v>
      </c>
      <c r="H1047" s="16" t="s">
        <v>220</v>
      </c>
      <c r="I1047" s="16" t="s">
        <v>220</v>
      </c>
    </row>
    <row r="1048" ht="242.25" customHeight="1">
      <c r="A1048" s="32" t="b">
        <v>0</v>
      </c>
      <c r="B1048" s="32" t="str">
        <f>IMAGE("https://gymvisual.com/640-catalog_default/cable-reverse-curl.jpg",4,500,500)</f>
        <v/>
      </c>
      <c r="C1048" s="30">
        <v>1047.0</v>
      </c>
      <c r="D1048" s="16" t="s">
        <v>1548</v>
      </c>
      <c r="E1048" s="16" t="s">
        <v>184</v>
      </c>
      <c r="F1048" s="16" t="s">
        <v>214</v>
      </c>
      <c r="G1048" s="16" t="s">
        <v>215</v>
      </c>
      <c r="H1048" s="16" t="s">
        <v>216</v>
      </c>
      <c r="I1048" s="16" t="s">
        <v>217</v>
      </c>
    </row>
    <row r="1049" ht="242.25" customHeight="1">
      <c r="A1049" s="32" t="b">
        <v>0</v>
      </c>
      <c r="B1049" s="32" t="str">
        <f>IMAGE("https://gymvisual.com/6952-catalog_default/cable-reverse-grip-biceps-curl-sz-bar.jpg",4,500,500)</f>
        <v/>
      </c>
      <c r="C1049" s="30">
        <v>1048.0</v>
      </c>
      <c r="D1049" s="16" t="s">
        <v>1549</v>
      </c>
      <c r="E1049" s="16" t="s">
        <v>184</v>
      </c>
      <c r="F1049" s="16" t="s">
        <v>219</v>
      </c>
      <c r="G1049" s="16" t="s">
        <v>215</v>
      </c>
      <c r="H1049" s="16" t="s">
        <v>220</v>
      </c>
      <c r="I1049" s="16" t="s">
        <v>220</v>
      </c>
    </row>
    <row r="1050" ht="242.25" customHeight="1">
      <c r="A1050" s="32" t="b">
        <v>0</v>
      </c>
      <c r="B1050" s="32" t="str">
        <f>IMAGE("https://gymvisual.com/21022-catalog_default/cable-reverse-grip-pulldown.jpg",4,500,500)</f>
        <v/>
      </c>
      <c r="C1050" s="30">
        <v>1049.0</v>
      </c>
      <c r="D1050" s="16" t="s">
        <v>1550</v>
      </c>
      <c r="E1050" s="16" t="s">
        <v>184</v>
      </c>
      <c r="F1050" s="16" t="s">
        <v>192</v>
      </c>
      <c r="G1050" s="16" t="s">
        <v>215</v>
      </c>
      <c r="H1050" s="16" t="s">
        <v>220</v>
      </c>
      <c r="I1050" s="16" t="s">
        <v>220</v>
      </c>
    </row>
    <row r="1051" ht="242.25" customHeight="1">
      <c r="A1051" s="32" t="b">
        <v>0</v>
      </c>
      <c r="B1051" s="32" t="str">
        <f>IMAGE("https://gymvisual.com/11047-catalog_default/cable-reverse-grip-pulldown-female.jpg",4,500,500)</f>
        <v/>
      </c>
      <c r="C1051" s="30">
        <v>1050.0</v>
      </c>
      <c r="D1051" s="16" t="s">
        <v>1551</v>
      </c>
      <c r="E1051" s="16" t="s">
        <v>184</v>
      </c>
      <c r="F1051" s="16" t="s">
        <v>192</v>
      </c>
      <c r="G1051" s="16" t="s">
        <v>215</v>
      </c>
      <c r="H1051" s="16" t="s">
        <v>329</v>
      </c>
      <c r="I1051" s="16" t="s">
        <v>447</v>
      </c>
    </row>
    <row r="1052" ht="242.25" customHeight="1">
      <c r="A1052" s="32" t="b">
        <v>0</v>
      </c>
      <c r="B1052" s="32" t="str">
        <f>IMAGE("https://gymvisual.com/11131-catalog_default/cable-reverse-grip-pushdown-female.jpg",4,500,500)</f>
        <v/>
      </c>
      <c r="C1052" s="30">
        <v>1051.0</v>
      </c>
      <c r="D1052" s="16" t="s">
        <v>1552</v>
      </c>
      <c r="E1052" s="16" t="s">
        <v>184</v>
      </c>
      <c r="F1052" s="16" t="s">
        <v>219</v>
      </c>
      <c r="G1052" s="16" t="s">
        <v>215</v>
      </c>
      <c r="H1052" s="16" t="s">
        <v>223</v>
      </c>
      <c r="I1052" s="16" t="s">
        <v>220</v>
      </c>
    </row>
    <row r="1053" ht="242.25" customHeight="1">
      <c r="A1053" s="32" t="b">
        <v>0</v>
      </c>
      <c r="B1053" s="32" t="str">
        <f>IMAGE("https://gymvisual.com/6948-catalog_default/cable-reverse-grip-triceps-pushdown-sz-bar.jpg",4,500,500)</f>
        <v/>
      </c>
      <c r="C1053" s="30">
        <v>1052.0</v>
      </c>
      <c r="D1053" s="16" t="s">
        <v>1553</v>
      </c>
      <c r="E1053" s="16" t="s">
        <v>184</v>
      </c>
      <c r="F1053" s="16" t="s">
        <v>219</v>
      </c>
      <c r="G1053" s="16" t="s">
        <v>215</v>
      </c>
      <c r="H1053" s="16" t="s">
        <v>223</v>
      </c>
      <c r="I1053" s="16" t="s">
        <v>220</v>
      </c>
    </row>
    <row r="1054" ht="242.25" customHeight="1">
      <c r="A1054" s="32" t="b">
        <v>0</v>
      </c>
      <c r="B1054" s="32" t="str">
        <f>IMAGE("https://gymvisual.com/10459-catalog_default/cable-reverse-grip-triceps-pushdown-sz-bar-with-arm-blaster.jpg",4,500,500)</f>
        <v/>
      </c>
      <c r="C1054" s="30">
        <v>1053.0</v>
      </c>
      <c r="D1054" s="16" t="s">
        <v>1554</v>
      </c>
      <c r="E1054" s="16" t="s">
        <v>184</v>
      </c>
      <c r="F1054" s="16" t="s">
        <v>219</v>
      </c>
      <c r="G1054" s="16" t="s">
        <v>215</v>
      </c>
      <c r="H1054" s="16" t="s">
        <v>223</v>
      </c>
      <c r="I1054" s="16" t="s">
        <v>220</v>
      </c>
    </row>
    <row r="1055" ht="242.25" customHeight="1">
      <c r="A1055" s="32" t="b">
        <v>0</v>
      </c>
      <c r="B1055" s="32" t="str">
        <f>IMAGE("https://gymvisual.com/6265-catalog_default/cable-reverse-one-arm-curl.jpg",4,500,500)</f>
        <v/>
      </c>
      <c r="C1055" s="30">
        <v>1054.0</v>
      </c>
      <c r="D1055" s="16" t="s">
        <v>1555</v>
      </c>
      <c r="E1055" s="16" t="s">
        <v>184</v>
      </c>
      <c r="F1055" s="16" t="s">
        <v>214</v>
      </c>
      <c r="G1055" s="16" t="s">
        <v>215</v>
      </c>
      <c r="H1055" s="16" t="s">
        <v>216</v>
      </c>
      <c r="I1055" s="16" t="s">
        <v>217</v>
      </c>
    </row>
    <row r="1056" ht="242.25" customHeight="1">
      <c r="A1056" s="32" t="b">
        <v>0</v>
      </c>
      <c r="B1056" s="32" t="str">
        <f>IMAGE("https://gymvisual.com/11582-catalog_default/cable-reverse-one-arm-curl-female.jpg",4,500,500)</f>
        <v/>
      </c>
      <c r="C1056" s="30">
        <v>1055.0</v>
      </c>
      <c r="D1056" s="16" t="s">
        <v>1556</v>
      </c>
      <c r="E1056" s="16" t="s">
        <v>184</v>
      </c>
      <c r="F1056" s="16" t="s">
        <v>219</v>
      </c>
      <c r="G1056" s="16" t="s">
        <v>215</v>
      </c>
      <c r="H1056" s="16" t="s">
        <v>220</v>
      </c>
      <c r="I1056" s="16" t="s">
        <v>220</v>
      </c>
    </row>
    <row r="1057" ht="242.25" customHeight="1">
      <c r="A1057" s="32" t="b">
        <v>0</v>
      </c>
      <c r="B1057" s="32" t="str">
        <f>IMAGE("https://gymvisual.com/25838-catalog_default/cable-reverse-preacher-curl.jpg",4,500,500)</f>
        <v/>
      </c>
      <c r="C1057" s="30">
        <v>1056.0</v>
      </c>
      <c r="D1057" s="16" t="s">
        <v>1557</v>
      </c>
      <c r="E1057" s="16" t="s">
        <v>184</v>
      </c>
      <c r="F1057" s="16" t="s">
        <v>214</v>
      </c>
      <c r="G1057" s="16" t="s">
        <v>215</v>
      </c>
      <c r="H1057" s="16" t="s">
        <v>216</v>
      </c>
      <c r="I1057" s="16" t="s">
        <v>217</v>
      </c>
    </row>
    <row r="1058" ht="242.25" customHeight="1">
      <c r="A1058" s="32" t="b">
        <v>0</v>
      </c>
      <c r="B1058" s="32" t="str">
        <f>IMAGE("https://gymvisual.com/652-catalog_default/cable-reverse-wrist-curl.jpg",4,500,500)</f>
        <v/>
      </c>
      <c r="C1058" s="30">
        <v>1057.0</v>
      </c>
      <c r="D1058" s="16" t="s">
        <v>1558</v>
      </c>
      <c r="E1058" s="16" t="s">
        <v>184</v>
      </c>
      <c r="F1058" s="16" t="s">
        <v>214</v>
      </c>
      <c r="G1058" s="16" t="s">
        <v>215</v>
      </c>
      <c r="H1058" s="16" t="s">
        <v>604</v>
      </c>
      <c r="I1058" s="16" t="s">
        <v>220</v>
      </c>
    </row>
    <row r="1059" ht="242.25" customHeight="1">
      <c r="A1059" s="32" t="b">
        <v>0</v>
      </c>
      <c r="B1059" s="32" t="str">
        <f>IMAGE("https://gymvisual.com/24784-catalog_default/cable-reverse-grip-pushdown.jpg",4,500,500)</f>
        <v/>
      </c>
      <c r="C1059" s="30">
        <v>1058.0</v>
      </c>
      <c r="D1059" s="16" t="s">
        <v>1559</v>
      </c>
      <c r="E1059" s="16" t="s">
        <v>184</v>
      </c>
      <c r="F1059" s="16" t="s">
        <v>219</v>
      </c>
      <c r="G1059" s="16" t="s">
        <v>215</v>
      </c>
      <c r="H1059" s="16" t="s">
        <v>223</v>
      </c>
      <c r="I1059" s="16" t="s">
        <v>220</v>
      </c>
    </row>
    <row r="1060" ht="242.25" customHeight="1">
      <c r="A1060" s="32" t="b">
        <v>0</v>
      </c>
      <c r="B1060" s="32" t="str">
        <f>IMAGE("https://gymvisual.com/15641-catalog_default/cable-reverse-grip-straight-back-seated-high-row.jpg",4,500,500)</f>
        <v/>
      </c>
      <c r="C1060" s="30">
        <v>1059.0</v>
      </c>
      <c r="D1060" s="16" t="s">
        <v>1560</v>
      </c>
      <c r="E1060" s="16" t="s">
        <v>184</v>
      </c>
      <c r="F1060" s="16" t="s">
        <v>192</v>
      </c>
      <c r="G1060" s="16" t="s">
        <v>215</v>
      </c>
      <c r="H1060" s="16" t="s">
        <v>329</v>
      </c>
      <c r="I1060" s="16" t="s">
        <v>447</v>
      </c>
    </row>
    <row r="1061" ht="242.25" customHeight="1">
      <c r="A1061" s="32" t="b">
        <v>0</v>
      </c>
      <c r="B1061" s="32" t="str">
        <f>IMAGE("https://gymvisual.com/6011-catalog_default/cable-rope-crossover-seated-row.jpg",4,500,500)</f>
        <v/>
      </c>
      <c r="C1061" s="30">
        <v>1060.0</v>
      </c>
      <c r="D1061" s="16" t="s">
        <v>1561</v>
      </c>
      <c r="E1061" s="16" t="s">
        <v>184</v>
      </c>
      <c r="F1061" s="16" t="s">
        <v>192</v>
      </c>
      <c r="G1061" s="16" t="s">
        <v>215</v>
      </c>
      <c r="H1061" s="16" t="s">
        <v>404</v>
      </c>
      <c r="I1061" s="16" t="s">
        <v>457</v>
      </c>
    </row>
    <row r="1062" ht="242.25" customHeight="1">
      <c r="A1062" s="32" t="b">
        <v>0</v>
      </c>
      <c r="B1062" s="32" t="str">
        <f>IMAGE("https://gymvisual.com/6012-catalog_default/cable-rope-elevated-seated-row.jpg",4,500,500)</f>
        <v/>
      </c>
      <c r="C1062" s="30">
        <v>1061.0</v>
      </c>
      <c r="D1062" s="16" t="s">
        <v>1562</v>
      </c>
      <c r="E1062" s="16" t="s">
        <v>184</v>
      </c>
      <c r="F1062" s="16" t="s">
        <v>192</v>
      </c>
      <c r="G1062" s="16" t="s">
        <v>215</v>
      </c>
      <c r="H1062" s="16" t="s">
        <v>329</v>
      </c>
      <c r="I1062" s="16" t="s">
        <v>457</v>
      </c>
    </row>
    <row r="1063" ht="242.25" customHeight="1">
      <c r="A1063" s="32" t="b">
        <v>0</v>
      </c>
      <c r="B1063" s="32" t="str">
        <f>IMAGE("https://gymvisual.com/6013-catalog_default/cable-rope-extension-incline-bench-row.jpg",4,500,500)</f>
        <v/>
      </c>
      <c r="C1063" s="30">
        <v>1062.0</v>
      </c>
      <c r="D1063" s="16" t="s">
        <v>1563</v>
      </c>
      <c r="E1063" s="16" t="s">
        <v>184</v>
      </c>
      <c r="F1063" s="16" t="s">
        <v>192</v>
      </c>
      <c r="G1063" s="16" t="s">
        <v>215</v>
      </c>
      <c r="H1063" s="16" t="s">
        <v>570</v>
      </c>
      <c r="I1063" s="16" t="s">
        <v>457</v>
      </c>
    </row>
    <row r="1064" ht="242.25" customHeight="1">
      <c r="A1064" s="32" t="b">
        <v>0</v>
      </c>
      <c r="B1064" s="32" t="str">
        <f>IMAGE("https://gymvisual.com/7113-catalog_default/cable-rope-hammer-preacher-curl.jpg",4,500,500)</f>
        <v/>
      </c>
      <c r="C1064" s="30">
        <v>1063.0</v>
      </c>
      <c r="D1064" s="16" t="s">
        <v>1564</v>
      </c>
      <c r="E1064" s="16" t="s">
        <v>184</v>
      </c>
      <c r="F1064" s="16" t="s">
        <v>219</v>
      </c>
      <c r="G1064" s="16" t="s">
        <v>215</v>
      </c>
      <c r="H1064" s="16" t="s">
        <v>220</v>
      </c>
      <c r="I1064" s="16" t="s">
        <v>220</v>
      </c>
    </row>
    <row r="1065" ht="242.25" customHeight="1">
      <c r="A1065" s="32" t="b">
        <v>0</v>
      </c>
      <c r="B1065" s="32" t="str">
        <f>IMAGE("https://gymvisual.com/7443-catalog_default/cable-rope-high-pulley-overhead-tricep-extension.jpg",4,500,500)</f>
        <v/>
      </c>
      <c r="C1065" s="30">
        <v>1064.0</v>
      </c>
      <c r="D1065" s="16" t="s">
        <v>1565</v>
      </c>
      <c r="E1065" s="16" t="s">
        <v>184</v>
      </c>
      <c r="F1065" s="16" t="s">
        <v>219</v>
      </c>
      <c r="G1065" s="16" t="s">
        <v>215</v>
      </c>
      <c r="H1065" s="16" t="s">
        <v>223</v>
      </c>
      <c r="I1065" s="16" t="s">
        <v>220</v>
      </c>
    </row>
    <row r="1066" ht="242.25" customHeight="1">
      <c r="A1066" s="32" t="b">
        <v>0</v>
      </c>
      <c r="B1066" s="32" t="str">
        <f>IMAGE("https://gymvisual.com/7444-catalog_default/cable-rope-incline-tricep-extension.jpg",4,500,500)</f>
        <v/>
      </c>
      <c r="C1066" s="30">
        <v>1065.0</v>
      </c>
      <c r="D1066" s="16" t="s">
        <v>1566</v>
      </c>
      <c r="E1066" s="16" t="s">
        <v>184</v>
      </c>
      <c r="F1066" s="16" t="s">
        <v>219</v>
      </c>
      <c r="G1066" s="16" t="s">
        <v>215</v>
      </c>
      <c r="H1066" s="16" t="s">
        <v>220</v>
      </c>
      <c r="I1066" s="16" t="s">
        <v>220</v>
      </c>
    </row>
    <row r="1067" ht="242.25" customHeight="1">
      <c r="A1067" s="32" t="b">
        <v>0</v>
      </c>
      <c r="B1067" s="32" t="str">
        <f>IMAGE("https://gymvisual.com/7445-catalog_default/cable-rope-lying-on-floor-tricep-extension.jpg",4,500,500)</f>
        <v/>
      </c>
      <c r="C1067" s="30">
        <v>1066.0</v>
      </c>
      <c r="D1067" s="16" t="s">
        <v>1567</v>
      </c>
      <c r="E1067" s="16" t="s">
        <v>184</v>
      </c>
      <c r="F1067" s="16" t="s">
        <v>219</v>
      </c>
      <c r="G1067" s="16" t="s">
        <v>215</v>
      </c>
      <c r="H1067" s="16" t="s">
        <v>220</v>
      </c>
      <c r="I1067" s="16" t="s">
        <v>220</v>
      </c>
    </row>
    <row r="1068" ht="242.25" customHeight="1">
      <c r="A1068" s="32" t="b">
        <v>0</v>
      </c>
      <c r="B1068" s="32" t="str">
        <f>IMAGE("https://gymvisual.com/7114-catalog_default/cable-rope-one-arm-hammer-preacher-curl.jpg",4,500,500)</f>
        <v/>
      </c>
      <c r="C1068" s="30">
        <v>1067.0</v>
      </c>
      <c r="D1068" s="16" t="s">
        <v>1568</v>
      </c>
      <c r="E1068" s="16" t="s">
        <v>184</v>
      </c>
      <c r="F1068" s="16" t="s">
        <v>219</v>
      </c>
      <c r="G1068" s="16" t="s">
        <v>215</v>
      </c>
      <c r="H1068" s="16" t="s">
        <v>220</v>
      </c>
      <c r="I1068" s="16" t="s">
        <v>220</v>
      </c>
    </row>
    <row r="1069" ht="242.25" customHeight="1">
      <c r="A1069" s="32" t="b">
        <v>0</v>
      </c>
      <c r="B1069" s="32" t="str">
        <f>IMAGE("https://gymvisual.com/6014-catalog_default/cable-rope-seated-row.jpg",4,500,500)</f>
        <v/>
      </c>
      <c r="C1069" s="30">
        <v>1068.0</v>
      </c>
      <c r="D1069" s="16" t="s">
        <v>1569</v>
      </c>
      <c r="E1069" s="16" t="s">
        <v>184</v>
      </c>
      <c r="F1069" s="16" t="s">
        <v>192</v>
      </c>
      <c r="G1069" s="16" t="s">
        <v>215</v>
      </c>
      <c r="H1069" s="16" t="s">
        <v>329</v>
      </c>
      <c r="I1069" s="16" t="s">
        <v>457</v>
      </c>
    </row>
    <row r="1070" ht="242.25" customHeight="1">
      <c r="A1070" s="32" t="b">
        <v>0</v>
      </c>
      <c r="B1070" s="32" t="str">
        <f>IMAGE("https://gymvisual.com/655-catalog_default/cable-russian-twists-on-stability-ball.jpg",4,500,500)</f>
        <v/>
      </c>
      <c r="C1070" s="30">
        <v>1069.0</v>
      </c>
      <c r="D1070" s="16" t="s">
        <v>1570</v>
      </c>
      <c r="E1070" s="16" t="s">
        <v>184</v>
      </c>
      <c r="F1070" s="16" t="s">
        <v>254</v>
      </c>
      <c r="G1070" s="16" t="s">
        <v>215</v>
      </c>
      <c r="H1070" s="16" t="s">
        <v>257</v>
      </c>
      <c r="I1070" s="16" t="s">
        <v>220</v>
      </c>
    </row>
    <row r="1071" ht="242.25" customHeight="1">
      <c r="B1071" s="32" t="str">
        <f>IMAGE("https://gymvisual.com/13389-catalog_default/cable-russian-twists-on-stability-ball-female.jpg",4,500,500)</f>
        <v/>
      </c>
      <c r="C1071" s="30">
        <v>1070.0</v>
      </c>
      <c r="D1071" s="16" t="s">
        <v>1571</v>
      </c>
      <c r="E1071" s="16" t="s">
        <v>184</v>
      </c>
      <c r="F1071" s="16" t="s">
        <v>254</v>
      </c>
      <c r="G1071" s="16" t="s">
        <v>1572</v>
      </c>
      <c r="H1071" s="16" t="s">
        <v>220</v>
      </c>
      <c r="I1071" s="16" t="s">
        <v>220</v>
      </c>
    </row>
    <row r="1072" ht="242.25" customHeight="1">
      <c r="A1072" s="32" t="b">
        <v>0</v>
      </c>
      <c r="B1072" s="32" t="str">
        <f>IMAGE("https://gymvisual.com/17737-catalog_default/cable-seated-chest-fly.jpg",4,500,500)</f>
        <v/>
      </c>
      <c r="C1072" s="30">
        <v>1071.0</v>
      </c>
      <c r="D1072" s="16" t="s">
        <v>1573</v>
      </c>
      <c r="E1072" s="16" t="s">
        <v>184</v>
      </c>
      <c r="F1072" s="16" t="s">
        <v>234</v>
      </c>
      <c r="G1072" s="16" t="s">
        <v>215</v>
      </c>
      <c r="H1072" s="16" t="s">
        <v>220</v>
      </c>
      <c r="I1072" s="16" t="s">
        <v>220</v>
      </c>
    </row>
    <row r="1073" ht="242.25" customHeight="1">
      <c r="A1073" s="32" t="b">
        <v>0</v>
      </c>
      <c r="B1073" s="32" t="str">
        <f>IMAGE("https://gymvisual.com/8767-catalog_default/cable-seated-chest-press.jpg",4,500,500)</f>
        <v/>
      </c>
      <c r="C1073" s="30">
        <v>1072.0</v>
      </c>
      <c r="D1073" s="16" t="s">
        <v>1574</v>
      </c>
      <c r="E1073" s="16" t="s">
        <v>184</v>
      </c>
      <c r="F1073" s="16" t="s">
        <v>234</v>
      </c>
      <c r="G1073" s="16" t="s">
        <v>215</v>
      </c>
      <c r="H1073" s="16" t="s">
        <v>220</v>
      </c>
      <c r="I1073" s="16" t="s">
        <v>220</v>
      </c>
    </row>
    <row r="1074" ht="242.25" customHeight="1">
      <c r="A1074" s="32" t="b">
        <v>0</v>
      </c>
      <c r="B1074" s="32" t="str">
        <f>IMAGE("https://gymvisual.com/13391-catalog_default/cable-seated-chest-press-female.jpg",4,500,500)</f>
        <v/>
      </c>
      <c r="C1074" s="30">
        <v>1073.0</v>
      </c>
      <c r="D1074" s="16" t="s">
        <v>1575</v>
      </c>
      <c r="E1074" s="16" t="s">
        <v>184</v>
      </c>
      <c r="F1074" s="16" t="s">
        <v>234</v>
      </c>
      <c r="G1074" s="16" t="s">
        <v>215</v>
      </c>
      <c r="H1074" s="16" t="s">
        <v>220</v>
      </c>
      <c r="I1074" s="16" t="s">
        <v>220</v>
      </c>
    </row>
    <row r="1075" ht="242.25" customHeight="1">
      <c r="A1075" s="32" t="b">
        <v>0</v>
      </c>
      <c r="B1075" s="32" t="str">
        <f>IMAGE("https://gymvisual.com/17817-catalog_default/cable-seated-cross-arm-twist.jpg",4,500,500)</f>
        <v/>
      </c>
      <c r="C1075" s="30">
        <v>1074.0</v>
      </c>
      <c r="D1075" s="16" t="s">
        <v>1576</v>
      </c>
      <c r="E1075" s="16" t="s">
        <v>184</v>
      </c>
      <c r="F1075" s="16" t="s">
        <v>254</v>
      </c>
      <c r="G1075" s="16" t="s">
        <v>215</v>
      </c>
      <c r="H1075" s="16" t="s">
        <v>220</v>
      </c>
      <c r="I1075" s="16" t="s">
        <v>220</v>
      </c>
    </row>
    <row r="1076" ht="242.25" customHeight="1">
      <c r="A1076" s="32" t="b">
        <v>0</v>
      </c>
      <c r="B1076" s="32" t="str">
        <f>IMAGE("https://gymvisual.com/25214-catalog_default/cable-seated-crunch.jpg",4,500,500)</f>
        <v/>
      </c>
      <c r="C1076" s="30">
        <v>1075.0</v>
      </c>
      <c r="D1076" s="16" t="s">
        <v>1577</v>
      </c>
      <c r="E1076" s="16" t="s">
        <v>184</v>
      </c>
      <c r="F1076" s="16" t="s">
        <v>254</v>
      </c>
      <c r="G1076" s="16" t="s">
        <v>215</v>
      </c>
      <c r="H1076" s="16" t="s">
        <v>256</v>
      </c>
      <c r="I1076" s="16" t="s">
        <v>257</v>
      </c>
    </row>
    <row r="1077" ht="242.25" customHeight="1">
      <c r="A1077" s="32" t="b">
        <v>0</v>
      </c>
      <c r="B1077" s="32" t="str">
        <f>IMAGE("https://gymvisual.com/11601-catalog_default/cable-seated-crunch-female.jpg",4,500,500)</f>
        <v/>
      </c>
      <c r="C1077" s="30">
        <v>1076.0</v>
      </c>
      <c r="D1077" s="16" t="s">
        <v>1578</v>
      </c>
      <c r="E1077" s="16" t="s">
        <v>184</v>
      </c>
      <c r="F1077" s="16" t="s">
        <v>254</v>
      </c>
      <c r="G1077" s="16" t="s">
        <v>215</v>
      </c>
      <c r="H1077" s="16" t="s">
        <v>220</v>
      </c>
      <c r="I1077" s="16" t="s">
        <v>220</v>
      </c>
    </row>
    <row r="1078" ht="242.25" customHeight="1">
      <c r="A1078" s="32" t="b">
        <v>0</v>
      </c>
      <c r="B1078" s="32" t="str">
        <f>IMAGE("https://gymvisual.com/7115-catalog_default/cable-seated-curl.jpg",4,500,500)</f>
        <v/>
      </c>
      <c r="C1078" s="30">
        <v>1077.0</v>
      </c>
      <c r="D1078" s="16" t="s">
        <v>1579</v>
      </c>
      <c r="E1078" s="16" t="s">
        <v>184</v>
      </c>
      <c r="F1078" s="16" t="s">
        <v>219</v>
      </c>
      <c r="G1078" s="16" t="s">
        <v>215</v>
      </c>
      <c r="H1078" s="16" t="s">
        <v>220</v>
      </c>
      <c r="I1078" s="16" t="s">
        <v>220</v>
      </c>
    </row>
    <row r="1079" ht="242.25" customHeight="1">
      <c r="A1079" s="32" t="b">
        <v>0</v>
      </c>
      <c r="B1079" s="32" t="str">
        <f>IMAGE("https://gymvisual.com/13393-catalog_default/cable-seated-curl-female.jpg",4,500,500)</f>
        <v/>
      </c>
      <c r="C1079" s="30">
        <v>1078.0</v>
      </c>
      <c r="D1079" s="16" t="s">
        <v>1580</v>
      </c>
      <c r="E1079" s="16" t="s">
        <v>184</v>
      </c>
      <c r="F1079" s="16" t="s">
        <v>219</v>
      </c>
      <c r="G1079" s="16" t="s">
        <v>215</v>
      </c>
      <c r="H1079" s="16" t="s">
        <v>220</v>
      </c>
      <c r="I1079" s="16" t="s">
        <v>220</v>
      </c>
    </row>
    <row r="1080" ht="242.25" customHeight="1">
      <c r="A1080" s="32" t="b">
        <v>0</v>
      </c>
      <c r="B1080" s="32" t="str">
        <f>IMAGE("https://gymvisual.com/24995-catalog_default/cable-seated-face-pull-with-rope-male.jpg",4,500,500)</f>
        <v/>
      </c>
      <c r="C1080" s="30">
        <v>1079.0</v>
      </c>
      <c r="D1080" s="16" t="s">
        <v>1581</v>
      </c>
      <c r="E1080" s="16" t="s">
        <v>184</v>
      </c>
      <c r="F1080" s="16" t="s">
        <v>228</v>
      </c>
      <c r="G1080" s="16" t="s">
        <v>215</v>
      </c>
      <c r="H1080" s="16" t="s">
        <v>220</v>
      </c>
      <c r="I1080" s="16" t="s">
        <v>220</v>
      </c>
    </row>
    <row r="1081" ht="242.25" customHeight="1">
      <c r="A1081" s="32" t="b">
        <v>0</v>
      </c>
      <c r="B1081" s="32" t="str">
        <f>IMAGE("https://gymvisual.com/17197-catalog_default/cable-seated-floor-one-arm-concentration-curl.jpg",4,500,500)</f>
        <v/>
      </c>
      <c r="C1081" s="30">
        <v>1080.0</v>
      </c>
      <c r="D1081" s="16" t="s">
        <v>1582</v>
      </c>
      <c r="E1081" s="16" t="s">
        <v>184</v>
      </c>
      <c r="F1081" s="16" t="s">
        <v>219</v>
      </c>
      <c r="G1081" s="16" t="s">
        <v>215</v>
      </c>
      <c r="H1081" s="16" t="s">
        <v>241</v>
      </c>
      <c r="I1081" s="16" t="s">
        <v>292</v>
      </c>
    </row>
    <row r="1082" ht="242.25" customHeight="1">
      <c r="A1082" s="32" t="b">
        <v>0</v>
      </c>
      <c r="B1082" s="32" t="str">
        <f>IMAGE("https://gymvisual.com/25964-catalog_default/cable-seated-high-pulley-overhead-triceps-extension.jpg",4,500,500)</f>
        <v/>
      </c>
      <c r="C1082" s="30">
        <v>1081.0</v>
      </c>
      <c r="D1082" s="16" t="s">
        <v>1583</v>
      </c>
      <c r="E1082" s="16" t="s">
        <v>184</v>
      </c>
      <c r="F1082" s="16" t="s">
        <v>219</v>
      </c>
      <c r="G1082" s="16" t="s">
        <v>215</v>
      </c>
      <c r="H1082" s="16" t="s">
        <v>223</v>
      </c>
      <c r="I1082" s="16" t="s">
        <v>220</v>
      </c>
    </row>
    <row r="1083" ht="242.25" customHeight="1">
      <c r="A1083" s="32" t="b">
        <v>0</v>
      </c>
      <c r="B1083" s="32" t="str">
        <f>IMAGE("https://gymvisual.com/13395-catalog_default/cable-seated-high-row-v-bar-female.jpg",4,500,500)</f>
        <v/>
      </c>
      <c r="C1083" s="30">
        <v>1082.0</v>
      </c>
      <c r="D1083" s="16" t="s">
        <v>1584</v>
      </c>
      <c r="E1083" s="16" t="s">
        <v>184</v>
      </c>
      <c r="F1083" s="16" t="s">
        <v>192</v>
      </c>
      <c r="G1083" s="16" t="s">
        <v>215</v>
      </c>
      <c r="H1083" s="16" t="s">
        <v>570</v>
      </c>
      <c r="I1083" s="16" t="s">
        <v>447</v>
      </c>
    </row>
    <row r="1084" ht="242.25" customHeight="1">
      <c r="A1084" s="32" t="b">
        <v>0</v>
      </c>
      <c r="B1084" s="32" t="str">
        <f>IMAGE("https://gymvisual.com/661-catalog_default/cable-seated-high-row-v-bar.jpg",4,500,500)</f>
        <v/>
      </c>
      <c r="C1084" s="30">
        <v>1083.0</v>
      </c>
      <c r="D1084" s="16" t="s">
        <v>1585</v>
      </c>
      <c r="E1084" s="16" t="s">
        <v>184</v>
      </c>
      <c r="F1084" s="16" t="s">
        <v>192</v>
      </c>
      <c r="G1084" s="16" t="s">
        <v>215</v>
      </c>
      <c r="H1084" s="16" t="s">
        <v>300</v>
      </c>
      <c r="I1084" s="16" t="s">
        <v>1357</v>
      </c>
    </row>
    <row r="1085" ht="242.25" customHeight="1">
      <c r="A1085" s="32" t="b">
        <v>0</v>
      </c>
      <c r="B1085" s="32" t="str">
        <f>IMAGE("https://gymvisual.com/17923-catalog_default/cable-seated-horizontal-shrug-male.jpg",4,500,500)</f>
        <v/>
      </c>
      <c r="C1085" s="30">
        <v>1084.0</v>
      </c>
      <c r="D1085" s="16" t="s">
        <v>1586</v>
      </c>
      <c r="E1085" s="16" t="s">
        <v>184</v>
      </c>
      <c r="F1085" s="16" t="s">
        <v>192</v>
      </c>
      <c r="G1085" s="16" t="s">
        <v>215</v>
      </c>
      <c r="H1085" s="16" t="s">
        <v>220</v>
      </c>
      <c r="I1085" s="16" t="s">
        <v>220</v>
      </c>
    </row>
    <row r="1086" ht="242.25" customHeight="1">
      <c r="A1086" s="32" t="b">
        <v>0</v>
      </c>
      <c r="B1086" s="32" t="str">
        <f>IMAGE("https://gymvisual.com/24462-catalog_default/cable-seated-lats-focused-row.jpg",4,500,500)</f>
        <v/>
      </c>
      <c r="C1086" s="30">
        <v>1085.0</v>
      </c>
      <c r="D1086" s="16" t="s">
        <v>1587</v>
      </c>
      <c r="E1086" s="16" t="s">
        <v>184</v>
      </c>
      <c r="F1086" s="16" t="s">
        <v>192</v>
      </c>
      <c r="G1086" s="16" t="s">
        <v>215</v>
      </c>
      <c r="H1086" s="16" t="s">
        <v>300</v>
      </c>
      <c r="I1086" s="16" t="s">
        <v>387</v>
      </c>
    </row>
    <row r="1087" ht="242.25" customHeight="1">
      <c r="A1087" s="32" t="b">
        <v>0</v>
      </c>
      <c r="B1087" s="32" t="str">
        <f>IMAGE("https://gymvisual.com/25007-catalog_default/cable-seated-leg-extension.jpg",4,500,500)</f>
        <v/>
      </c>
      <c r="C1087" s="30">
        <v>1086.0</v>
      </c>
      <c r="D1087" s="16" t="s">
        <v>1588</v>
      </c>
      <c r="E1087" s="16" t="s">
        <v>184</v>
      </c>
      <c r="F1087" s="16" t="s">
        <v>285</v>
      </c>
      <c r="G1087" s="16" t="s">
        <v>215</v>
      </c>
      <c r="H1087" s="16" t="s">
        <v>220</v>
      </c>
      <c r="I1087" s="16" t="s">
        <v>220</v>
      </c>
    </row>
    <row r="1088" ht="242.25" customHeight="1">
      <c r="A1088" s="32" t="b">
        <v>0</v>
      </c>
      <c r="B1088" s="32" t="str">
        <f>IMAGE("https://gymvisual.com/10489-catalog_default/cable-seated-neck-extension-with-head-harness.jpg",4,500,500)</f>
        <v/>
      </c>
      <c r="C1088" s="30">
        <v>1087.0</v>
      </c>
      <c r="D1088" s="16" t="s">
        <v>1589</v>
      </c>
      <c r="E1088" s="16" t="s">
        <v>184</v>
      </c>
      <c r="F1088" s="16" t="s">
        <v>351</v>
      </c>
      <c r="G1088" s="16" t="s">
        <v>215</v>
      </c>
      <c r="H1088" s="16" t="s">
        <v>1590</v>
      </c>
      <c r="I1088" s="16" t="s">
        <v>220</v>
      </c>
    </row>
    <row r="1089" ht="242.25" customHeight="1">
      <c r="A1089" s="32" t="b">
        <v>0</v>
      </c>
      <c r="B1089" s="32" t="str">
        <f>IMAGE("https://gymvisual.com/10490-catalog_default/cable-seated-neck-flexion-with-head-harness.jpg",4,500,500)</f>
        <v/>
      </c>
      <c r="C1089" s="30">
        <v>1088.0</v>
      </c>
      <c r="D1089" s="16" t="s">
        <v>1591</v>
      </c>
      <c r="E1089" s="16" t="s">
        <v>184</v>
      </c>
      <c r="F1089" s="16" t="s">
        <v>351</v>
      </c>
      <c r="G1089" s="16" t="s">
        <v>215</v>
      </c>
      <c r="H1089" s="16" t="s">
        <v>220</v>
      </c>
      <c r="I1089" s="16" t="s">
        <v>220</v>
      </c>
    </row>
    <row r="1090" ht="242.25" customHeight="1">
      <c r="A1090" s="32" t="b">
        <v>0</v>
      </c>
      <c r="B1090" s="32" t="str">
        <f>IMAGE("https://gymvisual.com/13662-catalog_default/cable-seated-on-floor-row-with-rope.jpg",4,500,500)</f>
        <v/>
      </c>
      <c r="C1090" s="30">
        <v>1089.0</v>
      </c>
      <c r="D1090" s="16" t="s">
        <v>1592</v>
      </c>
      <c r="E1090" s="16" t="s">
        <v>184</v>
      </c>
      <c r="F1090" s="16" t="s">
        <v>192</v>
      </c>
      <c r="G1090" s="16" t="s">
        <v>215</v>
      </c>
      <c r="H1090" s="16" t="s">
        <v>329</v>
      </c>
      <c r="I1090" s="16" t="s">
        <v>220</v>
      </c>
    </row>
    <row r="1091" ht="242.25" customHeight="1">
      <c r="A1091" s="32" t="b">
        <v>0</v>
      </c>
      <c r="B1091" s="32" t="str">
        <f>IMAGE("https://gymvisual.com/664-catalog_default/cable-seated-one-arm-alternate-row.jpg",4,500,500)</f>
        <v/>
      </c>
      <c r="C1091" s="30">
        <v>1090.0</v>
      </c>
      <c r="D1091" s="16" t="s">
        <v>1593</v>
      </c>
      <c r="E1091" s="16" t="s">
        <v>184</v>
      </c>
      <c r="F1091" s="16" t="s">
        <v>192</v>
      </c>
      <c r="G1091" s="16" t="s">
        <v>215</v>
      </c>
      <c r="H1091" s="16" t="s">
        <v>329</v>
      </c>
      <c r="I1091" s="16" t="s">
        <v>330</v>
      </c>
    </row>
    <row r="1092" ht="242.25" customHeight="1">
      <c r="A1092" s="32" t="b">
        <v>0</v>
      </c>
      <c r="B1092" s="32" t="str">
        <f>IMAGE("https://gymvisual.com/7116-catalog_default/cable-seated-one-arm-concentration-curl.jpg",4,500,500)</f>
        <v/>
      </c>
      <c r="C1092" s="30">
        <v>1091.0</v>
      </c>
      <c r="D1092" s="16" t="s">
        <v>1594</v>
      </c>
      <c r="E1092" s="16" t="s">
        <v>184</v>
      </c>
      <c r="F1092" s="16" t="s">
        <v>219</v>
      </c>
      <c r="G1092" s="16" t="s">
        <v>215</v>
      </c>
      <c r="H1092" s="16" t="s">
        <v>220</v>
      </c>
      <c r="I1092" s="16" t="s">
        <v>220</v>
      </c>
    </row>
    <row r="1093" ht="242.25" customHeight="1">
      <c r="A1093" s="32" t="b">
        <v>0</v>
      </c>
      <c r="B1093" s="32" t="str">
        <f>IMAGE("https://gymvisual.com/13397-catalog_default/cable-seated-one-arm-concentration-curl-female.jpg",4,500,500)</f>
        <v/>
      </c>
      <c r="C1093" s="30">
        <v>1092.0</v>
      </c>
      <c r="D1093" s="16" t="s">
        <v>1595</v>
      </c>
      <c r="E1093" s="16" t="s">
        <v>184</v>
      </c>
      <c r="F1093" s="16" t="s">
        <v>219</v>
      </c>
      <c r="G1093" s="16" t="s">
        <v>215</v>
      </c>
      <c r="H1093" s="16" t="s">
        <v>220</v>
      </c>
      <c r="I1093" s="16" t="s">
        <v>220</v>
      </c>
    </row>
    <row r="1094" ht="242.25" customHeight="1">
      <c r="A1094" s="32" t="b">
        <v>0</v>
      </c>
      <c r="B1094" s="32" t="str">
        <f>IMAGE("https://gymvisual.com/7117-catalog_default/cable-seated-overhead-curl.jpg",4,500,500)</f>
        <v/>
      </c>
      <c r="C1094" s="30">
        <v>1093.0</v>
      </c>
      <c r="D1094" s="16" t="s">
        <v>1596</v>
      </c>
      <c r="E1094" s="16" t="s">
        <v>184</v>
      </c>
      <c r="F1094" s="16" t="s">
        <v>219</v>
      </c>
      <c r="G1094" s="16" t="s">
        <v>215</v>
      </c>
      <c r="H1094" s="16" t="s">
        <v>220</v>
      </c>
      <c r="I1094" s="16" t="s">
        <v>220</v>
      </c>
    </row>
    <row r="1095" ht="242.25" customHeight="1">
      <c r="A1095" s="32" t="b">
        <v>0</v>
      </c>
      <c r="B1095" s="32" t="str">
        <f>IMAGE("https://gymvisual.com/13399-catalog_default/cable-seated-overhead-curl-female.jpg",4,500,500)</f>
        <v/>
      </c>
      <c r="C1095" s="30">
        <v>1094.0</v>
      </c>
      <c r="D1095" s="16" t="s">
        <v>1597</v>
      </c>
      <c r="E1095" s="16" t="s">
        <v>184</v>
      </c>
      <c r="F1095" s="16" t="s">
        <v>219</v>
      </c>
      <c r="G1095" s="16" t="s">
        <v>215</v>
      </c>
      <c r="H1095" s="16" t="s">
        <v>220</v>
      </c>
      <c r="I1095" s="16" t="s">
        <v>220</v>
      </c>
    </row>
    <row r="1096" ht="242.25" customHeight="1">
      <c r="A1096" s="32" t="b">
        <v>0</v>
      </c>
      <c r="B1096" s="32" t="str">
        <f>IMAGE("https://gymvisual.com/18003-catalog_default/cable-seated-pullover.jpg",4,500,500)</f>
        <v/>
      </c>
      <c r="C1096" s="30">
        <v>1095.0</v>
      </c>
      <c r="D1096" s="16" t="s">
        <v>1598</v>
      </c>
      <c r="E1096" s="16" t="s">
        <v>184</v>
      </c>
      <c r="F1096" s="16" t="s">
        <v>192</v>
      </c>
      <c r="G1096" s="16" t="s">
        <v>215</v>
      </c>
      <c r="H1096" s="16" t="s">
        <v>220</v>
      </c>
      <c r="I1096" s="16" t="s">
        <v>220</v>
      </c>
    </row>
    <row r="1097" ht="242.25" customHeight="1">
      <c r="A1097" s="32" t="b">
        <v>0</v>
      </c>
      <c r="B1097" s="32" t="str">
        <f>IMAGE("https://gymvisual.com/17292-catalog_default/cable-seated-rear-delt-fly-with-chest-support.jpg",4,500,500)</f>
        <v/>
      </c>
      <c r="C1097" s="30">
        <v>1096.0</v>
      </c>
      <c r="D1097" s="16" t="s">
        <v>1599</v>
      </c>
      <c r="E1097" s="16" t="s">
        <v>184</v>
      </c>
      <c r="F1097" s="16" t="s">
        <v>228</v>
      </c>
      <c r="G1097" s="16" t="s">
        <v>215</v>
      </c>
      <c r="H1097" s="16" t="s">
        <v>408</v>
      </c>
      <c r="I1097" s="16" t="s">
        <v>452</v>
      </c>
    </row>
    <row r="1098" ht="242.25" customHeight="1">
      <c r="A1098" s="32" t="b">
        <v>0</v>
      </c>
      <c r="B1098" s="32" t="str">
        <f>IMAGE("https://gymvisual.com/2946-catalog_default/cable-seated-rear-lateral-raise.jpg",4,500,500)</f>
        <v/>
      </c>
      <c r="C1098" s="30">
        <v>1097.0</v>
      </c>
      <c r="D1098" s="16" t="s">
        <v>1600</v>
      </c>
      <c r="E1098" s="16" t="s">
        <v>184</v>
      </c>
      <c r="F1098" s="16" t="s">
        <v>228</v>
      </c>
      <c r="G1098" s="16" t="s">
        <v>215</v>
      </c>
      <c r="H1098" s="16" t="s">
        <v>408</v>
      </c>
      <c r="I1098" s="16" t="s">
        <v>1601</v>
      </c>
    </row>
    <row r="1099" ht="242.25" customHeight="1">
      <c r="A1099" s="32" t="b">
        <v>0</v>
      </c>
      <c r="B1099" s="32" t="str">
        <f>IMAGE("https://gymvisual.com/7320-catalog_default/cable-seated-row.jpg",4,500,500)</f>
        <v/>
      </c>
      <c r="C1099" s="30">
        <v>1098.0</v>
      </c>
      <c r="D1099" s="16" t="s">
        <v>1602</v>
      </c>
      <c r="E1099" s="16" t="s">
        <v>184</v>
      </c>
      <c r="F1099" s="16" t="s">
        <v>192</v>
      </c>
      <c r="G1099" s="16" t="s">
        <v>215</v>
      </c>
      <c r="H1099" s="16" t="s">
        <v>329</v>
      </c>
      <c r="I1099" s="16" t="s">
        <v>457</v>
      </c>
    </row>
    <row r="1100" ht="242.25" customHeight="1">
      <c r="A1100" s="32" t="b">
        <v>0</v>
      </c>
      <c r="B1100" s="32" t="str">
        <f>IMAGE("https://gymvisual.com/4609-catalog_default/cable-seated-row-bent-bar.jpg",4,500,500)</f>
        <v/>
      </c>
      <c r="C1100" s="30">
        <v>1099.0</v>
      </c>
      <c r="D1100" s="16" t="s">
        <v>1603</v>
      </c>
      <c r="E1100" s="16" t="s">
        <v>184</v>
      </c>
      <c r="F1100" s="16" t="s">
        <v>192</v>
      </c>
      <c r="G1100" s="16" t="s">
        <v>215</v>
      </c>
      <c r="H1100" s="16" t="s">
        <v>329</v>
      </c>
      <c r="I1100" s="16" t="s">
        <v>457</v>
      </c>
    </row>
    <row r="1101" ht="242.25" customHeight="1">
      <c r="A1101" s="32" t="b">
        <v>0</v>
      </c>
      <c r="B1101" s="32" t="str">
        <f>IMAGE("https://gymvisual.com/9649-catalog_default/cable-seated-row-female.jpg",4,500,500)</f>
        <v/>
      </c>
      <c r="C1101" s="30">
        <v>1100.0</v>
      </c>
      <c r="D1101" s="16" t="s">
        <v>1604</v>
      </c>
      <c r="E1101" s="16" t="s">
        <v>184</v>
      </c>
      <c r="F1101" s="16" t="s">
        <v>192</v>
      </c>
      <c r="G1101" s="16" t="s">
        <v>215</v>
      </c>
      <c r="H1101" s="16" t="s">
        <v>220</v>
      </c>
      <c r="I1101" s="16" t="s">
        <v>220</v>
      </c>
    </row>
    <row r="1102" ht="242.25" customHeight="1">
      <c r="A1102" s="32" t="b">
        <v>0</v>
      </c>
      <c r="B1102" s="32" t="str">
        <f>IMAGE("https://gymvisual.com/12224-catalog_default/cable-seated-row-with-v-bar.jpg",4,500,500)</f>
        <v/>
      </c>
      <c r="C1102" s="30">
        <v>1101.0</v>
      </c>
      <c r="D1102" s="16" t="s">
        <v>1605</v>
      </c>
      <c r="E1102" s="16" t="s">
        <v>184</v>
      </c>
      <c r="F1102" s="16" t="s">
        <v>192</v>
      </c>
      <c r="G1102" s="16" t="s">
        <v>215</v>
      </c>
      <c r="H1102" s="16" t="s">
        <v>329</v>
      </c>
      <c r="I1102" s="16" t="s">
        <v>447</v>
      </c>
    </row>
    <row r="1103" ht="242.25" customHeight="1">
      <c r="A1103" s="32" t="b">
        <v>0</v>
      </c>
      <c r="B1103" s="32" t="str">
        <f>IMAGE("https://gymvisual.com/670-catalog_default/cable-seated-shoulder-internal-rotation.jpg",4,500,500)</f>
        <v/>
      </c>
      <c r="C1103" s="30">
        <v>1102.0</v>
      </c>
      <c r="D1103" s="16" t="s">
        <v>1606</v>
      </c>
      <c r="E1103" s="16" t="s">
        <v>184</v>
      </c>
      <c r="F1103" s="16" t="s">
        <v>192</v>
      </c>
      <c r="G1103" s="16" t="s">
        <v>215</v>
      </c>
      <c r="H1103" s="16" t="s">
        <v>1607</v>
      </c>
      <c r="I1103" s="16" t="s">
        <v>662</v>
      </c>
    </row>
    <row r="1104" ht="242.25" customHeight="1">
      <c r="A1104" s="32" t="b">
        <v>0</v>
      </c>
      <c r="B1104" s="32" t="str">
        <f>IMAGE("https://gymvisual.com/673-catalog_default/cable-seated-supine-grip-row.jpg",4,500,500)</f>
        <v/>
      </c>
      <c r="C1104" s="30">
        <v>1103.0</v>
      </c>
      <c r="D1104" s="16" t="s">
        <v>1608</v>
      </c>
      <c r="E1104" s="16" t="s">
        <v>184</v>
      </c>
      <c r="F1104" s="16" t="s">
        <v>192</v>
      </c>
      <c r="G1104" s="16" t="s">
        <v>215</v>
      </c>
      <c r="H1104" s="16" t="s">
        <v>329</v>
      </c>
      <c r="I1104" s="16" t="s">
        <v>357</v>
      </c>
    </row>
    <row r="1105" ht="242.25" customHeight="1">
      <c r="A1105" s="32" t="b">
        <v>0</v>
      </c>
      <c r="B1105" s="32" t="str">
        <f>IMAGE("https://gymvisual.com/12979-catalog_default/cable-seated-supine-grip-row-male.jpg",4,500,500)</f>
        <v/>
      </c>
      <c r="C1105" s="30">
        <v>1104.0</v>
      </c>
      <c r="D1105" s="16" t="s">
        <v>1609</v>
      </c>
      <c r="E1105" s="16" t="s">
        <v>184</v>
      </c>
      <c r="F1105" s="16" t="s">
        <v>192</v>
      </c>
      <c r="G1105" s="16" t="s">
        <v>215</v>
      </c>
      <c r="H1105" s="16" t="s">
        <v>329</v>
      </c>
      <c r="I1105" s="16" t="s">
        <v>357</v>
      </c>
    </row>
    <row r="1106" ht="242.25" customHeight="1">
      <c r="A1106" s="32" t="b">
        <v>0</v>
      </c>
      <c r="B1106" s="32" t="str">
        <f>IMAGE("https://gymvisual.com/10412-catalog_default/cable-seated-twist.jpg",4,500,500)</f>
        <v/>
      </c>
      <c r="C1106" s="30">
        <v>1105.0</v>
      </c>
      <c r="D1106" s="16" t="s">
        <v>1610</v>
      </c>
      <c r="E1106" s="16" t="s">
        <v>184</v>
      </c>
      <c r="F1106" s="16" t="s">
        <v>254</v>
      </c>
      <c r="G1106" s="16" t="s">
        <v>215</v>
      </c>
      <c r="H1106" s="16" t="s">
        <v>257</v>
      </c>
      <c r="I1106" s="16" t="s">
        <v>271</v>
      </c>
    </row>
    <row r="1107" ht="242.25" customHeight="1">
      <c r="A1107" s="32" t="b">
        <v>0</v>
      </c>
      <c r="B1107" s="32" t="str">
        <f>IMAGE("https://gymvisual.com/10551-catalog_default/cable-seated-twist-on-floor-female.jpg",4,500,500)</f>
        <v/>
      </c>
      <c r="C1107" s="30">
        <v>1106.0</v>
      </c>
      <c r="D1107" s="16" t="s">
        <v>1611</v>
      </c>
      <c r="E1107" s="16" t="s">
        <v>184</v>
      </c>
      <c r="F1107" s="16" t="s">
        <v>254</v>
      </c>
      <c r="G1107" s="16" t="s">
        <v>215</v>
      </c>
      <c r="H1107" s="16" t="s">
        <v>257</v>
      </c>
      <c r="I1107" s="16" t="s">
        <v>271</v>
      </c>
    </row>
    <row r="1108" ht="242.25" customHeight="1">
      <c r="A1108" s="32" t="b">
        <v>0</v>
      </c>
      <c r="B1108" s="32" t="str">
        <f>IMAGE("https://gymvisual.com/14260-catalog_default/cable-seated-wide-grip-row-female.jpg",4,500,500)</f>
        <v/>
      </c>
      <c r="C1108" s="30">
        <v>1107.0</v>
      </c>
      <c r="D1108" s="16" t="s">
        <v>1612</v>
      </c>
      <c r="E1108" s="16" t="s">
        <v>184</v>
      </c>
      <c r="F1108" s="16" t="s">
        <v>192</v>
      </c>
      <c r="G1108" s="16" t="s">
        <v>215</v>
      </c>
      <c r="H1108" s="16" t="s">
        <v>329</v>
      </c>
      <c r="I1108" s="16" t="s">
        <v>357</v>
      </c>
    </row>
    <row r="1109" ht="242.25" customHeight="1">
      <c r="A1109" s="32" t="b">
        <v>0</v>
      </c>
      <c r="B1109" s="32" t="str">
        <f>IMAGE("https://gymvisual.com/676-catalog_default/cable-seated-wide-grip-row.jpg",4,500,500)</f>
        <v/>
      </c>
      <c r="C1109" s="30">
        <v>1108.0</v>
      </c>
      <c r="D1109" s="16" t="s">
        <v>1613</v>
      </c>
      <c r="E1109" s="16" t="s">
        <v>184</v>
      </c>
      <c r="F1109" s="16" t="s">
        <v>192</v>
      </c>
      <c r="G1109" s="16" t="s">
        <v>215</v>
      </c>
      <c r="H1109" s="16" t="s">
        <v>329</v>
      </c>
      <c r="I1109" s="16" t="s">
        <v>447</v>
      </c>
    </row>
    <row r="1110" ht="242.25" customHeight="1">
      <c r="A1110" s="32" t="b">
        <v>0</v>
      </c>
      <c r="B1110" s="32" t="str">
        <f>IMAGE("https://gymvisual.com/13682-catalog_default/cable-seating-close-press.jpg",4,500,500)</f>
        <v/>
      </c>
      <c r="C1110" s="30">
        <v>1109.0</v>
      </c>
      <c r="D1110" s="16" t="s">
        <v>1614</v>
      </c>
      <c r="E1110" s="16" t="s">
        <v>184</v>
      </c>
      <c r="F1110" s="16" t="s">
        <v>219</v>
      </c>
      <c r="G1110" s="16" t="s">
        <v>215</v>
      </c>
      <c r="H1110" s="16" t="s">
        <v>223</v>
      </c>
      <c r="I1110" s="16" t="s">
        <v>472</v>
      </c>
    </row>
    <row r="1111" ht="242.25" customHeight="1">
      <c r="A1111" s="32" t="b">
        <v>0</v>
      </c>
      <c r="B1111" s="32" t="str">
        <f>IMAGE("https://gymvisual.com/23885-catalog_default/cable-shoulder-90-degrees-external-rotation.jpg",4,500,500)</f>
        <v/>
      </c>
      <c r="C1111" s="30">
        <v>1110.0</v>
      </c>
      <c r="D1111" s="16" t="s">
        <v>1615</v>
      </c>
      <c r="E1111" s="16" t="s">
        <v>184</v>
      </c>
      <c r="F1111" s="16" t="s">
        <v>192</v>
      </c>
      <c r="G1111" s="16" t="s">
        <v>215</v>
      </c>
      <c r="H1111" s="16" t="s">
        <v>1607</v>
      </c>
      <c r="I1111" s="16" t="s">
        <v>408</v>
      </c>
    </row>
    <row r="1112" ht="242.25" customHeight="1">
      <c r="A1112" s="32" t="b">
        <v>0</v>
      </c>
      <c r="B1112" s="32" t="str">
        <f>IMAGE("https://gymvisual.com/23889-catalog_default/cable-shoulder-90-degrees-internal-rotation.jpg",4,500,500)</f>
        <v/>
      </c>
      <c r="C1112" s="30">
        <v>1111.0</v>
      </c>
      <c r="D1112" s="16" t="s">
        <v>1616</v>
      </c>
      <c r="E1112" s="16" t="s">
        <v>184</v>
      </c>
      <c r="F1112" s="16" t="s">
        <v>192</v>
      </c>
      <c r="G1112" s="16" t="s">
        <v>215</v>
      </c>
      <c r="H1112" s="16" t="s">
        <v>347</v>
      </c>
      <c r="I1112" s="16" t="s">
        <v>882</v>
      </c>
    </row>
    <row r="1113" ht="242.25" customHeight="1">
      <c r="A1113" s="32" t="b">
        <v>0</v>
      </c>
      <c r="B1113" s="32" t="str">
        <f>IMAGE("https://gymvisual.com/23887-catalog_default/cable-shoulder-internal-rotation.jpg",4,500,500)</f>
        <v/>
      </c>
      <c r="C1113" s="30">
        <v>1112.0</v>
      </c>
      <c r="D1113" s="16" t="s">
        <v>1617</v>
      </c>
      <c r="E1113" s="16" t="s">
        <v>184</v>
      </c>
      <c r="F1113" s="16" t="s">
        <v>228</v>
      </c>
      <c r="G1113" s="16" t="s">
        <v>215</v>
      </c>
      <c r="H1113" s="16" t="s">
        <v>472</v>
      </c>
      <c r="I1113" s="16" t="s">
        <v>220</v>
      </c>
    </row>
    <row r="1114" ht="242.25" customHeight="1">
      <c r="A1114" s="32" t="b">
        <v>0</v>
      </c>
      <c r="B1114" s="32" t="str">
        <f>IMAGE("https://gymvisual.com/679-catalog_default/cable-shoulder-press.jpg",4,500,500)</f>
        <v/>
      </c>
      <c r="C1114" s="30">
        <v>1113.0</v>
      </c>
      <c r="D1114" s="16" t="s">
        <v>1618</v>
      </c>
      <c r="E1114" s="16" t="s">
        <v>184</v>
      </c>
      <c r="F1114" s="16" t="s">
        <v>228</v>
      </c>
      <c r="G1114" s="16" t="s">
        <v>215</v>
      </c>
      <c r="H1114" s="16" t="s">
        <v>229</v>
      </c>
      <c r="I1114" s="16" t="s">
        <v>230</v>
      </c>
    </row>
    <row r="1115" ht="242.25" customHeight="1">
      <c r="A1115" s="32" t="b">
        <v>0</v>
      </c>
      <c r="B1115" s="32" t="str">
        <f>IMAGE("https://gymvisual.com/13401-catalog_default/cable-shoulder-press-female.jpg",4,500,500)</f>
        <v/>
      </c>
      <c r="C1115" s="30">
        <v>1114.0</v>
      </c>
      <c r="D1115" s="16" t="s">
        <v>1619</v>
      </c>
      <c r="E1115" s="16" t="s">
        <v>184</v>
      </c>
      <c r="F1115" s="16" t="s">
        <v>228</v>
      </c>
      <c r="G1115" s="16" t="s">
        <v>215</v>
      </c>
      <c r="H1115" s="16" t="s">
        <v>220</v>
      </c>
      <c r="I1115" s="16" t="s">
        <v>220</v>
      </c>
    </row>
    <row r="1116" ht="242.25" customHeight="1">
      <c r="A1116" s="32" t="b">
        <v>0</v>
      </c>
      <c r="B1116" s="32" t="str">
        <f>IMAGE("https://gymvisual.com/682-catalog_default/cable-shrug.jpg",4,500,500)</f>
        <v/>
      </c>
      <c r="C1116" s="30">
        <v>1115.0</v>
      </c>
      <c r="D1116" s="16" t="s">
        <v>1620</v>
      </c>
      <c r="E1116" s="16" t="s">
        <v>184</v>
      </c>
      <c r="F1116" s="16" t="s">
        <v>192</v>
      </c>
      <c r="G1116" s="16" t="s">
        <v>215</v>
      </c>
      <c r="H1116" s="16" t="s">
        <v>238</v>
      </c>
      <c r="I1116" s="16" t="s">
        <v>1621</v>
      </c>
    </row>
    <row r="1117" ht="242.25" customHeight="1">
      <c r="A1117" s="32" t="b">
        <v>0</v>
      </c>
      <c r="B1117" s="32" t="str">
        <f>IMAGE("https://gymvisual.com/11291-catalog_default/cable-shrug-female.jpg",4,500,500)</f>
        <v/>
      </c>
      <c r="C1117" s="30">
        <v>1116.0</v>
      </c>
      <c r="D1117" s="16" t="s">
        <v>1622</v>
      </c>
      <c r="E1117" s="16" t="s">
        <v>184</v>
      </c>
      <c r="F1117" s="16" t="s">
        <v>192</v>
      </c>
      <c r="G1117" s="16" t="s">
        <v>215</v>
      </c>
      <c r="H1117" s="16" t="s">
        <v>220</v>
      </c>
      <c r="I1117" s="16" t="s">
        <v>220</v>
      </c>
    </row>
    <row r="1118" ht="242.25" customHeight="1">
      <c r="A1118" s="32" t="b">
        <v>0</v>
      </c>
      <c r="B1118" s="32" t="str">
        <f>IMAGE("https://gymvisual.com/13112-catalog_default/cable-side-bend.jpg",4,500,500)</f>
        <v/>
      </c>
      <c r="C1118" s="30">
        <v>1117.0</v>
      </c>
      <c r="D1118" s="16" t="s">
        <v>1623</v>
      </c>
      <c r="E1118" s="16" t="s">
        <v>184</v>
      </c>
      <c r="F1118" s="16" t="s">
        <v>254</v>
      </c>
      <c r="G1118" s="16" t="s">
        <v>215</v>
      </c>
      <c r="H1118" s="16" t="s">
        <v>257</v>
      </c>
      <c r="I1118" s="16" t="s">
        <v>220</v>
      </c>
    </row>
    <row r="1119" ht="242.25" customHeight="1">
      <c r="A1119" s="32" t="b">
        <v>0</v>
      </c>
      <c r="B1119" s="32" t="str">
        <f>IMAGE("https://gymvisual.com/11282-catalog_default/cable-side-bend-female.jpg",4,500,500)</f>
        <v/>
      </c>
      <c r="C1119" s="30">
        <v>1118.0</v>
      </c>
      <c r="D1119" s="16" t="s">
        <v>1624</v>
      </c>
      <c r="E1119" s="16" t="s">
        <v>184</v>
      </c>
      <c r="F1119" s="16" t="s">
        <v>254</v>
      </c>
      <c r="G1119" s="16" t="s">
        <v>215</v>
      </c>
      <c r="H1119" s="16" t="s">
        <v>220</v>
      </c>
      <c r="I1119" s="16" t="s">
        <v>220</v>
      </c>
    </row>
    <row r="1120" ht="242.25" customHeight="1">
      <c r="A1120" s="32" t="b">
        <v>0</v>
      </c>
      <c r="B1120" s="32" t="str">
        <f>IMAGE("https://gymvisual.com/24930-catalog_default/cable-side-bend-version-2.jpg",4,500,500)</f>
        <v/>
      </c>
      <c r="C1120" s="30">
        <v>1119.0</v>
      </c>
      <c r="D1120" s="16" t="s">
        <v>1625</v>
      </c>
      <c r="E1120" s="16" t="s">
        <v>184</v>
      </c>
      <c r="F1120" s="16" t="s">
        <v>254</v>
      </c>
      <c r="G1120" s="16" t="s">
        <v>215</v>
      </c>
      <c r="H1120" s="16" t="s">
        <v>257</v>
      </c>
      <c r="I1120" s="16" t="s">
        <v>271</v>
      </c>
    </row>
    <row r="1121" ht="242.25" customHeight="1">
      <c r="A1121" s="32" t="b">
        <v>0</v>
      </c>
      <c r="B1121" s="32" t="str">
        <f>IMAGE("https://gymvisual.com/685-catalog_default/cable-side-bend-crunch-bosu-ball.jpg",4,500,500)</f>
        <v/>
      </c>
      <c r="C1121" s="30">
        <v>1120.0</v>
      </c>
      <c r="D1121" s="16" t="s">
        <v>1626</v>
      </c>
      <c r="E1121" s="16" t="s">
        <v>184</v>
      </c>
      <c r="F1121" s="16" t="s">
        <v>254</v>
      </c>
      <c r="G1121" s="16" t="s">
        <v>215</v>
      </c>
      <c r="H1121" s="16" t="s">
        <v>257</v>
      </c>
      <c r="I1121" s="16" t="s">
        <v>256</v>
      </c>
    </row>
    <row r="1122" ht="242.25" customHeight="1">
      <c r="A1122" s="32" t="b">
        <v>0</v>
      </c>
      <c r="B1122" s="32" t="str">
        <f>IMAGE("https://gymvisual.com/691-catalog_default/cable-side-crunch.jpg",4,500,500)</f>
        <v/>
      </c>
      <c r="C1122" s="30">
        <v>1121.0</v>
      </c>
      <c r="D1122" s="16" t="s">
        <v>1627</v>
      </c>
      <c r="E1122" s="16" t="s">
        <v>184</v>
      </c>
      <c r="F1122" s="16" t="s">
        <v>254</v>
      </c>
      <c r="G1122" s="16" t="s">
        <v>215</v>
      </c>
      <c r="H1122" s="16" t="s">
        <v>257</v>
      </c>
      <c r="I1122" s="16" t="s">
        <v>220</v>
      </c>
    </row>
    <row r="1123" ht="242.25" customHeight="1">
      <c r="A1123" s="32" t="b">
        <v>0</v>
      </c>
      <c r="B1123" s="32" t="str">
        <f>IMAGE("https://gymvisual.com/11285-catalog_default/cable-side-crunch-female.jpg",4,500,500)</f>
        <v/>
      </c>
      <c r="C1123" s="30">
        <v>1122.0</v>
      </c>
      <c r="D1123" s="16" t="s">
        <v>1628</v>
      </c>
      <c r="E1123" s="16" t="s">
        <v>184</v>
      </c>
      <c r="F1123" s="16" t="s">
        <v>254</v>
      </c>
      <c r="G1123" s="16" t="s">
        <v>215</v>
      </c>
      <c r="H1123" s="16" t="s">
        <v>220</v>
      </c>
      <c r="I1123" s="16" t="s">
        <v>220</v>
      </c>
    </row>
    <row r="1124" ht="242.25" customHeight="1">
      <c r="A1124" s="32" t="b">
        <v>0</v>
      </c>
      <c r="B1124" s="32" t="str">
        <f>IMAGE("https://gymvisual.com/12189-catalog_default/cable-side-lying-lateral-raise.jpg",4,500,500)</f>
        <v/>
      </c>
      <c r="C1124" s="30">
        <v>1123.0</v>
      </c>
      <c r="D1124" s="16" t="s">
        <v>1629</v>
      </c>
      <c r="E1124" s="16" t="s">
        <v>184</v>
      </c>
      <c r="F1124" s="16" t="s">
        <v>228</v>
      </c>
      <c r="G1124" s="16" t="s">
        <v>215</v>
      </c>
      <c r="H1124" s="16" t="s">
        <v>220</v>
      </c>
      <c r="I1124" s="16" t="s">
        <v>220</v>
      </c>
    </row>
    <row r="1125" ht="242.25" customHeight="1">
      <c r="A1125" s="32" t="b">
        <v>0</v>
      </c>
      <c r="B1125" s="32" t="str">
        <f>IMAGE("https://gymvisual.com/26371-catalog_default/cable-single-arm-neutral-grip-front-raise.jpg",4,500,500)</f>
        <v/>
      </c>
      <c r="C1125" s="30">
        <v>1124.0</v>
      </c>
      <c r="D1125" s="16" t="s">
        <v>1630</v>
      </c>
      <c r="E1125" s="16" t="s">
        <v>184</v>
      </c>
      <c r="F1125" s="16" t="s">
        <v>228</v>
      </c>
      <c r="G1125" s="16" t="s">
        <v>215</v>
      </c>
      <c r="H1125" s="16" t="s">
        <v>220</v>
      </c>
      <c r="I1125" s="16" t="s">
        <v>220</v>
      </c>
    </row>
    <row r="1126" ht="242.25" customHeight="1">
      <c r="A1126" s="32" t="b">
        <v>0</v>
      </c>
      <c r="B1126" s="32" t="str">
        <f>IMAGE("https://gymvisual.com/22841-catalog_default/cable-single-arm-triceps-pushdown-rope-attachment.jpg",4,500,500)</f>
        <v/>
      </c>
      <c r="C1126" s="30">
        <v>1125.0</v>
      </c>
      <c r="D1126" s="16" t="s">
        <v>1631</v>
      </c>
      <c r="E1126" s="16" t="s">
        <v>184</v>
      </c>
      <c r="F1126" s="16" t="s">
        <v>219</v>
      </c>
      <c r="G1126" s="16" t="s">
        <v>215</v>
      </c>
      <c r="H1126" s="16" t="s">
        <v>223</v>
      </c>
      <c r="I1126" s="16" t="s">
        <v>220</v>
      </c>
    </row>
    <row r="1127" ht="242.25" customHeight="1">
      <c r="A1127" s="32" t="b">
        <v>0</v>
      </c>
      <c r="B1127" s="32" t="str">
        <f>IMAGE("https://gymvisual.com/17913-catalog_default/cable-split-stance-horizontal-pallof-press-male.jpg",4,500,500)</f>
        <v/>
      </c>
      <c r="C1127" s="30">
        <v>1126.0</v>
      </c>
      <c r="D1127" s="16" t="s">
        <v>1632</v>
      </c>
      <c r="E1127" s="16" t="s">
        <v>184</v>
      </c>
      <c r="F1127" s="16" t="s">
        <v>254</v>
      </c>
      <c r="G1127" s="16" t="s">
        <v>215</v>
      </c>
      <c r="H1127" s="16" t="s">
        <v>220</v>
      </c>
      <c r="I1127" s="16" t="s">
        <v>220</v>
      </c>
    </row>
    <row r="1128" ht="242.25" customHeight="1">
      <c r="A1128" s="32" t="b">
        <v>0</v>
      </c>
      <c r="B1128" s="32" t="str">
        <f>IMAGE("https://gymvisual.com/7431-catalog_default/cable-squat-row-with-rope-attachment.jpg",4,500,500)</f>
        <v/>
      </c>
      <c r="C1128" s="30">
        <v>1127.0</v>
      </c>
      <c r="D1128" s="16" t="s">
        <v>1633</v>
      </c>
      <c r="E1128" s="16" t="s">
        <v>184</v>
      </c>
      <c r="F1128" s="16" t="s">
        <v>192</v>
      </c>
      <c r="G1128" s="16" t="s">
        <v>215</v>
      </c>
      <c r="H1128" s="16" t="s">
        <v>1634</v>
      </c>
      <c r="I1128" s="16" t="s">
        <v>1635</v>
      </c>
    </row>
    <row r="1129" ht="242.25" customHeight="1">
      <c r="A1129" s="32" t="b">
        <v>0</v>
      </c>
      <c r="B1129" s="32" t="str">
        <f>IMAGE("https://gymvisual.com/11209-catalog_default/cable-squat-row-with-rope-attachment-female.jpg",4,500,500)</f>
        <v/>
      </c>
      <c r="C1129" s="30">
        <v>1128.0</v>
      </c>
      <c r="D1129" s="16" t="s">
        <v>1636</v>
      </c>
      <c r="E1129" s="16" t="s">
        <v>184</v>
      </c>
      <c r="F1129" s="16" t="s">
        <v>484</v>
      </c>
      <c r="G1129" s="16" t="s">
        <v>215</v>
      </c>
      <c r="H1129" s="16" t="s">
        <v>220</v>
      </c>
      <c r="I1129" s="16" t="s">
        <v>220</v>
      </c>
    </row>
    <row r="1130" ht="242.25" customHeight="1">
      <c r="A1130" s="32" t="b">
        <v>0</v>
      </c>
      <c r="B1130" s="32" t="str">
        <f>IMAGE("https://gymvisual.com/7118-catalog_default/cable-squatting-curl.jpg",4,500,500)</f>
        <v/>
      </c>
      <c r="C1130" s="30">
        <v>1129.0</v>
      </c>
      <c r="D1130" s="16" t="s">
        <v>1637</v>
      </c>
      <c r="E1130" s="16" t="s">
        <v>184</v>
      </c>
      <c r="F1130" s="16" t="s">
        <v>219</v>
      </c>
      <c r="G1130" s="16" t="s">
        <v>215</v>
      </c>
      <c r="H1130" s="16" t="s">
        <v>232</v>
      </c>
      <c r="I1130" s="16" t="s">
        <v>233</v>
      </c>
    </row>
    <row r="1131" ht="242.25" customHeight="1">
      <c r="A1131" s="32" t="b">
        <v>0</v>
      </c>
      <c r="B1131" s="32" t="str">
        <f>IMAGE("https://gymvisual.com/13403-catalog_default/cable-squatting-curl-female.jpg",4,500,500)</f>
        <v/>
      </c>
      <c r="C1131" s="30">
        <v>1130.0</v>
      </c>
      <c r="D1131" s="16" t="s">
        <v>1638</v>
      </c>
      <c r="E1131" s="16" t="s">
        <v>184</v>
      </c>
      <c r="F1131" s="16" t="s">
        <v>219</v>
      </c>
      <c r="G1131" s="16" t="s">
        <v>215</v>
      </c>
      <c r="H1131" s="16" t="s">
        <v>220</v>
      </c>
      <c r="I1131" s="16" t="s">
        <v>220</v>
      </c>
    </row>
    <row r="1132" ht="242.25" customHeight="1">
      <c r="A1132" s="32" t="b">
        <v>0</v>
      </c>
      <c r="B1132" s="32" t="str">
        <f>IMAGE("https://gymvisual.com/11835-catalog_default/cable-stand-up-female.jpg",4,500,500)</f>
        <v/>
      </c>
      <c r="C1132" s="30">
        <v>1131.0</v>
      </c>
      <c r="D1132" s="16" t="s">
        <v>1639</v>
      </c>
      <c r="E1132" s="16" t="s">
        <v>184</v>
      </c>
      <c r="F1132" s="16" t="s">
        <v>185</v>
      </c>
      <c r="G1132" s="16" t="s">
        <v>215</v>
      </c>
      <c r="H1132" s="16" t="s">
        <v>189</v>
      </c>
      <c r="I1132" s="16" t="s">
        <v>190</v>
      </c>
    </row>
    <row r="1133" ht="242.25" customHeight="1">
      <c r="A1133" s="32" t="b">
        <v>0</v>
      </c>
      <c r="B1133" s="32" t="str">
        <f>IMAGE("https://gymvisual.com/19417-catalog_default/cable-standing-alternate-low-fly.jpg",4,500,500)</f>
        <v/>
      </c>
      <c r="C1133" s="30">
        <v>1132.0</v>
      </c>
      <c r="D1133" s="16" t="s">
        <v>1640</v>
      </c>
      <c r="E1133" s="16" t="s">
        <v>184</v>
      </c>
      <c r="F1133" s="16" t="s">
        <v>234</v>
      </c>
      <c r="G1133" s="16" t="s">
        <v>215</v>
      </c>
      <c r="H1133" s="16" t="s">
        <v>220</v>
      </c>
      <c r="I1133" s="16" t="s">
        <v>220</v>
      </c>
    </row>
    <row r="1134" ht="242.25" customHeight="1">
      <c r="A1134" s="32" t="b">
        <v>0</v>
      </c>
      <c r="B1134" s="32" t="str">
        <f>IMAGE("https://gymvisual.com/694-catalog_default/cable-standing-back-wrist-curl.jpg",4,500,500)</f>
        <v/>
      </c>
      <c r="C1134" s="30">
        <v>1133.0</v>
      </c>
      <c r="D1134" s="16" t="s">
        <v>1641</v>
      </c>
      <c r="E1134" s="16" t="s">
        <v>184</v>
      </c>
      <c r="F1134" s="16" t="s">
        <v>214</v>
      </c>
      <c r="G1134" s="16" t="s">
        <v>215</v>
      </c>
      <c r="H1134" s="16" t="s">
        <v>720</v>
      </c>
      <c r="I1134" s="16" t="s">
        <v>220</v>
      </c>
    </row>
    <row r="1135" ht="242.25" customHeight="1">
      <c r="A1135" s="32" t="b">
        <v>0</v>
      </c>
      <c r="B1135" s="32" t="str">
        <f>IMAGE("https://gymvisual.com/13405-catalog_default/cable-standing-biceps-curl-with-rope-female.jpg",4,500,500)</f>
        <v/>
      </c>
      <c r="C1135" s="30">
        <v>1134.0</v>
      </c>
      <c r="D1135" s="16" t="s">
        <v>1642</v>
      </c>
      <c r="E1135" s="16" t="s">
        <v>184</v>
      </c>
      <c r="F1135" s="16" t="s">
        <v>219</v>
      </c>
      <c r="G1135" s="16" t="s">
        <v>215</v>
      </c>
      <c r="H1135" s="16" t="s">
        <v>220</v>
      </c>
      <c r="I1135" s="16" t="s">
        <v>220</v>
      </c>
    </row>
    <row r="1136" ht="242.25" customHeight="1">
      <c r="A1136" s="32" t="b">
        <v>0</v>
      </c>
      <c r="B1136" s="32" t="str">
        <f>IMAGE("https://gymvisual.com/6070-catalog_default/cable-standing-calf-raise.jpg",4,500,500)</f>
        <v/>
      </c>
      <c r="C1136" s="30">
        <v>1135.0</v>
      </c>
      <c r="D1136" s="16" t="s">
        <v>1643</v>
      </c>
      <c r="E1136" s="16" t="s">
        <v>184</v>
      </c>
      <c r="F1136" s="16" t="s">
        <v>325</v>
      </c>
      <c r="G1136" s="16" t="s">
        <v>215</v>
      </c>
      <c r="H1136" s="16" t="s">
        <v>368</v>
      </c>
      <c r="I1136" s="16" t="s">
        <v>463</v>
      </c>
    </row>
    <row r="1137" ht="242.25" customHeight="1">
      <c r="A1137" s="32" t="b">
        <v>0</v>
      </c>
      <c r="B1137" s="32" t="str">
        <f>IMAGE("https://gymvisual.com/20557-catalog_default/cable-standing-chest-press.jpg",4,500,500)</f>
        <v/>
      </c>
      <c r="C1137" s="30">
        <v>1136.0</v>
      </c>
      <c r="D1137" s="16" t="s">
        <v>1644</v>
      </c>
      <c r="E1137" s="16" t="s">
        <v>184</v>
      </c>
      <c r="F1137" s="16" t="s">
        <v>234</v>
      </c>
      <c r="G1137" s="16" t="s">
        <v>215</v>
      </c>
      <c r="H1137" s="16" t="s">
        <v>347</v>
      </c>
      <c r="I1137" s="16" t="s">
        <v>382</v>
      </c>
    </row>
    <row r="1138" ht="242.25" customHeight="1">
      <c r="A1138" s="32" t="b">
        <v>0</v>
      </c>
      <c r="B1138" s="32" t="str">
        <f>IMAGE("https://gymvisual.com/13670-catalog_default/cable-standing-chest-press.jpg",4,500,500)</f>
        <v/>
      </c>
      <c r="C1138" s="30">
        <v>1137.0</v>
      </c>
      <c r="D1138" s="16" t="s">
        <v>1644</v>
      </c>
      <c r="E1138" s="16" t="s">
        <v>184</v>
      </c>
      <c r="F1138" s="16" t="s">
        <v>234</v>
      </c>
      <c r="G1138" s="16" t="s">
        <v>215</v>
      </c>
      <c r="H1138" s="16" t="s">
        <v>235</v>
      </c>
      <c r="I1138" s="16" t="s">
        <v>220</v>
      </c>
    </row>
    <row r="1139" ht="242.25" customHeight="1">
      <c r="A1139" s="32" t="b">
        <v>0</v>
      </c>
      <c r="B1139" s="32" t="str">
        <f>IMAGE("https://gymvisual.com/23947-catalog_default/cable-standing-close-grip-row.jpg",4,500,500)</f>
        <v/>
      </c>
      <c r="C1139" s="30">
        <v>1138.0</v>
      </c>
      <c r="D1139" s="16" t="s">
        <v>1645</v>
      </c>
      <c r="E1139" s="16" t="s">
        <v>184</v>
      </c>
      <c r="F1139" s="16" t="s">
        <v>192</v>
      </c>
      <c r="G1139" s="16" t="s">
        <v>215</v>
      </c>
      <c r="H1139" s="16" t="s">
        <v>570</v>
      </c>
      <c r="I1139" s="16" t="s">
        <v>447</v>
      </c>
    </row>
    <row r="1140" ht="242.25" customHeight="1">
      <c r="A1140" s="32" t="b">
        <v>0</v>
      </c>
      <c r="B1140" s="32" t="str">
        <f>IMAGE("https://gymvisual.com/13681-catalog_default/cable-standing-close-press.jpg",4,500,500)</f>
        <v/>
      </c>
      <c r="C1140" s="30">
        <v>1139.0</v>
      </c>
      <c r="D1140" s="16" t="s">
        <v>1646</v>
      </c>
      <c r="E1140" s="16" t="s">
        <v>184</v>
      </c>
      <c r="F1140" s="16" t="s">
        <v>219</v>
      </c>
      <c r="G1140" s="16" t="s">
        <v>215</v>
      </c>
      <c r="H1140" s="16" t="s">
        <v>223</v>
      </c>
      <c r="I1140" s="16" t="s">
        <v>472</v>
      </c>
    </row>
    <row r="1141" ht="242.25" customHeight="1">
      <c r="A1141" s="32" t="b">
        <v>0</v>
      </c>
      <c r="B1141" s="32" t="str">
        <f>IMAGE("https://gymvisual.com/697-catalog_default/cable-standing-cross-over-high-reverse-fly.jpg",4,500,500)</f>
        <v/>
      </c>
      <c r="C1141" s="30">
        <v>1140.0</v>
      </c>
      <c r="D1141" s="16" t="s">
        <v>1647</v>
      </c>
      <c r="E1141" s="16" t="s">
        <v>184</v>
      </c>
      <c r="F1141" s="16" t="s">
        <v>228</v>
      </c>
      <c r="G1141" s="16" t="s">
        <v>215</v>
      </c>
      <c r="H1141" s="16" t="s">
        <v>408</v>
      </c>
      <c r="I1141" s="16" t="s">
        <v>452</v>
      </c>
    </row>
    <row r="1142" ht="242.25" customHeight="1">
      <c r="A1142" s="32" t="b">
        <v>0</v>
      </c>
      <c r="B1142" s="32" t="str">
        <f>IMAGE("https://gymvisual.com/24454-catalog_default/cable-standing-crossover-overhead-tricep-extension.jpg",4,500,500)</f>
        <v/>
      </c>
      <c r="C1142" s="30">
        <v>1141.0</v>
      </c>
      <c r="D1142" s="16" t="s">
        <v>1648</v>
      </c>
      <c r="E1142" s="16" t="s">
        <v>184</v>
      </c>
      <c r="F1142" s="16" t="s">
        <v>219</v>
      </c>
      <c r="G1142" s="16" t="s">
        <v>215</v>
      </c>
      <c r="H1142" s="16" t="s">
        <v>223</v>
      </c>
      <c r="I1142" s="16" t="s">
        <v>220</v>
      </c>
    </row>
    <row r="1143" ht="242.25" customHeight="1">
      <c r="A1143" s="32" t="b">
        <v>0</v>
      </c>
      <c r="B1143" s="32" t="str">
        <f>IMAGE("https://gymvisual.com/700-catalog_default/cable-standing-crunch.jpg",4,500,500)</f>
        <v/>
      </c>
      <c r="C1143" s="30">
        <v>1142.0</v>
      </c>
      <c r="D1143" s="16" t="s">
        <v>1649</v>
      </c>
      <c r="E1143" s="16" t="s">
        <v>184</v>
      </c>
      <c r="F1143" s="16" t="s">
        <v>254</v>
      </c>
      <c r="G1143" s="16" t="s">
        <v>215</v>
      </c>
      <c r="H1143" s="16" t="s">
        <v>256</v>
      </c>
      <c r="I1143" s="16" t="s">
        <v>257</v>
      </c>
    </row>
    <row r="1144" ht="242.25" customHeight="1">
      <c r="A1144" s="32" t="b">
        <v>0</v>
      </c>
      <c r="B1144" s="32" t="str">
        <f>IMAGE("https://gymvisual.com/11288-catalog_default/cable-standing-crunch-female.jpg",4,500,500)</f>
        <v/>
      </c>
      <c r="C1144" s="30">
        <v>1143.0</v>
      </c>
      <c r="D1144" s="16" t="s">
        <v>1650</v>
      </c>
      <c r="E1144" s="16" t="s">
        <v>184</v>
      </c>
      <c r="F1144" s="16" t="s">
        <v>254</v>
      </c>
      <c r="G1144" s="16" t="s">
        <v>215</v>
      </c>
      <c r="H1144" s="16" t="s">
        <v>220</v>
      </c>
      <c r="I1144" s="16" t="s">
        <v>220</v>
      </c>
    </row>
    <row r="1145" ht="242.25" customHeight="1">
      <c r="A1145" s="32" t="b">
        <v>0</v>
      </c>
      <c r="B1145" s="32" t="str">
        <f>IMAGE("https://gymvisual.com/25216-catalog_default/cable-standing-crunch-with-rope-attachment.jpg",4,500,500)</f>
        <v/>
      </c>
      <c r="C1145" s="30">
        <v>1144.0</v>
      </c>
      <c r="D1145" s="16" t="s">
        <v>1651</v>
      </c>
      <c r="E1145" s="16" t="s">
        <v>184</v>
      </c>
      <c r="F1145" s="16" t="s">
        <v>254</v>
      </c>
      <c r="G1145" s="16" t="s">
        <v>215</v>
      </c>
      <c r="H1145" s="16" t="s">
        <v>256</v>
      </c>
      <c r="I1145" s="16" t="s">
        <v>257</v>
      </c>
    </row>
    <row r="1146" ht="242.25" customHeight="1">
      <c r="A1146" s="32" t="b">
        <v>0</v>
      </c>
      <c r="B1146" s="32" t="str">
        <f>IMAGE("https://gymvisual.com/11519-catalog_default/cable-standing-crunch-with-rope-attachment-female.jpg",4,500,500)</f>
        <v/>
      </c>
      <c r="C1146" s="30">
        <v>1145.0</v>
      </c>
      <c r="D1146" s="16" t="s">
        <v>1652</v>
      </c>
      <c r="E1146" s="16" t="s">
        <v>184</v>
      </c>
      <c r="F1146" s="16" t="s">
        <v>254</v>
      </c>
      <c r="G1146" s="16" t="s">
        <v>215</v>
      </c>
      <c r="H1146" s="16" t="s">
        <v>256</v>
      </c>
      <c r="I1146" s="16" t="s">
        <v>257</v>
      </c>
    </row>
    <row r="1147" ht="242.25" customHeight="1">
      <c r="A1147" s="32" t="b">
        <v>0</v>
      </c>
      <c r="B1147" s="32" t="str">
        <f>IMAGE("https://gymvisual.com/24801-catalog_default/cable-standing-face-pull.jpg",4,500,500)</f>
        <v/>
      </c>
      <c r="C1147" s="30">
        <v>1146.0</v>
      </c>
      <c r="D1147" s="16" t="s">
        <v>1653</v>
      </c>
      <c r="E1147" s="16" t="s">
        <v>184</v>
      </c>
      <c r="F1147" s="16" t="s">
        <v>228</v>
      </c>
      <c r="G1147" s="16" t="s">
        <v>215</v>
      </c>
      <c r="H1147" s="16" t="s">
        <v>408</v>
      </c>
      <c r="I1147" s="16" t="s">
        <v>490</v>
      </c>
    </row>
    <row r="1148" ht="242.25" customHeight="1">
      <c r="A1148" s="32" t="b">
        <v>0</v>
      </c>
      <c r="B1148" s="32" t="str">
        <f>IMAGE("https://gymvisual.com/24928-catalog_default/cable-standing-face-pull-with-rope.jpg",4,500,500)</f>
        <v/>
      </c>
      <c r="C1148" s="30">
        <v>1147.0</v>
      </c>
      <c r="D1148" s="16" t="s">
        <v>1654</v>
      </c>
      <c r="E1148" s="16" t="s">
        <v>184</v>
      </c>
      <c r="F1148" s="16" t="s">
        <v>228</v>
      </c>
      <c r="G1148" s="16" t="s">
        <v>215</v>
      </c>
      <c r="H1148" s="16" t="s">
        <v>408</v>
      </c>
      <c r="I1148" s="16" t="s">
        <v>490</v>
      </c>
    </row>
    <row r="1149" ht="242.25" customHeight="1">
      <c r="A1149" s="32" t="b">
        <v>0</v>
      </c>
      <c r="B1149" s="32" t="str">
        <f>IMAGE("https://gymvisual.com/19325-catalog_default/cable-standing-fly.jpg",4,500,500)</f>
        <v/>
      </c>
      <c r="C1149" s="30">
        <v>1148.0</v>
      </c>
      <c r="D1149" s="16" t="s">
        <v>1655</v>
      </c>
      <c r="E1149" s="16" t="s">
        <v>184</v>
      </c>
      <c r="F1149" s="16" t="s">
        <v>234</v>
      </c>
      <c r="G1149" s="16" t="s">
        <v>215</v>
      </c>
      <c r="H1149" s="16" t="s">
        <v>347</v>
      </c>
      <c r="I1149" s="16" t="s">
        <v>882</v>
      </c>
    </row>
    <row r="1150" ht="242.25" customHeight="1">
      <c r="A1150" s="32" t="b">
        <v>0</v>
      </c>
      <c r="B1150" s="32" t="str">
        <f>IMAGE("https://gymvisual.com/17460-catalog_default/cable-standing-front-raise-variation.jpg",4,500,500)</f>
        <v/>
      </c>
      <c r="C1150" s="30">
        <v>1149.0</v>
      </c>
      <c r="D1150" s="16" t="s">
        <v>1656</v>
      </c>
      <c r="E1150" s="16" t="s">
        <v>184</v>
      </c>
      <c r="F1150" s="16" t="s">
        <v>228</v>
      </c>
      <c r="G1150" s="16" t="s">
        <v>215</v>
      </c>
      <c r="H1150" s="16" t="s">
        <v>229</v>
      </c>
      <c r="I1150" s="16" t="s">
        <v>1657</v>
      </c>
    </row>
    <row r="1151" ht="242.25" customHeight="1">
      <c r="A1151" s="32" t="b">
        <v>0</v>
      </c>
      <c r="B1151" s="32" t="str">
        <f>IMAGE("https://gymvisual.com/20050-catalog_default/cable-standing-high-cross-triceps-extension.jpg",4,500,500)</f>
        <v/>
      </c>
      <c r="C1151" s="30">
        <v>1150.0</v>
      </c>
      <c r="D1151" s="16" t="s">
        <v>1658</v>
      </c>
      <c r="E1151" s="16" t="s">
        <v>184</v>
      </c>
      <c r="F1151" s="16" t="s">
        <v>219</v>
      </c>
      <c r="G1151" s="16" t="s">
        <v>215</v>
      </c>
      <c r="H1151" s="16" t="s">
        <v>223</v>
      </c>
      <c r="I1151" s="16" t="s">
        <v>220</v>
      </c>
    </row>
    <row r="1152" ht="242.25" customHeight="1">
      <c r="A1152" s="32" t="b">
        <v>0</v>
      </c>
      <c r="B1152" s="32" t="str">
        <f>IMAGE("https://gymvisual.com/706-catalog_default/cable-standing-hip-extension.jpg",4,500,500)</f>
        <v/>
      </c>
      <c r="C1152" s="30">
        <v>1151.0</v>
      </c>
      <c r="D1152" s="16" t="s">
        <v>1659</v>
      </c>
      <c r="E1152" s="16" t="s">
        <v>184</v>
      </c>
      <c r="F1152" s="16" t="s">
        <v>185</v>
      </c>
      <c r="G1152" s="16" t="s">
        <v>215</v>
      </c>
      <c r="H1152" s="16" t="s">
        <v>187</v>
      </c>
      <c r="I1152" s="16" t="s">
        <v>188</v>
      </c>
    </row>
    <row r="1153" ht="242.25" customHeight="1">
      <c r="A1153" s="32" t="b">
        <v>0</v>
      </c>
      <c r="B1153" s="32" t="str">
        <f>IMAGE("https://gymvisual.com/2770-catalog_default/cable-standing-hip-extension-version-2.jpg",4,500,500)</f>
        <v/>
      </c>
      <c r="C1153" s="30">
        <v>1152.0</v>
      </c>
      <c r="D1153" s="16" t="s">
        <v>1660</v>
      </c>
      <c r="E1153" s="16" t="s">
        <v>184</v>
      </c>
      <c r="F1153" s="16" t="s">
        <v>185</v>
      </c>
      <c r="G1153" s="16" t="s">
        <v>215</v>
      </c>
      <c r="H1153" s="16" t="s">
        <v>187</v>
      </c>
      <c r="I1153" s="16" t="s">
        <v>188</v>
      </c>
    </row>
    <row r="1154" ht="242.25" customHeight="1">
      <c r="B1154" s="32" t="str">
        <f>IMAGE("https://gymvisual.com/11801-catalog_default/cable-standing-hip-thrust-female.jpg",4,500,500)</f>
        <v/>
      </c>
      <c r="C1154" s="30">
        <v>1153.0</v>
      </c>
      <c r="D1154" s="16" t="s">
        <v>1661</v>
      </c>
      <c r="E1154" s="16" t="s">
        <v>184</v>
      </c>
      <c r="F1154" s="16" t="s">
        <v>185</v>
      </c>
      <c r="G1154" s="16" t="s">
        <v>346</v>
      </c>
      <c r="H1154" s="16" t="s">
        <v>220</v>
      </c>
      <c r="I1154" s="16" t="s">
        <v>220</v>
      </c>
    </row>
    <row r="1155" ht="242.25" customHeight="1">
      <c r="A1155" s="32" t="b">
        <v>0</v>
      </c>
      <c r="B1155" s="32" t="str">
        <f>IMAGE("https://gymvisual.com/709-catalog_default/cable-standing-inner-curl.jpg",4,500,500)</f>
        <v/>
      </c>
      <c r="C1155" s="30">
        <v>1154.0</v>
      </c>
      <c r="D1155" s="16" t="s">
        <v>1662</v>
      </c>
      <c r="E1155" s="16" t="s">
        <v>184</v>
      </c>
      <c r="F1155" s="16" t="s">
        <v>219</v>
      </c>
      <c r="G1155" s="16" t="s">
        <v>215</v>
      </c>
      <c r="H1155" s="16" t="s">
        <v>241</v>
      </c>
      <c r="I1155" s="16" t="s">
        <v>232</v>
      </c>
    </row>
    <row r="1156" ht="242.25" customHeight="1">
      <c r="A1156" s="32" t="b">
        <v>0</v>
      </c>
      <c r="B1156" s="32" t="str">
        <f>IMAGE("https://gymvisual.com/11294-catalog_default/cable-standing-inner-curl-female.jpg",4,500,500)</f>
        <v/>
      </c>
      <c r="C1156" s="30">
        <v>1155.0</v>
      </c>
      <c r="D1156" s="16" t="s">
        <v>1663</v>
      </c>
      <c r="E1156" s="16" t="s">
        <v>184</v>
      </c>
      <c r="F1156" s="16" t="s">
        <v>219</v>
      </c>
      <c r="G1156" s="16" t="s">
        <v>215</v>
      </c>
      <c r="H1156" s="16" t="s">
        <v>241</v>
      </c>
      <c r="I1156" s="16" t="s">
        <v>292</v>
      </c>
    </row>
    <row r="1157" ht="242.25" customHeight="1">
      <c r="A1157" s="32" t="b">
        <v>0</v>
      </c>
      <c r="B1157" s="32" t="str">
        <f>IMAGE("https://gymvisual.com/4600-catalog_default/cable-standing-lat-pushdown-rope-equipment.jpg",4,500,500)</f>
        <v/>
      </c>
      <c r="C1157" s="30">
        <v>1156.0</v>
      </c>
      <c r="D1157" s="16" t="s">
        <v>1664</v>
      </c>
      <c r="E1157" s="16" t="s">
        <v>184</v>
      </c>
      <c r="F1157" s="16" t="s">
        <v>192</v>
      </c>
      <c r="G1157" s="16" t="s">
        <v>215</v>
      </c>
      <c r="H1157" s="16" t="s">
        <v>300</v>
      </c>
      <c r="I1157" s="16" t="s">
        <v>781</v>
      </c>
    </row>
    <row r="1158" ht="242.25" customHeight="1">
      <c r="A1158" s="32" t="b">
        <v>0</v>
      </c>
      <c r="B1158" s="32" t="str">
        <f>IMAGE("https://gymvisual.com/6794-catalog_default/cable-standing-leg-curl.jpg",4,500,500)</f>
        <v/>
      </c>
      <c r="C1158" s="30">
        <v>1157.0</v>
      </c>
      <c r="D1158" s="16" t="s">
        <v>1665</v>
      </c>
      <c r="E1158" s="16" t="s">
        <v>184</v>
      </c>
      <c r="F1158" s="16" t="s">
        <v>285</v>
      </c>
      <c r="G1158" s="16" t="s">
        <v>215</v>
      </c>
      <c r="H1158" s="16" t="s">
        <v>220</v>
      </c>
      <c r="I1158" s="16" t="s">
        <v>220</v>
      </c>
    </row>
    <row r="1159" ht="242.25" customHeight="1">
      <c r="A1159" s="32" t="b">
        <v>0</v>
      </c>
      <c r="B1159" s="32" t="str">
        <f>IMAGE("https://gymvisual.com/712-catalog_default/cable-standing-lift.jpg",4,500,500)</f>
        <v/>
      </c>
      <c r="C1159" s="30">
        <v>1158.0</v>
      </c>
      <c r="D1159" s="16" t="s">
        <v>1666</v>
      </c>
      <c r="E1159" s="16" t="s">
        <v>184</v>
      </c>
      <c r="F1159" s="16" t="s">
        <v>254</v>
      </c>
      <c r="G1159" s="16" t="s">
        <v>215</v>
      </c>
      <c r="H1159" s="16" t="s">
        <v>257</v>
      </c>
      <c r="I1159" s="16" t="s">
        <v>1667</v>
      </c>
    </row>
    <row r="1160" ht="242.25" customHeight="1">
      <c r="A1160" s="32" t="b">
        <v>0</v>
      </c>
      <c r="B1160" s="32" t="str">
        <f>IMAGE("https://gymvisual.com/23041-catalog_default/cable-standing-one-arm-hammer-curl-with-rope-attachment.jpg",4,500,500)</f>
        <v/>
      </c>
      <c r="C1160" s="30">
        <v>1159.0</v>
      </c>
      <c r="D1160" s="16" t="s">
        <v>1668</v>
      </c>
      <c r="E1160" s="16" t="s">
        <v>184</v>
      </c>
      <c r="F1160" s="16" t="s">
        <v>219</v>
      </c>
      <c r="G1160" s="16" t="s">
        <v>215</v>
      </c>
      <c r="H1160" s="16" t="s">
        <v>220</v>
      </c>
      <c r="I1160" s="16" t="s">
        <v>220</v>
      </c>
    </row>
    <row r="1161" ht="242.25" customHeight="1">
      <c r="A1161" s="32" t="b">
        <v>0</v>
      </c>
      <c r="B1161" s="32" t="str">
        <f>IMAGE("https://gymvisual.com/4598-catalog_default/cable-standing-one-arm-tricep-pushdown-overhand-grip.jpg",4,500,500)</f>
        <v/>
      </c>
      <c r="C1161" s="30">
        <v>1160.0</v>
      </c>
      <c r="D1161" s="16" t="s">
        <v>1669</v>
      </c>
      <c r="E1161" s="16" t="s">
        <v>184</v>
      </c>
      <c r="F1161" s="16" t="s">
        <v>219</v>
      </c>
      <c r="G1161" s="16" t="s">
        <v>215</v>
      </c>
      <c r="H1161" s="16" t="s">
        <v>223</v>
      </c>
      <c r="I1161" s="16" t="s">
        <v>220</v>
      </c>
    </row>
    <row r="1162" ht="242.25" customHeight="1">
      <c r="A1162" s="32" t="b">
        <v>0</v>
      </c>
      <c r="B1162" s="32" t="str">
        <f>IMAGE("https://gymvisual.com/25649-catalog_default/cable-standing-one-arm-triceps-extension.jpg",4,500,500)</f>
        <v/>
      </c>
      <c r="C1162" s="30">
        <v>1161.0</v>
      </c>
      <c r="D1162" s="16" t="s">
        <v>1670</v>
      </c>
      <c r="E1162" s="16" t="s">
        <v>184</v>
      </c>
      <c r="F1162" s="16" t="s">
        <v>219</v>
      </c>
      <c r="G1162" s="16" t="s">
        <v>215</v>
      </c>
      <c r="H1162" s="16" t="s">
        <v>223</v>
      </c>
      <c r="I1162" s="16" t="s">
        <v>220</v>
      </c>
    </row>
    <row r="1163" ht="242.25" customHeight="1">
      <c r="A1163" s="32" t="b">
        <v>0</v>
      </c>
      <c r="B1163" s="32" t="str">
        <f>IMAGE("https://gymvisual.com/11585-catalog_default/cable-standing-one-arm-triceps-extension-female.jpg",4,500,500)</f>
        <v/>
      </c>
      <c r="C1163" s="30">
        <v>1162.0</v>
      </c>
      <c r="D1163" s="16" t="s">
        <v>1671</v>
      </c>
      <c r="E1163" s="16" t="s">
        <v>184</v>
      </c>
      <c r="F1163" s="16" t="s">
        <v>219</v>
      </c>
      <c r="G1163" s="16" t="s">
        <v>215</v>
      </c>
      <c r="H1163" s="16" t="s">
        <v>223</v>
      </c>
      <c r="I1163" s="16" t="s">
        <v>220</v>
      </c>
    </row>
    <row r="1164" ht="242.25" customHeight="1">
      <c r="A1164" s="32" t="b">
        <v>0</v>
      </c>
      <c r="B1164" s="32" t="str">
        <f>IMAGE("https://gymvisual.com/6071-catalog_default/cable-standing-one-leg-calf-raise.jpg",4,500,500)</f>
        <v/>
      </c>
      <c r="C1164" s="30">
        <v>1163.0</v>
      </c>
      <c r="D1164" s="16" t="s">
        <v>1672</v>
      </c>
      <c r="E1164" s="16" t="s">
        <v>184</v>
      </c>
      <c r="F1164" s="16" t="s">
        <v>325</v>
      </c>
      <c r="G1164" s="16" t="s">
        <v>215</v>
      </c>
      <c r="H1164" s="16" t="s">
        <v>368</v>
      </c>
      <c r="I1164" s="16" t="s">
        <v>463</v>
      </c>
    </row>
    <row r="1165" ht="242.25" customHeight="1">
      <c r="A1165" s="32" t="b">
        <v>0</v>
      </c>
      <c r="B1165" s="32" t="str">
        <f>IMAGE("https://gymvisual.com/718-catalog_default/cable-standing-pulldown-with-rope.jpg",4,500,500)</f>
        <v/>
      </c>
      <c r="C1165" s="30">
        <v>1164.0</v>
      </c>
      <c r="D1165" s="16" t="s">
        <v>1673</v>
      </c>
      <c r="E1165" s="16" t="s">
        <v>184</v>
      </c>
      <c r="F1165" s="16" t="s">
        <v>214</v>
      </c>
      <c r="G1165" s="16" t="s">
        <v>215</v>
      </c>
      <c r="H1165" s="16" t="s">
        <v>216</v>
      </c>
      <c r="I1165" s="16" t="s">
        <v>217</v>
      </c>
    </row>
    <row r="1166" ht="242.25" customHeight="1">
      <c r="A1166" s="32" t="b">
        <v>0</v>
      </c>
      <c r="B1166" s="32" t="str">
        <f>IMAGE("https://gymvisual.com/12978-catalog_default/cable-standing-rear-delt-horizontal-row-with-rope.jpg",4,500,500)</f>
        <v/>
      </c>
      <c r="C1166" s="30">
        <v>1165.0</v>
      </c>
      <c r="D1166" s="16" t="s">
        <v>1674</v>
      </c>
      <c r="E1166" s="16" t="s">
        <v>184</v>
      </c>
      <c r="F1166" s="16" t="s">
        <v>228</v>
      </c>
      <c r="G1166" s="16" t="s">
        <v>215</v>
      </c>
      <c r="H1166" s="16" t="s">
        <v>408</v>
      </c>
      <c r="I1166" s="16" t="s">
        <v>731</v>
      </c>
    </row>
    <row r="1167" ht="242.25" customHeight="1">
      <c r="A1167" s="32" t="b">
        <v>0</v>
      </c>
      <c r="B1167" s="32" t="str">
        <f>IMAGE("https://gymvisual.com/24816-catalog_default/cable-standing-rear-delt-row-with-rope.jpg",4,500,500)</f>
        <v/>
      </c>
      <c r="C1167" s="30">
        <v>1166.0</v>
      </c>
      <c r="D1167" s="16" t="s">
        <v>1675</v>
      </c>
      <c r="E1167" s="16" t="s">
        <v>184</v>
      </c>
      <c r="F1167" s="16" t="s">
        <v>228</v>
      </c>
      <c r="G1167" s="16" t="s">
        <v>215</v>
      </c>
      <c r="H1167" s="16" t="s">
        <v>408</v>
      </c>
      <c r="I1167" s="16" t="s">
        <v>490</v>
      </c>
    </row>
    <row r="1168" ht="242.25" customHeight="1">
      <c r="A1168" s="32" t="b">
        <v>0</v>
      </c>
      <c r="B1168" s="32" t="str">
        <f>IMAGE("https://gymvisual.com/12052-catalog_default/cable-standing-rear-delt-row-with-rope-female.jpg",4,500,500)</f>
        <v/>
      </c>
      <c r="C1168" s="30">
        <v>1167.0</v>
      </c>
      <c r="D1168" s="16" t="s">
        <v>1676</v>
      </c>
      <c r="E1168" s="16" t="s">
        <v>184</v>
      </c>
      <c r="F1168" s="16" t="s">
        <v>228</v>
      </c>
      <c r="G1168" s="16" t="s">
        <v>215</v>
      </c>
      <c r="H1168" s="16" t="s">
        <v>408</v>
      </c>
      <c r="I1168" s="16" t="s">
        <v>452</v>
      </c>
    </row>
    <row r="1169" ht="242.25" customHeight="1">
      <c r="A1169" s="32" t="b">
        <v>0</v>
      </c>
      <c r="B1169" s="32" t="str">
        <f>IMAGE("https://gymvisual.com/12240-catalog_default/cable-standing-reverse-grip-curl-straight-bar.jpg",4,500,500)</f>
        <v/>
      </c>
      <c r="C1169" s="30">
        <v>1168.0</v>
      </c>
      <c r="D1169" s="16" t="s">
        <v>1677</v>
      </c>
      <c r="E1169" s="16" t="s">
        <v>184</v>
      </c>
      <c r="F1169" s="16" t="s">
        <v>214</v>
      </c>
      <c r="G1169" s="16" t="s">
        <v>215</v>
      </c>
      <c r="H1169" s="16" t="s">
        <v>216</v>
      </c>
      <c r="I1169" s="16" t="s">
        <v>217</v>
      </c>
    </row>
    <row r="1170" ht="242.25" customHeight="1">
      <c r="A1170" s="32" t="b">
        <v>0</v>
      </c>
      <c r="B1170" s="32" t="str">
        <f>IMAGE("https://gymvisual.com/12239-catalog_default/cable-standing-reverse-grip-curl-straight-bar-female.jpg",4,500,500)</f>
        <v/>
      </c>
      <c r="C1170" s="30">
        <v>1169.0</v>
      </c>
      <c r="D1170" s="16" t="s">
        <v>1678</v>
      </c>
      <c r="E1170" s="16" t="s">
        <v>184</v>
      </c>
      <c r="F1170" s="16" t="s">
        <v>214</v>
      </c>
      <c r="G1170" s="16" t="s">
        <v>215</v>
      </c>
      <c r="H1170" s="16" t="s">
        <v>216</v>
      </c>
      <c r="I1170" s="16" t="s">
        <v>217</v>
      </c>
    </row>
    <row r="1171" ht="242.25" customHeight="1">
      <c r="A1171" s="32" t="b">
        <v>0</v>
      </c>
      <c r="B1171" s="32" t="str">
        <f>IMAGE("https://gymvisual.com/7446-catalog_default/cable-standing-reverse-grip-one-arm-overhead-tricep-extension.jpg",4,500,500)</f>
        <v/>
      </c>
      <c r="C1171" s="30">
        <v>1170.0</v>
      </c>
      <c r="D1171" s="16" t="s">
        <v>1679</v>
      </c>
      <c r="E1171" s="16" t="s">
        <v>184</v>
      </c>
      <c r="F1171" s="16" t="s">
        <v>219</v>
      </c>
      <c r="G1171" s="16" t="s">
        <v>215</v>
      </c>
      <c r="H1171" s="16" t="s">
        <v>220</v>
      </c>
      <c r="I1171" s="16" t="s">
        <v>220</v>
      </c>
    </row>
    <row r="1172" ht="242.25" customHeight="1">
      <c r="A1172" s="32" t="b">
        <v>0</v>
      </c>
      <c r="B1172" s="32" t="str">
        <f>IMAGE("https://gymvisual.com/21050-catalog_default/cable-standing-row.jpg",4,500,500)</f>
        <v/>
      </c>
      <c r="C1172" s="30">
        <v>1171.0</v>
      </c>
      <c r="D1172" s="16" t="s">
        <v>1680</v>
      </c>
      <c r="E1172" s="16" t="s">
        <v>184</v>
      </c>
      <c r="F1172" s="16" t="s">
        <v>192</v>
      </c>
      <c r="G1172" s="16" t="s">
        <v>215</v>
      </c>
      <c r="H1172" s="16" t="s">
        <v>570</v>
      </c>
      <c r="I1172" s="16" t="s">
        <v>447</v>
      </c>
    </row>
    <row r="1173" ht="242.25" customHeight="1">
      <c r="A1173" s="32" t="b">
        <v>0</v>
      </c>
      <c r="B1173" s="32" t="str">
        <f>IMAGE("https://gymvisual.com/724-catalog_default/cable-standing-row-v-bar.jpg",4,500,500)</f>
        <v/>
      </c>
      <c r="C1173" s="30">
        <v>1172.0</v>
      </c>
      <c r="D1173" s="16" t="s">
        <v>1681</v>
      </c>
      <c r="E1173" s="16" t="s">
        <v>184</v>
      </c>
      <c r="F1173" s="16" t="s">
        <v>192</v>
      </c>
      <c r="G1173" s="16" t="s">
        <v>215</v>
      </c>
      <c r="H1173" s="16" t="s">
        <v>329</v>
      </c>
      <c r="I1173" s="16" t="s">
        <v>457</v>
      </c>
    </row>
    <row r="1174" ht="242.25" customHeight="1">
      <c r="A1174" s="32" t="b">
        <v>0</v>
      </c>
      <c r="B1174" s="32" t="str">
        <f>IMAGE("https://gymvisual.com/26418-catalog_default/cable-standing-shoulder-external-rotation.jpg",4,500,500)</f>
        <v/>
      </c>
      <c r="C1174" s="30">
        <v>1173.0</v>
      </c>
      <c r="D1174" s="16" t="s">
        <v>1682</v>
      </c>
      <c r="E1174" s="16" t="s">
        <v>184</v>
      </c>
      <c r="F1174" s="16" t="s">
        <v>192</v>
      </c>
      <c r="G1174" s="16" t="s">
        <v>215</v>
      </c>
      <c r="H1174" s="16" t="s">
        <v>1607</v>
      </c>
      <c r="I1174" s="16" t="s">
        <v>408</v>
      </c>
    </row>
    <row r="1175" ht="242.25" customHeight="1">
      <c r="A1175" s="32" t="b">
        <v>0</v>
      </c>
      <c r="B1175" s="32" t="str">
        <f>IMAGE("https://gymvisual.com/11522-catalog_default/cable-standing-shoulder-external-rotation-female.jpg",4,500,500)</f>
        <v/>
      </c>
      <c r="C1175" s="30">
        <v>1174.0</v>
      </c>
      <c r="D1175" s="16" t="s">
        <v>1683</v>
      </c>
      <c r="E1175" s="16" t="s">
        <v>184</v>
      </c>
      <c r="F1175" s="16" t="s">
        <v>192</v>
      </c>
      <c r="G1175" s="16" t="s">
        <v>215</v>
      </c>
      <c r="H1175" s="16" t="s">
        <v>220</v>
      </c>
      <c r="I1175" s="16" t="s">
        <v>220</v>
      </c>
    </row>
    <row r="1176" ht="242.25" customHeight="1">
      <c r="A1176" s="32" t="b">
        <v>0</v>
      </c>
      <c r="B1176" s="32" t="str">
        <f>IMAGE("https://gymvisual.com/730-catalog_default/cable-standing-twist-row-v-bar.jpg",4,500,500)</f>
        <v/>
      </c>
      <c r="C1176" s="30">
        <v>1175.0</v>
      </c>
      <c r="D1176" s="16" t="s">
        <v>1684</v>
      </c>
      <c r="E1176" s="16" t="s">
        <v>184</v>
      </c>
      <c r="F1176" s="16" t="s">
        <v>192</v>
      </c>
      <c r="G1176" s="16" t="s">
        <v>215</v>
      </c>
      <c r="H1176" s="16" t="s">
        <v>329</v>
      </c>
      <c r="I1176" s="16" t="s">
        <v>579</v>
      </c>
    </row>
    <row r="1177" ht="242.25" customHeight="1">
      <c r="A1177" s="32" t="b">
        <v>0</v>
      </c>
      <c r="B1177" s="32" t="str">
        <f>IMAGE("https://gymvisual.com/5958-catalog_default/cable-standing-up-straight-crossovers.jpg",4,500,500)</f>
        <v/>
      </c>
      <c r="C1177" s="30">
        <v>1176.0</v>
      </c>
      <c r="D1177" s="16" t="s">
        <v>1685</v>
      </c>
      <c r="E1177" s="16" t="s">
        <v>184</v>
      </c>
      <c r="F1177" s="16" t="s">
        <v>234</v>
      </c>
      <c r="G1177" s="16" t="s">
        <v>215</v>
      </c>
      <c r="H1177" s="16" t="s">
        <v>347</v>
      </c>
      <c r="I1177" s="16" t="s">
        <v>420</v>
      </c>
    </row>
    <row r="1178" ht="242.25" customHeight="1">
      <c r="A1178" s="32" t="b">
        <v>0</v>
      </c>
      <c r="B1178" s="32" t="str">
        <f>IMAGE("https://gymvisual.com/10365-catalog_default/cable-standing-up-straight-crossovers-female.jpg",4,500,500)</f>
        <v/>
      </c>
      <c r="C1178" s="30">
        <v>1177.0</v>
      </c>
      <c r="D1178" s="16" t="s">
        <v>1686</v>
      </c>
      <c r="E1178" s="16" t="s">
        <v>184</v>
      </c>
      <c r="F1178" s="16" t="s">
        <v>234</v>
      </c>
      <c r="G1178" s="16" t="s">
        <v>215</v>
      </c>
      <c r="H1178" s="16" t="s">
        <v>347</v>
      </c>
      <c r="I1178" s="16" t="s">
        <v>420</v>
      </c>
    </row>
    <row r="1179" ht="242.25" customHeight="1">
      <c r="A1179" s="32" t="b">
        <v>0</v>
      </c>
      <c r="B1179" s="32" t="str">
        <f>IMAGE("https://gymvisual.com/11997-catalog_default/cable-stiff-leg-deadlift-from-stepbox.jpg",4,500,500)</f>
        <v/>
      </c>
      <c r="C1179" s="30">
        <v>1178.0</v>
      </c>
      <c r="D1179" s="16" t="s">
        <v>1687</v>
      </c>
      <c r="E1179" s="16" t="s">
        <v>184</v>
      </c>
      <c r="F1179" s="16" t="s">
        <v>185</v>
      </c>
      <c r="G1179" s="16" t="s">
        <v>215</v>
      </c>
      <c r="H1179" s="16" t="s">
        <v>267</v>
      </c>
      <c r="I1179" s="16" t="s">
        <v>188</v>
      </c>
    </row>
    <row r="1180" ht="242.25" customHeight="1">
      <c r="A1180" s="32" t="b">
        <v>0</v>
      </c>
      <c r="B1180" s="32" t="str">
        <f>IMAGE("https://gymvisual.com/736-catalog_default/cable-straight-arm-pulldown.jpg",4,500,500)</f>
        <v/>
      </c>
      <c r="C1180" s="30">
        <v>1179.0</v>
      </c>
      <c r="D1180" s="16" t="s">
        <v>1688</v>
      </c>
      <c r="E1180" s="16" t="s">
        <v>184</v>
      </c>
      <c r="F1180" s="16" t="s">
        <v>192</v>
      </c>
      <c r="G1180" s="16" t="s">
        <v>215</v>
      </c>
      <c r="H1180" s="16" t="s">
        <v>300</v>
      </c>
      <c r="I1180" s="16" t="s">
        <v>1507</v>
      </c>
    </row>
    <row r="1181" ht="242.25" customHeight="1">
      <c r="A1181" s="32" t="b">
        <v>0</v>
      </c>
      <c r="B1181" s="32" t="str">
        <f>IMAGE("https://gymvisual.com/4094-catalog_default/cable-straight-arm-pulldown-version-2.jpg",4,500,500)</f>
        <v/>
      </c>
      <c r="C1181" s="30">
        <v>1180.0</v>
      </c>
      <c r="D1181" s="16" t="s">
        <v>1689</v>
      </c>
      <c r="E1181" s="16" t="s">
        <v>184</v>
      </c>
      <c r="F1181" s="16" t="s">
        <v>192</v>
      </c>
      <c r="G1181" s="16" t="s">
        <v>215</v>
      </c>
      <c r="H1181" s="16" t="s">
        <v>300</v>
      </c>
      <c r="I1181" s="16" t="s">
        <v>687</v>
      </c>
    </row>
    <row r="1182" ht="242.25" customHeight="1">
      <c r="A1182" s="32" t="b">
        <v>0</v>
      </c>
      <c r="B1182" s="32" t="str">
        <f>IMAGE("https://gymvisual.com/16054-catalog_default/cable-straight-arm-pulldown-with-rope.jpg",4,500,500)</f>
        <v/>
      </c>
      <c r="C1182" s="30">
        <v>1181.0</v>
      </c>
      <c r="D1182" s="16" t="s">
        <v>1690</v>
      </c>
      <c r="E1182" s="16" t="s">
        <v>184</v>
      </c>
      <c r="F1182" s="16" t="s">
        <v>192</v>
      </c>
      <c r="G1182" s="16" t="s">
        <v>215</v>
      </c>
      <c r="H1182" s="16" t="s">
        <v>300</v>
      </c>
      <c r="I1182" s="16" t="s">
        <v>1507</v>
      </c>
    </row>
    <row r="1183" ht="242.25" customHeight="1">
      <c r="A1183" s="32" t="b">
        <v>0</v>
      </c>
      <c r="B1183" s="32" t="str">
        <f>IMAGE("https://gymvisual.com/7321-catalog_default/cable-straight-back-seated-row.jpg",4,500,500)</f>
        <v/>
      </c>
      <c r="C1183" s="30">
        <v>1182.0</v>
      </c>
      <c r="D1183" s="16" t="s">
        <v>1691</v>
      </c>
      <c r="E1183" s="16" t="s">
        <v>184</v>
      </c>
      <c r="F1183" s="16" t="s">
        <v>192</v>
      </c>
      <c r="G1183" s="16" t="s">
        <v>215</v>
      </c>
      <c r="H1183" s="16" t="s">
        <v>329</v>
      </c>
      <c r="I1183" s="16" t="s">
        <v>457</v>
      </c>
    </row>
    <row r="1184" ht="242.25" customHeight="1">
      <c r="A1184" s="32" t="b">
        <v>0</v>
      </c>
      <c r="B1184" s="32" t="str">
        <f>IMAGE("https://gymvisual.com/13407-catalog_default/cable-straight-back-seated-row-female.jpg",4,500,500)</f>
        <v/>
      </c>
      <c r="C1184" s="30">
        <v>1183.0</v>
      </c>
      <c r="D1184" s="16" t="s">
        <v>1692</v>
      </c>
      <c r="E1184" s="16" t="s">
        <v>184</v>
      </c>
      <c r="F1184" s="16" t="s">
        <v>192</v>
      </c>
      <c r="G1184" s="16" t="s">
        <v>215</v>
      </c>
      <c r="H1184" s="16" t="s">
        <v>570</v>
      </c>
      <c r="I1184" s="16" t="s">
        <v>447</v>
      </c>
    </row>
    <row r="1185" ht="242.25" customHeight="1">
      <c r="A1185" s="32" t="b">
        <v>0</v>
      </c>
      <c r="B1185" s="32" t="str">
        <f>IMAGE("https://gymvisual.com/10151-catalog_default/cable-straight-legs-pull-through-with-rope-female.jpg",4,500,500)</f>
        <v/>
      </c>
      <c r="C1185" s="30">
        <v>1184.0</v>
      </c>
      <c r="D1185" s="16" t="s">
        <v>1693</v>
      </c>
      <c r="E1185" s="16" t="s">
        <v>184</v>
      </c>
      <c r="F1185" s="16" t="s">
        <v>185</v>
      </c>
      <c r="G1185" s="16" t="s">
        <v>215</v>
      </c>
      <c r="H1185" s="16" t="s">
        <v>187</v>
      </c>
      <c r="I1185" s="16" t="s">
        <v>188</v>
      </c>
    </row>
    <row r="1186" ht="242.25" customHeight="1">
      <c r="A1186" s="32" t="b">
        <v>0</v>
      </c>
      <c r="B1186" s="32" t="str">
        <f>IMAGE("https://gymvisual.com/18892-catalog_default/cable-supine-reverse-fly.jpg",4,500,500)</f>
        <v/>
      </c>
      <c r="C1186" s="30">
        <v>1185.0</v>
      </c>
      <c r="D1186" s="16" t="s">
        <v>1694</v>
      </c>
      <c r="E1186" s="16" t="s">
        <v>184</v>
      </c>
      <c r="F1186" s="16" t="s">
        <v>228</v>
      </c>
      <c r="G1186" s="16" t="s">
        <v>215</v>
      </c>
      <c r="H1186" s="16" t="s">
        <v>408</v>
      </c>
      <c r="I1186" s="16" t="s">
        <v>1695</v>
      </c>
    </row>
    <row r="1187" ht="242.25" customHeight="1">
      <c r="A1187" s="32" t="b">
        <v>0</v>
      </c>
      <c r="B1187" s="32" t="str">
        <f>IMAGE("https://gymvisual.com/10571-catalog_default/cable-thibaudeau-kayak-row.jpg",4,500,500)</f>
        <v/>
      </c>
      <c r="C1187" s="30">
        <v>1186.0</v>
      </c>
      <c r="D1187" s="16" t="s">
        <v>1696</v>
      </c>
      <c r="E1187" s="16" t="s">
        <v>184</v>
      </c>
      <c r="F1187" s="16" t="s">
        <v>361</v>
      </c>
      <c r="G1187" s="16" t="s">
        <v>215</v>
      </c>
      <c r="H1187" s="16" t="s">
        <v>1697</v>
      </c>
      <c r="I1187" s="16" t="s">
        <v>1698</v>
      </c>
    </row>
    <row r="1188" ht="242.25" customHeight="1">
      <c r="A1188" s="32" t="b">
        <v>0</v>
      </c>
      <c r="B1188" s="32" t="str">
        <f>IMAGE("https://gymvisual.com/6946-catalog_default/cable-triceps-pushdown-sz-bar.jpg",4,500,500)</f>
        <v/>
      </c>
      <c r="C1188" s="30">
        <v>1187.0</v>
      </c>
      <c r="D1188" s="16" t="s">
        <v>1699</v>
      </c>
      <c r="E1188" s="16" t="s">
        <v>184</v>
      </c>
      <c r="F1188" s="16" t="s">
        <v>219</v>
      </c>
      <c r="G1188" s="16" t="s">
        <v>215</v>
      </c>
      <c r="H1188" s="16" t="s">
        <v>223</v>
      </c>
      <c r="I1188" s="16" t="s">
        <v>220</v>
      </c>
    </row>
    <row r="1189" ht="242.25" customHeight="1">
      <c r="A1189" s="32" t="b">
        <v>0</v>
      </c>
      <c r="B1189" s="32" t="str">
        <f>IMAGE("https://gymvisual.com/9661-catalog_default/cable-triceps-pushdown-v-bar-female.jpg",4,500,500)</f>
        <v/>
      </c>
      <c r="C1189" s="30">
        <v>1188.0</v>
      </c>
      <c r="D1189" s="16" t="s">
        <v>1700</v>
      </c>
      <c r="E1189" s="16" t="s">
        <v>184</v>
      </c>
      <c r="F1189" s="16" t="s">
        <v>219</v>
      </c>
      <c r="G1189" s="16" t="s">
        <v>215</v>
      </c>
      <c r="H1189" s="16" t="s">
        <v>223</v>
      </c>
      <c r="I1189" s="16" t="s">
        <v>220</v>
      </c>
    </row>
    <row r="1190" ht="242.25" customHeight="1">
      <c r="A1190" s="32" t="b">
        <v>0</v>
      </c>
      <c r="B1190" s="32" t="str">
        <f>IMAGE("https://gymvisual.com/745-catalog_default/cable-triceps-pushdown-v-bar.jpg",4,500,500)</f>
        <v/>
      </c>
      <c r="C1190" s="30">
        <v>1189.0</v>
      </c>
      <c r="D1190" s="16" t="s">
        <v>1701</v>
      </c>
      <c r="E1190" s="16" t="s">
        <v>184</v>
      </c>
      <c r="F1190" s="16" t="s">
        <v>219</v>
      </c>
      <c r="G1190" s="16" t="s">
        <v>215</v>
      </c>
      <c r="H1190" s="16" t="s">
        <v>223</v>
      </c>
      <c r="I1190" s="16" t="s">
        <v>220</v>
      </c>
    </row>
    <row r="1191" ht="242.25" customHeight="1">
      <c r="A1191" s="32" t="b">
        <v>0</v>
      </c>
      <c r="B1191" s="32" t="str">
        <f>IMAGE("https://gymvisual.com/18876-catalog_default/cable-triceps-pushdown-v-bar-version-2.jpg",4,500,500)</f>
        <v/>
      </c>
      <c r="C1191" s="30">
        <v>1190.0</v>
      </c>
      <c r="D1191" s="16" t="s">
        <v>1702</v>
      </c>
      <c r="E1191" s="16" t="s">
        <v>184</v>
      </c>
      <c r="F1191" s="16" t="s">
        <v>219</v>
      </c>
      <c r="G1191" s="16" t="s">
        <v>215</v>
      </c>
      <c r="H1191" s="16" t="s">
        <v>223</v>
      </c>
      <c r="I1191" s="16" t="s">
        <v>220</v>
      </c>
    </row>
    <row r="1192" ht="242.25" customHeight="1">
      <c r="A1192" s="32" t="b">
        <v>0</v>
      </c>
      <c r="B1192" s="32" t="str">
        <f>IMAGE("https://gymvisual.com/10458-catalog_default/cable-triceps-pushdown-v-bar-with-arm-blaster.jpg",4,500,500)</f>
        <v/>
      </c>
      <c r="C1192" s="30">
        <v>1191.0</v>
      </c>
      <c r="D1192" s="16" t="s">
        <v>1703</v>
      </c>
      <c r="E1192" s="16" t="s">
        <v>184</v>
      </c>
      <c r="F1192" s="16" t="s">
        <v>219</v>
      </c>
      <c r="G1192" s="16" t="s">
        <v>215</v>
      </c>
      <c r="H1192" s="16" t="s">
        <v>223</v>
      </c>
      <c r="I1192" s="16" t="s">
        <v>220</v>
      </c>
    </row>
    <row r="1193" ht="242.25" customHeight="1">
      <c r="A1193" s="32" t="b">
        <v>0</v>
      </c>
      <c r="B1193" s="32" t="str">
        <f>IMAGE("https://gymvisual.com/17187-catalog_default/cable-triceps-pushdown-on-floor.jpg",4,500,500)</f>
        <v/>
      </c>
      <c r="C1193" s="30">
        <v>1192.0</v>
      </c>
      <c r="D1193" s="16" t="s">
        <v>1704</v>
      </c>
      <c r="E1193" s="16" t="s">
        <v>184</v>
      </c>
      <c r="F1193" s="16" t="s">
        <v>219</v>
      </c>
      <c r="G1193" s="16" t="s">
        <v>215</v>
      </c>
      <c r="H1193" s="16" t="s">
        <v>223</v>
      </c>
      <c r="I1193" s="16" t="s">
        <v>220</v>
      </c>
    </row>
    <row r="1194" ht="242.25" customHeight="1">
      <c r="A1194" s="32" t="b">
        <v>0</v>
      </c>
      <c r="B1194" s="32" t="str">
        <f>IMAGE("https://gymvisual.com/748-catalog_default/cable-tuck-reverse-crunch.jpg",4,500,500)</f>
        <v/>
      </c>
      <c r="C1194" s="30">
        <v>1193.0</v>
      </c>
      <c r="D1194" s="16" t="s">
        <v>1705</v>
      </c>
      <c r="E1194" s="16" t="s">
        <v>184</v>
      </c>
      <c r="F1194" s="16" t="s">
        <v>254</v>
      </c>
      <c r="G1194" s="16" t="s">
        <v>215</v>
      </c>
      <c r="H1194" s="16" t="s">
        <v>305</v>
      </c>
      <c r="I1194" s="16" t="s">
        <v>524</v>
      </c>
    </row>
    <row r="1195" ht="242.25" customHeight="1">
      <c r="A1195" s="32" t="b">
        <v>0</v>
      </c>
      <c r="B1195" s="32" t="str">
        <f>IMAGE("https://gymvisual.com/751-catalog_default/cable-twist.jpg",4,500,500)</f>
        <v/>
      </c>
      <c r="C1195" s="30">
        <v>1194.0</v>
      </c>
      <c r="D1195" s="16" t="s">
        <v>1706</v>
      </c>
      <c r="E1195" s="16" t="s">
        <v>184</v>
      </c>
      <c r="F1195" s="16" t="s">
        <v>254</v>
      </c>
      <c r="G1195" s="16" t="s">
        <v>215</v>
      </c>
      <c r="H1195" s="16" t="s">
        <v>257</v>
      </c>
      <c r="I1195" s="16" t="s">
        <v>1707</v>
      </c>
    </row>
    <row r="1196" ht="242.25" customHeight="1">
      <c r="A1196" s="32" t="b">
        <v>0</v>
      </c>
      <c r="B1196" s="32" t="str">
        <f>IMAGE("https://gymvisual.com/4575-catalog_default/cable-twist-down-up.jpg",4,500,500)</f>
        <v/>
      </c>
      <c r="C1196" s="30">
        <v>1195.0</v>
      </c>
      <c r="D1196" s="16" t="s">
        <v>1708</v>
      </c>
      <c r="E1196" s="16" t="s">
        <v>184</v>
      </c>
      <c r="F1196" s="16" t="s">
        <v>254</v>
      </c>
      <c r="G1196" s="16" t="s">
        <v>215</v>
      </c>
      <c r="H1196" s="16" t="s">
        <v>257</v>
      </c>
      <c r="I1196" s="16" t="s">
        <v>1709</v>
      </c>
    </row>
    <row r="1197" ht="242.25" customHeight="1">
      <c r="A1197" s="32" t="b">
        <v>0</v>
      </c>
      <c r="B1197" s="32" t="str">
        <f>IMAGE("https://gymvisual.com/10978-catalog_default/cable-twist-female.jpg",4,500,500)</f>
        <v/>
      </c>
      <c r="C1197" s="30">
        <v>1196.0</v>
      </c>
      <c r="D1197" s="16" t="s">
        <v>1710</v>
      </c>
      <c r="E1197" s="16" t="s">
        <v>184</v>
      </c>
      <c r="F1197" s="16" t="s">
        <v>254</v>
      </c>
      <c r="G1197" s="16" t="s">
        <v>215</v>
      </c>
      <c r="H1197" s="16" t="s">
        <v>257</v>
      </c>
      <c r="I1197" s="16" t="s">
        <v>271</v>
      </c>
    </row>
    <row r="1198" ht="242.25" customHeight="1">
      <c r="A1198" s="32" t="b">
        <v>0</v>
      </c>
      <c r="B1198" s="32" t="str">
        <f>IMAGE("https://gymvisual.com/4576-catalog_default/cable-twist-up-down-version-2.jpg",4,500,500)</f>
        <v/>
      </c>
      <c r="C1198" s="30">
        <v>1197.0</v>
      </c>
      <c r="D1198" s="16" t="s">
        <v>1711</v>
      </c>
      <c r="E1198" s="16" t="s">
        <v>184</v>
      </c>
      <c r="F1198" s="16" t="s">
        <v>254</v>
      </c>
      <c r="G1198" s="16" t="s">
        <v>215</v>
      </c>
      <c r="H1198" s="16" t="s">
        <v>257</v>
      </c>
      <c r="I1198" s="16" t="s">
        <v>695</v>
      </c>
    </row>
    <row r="1199" ht="242.25" customHeight="1">
      <c r="A1199" s="32" t="b">
        <v>0</v>
      </c>
      <c r="B1199" s="32" t="str">
        <f>IMAGE("https://gymvisual.com/2625-catalog_default/cable-twist-up-down.jpg",4,500,500)</f>
        <v/>
      </c>
      <c r="C1199" s="30">
        <v>1198.0</v>
      </c>
      <c r="D1199" s="16" t="s">
        <v>1712</v>
      </c>
      <c r="E1199" s="16" t="s">
        <v>184</v>
      </c>
      <c r="F1199" s="16" t="s">
        <v>254</v>
      </c>
      <c r="G1199" s="16" t="s">
        <v>215</v>
      </c>
      <c r="H1199" s="16" t="s">
        <v>257</v>
      </c>
      <c r="I1199" s="16" t="s">
        <v>1713</v>
      </c>
    </row>
    <row r="1200" ht="242.25" customHeight="1">
      <c r="A1200" s="32" t="b">
        <v>0</v>
      </c>
      <c r="B1200" s="32" t="str">
        <f>IMAGE("https://gymvisual.com/4100-catalog_default/cable-twist-version-2.jpg",4,500,500)</f>
        <v/>
      </c>
      <c r="C1200" s="30">
        <v>1199.0</v>
      </c>
      <c r="D1200" s="16" t="s">
        <v>1714</v>
      </c>
      <c r="E1200" s="16" t="s">
        <v>184</v>
      </c>
      <c r="F1200" s="16" t="s">
        <v>254</v>
      </c>
      <c r="G1200" s="16" t="s">
        <v>215</v>
      </c>
      <c r="H1200" s="16" t="s">
        <v>257</v>
      </c>
      <c r="I1200" s="16" t="s">
        <v>1715</v>
      </c>
    </row>
    <row r="1201" ht="242.25" customHeight="1">
      <c r="A1201" s="32" t="b">
        <v>0</v>
      </c>
      <c r="B1201" s="32" t="str">
        <f>IMAGE("https://gymvisual.com/22536-catalog_default/cable-twist-version-2-male.jpg",4,500,500)</f>
        <v/>
      </c>
      <c r="C1201" s="30">
        <v>1200.0</v>
      </c>
      <c r="D1201" s="16" t="s">
        <v>1716</v>
      </c>
      <c r="E1201" s="16" t="s">
        <v>184</v>
      </c>
      <c r="F1201" s="16" t="s">
        <v>254</v>
      </c>
      <c r="G1201" s="16" t="s">
        <v>215</v>
      </c>
      <c r="H1201" s="16" t="s">
        <v>220</v>
      </c>
      <c r="I1201" s="16" t="s">
        <v>220</v>
      </c>
    </row>
    <row r="1202" ht="242.25" customHeight="1">
      <c r="A1202" s="32" t="b">
        <v>0</v>
      </c>
      <c r="B1202" s="32" t="str">
        <f>IMAGE("https://gymvisual.com/4577-catalog_default/cable-twisting-overhead-press.jpg",4,500,500)</f>
        <v/>
      </c>
      <c r="C1202" s="30">
        <v>1201.0</v>
      </c>
      <c r="D1202" s="16" t="s">
        <v>1717</v>
      </c>
      <c r="E1202" s="16" t="s">
        <v>184</v>
      </c>
      <c r="F1202" s="16" t="s">
        <v>228</v>
      </c>
      <c r="G1202" s="16" t="s">
        <v>215</v>
      </c>
      <c r="H1202" s="16" t="s">
        <v>229</v>
      </c>
      <c r="I1202" s="16" t="s">
        <v>1718</v>
      </c>
    </row>
    <row r="1203" ht="242.25" customHeight="1">
      <c r="A1203" s="32" t="b">
        <v>0</v>
      </c>
      <c r="B1203" s="32" t="str">
        <f>IMAGE("https://gymvisual.com/11185-catalog_default/cable-twisting-overhead-press-female.jpg",4,500,500)</f>
        <v/>
      </c>
      <c r="C1203" s="30">
        <v>1202.0</v>
      </c>
      <c r="D1203" s="16" t="s">
        <v>1719</v>
      </c>
      <c r="E1203" s="16" t="s">
        <v>184</v>
      </c>
      <c r="F1203" s="16" t="s">
        <v>1720</v>
      </c>
      <c r="G1203" s="16" t="s">
        <v>215</v>
      </c>
      <c r="H1203" s="16" t="s">
        <v>220</v>
      </c>
      <c r="I1203" s="16" t="s">
        <v>220</v>
      </c>
    </row>
    <row r="1204" ht="242.25" customHeight="1">
      <c r="A1204" s="32" t="b">
        <v>0</v>
      </c>
      <c r="B1204" s="32" t="str">
        <f>IMAGE("https://gymvisual.com/754-catalog_default/cable-twisting-pull.jpg",4,500,500)</f>
        <v/>
      </c>
      <c r="C1204" s="30">
        <v>1203.0</v>
      </c>
      <c r="D1204" s="16" t="s">
        <v>1721</v>
      </c>
      <c r="E1204" s="16" t="s">
        <v>184</v>
      </c>
      <c r="F1204" s="16" t="s">
        <v>192</v>
      </c>
      <c r="G1204" s="16" t="s">
        <v>215</v>
      </c>
      <c r="H1204" s="16" t="s">
        <v>300</v>
      </c>
      <c r="I1204" s="16" t="s">
        <v>1722</v>
      </c>
    </row>
    <row r="1205" ht="242.25" customHeight="1">
      <c r="A1205" s="32" t="b">
        <v>0</v>
      </c>
      <c r="B1205" s="32" t="str">
        <f>IMAGE("https://gymvisual.com/4578-catalog_default/cable-twisting-standing-high-row.jpg",4,500,500)</f>
        <v/>
      </c>
      <c r="C1205" s="30">
        <v>1204.0</v>
      </c>
      <c r="D1205" s="16" t="s">
        <v>1723</v>
      </c>
      <c r="E1205" s="16" t="s">
        <v>184</v>
      </c>
      <c r="F1205" s="16" t="s">
        <v>192</v>
      </c>
      <c r="G1205" s="16" t="s">
        <v>215</v>
      </c>
      <c r="H1205" s="16" t="s">
        <v>329</v>
      </c>
      <c r="I1205" s="16" t="s">
        <v>1724</v>
      </c>
    </row>
    <row r="1206" ht="242.25" customHeight="1">
      <c r="A1206" s="32" t="b">
        <v>0</v>
      </c>
      <c r="B1206" s="32" t="str">
        <f>IMAGE("https://gymvisual.com/4579-catalog_default/cable-twisting-standing-one-arm-chest-press.jpg",4,500,500)</f>
        <v/>
      </c>
      <c r="C1206" s="30">
        <v>1205.0</v>
      </c>
      <c r="D1206" s="16" t="s">
        <v>1725</v>
      </c>
      <c r="E1206" s="16" t="s">
        <v>184</v>
      </c>
      <c r="F1206" s="16" t="s">
        <v>234</v>
      </c>
      <c r="G1206" s="16" t="s">
        <v>215</v>
      </c>
      <c r="H1206" s="16" t="s">
        <v>347</v>
      </c>
      <c r="I1206" s="16" t="s">
        <v>1726</v>
      </c>
    </row>
    <row r="1207" ht="242.25" customHeight="1">
      <c r="A1207" s="32" t="b">
        <v>0</v>
      </c>
      <c r="B1207" s="32" t="str">
        <f>IMAGE("https://gymvisual.com/4580-catalog_default/cable-twisting-standing-row.jpg",4,500,500)</f>
        <v/>
      </c>
      <c r="C1207" s="30">
        <v>1206.0</v>
      </c>
      <c r="D1207" s="16" t="s">
        <v>1727</v>
      </c>
      <c r="E1207" s="16" t="s">
        <v>184</v>
      </c>
      <c r="F1207" s="16" t="s">
        <v>192</v>
      </c>
      <c r="G1207" s="16" t="s">
        <v>215</v>
      </c>
      <c r="H1207" s="16" t="s">
        <v>329</v>
      </c>
      <c r="I1207" s="16" t="s">
        <v>1728</v>
      </c>
    </row>
    <row r="1208" ht="242.25" customHeight="1">
      <c r="A1208" s="32" t="b">
        <v>0</v>
      </c>
      <c r="B1208" s="32" t="str">
        <f>IMAGE("https://gymvisual.com/7119-catalog_default/cable-two-arm-curl-on-incline-bench.jpg",4,500,500)</f>
        <v/>
      </c>
      <c r="C1208" s="30">
        <v>1207.0</v>
      </c>
      <c r="D1208" s="16" t="s">
        <v>1729</v>
      </c>
      <c r="E1208" s="16" t="s">
        <v>184</v>
      </c>
      <c r="F1208" s="16" t="s">
        <v>219</v>
      </c>
      <c r="G1208" s="16" t="s">
        <v>215</v>
      </c>
      <c r="H1208" s="16" t="s">
        <v>220</v>
      </c>
      <c r="I1208" s="16" t="s">
        <v>220</v>
      </c>
    </row>
    <row r="1209" ht="242.25" customHeight="1">
      <c r="A1209" s="32" t="b">
        <v>0</v>
      </c>
      <c r="B1209" s="32" t="str">
        <f>IMAGE("https://gymvisual.com/7447-catalog_default/cable-two-arm-tricep-kickback.jpg",4,500,500)</f>
        <v/>
      </c>
      <c r="C1209" s="30">
        <v>1208.0</v>
      </c>
      <c r="D1209" s="16" t="s">
        <v>1730</v>
      </c>
      <c r="E1209" s="16" t="s">
        <v>184</v>
      </c>
      <c r="F1209" s="16" t="s">
        <v>219</v>
      </c>
      <c r="G1209" s="16" t="s">
        <v>215</v>
      </c>
      <c r="H1209" s="16" t="s">
        <v>220</v>
      </c>
      <c r="I1209" s="16" t="s">
        <v>220</v>
      </c>
    </row>
    <row r="1210" ht="242.25" customHeight="1">
      <c r="A1210" s="32" t="b">
        <v>0</v>
      </c>
      <c r="B1210" s="32" t="str">
        <f>IMAGE("https://gymvisual.com/13409-catalog_default/cable-two-arm-tricep-kickback-female.jpg",4,500,500)</f>
        <v/>
      </c>
      <c r="C1210" s="30">
        <v>1209.0</v>
      </c>
      <c r="D1210" s="16" t="s">
        <v>1731</v>
      </c>
      <c r="E1210" s="16" t="s">
        <v>184</v>
      </c>
      <c r="F1210" s="16" t="s">
        <v>219</v>
      </c>
      <c r="G1210" s="16" t="s">
        <v>215</v>
      </c>
      <c r="H1210" s="16" t="s">
        <v>220</v>
      </c>
      <c r="I1210" s="16" t="s">
        <v>220</v>
      </c>
    </row>
    <row r="1211" ht="242.25" customHeight="1">
      <c r="A1211" s="32" t="b">
        <v>0</v>
      </c>
      <c r="B1211" s="32" t="str">
        <f>IMAGE("https://gymvisual.com/2586-catalog_default/cable-underhand-pulldown.jpg",4,500,500)</f>
        <v/>
      </c>
      <c r="C1211" s="30">
        <v>1210.0</v>
      </c>
      <c r="D1211" s="16" t="s">
        <v>1732</v>
      </c>
      <c r="E1211" s="16" t="s">
        <v>184</v>
      </c>
      <c r="F1211" s="16" t="s">
        <v>192</v>
      </c>
      <c r="G1211" s="16" t="s">
        <v>215</v>
      </c>
      <c r="H1211" s="16" t="s">
        <v>300</v>
      </c>
      <c r="I1211" s="16" t="s">
        <v>1733</v>
      </c>
    </row>
    <row r="1212" ht="242.25" customHeight="1">
      <c r="A1212" s="32" t="b">
        <v>0</v>
      </c>
      <c r="B1212" s="32" t="str">
        <f>IMAGE("https://gymvisual.com/22361-catalog_default/cable-unilateral-bicep-curl.jpg",4,500,500)</f>
        <v/>
      </c>
      <c r="C1212" s="30">
        <v>1211.0</v>
      </c>
      <c r="D1212" s="16" t="s">
        <v>1734</v>
      </c>
      <c r="E1212" s="16" t="s">
        <v>184</v>
      </c>
      <c r="F1212" s="16" t="s">
        <v>219</v>
      </c>
      <c r="G1212" s="16" t="s">
        <v>215</v>
      </c>
      <c r="H1212" s="16" t="s">
        <v>220</v>
      </c>
      <c r="I1212" s="16" t="s">
        <v>220</v>
      </c>
    </row>
    <row r="1213" ht="242.25" customHeight="1">
      <c r="A1213" s="32" t="b">
        <v>0</v>
      </c>
      <c r="B1213" s="32" t="str">
        <f>IMAGE("https://gymvisual.com/5959-catalog_default/cable-upper-chest-crossovers.jpg",4,500,500)</f>
        <v/>
      </c>
      <c r="C1213" s="30">
        <v>1212.0</v>
      </c>
      <c r="D1213" s="16" t="s">
        <v>1735</v>
      </c>
      <c r="E1213" s="16" t="s">
        <v>184</v>
      </c>
      <c r="F1213" s="16" t="s">
        <v>234</v>
      </c>
      <c r="G1213" s="16" t="s">
        <v>215</v>
      </c>
      <c r="H1213" s="16" t="s">
        <v>415</v>
      </c>
      <c r="I1213" s="16" t="s">
        <v>236</v>
      </c>
    </row>
    <row r="1214" ht="242.25" customHeight="1">
      <c r="A1214" s="32" t="b">
        <v>0</v>
      </c>
      <c r="B1214" s="32" t="str">
        <f>IMAGE("https://gymvisual.com/10951-catalog_default/cable-upper-chest-crossovers-female.jpg",4,500,500)</f>
        <v/>
      </c>
      <c r="C1214" s="30">
        <v>1213.0</v>
      </c>
      <c r="D1214" s="16" t="s">
        <v>1736</v>
      </c>
      <c r="E1214" s="16" t="s">
        <v>184</v>
      </c>
      <c r="F1214" s="16" t="s">
        <v>234</v>
      </c>
      <c r="G1214" s="16" t="s">
        <v>215</v>
      </c>
      <c r="H1214" s="16" t="s">
        <v>220</v>
      </c>
      <c r="I1214" s="16" t="s">
        <v>220</v>
      </c>
    </row>
    <row r="1215" ht="242.25" customHeight="1">
      <c r="A1215" s="32" t="b">
        <v>0</v>
      </c>
      <c r="B1215" s="32" t="str">
        <f>IMAGE("https://gymvisual.com/6015-catalog_default/cable-upper-row.jpg",4,500,500)</f>
        <v/>
      </c>
      <c r="C1215" s="30">
        <v>1214.0</v>
      </c>
      <c r="D1215" s="16" t="s">
        <v>1737</v>
      </c>
      <c r="E1215" s="16" t="s">
        <v>184</v>
      </c>
      <c r="F1215" s="16" t="s">
        <v>192</v>
      </c>
      <c r="G1215" s="16" t="s">
        <v>215</v>
      </c>
      <c r="H1215" s="16" t="s">
        <v>329</v>
      </c>
      <c r="I1215" s="16" t="s">
        <v>457</v>
      </c>
    </row>
    <row r="1216" ht="242.25" customHeight="1">
      <c r="A1216" s="32" t="b">
        <v>0</v>
      </c>
      <c r="B1216" s="32" t="str">
        <f>IMAGE("https://gymvisual.com/24818-catalog_default/cable-upright-row.jpg",4,500,500)</f>
        <v/>
      </c>
      <c r="C1216" s="30">
        <v>1215.0</v>
      </c>
      <c r="D1216" s="16" t="s">
        <v>1738</v>
      </c>
      <c r="E1216" s="16" t="s">
        <v>184</v>
      </c>
      <c r="F1216" s="16" t="s">
        <v>228</v>
      </c>
      <c r="G1216" s="16" t="s">
        <v>215</v>
      </c>
      <c r="H1216" s="16" t="s">
        <v>544</v>
      </c>
      <c r="I1216" s="16" t="s">
        <v>1151</v>
      </c>
    </row>
    <row r="1217" ht="242.25" customHeight="1">
      <c r="A1217" s="32" t="b">
        <v>0</v>
      </c>
      <c r="B1217" s="32" t="str">
        <f>IMAGE("https://gymvisual.com/22552-catalog_default/cable-upright-row-female.jpg",4,500,500)</f>
        <v/>
      </c>
      <c r="C1217" s="30">
        <v>1216.0</v>
      </c>
      <c r="D1217" s="16" t="s">
        <v>1739</v>
      </c>
      <c r="E1217" s="16" t="s">
        <v>184</v>
      </c>
      <c r="F1217" s="16" t="s">
        <v>228</v>
      </c>
      <c r="G1217" s="16" t="s">
        <v>215</v>
      </c>
      <c r="H1217" s="16" t="s">
        <v>544</v>
      </c>
      <c r="I1217" s="16" t="s">
        <v>713</v>
      </c>
    </row>
    <row r="1218" ht="242.25" customHeight="1">
      <c r="A1218" s="32" t="b">
        <v>0</v>
      </c>
      <c r="B1218" s="32" t="str">
        <f>IMAGE("https://gymvisual.com/4581-catalog_default/cable-vertical-pallof-press.jpg",4,500,500)</f>
        <v/>
      </c>
      <c r="C1218" s="30">
        <v>1217.0</v>
      </c>
      <c r="D1218" s="16" t="s">
        <v>1740</v>
      </c>
      <c r="E1218" s="16" t="s">
        <v>184</v>
      </c>
      <c r="F1218" s="16" t="s">
        <v>254</v>
      </c>
      <c r="G1218" s="16" t="s">
        <v>215</v>
      </c>
      <c r="H1218" s="16" t="s">
        <v>257</v>
      </c>
      <c r="I1218" s="16" t="s">
        <v>220</v>
      </c>
    </row>
    <row r="1219" ht="242.25" customHeight="1">
      <c r="A1219" s="32" t="b">
        <v>0</v>
      </c>
      <c r="B1219" s="32" t="str">
        <f>IMAGE("https://gymvisual.com/24519-catalog_default/cable-wide-grip-behind-neck-pulldown.jpg",4,500,500)</f>
        <v/>
      </c>
      <c r="C1219" s="30">
        <v>1218.0</v>
      </c>
      <c r="D1219" s="16" t="s">
        <v>1741</v>
      </c>
      <c r="E1219" s="16" t="s">
        <v>184</v>
      </c>
      <c r="F1219" s="16" t="s">
        <v>192</v>
      </c>
      <c r="G1219" s="16" t="s">
        <v>215</v>
      </c>
      <c r="H1219" s="16" t="s">
        <v>300</v>
      </c>
      <c r="I1219" s="16" t="s">
        <v>1742</v>
      </c>
    </row>
    <row r="1220" ht="242.25" customHeight="1">
      <c r="A1220" s="32" t="b">
        <v>0</v>
      </c>
      <c r="B1220" s="32" t="str">
        <f>IMAGE("https://gymvisual.com/11191-catalog_default/cable-wide-grip-rear-pulldown-behind-neck-female.jpg",4,500,500)</f>
        <v/>
      </c>
      <c r="C1220" s="30">
        <v>1219.0</v>
      </c>
      <c r="D1220" s="16" t="s">
        <v>1743</v>
      </c>
      <c r="E1220" s="16" t="s">
        <v>184</v>
      </c>
      <c r="F1220" s="16" t="s">
        <v>192</v>
      </c>
      <c r="G1220" s="16" t="s">
        <v>215</v>
      </c>
      <c r="H1220" s="16" t="s">
        <v>220</v>
      </c>
      <c r="I1220" s="16" t="s">
        <v>220</v>
      </c>
    </row>
    <row r="1221" ht="242.25" customHeight="1">
      <c r="A1221" s="32" t="b">
        <v>0</v>
      </c>
      <c r="B1221" s="32" t="str">
        <f>IMAGE("https://gymvisual.com/18067-catalog_default/cable-wide-neutral-grip-pulldown.jpg",4,500,500)</f>
        <v/>
      </c>
      <c r="C1221" s="30">
        <v>1220.0</v>
      </c>
      <c r="D1221" s="16" t="s">
        <v>1744</v>
      </c>
      <c r="E1221" s="16" t="s">
        <v>184</v>
      </c>
      <c r="F1221" s="16" t="s">
        <v>192</v>
      </c>
      <c r="G1221" s="16" t="s">
        <v>215</v>
      </c>
      <c r="H1221" s="16" t="s">
        <v>220</v>
      </c>
      <c r="I1221" s="16" t="s">
        <v>220</v>
      </c>
    </row>
    <row r="1222" ht="242.25" customHeight="1">
      <c r="A1222" s="32" t="b">
        <v>0</v>
      </c>
      <c r="B1222" s="32" t="str">
        <f>IMAGE("https://gymvisual.com/24471-catalog_default/cable-wide-pulldown.jpg",4,500,500)</f>
        <v/>
      </c>
      <c r="C1222" s="30">
        <v>1221.0</v>
      </c>
      <c r="D1222" s="16" t="s">
        <v>1745</v>
      </c>
      <c r="E1222" s="16" t="s">
        <v>184</v>
      </c>
      <c r="F1222" s="16" t="s">
        <v>192</v>
      </c>
      <c r="G1222" s="16" t="s">
        <v>215</v>
      </c>
      <c r="H1222" s="16" t="s">
        <v>300</v>
      </c>
      <c r="I1222" s="16" t="s">
        <v>387</v>
      </c>
    </row>
    <row r="1223" ht="242.25" customHeight="1">
      <c r="A1223" s="32" t="b">
        <v>0</v>
      </c>
      <c r="B1223" s="32" t="str">
        <f>IMAGE("https://gymvisual.com/9733-catalog_default/cable-wide-grip-lat-pulldown-female.jpg",4,500,500)</f>
        <v/>
      </c>
      <c r="C1223" s="30">
        <v>1222.0</v>
      </c>
      <c r="D1223" s="16" t="s">
        <v>1746</v>
      </c>
      <c r="E1223" s="16" t="s">
        <v>184</v>
      </c>
      <c r="F1223" s="16" t="s">
        <v>192</v>
      </c>
      <c r="G1223" s="16" t="s">
        <v>215</v>
      </c>
      <c r="H1223" s="16" t="s">
        <v>300</v>
      </c>
      <c r="I1223" s="16" t="s">
        <v>1747</v>
      </c>
    </row>
    <row r="1224" ht="242.25" customHeight="1">
      <c r="A1224" s="32" t="b">
        <v>0</v>
      </c>
      <c r="B1224" s="32" t="str">
        <f>IMAGE("https://gymvisual.com/763-catalog_default/cable-wrist-curl.jpg",4,500,500)</f>
        <v/>
      </c>
      <c r="C1224" s="30">
        <v>1223.0</v>
      </c>
      <c r="D1224" s="16" t="s">
        <v>1748</v>
      </c>
      <c r="E1224" s="16" t="s">
        <v>184</v>
      </c>
      <c r="F1224" s="16" t="s">
        <v>214</v>
      </c>
      <c r="G1224" s="16" t="s">
        <v>215</v>
      </c>
      <c r="H1224" s="16" t="s">
        <v>720</v>
      </c>
      <c r="I1224" s="16" t="s">
        <v>220</v>
      </c>
    </row>
    <row r="1225" ht="242.25" customHeight="1">
      <c r="A1225" s="32" t="b">
        <v>0</v>
      </c>
      <c r="B1225" s="32" t="str">
        <f>IMAGE("https://gymvisual.com/19381-catalog_default/cable-y-raise.jpg",4,500,500)</f>
        <v/>
      </c>
      <c r="C1225" s="30">
        <v>1224.0</v>
      </c>
      <c r="D1225" s="16" t="s">
        <v>1749</v>
      </c>
      <c r="E1225" s="16" t="s">
        <v>184</v>
      </c>
      <c r="F1225" s="16" t="s">
        <v>228</v>
      </c>
      <c r="G1225" s="16" t="s">
        <v>215</v>
      </c>
      <c r="H1225" s="16" t="s">
        <v>544</v>
      </c>
      <c r="I1225" s="16" t="s">
        <v>220</v>
      </c>
    </row>
    <row r="1226" ht="242.25" customHeight="1">
      <c r="B1226" s="32" t="str">
        <f>IMAGE("https://gymvisual.com/13743-catalog_default/calf-raise-from-deficit-with-chair-supported.jpg",4,500,500)</f>
        <v/>
      </c>
      <c r="C1226" s="30">
        <v>1225.0</v>
      </c>
      <c r="D1226" s="16" t="s">
        <v>1750</v>
      </c>
      <c r="E1226" s="16" t="s">
        <v>184</v>
      </c>
      <c r="F1226" s="16" t="s">
        <v>325</v>
      </c>
      <c r="G1226" s="16" t="s">
        <v>255</v>
      </c>
      <c r="H1226" s="16" t="s">
        <v>368</v>
      </c>
      <c r="I1226" s="16" t="s">
        <v>463</v>
      </c>
    </row>
    <row r="1227" ht="242.25" customHeight="1">
      <c r="A1227" s="32" t="b">
        <v>0</v>
      </c>
      <c r="B1227" s="32" t="str">
        <f>IMAGE("https://gymvisual.com/766-catalog_default/cambered-bar-lying-row.jpg",4,500,500)</f>
        <v/>
      </c>
      <c r="C1227" s="30">
        <v>1226.0</v>
      </c>
      <c r="D1227" s="16" t="s">
        <v>1751</v>
      </c>
      <c r="E1227" s="16" t="s">
        <v>184</v>
      </c>
      <c r="F1227" s="16" t="s">
        <v>192</v>
      </c>
      <c r="G1227" s="16" t="s">
        <v>186</v>
      </c>
      <c r="H1227" s="16" t="s">
        <v>329</v>
      </c>
      <c r="I1227" s="16" t="s">
        <v>457</v>
      </c>
    </row>
    <row r="1228" ht="242.25" customHeight="1">
      <c r="A1228" s="32" t="b">
        <v>0</v>
      </c>
      <c r="B1228" s="32" t="str">
        <f>IMAGE("https://gymvisual.com/20517-catalog_default/cambered-bar-lying-row-female.jpg",4,500,500)</f>
        <v/>
      </c>
      <c r="C1228" s="30">
        <v>1227.0</v>
      </c>
      <c r="D1228" s="16" t="s">
        <v>1752</v>
      </c>
      <c r="E1228" s="16" t="s">
        <v>184</v>
      </c>
      <c r="F1228" s="16" t="s">
        <v>192</v>
      </c>
      <c r="G1228" s="16" t="s">
        <v>186</v>
      </c>
      <c r="H1228" s="16" t="s">
        <v>329</v>
      </c>
      <c r="I1228" s="16" t="s">
        <v>447</v>
      </c>
    </row>
    <row r="1229" ht="242.25" customHeight="1">
      <c r="B1229" s="32" t="str">
        <f>IMAGE("https://gymvisual.com/22534-catalog_default/captains-chair-leg-raise.jpg",4,500,500)</f>
        <v/>
      </c>
      <c r="C1229" s="30">
        <v>1228.0</v>
      </c>
      <c r="D1229" s="16" t="s">
        <v>1753</v>
      </c>
      <c r="E1229" s="16" t="s">
        <v>184</v>
      </c>
      <c r="F1229" s="16" t="s">
        <v>185</v>
      </c>
      <c r="G1229" s="16" t="s">
        <v>255</v>
      </c>
      <c r="H1229" s="16" t="s">
        <v>220</v>
      </c>
      <c r="I1229" s="16" t="s">
        <v>220</v>
      </c>
    </row>
    <row r="1230" ht="242.25" customHeight="1">
      <c r="B1230" s="32" t="str">
        <f>IMAGE("https://gymvisual.com/12286-catalog_default/captains-chair-straight-leg-raise.jpg",4,500,500)</f>
        <v/>
      </c>
      <c r="C1230" s="30">
        <v>1229.0</v>
      </c>
      <c r="D1230" s="16" t="s">
        <v>1754</v>
      </c>
      <c r="E1230" s="16" t="s">
        <v>184</v>
      </c>
      <c r="F1230" s="16" t="s">
        <v>254</v>
      </c>
      <c r="G1230" s="16" t="s">
        <v>255</v>
      </c>
      <c r="H1230" s="16" t="s">
        <v>305</v>
      </c>
      <c r="I1230" s="16" t="s">
        <v>319</v>
      </c>
    </row>
    <row r="1231" ht="242.25" customHeight="1">
      <c r="B1231" s="32" t="str">
        <f>IMAGE("https://gymvisual.com/22177-catalog_default/captains-chair-straight-leg-raise-female.jpg",4,500,500)</f>
        <v/>
      </c>
      <c r="C1231" s="30">
        <v>1230.0</v>
      </c>
      <c r="D1231" s="16" t="s">
        <v>1755</v>
      </c>
      <c r="E1231" s="16" t="s">
        <v>184</v>
      </c>
      <c r="F1231" s="16" t="s">
        <v>254</v>
      </c>
      <c r="G1231" s="16" t="s">
        <v>255</v>
      </c>
      <c r="H1231" s="16" t="s">
        <v>305</v>
      </c>
      <c r="I1231" s="16" t="s">
        <v>1306</v>
      </c>
    </row>
    <row r="1232" ht="242.25" customHeight="1">
      <c r="B1232" s="32" t="str">
        <f>IMAGE("https://gymvisual.com/25063-catalog_default/cheat-curl.jpg",4,500,500)</f>
        <v/>
      </c>
      <c r="C1232" s="30">
        <v>1231.0</v>
      </c>
      <c r="D1232" s="16" t="s">
        <v>1756</v>
      </c>
      <c r="E1232" s="16" t="s">
        <v>184</v>
      </c>
      <c r="F1232" s="16" t="s">
        <v>219</v>
      </c>
      <c r="G1232" s="16" t="s">
        <v>255</v>
      </c>
      <c r="H1232" s="16" t="s">
        <v>220</v>
      </c>
      <c r="I1232" s="16" t="s">
        <v>220</v>
      </c>
    </row>
    <row r="1233" ht="242.25" customHeight="1">
      <c r="A1233" s="32" t="b">
        <v>0</v>
      </c>
      <c r="B1233" s="32" t="str">
        <f>IMAGE("https://gymvisual.com/10182-catalog_default/chest-bench-press-arms-wrong-right.jpg",4,500,500)</f>
        <v/>
      </c>
      <c r="C1233" s="30">
        <v>1232.0</v>
      </c>
      <c r="D1233" s="16" t="s">
        <v>1757</v>
      </c>
      <c r="E1233" s="16" t="s">
        <v>184</v>
      </c>
      <c r="F1233" s="16" t="s">
        <v>234</v>
      </c>
      <c r="G1233" s="16" t="s">
        <v>186</v>
      </c>
      <c r="H1233" s="16" t="s">
        <v>220</v>
      </c>
      <c r="I1233" s="16" t="s">
        <v>220</v>
      </c>
    </row>
    <row r="1234" ht="242.25" customHeight="1">
      <c r="A1234" s="32" t="b">
        <v>0</v>
      </c>
      <c r="B1234" s="32" t="str">
        <f>IMAGE("https://gymvisual.com/10176-catalog_default/chest-bench-press-butt-wrong-right.jpg",4,500,500)</f>
        <v/>
      </c>
      <c r="C1234" s="30">
        <v>1233.0</v>
      </c>
      <c r="D1234" s="16" t="s">
        <v>1758</v>
      </c>
      <c r="E1234" s="16" t="s">
        <v>184</v>
      </c>
      <c r="F1234" s="16" t="s">
        <v>234</v>
      </c>
      <c r="G1234" s="16" t="s">
        <v>186</v>
      </c>
      <c r="H1234" s="16" t="s">
        <v>220</v>
      </c>
      <c r="I1234" s="16" t="s">
        <v>220</v>
      </c>
    </row>
    <row r="1235" ht="242.25" customHeight="1">
      <c r="A1235" s="32" t="b">
        <v>0</v>
      </c>
      <c r="B1235" s="32" t="str">
        <f>IMAGE("https://gymvisual.com/10184-catalog_default/chest-bench-press-elbows-wrong-right.jpg",4,500,500)</f>
        <v/>
      </c>
      <c r="C1235" s="30">
        <v>1234.0</v>
      </c>
      <c r="D1235" s="16" t="s">
        <v>1759</v>
      </c>
      <c r="E1235" s="16" t="s">
        <v>184</v>
      </c>
      <c r="F1235" s="16" t="s">
        <v>234</v>
      </c>
      <c r="G1235" s="16" t="s">
        <v>186</v>
      </c>
      <c r="H1235" s="16" t="s">
        <v>220</v>
      </c>
      <c r="I1235" s="16" t="s">
        <v>220</v>
      </c>
    </row>
    <row r="1236" ht="242.25" customHeight="1">
      <c r="A1236" s="32" t="b">
        <v>0</v>
      </c>
      <c r="B1236" s="32" t="str">
        <f>IMAGE("https://gymvisual.com/10172-catalog_default/chest-bench-press-forearms-wrong-right.jpg",4,500,500)</f>
        <v/>
      </c>
      <c r="C1236" s="30">
        <v>1235.0</v>
      </c>
      <c r="D1236" s="16" t="s">
        <v>1760</v>
      </c>
      <c r="E1236" s="16" t="s">
        <v>184</v>
      </c>
      <c r="F1236" s="16" t="s">
        <v>234</v>
      </c>
      <c r="G1236" s="16" t="s">
        <v>186</v>
      </c>
      <c r="H1236" s="16" t="s">
        <v>220</v>
      </c>
      <c r="I1236" s="16" t="s">
        <v>220</v>
      </c>
    </row>
    <row r="1237" ht="242.25" customHeight="1">
      <c r="A1237" s="32" t="b">
        <v>0</v>
      </c>
      <c r="B1237" s="32" t="str">
        <f>IMAGE("https://gymvisual.com/10178-catalog_default/chest-bench-press-grip-width-wrong-right.jpg",4,500,500)</f>
        <v/>
      </c>
      <c r="C1237" s="30">
        <v>1236.0</v>
      </c>
      <c r="D1237" s="16" t="s">
        <v>1761</v>
      </c>
      <c r="E1237" s="16" t="s">
        <v>184</v>
      </c>
      <c r="F1237" s="16" t="s">
        <v>234</v>
      </c>
      <c r="G1237" s="16" t="s">
        <v>186</v>
      </c>
      <c r="H1237" s="16" t="s">
        <v>220</v>
      </c>
      <c r="I1237" s="16" t="s">
        <v>220</v>
      </c>
    </row>
    <row r="1238" ht="242.25" customHeight="1">
      <c r="A1238" s="32" t="b">
        <v>0</v>
      </c>
      <c r="B1238" s="32" t="str">
        <f>IMAGE("https://gymvisual.com/10180-catalog_default/chest-bench-press-shoulders-wrong-right.jpg",4,500,500)</f>
        <v/>
      </c>
      <c r="C1238" s="30">
        <v>1237.0</v>
      </c>
      <c r="D1238" s="16" t="s">
        <v>1762</v>
      </c>
      <c r="E1238" s="16" t="s">
        <v>184</v>
      </c>
      <c r="F1238" s="16" t="s">
        <v>234</v>
      </c>
      <c r="G1238" s="16" t="s">
        <v>186</v>
      </c>
      <c r="H1238" s="16" t="s">
        <v>220</v>
      </c>
      <c r="I1238" s="16" t="s">
        <v>220</v>
      </c>
    </row>
    <row r="1239" ht="242.25" customHeight="1">
      <c r="B1239" s="32" t="str">
        <f>IMAGE("https://gymvisual.com/4493-catalog_default/chest-dip.jpg",4,500,500)</f>
        <v/>
      </c>
      <c r="C1239" s="30">
        <v>1238.0</v>
      </c>
      <c r="D1239" s="16" t="s">
        <v>1763</v>
      </c>
      <c r="E1239" s="16" t="s">
        <v>184</v>
      </c>
      <c r="F1239" s="16" t="s">
        <v>234</v>
      </c>
      <c r="G1239" s="16" t="s">
        <v>255</v>
      </c>
      <c r="H1239" s="16" t="s">
        <v>347</v>
      </c>
      <c r="I1239" s="16" t="s">
        <v>1764</v>
      </c>
    </row>
    <row r="1240" ht="242.25" customHeight="1">
      <c r="B1240" s="32" t="str">
        <f>IMAGE("https://gymvisual.com/19383-catalog_default/chest-dip-female.jpg",4,500,500)</f>
        <v/>
      </c>
      <c r="C1240" s="30">
        <v>1239.0</v>
      </c>
      <c r="D1240" s="16" t="s">
        <v>1765</v>
      </c>
      <c r="E1240" s="16" t="s">
        <v>184</v>
      </c>
      <c r="F1240" s="16" t="s">
        <v>234</v>
      </c>
      <c r="G1240" s="16" t="s">
        <v>255</v>
      </c>
      <c r="H1240" s="16" t="s">
        <v>347</v>
      </c>
      <c r="I1240" s="16" t="s">
        <v>1764</v>
      </c>
    </row>
    <row r="1241" ht="242.25" customHeight="1">
      <c r="B1241" s="32" t="str">
        <f>IMAGE("https://gymvisual.com/6436-catalog_default/chest-dip-on-dip-pull-up-cage.jpg",4,500,500)</f>
        <v/>
      </c>
      <c r="C1241" s="30">
        <v>1240.0</v>
      </c>
      <c r="D1241" s="16" t="s">
        <v>1766</v>
      </c>
      <c r="E1241" s="16" t="s">
        <v>184</v>
      </c>
      <c r="F1241" s="16" t="s">
        <v>234</v>
      </c>
      <c r="G1241" s="16" t="s">
        <v>255</v>
      </c>
      <c r="H1241" s="16" t="s">
        <v>347</v>
      </c>
      <c r="I1241" s="16" t="s">
        <v>1764</v>
      </c>
    </row>
    <row r="1242" ht="242.25" customHeight="1">
      <c r="B1242" s="32" t="str">
        <f>IMAGE("https://gymvisual.com/20666-catalog_default/chest-dip-on-straight-bar.jpg",4,500,500)</f>
        <v/>
      </c>
      <c r="C1242" s="30">
        <v>1241.0</v>
      </c>
      <c r="D1242" s="16" t="s">
        <v>1767</v>
      </c>
      <c r="E1242" s="16" t="s">
        <v>184</v>
      </c>
      <c r="F1242" s="16" t="s">
        <v>234</v>
      </c>
      <c r="G1242" s="16" t="s">
        <v>255</v>
      </c>
      <c r="H1242" s="16" t="s">
        <v>235</v>
      </c>
      <c r="I1242" s="16" t="s">
        <v>243</v>
      </c>
    </row>
    <row r="1243" ht="242.25" customHeight="1">
      <c r="A1243" s="32" t="b">
        <v>0</v>
      </c>
      <c r="B1243" s="32" t="str">
        <f>IMAGE("https://gymvisual.com/10237-catalog_default/chest-fly-arms-wrong-right.jpg",4,500,500)</f>
        <v/>
      </c>
      <c r="C1243" s="30">
        <v>1242.0</v>
      </c>
      <c r="D1243" s="16" t="s">
        <v>1768</v>
      </c>
      <c r="E1243" s="16" t="s">
        <v>184</v>
      </c>
      <c r="F1243" s="16" t="s">
        <v>234</v>
      </c>
      <c r="G1243" s="16" t="s">
        <v>222</v>
      </c>
      <c r="H1243" s="16" t="s">
        <v>220</v>
      </c>
      <c r="I1243" s="16" t="s">
        <v>220</v>
      </c>
    </row>
    <row r="1244" ht="242.25" customHeight="1">
      <c r="B1244" s="32" t="str">
        <f>IMAGE("https://gymvisual.com/23687-catalog_default/chest-out-hands-behind-hold-female.jpg",4,500,500)</f>
        <v/>
      </c>
      <c r="C1244" s="30">
        <v>1243.0</v>
      </c>
      <c r="D1244" s="16" t="s">
        <v>1769</v>
      </c>
      <c r="E1244" s="16" t="s">
        <v>184</v>
      </c>
      <c r="F1244" s="16" t="s">
        <v>234</v>
      </c>
      <c r="G1244" s="16" t="s">
        <v>255</v>
      </c>
      <c r="H1244" s="16" t="s">
        <v>472</v>
      </c>
      <c r="I1244" s="16" t="s">
        <v>220</v>
      </c>
    </row>
    <row r="1245" ht="242.25" customHeight="1">
      <c r="B1245" s="32" t="str">
        <f>IMAGE("https://gymvisual.com/12907-catalog_default/chest-tap-push-up-male.jpg",4,500,500)</f>
        <v/>
      </c>
      <c r="C1245" s="30">
        <v>1244.0</v>
      </c>
      <c r="D1245" s="16" t="s">
        <v>1770</v>
      </c>
      <c r="E1245" s="16" t="s">
        <v>184</v>
      </c>
      <c r="F1245" s="16" t="s">
        <v>234</v>
      </c>
      <c r="G1245" s="16" t="s">
        <v>255</v>
      </c>
      <c r="H1245" s="16" t="s">
        <v>235</v>
      </c>
      <c r="I1245" s="16" t="s">
        <v>1771</v>
      </c>
    </row>
    <row r="1246" ht="242.25" customHeight="1">
      <c r="B1246" s="32" t="str">
        <f>IMAGE("https://gymvisual.com/12555-catalog_default/chin-tuck.jpg",4,500,500)</f>
        <v/>
      </c>
      <c r="C1246" s="30">
        <v>1245.0</v>
      </c>
      <c r="D1246" s="16" t="s">
        <v>1772</v>
      </c>
      <c r="E1246" s="16" t="s">
        <v>184</v>
      </c>
      <c r="F1246" s="16" t="s">
        <v>351</v>
      </c>
      <c r="G1246" s="16" t="s">
        <v>255</v>
      </c>
      <c r="H1246" s="16" t="s">
        <v>220</v>
      </c>
      <c r="I1246" s="16" t="s">
        <v>220</v>
      </c>
    </row>
    <row r="1247" ht="242.25" customHeight="1">
      <c r="B1247" s="32" t="str">
        <f>IMAGE("https://gymvisual.com/12557-catalog_default/chin-tuck-female.jpg",4,500,500)</f>
        <v/>
      </c>
      <c r="C1247" s="30">
        <v>1246.0</v>
      </c>
      <c r="D1247" s="16" t="s">
        <v>1773</v>
      </c>
      <c r="E1247" s="16" t="s">
        <v>184</v>
      </c>
      <c r="F1247" s="16" t="s">
        <v>351</v>
      </c>
      <c r="G1247" s="16" t="s">
        <v>255</v>
      </c>
      <c r="H1247" s="16" t="s">
        <v>220</v>
      </c>
      <c r="I1247" s="16" t="s">
        <v>220</v>
      </c>
    </row>
    <row r="1248" ht="242.25" customHeight="1">
      <c r="B1248" s="32" t="str">
        <f>IMAGE("https://gymvisual.com/14264-catalog_default/chin-ups-narrow-parallel-grip-female.jpg",4,500,500)</f>
        <v/>
      </c>
      <c r="C1248" s="30">
        <v>1247.0</v>
      </c>
      <c r="D1248" s="16" t="s">
        <v>1774</v>
      </c>
      <c r="E1248" s="16" t="s">
        <v>184</v>
      </c>
      <c r="F1248" s="16" t="s">
        <v>192</v>
      </c>
      <c r="G1248" s="16" t="s">
        <v>255</v>
      </c>
      <c r="H1248" s="16" t="s">
        <v>329</v>
      </c>
      <c r="I1248" s="16" t="s">
        <v>447</v>
      </c>
    </row>
    <row r="1249" ht="242.25" customHeight="1">
      <c r="B1249" s="32" t="str">
        <f>IMAGE("https://gymvisual.com/19361-catalog_default/chin-up.jpg",4,500,500)</f>
        <v/>
      </c>
      <c r="C1249" s="30">
        <v>1248.0</v>
      </c>
      <c r="D1249" s="16" t="s">
        <v>1775</v>
      </c>
      <c r="E1249" s="16" t="s">
        <v>184</v>
      </c>
      <c r="F1249" s="16" t="s">
        <v>192</v>
      </c>
      <c r="G1249" s="16" t="s">
        <v>255</v>
      </c>
      <c r="H1249" s="16" t="s">
        <v>300</v>
      </c>
      <c r="I1249" s="16" t="s">
        <v>1357</v>
      </c>
    </row>
    <row r="1250" ht="242.25" customHeight="1">
      <c r="B1250" s="32" t="str">
        <f>IMAGE("https://gymvisual.com/10306-catalog_default/chin-up-female.jpg",4,500,500)</f>
        <v/>
      </c>
      <c r="C1250" s="30">
        <v>1249.0</v>
      </c>
      <c r="D1250" s="16" t="s">
        <v>1776</v>
      </c>
      <c r="E1250" s="16" t="s">
        <v>184</v>
      </c>
      <c r="F1250" s="16" t="s">
        <v>192</v>
      </c>
      <c r="G1250" s="16" t="s">
        <v>255</v>
      </c>
      <c r="H1250" s="16" t="s">
        <v>300</v>
      </c>
      <c r="I1250" s="16" t="s">
        <v>1777</v>
      </c>
    </row>
    <row r="1251" ht="242.25" customHeight="1">
      <c r="B1251" s="32" t="str">
        <f>IMAGE("https://gymvisual.com/22199-catalog_default/chin-up-in-squatting-position.jpg",4,500,500)</f>
        <v/>
      </c>
      <c r="C1251" s="30">
        <v>1250.0</v>
      </c>
      <c r="D1251" s="16" t="s">
        <v>1778</v>
      </c>
      <c r="E1251" s="16" t="s">
        <v>184</v>
      </c>
      <c r="F1251" s="16" t="s">
        <v>192</v>
      </c>
      <c r="G1251" s="16" t="s">
        <v>255</v>
      </c>
      <c r="H1251" s="16" t="s">
        <v>220</v>
      </c>
      <c r="I1251" s="16" t="s">
        <v>220</v>
      </c>
    </row>
    <row r="1252" ht="242.25" customHeight="1">
      <c r="B1252" s="32" t="str">
        <f>IMAGE("https://gymvisual.com/22201-catalog_default/chin-up-izometric-and-negative.jpg",4,500,500)</f>
        <v/>
      </c>
      <c r="C1252" s="30">
        <v>1251.0</v>
      </c>
      <c r="D1252" s="16" t="s">
        <v>1779</v>
      </c>
      <c r="E1252" s="16" t="s">
        <v>184</v>
      </c>
      <c r="F1252" s="16" t="s">
        <v>192</v>
      </c>
      <c r="G1252" s="16" t="s">
        <v>255</v>
      </c>
      <c r="H1252" s="16" t="s">
        <v>329</v>
      </c>
      <c r="I1252" s="16" t="s">
        <v>447</v>
      </c>
    </row>
    <row r="1253" ht="242.25" customHeight="1">
      <c r="B1253" s="32" t="str">
        <f>IMAGE("https://gymvisual.com/18049-catalog_default/chin-up-around-the-bar.jpg",4,500,500)</f>
        <v/>
      </c>
      <c r="C1253" s="30">
        <v>1252.0</v>
      </c>
      <c r="D1253" s="16" t="s">
        <v>1780</v>
      </c>
      <c r="E1253" s="16" t="s">
        <v>184</v>
      </c>
      <c r="F1253" s="16" t="s">
        <v>192</v>
      </c>
      <c r="G1253" s="16" t="s">
        <v>255</v>
      </c>
      <c r="H1253" s="16" t="s">
        <v>220</v>
      </c>
      <c r="I1253" s="16" t="s">
        <v>220</v>
      </c>
    </row>
    <row r="1254" ht="242.25" customHeight="1">
      <c r="B1254" s="32" t="str">
        <f>IMAGE("https://gymvisual.com/781-catalog_default/chin-ups-narrow-parallel-grip.jpg",4,500,500)</f>
        <v/>
      </c>
      <c r="C1254" s="30">
        <v>1253.0</v>
      </c>
      <c r="D1254" s="16" t="s">
        <v>1781</v>
      </c>
      <c r="E1254" s="16" t="s">
        <v>184</v>
      </c>
      <c r="F1254" s="16" t="s">
        <v>192</v>
      </c>
      <c r="G1254" s="16" t="s">
        <v>255</v>
      </c>
      <c r="H1254" s="16" t="s">
        <v>329</v>
      </c>
      <c r="I1254" s="16" t="s">
        <v>457</v>
      </c>
    </row>
    <row r="1255" ht="242.25" customHeight="1">
      <c r="B1255" s="32" t="str">
        <f>IMAGE("https://gymvisual.com/784-catalog_default/circles-arm.jpg",4,500,500)</f>
        <v/>
      </c>
      <c r="C1255" s="30">
        <v>1254.0</v>
      </c>
      <c r="D1255" s="16" t="s">
        <v>1782</v>
      </c>
      <c r="E1255" s="16" t="s">
        <v>184</v>
      </c>
      <c r="F1255" s="16" t="s">
        <v>228</v>
      </c>
      <c r="G1255" s="16" t="s">
        <v>255</v>
      </c>
      <c r="H1255" s="16" t="s">
        <v>333</v>
      </c>
      <c r="I1255" s="16" t="s">
        <v>220</v>
      </c>
    </row>
    <row r="1256" ht="242.25" customHeight="1">
      <c r="B1256" s="32" t="str">
        <f>IMAGE("https://gymvisual.com/23581-catalog_default/circles-arm-male.jpg",4,500,500)</f>
        <v/>
      </c>
      <c r="C1256" s="30">
        <v>1255.0</v>
      </c>
      <c r="D1256" s="16" t="s">
        <v>1783</v>
      </c>
      <c r="E1256" s="16" t="s">
        <v>184</v>
      </c>
      <c r="F1256" s="16" t="s">
        <v>228</v>
      </c>
      <c r="G1256" s="16" t="s">
        <v>255</v>
      </c>
      <c r="H1256" s="16" t="s">
        <v>333</v>
      </c>
      <c r="I1256" s="16" t="s">
        <v>334</v>
      </c>
    </row>
    <row r="1257" ht="242.25" customHeight="1">
      <c r="B1257" s="32" t="str">
        <f>IMAGE("https://gymvisual.com/787-catalog_default/circles-ball-wall.jpg",4,500,500)</f>
        <v/>
      </c>
      <c r="C1257" s="30">
        <v>1256.0</v>
      </c>
      <c r="D1257" s="16" t="s">
        <v>1784</v>
      </c>
      <c r="E1257" s="16" t="s">
        <v>184</v>
      </c>
      <c r="F1257" s="16" t="s">
        <v>228</v>
      </c>
      <c r="G1257" s="16" t="s">
        <v>399</v>
      </c>
      <c r="H1257" s="16" t="s">
        <v>1785</v>
      </c>
      <c r="I1257" s="16" t="s">
        <v>220</v>
      </c>
    </row>
    <row r="1258" ht="242.25" customHeight="1">
      <c r="B1258" s="32" t="str">
        <f>IMAGE("https://gymvisual.com/790-catalog_default/circles-elbow-arm.jpg",4,500,500)</f>
        <v/>
      </c>
      <c r="C1258" s="30">
        <v>1257.0</v>
      </c>
      <c r="D1258" s="16" t="s">
        <v>1786</v>
      </c>
      <c r="E1258" s="16" t="s">
        <v>184</v>
      </c>
      <c r="F1258" s="16" t="s">
        <v>228</v>
      </c>
      <c r="G1258" s="16" t="s">
        <v>255</v>
      </c>
      <c r="H1258" s="16" t="s">
        <v>333</v>
      </c>
      <c r="I1258" s="16" t="s">
        <v>220</v>
      </c>
    </row>
    <row r="1259" ht="242.25" customHeight="1">
      <c r="B1259" s="32" t="str">
        <f>IMAGE("https://gymvisual.com/796-catalog_default/clock-push-up.jpg",4,500,500)</f>
        <v/>
      </c>
      <c r="C1259" s="30">
        <v>1258.0</v>
      </c>
      <c r="D1259" s="16" t="s">
        <v>1787</v>
      </c>
      <c r="E1259" s="16" t="s">
        <v>184</v>
      </c>
      <c r="F1259" s="16" t="s">
        <v>234</v>
      </c>
      <c r="G1259" s="16" t="s">
        <v>255</v>
      </c>
      <c r="H1259" s="16" t="s">
        <v>347</v>
      </c>
      <c r="I1259" s="16" t="s">
        <v>382</v>
      </c>
    </row>
    <row r="1260" ht="242.25" customHeight="1">
      <c r="B1260" s="32" t="str">
        <f>IMAGE("https://gymvisual.com/6018-catalog_default/close-grip-chin-up.jpg",4,500,500)</f>
        <v/>
      </c>
      <c r="C1260" s="30">
        <v>1259.0</v>
      </c>
      <c r="D1260" s="16" t="s">
        <v>1788</v>
      </c>
      <c r="E1260" s="16" t="s">
        <v>184</v>
      </c>
      <c r="F1260" s="16" t="s">
        <v>192</v>
      </c>
      <c r="G1260" s="16" t="s">
        <v>255</v>
      </c>
      <c r="H1260" s="16" t="s">
        <v>300</v>
      </c>
      <c r="I1260" s="16" t="s">
        <v>1789</v>
      </c>
    </row>
    <row r="1261" ht="242.25" customHeight="1">
      <c r="B1261" s="32" t="str">
        <f>IMAGE("https://gymvisual.com/23871-catalog_default/close-grip-pull-up.jpg",4,500,500)</f>
        <v/>
      </c>
      <c r="C1261" s="30">
        <v>1260.0</v>
      </c>
      <c r="D1261" s="16" t="s">
        <v>1790</v>
      </c>
      <c r="E1261" s="16" t="s">
        <v>184</v>
      </c>
      <c r="F1261" s="16" t="s">
        <v>192</v>
      </c>
      <c r="G1261" s="16" t="s">
        <v>255</v>
      </c>
      <c r="H1261" s="16" t="s">
        <v>220</v>
      </c>
      <c r="I1261" s="16" t="s">
        <v>220</v>
      </c>
    </row>
    <row r="1262" ht="242.25" customHeight="1">
      <c r="B1262" s="32" t="str">
        <f>IMAGE("https://gymvisual.com/20662-catalog_default/close-grip-chin-up-female.jpg",4,500,500)</f>
        <v/>
      </c>
      <c r="C1262" s="30">
        <v>1261.0</v>
      </c>
      <c r="D1262" s="16" t="s">
        <v>1791</v>
      </c>
      <c r="E1262" s="16" t="s">
        <v>184</v>
      </c>
      <c r="F1262" s="16" t="s">
        <v>192</v>
      </c>
      <c r="G1262" s="16" t="s">
        <v>255</v>
      </c>
      <c r="H1262" s="16" t="s">
        <v>300</v>
      </c>
      <c r="I1262" s="16" t="s">
        <v>1792</v>
      </c>
    </row>
    <row r="1263" ht="242.25" customHeight="1">
      <c r="B1263" s="32" t="str">
        <f>IMAGE("https://gymvisual.com/26452-catalog_default/close-grip-push-up.jpg",4,500,500)</f>
        <v/>
      </c>
      <c r="C1263" s="30">
        <v>1262.0</v>
      </c>
      <c r="D1263" s="16" t="s">
        <v>1793</v>
      </c>
      <c r="E1263" s="16" t="s">
        <v>184</v>
      </c>
      <c r="F1263" s="16" t="s">
        <v>219</v>
      </c>
      <c r="G1263" s="16" t="s">
        <v>255</v>
      </c>
      <c r="H1263" s="16" t="s">
        <v>223</v>
      </c>
      <c r="I1263" s="16" t="s">
        <v>472</v>
      </c>
    </row>
    <row r="1264" ht="242.25" customHeight="1">
      <c r="B1264" s="32" t="str">
        <f>IMAGE("https://gymvisual.com/10773-catalog_default/close-grip-push-up-female.jpg",4,500,500)</f>
        <v/>
      </c>
      <c r="C1264" s="30">
        <v>1263.0</v>
      </c>
      <c r="D1264" s="16" t="s">
        <v>1794</v>
      </c>
      <c r="E1264" s="16" t="s">
        <v>184</v>
      </c>
      <c r="F1264" s="16" t="s">
        <v>219</v>
      </c>
      <c r="G1264" s="16" t="s">
        <v>255</v>
      </c>
      <c r="H1264" s="16" t="s">
        <v>223</v>
      </c>
      <c r="I1264" s="16" t="s">
        <v>472</v>
      </c>
    </row>
    <row r="1265" ht="242.25" customHeight="1">
      <c r="B1265" s="32" t="str">
        <f>IMAGE("https://gymvisual.com/10408-catalog_default/close-grip-push-up-on-knees.jpg",4,500,500)</f>
        <v/>
      </c>
      <c r="C1265" s="30">
        <v>1264.0</v>
      </c>
      <c r="D1265" s="16" t="s">
        <v>1795</v>
      </c>
      <c r="E1265" s="16" t="s">
        <v>184</v>
      </c>
      <c r="F1265" s="16" t="s">
        <v>219</v>
      </c>
      <c r="G1265" s="16" t="s">
        <v>255</v>
      </c>
      <c r="H1265" s="16" t="s">
        <v>223</v>
      </c>
      <c r="I1265" s="16" t="s">
        <v>472</v>
      </c>
    </row>
    <row r="1266" ht="242.25" customHeight="1">
      <c r="B1266" s="32" t="str">
        <f>IMAGE("https://gymvisual.com/10765-catalog_default/close-grip-push-up-on-knees-female.jpg",4,500,500)</f>
        <v/>
      </c>
      <c r="C1266" s="30">
        <v>1265.0</v>
      </c>
      <c r="D1266" s="16" t="s">
        <v>1796</v>
      </c>
      <c r="E1266" s="16" t="s">
        <v>184</v>
      </c>
      <c r="F1266" s="16" t="s">
        <v>219</v>
      </c>
      <c r="G1266" s="16" t="s">
        <v>255</v>
      </c>
      <c r="H1266" s="16" t="s">
        <v>223</v>
      </c>
      <c r="I1266" s="16" t="s">
        <v>472</v>
      </c>
    </row>
    <row r="1267" ht="242.25" customHeight="1">
      <c r="B1267" s="32" t="str">
        <f>IMAGE("https://gymvisual.com/13992-catalog_default/cobra-push-up.jpg",4,500,500)</f>
        <v/>
      </c>
      <c r="C1267" s="30">
        <v>1266.0</v>
      </c>
      <c r="D1267" s="16" t="s">
        <v>1797</v>
      </c>
      <c r="E1267" s="16" t="s">
        <v>184</v>
      </c>
      <c r="F1267" s="16" t="s">
        <v>1798</v>
      </c>
      <c r="G1267" s="16" t="s">
        <v>255</v>
      </c>
      <c r="H1267" s="16" t="s">
        <v>1799</v>
      </c>
      <c r="I1267" s="16" t="s">
        <v>1800</v>
      </c>
    </row>
    <row r="1268" ht="242.25" customHeight="1">
      <c r="B1268" s="32" t="str">
        <f>IMAGE("https://gymvisual.com/802-catalog_default/cocoons.jpg",4,500,500)</f>
        <v/>
      </c>
      <c r="C1268" s="30">
        <v>1267.0</v>
      </c>
      <c r="D1268" s="16" t="s">
        <v>1801</v>
      </c>
      <c r="E1268" s="16" t="s">
        <v>184</v>
      </c>
      <c r="F1268" s="16" t="s">
        <v>254</v>
      </c>
      <c r="G1268" s="16" t="s">
        <v>255</v>
      </c>
      <c r="H1268" s="16" t="s">
        <v>305</v>
      </c>
      <c r="I1268" s="16" t="s">
        <v>189</v>
      </c>
    </row>
    <row r="1269" ht="242.25" customHeight="1">
      <c r="B1269" s="32" t="str">
        <f>IMAGE("https://gymvisual.com/11300-catalog_default/cocoons-female.jpg",4,500,500)</f>
        <v/>
      </c>
      <c r="C1269" s="30">
        <v>1268.0</v>
      </c>
      <c r="D1269" s="16" t="s">
        <v>1802</v>
      </c>
      <c r="E1269" s="16" t="s">
        <v>184</v>
      </c>
      <c r="F1269" s="16" t="s">
        <v>254</v>
      </c>
      <c r="G1269" s="16" t="s">
        <v>255</v>
      </c>
      <c r="H1269" s="16" t="s">
        <v>305</v>
      </c>
      <c r="I1269" s="16" t="s">
        <v>319</v>
      </c>
    </row>
    <row r="1270" ht="242.25" customHeight="1">
      <c r="B1270" s="32" t="str">
        <f>IMAGE("https://gymvisual.com/20503-catalog_default/commando-pull-up.jpg",4,500,500)</f>
        <v/>
      </c>
      <c r="C1270" s="30">
        <v>1269.0</v>
      </c>
      <c r="D1270" s="16" t="s">
        <v>1803</v>
      </c>
      <c r="E1270" s="16" t="s">
        <v>184</v>
      </c>
      <c r="F1270" s="16" t="s">
        <v>361</v>
      </c>
      <c r="G1270" s="16" t="s">
        <v>255</v>
      </c>
      <c r="H1270" s="16" t="s">
        <v>362</v>
      </c>
      <c r="I1270" s="16" t="s">
        <v>357</v>
      </c>
    </row>
    <row r="1271" ht="242.25" customHeight="1">
      <c r="B1271" s="32" t="str">
        <f>IMAGE("https://gymvisual.com/20523-catalog_default/commando-pull-up-female.jpg",4,500,500)</f>
        <v/>
      </c>
      <c r="C1271" s="30">
        <v>1270.0</v>
      </c>
      <c r="D1271" s="16" t="s">
        <v>1804</v>
      </c>
      <c r="E1271" s="16" t="s">
        <v>184</v>
      </c>
      <c r="F1271" s="16" t="s">
        <v>361</v>
      </c>
      <c r="G1271" s="16" t="s">
        <v>255</v>
      </c>
      <c r="H1271" s="16" t="s">
        <v>362</v>
      </c>
      <c r="I1271" s="16" t="s">
        <v>357</v>
      </c>
    </row>
    <row r="1272" ht="242.25" customHeight="1">
      <c r="A1272" s="32" t="b">
        <v>0</v>
      </c>
      <c r="B1272" s="32" t="str">
        <f>IMAGE("https://gymvisual.com/10209-catalog_default/concentration-curl-arms-wrong-right.jpg",4,500,500)</f>
        <v/>
      </c>
      <c r="C1272" s="30">
        <v>1271.0</v>
      </c>
      <c r="D1272" s="16" t="s">
        <v>1805</v>
      </c>
      <c r="E1272" s="16" t="s">
        <v>184</v>
      </c>
      <c r="F1272" s="16" t="s">
        <v>219</v>
      </c>
      <c r="G1272" s="16" t="s">
        <v>222</v>
      </c>
      <c r="H1272" s="16" t="s">
        <v>220</v>
      </c>
      <c r="I1272" s="16" t="s">
        <v>220</v>
      </c>
    </row>
    <row r="1273" ht="242.25" customHeight="1">
      <c r="B1273" s="32" t="str">
        <f>IMAGE("https://gymvisual.com/805-catalog_default/corkscrew-push-up.jpg",4,500,500)</f>
        <v/>
      </c>
      <c r="C1273" s="30">
        <v>1272.0</v>
      </c>
      <c r="D1273" s="16" t="s">
        <v>1806</v>
      </c>
      <c r="E1273" s="16" t="s">
        <v>184</v>
      </c>
      <c r="F1273" s="16" t="s">
        <v>254</v>
      </c>
      <c r="G1273" s="16" t="s">
        <v>255</v>
      </c>
      <c r="H1273" s="16" t="s">
        <v>1807</v>
      </c>
      <c r="I1273" s="16" t="s">
        <v>382</v>
      </c>
    </row>
    <row r="1274" ht="242.25" customHeight="1">
      <c r="B1274" s="32" t="str">
        <f>IMAGE("https://gymvisual.com/19371-catalog_default/cossack-squats-female.jpg",4,500,500)</f>
        <v/>
      </c>
      <c r="C1274" s="30">
        <v>1273.0</v>
      </c>
      <c r="D1274" s="16" t="s">
        <v>1808</v>
      </c>
      <c r="E1274" s="16" t="s">
        <v>184</v>
      </c>
      <c r="F1274" s="16" t="s">
        <v>294</v>
      </c>
      <c r="G1274" s="16" t="s">
        <v>255</v>
      </c>
      <c r="H1274" s="16" t="s">
        <v>189</v>
      </c>
      <c r="I1274" s="16" t="s">
        <v>902</v>
      </c>
    </row>
    <row r="1275" ht="242.25" customHeight="1">
      <c r="B1275" s="32" t="str">
        <f>IMAGE("https://gymvisual.com/22604-catalog_default/counterbalanced-skater-squat-male.jpg",4,500,500)</f>
        <v/>
      </c>
      <c r="C1275" s="30">
        <v>1274.0</v>
      </c>
      <c r="D1275" s="16" t="s">
        <v>1809</v>
      </c>
      <c r="E1275" s="16" t="s">
        <v>184</v>
      </c>
      <c r="F1275" s="16" t="s">
        <v>285</v>
      </c>
      <c r="G1275" s="16" t="s">
        <v>255</v>
      </c>
      <c r="H1275" s="16" t="s">
        <v>189</v>
      </c>
      <c r="I1275" s="16" t="s">
        <v>190</v>
      </c>
    </row>
    <row r="1276" ht="242.25" customHeight="1">
      <c r="B1276" s="32" t="str">
        <f>IMAGE("https://gymvisual.com/6403-catalog_default/crab-twist-toe-touch.jpg",4,500,500)</f>
        <v/>
      </c>
      <c r="C1276" s="30">
        <v>1275.0</v>
      </c>
      <c r="D1276" s="16" t="s">
        <v>1810</v>
      </c>
      <c r="E1276" s="16" t="s">
        <v>184</v>
      </c>
      <c r="F1276" s="16" t="s">
        <v>254</v>
      </c>
      <c r="G1276" s="16" t="s">
        <v>255</v>
      </c>
      <c r="H1276" s="16" t="s">
        <v>1811</v>
      </c>
      <c r="I1276" s="16" t="s">
        <v>1812</v>
      </c>
    </row>
    <row r="1277" ht="242.25" customHeight="1">
      <c r="B1277" s="32" t="str">
        <f>IMAGE("https://gymvisual.com/22740-catalog_default/criss-cross-leg-raises.jpg",4,500,500)</f>
        <v/>
      </c>
      <c r="C1277" s="30">
        <v>1276.0</v>
      </c>
      <c r="D1277" s="16" t="s">
        <v>1813</v>
      </c>
      <c r="E1277" s="16" t="s">
        <v>184</v>
      </c>
      <c r="F1277" s="16" t="s">
        <v>185</v>
      </c>
      <c r="G1277" s="16" t="s">
        <v>255</v>
      </c>
      <c r="H1277" s="16" t="s">
        <v>1814</v>
      </c>
      <c r="I1277" s="16" t="s">
        <v>1815</v>
      </c>
    </row>
    <row r="1278" ht="242.25" customHeight="1">
      <c r="B1278" s="32" t="str">
        <f>IMAGE("https://gymvisual.com/16773-catalog_default/cross-arms-push-up.jpg",4,500,500)</f>
        <v/>
      </c>
      <c r="C1278" s="30">
        <v>1277.0</v>
      </c>
      <c r="D1278" s="16" t="s">
        <v>1816</v>
      </c>
      <c r="E1278" s="16" t="s">
        <v>184</v>
      </c>
      <c r="F1278" s="16" t="s">
        <v>219</v>
      </c>
      <c r="G1278" s="16" t="s">
        <v>255</v>
      </c>
      <c r="H1278" s="16" t="s">
        <v>223</v>
      </c>
      <c r="I1278" s="16" t="s">
        <v>1817</v>
      </c>
    </row>
    <row r="1279" ht="242.25" customHeight="1">
      <c r="B1279" s="32" t="str">
        <f>IMAGE("https://gymvisual.com/808-catalog_default/cross-body-crunch.jpg",4,500,500)</f>
        <v/>
      </c>
      <c r="C1279" s="30">
        <v>1278.0</v>
      </c>
      <c r="D1279" s="16" t="s">
        <v>1818</v>
      </c>
      <c r="E1279" s="16" t="s">
        <v>184</v>
      </c>
      <c r="F1279" s="16" t="s">
        <v>254</v>
      </c>
      <c r="G1279" s="16" t="s">
        <v>255</v>
      </c>
      <c r="H1279" s="16" t="s">
        <v>260</v>
      </c>
      <c r="I1279" s="16" t="s">
        <v>189</v>
      </c>
    </row>
    <row r="1280" ht="242.25" customHeight="1">
      <c r="B1280" s="32" t="str">
        <f>IMAGE("https://gymvisual.com/21030-catalog_default/cross-body-punch-in-squat-position.jpg",4,500,500)</f>
        <v/>
      </c>
      <c r="C1280" s="30">
        <v>1279.0</v>
      </c>
      <c r="D1280" s="16" t="s">
        <v>1819</v>
      </c>
      <c r="E1280" s="16" t="s">
        <v>184</v>
      </c>
      <c r="F1280" s="16" t="s">
        <v>234</v>
      </c>
      <c r="G1280" s="16" t="s">
        <v>255</v>
      </c>
      <c r="H1280" s="16" t="s">
        <v>220</v>
      </c>
      <c r="I1280" s="16" t="s">
        <v>220</v>
      </c>
    </row>
    <row r="1281" ht="242.25" customHeight="1">
      <c r="B1281" s="32" t="str">
        <f>IMAGE("https://gymvisual.com/811-catalog_default/cross-body-twisting-crunch.jpg",4,500,500)</f>
        <v/>
      </c>
      <c r="C1281" s="30">
        <v>1280.0</v>
      </c>
      <c r="D1281" s="16" t="s">
        <v>1820</v>
      </c>
      <c r="E1281" s="16" t="s">
        <v>184</v>
      </c>
      <c r="F1281" s="16" t="s">
        <v>254</v>
      </c>
      <c r="G1281" s="16" t="s">
        <v>255</v>
      </c>
      <c r="H1281" s="16" t="s">
        <v>260</v>
      </c>
      <c r="I1281" s="16" t="s">
        <v>189</v>
      </c>
    </row>
    <row r="1282" ht="242.25" customHeight="1">
      <c r="B1282" s="32" t="str">
        <f>IMAGE("https://gymvisual.com/17791-catalog_default/cross-twisting-sit-up-female.jpg",4,500,500)</f>
        <v/>
      </c>
      <c r="C1282" s="30">
        <v>1281.0</v>
      </c>
      <c r="D1282" s="16" t="s">
        <v>1821</v>
      </c>
      <c r="E1282" s="16" t="s">
        <v>184</v>
      </c>
      <c r="F1282" s="16" t="s">
        <v>254</v>
      </c>
      <c r="G1282" s="16" t="s">
        <v>255</v>
      </c>
      <c r="H1282" s="16" t="s">
        <v>220</v>
      </c>
      <c r="I1282" s="16" t="s">
        <v>220</v>
      </c>
    </row>
    <row r="1283" ht="242.25" customHeight="1">
      <c r="B1283" s="32" t="str">
        <f>IMAGE("https://gymvisual.com/23060-catalog_default/cross-twisting-sit-up-version-2-female.jpg",4,500,500)</f>
        <v/>
      </c>
      <c r="C1283" s="30">
        <v>1282.0</v>
      </c>
      <c r="D1283" s="16" t="s">
        <v>1822</v>
      </c>
      <c r="E1283" s="16" t="s">
        <v>184</v>
      </c>
      <c r="F1283" s="16" t="s">
        <v>254</v>
      </c>
      <c r="G1283" s="16" t="s">
        <v>255</v>
      </c>
      <c r="H1283" s="16" t="s">
        <v>220</v>
      </c>
      <c r="I1283" s="16" t="s">
        <v>220</v>
      </c>
    </row>
    <row r="1284" ht="242.25" customHeight="1">
      <c r="B1284" s="32" t="str">
        <f>IMAGE("https://gymvisual.com/22203-catalog_default/crunch-arms-on-chest-female.jpg",4,500,500)</f>
        <v/>
      </c>
      <c r="C1284" s="30">
        <v>1283.0</v>
      </c>
      <c r="D1284" s="16" t="s">
        <v>1823</v>
      </c>
      <c r="E1284" s="16" t="s">
        <v>184</v>
      </c>
      <c r="F1284" s="16" t="s">
        <v>254</v>
      </c>
      <c r="G1284" s="16" t="s">
        <v>255</v>
      </c>
      <c r="H1284" s="16" t="s">
        <v>220</v>
      </c>
      <c r="I1284" s="16" t="s">
        <v>220</v>
      </c>
    </row>
    <row r="1285" ht="242.25" customHeight="1">
      <c r="B1285" s="32" t="str">
        <f>IMAGE("https://gymvisual.com/820-catalog_default/crunch-arms-straight.jpg",4,500,500)</f>
        <v/>
      </c>
      <c r="C1285" s="30">
        <v>1284.0</v>
      </c>
      <c r="D1285" s="16" t="s">
        <v>1824</v>
      </c>
      <c r="E1285" s="16" t="s">
        <v>184</v>
      </c>
      <c r="F1285" s="16" t="s">
        <v>254</v>
      </c>
      <c r="G1285" s="16" t="s">
        <v>255</v>
      </c>
      <c r="H1285" s="16" t="s">
        <v>256</v>
      </c>
      <c r="I1285" s="16" t="s">
        <v>257</v>
      </c>
    </row>
    <row r="1286" ht="242.25" customHeight="1">
      <c r="B1286" s="32" t="str">
        <f>IMAGE("https://gymvisual.com/18706-catalog_default/crunch-arms-straight-male.jpg",4,500,500)</f>
        <v/>
      </c>
      <c r="C1286" s="30">
        <v>1285.0</v>
      </c>
      <c r="D1286" s="16" t="s">
        <v>1825</v>
      </c>
      <c r="E1286" s="16" t="s">
        <v>184</v>
      </c>
      <c r="F1286" s="16" t="s">
        <v>254</v>
      </c>
      <c r="G1286" s="16" t="s">
        <v>255</v>
      </c>
      <c r="H1286" s="16" t="s">
        <v>256</v>
      </c>
      <c r="I1286" s="16" t="s">
        <v>257</v>
      </c>
    </row>
    <row r="1287" ht="242.25" customHeight="1">
      <c r="B1287" s="32" t="str">
        <f>IMAGE("https://gymvisual.com/823-catalog_default/crunch-hands-overhead.jpg",4,500,500)</f>
        <v/>
      </c>
      <c r="C1287" s="30">
        <v>1286.0</v>
      </c>
      <c r="D1287" s="16" t="s">
        <v>1826</v>
      </c>
      <c r="E1287" s="16" t="s">
        <v>184</v>
      </c>
      <c r="F1287" s="16" t="s">
        <v>254</v>
      </c>
      <c r="G1287" s="16" t="s">
        <v>255</v>
      </c>
      <c r="H1287" s="16" t="s">
        <v>256</v>
      </c>
      <c r="I1287" s="16" t="s">
        <v>257</v>
      </c>
    </row>
    <row r="1288" ht="242.25" customHeight="1">
      <c r="B1288" s="32" t="str">
        <f>IMAGE("https://gymvisual.com/826-catalog_default/crunch-leg-raise.jpg",4,500,500)</f>
        <v/>
      </c>
      <c r="C1288" s="30">
        <v>1287.0</v>
      </c>
      <c r="D1288" s="16" t="s">
        <v>1827</v>
      </c>
      <c r="E1288" s="16" t="s">
        <v>184</v>
      </c>
      <c r="F1288" s="16" t="s">
        <v>254</v>
      </c>
      <c r="G1288" s="16" t="s">
        <v>255</v>
      </c>
      <c r="H1288" s="16" t="s">
        <v>256</v>
      </c>
      <c r="I1288" s="16" t="s">
        <v>524</v>
      </c>
    </row>
    <row r="1289" ht="242.25" customHeight="1">
      <c r="B1289" s="32" t="str">
        <f>IMAGE("https://gymvisual.com/829-catalog_default/crunch-legs-on-stability-ball.jpg",4,500,500)</f>
        <v/>
      </c>
      <c r="C1289" s="30">
        <v>1288.0</v>
      </c>
      <c r="D1289" s="16" t="s">
        <v>1828</v>
      </c>
      <c r="E1289" s="16" t="s">
        <v>184</v>
      </c>
      <c r="F1289" s="16" t="s">
        <v>254</v>
      </c>
      <c r="G1289" s="16" t="s">
        <v>399</v>
      </c>
      <c r="H1289" s="16" t="s">
        <v>256</v>
      </c>
      <c r="I1289" s="16" t="s">
        <v>257</v>
      </c>
    </row>
    <row r="1290" ht="242.25" customHeight="1">
      <c r="B1290" s="32" t="str">
        <f>IMAGE("https://gymvisual.com/832-catalog_default/crunch-on-bench.jpg",4,500,500)</f>
        <v/>
      </c>
      <c r="C1290" s="30">
        <v>1289.0</v>
      </c>
      <c r="D1290" s="16" t="s">
        <v>1829</v>
      </c>
      <c r="E1290" s="16" t="s">
        <v>184</v>
      </c>
      <c r="F1290" s="16" t="s">
        <v>254</v>
      </c>
      <c r="G1290" s="16" t="s">
        <v>255</v>
      </c>
      <c r="H1290" s="16" t="s">
        <v>256</v>
      </c>
      <c r="I1290" s="16" t="s">
        <v>257</v>
      </c>
    </row>
    <row r="1291" ht="242.25" customHeight="1">
      <c r="B1291" s="32" t="str">
        <f>IMAGE("https://gymvisual.com/17069-catalog_default/crunch-on-bench-male.jpg",4,500,500)</f>
        <v/>
      </c>
      <c r="C1291" s="30">
        <v>1290.0</v>
      </c>
      <c r="D1291" s="16" t="s">
        <v>1830</v>
      </c>
      <c r="E1291" s="16" t="s">
        <v>184</v>
      </c>
      <c r="F1291" s="16" t="s">
        <v>254</v>
      </c>
      <c r="G1291" s="16" t="s">
        <v>255</v>
      </c>
      <c r="H1291" s="16" t="s">
        <v>256</v>
      </c>
      <c r="I1291" s="16" t="s">
        <v>257</v>
      </c>
    </row>
    <row r="1292" ht="242.25" customHeight="1">
      <c r="B1292" s="32" t="str">
        <f>IMAGE("https://gymvisual.com/4618-catalog_default/crunch-on-bosu-ball.jpg",4,500,500)</f>
        <v/>
      </c>
      <c r="C1292" s="30">
        <v>1291.0</v>
      </c>
      <c r="D1292" s="16" t="s">
        <v>1831</v>
      </c>
      <c r="E1292" s="16" t="s">
        <v>184</v>
      </c>
      <c r="F1292" s="16" t="s">
        <v>254</v>
      </c>
      <c r="G1292" s="16" t="s">
        <v>316</v>
      </c>
      <c r="H1292" s="16" t="s">
        <v>256</v>
      </c>
      <c r="I1292" s="16" t="s">
        <v>257</v>
      </c>
    </row>
    <row r="1293" ht="242.25" customHeight="1">
      <c r="B1293" s="32" t="str">
        <f>IMAGE("https://gymvisual.com/835-catalog_default/crunch-on-stability-ball.jpg",4,500,500)</f>
        <v/>
      </c>
      <c r="C1293" s="30">
        <v>1292.0</v>
      </c>
      <c r="D1293" s="16" t="s">
        <v>1832</v>
      </c>
      <c r="E1293" s="16" t="s">
        <v>184</v>
      </c>
      <c r="F1293" s="16" t="s">
        <v>254</v>
      </c>
      <c r="G1293" s="16" t="s">
        <v>399</v>
      </c>
      <c r="H1293" s="16" t="s">
        <v>256</v>
      </c>
      <c r="I1293" s="16" t="s">
        <v>257</v>
      </c>
    </row>
    <row r="1294" ht="242.25" customHeight="1">
      <c r="B1294" s="32" t="str">
        <f>IMAGE("https://gymvisual.com/11604-catalog_default/crunch-on-stability-ball-female.jpg",4,500,500)</f>
        <v/>
      </c>
      <c r="C1294" s="30">
        <v>1293.0</v>
      </c>
      <c r="D1294" s="16" t="s">
        <v>1833</v>
      </c>
      <c r="E1294" s="16" t="s">
        <v>184</v>
      </c>
      <c r="F1294" s="16" t="s">
        <v>254</v>
      </c>
      <c r="G1294" s="16" t="s">
        <v>399</v>
      </c>
      <c r="H1294" s="16" t="s">
        <v>220</v>
      </c>
      <c r="I1294" s="16" t="s">
        <v>220</v>
      </c>
    </row>
    <row r="1295" ht="242.25" customHeight="1">
      <c r="B1295" s="32" t="str">
        <f>IMAGE("https://gymvisual.com/838-catalog_default/crunch-on-stability-ball-arms-straight.jpg",4,500,500)</f>
        <v/>
      </c>
      <c r="C1295" s="30">
        <v>1294.0</v>
      </c>
      <c r="D1295" s="16" t="s">
        <v>1834</v>
      </c>
      <c r="E1295" s="16" t="s">
        <v>184</v>
      </c>
      <c r="F1295" s="16" t="s">
        <v>254</v>
      </c>
      <c r="G1295" s="16" t="s">
        <v>399</v>
      </c>
      <c r="H1295" s="16" t="s">
        <v>256</v>
      </c>
      <c r="I1295" s="16" t="s">
        <v>257</v>
      </c>
    </row>
    <row r="1296" ht="242.25" customHeight="1">
      <c r="B1296" s="32" t="str">
        <f>IMAGE("https://gymvisual.com/841-catalog_default/crunch-straight-leg-up.jpg",4,500,500)</f>
        <v/>
      </c>
      <c r="C1296" s="30">
        <v>1295.0</v>
      </c>
      <c r="D1296" s="16" t="s">
        <v>1835</v>
      </c>
      <c r="E1296" s="16" t="s">
        <v>184</v>
      </c>
      <c r="F1296" s="16" t="s">
        <v>254</v>
      </c>
      <c r="G1296" s="16" t="s">
        <v>255</v>
      </c>
      <c r="H1296" s="16" t="s">
        <v>256</v>
      </c>
      <c r="I1296" s="16" t="s">
        <v>424</v>
      </c>
    </row>
    <row r="1297" ht="242.25" customHeight="1">
      <c r="B1297" s="32" t="str">
        <f>IMAGE("https://gymvisual.com/10188-catalog_default/crunch-back-wrong-right.jpg",4,500,500)</f>
        <v/>
      </c>
      <c r="C1297" s="30">
        <v>1296.0</v>
      </c>
      <c r="D1297" s="16" t="s">
        <v>1836</v>
      </c>
      <c r="E1297" s="16" t="s">
        <v>184</v>
      </c>
      <c r="F1297" s="16" t="s">
        <v>254</v>
      </c>
      <c r="G1297" s="16" t="s">
        <v>255</v>
      </c>
      <c r="H1297" s="16" t="s">
        <v>220</v>
      </c>
      <c r="I1297" s="16" t="s">
        <v>220</v>
      </c>
    </row>
    <row r="1298" ht="242.25" customHeight="1">
      <c r="B1298" s="32" t="str">
        <f>IMAGE("https://gymvisual.com/844-catalog_default/crunch-floor.jpg",4,500,500)</f>
        <v/>
      </c>
      <c r="C1298" s="30">
        <v>1297.0</v>
      </c>
      <c r="D1298" s="16" t="s">
        <v>1837</v>
      </c>
      <c r="E1298" s="16" t="s">
        <v>184</v>
      </c>
      <c r="F1298" s="16" t="s">
        <v>254</v>
      </c>
      <c r="G1298" s="16" t="s">
        <v>255</v>
      </c>
      <c r="H1298" s="16" t="s">
        <v>256</v>
      </c>
      <c r="I1298" s="16" t="s">
        <v>257</v>
      </c>
    </row>
    <row r="1299" ht="242.25" customHeight="1">
      <c r="B1299" s="32" t="str">
        <f>IMAGE("https://gymvisual.com/847-catalog_default/crunch-floor.jpg",4,500,500)</f>
        <v/>
      </c>
      <c r="C1299" s="30">
        <v>1298.0</v>
      </c>
      <c r="D1299" s="16" t="s">
        <v>1837</v>
      </c>
      <c r="E1299" s="16" t="s">
        <v>184</v>
      </c>
      <c r="F1299" s="16" t="s">
        <v>254</v>
      </c>
      <c r="G1299" s="16" t="s">
        <v>255</v>
      </c>
      <c r="H1299" s="16" t="s">
        <v>256</v>
      </c>
      <c r="I1299" s="16" t="s">
        <v>257</v>
      </c>
    </row>
    <row r="1300" ht="242.25" customHeight="1">
      <c r="B1300" s="32" t="str">
        <f>IMAGE("https://gymvisual.com/18254-catalog_default/crunch-hold.jpg",4,500,500)</f>
        <v/>
      </c>
      <c r="C1300" s="30">
        <v>1299.0</v>
      </c>
      <c r="D1300" s="16" t="s">
        <v>1838</v>
      </c>
      <c r="E1300" s="16" t="s">
        <v>184</v>
      </c>
      <c r="F1300" s="16" t="s">
        <v>254</v>
      </c>
      <c r="G1300" s="16" t="s">
        <v>255</v>
      </c>
      <c r="H1300" s="16" t="s">
        <v>256</v>
      </c>
      <c r="I1300" s="16" t="s">
        <v>257</v>
      </c>
    </row>
    <row r="1301" ht="242.25" customHeight="1">
      <c r="B1301" s="32" t="str">
        <f>IMAGE("https://gymvisual.com/18252-catalog_default/crunch-single-leg-lift.jpg",4,500,500)</f>
        <v/>
      </c>
      <c r="C1301" s="30">
        <v>1300.0</v>
      </c>
      <c r="D1301" s="16" t="s">
        <v>1839</v>
      </c>
      <c r="E1301" s="16" t="s">
        <v>184</v>
      </c>
      <c r="F1301" s="16" t="s">
        <v>254</v>
      </c>
      <c r="G1301" s="16" t="s">
        <v>255</v>
      </c>
      <c r="H1301" s="16" t="s">
        <v>305</v>
      </c>
      <c r="I1301" s="16" t="s">
        <v>1840</v>
      </c>
    </row>
    <row r="1302" ht="242.25" customHeight="1">
      <c r="B1302" s="32" t="str">
        <f>IMAGE("https://gymvisual.com/17891-catalog_default/crunch-with-leg-lift-male.jpg",4,500,500)</f>
        <v/>
      </c>
      <c r="C1302" s="30">
        <v>1301.0</v>
      </c>
      <c r="D1302" s="16" t="s">
        <v>1841</v>
      </c>
      <c r="E1302" s="16" t="s">
        <v>184</v>
      </c>
      <c r="F1302" s="16" t="s">
        <v>254</v>
      </c>
      <c r="G1302" s="16" t="s">
        <v>255</v>
      </c>
      <c r="H1302" s="16" t="s">
        <v>220</v>
      </c>
      <c r="I1302" s="16" t="s">
        <v>220</v>
      </c>
    </row>
    <row r="1303" ht="242.25" customHeight="1">
      <c r="B1303" s="32" t="str">
        <f>IMAGE("https://gymvisual.com/13836-catalog_default/crunch-with-medicine-ball.jpg",4,500,500)</f>
        <v/>
      </c>
      <c r="C1303" s="30">
        <v>1302.0</v>
      </c>
      <c r="D1303" s="16" t="s">
        <v>1842</v>
      </c>
      <c r="E1303" s="16" t="s">
        <v>184</v>
      </c>
      <c r="F1303" s="16" t="s">
        <v>254</v>
      </c>
      <c r="G1303" s="16" t="s">
        <v>373</v>
      </c>
      <c r="H1303" s="16" t="s">
        <v>256</v>
      </c>
      <c r="I1303" s="16" t="s">
        <v>257</v>
      </c>
    </row>
    <row r="1304" ht="242.25" customHeight="1">
      <c r="B1304" s="32" t="str">
        <f>IMAGE("https://gymvisual.com/13838-catalog_default/crunch-with-medicine-ball-female.jpg",4,500,500)</f>
        <v/>
      </c>
      <c r="C1304" s="30">
        <v>1303.0</v>
      </c>
      <c r="D1304" s="16" t="s">
        <v>1843</v>
      </c>
      <c r="E1304" s="16" t="s">
        <v>184</v>
      </c>
      <c r="F1304" s="16" t="s">
        <v>254</v>
      </c>
      <c r="G1304" s="16" t="s">
        <v>373</v>
      </c>
      <c r="H1304" s="16" t="s">
        <v>256</v>
      </c>
      <c r="I1304" s="16" t="s">
        <v>257</v>
      </c>
    </row>
    <row r="1305" ht="242.25" customHeight="1">
      <c r="B1305" s="32" t="str">
        <f>IMAGE("https://gymvisual.com/14030-catalog_default/crunchy-frog-on-floor.jpg",4,500,500)</f>
        <v/>
      </c>
      <c r="C1305" s="30">
        <v>1304.0</v>
      </c>
      <c r="D1305" s="16" t="s">
        <v>1844</v>
      </c>
      <c r="E1305" s="16" t="s">
        <v>184</v>
      </c>
      <c r="F1305" s="16" t="s">
        <v>1845</v>
      </c>
      <c r="G1305" s="16" t="s">
        <v>255</v>
      </c>
      <c r="H1305" s="16" t="s">
        <v>1846</v>
      </c>
      <c r="I1305" s="16" t="s">
        <v>1847</v>
      </c>
    </row>
    <row r="1306" ht="242.25" customHeight="1">
      <c r="B1306" s="32" t="str">
        <f>IMAGE("https://gymvisual.com/12480-catalog_default/curl-up.jpg",4,500,500)</f>
        <v/>
      </c>
      <c r="C1306" s="30">
        <v>1305.0</v>
      </c>
      <c r="D1306" s="16" t="s">
        <v>1848</v>
      </c>
      <c r="E1306" s="16" t="s">
        <v>184</v>
      </c>
      <c r="F1306" s="16" t="s">
        <v>254</v>
      </c>
      <c r="G1306" s="16" t="s">
        <v>255</v>
      </c>
      <c r="H1306" s="16" t="s">
        <v>256</v>
      </c>
      <c r="I1306" s="16" t="s">
        <v>257</v>
      </c>
    </row>
    <row r="1307" ht="242.25" customHeight="1">
      <c r="B1307" s="32" t="str">
        <f>IMAGE("https://gymvisual.com/12477-catalog_default/curl-up-female.jpg",4,500,500)</f>
        <v/>
      </c>
      <c r="C1307" s="30">
        <v>1306.0</v>
      </c>
      <c r="D1307" s="16" t="s">
        <v>1849</v>
      </c>
      <c r="E1307" s="16" t="s">
        <v>184</v>
      </c>
      <c r="F1307" s="16" t="s">
        <v>254</v>
      </c>
      <c r="G1307" s="16" t="s">
        <v>255</v>
      </c>
      <c r="H1307" s="16" t="s">
        <v>256</v>
      </c>
      <c r="I1307" s="16" t="s">
        <v>257</v>
      </c>
    </row>
    <row r="1308" ht="242.25" customHeight="1">
      <c r="B1308" s="32" t="str">
        <f>IMAGE("https://gymvisual.com/16737-catalog_default/curtsey-squat.jpg",4,500,500)</f>
        <v/>
      </c>
      <c r="C1308" s="30">
        <v>1307.0</v>
      </c>
      <c r="D1308" s="16" t="s">
        <v>1850</v>
      </c>
      <c r="E1308" s="16" t="s">
        <v>184</v>
      </c>
      <c r="F1308" s="16" t="s">
        <v>294</v>
      </c>
      <c r="G1308" s="16" t="s">
        <v>255</v>
      </c>
      <c r="H1308" s="16" t="s">
        <v>1851</v>
      </c>
      <c r="I1308" s="16" t="s">
        <v>1852</v>
      </c>
    </row>
    <row r="1309" ht="242.25" customHeight="1">
      <c r="B1309" s="32" t="str">
        <f>IMAGE("https://gymvisual.com/20612-catalog_default/dead-bug.jpg",4,500,500)</f>
        <v/>
      </c>
      <c r="C1309" s="30">
        <v>1308.0</v>
      </c>
      <c r="D1309" s="16" t="s">
        <v>1853</v>
      </c>
      <c r="E1309" s="16" t="s">
        <v>184</v>
      </c>
      <c r="F1309" s="16" t="s">
        <v>254</v>
      </c>
      <c r="G1309" s="16" t="s">
        <v>255</v>
      </c>
      <c r="H1309" s="16" t="s">
        <v>256</v>
      </c>
      <c r="I1309" s="16" t="s">
        <v>189</v>
      </c>
    </row>
    <row r="1310" ht="242.25" customHeight="1">
      <c r="B1310" s="32" t="str">
        <f>IMAGE("https://gymvisual.com/13411-catalog_default/dead-bug-female.jpg",4,500,500)</f>
        <v/>
      </c>
      <c r="C1310" s="30">
        <v>1309.0</v>
      </c>
      <c r="D1310" s="16" t="s">
        <v>1854</v>
      </c>
      <c r="E1310" s="16" t="s">
        <v>184</v>
      </c>
      <c r="F1310" s="16" t="s">
        <v>522</v>
      </c>
      <c r="G1310" s="16" t="s">
        <v>255</v>
      </c>
      <c r="H1310" s="16" t="s">
        <v>256</v>
      </c>
      <c r="I1310" s="16" t="s">
        <v>189</v>
      </c>
    </row>
    <row r="1311" ht="242.25" customHeight="1">
      <c r="B1311" s="32" t="str">
        <f>IMAGE("https://gymvisual.com/4619-catalog_default/dead-bug-version-2.jpg",4,500,500)</f>
        <v/>
      </c>
      <c r="C1311" s="30">
        <v>1310.0</v>
      </c>
      <c r="D1311" s="16" t="s">
        <v>1855</v>
      </c>
      <c r="E1311" s="16" t="s">
        <v>184</v>
      </c>
      <c r="F1311" s="16" t="s">
        <v>254</v>
      </c>
      <c r="G1311" s="16" t="s">
        <v>255</v>
      </c>
      <c r="H1311" s="16" t="s">
        <v>305</v>
      </c>
      <c r="I1311" s="16" t="s">
        <v>189</v>
      </c>
    </row>
    <row r="1312" ht="242.25" customHeight="1">
      <c r="B1312" s="32" t="str">
        <f>IMAGE("https://gymvisual.com/23559-catalog_default/dead-bug-version-2-female.jpg",4,500,500)</f>
        <v/>
      </c>
      <c r="C1312" s="30">
        <v>1311.0</v>
      </c>
      <c r="D1312" s="16" t="s">
        <v>1856</v>
      </c>
      <c r="E1312" s="16" t="s">
        <v>184</v>
      </c>
      <c r="F1312" s="16" t="s">
        <v>254</v>
      </c>
      <c r="G1312" s="16" t="s">
        <v>255</v>
      </c>
      <c r="H1312" s="16" t="s">
        <v>256</v>
      </c>
      <c r="I1312" s="16" t="s">
        <v>189</v>
      </c>
    </row>
    <row r="1313" ht="242.25" customHeight="1">
      <c r="B1313" s="32" t="str">
        <f>IMAGE("https://gymvisual.com/17949-catalog_default/dead-bug-with-medicine-ball-male.jpg",4,500,500)</f>
        <v/>
      </c>
      <c r="C1313" s="30">
        <v>1312.0</v>
      </c>
      <c r="D1313" s="16" t="s">
        <v>1857</v>
      </c>
      <c r="E1313" s="16" t="s">
        <v>184</v>
      </c>
      <c r="F1313" s="16" t="s">
        <v>254</v>
      </c>
      <c r="G1313" s="16" t="s">
        <v>373</v>
      </c>
      <c r="H1313" s="16" t="s">
        <v>220</v>
      </c>
      <c r="I1313" s="16" t="s">
        <v>220</v>
      </c>
    </row>
    <row r="1314" ht="242.25" customHeight="1">
      <c r="B1314" s="32" t="str">
        <f>IMAGE("https://gymvisual.com/17845-catalog_default/dead-bug-with-stability-ball.jpg",4,500,500)</f>
        <v/>
      </c>
      <c r="C1314" s="30">
        <v>1313.0</v>
      </c>
      <c r="D1314" s="16" t="s">
        <v>1858</v>
      </c>
      <c r="E1314" s="16" t="s">
        <v>184</v>
      </c>
      <c r="F1314" s="16" t="s">
        <v>254</v>
      </c>
      <c r="G1314" s="16" t="s">
        <v>399</v>
      </c>
      <c r="H1314" s="16" t="s">
        <v>220</v>
      </c>
      <c r="I1314" s="16" t="s">
        <v>220</v>
      </c>
    </row>
    <row r="1315" ht="242.25" customHeight="1">
      <c r="A1315" s="32" t="b">
        <v>0</v>
      </c>
      <c r="B1315" s="32" t="str">
        <f>IMAGE("https://gymvisual.com/10211-catalog_default/deadlift-back-wrong-right.jpg",4,500,500)</f>
        <v/>
      </c>
      <c r="C1315" s="30">
        <v>1314.0</v>
      </c>
      <c r="D1315" s="16" t="s">
        <v>1859</v>
      </c>
      <c r="E1315" s="16" t="s">
        <v>184</v>
      </c>
      <c r="F1315" s="16" t="s">
        <v>285</v>
      </c>
      <c r="G1315" s="16" t="s">
        <v>186</v>
      </c>
      <c r="H1315" s="16" t="s">
        <v>220</v>
      </c>
      <c r="I1315" s="16" t="s">
        <v>220</v>
      </c>
    </row>
    <row r="1316" ht="242.25" customHeight="1">
      <c r="A1316" s="32" t="b">
        <v>0</v>
      </c>
      <c r="B1316" s="32" t="str">
        <f>IMAGE("https://gymvisual.com/10225-catalog_default/deadlift-hips-wrong-right.jpg",4,500,500)</f>
        <v/>
      </c>
      <c r="C1316" s="30">
        <v>1315.0</v>
      </c>
      <c r="D1316" s="16" t="s">
        <v>1860</v>
      </c>
      <c r="E1316" s="16" t="s">
        <v>184</v>
      </c>
      <c r="F1316" s="16" t="s">
        <v>294</v>
      </c>
      <c r="G1316" s="16" t="s">
        <v>186</v>
      </c>
      <c r="H1316" s="16" t="s">
        <v>220</v>
      </c>
      <c r="I1316" s="16" t="s">
        <v>220</v>
      </c>
    </row>
    <row r="1317" ht="242.25" customHeight="1">
      <c r="B1317" s="32" t="str">
        <f>IMAGE("https://gymvisual.com/7643-catalog_default/decline-bent-leg-reverse-crunch.jpg",4,500,500)</f>
        <v/>
      </c>
      <c r="C1317" s="30">
        <v>1316.0</v>
      </c>
      <c r="D1317" s="16" t="s">
        <v>1861</v>
      </c>
      <c r="E1317" s="16" t="s">
        <v>184</v>
      </c>
      <c r="F1317" s="16" t="s">
        <v>254</v>
      </c>
      <c r="G1317" s="16" t="s">
        <v>255</v>
      </c>
      <c r="H1317" s="16" t="s">
        <v>220</v>
      </c>
      <c r="I1317" s="16" t="s">
        <v>220</v>
      </c>
    </row>
    <row r="1318" ht="242.25" customHeight="1">
      <c r="B1318" s="32" t="str">
        <f>IMAGE("https://gymvisual.com/13413-catalog_default/decline-bent-leg-reverse-crunch-female.jpg",4,500,500)</f>
        <v/>
      </c>
      <c r="C1318" s="30">
        <v>1317.0</v>
      </c>
      <c r="D1318" s="16" t="s">
        <v>1862</v>
      </c>
      <c r="E1318" s="16" t="s">
        <v>184</v>
      </c>
      <c r="F1318" s="16" t="s">
        <v>254</v>
      </c>
      <c r="G1318" s="16" t="s">
        <v>255</v>
      </c>
      <c r="H1318" s="16" t="s">
        <v>256</v>
      </c>
      <c r="I1318" s="16" t="s">
        <v>257</v>
      </c>
    </row>
    <row r="1319" ht="242.25" customHeight="1">
      <c r="B1319" s="32" t="str">
        <f>IMAGE("https://gymvisual.com/853-catalog_default/decline-crunch.jpg",4,500,500)</f>
        <v/>
      </c>
      <c r="C1319" s="30">
        <v>1318.0</v>
      </c>
      <c r="D1319" s="16" t="s">
        <v>1863</v>
      </c>
      <c r="E1319" s="16" t="s">
        <v>184</v>
      </c>
      <c r="F1319" s="16" t="s">
        <v>254</v>
      </c>
      <c r="G1319" s="16" t="s">
        <v>255</v>
      </c>
      <c r="H1319" s="16" t="s">
        <v>256</v>
      </c>
      <c r="I1319" s="16" t="s">
        <v>257</v>
      </c>
    </row>
    <row r="1320" ht="242.25" customHeight="1">
      <c r="B1320" s="32" t="str">
        <f>IMAGE("https://gymvisual.com/10975-catalog_default/decline-crunch-female.jpg",4,500,500)</f>
        <v/>
      </c>
      <c r="C1320" s="30">
        <v>1319.0</v>
      </c>
      <c r="D1320" s="16" t="s">
        <v>1864</v>
      </c>
      <c r="E1320" s="16" t="s">
        <v>184</v>
      </c>
      <c r="F1320" s="16" t="s">
        <v>254</v>
      </c>
      <c r="G1320" s="16" t="s">
        <v>255</v>
      </c>
      <c r="H1320" s="16" t="s">
        <v>220</v>
      </c>
      <c r="I1320" s="16" t="s">
        <v>220</v>
      </c>
    </row>
    <row r="1321" ht="242.25" customHeight="1">
      <c r="B1321" s="32" t="str">
        <f>IMAGE("https://gymvisual.com/26106-catalog_default/decline-diamond-push-up.jpg",4,500,500)</f>
        <v/>
      </c>
      <c r="C1321" s="30">
        <v>1320.0</v>
      </c>
      <c r="D1321" s="16" t="s">
        <v>1865</v>
      </c>
      <c r="E1321" s="16" t="s">
        <v>184</v>
      </c>
      <c r="F1321" s="16" t="s">
        <v>234</v>
      </c>
      <c r="G1321" s="16" t="s">
        <v>255</v>
      </c>
      <c r="H1321" s="16" t="s">
        <v>220</v>
      </c>
      <c r="I1321" s="16" t="s">
        <v>220</v>
      </c>
    </row>
    <row r="1322" ht="242.25" customHeight="1">
      <c r="B1322" s="32" t="str">
        <f>IMAGE("https://gymvisual.com/13996-catalog_default/decline-kneeling-push-up-on-box.jpg",4,500,500)</f>
        <v/>
      </c>
      <c r="C1322" s="30">
        <v>1321.0</v>
      </c>
      <c r="D1322" s="16" t="s">
        <v>1866</v>
      </c>
      <c r="E1322" s="16" t="s">
        <v>184</v>
      </c>
      <c r="F1322" s="16" t="s">
        <v>234</v>
      </c>
      <c r="G1322" s="16" t="s">
        <v>255</v>
      </c>
      <c r="H1322" s="16" t="s">
        <v>235</v>
      </c>
      <c r="I1322" s="16" t="s">
        <v>243</v>
      </c>
    </row>
    <row r="1323" ht="242.25" customHeight="1">
      <c r="B1323" s="32" t="str">
        <f>IMAGE("https://gymvisual.com/13902-catalog_default/decline-leg-hip-raise.jpg",4,500,500)</f>
        <v/>
      </c>
      <c r="C1323" s="30">
        <v>1322.0</v>
      </c>
      <c r="D1323" s="16" t="s">
        <v>1867</v>
      </c>
      <c r="E1323" s="16" t="s">
        <v>184</v>
      </c>
      <c r="F1323" s="16" t="s">
        <v>310</v>
      </c>
      <c r="G1323" s="16" t="s">
        <v>255</v>
      </c>
      <c r="H1323" s="16" t="s">
        <v>305</v>
      </c>
      <c r="I1323" s="16" t="s">
        <v>600</v>
      </c>
    </row>
    <row r="1324" ht="242.25" customHeight="1">
      <c r="B1324" s="32" t="str">
        <f>IMAGE("https://gymvisual.com/17777-catalog_default/decline-pike-press-between-benches.jpg",4,500,500)</f>
        <v/>
      </c>
      <c r="C1324" s="30">
        <v>1323.0</v>
      </c>
      <c r="D1324" s="16" t="s">
        <v>1868</v>
      </c>
      <c r="E1324" s="16" t="s">
        <v>184</v>
      </c>
      <c r="F1324" s="16" t="s">
        <v>228</v>
      </c>
      <c r="G1324" s="16" t="s">
        <v>255</v>
      </c>
      <c r="H1324" s="16" t="s">
        <v>220</v>
      </c>
      <c r="I1324" s="16" t="s">
        <v>220</v>
      </c>
    </row>
    <row r="1325" ht="242.25" customHeight="1">
      <c r="B1325" s="32" t="str">
        <f>IMAGE("https://gymvisual.com/859-catalog_default/decline-push-up.jpg",4,500,500)</f>
        <v/>
      </c>
      <c r="C1325" s="30">
        <v>1324.0</v>
      </c>
      <c r="D1325" s="16" t="s">
        <v>1869</v>
      </c>
      <c r="E1325" s="16" t="s">
        <v>184</v>
      </c>
      <c r="F1325" s="16" t="s">
        <v>234</v>
      </c>
      <c r="G1325" s="16" t="s">
        <v>255</v>
      </c>
      <c r="H1325" s="16" t="s">
        <v>235</v>
      </c>
      <c r="I1325" s="16" t="s">
        <v>243</v>
      </c>
    </row>
    <row r="1326" ht="242.25" customHeight="1">
      <c r="B1326" s="32" t="str">
        <f>IMAGE("https://gymvisual.com/862-catalog_default/decline-push-up.jpg",4,500,500)</f>
        <v/>
      </c>
      <c r="C1326" s="30">
        <v>1325.0</v>
      </c>
      <c r="D1326" s="16" t="s">
        <v>1869</v>
      </c>
      <c r="E1326" s="16" t="s">
        <v>184</v>
      </c>
      <c r="F1326" s="16" t="s">
        <v>234</v>
      </c>
      <c r="G1326" s="16" t="s">
        <v>255</v>
      </c>
      <c r="H1326" s="16" t="s">
        <v>235</v>
      </c>
      <c r="I1326" s="16" t="s">
        <v>243</v>
      </c>
    </row>
    <row r="1327" ht="242.25" customHeight="1">
      <c r="B1327" s="32" t="str">
        <f>IMAGE("https://gymvisual.com/22107-catalog_default/decline-push-up-kneeling-female.jpg",4,500,500)</f>
        <v/>
      </c>
      <c r="C1327" s="30">
        <v>1326.0</v>
      </c>
      <c r="D1327" s="16" t="s">
        <v>1870</v>
      </c>
      <c r="E1327" s="16" t="s">
        <v>184</v>
      </c>
      <c r="F1327" s="16" t="s">
        <v>234</v>
      </c>
      <c r="G1327" s="16" t="s">
        <v>255</v>
      </c>
      <c r="H1327" s="16" t="s">
        <v>235</v>
      </c>
      <c r="I1327" s="16" t="s">
        <v>243</v>
      </c>
    </row>
    <row r="1328" ht="242.25" customHeight="1">
      <c r="B1328" s="32" t="str">
        <f>IMAGE("https://gymvisual.com/2589-catalog_default/decline-push-up-on-stability-ball.jpg",4,500,500)</f>
        <v/>
      </c>
      <c r="C1328" s="30">
        <v>1327.0</v>
      </c>
      <c r="D1328" s="16" t="s">
        <v>1871</v>
      </c>
      <c r="E1328" s="16" t="s">
        <v>184</v>
      </c>
      <c r="F1328" s="16" t="s">
        <v>234</v>
      </c>
      <c r="G1328" s="16" t="s">
        <v>399</v>
      </c>
      <c r="H1328" s="16" t="s">
        <v>235</v>
      </c>
      <c r="I1328" s="16" t="s">
        <v>243</v>
      </c>
    </row>
    <row r="1329" ht="242.25" customHeight="1">
      <c r="B1329" s="32" t="str">
        <f>IMAGE("https://gymvisual.com/13998-catalog_default/decline-push-up-against-wall.jpg",4,500,500)</f>
        <v/>
      </c>
      <c r="C1329" s="30">
        <v>1328.0</v>
      </c>
      <c r="D1329" s="16" t="s">
        <v>1872</v>
      </c>
      <c r="E1329" s="16" t="s">
        <v>184</v>
      </c>
      <c r="F1329" s="16" t="s">
        <v>234</v>
      </c>
      <c r="G1329" s="16" t="s">
        <v>255</v>
      </c>
      <c r="H1329" s="16" t="s">
        <v>235</v>
      </c>
      <c r="I1329" s="16" t="s">
        <v>243</v>
      </c>
    </row>
    <row r="1330" ht="242.25" customHeight="1">
      <c r="B1330" s="32" t="str">
        <f>IMAGE("https://gymvisual.com/22708-catalog_default/decline-shoulder-tap.jpg",4,500,500)</f>
        <v/>
      </c>
      <c r="C1330" s="30">
        <v>1329.0</v>
      </c>
      <c r="D1330" s="16" t="s">
        <v>1873</v>
      </c>
      <c r="E1330" s="16" t="s">
        <v>184</v>
      </c>
      <c r="F1330" s="16" t="s">
        <v>234</v>
      </c>
      <c r="G1330" s="16" t="s">
        <v>255</v>
      </c>
      <c r="H1330" s="16" t="s">
        <v>1874</v>
      </c>
      <c r="I1330" s="16" t="s">
        <v>1875</v>
      </c>
    </row>
    <row r="1331" ht="242.25" customHeight="1">
      <c r="B1331" s="32" t="str">
        <f>IMAGE("https://gymvisual.com/10972-catalog_default/decline-sit-up-female.jpg",4,500,500)</f>
        <v/>
      </c>
      <c r="C1331" s="30">
        <v>1330.0</v>
      </c>
      <c r="D1331" s="16" t="s">
        <v>1876</v>
      </c>
      <c r="E1331" s="16" t="s">
        <v>184</v>
      </c>
      <c r="F1331" s="16" t="s">
        <v>254</v>
      </c>
      <c r="G1331" s="16" t="s">
        <v>255</v>
      </c>
      <c r="H1331" s="16" t="s">
        <v>220</v>
      </c>
      <c r="I1331" s="16" t="s">
        <v>220</v>
      </c>
    </row>
    <row r="1332" ht="242.25" customHeight="1">
      <c r="B1332" s="32" t="str">
        <f>IMAGE("https://gymvisual.com/20614-catalog_default/decline-sit-up.jpg",4,500,500)</f>
        <v/>
      </c>
      <c r="C1332" s="30">
        <v>1331.0</v>
      </c>
      <c r="D1332" s="16" t="s">
        <v>1877</v>
      </c>
      <c r="E1332" s="16" t="s">
        <v>184</v>
      </c>
      <c r="F1332" s="16" t="s">
        <v>185</v>
      </c>
      <c r="G1332" s="16" t="s">
        <v>255</v>
      </c>
      <c r="H1332" s="16" t="s">
        <v>271</v>
      </c>
      <c r="I1332" s="16" t="s">
        <v>1878</v>
      </c>
    </row>
    <row r="1333" ht="242.25" customHeight="1">
      <c r="B1333" s="32" t="str">
        <f>IMAGE("https://gymvisual.com/865-catalog_default/decline-sit-up-arms-straight.jpg",4,500,500)</f>
        <v/>
      </c>
      <c r="C1333" s="30">
        <v>1332.0</v>
      </c>
      <c r="D1333" s="16" t="s">
        <v>1879</v>
      </c>
      <c r="E1333" s="16" t="s">
        <v>184</v>
      </c>
      <c r="F1333" s="16" t="s">
        <v>254</v>
      </c>
      <c r="G1333" s="16" t="s">
        <v>255</v>
      </c>
      <c r="H1333" s="16" t="s">
        <v>256</v>
      </c>
      <c r="I1333" s="16" t="s">
        <v>600</v>
      </c>
    </row>
    <row r="1334" ht="242.25" customHeight="1">
      <c r="B1334" s="32" t="str">
        <f>IMAGE("https://gymvisual.com/24313-catalog_default/decline-sit-up-version-3.jpg",4,500,500)</f>
        <v/>
      </c>
      <c r="C1334" s="30">
        <v>1333.0</v>
      </c>
      <c r="D1334" s="16" t="s">
        <v>1880</v>
      </c>
      <c r="E1334" s="16" t="s">
        <v>184</v>
      </c>
      <c r="F1334" s="16" t="s">
        <v>254</v>
      </c>
      <c r="G1334" s="16" t="s">
        <v>255</v>
      </c>
      <c r="H1334" s="16" t="s">
        <v>220</v>
      </c>
      <c r="I1334" s="16" t="s">
        <v>220</v>
      </c>
    </row>
    <row r="1335" ht="242.25" customHeight="1">
      <c r="B1335" s="32" t="str">
        <f>IMAGE("https://gymvisual.com/22498-catalog_default/decline-sit-up-and-russian-twist.jpg",4,500,500)</f>
        <v/>
      </c>
      <c r="C1335" s="30">
        <v>1334.0</v>
      </c>
      <c r="D1335" s="16" t="s">
        <v>1881</v>
      </c>
      <c r="E1335" s="16" t="s">
        <v>184</v>
      </c>
      <c r="F1335" s="16" t="s">
        <v>254</v>
      </c>
      <c r="G1335" s="16" t="s">
        <v>255</v>
      </c>
      <c r="H1335" s="16" t="s">
        <v>220</v>
      </c>
      <c r="I1335" s="16" t="s">
        <v>220</v>
      </c>
    </row>
    <row r="1336" ht="242.25" customHeight="1">
      <c r="B1336" s="32" t="str">
        <f>IMAGE("https://gymvisual.com/11140-catalog_default/decline-twisting-sit-up-female.jpg",4,500,500)</f>
        <v/>
      </c>
      <c r="C1336" s="30">
        <v>1335.0</v>
      </c>
      <c r="D1336" s="16" t="s">
        <v>1882</v>
      </c>
      <c r="E1336" s="16" t="s">
        <v>184</v>
      </c>
      <c r="F1336" s="16" t="s">
        <v>254</v>
      </c>
      <c r="G1336" s="16" t="s">
        <v>255</v>
      </c>
      <c r="H1336" s="16" t="s">
        <v>220</v>
      </c>
      <c r="I1336" s="16" t="s">
        <v>220</v>
      </c>
    </row>
    <row r="1337" ht="242.25" customHeight="1">
      <c r="A1337" s="32" t="b">
        <v>0</v>
      </c>
      <c r="B1337" s="32" t="str">
        <f>IMAGE("https://gymvisual.com/20650-catalog_default/deep-push-up.jpg",4,500,500)</f>
        <v/>
      </c>
      <c r="C1337" s="30">
        <v>1336.0</v>
      </c>
      <c r="D1337" s="16" t="s">
        <v>1883</v>
      </c>
      <c r="E1337" s="16" t="s">
        <v>184</v>
      </c>
      <c r="F1337" s="16" t="s">
        <v>234</v>
      </c>
      <c r="G1337" s="16" t="s">
        <v>222</v>
      </c>
      <c r="H1337" s="16" t="s">
        <v>347</v>
      </c>
      <c r="I1337" s="16" t="s">
        <v>1884</v>
      </c>
    </row>
    <row r="1338" ht="242.25" customHeight="1">
      <c r="A1338" s="32" t="b">
        <v>0</v>
      </c>
      <c r="B1338" s="32" t="str">
        <f>IMAGE("https://gymvisual.com/12062-catalog_default/deep-push-up-female.jpg",4,500,500)</f>
        <v/>
      </c>
      <c r="C1338" s="30">
        <v>1337.0</v>
      </c>
      <c r="D1338" s="16" t="s">
        <v>1885</v>
      </c>
      <c r="E1338" s="16" t="s">
        <v>184</v>
      </c>
      <c r="F1338" s="16" t="s">
        <v>234</v>
      </c>
      <c r="G1338" s="16" t="s">
        <v>222</v>
      </c>
      <c r="H1338" s="16" t="s">
        <v>235</v>
      </c>
      <c r="I1338" s="16" t="s">
        <v>243</v>
      </c>
    </row>
    <row r="1339" ht="242.25" customHeight="1">
      <c r="B1339" s="32" t="str">
        <f>IMAGE("https://gymvisual.com/23613-catalog_default/diagonal-lunge.jpg",4,500,500)</f>
        <v/>
      </c>
      <c r="C1339" s="30">
        <v>1338.0</v>
      </c>
      <c r="D1339" s="16" t="s">
        <v>1886</v>
      </c>
      <c r="E1339" s="16" t="s">
        <v>184</v>
      </c>
      <c r="F1339" s="16" t="s">
        <v>321</v>
      </c>
      <c r="G1339" s="16" t="s">
        <v>255</v>
      </c>
      <c r="H1339" s="16" t="s">
        <v>220</v>
      </c>
      <c r="I1339" s="16" t="s">
        <v>220</v>
      </c>
    </row>
    <row r="1340" ht="242.25" customHeight="1">
      <c r="B1340" s="32" t="str">
        <f>IMAGE("https://gymvisual.com/19177-catalog_default/diamond-press.jpg",4,500,500)</f>
        <v/>
      </c>
      <c r="C1340" s="30">
        <v>1339.0</v>
      </c>
      <c r="D1340" s="16" t="s">
        <v>1887</v>
      </c>
      <c r="E1340" s="16" t="s">
        <v>184</v>
      </c>
      <c r="F1340" s="16" t="s">
        <v>1888</v>
      </c>
      <c r="G1340" s="16" t="s">
        <v>255</v>
      </c>
      <c r="H1340" s="16" t="s">
        <v>1889</v>
      </c>
      <c r="I1340" s="16" t="s">
        <v>229</v>
      </c>
    </row>
    <row r="1341" ht="242.25" customHeight="1">
      <c r="B1341" s="32" t="str">
        <f>IMAGE("https://gymvisual.com/11588-catalog_default/diamond-push-up-female.jpg",4,500,500)</f>
        <v/>
      </c>
      <c r="C1341" s="30">
        <v>1340.0</v>
      </c>
      <c r="D1341" s="16" t="s">
        <v>1890</v>
      </c>
      <c r="E1341" s="16" t="s">
        <v>184</v>
      </c>
      <c r="F1341" s="16" t="s">
        <v>219</v>
      </c>
      <c r="G1341" s="16" t="s">
        <v>255</v>
      </c>
      <c r="H1341" s="16" t="s">
        <v>223</v>
      </c>
      <c r="I1341" s="16" t="s">
        <v>472</v>
      </c>
    </row>
    <row r="1342" ht="242.25" customHeight="1">
      <c r="B1342" s="32" t="str">
        <f>IMAGE("https://gymvisual.com/20616-catalog_default/diamond-push-up.jpg",4,500,500)</f>
        <v/>
      </c>
      <c r="C1342" s="30">
        <v>1341.0</v>
      </c>
      <c r="D1342" s="16" t="s">
        <v>1891</v>
      </c>
      <c r="E1342" s="16" t="s">
        <v>184</v>
      </c>
      <c r="F1342" s="16" t="s">
        <v>219</v>
      </c>
      <c r="G1342" s="16" t="s">
        <v>255</v>
      </c>
      <c r="H1342" s="16" t="s">
        <v>223</v>
      </c>
      <c r="I1342" s="16" t="s">
        <v>472</v>
      </c>
    </row>
    <row r="1343" ht="242.25" customHeight="1">
      <c r="B1343" s="32" t="str">
        <f>IMAGE("https://gymvisual.com/4422-catalog_default/diamond-push-up-on-knees.jpg",4,500,500)</f>
        <v/>
      </c>
      <c r="C1343" s="30">
        <v>1342.0</v>
      </c>
      <c r="D1343" s="16" t="s">
        <v>1892</v>
      </c>
      <c r="E1343" s="16" t="s">
        <v>184</v>
      </c>
      <c r="F1343" s="16" t="s">
        <v>219</v>
      </c>
      <c r="G1343" s="16" t="s">
        <v>255</v>
      </c>
      <c r="H1343" s="16" t="s">
        <v>223</v>
      </c>
      <c r="I1343" s="16" t="s">
        <v>420</v>
      </c>
    </row>
    <row r="1344" ht="242.25" customHeight="1">
      <c r="B1344" s="32" t="str">
        <f>IMAGE("https://gymvisual.com/13908-catalog_default/dip-on-floor-with-chair.jpg",4,500,500)</f>
        <v/>
      </c>
      <c r="C1344" s="30">
        <v>1343.0</v>
      </c>
      <c r="D1344" s="16" t="s">
        <v>1893</v>
      </c>
      <c r="E1344" s="16" t="s">
        <v>184</v>
      </c>
      <c r="F1344" s="16" t="s">
        <v>1894</v>
      </c>
      <c r="G1344" s="16" t="s">
        <v>255</v>
      </c>
      <c r="H1344" s="16" t="s">
        <v>1895</v>
      </c>
      <c r="I1344" s="16" t="s">
        <v>1896</v>
      </c>
    </row>
    <row r="1345" ht="242.25" customHeight="1">
      <c r="B1345" s="32" t="str">
        <f>IMAGE("https://gymvisual.com/22629-catalog_default/dip-on-floor-with-chair-female.jpg",4,500,500)</f>
        <v/>
      </c>
      <c r="C1345" s="30">
        <v>1344.0</v>
      </c>
      <c r="D1345" s="16" t="s">
        <v>1897</v>
      </c>
      <c r="E1345" s="16" t="s">
        <v>184</v>
      </c>
      <c r="F1345" s="16" t="s">
        <v>234</v>
      </c>
      <c r="G1345" s="16" t="s">
        <v>255</v>
      </c>
      <c r="H1345" s="16" t="s">
        <v>347</v>
      </c>
      <c r="I1345" s="16" t="s">
        <v>1764</v>
      </c>
    </row>
    <row r="1346" ht="242.25" customHeight="1">
      <c r="B1346" s="32" t="str">
        <f>IMAGE("https://gymvisual.com/13737-catalog_default/dips-between-chairs.jpg",4,500,500)</f>
        <v/>
      </c>
      <c r="C1346" s="30">
        <v>1345.0</v>
      </c>
      <c r="D1346" s="16" t="s">
        <v>1898</v>
      </c>
      <c r="E1346" s="16" t="s">
        <v>184</v>
      </c>
      <c r="F1346" s="16" t="s">
        <v>1894</v>
      </c>
      <c r="G1346" s="16" t="s">
        <v>255</v>
      </c>
      <c r="H1346" s="16" t="s">
        <v>1895</v>
      </c>
      <c r="I1346" s="16" t="s">
        <v>505</v>
      </c>
    </row>
    <row r="1347" ht="242.25" customHeight="1">
      <c r="B1347" s="32" t="str">
        <f>IMAGE("https://gymvisual.com/874-catalog_default/donkey-calf-raise.jpg",4,500,500)</f>
        <v/>
      </c>
      <c r="C1347" s="30">
        <v>1346.0</v>
      </c>
      <c r="D1347" s="16" t="s">
        <v>1899</v>
      </c>
      <c r="E1347" s="16" t="s">
        <v>184</v>
      </c>
      <c r="F1347" s="16" t="s">
        <v>325</v>
      </c>
      <c r="G1347" s="16" t="s">
        <v>255</v>
      </c>
      <c r="H1347" s="16" t="s">
        <v>368</v>
      </c>
      <c r="I1347" s="16" t="s">
        <v>463</v>
      </c>
    </row>
    <row r="1348" ht="242.25" customHeight="1">
      <c r="B1348" s="32" t="str">
        <f>IMAGE("https://gymvisual.com/11528-catalog_default/donkey-calf-raise-female.jpg",4,500,500)</f>
        <v/>
      </c>
      <c r="C1348" s="30">
        <v>1347.0</v>
      </c>
      <c r="D1348" s="16" t="s">
        <v>1900</v>
      </c>
      <c r="E1348" s="16" t="s">
        <v>184</v>
      </c>
      <c r="F1348" s="16" t="s">
        <v>325</v>
      </c>
      <c r="G1348" s="16" t="s">
        <v>255</v>
      </c>
      <c r="H1348" s="16" t="s">
        <v>368</v>
      </c>
      <c r="I1348" s="16" t="s">
        <v>463</v>
      </c>
    </row>
    <row r="1349" ht="242.25" customHeight="1">
      <c r="B1349" s="32" t="str">
        <f>IMAGE("https://gymvisual.com/5964-catalog_default/drop-push-up.jpg",4,500,500)</f>
        <v/>
      </c>
      <c r="C1349" s="30">
        <v>1348.0</v>
      </c>
      <c r="D1349" s="16" t="s">
        <v>1901</v>
      </c>
      <c r="E1349" s="16" t="s">
        <v>184</v>
      </c>
      <c r="F1349" s="16" t="s">
        <v>234</v>
      </c>
      <c r="G1349" s="16" t="s">
        <v>255</v>
      </c>
      <c r="H1349" s="16" t="s">
        <v>347</v>
      </c>
      <c r="I1349" s="16" t="s">
        <v>1902</v>
      </c>
    </row>
    <row r="1350" ht="242.25" customHeight="1">
      <c r="A1350" s="32" t="b">
        <v>0</v>
      </c>
      <c r="B1350" s="32" t="str">
        <f>IMAGE("https://gymvisual.com/18057-catalog_default/dumbbell-4-ways-lateral-raise.jpg",4,500,500)</f>
        <v/>
      </c>
      <c r="C1350" s="30">
        <v>1349.0</v>
      </c>
      <c r="D1350" s="16" t="s">
        <v>1903</v>
      </c>
      <c r="E1350" s="16" t="s">
        <v>184</v>
      </c>
      <c r="F1350" s="16" t="s">
        <v>228</v>
      </c>
      <c r="G1350" s="16" t="s">
        <v>222</v>
      </c>
      <c r="H1350" s="16" t="s">
        <v>220</v>
      </c>
      <c r="I1350" s="16" t="s">
        <v>220</v>
      </c>
    </row>
    <row r="1351" ht="242.25" customHeight="1">
      <c r="A1351" s="32" t="b">
        <v>0</v>
      </c>
      <c r="B1351" s="32" t="str">
        <f>IMAGE("https://gymvisual.com/22418-catalog_default/dumbbell-6-ways-raise.jpg",4,500,500)</f>
        <v/>
      </c>
      <c r="C1351" s="30">
        <v>1350.0</v>
      </c>
      <c r="D1351" s="16" t="s">
        <v>1904</v>
      </c>
      <c r="E1351" s="16" t="s">
        <v>184</v>
      </c>
      <c r="F1351" s="16" t="s">
        <v>228</v>
      </c>
      <c r="G1351" s="16" t="s">
        <v>222</v>
      </c>
      <c r="H1351" s="16" t="s">
        <v>220</v>
      </c>
      <c r="I1351" s="16" t="s">
        <v>220</v>
      </c>
    </row>
    <row r="1352" ht="242.25" customHeight="1">
      <c r="A1352" s="32" t="b">
        <v>0</v>
      </c>
      <c r="B1352" s="32" t="str">
        <f>IMAGE("https://gymvisual.com/17867-catalog_default/dumbbell-alternate-arnold-press.jpg",4,500,500)</f>
        <v/>
      </c>
      <c r="C1352" s="30">
        <v>1351.0</v>
      </c>
      <c r="D1352" s="16" t="s">
        <v>1905</v>
      </c>
      <c r="E1352" s="16" t="s">
        <v>184</v>
      </c>
      <c r="F1352" s="16" t="s">
        <v>228</v>
      </c>
      <c r="G1352" s="16" t="s">
        <v>222</v>
      </c>
      <c r="H1352" s="16" t="s">
        <v>220</v>
      </c>
      <c r="I1352" s="16" t="s">
        <v>220</v>
      </c>
    </row>
    <row r="1353" ht="242.25" customHeight="1">
      <c r="A1353" s="32" t="b">
        <v>0</v>
      </c>
      <c r="B1353" s="32" t="str">
        <f>IMAGE("https://gymvisual.com/14786-catalog_default/dumbbell-alternate-bench-press-high-start.jpg",4,500,500)</f>
        <v/>
      </c>
      <c r="C1353" s="30">
        <v>1352.0</v>
      </c>
      <c r="D1353" s="16" t="s">
        <v>1906</v>
      </c>
      <c r="E1353" s="16" t="s">
        <v>184</v>
      </c>
      <c r="F1353" s="16" t="s">
        <v>234</v>
      </c>
      <c r="G1353" s="16" t="s">
        <v>222</v>
      </c>
      <c r="H1353" s="16" t="s">
        <v>235</v>
      </c>
      <c r="I1353" s="16" t="s">
        <v>1907</v>
      </c>
    </row>
    <row r="1354" ht="242.25" customHeight="1">
      <c r="A1354" s="32" t="b">
        <v>0</v>
      </c>
      <c r="B1354" s="32" t="str">
        <f>IMAGE("https://gymvisual.com/15644-catalog_default/dumbbell-alternate-biceps-curl.jpg",4,500,500)</f>
        <v/>
      </c>
      <c r="C1354" s="30">
        <v>1353.0</v>
      </c>
      <c r="D1354" s="16" t="s">
        <v>1908</v>
      </c>
      <c r="E1354" s="16" t="s">
        <v>184</v>
      </c>
      <c r="F1354" s="16" t="s">
        <v>219</v>
      </c>
      <c r="G1354" s="16" t="s">
        <v>222</v>
      </c>
      <c r="H1354" s="16" t="s">
        <v>241</v>
      </c>
      <c r="I1354" s="16" t="s">
        <v>292</v>
      </c>
    </row>
    <row r="1355" ht="242.25" customHeight="1">
      <c r="A1355" s="32" t="b">
        <v>0</v>
      </c>
      <c r="B1355" s="32" t="str">
        <f>IMAGE("https://gymvisual.com/4526-catalog_default/dumbbell-alternate-biceps-curl.jpg",4,500,500)</f>
        <v/>
      </c>
      <c r="C1355" s="30">
        <v>1354.0</v>
      </c>
      <c r="D1355" s="16" t="s">
        <v>1908</v>
      </c>
      <c r="E1355" s="16" t="s">
        <v>184</v>
      </c>
      <c r="F1355" s="16" t="s">
        <v>219</v>
      </c>
      <c r="G1355" s="16" t="s">
        <v>222</v>
      </c>
      <c r="H1355" s="16" t="s">
        <v>241</v>
      </c>
      <c r="I1355" s="16" t="s">
        <v>292</v>
      </c>
    </row>
    <row r="1356" ht="242.25" customHeight="1">
      <c r="A1356" s="32" t="b">
        <v>0</v>
      </c>
      <c r="B1356" s="32" t="str">
        <f>IMAGE("https://gymvisual.com/11306-catalog_default/dumbbell-alternate-biceps-curl-female.jpg",4,500,500)</f>
        <v/>
      </c>
      <c r="C1356" s="30">
        <v>1355.0</v>
      </c>
      <c r="D1356" s="16" t="s">
        <v>1909</v>
      </c>
      <c r="E1356" s="16" t="s">
        <v>184</v>
      </c>
      <c r="F1356" s="16" t="s">
        <v>219</v>
      </c>
      <c r="G1356" s="16" t="s">
        <v>222</v>
      </c>
      <c r="H1356" s="16" t="s">
        <v>241</v>
      </c>
      <c r="I1356" s="16" t="s">
        <v>292</v>
      </c>
    </row>
    <row r="1357" ht="242.25" customHeight="1">
      <c r="A1357" s="32" t="b">
        <v>0</v>
      </c>
      <c r="B1357" s="32" t="str">
        <f>IMAGE("https://gymvisual.com/10456-catalog_default/dumbbell-alternate-biceps-curl-with-arm-blaster.jpg",4,500,500)</f>
        <v/>
      </c>
      <c r="C1357" s="30">
        <v>1356.0</v>
      </c>
      <c r="D1357" s="16" t="s">
        <v>1910</v>
      </c>
      <c r="E1357" s="16" t="s">
        <v>184</v>
      </c>
      <c r="F1357" s="16" t="s">
        <v>219</v>
      </c>
      <c r="G1357" s="16" t="s">
        <v>222</v>
      </c>
      <c r="H1357" s="16" t="s">
        <v>241</v>
      </c>
      <c r="I1357" s="16" t="s">
        <v>292</v>
      </c>
    </row>
    <row r="1358" ht="242.25" customHeight="1">
      <c r="A1358" s="32" t="b">
        <v>0</v>
      </c>
      <c r="B1358" s="32" t="str">
        <f>IMAGE("https://gymvisual.com/22353-catalog_default/dumbbell-alternate-chest-press-on-stability-ball.jpg",4,500,500)</f>
        <v/>
      </c>
      <c r="C1358" s="30">
        <v>1357.0</v>
      </c>
      <c r="D1358" s="16" t="s">
        <v>1911</v>
      </c>
      <c r="E1358" s="16" t="s">
        <v>184</v>
      </c>
      <c r="F1358" s="16" t="s">
        <v>234</v>
      </c>
      <c r="G1358" s="16" t="s">
        <v>222</v>
      </c>
      <c r="H1358" s="16" t="s">
        <v>220</v>
      </c>
      <c r="I1358" s="16" t="s">
        <v>220</v>
      </c>
    </row>
    <row r="1359" ht="242.25" customHeight="1">
      <c r="A1359" s="32" t="b">
        <v>0</v>
      </c>
      <c r="B1359" s="32" t="str">
        <f>IMAGE("https://gymvisual.com/18754-catalog_default/dumbbell-alternate-front-raise-female.jpg",4,500,500)</f>
        <v/>
      </c>
      <c r="C1359" s="30">
        <v>1358.0</v>
      </c>
      <c r="D1359" s="16" t="s">
        <v>1912</v>
      </c>
      <c r="E1359" s="16" t="s">
        <v>184</v>
      </c>
      <c r="F1359" s="16" t="s">
        <v>228</v>
      </c>
      <c r="G1359" s="16" t="s">
        <v>222</v>
      </c>
      <c r="H1359" s="16" t="s">
        <v>220</v>
      </c>
      <c r="I1359" s="16" t="s">
        <v>220</v>
      </c>
    </row>
    <row r="1360" ht="242.25" customHeight="1">
      <c r="A1360" s="32" t="b">
        <v>0</v>
      </c>
      <c r="B1360" s="32" t="str">
        <f>IMAGE("https://gymvisual.com/7120-catalog_default/dumbbell-alternate-hammer-preacher-curl.jpg",4,500,500)</f>
        <v/>
      </c>
      <c r="C1360" s="30">
        <v>1359.0</v>
      </c>
      <c r="D1360" s="16" t="s">
        <v>1913</v>
      </c>
      <c r="E1360" s="16" t="s">
        <v>184</v>
      </c>
      <c r="F1360" s="16" t="s">
        <v>219</v>
      </c>
      <c r="G1360" s="16" t="s">
        <v>222</v>
      </c>
      <c r="H1360" s="16" t="s">
        <v>220</v>
      </c>
      <c r="I1360" s="16" t="s">
        <v>220</v>
      </c>
    </row>
    <row r="1361" ht="242.25" customHeight="1">
      <c r="A1361" s="32" t="b">
        <v>0</v>
      </c>
      <c r="B1361" s="32" t="str">
        <f>IMAGE("https://gymvisual.com/11453-catalog_default/dumbbell-alternate-hammer-preacher-curl-female.jpg",4,500,500)</f>
        <v/>
      </c>
      <c r="C1361" s="30">
        <v>1360.0</v>
      </c>
      <c r="D1361" s="16" t="s">
        <v>1914</v>
      </c>
      <c r="E1361" s="16" t="s">
        <v>184</v>
      </c>
      <c r="F1361" s="16" t="s">
        <v>219</v>
      </c>
      <c r="G1361" s="16" t="s">
        <v>222</v>
      </c>
      <c r="H1361" s="16" t="s">
        <v>220</v>
      </c>
      <c r="I1361" s="16" t="s">
        <v>220</v>
      </c>
    </row>
    <row r="1362" ht="242.25" customHeight="1">
      <c r="A1362" s="32" t="b">
        <v>0</v>
      </c>
      <c r="B1362" s="32" t="str">
        <f>IMAGE("https://gymvisual.com/22389-catalog_default/dumbbell-alternate-lateral-raise.jpg",4,500,500)</f>
        <v/>
      </c>
      <c r="C1362" s="30">
        <v>1361.0</v>
      </c>
      <c r="D1362" s="16" t="s">
        <v>1915</v>
      </c>
      <c r="E1362" s="16" t="s">
        <v>184</v>
      </c>
      <c r="F1362" s="16" t="s">
        <v>228</v>
      </c>
      <c r="G1362" s="16" t="s">
        <v>222</v>
      </c>
      <c r="H1362" s="16" t="s">
        <v>220</v>
      </c>
      <c r="I1362" s="16" t="s">
        <v>220</v>
      </c>
    </row>
    <row r="1363" ht="242.25" customHeight="1">
      <c r="A1363" s="32" t="b">
        <v>0</v>
      </c>
      <c r="B1363" s="32" t="str">
        <f>IMAGE("https://gymvisual.com/7121-catalog_default/dumbbell-alternate-preacher-curl.jpg",4,500,500)</f>
        <v/>
      </c>
      <c r="C1363" s="30">
        <v>1362.0</v>
      </c>
      <c r="D1363" s="16" t="s">
        <v>1916</v>
      </c>
      <c r="E1363" s="16" t="s">
        <v>184</v>
      </c>
      <c r="F1363" s="16" t="s">
        <v>219</v>
      </c>
      <c r="G1363" s="16" t="s">
        <v>222</v>
      </c>
      <c r="H1363" s="16" t="s">
        <v>220</v>
      </c>
      <c r="I1363" s="16" t="s">
        <v>220</v>
      </c>
    </row>
    <row r="1364" ht="242.25" customHeight="1">
      <c r="A1364" s="32" t="b">
        <v>0</v>
      </c>
      <c r="B1364" s="32" t="str">
        <f>IMAGE("https://gymvisual.com/11456-catalog_default/dumbbell-alternate-preacher-curl-female.jpg",4,500,500)</f>
        <v/>
      </c>
      <c r="C1364" s="30">
        <v>1363.0</v>
      </c>
      <c r="D1364" s="16" t="s">
        <v>1917</v>
      </c>
      <c r="E1364" s="16" t="s">
        <v>184</v>
      </c>
      <c r="F1364" s="16" t="s">
        <v>219</v>
      </c>
      <c r="G1364" s="16" t="s">
        <v>222</v>
      </c>
      <c r="H1364" s="16" t="s">
        <v>220</v>
      </c>
      <c r="I1364" s="16" t="s">
        <v>220</v>
      </c>
    </row>
    <row r="1365" ht="242.25" customHeight="1">
      <c r="A1365" s="32" t="b">
        <v>0</v>
      </c>
      <c r="B1365" s="32" t="str">
        <f>IMAGE("https://gymvisual.com/7122-catalog_default/dumbbell-alternate-seated-hammer-curl.jpg",4,500,500)</f>
        <v/>
      </c>
      <c r="C1365" s="30">
        <v>1364.0</v>
      </c>
      <c r="D1365" s="16" t="s">
        <v>1918</v>
      </c>
      <c r="E1365" s="16" t="s">
        <v>184</v>
      </c>
      <c r="F1365" s="16" t="s">
        <v>219</v>
      </c>
      <c r="G1365" s="16" t="s">
        <v>222</v>
      </c>
      <c r="H1365" s="16" t="s">
        <v>220</v>
      </c>
      <c r="I1365" s="16" t="s">
        <v>220</v>
      </c>
    </row>
    <row r="1366" ht="242.25" customHeight="1">
      <c r="A1366" s="32" t="b">
        <v>0</v>
      </c>
      <c r="B1366" s="32" t="str">
        <f>IMAGE("https://gymvisual.com/11459-catalog_default/dumbbell-alternate-seated-hammer-curl-female.jpg",4,500,500)</f>
        <v/>
      </c>
      <c r="C1366" s="30">
        <v>1365.0</v>
      </c>
      <c r="D1366" s="16" t="s">
        <v>1919</v>
      </c>
      <c r="E1366" s="16" t="s">
        <v>184</v>
      </c>
      <c r="F1366" s="16" t="s">
        <v>214</v>
      </c>
      <c r="G1366" s="16" t="s">
        <v>222</v>
      </c>
      <c r="H1366" s="16" t="s">
        <v>220</v>
      </c>
      <c r="I1366" s="16" t="s">
        <v>220</v>
      </c>
    </row>
    <row r="1367" ht="242.25" customHeight="1">
      <c r="A1367" s="32" t="b">
        <v>0</v>
      </c>
      <c r="B1367" s="32" t="str">
        <f>IMAGE("https://gymvisual.com/13415-catalog_default/dumbbell-alternate-shoulder-press-female.jpg",4,500,500)</f>
        <v/>
      </c>
      <c r="C1367" s="30">
        <v>1366.0</v>
      </c>
      <c r="D1367" s="16" t="s">
        <v>1920</v>
      </c>
      <c r="E1367" s="16" t="s">
        <v>184</v>
      </c>
      <c r="F1367" s="16" t="s">
        <v>228</v>
      </c>
      <c r="G1367" s="16" t="s">
        <v>222</v>
      </c>
      <c r="H1367" s="16" t="s">
        <v>229</v>
      </c>
      <c r="I1367" s="16" t="s">
        <v>230</v>
      </c>
    </row>
    <row r="1368" ht="242.25" customHeight="1">
      <c r="A1368" s="32" t="b">
        <v>0</v>
      </c>
      <c r="B1368" s="32" t="str">
        <f>IMAGE("https://gymvisual.com/17366-catalog_default/dumbbell-alternate-shoulder-press-male.jpg",4,500,500)</f>
        <v/>
      </c>
      <c r="C1368" s="30">
        <v>1367.0</v>
      </c>
      <c r="D1368" s="16" t="s">
        <v>1921</v>
      </c>
      <c r="E1368" s="16" t="s">
        <v>184</v>
      </c>
      <c r="F1368" s="16" t="s">
        <v>228</v>
      </c>
      <c r="G1368" s="16" t="s">
        <v>222</v>
      </c>
      <c r="H1368" s="16" t="s">
        <v>229</v>
      </c>
      <c r="I1368" s="16" t="s">
        <v>626</v>
      </c>
    </row>
    <row r="1369" ht="242.25" customHeight="1">
      <c r="A1369" s="32" t="b">
        <v>0</v>
      </c>
      <c r="B1369" s="32" t="str">
        <f>IMAGE("https://gymvisual.com/880-catalog_default/dumbbell-alternate-side-press.jpg",4,500,500)</f>
        <v/>
      </c>
      <c r="C1369" s="30">
        <v>1368.0</v>
      </c>
      <c r="D1369" s="16" t="s">
        <v>1922</v>
      </c>
      <c r="E1369" s="16" t="s">
        <v>184</v>
      </c>
      <c r="F1369" s="16" t="s">
        <v>228</v>
      </c>
      <c r="G1369" s="16" t="s">
        <v>222</v>
      </c>
      <c r="H1369" s="16" t="s">
        <v>229</v>
      </c>
      <c r="I1369" s="16" t="s">
        <v>1334</v>
      </c>
    </row>
    <row r="1370" ht="242.25" customHeight="1">
      <c r="A1370" s="32" t="b">
        <v>0</v>
      </c>
      <c r="B1370" s="32" t="str">
        <f>IMAGE("https://gymvisual.com/11327-catalog_default/dumbbell-alternate-side-press-female.jpg",4,500,500)</f>
        <v/>
      </c>
      <c r="C1370" s="30">
        <v>1369.0</v>
      </c>
      <c r="D1370" s="16" t="s">
        <v>1923</v>
      </c>
      <c r="E1370" s="16" t="s">
        <v>184</v>
      </c>
      <c r="F1370" s="16" t="s">
        <v>228</v>
      </c>
      <c r="G1370" s="16" t="s">
        <v>222</v>
      </c>
      <c r="H1370" s="16" t="s">
        <v>220</v>
      </c>
      <c r="I1370" s="16" t="s">
        <v>220</v>
      </c>
    </row>
    <row r="1371" ht="242.25" customHeight="1">
      <c r="A1371" s="32" t="b">
        <v>0</v>
      </c>
      <c r="B1371" s="32" t="str">
        <f>IMAGE("https://gymvisual.com/7123-catalog_default/dumbbell-alternating-bicep-curl-with-leg-raised-on-exercise-ball.jpg",4,500,500)</f>
        <v/>
      </c>
      <c r="C1371" s="30">
        <v>1370.0</v>
      </c>
      <c r="D1371" s="16" t="s">
        <v>1924</v>
      </c>
      <c r="E1371" s="16" t="s">
        <v>184</v>
      </c>
      <c r="F1371" s="16" t="s">
        <v>219</v>
      </c>
      <c r="G1371" s="16" t="s">
        <v>222</v>
      </c>
      <c r="H1371" s="16" t="s">
        <v>220</v>
      </c>
      <c r="I1371" s="16" t="s">
        <v>220</v>
      </c>
    </row>
    <row r="1372" ht="242.25" customHeight="1">
      <c r="A1372" s="32" t="b">
        <v>0</v>
      </c>
      <c r="B1372" s="32" t="str">
        <f>IMAGE("https://gymvisual.com/13305-catalog_default/dumbbell-alternating-floor-press.jpg",4,500,500)</f>
        <v/>
      </c>
      <c r="C1372" s="30">
        <v>1371.0</v>
      </c>
      <c r="D1372" s="16" t="s">
        <v>1925</v>
      </c>
      <c r="E1372" s="16" t="s">
        <v>184</v>
      </c>
      <c r="F1372" s="16" t="s">
        <v>234</v>
      </c>
      <c r="G1372" s="16" t="s">
        <v>222</v>
      </c>
      <c r="H1372" s="16" t="s">
        <v>220</v>
      </c>
      <c r="I1372" s="16" t="s">
        <v>220</v>
      </c>
    </row>
    <row r="1373" ht="242.25" customHeight="1">
      <c r="A1373" s="32" t="b">
        <v>0</v>
      </c>
      <c r="B1373" s="32" t="str">
        <f>IMAGE("https://gymvisual.com/13307-catalog_default/dumbbell-alternating-floor-press-female.jpg",4,500,500)</f>
        <v/>
      </c>
      <c r="C1373" s="30">
        <v>1372.0</v>
      </c>
      <c r="D1373" s="16" t="s">
        <v>1926</v>
      </c>
      <c r="E1373" s="16" t="s">
        <v>184</v>
      </c>
      <c r="F1373" s="16" t="s">
        <v>234</v>
      </c>
      <c r="G1373" s="16" t="s">
        <v>222</v>
      </c>
      <c r="H1373" s="16" t="s">
        <v>220</v>
      </c>
      <c r="I1373" s="16" t="s">
        <v>220</v>
      </c>
    </row>
    <row r="1374" ht="242.25" customHeight="1">
      <c r="A1374" s="32" t="b">
        <v>0</v>
      </c>
      <c r="B1374" s="32" t="str">
        <f>IMAGE("https://gymvisual.com/7124-catalog_default/dumbbell-alternating-seated-bicep-curl-on-exercise-ball.jpg",4,500,500)</f>
        <v/>
      </c>
      <c r="C1374" s="30">
        <v>1373.0</v>
      </c>
      <c r="D1374" s="16" t="s">
        <v>1927</v>
      </c>
      <c r="E1374" s="16" t="s">
        <v>184</v>
      </c>
      <c r="F1374" s="16" t="s">
        <v>219</v>
      </c>
      <c r="G1374" s="16" t="s">
        <v>222</v>
      </c>
      <c r="H1374" s="16" t="s">
        <v>220</v>
      </c>
      <c r="I1374" s="16" t="s">
        <v>220</v>
      </c>
    </row>
    <row r="1375" ht="242.25" customHeight="1">
      <c r="B1375" s="32" t="str">
        <f>IMAGE("https://gymvisual.com/11591-catalog_default/dumbbell-alternating-seated-bicep-curl-on-exercise-ball-female.jpg",4,500,500)</f>
        <v/>
      </c>
      <c r="C1375" s="30">
        <v>1374.0</v>
      </c>
      <c r="D1375" s="16" t="s">
        <v>1928</v>
      </c>
      <c r="E1375" s="16" t="s">
        <v>184</v>
      </c>
      <c r="F1375" s="16" t="s">
        <v>219</v>
      </c>
      <c r="G1375" s="16" t="s">
        <v>1929</v>
      </c>
      <c r="H1375" s="16" t="s">
        <v>220</v>
      </c>
      <c r="I1375" s="16" t="s">
        <v>220</v>
      </c>
    </row>
    <row r="1376" ht="242.25" customHeight="1">
      <c r="A1376" s="32" t="b">
        <v>0</v>
      </c>
      <c r="B1376" s="32" t="str">
        <f>IMAGE("https://gymvisual.com/16771-catalog_default/dumbbell-archer.jpg",4,500,500)</f>
        <v/>
      </c>
      <c r="C1376" s="30">
        <v>1375.0</v>
      </c>
      <c r="D1376" s="16" t="s">
        <v>156</v>
      </c>
      <c r="E1376" s="16" t="s">
        <v>184</v>
      </c>
      <c r="F1376" s="16" t="s">
        <v>228</v>
      </c>
      <c r="G1376" s="16" t="s">
        <v>222</v>
      </c>
      <c r="H1376" s="16" t="s">
        <v>220</v>
      </c>
      <c r="I1376" s="16" t="s">
        <v>220</v>
      </c>
    </row>
    <row r="1377" ht="242.25" customHeight="1">
      <c r="A1377" s="32" t="b">
        <v>0</v>
      </c>
      <c r="B1377" s="32" t="str">
        <f>IMAGE("https://gymvisual.com/8736-catalog_default/dumbbell-arnold-press.jpg",4,500,500)</f>
        <v/>
      </c>
      <c r="C1377" s="30">
        <v>1376.0</v>
      </c>
      <c r="D1377" s="16" t="s">
        <v>158</v>
      </c>
      <c r="E1377" s="16" t="s">
        <v>184</v>
      </c>
      <c r="F1377" s="16" t="s">
        <v>228</v>
      </c>
      <c r="G1377" s="16" t="s">
        <v>222</v>
      </c>
      <c r="H1377" s="16" t="s">
        <v>229</v>
      </c>
      <c r="I1377" s="16" t="s">
        <v>230</v>
      </c>
    </row>
    <row r="1378" ht="242.25" customHeight="1">
      <c r="A1378" s="32" t="b">
        <v>0</v>
      </c>
      <c r="B1378" s="32" t="str">
        <f>IMAGE("https://gymvisual.com/10364-catalog_default/dumbbell-arnold-press-female.jpg",4,500,500)</f>
        <v/>
      </c>
      <c r="C1378" s="30">
        <v>1377.0</v>
      </c>
      <c r="D1378" s="16" t="s">
        <v>1930</v>
      </c>
      <c r="E1378" s="16" t="s">
        <v>184</v>
      </c>
      <c r="F1378" s="16" t="s">
        <v>228</v>
      </c>
      <c r="G1378" s="16" t="s">
        <v>222</v>
      </c>
      <c r="H1378" s="16" t="s">
        <v>229</v>
      </c>
      <c r="I1378" s="16" t="s">
        <v>1931</v>
      </c>
    </row>
    <row r="1379" ht="242.25" customHeight="1">
      <c r="A1379" s="32" t="b">
        <v>0</v>
      </c>
      <c r="B1379" s="32" t="str">
        <f>IMAGE("https://gymvisual.com/883-catalog_default/dumbbell-arnold-press-version-2.jpg",4,500,500)</f>
        <v/>
      </c>
      <c r="C1379" s="30">
        <v>1378.0</v>
      </c>
      <c r="D1379" s="16" t="s">
        <v>1932</v>
      </c>
      <c r="E1379" s="16" t="s">
        <v>184</v>
      </c>
      <c r="F1379" s="16" t="s">
        <v>228</v>
      </c>
      <c r="G1379" s="16" t="s">
        <v>222</v>
      </c>
      <c r="H1379" s="16" t="s">
        <v>229</v>
      </c>
      <c r="I1379" s="16" t="s">
        <v>230</v>
      </c>
    </row>
    <row r="1380" ht="242.25" customHeight="1">
      <c r="A1380" s="32" t="b">
        <v>0</v>
      </c>
      <c r="B1380" s="32" t="str">
        <f>IMAGE("https://gymvisual.com/886-catalog_default/dumbbell-around-pullover.jpg",4,500,500)</f>
        <v/>
      </c>
      <c r="C1380" s="30">
        <v>1379.0</v>
      </c>
      <c r="D1380" s="16" t="s">
        <v>1933</v>
      </c>
      <c r="E1380" s="16" t="s">
        <v>184</v>
      </c>
      <c r="F1380" s="16" t="s">
        <v>234</v>
      </c>
      <c r="G1380" s="16" t="s">
        <v>222</v>
      </c>
      <c r="H1380" s="16" t="s">
        <v>347</v>
      </c>
      <c r="I1380" s="16" t="s">
        <v>1934</v>
      </c>
    </row>
    <row r="1381" ht="242.25" customHeight="1">
      <c r="A1381" s="32" t="b">
        <v>0</v>
      </c>
      <c r="B1381" s="32" t="str">
        <f>IMAGE("https://gymvisual.com/19507-catalog_default/dumbbell-assisted-bulgarian-split-squat.jpg",4,500,500)</f>
        <v/>
      </c>
      <c r="C1381" s="30">
        <v>1380.0</v>
      </c>
      <c r="D1381" s="16" t="s">
        <v>1935</v>
      </c>
      <c r="E1381" s="16" t="s">
        <v>184</v>
      </c>
      <c r="F1381" s="16" t="s">
        <v>285</v>
      </c>
      <c r="G1381" s="16" t="s">
        <v>222</v>
      </c>
      <c r="H1381" s="16" t="s">
        <v>220</v>
      </c>
      <c r="I1381" s="16" t="s">
        <v>220</v>
      </c>
    </row>
    <row r="1382" ht="242.25" customHeight="1">
      <c r="B1382" s="32" t="str">
        <f>IMAGE("https://gymvisual.com/18011-catalog_default/dumbbell-banded-bench-press.jpg",4,500,500)</f>
        <v/>
      </c>
      <c r="C1382" s="30">
        <v>1381.0</v>
      </c>
      <c r="D1382" s="16" t="s">
        <v>1936</v>
      </c>
      <c r="E1382" s="16" t="s">
        <v>184</v>
      </c>
      <c r="F1382" s="16" t="s">
        <v>234</v>
      </c>
      <c r="G1382" s="16" t="s">
        <v>222</v>
      </c>
      <c r="H1382" s="16" t="s">
        <v>220</v>
      </c>
      <c r="I1382" s="16" t="s">
        <v>220</v>
      </c>
    </row>
    <row r="1383" ht="242.25" customHeight="1">
      <c r="A1383" s="32" t="b">
        <v>0</v>
      </c>
      <c r="B1383" s="32" t="str">
        <f>IMAGE("https://gymvisual.com/10536-catalog_default/dumbbell-bar-grip-sumo-squat-female.jpg",4,500,500)</f>
        <v/>
      </c>
      <c r="C1383" s="30">
        <v>1382.0</v>
      </c>
      <c r="D1383" s="16" t="s">
        <v>1937</v>
      </c>
      <c r="E1383" s="16" t="s">
        <v>184</v>
      </c>
      <c r="F1383" s="16" t="s">
        <v>185</v>
      </c>
      <c r="G1383" s="16" t="s">
        <v>222</v>
      </c>
      <c r="H1383" s="16" t="s">
        <v>189</v>
      </c>
      <c r="I1383" s="16" t="s">
        <v>1121</v>
      </c>
    </row>
    <row r="1384" ht="242.25" customHeight="1">
      <c r="A1384" s="32" t="b">
        <v>0</v>
      </c>
      <c r="B1384" s="32" t="str">
        <f>IMAGE("https://gymvisual.com/17507-catalog_default/dumbbell-bar-grip-sumo-squat-male.jpg",4,500,500)</f>
        <v/>
      </c>
      <c r="C1384" s="30">
        <v>1383.0</v>
      </c>
      <c r="D1384" s="16" t="s">
        <v>1938</v>
      </c>
      <c r="E1384" s="16" t="s">
        <v>184</v>
      </c>
      <c r="F1384" s="16" t="s">
        <v>294</v>
      </c>
      <c r="G1384" s="16" t="s">
        <v>222</v>
      </c>
      <c r="H1384" s="16" t="s">
        <v>1851</v>
      </c>
      <c r="I1384" s="16" t="s">
        <v>1939</v>
      </c>
    </row>
    <row r="1385" ht="242.25" customHeight="1">
      <c r="A1385" s="32" t="b">
        <v>0</v>
      </c>
      <c r="B1385" s="32" t="str">
        <f>IMAGE("https://gymvisual.com/6958-catalog_default/dumbbell-behind-back-finger-curl.jpg",4,500,500)</f>
        <v/>
      </c>
      <c r="C1385" s="30">
        <v>1384.0</v>
      </c>
      <c r="D1385" s="16" t="s">
        <v>1940</v>
      </c>
      <c r="E1385" s="16" t="s">
        <v>184</v>
      </c>
      <c r="F1385" s="16" t="s">
        <v>214</v>
      </c>
      <c r="G1385" s="16" t="s">
        <v>222</v>
      </c>
      <c r="H1385" s="16" t="s">
        <v>720</v>
      </c>
      <c r="I1385" s="16" t="s">
        <v>220</v>
      </c>
    </row>
    <row r="1386" ht="242.25" customHeight="1">
      <c r="A1386" s="32" t="b">
        <v>0</v>
      </c>
      <c r="B1386" s="32" t="str">
        <f>IMAGE("https://gymvisual.com/16622-catalog_default/dumbbell-behind-back-finger-curl-female.jpg",4,500,500)</f>
        <v/>
      </c>
      <c r="C1386" s="30">
        <v>1385.0</v>
      </c>
      <c r="D1386" s="16" t="s">
        <v>1941</v>
      </c>
      <c r="E1386" s="16" t="s">
        <v>184</v>
      </c>
      <c r="F1386" s="16" t="s">
        <v>214</v>
      </c>
      <c r="G1386" s="16" t="s">
        <v>222</v>
      </c>
      <c r="H1386" s="16" t="s">
        <v>720</v>
      </c>
      <c r="I1386" s="16" t="s">
        <v>220</v>
      </c>
    </row>
    <row r="1387" ht="242.25" customHeight="1">
      <c r="A1387" s="32" t="b">
        <v>0</v>
      </c>
      <c r="B1387" s="32" t="str">
        <f>IMAGE("https://gymvisual.com/22205-catalog_default/dumbbell-bench-dip.jpg",4,500,500)</f>
        <v/>
      </c>
      <c r="C1387" s="30">
        <v>1386.0</v>
      </c>
      <c r="D1387" s="16" t="s">
        <v>1942</v>
      </c>
      <c r="E1387" s="16" t="s">
        <v>184</v>
      </c>
      <c r="F1387" s="16" t="s">
        <v>219</v>
      </c>
      <c r="G1387" s="16" t="s">
        <v>222</v>
      </c>
      <c r="H1387" s="16" t="s">
        <v>220</v>
      </c>
      <c r="I1387" s="16" t="s">
        <v>220</v>
      </c>
    </row>
    <row r="1388" ht="242.25" customHeight="1">
      <c r="A1388" s="32" t="b">
        <v>0</v>
      </c>
      <c r="B1388" s="32" t="str">
        <f>IMAGE("https://gymvisual.com/22207-catalog_default/dumbbell-bench-dip-with-legs-elevated.jpg",4,500,500)</f>
        <v/>
      </c>
      <c r="C1388" s="30">
        <v>1387.0</v>
      </c>
      <c r="D1388" s="16" t="s">
        <v>1943</v>
      </c>
      <c r="E1388" s="16" t="s">
        <v>184</v>
      </c>
      <c r="F1388" s="16" t="s">
        <v>219</v>
      </c>
      <c r="G1388" s="16" t="s">
        <v>222</v>
      </c>
      <c r="H1388" s="16" t="s">
        <v>220</v>
      </c>
      <c r="I1388" s="16" t="s">
        <v>220</v>
      </c>
    </row>
    <row r="1389" ht="242.25" customHeight="1">
      <c r="A1389" s="32" t="b">
        <v>0</v>
      </c>
      <c r="B1389" s="32" t="str">
        <f>IMAGE("https://gymvisual.com/6797-catalog_default/dumbbell-bench-one-leg-squat.jpg",4,500,500)</f>
        <v/>
      </c>
      <c r="C1389" s="30">
        <v>1388.0</v>
      </c>
      <c r="D1389" s="16" t="s">
        <v>1944</v>
      </c>
      <c r="E1389" s="16" t="s">
        <v>184</v>
      </c>
      <c r="F1389" s="16" t="s">
        <v>285</v>
      </c>
      <c r="G1389" s="16" t="s">
        <v>222</v>
      </c>
      <c r="H1389" s="16" t="s">
        <v>220</v>
      </c>
      <c r="I1389" s="16" t="s">
        <v>220</v>
      </c>
    </row>
    <row r="1390" ht="242.25" customHeight="1">
      <c r="A1390" s="32" t="b">
        <v>0</v>
      </c>
      <c r="B1390" s="32" t="str">
        <f>IMAGE("https://gymvisual.com/19327-catalog_default/dumbbell-bench-press.jpg",4,500,500)</f>
        <v/>
      </c>
      <c r="C1390" s="30">
        <v>1389.0</v>
      </c>
      <c r="D1390" s="16" t="s">
        <v>115</v>
      </c>
      <c r="E1390" s="16" t="s">
        <v>184</v>
      </c>
      <c r="F1390" s="16" t="s">
        <v>234</v>
      </c>
      <c r="G1390" s="16" t="s">
        <v>222</v>
      </c>
      <c r="H1390" s="16" t="s">
        <v>235</v>
      </c>
      <c r="I1390" s="16" t="s">
        <v>243</v>
      </c>
    </row>
    <row r="1391" ht="242.25" customHeight="1">
      <c r="A1391" s="32" t="b">
        <v>0</v>
      </c>
      <c r="B1391" s="32" t="str">
        <f>IMAGE("https://gymvisual.com/9676-catalog_default/dumbbell-bench-press-female.jpg",4,500,500)</f>
        <v/>
      </c>
      <c r="C1391" s="30">
        <v>1390.0</v>
      </c>
      <c r="D1391" s="16" t="s">
        <v>1945</v>
      </c>
      <c r="E1391" s="16" t="s">
        <v>184</v>
      </c>
      <c r="F1391" s="16" t="s">
        <v>234</v>
      </c>
      <c r="G1391" s="16" t="s">
        <v>222</v>
      </c>
      <c r="H1391" s="16" t="s">
        <v>347</v>
      </c>
      <c r="I1391" s="16" t="s">
        <v>382</v>
      </c>
    </row>
    <row r="1392" ht="242.25" customHeight="1">
      <c r="A1392" s="32" t="b">
        <v>0</v>
      </c>
      <c r="B1392" s="32" t="str">
        <f>IMAGE("https://gymvisual.com/24820-catalog_default/dumbbell-bench-seated-press.jpg",4,500,500)</f>
        <v/>
      </c>
      <c r="C1392" s="30">
        <v>1391.0</v>
      </c>
      <c r="D1392" s="16" t="s">
        <v>1946</v>
      </c>
      <c r="E1392" s="16" t="s">
        <v>184</v>
      </c>
      <c r="F1392" s="16" t="s">
        <v>228</v>
      </c>
      <c r="G1392" s="16" t="s">
        <v>222</v>
      </c>
      <c r="H1392" s="16" t="s">
        <v>229</v>
      </c>
      <c r="I1392" s="16" t="s">
        <v>244</v>
      </c>
    </row>
    <row r="1393" ht="242.25" customHeight="1">
      <c r="A1393" s="32" t="b">
        <v>0</v>
      </c>
      <c r="B1393" s="32" t="str">
        <f>IMAGE("https://gymvisual.com/895-catalog_default/dumbbell-bench-squat.jpg",4,500,500)</f>
        <v/>
      </c>
      <c r="C1393" s="30">
        <v>1392.0</v>
      </c>
      <c r="D1393" s="16" t="s">
        <v>1947</v>
      </c>
      <c r="E1393" s="16" t="s">
        <v>184</v>
      </c>
      <c r="F1393" s="16" t="s">
        <v>285</v>
      </c>
      <c r="G1393" s="16" t="s">
        <v>222</v>
      </c>
      <c r="H1393" s="16" t="s">
        <v>189</v>
      </c>
      <c r="I1393" s="16" t="s">
        <v>190</v>
      </c>
    </row>
    <row r="1394" ht="242.25" customHeight="1">
      <c r="A1394" s="32" t="b">
        <v>0</v>
      </c>
      <c r="B1394" s="32" t="str">
        <f>IMAGE("https://gymvisual.com/9565-catalog_default/dumbbell-bench-squat-female.jpg",4,500,500)</f>
        <v/>
      </c>
      <c r="C1394" s="30">
        <v>1393.0</v>
      </c>
      <c r="D1394" s="16" t="s">
        <v>1948</v>
      </c>
      <c r="E1394" s="16" t="s">
        <v>184</v>
      </c>
      <c r="F1394" s="16" t="s">
        <v>294</v>
      </c>
      <c r="G1394" s="16" t="s">
        <v>222</v>
      </c>
      <c r="H1394" s="16" t="s">
        <v>220</v>
      </c>
      <c r="I1394" s="16" t="s">
        <v>220</v>
      </c>
    </row>
    <row r="1395" ht="242.25" customHeight="1">
      <c r="A1395" s="32" t="b">
        <v>0</v>
      </c>
      <c r="B1395" s="32" t="str">
        <f>IMAGE("https://gymvisual.com/14782-catalog_default/dumbbell-bench-supported-external-rotation.jpg",4,500,500)</f>
        <v/>
      </c>
      <c r="C1395" s="30">
        <v>1394.0</v>
      </c>
      <c r="D1395" s="16" t="s">
        <v>1949</v>
      </c>
      <c r="E1395" s="16" t="s">
        <v>184</v>
      </c>
      <c r="F1395" s="16" t="s">
        <v>192</v>
      </c>
      <c r="G1395" s="16" t="s">
        <v>222</v>
      </c>
      <c r="H1395" s="16" t="s">
        <v>1607</v>
      </c>
      <c r="I1395" s="16" t="s">
        <v>408</v>
      </c>
    </row>
    <row r="1396" ht="242.25" customHeight="1">
      <c r="A1396" s="32" t="b">
        <v>0</v>
      </c>
      <c r="B1396" s="32" t="str">
        <f>IMAGE("https://gymvisual.com/22466-catalog_default/dumbbell-bent-arm-iso-hold.jpg",4,500,500)</f>
        <v/>
      </c>
      <c r="C1396" s="30">
        <v>1395.0</v>
      </c>
      <c r="D1396" s="16" t="s">
        <v>1950</v>
      </c>
      <c r="E1396" s="16" t="s">
        <v>184</v>
      </c>
      <c r="F1396" s="16" t="s">
        <v>219</v>
      </c>
      <c r="G1396" s="16" t="s">
        <v>222</v>
      </c>
      <c r="H1396" s="16" t="s">
        <v>220</v>
      </c>
      <c r="I1396" s="16" t="s">
        <v>220</v>
      </c>
    </row>
    <row r="1397" ht="242.25" customHeight="1">
      <c r="A1397" s="32" t="b">
        <v>0</v>
      </c>
      <c r="B1397" s="32" t="str">
        <f>IMAGE("https://gymvisual.com/19667-catalog_default/dumbbell-bent-arm-lateral-raise-female.jpg",4,500,500)</f>
        <v/>
      </c>
      <c r="C1397" s="30">
        <v>1396.0</v>
      </c>
      <c r="D1397" s="16" t="s">
        <v>1951</v>
      </c>
      <c r="E1397" s="16" t="s">
        <v>184</v>
      </c>
      <c r="F1397" s="16" t="s">
        <v>228</v>
      </c>
      <c r="G1397" s="16" t="s">
        <v>222</v>
      </c>
      <c r="H1397" s="16" t="s">
        <v>544</v>
      </c>
      <c r="I1397" s="16" t="s">
        <v>545</v>
      </c>
    </row>
    <row r="1398" ht="242.25" customHeight="1">
      <c r="A1398" s="32" t="b">
        <v>0</v>
      </c>
      <c r="B1398" s="32" t="str">
        <f>IMAGE("https://gymvisual.com/24832-catalog_default/dumbbell-bent-arm-lateral-raise-male.jpg",4,500,500)</f>
        <v/>
      </c>
      <c r="C1398" s="30">
        <v>1397.0</v>
      </c>
      <c r="D1398" s="16" t="s">
        <v>1952</v>
      </c>
      <c r="E1398" s="16" t="s">
        <v>184</v>
      </c>
      <c r="F1398" s="16" t="s">
        <v>228</v>
      </c>
      <c r="G1398" s="16" t="s">
        <v>222</v>
      </c>
      <c r="H1398" s="16" t="s">
        <v>544</v>
      </c>
      <c r="I1398" s="16" t="s">
        <v>545</v>
      </c>
    </row>
    <row r="1399" ht="242.25" customHeight="1">
      <c r="A1399" s="32" t="b">
        <v>0</v>
      </c>
      <c r="B1399" s="32" t="str">
        <f>IMAGE("https://gymvisual.com/18734-catalog_default/dumbbell-bent-arm-pullover-female.jpg",4,500,500)</f>
        <v/>
      </c>
      <c r="C1399" s="30">
        <v>1398.0</v>
      </c>
      <c r="D1399" s="16" t="s">
        <v>1953</v>
      </c>
      <c r="E1399" s="16" t="s">
        <v>184</v>
      </c>
      <c r="F1399" s="16" t="s">
        <v>234</v>
      </c>
      <c r="G1399" s="16" t="s">
        <v>222</v>
      </c>
      <c r="H1399" s="16" t="s">
        <v>220</v>
      </c>
      <c r="I1399" s="16" t="s">
        <v>220</v>
      </c>
    </row>
    <row r="1400" ht="242.25" customHeight="1">
      <c r="A1400" s="32" t="b">
        <v>0</v>
      </c>
      <c r="B1400" s="32" t="str">
        <f>IMAGE("https://gymvisual.com/10740-catalog_default/dumbbell-bent-arm-pullover-with-knees-bent-female.jpg",4,500,500)</f>
        <v/>
      </c>
      <c r="C1400" s="30">
        <v>1399.0</v>
      </c>
      <c r="D1400" s="16" t="s">
        <v>1954</v>
      </c>
      <c r="E1400" s="16" t="s">
        <v>184</v>
      </c>
      <c r="F1400" s="16" t="s">
        <v>234</v>
      </c>
      <c r="G1400" s="16" t="s">
        <v>222</v>
      </c>
      <c r="H1400" s="16" t="s">
        <v>347</v>
      </c>
      <c r="I1400" s="16" t="s">
        <v>824</v>
      </c>
    </row>
    <row r="1401" ht="242.25" customHeight="1">
      <c r="A1401" s="32" t="b">
        <v>0</v>
      </c>
      <c r="B1401" s="32" t="str">
        <f>IMAGE("https://gymvisual.com/14788-catalog_default/dumbbell-bent-over-alternate-rear-delt-fly.jpg",4,500,500)</f>
        <v/>
      </c>
      <c r="C1401" s="30">
        <v>1400.0</v>
      </c>
      <c r="D1401" s="16" t="s">
        <v>1955</v>
      </c>
      <c r="E1401" s="16" t="s">
        <v>184</v>
      </c>
      <c r="F1401" s="16" t="s">
        <v>228</v>
      </c>
      <c r="G1401" s="16" t="s">
        <v>222</v>
      </c>
      <c r="H1401" s="16" t="s">
        <v>408</v>
      </c>
      <c r="I1401" s="16" t="s">
        <v>452</v>
      </c>
    </row>
    <row r="1402" ht="242.25" customHeight="1">
      <c r="A1402" s="32" t="b">
        <v>0</v>
      </c>
      <c r="B1402" s="32" t="str">
        <f>IMAGE("https://gymvisual.com/25009-catalog_default/dumbbell-bent-over-face-pull.jpg",4,500,500)</f>
        <v/>
      </c>
      <c r="C1402" s="30">
        <v>1401.0</v>
      </c>
      <c r="D1402" s="16" t="s">
        <v>1956</v>
      </c>
      <c r="E1402" s="16" t="s">
        <v>184</v>
      </c>
      <c r="F1402" s="16" t="s">
        <v>228</v>
      </c>
      <c r="G1402" s="16" t="s">
        <v>222</v>
      </c>
      <c r="H1402" s="16" t="s">
        <v>220</v>
      </c>
      <c r="I1402" s="16" t="s">
        <v>220</v>
      </c>
    </row>
    <row r="1403" ht="242.25" customHeight="1">
      <c r="A1403" s="32" t="b">
        <v>0</v>
      </c>
      <c r="B1403" s="32" t="str">
        <f>IMAGE("https://gymvisual.com/17065-catalog_default/dumbbell-bent-over-reverse-row.jpg",4,500,500)</f>
        <v/>
      </c>
      <c r="C1403" s="30">
        <v>1402.0</v>
      </c>
      <c r="D1403" s="16" t="s">
        <v>1957</v>
      </c>
      <c r="E1403" s="16" t="s">
        <v>184</v>
      </c>
      <c r="F1403" s="16" t="s">
        <v>192</v>
      </c>
      <c r="G1403" s="16" t="s">
        <v>222</v>
      </c>
      <c r="H1403" s="16" t="s">
        <v>329</v>
      </c>
      <c r="I1403" s="16" t="s">
        <v>447</v>
      </c>
    </row>
    <row r="1404" ht="242.25" customHeight="1">
      <c r="A1404" s="32" t="b">
        <v>0</v>
      </c>
      <c r="B1404" s="32" t="str">
        <f>IMAGE("https://gymvisual.com/10066-catalog_default/dumbbell-bent-over-row.jpg",4,500,500)</f>
        <v/>
      </c>
      <c r="C1404" s="30">
        <v>1403.0</v>
      </c>
      <c r="D1404" s="16" t="s">
        <v>1958</v>
      </c>
      <c r="E1404" s="16" t="s">
        <v>184</v>
      </c>
      <c r="F1404" s="16" t="s">
        <v>192</v>
      </c>
      <c r="G1404" s="16" t="s">
        <v>222</v>
      </c>
      <c r="H1404" s="16" t="s">
        <v>329</v>
      </c>
      <c r="I1404" s="16" t="s">
        <v>457</v>
      </c>
    </row>
    <row r="1405" ht="242.25" customHeight="1">
      <c r="A1405" s="32" t="b">
        <v>0</v>
      </c>
      <c r="B1405" s="32" t="str">
        <f>IMAGE("https://gymvisual.com/11017-catalog_default/dumbbell-bent-over-row-female.jpg",4,500,500)</f>
        <v/>
      </c>
      <c r="C1405" s="30">
        <v>1404.0</v>
      </c>
      <c r="D1405" s="16" t="s">
        <v>1959</v>
      </c>
      <c r="E1405" s="16" t="s">
        <v>184</v>
      </c>
      <c r="F1405" s="16" t="s">
        <v>192</v>
      </c>
      <c r="G1405" s="16" t="s">
        <v>222</v>
      </c>
      <c r="H1405" s="16" t="s">
        <v>570</v>
      </c>
      <c r="I1405" s="16" t="s">
        <v>447</v>
      </c>
    </row>
    <row r="1406" ht="242.25" customHeight="1">
      <c r="A1406" s="32" t="b">
        <v>0</v>
      </c>
      <c r="B1406" s="32" t="str">
        <f>IMAGE("https://gymvisual.com/25001-catalog_default/dumbbell-bent-over-row-with-chest-support.jpg",4,500,500)</f>
        <v/>
      </c>
      <c r="C1406" s="30">
        <v>1405.0</v>
      </c>
      <c r="D1406" s="16" t="s">
        <v>1960</v>
      </c>
      <c r="E1406" s="16" t="s">
        <v>184</v>
      </c>
      <c r="F1406" s="16" t="s">
        <v>192</v>
      </c>
      <c r="G1406" s="16" t="s">
        <v>222</v>
      </c>
      <c r="H1406" s="16" t="s">
        <v>220</v>
      </c>
      <c r="I1406" s="16" t="s">
        <v>220</v>
      </c>
    </row>
    <row r="1407" ht="242.25" customHeight="1">
      <c r="A1407" s="32" t="b">
        <v>0</v>
      </c>
      <c r="B1407" s="32" t="str">
        <f>IMAGE("https://gymvisual.com/22209-catalog_default/dumbbell-bent-over-single-arm-row-version-2.jpg",4,500,500)</f>
        <v/>
      </c>
      <c r="C1407" s="30">
        <v>1406.0</v>
      </c>
      <c r="D1407" s="16" t="s">
        <v>1961</v>
      </c>
      <c r="E1407" s="16" t="s">
        <v>184</v>
      </c>
      <c r="F1407" s="16" t="s">
        <v>192</v>
      </c>
      <c r="G1407" s="16" t="s">
        <v>222</v>
      </c>
      <c r="H1407" s="16" t="s">
        <v>220</v>
      </c>
      <c r="I1407" s="16" t="s">
        <v>220</v>
      </c>
    </row>
    <row r="1408" ht="242.25" customHeight="1">
      <c r="A1408" s="32" t="b">
        <v>0</v>
      </c>
      <c r="B1408" s="32" t="str">
        <f>IMAGE("https://gymvisual.com/7125-catalog_default/dumbbell-bicep-curl-lunge-with-bowling-motion.jpg",4,500,500)</f>
        <v/>
      </c>
      <c r="C1408" s="30">
        <v>1407.0</v>
      </c>
      <c r="D1408" s="16" t="s">
        <v>1962</v>
      </c>
      <c r="E1408" s="16" t="s">
        <v>184</v>
      </c>
      <c r="F1408" s="16" t="s">
        <v>219</v>
      </c>
      <c r="G1408" s="16" t="s">
        <v>222</v>
      </c>
      <c r="H1408" s="16" t="s">
        <v>220</v>
      </c>
      <c r="I1408" s="16" t="s">
        <v>220</v>
      </c>
    </row>
    <row r="1409" ht="242.25" customHeight="1">
      <c r="A1409" s="32" t="b">
        <v>0</v>
      </c>
      <c r="B1409" s="32" t="str">
        <f>IMAGE("https://gymvisual.com/7126-catalog_default/dumbbell-bicep-curl-on-exercise-ball-with-leg-raised.jpg",4,500,500)</f>
        <v/>
      </c>
      <c r="C1409" s="30">
        <v>1408.0</v>
      </c>
      <c r="D1409" s="16" t="s">
        <v>1963</v>
      </c>
      <c r="E1409" s="16" t="s">
        <v>184</v>
      </c>
      <c r="F1409" s="16" t="s">
        <v>219</v>
      </c>
      <c r="G1409" s="16" t="s">
        <v>222</v>
      </c>
      <c r="H1409" s="16" t="s">
        <v>220</v>
      </c>
      <c r="I1409" s="16" t="s">
        <v>220</v>
      </c>
    </row>
    <row r="1410" ht="242.25" customHeight="1">
      <c r="A1410" s="32" t="b">
        <v>0</v>
      </c>
      <c r="B1410" s="32" t="str">
        <f>IMAGE("https://gymvisual.com/7127-catalog_default/dumbbell-bicep-curl-with-stork-stance.jpg",4,500,500)</f>
        <v/>
      </c>
      <c r="C1410" s="30">
        <v>1409.0</v>
      </c>
      <c r="D1410" s="16" t="s">
        <v>1964</v>
      </c>
      <c r="E1410" s="16" t="s">
        <v>184</v>
      </c>
      <c r="F1410" s="16" t="s">
        <v>219</v>
      </c>
      <c r="G1410" s="16" t="s">
        <v>222</v>
      </c>
      <c r="H1410" s="16" t="s">
        <v>220</v>
      </c>
      <c r="I1410" s="16" t="s">
        <v>220</v>
      </c>
    </row>
    <row r="1411" ht="242.25" customHeight="1">
      <c r="A1411" s="32" t="b">
        <v>0</v>
      </c>
      <c r="B1411" s="32" t="str">
        <f>IMAGE("https://gymvisual.com/904-catalog_default/dumbbell-biceps-curl.jpg",4,500,500)</f>
        <v/>
      </c>
      <c r="C1411" s="30">
        <v>1410.0</v>
      </c>
      <c r="D1411" s="16" t="s">
        <v>1965</v>
      </c>
      <c r="E1411" s="16" t="s">
        <v>184</v>
      </c>
      <c r="F1411" s="16" t="s">
        <v>219</v>
      </c>
      <c r="G1411" s="16" t="s">
        <v>222</v>
      </c>
      <c r="H1411" s="16" t="s">
        <v>241</v>
      </c>
      <c r="I1411" s="16" t="s">
        <v>292</v>
      </c>
    </row>
    <row r="1412" ht="242.25" customHeight="1">
      <c r="A1412" s="32" t="b">
        <v>0</v>
      </c>
      <c r="B1412" s="32" t="str">
        <f>IMAGE("https://gymvisual.com/11020-catalog_default/dumbbell-biceps-curl-female.jpg",4,500,500)</f>
        <v/>
      </c>
      <c r="C1412" s="30">
        <v>1411.0</v>
      </c>
      <c r="D1412" s="16" t="s">
        <v>1966</v>
      </c>
      <c r="E1412" s="16" t="s">
        <v>184</v>
      </c>
      <c r="F1412" s="16" t="s">
        <v>219</v>
      </c>
      <c r="G1412" s="16" t="s">
        <v>222</v>
      </c>
      <c r="H1412" s="16" t="s">
        <v>241</v>
      </c>
      <c r="I1412" s="16" t="s">
        <v>292</v>
      </c>
    </row>
    <row r="1413" ht="242.25" customHeight="1">
      <c r="A1413" s="32" t="b">
        <v>0</v>
      </c>
      <c r="B1413" s="32" t="str">
        <f>IMAGE("https://gymvisual.com/10454-catalog_default/dumbbell-biceps-curl-with-arm-blaster.jpg",4,500,500)</f>
        <v/>
      </c>
      <c r="C1413" s="30">
        <v>1412.0</v>
      </c>
      <c r="D1413" s="16" t="s">
        <v>1967</v>
      </c>
      <c r="E1413" s="16" t="s">
        <v>184</v>
      </c>
      <c r="F1413" s="16" t="s">
        <v>219</v>
      </c>
      <c r="G1413" s="16" t="s">
        <v>222</v>
      </c>
      <c r="H1413" s="16" t="s">
        <v>241</v>
      </c>
      <c r="I1413" s="16" t="s">
        <v>292</v>
      </c>
    </row>
    <row r="1414" ht="242.25" customHeight="1">
      <c r="A1414" s="32" t="b">
        <v>0</v>
      </c>
      <c r="B1414" s="32" t="str">
        <f>IMAGE("https://gymvisual.com/13417-catalog_default/dumbbell-biceps-curl-with-arm-blaster-female.jpg",4,500,500)</f>
        <v/>
      </c>
      <c r="C1414" s="30">
        <v>1413.0</v>
      </c>
      <c r="D1414" s="16" t="s">
        <v>1968</v>
      </c>
      <c r="E1414" s="16" t="s">
        <v>184</v>
      </c>
      <c r="F1414" s="16" t="s">
        <v>219</v>
      </c>
      <c r="G1414" s="16" t="s">
        <v>222</v>
      </c>
      <c r="H1414" s="16" t="s">
        <v>220</v>
      </c>
      <c r="I1414" s="16" t="s">
        <v>220</v>
      </c>
    </row>
    <row r="1415" ht="242.25" customHeight="1">
      <c r="A1415" s="32" t="b">
        <v>0</v>
      </c>
      <c r="B1415" s="32" t="str">
        <f>IMAGE("https://gymvisual.com/7128-catalog_default/dumbbell-biceps-curl-reverse.jpg",4,500,500)</f>
        <v/>
      </c>
      <c r="C1415" s="30">
        <v>1414.0</v>
      </c>
      <c r="D1415" s="16" t="s">
        <v>1969</v>
      </c>
      <c r="E1415" s="16" t="s">
        <v>184</v>
      </c>
      <c r="F1415" s="16" t="s">
        <v>219</v>
      </c>
      <c r="G1415" s="16" t="s">
        <v>222</v>
      </c>
      <c r="H1415" s="16" t="s">
        <v>220</v>
      </c>
      <c r="I1415" s="16" t="s">
        <v>220</v>
      </c>
    </row>
    <row r="1416" ht="242.25" customHeight="1">
      <c r="A1416" s="32" t="b">
        <v>0</v>
      </c>
      <c r="B1416" s="32" t="str">
        <f>IMAGE("https://gymvisual.com/11462-catalog_default/dumbbell-biceps-curl-reverse-female.jpg",4,500,500)</f>
        <v/>
      </c>
      <c r="C1416" s="30">
        <v>1415.0</v>
      </c>
      <c r="D1416" s="16" t="s">
        <v>1970</v>
      </c>
      <c r="E1416" s="16" t="s">
        <v>184</v>
      </c>
      <c r="F1416" s="16" t="s">
        <v>214</v>
      </c>
      <c r="G1416" s="16" t="s">
        <v>222</v>
      </c>
      <c r="H1416" s="16" t="s">
        <v>220</v>
      </c>
      <c r="I1416" s="16" t="s">
        <v>220</v>
      </c>
    </row>
    <row r="1417" ht="242.25" customHeight="1">
      <c r="A1417" s="32" t="b">
        <v>0</v>
      </c>
      <c r="B1417" s="32" t="str">
        <f>IMAGE("https://gymvisual.com/7129-catalog_default/dumbbell-biceps-curl-squat.jpg",4,500,500)</f>
        <v/>
      </c>
      <c r="C1417" s="30">
        <v>1416.0</v>
      </c>
      <c r="D1417" s="16" t="s">
        <v>1971</v>
      </c>
      <c r="E1417" s="16" t="s">
        <v>184</v>
      </c>
      <c r="F1417" s="16" t="s">
        <v>219</v>
      </c>
      <c r="G1417" s="16" t="s">
        <v>222</v>
      </c>
      <c r="H1417" s="16" t="s">
        <v>220</v>
      </c>
      <c r="I1417" s="16" t="s">
        <v>220</v>
      </c>
    </row>
    <row r="1418" ht="242.25" customHeight="1">
      <c r="A1418" s="32" t="b">
        <v>0</v>
      </c>
      <c r="B1418" s="32" t="str">
        <f>IMAGE("https://gymvisual.com/7130-catalog_default/dumbbell-biceps-curl-v-sit-on-bosu-ball.jpg",4,500,500)</f>
        <v/>
      </c>
      <c r="C1418" s="30">
        <v>1417.0</v>
      </c>
      <c r="D1418" s="16" t="s">
        <v>1972</v>
      </c>
      <c r="E1418" s="16" t="s">
        <v>184</v>
      </c>
      <c r="F1418" s="16" t="s">
        <v>219</v>
      </c>
      <c r="G1418" s="16" t="s">
        <v>222</v>
      </c>
      <c r="H1418" s="16" t="s">
        <v>220</v>
      </c>
      <c r="I1418" s="16" t="s">
        <v>220</v>
      </c>
    </row>
    <row r="1419" ht="242.25" customHeight="1">
      <c r="A1419" s="32" t="b">
        <v>0</v>
      </c>
      <c r="B1419" s="32" t="str">
        <f>IMAGE("https://gymvisual.com/20473-catalog_default/dumbbell-biceps-curl-with-overhead-extension-on-stability-ball.jpg",4,500,500)</f>
        <v/>
      </c>
      <c r="C1419" s="30">
        <v>1418.0</v>
      </c>
      <c r="D1419" s="16" t="s">
        <v>1973</v>
      </c>
      <c r="E1419" s="16" t="s">
        <v>184</v>
      </c>
      <c r="F1419" s="16" t="s">
        <v>219</v>
      </c>
      <c r="G1419" s="16" t="s">
        <v>222</v>
      </c>
      <c r="H1419" s="16" t="s">
        <v>1974</v>
      </c>
      <c r="I1419" s="16" t="s">
        <v>292</v>
      </c>
    </row>
    <row r="1420" ht="242.25" customHeight="1">
      <c r="A1420" s="32" t="b">
        <v>0</v>
      </c>
      <c r="B1420" s="32" t="str">
        <f>IMAGE("https://gymvisual.com/22211-catalog_default/dumbbell-bridge-bench-press.jpg",4,500,500)</f>
        <v/>
      </c>
      <c r="C1420" s="30">
        <v>1419.0</v>
      </c>
      <c r="D1420" s="16" t="s">
        <v>1975</v>
      </c>
      <c r="E1420" s="16" t="s">
        <v>184</v>
      </c>
      <c r="F1420" s="16" t="s">
        <v>234</v>
      </c>
      <c r="G1420" s="16" t="s">
        <v>222</v>
      </c>
      <c r="H1420" s="16" t="s">
        <v>220</v>
      </c>
      <c r="I1420" s="16" t="s">
        <v>220</v>
      </c>
    </row>
    <row r="1421" ht="242.25" customHeight="1">
      <c r="A1421" s="32" t="b">
        <v>0</v>
      </c>
      <c r="B1421" s="32" t="str">
        <f>IMAGE("https://gymvisual.com/9730-catalog_default/dumbbell-bulgarian-split-squat-female.jpg",4,500,500)</f>
        <v/>
      </c>
      <c r="C1421" s="30">
        <v>1420.0</v>
      </c>
      <c r="D1421" s="16" t="s">
        <v>1976</v>
      </c>
      <c r="E1421" s="16" t="s">
        <v>184</v>
      </c>
      <c r="F1421" s="16" t="s">
        <v>294</v>
      </c>
      <c r="G1421" s="16" t="s">
        <v>222</v>
      </c>
      <c r="H1421" s="16" t="s">
        <v>189</v>
      </c>
      <c r="I1421" s="16" t="s">
        <v>190</v>
      </c>
    </row>
    <row r="1422" ht="242.25" customHeight="1">
      <c r="A1422" s="32" t="b">
        <v>0</v>
      </c>
      <c r="B1422" s="32" t="str">
        <f>IMAGE("https://gymvisual.com/14765-catalog_default/dumbbell-chest-supported-lateral-raises.jpg",4,500,500)</f>
        <v/>
      </c>
      <c r="C1422" s="30">
        <v>1421.0</v>
      </c>
      <c r="D1422" s="16" t="s">
        <v>1977</v>
      </c>
      <c r="E1422" s="16" t="s">
        <v>184</v>
      </c>
      <c r="F1422" s="16" t="s">
        <v>228</v>
      </c>
      <c r="G1422" s="16" t="s">
        <v>222</v>
      </c>
      <c r="H1422" s="16" t="s">
        <v>408</v>
      </c>
      <c r="I1422" s="16" t="s">
        <v>1978</v>
      </c>
    </row>
    <row r="1423" ht="242.25" customHeight="1">
      <c r="A1423" s="32" t="b">
        <v>0</v>
      </c>
      <c r="B1423" s="32" t="str">
        <f>IMAGE("https://gymvisual.com/20618-catalog_default/dumbbell-clean.jpg",4,500,500)</f>
        <v/>
      </c>
      <c r="C1423" s="30">
        <v>1422.0</v>
      </c>
      <c r="D1423" s="16" t="s">
        <v>1979</v>
      </c>
      <c r="E1423" s="16" t="s">
        <v>184</v>
      </c>
      <c r="F1423" s="16" t="s">
        <v>285</v>
      </c>
      <c r="G1423" s="16" t="s">
        <v>222</v>
      </c>
      <c r="H1423" s="16" t="s">
        <v>793</v>
      </c>
      <c r="I1423" s="16" t="s">
        <v>220</v>
      </c>
    </row>
    <row r="1424" ht="242.25" customHeight="1">
      <c r="A1424" s="32" t="b">
        <v>0</v>
      </c>
      <c r="B1424" s="32" t="str">
        <f>IMAGE("https://gymvisual.com/22568-catalog_default/dumbbell-clean-and-press.jpg",4,500,500)</f>
        <v/>
      </c>
      <c r="C1424" s="30">
        <v>1423.0</v>
      </c>
      <c r="D1424" s="16" t="s">
        <v>1980</v>
      </c>
      <c r="E1424" s="16" t="s">
        <v>184</v>
      </c>
      <c r="F1424" s="16" t="s">
        <v>764</v>
      </c>
      <c r="G1424" s="16" t="s">
        <v>222</v>
      </c>
      <c r="H1424" s="16" t="s">
        <v>1981</v>
      </c>
      <c r="I1424" s="16" t="s">
        <v>220</v>
      </c>
    </row>
    <row r="1425" ht="242.25" customHeight="1">
      <c r="A1425" s="32" t="b">
        <v>0</v>
      </c>
      <c r="B1425" s="32" t="str">
        <f>IMAGE("https://gymvisual.com/18716-catalog_default/dumbbell-close-grip-curl.jpg",4,500,500)</f>
        <v/>
      </c>
      <c r="C1425" s="30">
        <v>1424.0</v>
      </c>
      <c r="D1425" s="16" t="s">
        <v>1982</v>
      </c>
      <c r="E1425" s="16" t="s">
        <v>184</v>
      </c>
      <c r="F1425" s="16" t="s">
        <v>219</v>
      </c>
      <c r="G1425" s="16" t="s">
        <v>222</v>
      </c>
      <c r="H1425" s="16" t="s">
        <v>241</v>
      </c>
      <c r="I1425" s="16" t="s">
        <v>292</v>
      </c>
    </row>
    <row r="1426" ht="242.25" customHeight="1">
      <c r="A1426" s="32" t="b">
        <v>0</v>
      </c>
      <c r="B1426" s="32" t="str">
        <f>IMAGE("https://gymvisual.com/7450-catalog_default/dumbbell-close-grip-press.jpg",4,500,500)</f>
        <v/>
      </c>
      <c r="C1426" s="30">
        <v>1425.0</v>
      </c>
      <c r="D1426" s="16" t="s">
        <v>1983</v>
      </c>
      <c r="E1426" s="16" t="s">
        <v>184</v>
      </c>
      <c r="F1426" s="16" t="s">
        <v>219</v>
      </c>
      <c r="G1426" s="16" t="s">
        <v>222</v>
      </c>
      <c r="H1426" s="16" t="s">
        <v>223</v>
      </c>
      <c r="I1426" s="16" t="s">
        <v>472</v>
      </c>
    </row>
    <row r="1427" ht="242.25" customHeight="1">
      <c r="A1427" s="32" t="b">
        <v>0</v>
      </c>
      <c r="B1427" s="32" t="str">
        <f>IMAGE("https://gymvisual.com/11465-catalog_default/dumbbell-close-grip-press-female.jpg",4,500,500)</f>
        <v/>
      </c>
      <c r="C1427" s="30">
        <v>1426.0</v>
      </c>
      <c r="D1427" s="16" t="s">
        <v>1984</v>
      </c>
      <c r="E1427" s="16" t="s">
        <v>184</v>
      </c>
      <c r="F1427" s="16" t="s">
        <v>1894</v>
      </c>
      <c r="G1427" s="16" t="s">
        <v>222</v>
      </c>
      <c r="H1427" s="16" t="s">
        <v>223</v>
      </c>
      <c r="I1427" s="16" t="s">
        <v>472</v>
      </c>
    </row>
    <row r="1428" ht="242.25" customHeight="1">
      <c r="A1428" s="32" t="b">
        <v>0</v>
      </c>
      <c r="B1428" s="32" t="str">
        <f>IMAGE("https://gymvisual.com/13419-catalog_default/dumbbell-close-grip-press-female.jpg",4,500,500)</f>
        <v/>
      </c>
      <c r="C1428" s="30">
        <v>1427.0</v>
      </c>
      <c r="D1428" s="16" t="s">
        <v>1985</v>
      </c>
      <c r="E1428" s="16" t="s">
        <v>184</v>
      </c>
      <c r="F1428" s="16" t="s">
        <v>234</v>
      </c>
      <c r="G1428" s="16" t="s">
        <v>222</v>
      </c>
      <c r="H1428" s="16" t="s">
        <v>220</v>
      </c>
      <c r="I1428" s="16" t="s">
        <v>220</v>
      </c>
    </row>
    <row r="1429" ht="242.25" customHeight="1">
      <c r="A1429" s="32" t="b">
        <v>0</v>
      </c>
      <c r="B1429" s="32" t="str">
        <f>IMAGE("https://gymvisual.com/19588-catalog_default/dumbbell-close-grip-shoulder-press-sit-up.jpg",4,500,500)</f>
        <v/>
      </c>
      <c r="C1429" s="30">
        <v>1428.0</v>
      </c>
      <c r="D1429" s="16" t="s">
        <v>1986</v>
      </c>
      <c r="E1429" s="16" t="s">
        <v>184</v>
      </c>
      <c r="F1429" s="16" t="s">
        <v>254</v>
      </c>
      <c r="G1429" s="16" t="s">
        <v>222</v>
      </c>
      <c r="H1429" s="16" t="s">
        <v>220</v>
      </c>
      <c r="I1429" s="16" t="s">
        <v>220</v>
      </c>
    </row>
    <row r="1430" ht="242.25" customHeight="1">
      <c r="A1430" s="32" t="b">
        <v>0</v>
      </c>
      <c r="B1430" s="32" t="str">
        <f>IMAGE("https://gymvisual.com/909-catalog_default/dumbbell-close-grip-press.jpg",4,500,500)</f>
        <v/>
      </c>
      <c r="C1430" s="30">
        <v>1429.0</v>
      </c>
      <c r="D1430" s="16" t="s">
        <v>1987</v>
      </c>
      <c r="E1430" s="16" t="s">
        <v>184</v>
      </c>
      <c r="F1430" s="16" t="s">
        <v>219</v>
      </c>
      <c r="G1430" s="16" t="s">
        <v>222</v>
      </c>
      <c r="H1430" s="16" t="s">
        <v>223</v>
      </c>
      <c r="I1430" s="16" t="s">
        <v>896</v>
      </c>
    </row>
    <row r="1431" ht="242.25" customHeight="1">
      <c r="A1431" s="32" t="b">
        <v>0</v>
      </c>
      <c r="B1431" s="32" t="str">
        <f>IMAGE("https://gymvisual.com/17771-catalog_default/dumbbell-complex-push-up-row-clean-and-press.jpg",4,500,500)</f>
        <v/>
      </c>
      <c r="C1431" s="30">
        <v>1430.0</v>
      </c>
      <c r="D1431" s="16" t="s">
        <v>1988</v>
      </c>
      <c r="E1431" s="16" t="s">
        <v>184</v>
      </c>
      <c r="F1431" s="16" t="s">
        <v>321</v>
      </c>
      <c r="G1431" s="16" t="s">
        <v>222</v>
      </c>
      <c r="H1431" s="16" t="s">
        <v>220</v>
      </c>
      <c r="I1431" s="16" t="s">
        <v>220</v>
      </c>
    </row>
    <row r="1432" ht="242.25" customHeight="1">
      <c r="A1432" s="32" t="b">
        <v>0</v>
      </c>
      <c r="B1432" s="32" t="str">
        <f>IMAGE("https://gymvisual.com/912-catalog_default/dumbbell-concentration-curl.jpg",4,500,500)</f>
        <v/>
      </c>
      <c r="C1432" s="30">
        <v>1431.0</v>
      </c>
      <c r="D1432" s="16" t="s">
        <v>141</v>
      </c>
      <c r="E1432" s="16" t="s">
        <v>184</v>
      </c>
      <c r="F1432" s="16" t="s">
        <v>219</v>
      </c>
      <c r="G1432" s="16" t="s">
        <v>222</v>
      </c>
      <c r="H1432" s="16" t="s">
        <v>232</v>
      </c>
      <c r="I1432" s="16" t="s">
        <v>233</v>
      </c>
    </row>
    <row r="1433" ht="242.25" customHeight="1">
      <c r="A1433" s="32" t="b">
        <v>0</v>
      </c>
      <c r="B1433" s="32" t="str">
        <f>IMAGE("https://gymvisual.com/10299-catalog_default/dumbbell-concentration-curl-female.jpg",4,500,500)</f>
        <v/>
      </c>
      <c r="C1433" s="30">
        <v>1432.0</v>
      </c>
      <c r="D1433" s="16" t="s">
        <v>231</v>
      </c>
      <c r="E1433" s="16" t="s">
        <v>184</v>
      </c>
      <c r="F1433" s="16" t="s">
        <v>219</v>
      </c>
      <c r="G1433" s="16" t="s">
        <v>222</v>
      </c>
      <c r="H1433" s="16" t="s">
        <v>232</v>
      </c>
      <c r="I1433" s="16" t="s">
        <v>233</v>
      </c>
    </row>
    <row r="1434" ht="242.25" customHeight="1">
      <c r="A1434" s="32" t="b">
        <v>0</v>
      </c>
      <c r="B1434" s="32" t="str">
        <f>IMAGE("https://gymvisual.com/14340-catalog_default/dumbbell-contralateral-forward-lunge.jpg",4,500,500)</f>
        <v/>
      </c>
      <c r="C1434" s="30">
        <v>1433.0</v>
      </c>
      <c r="D1434" s="16" t="s">
        <v>1989</v>
      </c>
      <c r="E1434" s="16" t="s">
        <v>184</v>
      </c>
      <c r="F1434" s="16" t="s">
        <v>285</v>
      </c>
      <c r="G1434" s="16" t="s">
        <v>222</v>
      </c>
      <c r="H1434" s="16" t="s">
        <v>189</v>
      </c>
      <c r="I1434" s="16" t="s">
        <v>190</v>
      </c>
    </row>
    <row r="1435" ht="242.25" customHeight="1">
      <c r="A1435" s="32" t="b">
        <v>0</v>
      </c>
      <c r="B1435" s="32" t="str">
        <f>IMAGE("https://gymvisual.com/19217-catalog_default/dumbbell-cossack-squats-male.jpg",4,500,500)</f>
        <v/>
      </c>
      <c r="C1435" s="30">
        <v>1434.0</v>
      </c>
      <c r="D1435" s="16" t="s">
        <v>1990</v>
      </c>
      <c r="E1435" s="16" t="s">
        <v>184</v>
      </c>
      <c r="F1435" s="16" t="s">
        <v>294</v>
      </c>
      <c r="G1435" s="16" t="s">
        <v>222</v>
      </c>
      <c r="H1435" s="16" t="s">
        <v>220</v>
      </c>
      <c r="I1435" s="16" t="s">
        <v>220</v>
      </c>
    </row>
    <row r="1436" ht="242.25" customHeight="1">
      <c r="A1436" s="32" t="b">
        <v>0</v>
      </c>
      <c r="B1436" s="32" t="str">
        <f>IMAGE("https://gymvisual.com/22213-catalog_default/dumbbell-cossack-squats-version-2-male.jpg",4,500,500)</f>
        <v/>
      </c>
      <c r="C1436" s="30">
        <v>1435.0</v>
      </c>
      <c r="D1436" s="16" t="s">
        <v>1991</v>
      </c>
      <c r="E1436" s="16" t="s">
        <v>184</v>
      </c>
      <c r="F1436" s="16" t="s">
        <v>285</v>
      </c>
      <c r="G1436" s="16" t="s">
        <v>222</v>
      </c>
      <c r="H1436" s="16" t="s">
        <v>220</v>
      </c>
      <c r="I1436" s="16" t="s">
        <v>220</v>
      </c>
    </row>
    <row r="1437" ht="242.25" customHeight="1">
      <c r="A1437" s="32" t="b">
        <v>0</v>
      </c>
      <c r="B1437" s="32" t="str">
        <f>IMAGE("https://gymvisual.com/915-catalog_default/dumbbell-cross-body-hammer-curl.jpg",4,500,500)</f>
        <v/>
      </c>
      <c r="C1437" s="30">
        <v>1436.0</v>
      </c>
      <c r="D1437" s="16" t="s">
        <v>1992</v>
      </c>
      <c r="E1437" s="16" t="s">
        <v>184</v>
      </c>
      <c r="F1437" s="16" t="s">
        <v>214</v>
      </c>
      <c r="G1437" s="16" t="s">
        <v>222</v>
      </c>
      <c r="H1437" s="16" t="s">
        <v>216</v>
      </c>
      <c r="I1437" s="16" t="s">
        <v>217</v>
      </c>
    </row>
    <row r="1438" ht="242.25" customHeight="1">
      <c r="A1438" s="32" t="b">
        <v>0</v>
      </c>
      <c r="B1438" s="32" t="str">
        <f>IMAGE("https://gymvisual.com/7131-catalog_default/dumbbell-cross-body-hammer-curl-version-2.jpg",4,500,500)</f>
        <v/>
      </c>
      <c r="C1438" s="30">
        <v>1437.0</v>
      </c>
      <c r="D1438" s="16" t="s">
        <v>1993</v>
      </c>
      <c r="E1438" s="16" t="s">
        <v>184</v>
      </c>
      <c r="F1438" s="16" t="s">
        <v>219</v>
      </c>
      <c r="G1438" s="16" t="s">
        <v>222</v>
      </c>
      <c r="H1438" s="16" t="s">
        <v>216</v>
      </c>
      <c r="I1438" s="16" t="s">
        <v>217</v>
      </c>
    </row>
    <row r="1439" ht="242.25" customHeight="1">
      <c r="A1439" s="32" t="b">
        <v>0</v>
      </c>
      <c r="B1439" s="32" t="str">
        <f>IMAGE("https://gymvisual.com/11468-catalog_default/dumbbell-cross-body-hammer-curl-version-2-female.jpg",4,500,500)</f>
        <v/>
      </c>
      <c r="C1439" s="30">
        <v>1438.0</v>
      </c>
      <c r="D1439" s="16" t="s">
        <v>1994</v>
      </c>
      <c r="E1439" s="16" t="s">
        <v>184</v>
      </c>
      <c r="F1439" s="16" t="s">
        <v>219</v>
      </c>
      <c r="G1439" s="16" t="s">
        <v>222</v>
      </c>
      <c r="H1439" s="16" t="s">
        <v>216</v>
      </c>
      <c r="I1439" s="16" t="s">
        <v>217</v>
      </c>
    </row>
    <row r="1440" ht="242.25" customHeight="1">
      <c r="A1440" s="32" t="b">
        <v>0</v>
      </c>
      <c r="B1440" s="32" t="str">
        <f>IMAGE("https://gymvisual.com/19594-catalog_default/dumbbell-crunch-up.jpg",4,500,500)</f>
        <v/>
      </c>
      <c r="C1440" s="30">
        <v>1439.0</v>
      </c>
      <c r="D1440" s="16" t="s">
        <v>1995</v>
      </c>
      <c r="E1440" s="16" t="s">
        <v>184</v>
      </c>
      <c r="F1440" s="16" t="s">
        <v>254</v>
      </c>
      <c r="G1440" s="16" t="s">
        <v>222</v>
      </c>
      <c r="H1440" s="16" t="s">
        <v>220</v>
      </c>
      <c r="I1440" s="16" t="s">
        <v>220</v>
      </c>
    </row>
    <row r="1441" ht="242.25" customHeight="1">
      <c r="A1441" s="32" t="b">
        <v>0</v>
      </c>
      <c r="B1441" s="32" t="str">
        <f>IMAGE("https://gymvisual.com/918-catalog_default/dumbbell-cuban-press.jpg",4,500,500)</f>
        <v/>
      </c>
      <c r="C1441" s="30">
        <v>1440.0</v>
      </c>
      <c r="D1441" s="16" t="s">
        <v>1996</v>
      </c>
      <c r="E1441" s="16" t="s">
        <v>184</v>
      </c>
      <c r="F1441" s="16" t="s">
        <v>228</v>
      </c>
      <c r="G1441" s="16" t="s">
        <v>222</v>
      </c>
      <c r="H1441" s="16" t="s">
        <v>1997</v>
      </c>
      <c r="I1441" s="16" t="s">
        <v>1998</v>
      </c>
    </row>
    <row r="1442" ht="242.25" customHeight="1">
      <c r="A1442" s="32" t="b">
        <v>0</v>
      </c>
      <c r="B1442" s="32" t="str">
        <f>IMAGE("https://gymvisual.com/8732-catalog_default/dumbbell-cuban-press-version-2.jpg",4,500,500)</f>
        <v/>
      </c>
      <c r="C1442" s="30">
        <v>1441.0</v>
      </c>
      <c r="D1442" s="16" t="s">
        <v>1999</v>
      </c>
      <c r="E1442" s="16" t="s">
        <v>184</v>
      </c>
      <c r="F1442" s="16" t="s">
        <v>228</v>
      </c>
      <c r="G1442" s="16" t="s">
        <v>222</v>
      </c>
      <c r="H1442" s="16" t="s">
        <v>454</v>
      </c>
      <c r="I1442" s="16" t="s">
        <v>2000</v>
      </c>
    </row>
    <row r="1443" ht="242.25" customHeight="1">
      <c r="A1443" s="32" t="b">
        <v>0</v>
      </c>
      <c r="B1443" s="32" t="str">
        <f>IMAGE("https://gymvisual.com/26118-catalog_default/dumbbell-curl-press-extension-male.jpg",4,500,500)</f>
        <v/>
      </c>
      <c r="C1443" s="30">
        <v>1442.0</v>
      </c>
      <c r="D1443" s="16" t="s">
        <v>2001</v>
      </c>
      <c r="E1443" s="16" t="s">
        <v>184</v>
      </c>
      <c r="F1443" s="16" t="s">
        <v>219</v>
      </c>
      <c r="G1443" s="16" t="s">
        <v>222</v>
      </c>
      <c r="H1443" s="16" t="s">
        <v>220</v>
      </c>
      <c r="I1443" s="16" t="s">
        <v>220</v>
      </c>
    </row>
    <row r="1444" ht="242.25" customHeight="1">
      <c r="A1444" s="32" t="b">
        <v>0</v>
      </c>
      <c r="B1444" s="32" t="str">
        <f>IMAGE("https://gymvisual.com/22087-catalog_default/dumbbell-curl-to-press-female.jpg",4,500,500)</f>
        <v/>
      </c>
      <c r="C1444" s="30">
        <v>1443.0</v>
      </c>
      <c r="D1444" s="16" t="s">
        <v>2002</v>
      </c>
      <c r="E1444" s="16" t="s">
        <v>184</v>
      </c>
      <c r="F1444" s="16" t="s">
        <v>228</v>
      </c>
      <c r="G1444" s="16" t="s">
        <v>222</v>
      </c>
      <c r="H1444" s="16" t="s">
        <v>2003</v>
      </c>
      <c r="I1444" s="16" t="s">
        <v>2004</v>
      </c>
    </row>
    <row r="1445" ht="242.25" customHeight="1">
      <c r="A1445" s="32" t="b">
        <v>0</v>
      </c>
      <c r="B1445" s="32" t="str">
        <f>IMAGE("https://gymvisual.com/2771-catalog_default/dumbbell-curtsey-lunge.jpg",4,500,500)</f>
        <v/>
      </c>
      <c r="C1445" s="30">
        <v>1444.0</v>
      </c>
      <c r="D1445" s="16" t="s">
        <v>2005</v>
      </c>
      <c r="E1445" s="16" t="s">
        <v>184</v>
      </c>
      <c r="F1445" s="16" t="s">
        <v>285</v>
      </c>
      <c r="G1445" s="16" t="s">
        <v>222</v>
      </c>
      <c r="H1445" s="16" t="s">
        <v>189</v>
      </c>
      <c r="I1445" s="16" t="s">
        <v>2006</v>
      </c>
    </row>
    <row r="1446" ht="242.25" customHeight="1">
      <c r="A1446" s="32" t="b">
        <v>0</v>
      </c>
      <c r="B1446" s="32" t="str">
        <f>IMAGE("https://gymvisual.com/19331-catalog_default/dumbbell-deadlift.jpg",4,500,500)</f>
        <v/>
      </c>
      <c r="C1446" s="30">
        <v>1445.0</v>
      </c>
      <c r="D1446" s="16" t="s">
        <v>2007</v>
      </c>
      <c r="E1446" s="16" t="s">
        <v>184</v>
      </c>
      <c r="F1446" s="16" t="s">
        <v>192</v>
      </c>
      <c r="G1446" s="16" t="s">
        <v>222</v>
      </c>
      <c r="H1446" s="16" t="s">
        <v>189</v>
      </c>
      <c r="I1446" s="16" t="s">
        <v>190</v>
      </c>
    </row>
    <row r="1447" ht="242.25" customHeight="1">
      <c r="A1447" s="32" t="b">
        <v>0</v>
      </c>
      <c r="B1447" s="32" t="str">
        <f>IMAGE("https://gymvisual.com/11023-catalog_default/dumbbell-deadlift-female.jpg",4,500,500)</f>
        <v/>
      </c>
      <c r="C1447" s="30">
        <v>1446.0</v>
      </c>
      <c r="D1447" s="16" t="s">
        <v>2008</v>
      </c>
      <c r="E1447" s="16" t="s">
        <v>184</v>
      </c>
      <c r="F1447" s="16" t="s">
        <v>294</v>
      </c>
      <c r="G1447" s="16" t="s">
        <v>222</v>
      </c>
      <c r="H1447" s="16" t="s">
        <v>187</v>
      </c>
      <c r="I1447" s="16" t="s">
        <v>482</v>
      </c>
    </row>
    <row r="1448" ht="242.25" customHeight="1">
      <c r="A1448" s="32" t="b">
        <v>0</v>
      </c>
      <c r="B1448" s="32" t="str">
        <f>IMAGE("https://gymvisual.com/20724-catalog_default/dumbbell-deadlift-neutral-grip.jpg",4,500,500)</f>
        <v/>
      </c>
      <c r="C1448" s="30">
        <v>1447.0</v>
      </c>
      <c r="D1448" s="16" t="s">
        <v>2009</v>
      </c>
      <c r="E1448" s="16" t="s">
        <v>184</v>
      </c>
      <c r="F1448" s="16" t="s">
        <v>294</v>
      </c>
      <c r="G1448" s="16" t="s">
        <v>222</v>
      </c>
      <c r="H1448" s="16" t="s">
        <v>2010</v>
      </c>
      <c r="I1448" s="16" t="s">
        <v>314</v>
      </c>
    </row>
    <row r="1449" ht="242.25" customHeight="1">
      <c r="A1449" s="32" t="b">
        <v>0</v>
      </c>
      <c r="B1449" s="32" t="str">
        <f>IMAGE("https://gymvisual.com/22538-catalog_default/dumbbell-deadlift-version-2-male.jpg",4,500,500)</f>
        <v/>
      </c>
      <c r="C1449" s="30">
        <v>1448.0</v>
      </c>
      <c r="D1449" s="16" t="s">
        <v>2011</v>
      </c>
      <c r="E1449" s="16" t="s">
        <v>184</v>
      </c>
      <c r="F1449" s="16" t="s">
        <v>185</v>
      </c>
      <c r="G1449" s="16" t="s">
        <v>222</v>
      </c>
      <c r="H1449" s="16" t="s">
        <v>220</v>
      </c>
      <c r="I1449" s="16" t="s">
        <v>220</v>
      </c>
    </row>
    <row r="1450" ht="242.25" customHeight="1">
      <c r="A1450" s="32" t="b">
        <v>0</v>
      </c>
      <c r="B1450" s="32" t="str">
        <f>IMAGE("https://gymvisual.com/21028-catalog_default/dumbbell-deadlift-bent-over-row.jpg",4,500,500)</f>
        <v/>
      </c>
      <c r="C1450" s="30">
        <v>1449.0</v>
      </c>
      <c r="D1450" s="16" t="s">
        <v>2012</v>
      </c>
      <c r="E1450" s="16" t="s">
        <v>184</v>
      </c>
      <c r="F1450" s="16" t="s">
        <v>192</v>
      </c>
      <c r="G1450" s="16" t="s">
        <v>222</v>
      </c>
      <c r="H1450" s="16" t="s">
        <v>220</v>
      </c>
      <c r="I1450" s="16" t="s">
        <v>220</v>
      </c>
    </row>
    <row r="1451" ht="242.25" customHeight="1">
      <c r="A1451" s="32" t="b">
        <v>0</v>
      </c>
      <c r="B1451" s="32" t="str">
        <f>IMAGE("https://gymvisual.com/6798-catalog_default/dumbbell-decline-bench-lunge.jpg",4,500,500)</f>
        <v/>
      </c>
      <c r="C1451" s="30">
        <v>1450.0</v>
      </c>
      <c r="D1451" s="16" t="s">
        <v>2013</v>
      </c>
      <c r="E1451" s="16" t="s">
        <v>184</v>
      </c>
      <c r="F1451" s="16" t="s">
        <v>285</v>
      </c>
      <c r="G1451" s="16" t="s">
        <v>222</v>
      </c>
      <c r="H1451" s="16" t="s">
        <v>220</v>
      </c>
      <c r="I1451" s="16" t="s">
        <v>220</v>
      </c>
    </row>
    <row r="1452" ht="242.25" customHeight="1">
      <c r="A1452" s="32" t="b">
        <v>0</v>
      </c>
      <c r="B1452" s="32" t="str">
        <f>IMAGE("https://gymvisual.com/19333-catalog_default/3-4-sit-up.jpg",4,500,500)</f>
        <v/>
      </c>
      <c r="C1452" s="30">
        <v>1451.0</v>
      </c>
      <c r="D1452" s="16" t="s">
        <v>2014</v>
      </c>
      <c r="E1452" s="16" t="s">
        <v>184</v>
      </c>
      <c r="F1452" s="16" t="s">
        <v>234</v>
      </c>
      <c r="G1452" s="16" t="s">
        <v>222</v>
      </c>
      <c r="H1452" s="16" t="s">
        <v>347</v>
      </c>
      <c r="I1452" s="16" t="s">
        <v>382</v>
      </c>
    </row>
    <row r="1453" ht="242.25" customHeight="1">
      <c r="A1453" s="32" t="b">
        <v>0</v>
      </c>
      <c r="B1453" s="32" t="str">
        <f>IMAGE("https://gymvisual.com/10981-catalog_default/dumbbell-decline-bench-press-female.jpg",4,500,500)</f>
        <v/>
      </c>
      <c r="C1453" s="30">
        <v>1452.0</v>
      </c>
      <c r="D1453" s="16" t="s">
        <v>2015</v>
      </c>
      <c r="E1453" s="16" t="s">
        <v>184</v>
      </c>
      <c r="F1453" s="16" t="s">
        <v>234</v>
      </c>
      <c r="G1453" s="16" t="s">
        <v>222</v>
      </c>
      <c r="H1453" s="16" t="s">
        <v>347</v>
      </c>
      <c r="I1453" s="16" t="s">
        <v>382</v>
      </c>
    </row>
    <row r="1454" ht="242.25" customHeight="1">
      <c r="A1454" s="32" t="b">
        <v>0</v>
      </c>
      <c r="B1454" s="32" t="str">
        <f>IMAGE("https://gymvisual.com/20736-catalog_default/3-4-sit-up.jpg",4,500,500)</f>
        <v/>
      </c>
      <c r="C1454" s="30">
        <v>1453.0</v>
      </c>
      <c r="D1454" s="16" t="s">
        <v>2016</v>
      </c>
      <c r="E1454" s="16" t="s">
        <v>184</v>
      </c>
      <c r="F1454" s="16" t="s">
        <v>234</v>
      </c>
      <c r="G1454" s="16" t="s">
        <v>222</v>
      </c>
      <c r="H1454" s="16" t="s">
        <v>347</v>
      </c>
      <c r="I1454" s="16" t="s">
        <v>420</v>
      </c>
    </row>
    <row r="1455" ht="242.25" customHeight="1">
      <c r="A1455" s="32" t="b">
        <v>0</v>
      </c>
      <c r="B1455" s="32" t="str">
        <f>IMAGE("https://gymvisual.com/929-catalog_default/3-4-sit-up.jpg",4,500,500)</f>
        <v/>
      </c>
      <c r="C1455" s="30">
        <v>1454.0</v>
      </c>
      <c r="D1455" s="16" t="s">
        <v>2017</v>
      </c>
      <c r="E1455" s="16" t="s">
        <v>184</v>
      </c>
      <c r="F1455" s="16" t="s">
        <v>234</v>
      </c>
      <c r="G1455" s="16" t="s">
        <v>222</v>
      </c>
      <c r="H1455" s="16" t="s">
        <v>347</v>
      </c>
      <c r="I1455" s="16" t="s">
        <v>382</v>
      </c>
    </row>
    <row r="1456" ht="242.25" customHeight="1">
      <c r="A1456" s="32" t="b">
        <v>0</v>
      </c>
      <c r="B1456" s="32" t="str">
        <f>IMAGE("https://gymvisual.com/22215-catalog_default/dumbbell-decline-lying-leg-curl.jpg",4,500,500)</f>
        <v/>
      </c>
      <c r="C1456" s="30">
        <v>1455.0</v>
      </c>
      <c r="D1456" s="16" t="s">
        <v>2018</v>
      </c>
      <c r="E1456" s="16" t="s">
        <v>184</v>
      </c>
      <c r="F1456" s="16" t="s">
        <v>285</v>
      </c>
      <c r="G1456" s="16" t="s">
        <v>222</v>
      </c>
      <c r="H1456" s="16" t="s">
        <v>220</v>
      </c>
      <c r="I1456" s="16" t="s">
        <v>220</v>
      </c>
    </row>
    <row r="1457" ht="242.25" customHeight="1">
      <c r="A1457" s="32" t="b">
        <v>0</v>
      </c>
      <c r="B1457" s="32" t="str">
        <f>IMAGE("https://gymvisual.com/5965-catalog_default/dumbbell-decline-one-arm-fly.jpg",4,500,500)</f>
        <v/>
      </c>
      <c r="C1457" s="30">
        <v>1456.0</v>
      </c>
      <c r="D1457" s="16" t="s">
        <v>2019</v>
      </c>
      <c r="E1457" s="16" t="s">
        <v>184</v>
      </c>
      <c r="F1457" s="16" t="s">
        <v>234</v>
      </c>
      <c r="G1457" s="16" t="s">
        <v>222</v>
      </c>
      <c r="H1457" s="16" t="s">
        <v>347</v>
      </c>
      <c r="I1457" s="16" t="s">
        <v>420</v>
      </c>
    </row>
    <row r="1458" ht="242.25" customHeight="1">
      <c r="A1458" s="32" t="b">
        <v>0</v>
      </c>
      <c r="B1458" s="32" t="str">
        <f>IMAGE("https://gymvisual.com/7092-catalog_default/dumbbell-decline-one-arm-hammer-press.jpg",4,500,500)</f>
        <v/>
      </c>
      <c r="C1458" s="30">
        <v>1457.0</v>
      </c>
      <c r="D1458" s="16" t="s">
        <v>2020</v>
      </c>
      <c r="E1458" s="16" t="s">
        <v>184</v>
      </c>
      <c r="F1458" s="16" t="s">
        <v>219</v>
      </c>
      <c r="G1458" s="16" t="s">
        <v>222</v>
      </c>
      <c r="H1458" s="16" t="s">
        <v>220</v>
      </c>
      <c r="I1458" s="16" t="s">
        <v>220</v>
      </c>
    </row>
    <row r="1459" ht="242.25" customHeight="1">
      <c r="A1459" s="32" t="b">
        <v>0</v>
      </c>
      <c r="B1459" s="32" t="str">
        <f>IMAGE("https://gymvisual.com/22217-catalog_default/dumbbell-decline-overhead-sit-up.jpg",4,500,500)</f>
        <v/>
      </c>
      <c r="C1459" s="30">
        <v>1458.0</v>
      </c>
      <c r="D1459" s="16" t="s">
        <v>2021</v>
      </c>
      <c r="E1459" s="16" t="s">
        <v>184</v>
      </c>
      <c r="F1459" s="16" t="s">
        <v>254</v>
      </c>
      <c r="G1459" s="16" t="s">
        <v>222</v>
      </c>
      <c r="H1459" s="16" t="s">
        <v>220</v>
      </c>
      <c r="I1459" s="16" t="s">
        <v>220</v>
      </c>
    </row>
    <row r="1460" ht="242.25" customHeight="1">
      <c r="A1460" s="32" t="b">
        <v>0</v>
      </c>
      <c r="B1460" s="32" t="str">
        <f>IMAGE("https://gymvisual.com/935-catalog_default/3-4-sit-up.jpg",4,500,500)</f>
        <v/>
      </c>
      <c r="C1460" s="30">
        <v>1459.0</v>
      </c>
      <c r="D1460" s="16" t="s">
        <v>2022</v>
      </c>
      <c r="E1460" s="16" t="s">
        <v>184</v>
      </c>
      <c r="F1460" s="16" t="s">
        <v>192</v>
      </c>
      <c r="G1460" s="16" t="s">
        <v>222</v>
      </c>
      <c r="H1460" s="16" t="s">
        <v>238</v>
      </c>
      <c r="I1460" s="16" t="s">
        <v>239</v>
      </c>
    </row>
    <row r="1461" ht="242.25" customHeight="1">
      <c r="A1461" s="32" t="b">
        <v>0</v>
      </c>
      <c r="B1461" s="32" t="str">
        <f>IMAGE("https://gymvisual.com/20620-catalog_default/3-4-sit-up.jpg",4,500,500)</f>
        <v/>
      </c>
      <c r="C1461" s="30">
        <v>1460.0</v>
      </c>
      <c r="D1461" s="16" t="s">
        <v>2023</v>
      </c>
      <c r="E1461" s="16" t="s">
        <v>184</v>
      </c>
      <c r="F1461" s="16" t="s">
        <v>192</v>
      </c>
      <c r="G1461" s="16" t="s">
        <v>222</v>
      </c>
      <c r="H1461" s="16" t="s">
        <v>238</v>
      </c>
      <c r="I1461" s="16" t="s">
        <v>1621</v>
      </c>
    </row>
    <row r="1462" ht="242.25" customHeight="1">
      <c r="A1462" s="32" t="b">
        <v>0</v>
      </c>
      <c r="B1462" s="32" t="str">
        <f>IMAGE("https://gymvisual.com/22219-catalog_default/dumbbell-decline-sit-up.jpg",4,500,500)</f>
        <v/>
      </c>
      <c r="C1462" s="30">
        <v>1461.0</v>
      </c>
      <c r="D1462" s="16" t="s">
        <v>2024</v>
      </c>
      <c r="E1462" s="16" t="s">
        <v>184</v>
      </c>
      <c r="F1462" s="16" t="s">
        <v>254</v>
      </c>
      <c r="G1462" s="16" t="s">
        <v>222</v>
      </c>
      <c r="H1462" s="16" t="s">
        <v>220</v>
      </c>
      <c r="I1462" s="16" t="s">
        <v>220</v>
      </c>
    </row>
    <row r="1463" ht="242.25" customHeight="1">
      <c r="A1463" s="32" t="b">
        <v>0</v>
      </c>
      <c r="B1463" s="32" t="str">
        <f>IMAGE("https://gymvisual.com/938-catalog_default/3-4-sit-up.jpg",4,500,500)</f>
        <v/>
      </c>
      <c r="C1463" s="30">
        <v>1462.0</v>
      </c>
      <c r="D1463" s="16" t="s">
        <v>2025</v>
      </c>
      <c r="E1463" s="16" t="s">
        <v>184</v>
      </c>
      <c r="F1463" s="16" t="s">
        <v>219</v>
      </c>
      <c r="G1463" s="16" t="s">
        <v>222</v>
      </c>
      <c r="H1463" s="16" t="s">
        <v>223</v>
      </c>
      <c r="I1463" s="16" t="s">
        <v>220</v>
      </c>
    </row>
    <row r="1464" ht="242.25" customHeight="1">
      <c r="A1464" s="32" t="b">
        <v>0</v>
      </c>
      <c r="B1464" s="32" t="str">
        <f>IMAGE("https://gymvisual.com/11516-catalog_default/dumbbell-decline-triceps-extension-female.jpg",4,500,500)</f>
        <v/>
      </c>
      <c r="C1464" s="30">
        <v>1463.0</v>
      </c>
      <c r="D1464" s="16" t="s">
        <v>2026</v>
      </c>
      <c r="E1464" s="16" t="s">
        <v>184</v>
      </c>
      <c r="F1464" s="16" t="s">
        <v>219</v>
      </c>
      <c r="G1464" s="16" t="s">
        <v>222</v>
      </c>
      <c r="H1464" s="16" t="s">
        <v>220</v>
      </c>
      <c r="I1464" s="16" t="s">
        <v>220</v>
      </c>
    </row>
    <row r="1465" ht="242.25" customHeight="1">
      <c r="A1465" s="32" t="b">
        <v>0</v>
      </c>
      <c r="B1465" s="32" t="str">
        <f>IMAGE("https://gymvisual.com/941-catalog_default/3-4-sit-up.jpg",4,500,500)</f>
        <v/>
      </c>
      <c r="C1465" s="30">
        <v>1464.0</v>
      </c>
      <c r="D1465" s="16" t="s">
        <v>2027</v>
      </c>
      <c r="E1465" s="16" t="s">
        <v>184</v>
      </c>
      <c r="F1465" s="16" t="s">
        <v>234</v>
      </c>
      <c r="G1465" s="16" t="s">
        <v>222</v>
      </c>
      <c r="H1465" s="16" t="s">
        <v>347</v>
      </c>
      <c r="I1465" s="16" t="s">
        <v>420</v>
      </c>
    </row>
    <row r="1466" ht="242.25" customHeight="1">
      <c r="A1466" s="32" t="b">
        <v>0</v>
      </c>
      <c r="B1466" s="32" t="str">
        <f>IMAGE("https://gymvisual.com/11309-catalog_default/dumbbell-decline-twist-fly-female.jpg",4,500,500)</f>
        <v/>
      </c>
      <c r="C1466" s="30">
        <v>1465.0</v>
      </c>
      <c r="D1466" s="16" t="s">
        <v>2028</v>
      </c>
      <c r="E1466" s="16" t="s">
        <v>184</v>
      </c>
      <c r="F1466" s="16" t="s">
        <v>234</v>
      </c>
      <c r="G1466" s="16" t="s">
        <v>222</v>
      </c>
      <c r="H1466" s="16" t="s">
        <v>347</v>
      </c>
      <c r="I1466" s="16" t="s">
        <v>420</v>
      </c>
    </row>
    <row r="1467" ht="242.25" customHeight="1">
      <c r="A1467" s="32" t="b">
        <v>0</v>
      </c>
      <c r="B1467" s="32" t="str">
        <f>IMAGE("https://gymvisual.com/22221-catalog_default/dumbbell-deep-push-up-and-renegade-row.jpg",4,500,500)</f>
        <v/>
      </c>
      <c r="C1467" s="30">
        <v>1466.0</v>
      </c>
      <c r="D1467" s="16" t="s">
        <v>2029</v>
      </c>
      <c r="E1467" s="16" t="s">
        <v>184</v>
      </c>
      <c r="F1467" s="16" t="s">
        <v>234</v>
      </c>
      <c r="G1467" s="16" t="s">
        <v>222</v>
      </c>
      <c r="H1467" s="16" t="s">
        <v>220</v>
      </c>
      <c r="I1467" s="16" t="s">
        <v>220</v>
      </c>
    </row>
    <row r="1468" ht="242.25" customHeight="1">
      <c r="A1468" s="32" t="b">
        <v>0</v>
      </c>
      <c r="B1468" s="32" t="str">
        <f>IMAGE("https://gymvisual.com/14769-catalog_default/dumbbell-drag-bicep-curl.jpg",4,500,500)</f>
        <v/>
      </c>
      <c r="C1468" s="30">
        <v>1467.0</v>
      </c>
      <c r="D1468" s="16" t="s">
        <v>2030</v>
      </c>
      <c r="E1468" s="16" t="s">
        <v>184</v>
      </c>
      <c r="F1468" s="16" t="s">
        <v>829</v>
      </c>
      <c r="G1468" s="16" t="s">
        <v>222</v>
      </c>
      <c r="H1468" s="16" t="s">
        <v>236</v>
      </c>
      <c r="I1468" s="16" t="s">
        <v>292</v>
      </c>
    </row>
    <row r="1469" ht="242.25" customHeight="1">
      <c r="A1469" s="32" t="b">
        <v>0</v>
      </c>
      <c r="B1469" s="32" t="str">
        <f>IMAGE("https://gymvisual.com/25665-catalog_default/dumbbell-empty-can-exercise-male.jpg",4,500,500)</f>
        <v/>
      </c>
      <c r="C1469" s="30">
        <v>1468.0</v>
      </c>
      <c r="D1469" s="16" t="s">
        <v>2031</v>
      </c>
      <c r="E1469" s="16" t="s">
        <v>184</v>
      </c>
      <c r="F1469" s="16" t="s">
        <v>228</v>
      </c>
      <c r="G1469" s="16" t="s">
        <v>222</v>
      </c>
      <c r="H1469" s="16" t="s">
        <v>220</v>
      </c>
      <c r="I1469" s="16" t="s">
        <v>220</v>
      </c>
    </row>
    <row r="1470" ht="242.25" customHeight="1">
      <c r="A1470" s="32" t="b">
        <v>0</v>
      </c>
      <c r="B1470" s="32" t="str">
        <f>IMAGE("https://gymvisual.com/14763-catalog_default/dumbbell-external-rotation.jpg",4,500,500)</f>
        <v/>
      </c>
      <c r="C1470" s="30">
        <v>1469.0</v>
      </c>
      <c r="D1470" s="16" t="s">
        <v>2032</v>
      </c>
      <c r="E1470" s="16" t="s">
        <v>184</v>
      </c>
      <c r="F1470" s="16" t="s">
        <v>192</v>
      </c>
      <c r="G1470" s="16" t="s">
        <v>222</v>
      </c>
      <c r="H1470" s="16" t="s">
        <v>1607</v>
      </c>
      <c r="I1470" s="16" t="s">
        <v>408</v>
      </c>
    </row>
    <row r="1471" ht="242.25" customHeight="1">
      <c r="A1471" s="32" t="b">
        <v>0</v>
      </c>
      <c r="B1471" s="32" t="str">
        <f>IMAGE("https://gymvisual.com/17951-catalog_default/dumbbell-face-down-lying-shoulder-press-male.jpg",4,500,500)</f>
        <v/>
      </c>
      <c r="C1471" s="30">
        <v>1470.0</v>
      </c>
      <c r="D1471" s="16" t="s">
        <v>2033</v>
      </c>
      <c r="E1471" s="16" t="s">
        <v>184</v>
      </c>
      <c r="F1471" s="16" t="s">
        <v>228</v>
      </c>
      <c r="G1471" s="16" t="s">
        <v>222</v>
      </c>
      <c r="H1471" s="16" t="s">
        <v>220</v>
      </c>
      <c r="I1471" s="16" t="s">
        <v>220</v>
      </c>
    </row>
    <row r="1472" ht="242.25" customHeight="1">
      <c r="A1472" s="32" t="b">
        <v>0</v>
      </c>
      <c r="B1472" s="32" t="str">
        <f>IMAGE("https://gymvisual.com/12179-catalog_default/dumbbell-farmers-carry.jpg",4,500,500)</f>
        <v/>
      </c>
      <c r="C1472" s="30">
        <v>1471.0</v>
      </c>
      <c r="D1472" s="16" t="s">
        <v>2034</v>
      </c>
      <c r="E1472" s="16" t="s">
        <v>184</v>
      </c>
      <c r="F1472" s="16" t="s">
        <v>285</v>
      </c>
      <c r="G1472" s="16" t="s">
        <v>222</v>
      </c>
      <c r="H1472" s="16" t="s">
        <v>220</v>
      </c>
      <c r="I1472" s="16" t="s">
        <v>220</v>
      </c>
    </row>
    <row r="1473" ht="242.25" customHeight="1">
      <c r="A1473" s="32" t="b">
        <v>0</v>
      </c>
      <c r="B1473" s="32" t="str">
        <f>IMAGE("https://gymvisual.com/6450-catalog_default/dumbbell-finger-curls.jpg",4,500,500)</f>
        <v/>
      </c>
      <c r="C1473" s="30">
        <v>1472.0</v>
      </c>
      <c r="D1473" s="16" t="s">
        <v>2035</v>
      </c>
      <c r="E1473" s="16" t="s">
        <v>184</v>
      </c>
      <c r="F1473" s="16" t="s">
        <v>214</v>
      </c>
      <c r="G1473" s="16" t="s">
        <v>222</v>
      </c>
      <c r="H1473" s="16" t="s">
        <v>220</v>
      </c>
      <c r="I1473" s="16" t="s">
        <v>220</v>
      </c>
    </row>
    <row r="1474" ht="242.25" customHeight="1">
      <c r="A1474" s="32" t="b">
        <v>0</v>
      </c>
      <c r="B1474" s="32" t="str">
        <f>IMAGE("https://gymvisual.com/13421-catalog_default/dumbbell-finger-curls-female.jpg",4,500,500)</f>
        <v/>
      </c>
      <c r="C1474" s="30">
        <v>1473.0</v>
      </c>
      <c r="D1474" s="16" t="s">
        <v>2036</v>
      </c>
      <c r="E1474" s="16" t="s">
        <v>184</v>
      </c>
      <c r="F1474" s="16" t="s">
        <v>214</v>
      </c>
      <c r="G1474" s="16" t="s">
        <v>222</v>
      </c>
      <c r="H1474" s="16" t="s">
        <v>220</v>
      </c>
      <c r="I1474" s="16" t="s">
        <v>220</v>
      </c>
    </row>
    <row r="1475" ht="242.25" customHeight="1">
      <c r="A1475" s="32" t="b">
        <v>0</v>
      </c>
      <c r="B1475" s="32" t="str">
        <f>IMAGE("https://gymvisual.com/17331-catalog_default/dumbbell-flat-around-the-world.jpg",4,500,500)</f>
        <v/>
      </c>
      <c r="C1475" s="30">
        <v>1474.0</v>
      </c>
      <c r="D1475" s="16" t="s">
        <v>2037</v>
      </c>
      <c r="E1475" s="16" t="s">
        <v>184</v>
      </c>
      <c r="F1475" s="16" t="s">
        <v>1168</v>
      </c>
      <c r="G1475" s="16" t="s">
        <v>222</v>
      </c>
      <c r="H1475" s="16" t="s">
        <v>472</v>
      </c>
      <c r="I1475" s="16" t="s">
        <v>2038</v>
      </c>
    </row>
    <row r="1476" ht="242.25" customHeight="1">
      <c r="A1476" s="32" t="b">
        <v>0</v>
      </c>
      <c r="B1476" s="32" t="str">
        <f>IMAGE("https://gymvisual.com/18712-catalog_default/dumbbell-floor-fly.jpg",4,500,500)</f>
        <v/>
      </c>
      <c r="C1476" s="30">
        <v>1475.0</v>
      </c>
      <c r="D1476" s="16" t="s">
        <v>2039</v>
      </c>
      <c r="E1476" s="16" t="s">
        <v>184</v>
      </c>
      <c r="F1476" s="16" t="s">
        <v>234</v>
      </c>
      <c r="G1476" s="16" t="s">
        <v>222</v>
      </c>
      <c r="H1476" s="16" t="s">
        <v>235</v>
      </c>
      <c r="I1476" s="16" t="s">
        <v>236</v>
      </c>
    </row>
    <row r="1477" ht="242.25" customHeight="1">
      <c r="A1477" s="32" t="b">
        <v>0</v>
      </c>
      <c r="B1477" s="32" t="str">
        <f>IMAGE("https://gymvisual.com/22223-catalog_default/dumbbell-floor-wiper.jpg",4,500,500)</f>
        <v/>
      </c>
      <c r="C1477" s="30">
        <v>1476.0</v>
      </c>
      <c r="D1477" s="16" t="s">
        <v>2040</v>
      </c>
      <c r="E1477" s="16" t="s">
        <v>184</v>
      </c>
      <c r="F1477" s="16" t="s">
        <v>254</v>
      </c>
      <c r="G1477" s="16" t="s">
        <v>222</v>
      </c>
      <c r="H1477" s="16" t="s">
        <v>220</v>
      </c>
      <c r="I1477" s="16" t="s">
        <v>220</v>
      </c>
    </row>
    <row r="1478" ht="242.25" customHeight="1">
      <c r="A1478" s="32" t="b">
        <v>0</v>
      </c>
      <c r="B1478" s="32" t="str">
        <f>IMAGE("https://gymvisual.com/10248-catalog_default/3-4-sit-up.jpg",4,500,500)</f>
        <v/>
      </c>
      <c r="C1478" s="30">
        <v>1477.0</v>
      </c>
      <c r="D1478" s="16" t="s">
        <v>178</v>
      </c>
      <c r="E1478" s="16" t="s">
        <v>184</v>
      </c>
      <c r="F1478" s="16" t="s">
        <v>234</v>
      </c>
      <c r="G1478" s="16" t="s">
        <v>222</v>
      </c>
      <c r="H1478" s="16" t="s">
        <v>235</v>
      </c>
      <c r="I1478" s="16" t="s">
        <v>236</v>
      </c>
    </row>
    <row r="1479" ht="242.25" customHeight="1">
      <c r="A1479" s="32" t="b">
        <v>0</v>
      </c>
      <c r="B1479" s="32" t="str">
        <f>IMAGE("https://gymvisual.com/9673-catalog_default/dumbbell-fly-female.jpg",4,500,500)</f>
        <v/>
      </c>
      <c r="C1479" s="30">
        <v>1478.0</v>
      </c>
      <c r="D1479" s="16" t="s">
        <v>2041</v>
      </c>
      <c r="E1479" s="16" t="s">
        <v>184</v>
      </c>
      <c r="F1479" s="16" t="s">
        <v>234</v>
      </c>
      <c r="G1479" s="16" t="s">
        <v>222</v>
      </c>
      <c r="H1479" s="16" t="s">
        <v>235</v>
      </c>
      <c r="I1479" s="16" t="s">
        <v>236</v>
      </c>
    </row>
    <row r="1480" ht="242.25" customHeight="1">
      <c r="A1480" s="32" t="b">
        <v>0</v>
      </c>
      <c r="B1480" s="32" t="str">
        <f>IMAGE("https://gymvisual.com/12747-catalog_default/dumbbell-fly-knees-at-90-degrees.jpg",4,500,500)</f>
        <v/>
      </c>
      <c r="C1480" s="30">
        <v>1479.0</v>
      </c>
      <c r="D1480" s="16" t="s">
        <v>2042</v>
      </c>
      <c r="E1480" s="16" t="s">
        <v>184</v>
      </c>
      <c r="F1480" s="16" t="s">
        <v>234</v>
      </c>
      <c r="G1480" s="16" t="s">
        <v>222</v>
      </c>
      <c r="H1480" s="16" t="s">
        <v>235</v>
      </c>
      <c r="I1480" s="16" t="s">
        <v>236</v>
      </c>
    </row>
    <row r="1481" ht="242.25" customHeight="1">
      <c r="A1481" s="32" t="b">
        <v>0</v>
      </c>
      <c r="B1481" s="32" t="str">
        <f>IMAGE("https://gymvisual.com/5966-catalog_default/dumbbell-fly-on-exercise-ball.jpg",4,500,500)</f>
        <v/>
      </c>
      <c r="C1481" s="30">
        <v>1480.0</v>
      </c>
      <c r="D1481" s="16" t="s">
        <v>2043</v>
      </c>
      <c r="E1481" s="16" t="s">
        <v>184</v>
      </c>
      <c r="F1481" s="16" t="s">
        <v>234</v>
      </c>
      <c r="G1481" s="16" t="s">
        <v>222</v>
      </c>
      <c r="H1481" s="16" t="s">
        <v>347</v>
      </c>
      <c r="I1481" s="16" t="s">
        <v>420</v>
      </c>
    </row>
    <row r="1482" ht="242.25" customHeight="1">
      <c r="B1482" s="32" t="str">
        <f>IMAGE("https://gymvisual.com/11390-catalog_default/dumbbell-fly-on-exercise-ball-female.jpg",4,500,500)</f>
        <v/>
      </c>
      <c r="C1482" s="30">
        <v>1481.0</v>
      </c>
      <c r="D1482" s="16" t="s">
        <v>2044</v>
      </c>
      <c r="E1482" s="16" t="s">
        <v>184</v>
      </c>
      <c r="F1482" s="16" t="s">
        <v>234</v>
      </c>
      <c r="G1482" s="16" t="s">
        <v>1929</v>
      </c>
      <c r="H1482" s="16" t="s">
        <v>235</v>
      </c>
      <c r="I1482" s="16" t="s">
        <v>236</v>
      </c>
    </row>
    <row r="1483" ht="242.25" customHeight="1">
      <c r="A1483" s="32" t="b">
        <v>0</v>
      </c>
      <c r="B1483" s="32" t="str">
        <f>IMAGE("https://gymvisual.com/4425-catalog_default/dumbbell-forward-leaning-lunge.jpg",4,500,500)</f>
        <v/>
      </c>
      <c r="C1483" s="30">
        <v>1482.0</v>
      </c>
      <c r="D1483" s="16" t="s">
        <v>2045</v>
      </c>
      <c r="E1483" s="16" t="s">
        <v>184</v>
      </c>
      <c r="F1483" s="16" t="s">
        <v>285</v>
      </c>
      <c r="G1483" s="16" t="s">
        <v>222</v>
      </c>
      <c r="H1483" s="16" t="s">
        <v>189</v>
      </c>
      <c r="I1483" s="16" t="s">
        <v>2046</v>
      </c>
    </row>
    <row r="1484" ht="242.25" customHeight="1">
      <c r="A1484" s="32" t="b">
        <v>0</v>
      </c>
      <c r="B1484" s="32" t="str">
        <f>IMAGE("https://gymvisual.com/7451-catalog_default/dumbbell-forward-lunge-triceps-extension.jpg",4,500,500)</f>
        <v/>
      </c>
      <c r="C1484" s="30">
        <v>1483.0</v>
      </c>
      <c r="D1484" s="16" t="s">
        <v>2047</v>
      </c>
      <c r="E1484" s="16" t="s">
        <v>184</v>
      </c>
      <c r="F1484" s="16" t="s">
        <v>219</v>
      </c>
      <c r="G1484" s="16" t="s">
        <v>222</v>
      </c>
      <c r="H1484" s="16" t="s">
        <v>220</v>
      </c>
      <c r="I1484" s="16" t="s">
        <v>220</v>
      </c>
    </row>
    <row r="1485" ht="242.25" customHeight="1">
      <c r="A1485" s="32" t="b">
        <v>0</v>
      </c>
      <c r="B1485" s="32" t="str">
        <f>IMAGE("https://gymvisual.com/19600-catalog_default/dumbbell-front-plank-arm-leg-raise.jpg",4,500,500)</f>
        <v/>
      </c>
      <c r="C1485" s="30">
        <v>1484.0</v>
      </c>
      <c r="D1485" s="16" t="s">
        <v>2048</v>
      </c>
      <c r="E1485" s="16" t="s">
        <v>184</v>
      </c>
      <c r="F1485" s="16" t="s">
        <v>254</v>
      </c>
      <c r="G1485" s="16" t="s">
        <v>222</v>
      </c>
      <c r="H1485" s="16" t="s">
        <v>220</v>
      </c>
      <c r="I1485" s="16" t="s">
        <v>220</v>
      </c>
    </row>
    <row r="1486" ht="242.25" customHeight="1">
      <c r="A1486" s="32" t="b">
        <v>0</v>
      </c>
      <c r="B1486" s="32" t="str">
        <f>IMAGE("https://gymvisual.com/19590-catalog_default/dumbbell-front-plank-arm-raise.jpg",4,500,500)</f>
        <v/>
      </c>
      <c r="C1486" s="30">
        <v>1485.0</v>
      </c>
      <c r="D1486" s="16" t="s">
        <v>2049</v>
      </c>
      <c r="E1486" s="16" t="s">
        <v>184</v>
      </c>
      <c r="F1486" s="16" t="s">
        <v>254</v>
      </c>
      <c r="G1486" s="16" t="s">
        <v>222</v>
      </c>
      <c r="H1486" s="16" t="s">
        <v>220</v>
      </c>
      <c r="I1486" s="16" t="s">
        <v>220</v>
      </c>
    </row>
    <row r="1487" ht="242.25" customHeight="1">
      <c r="A1487" s="32" t="b">
        <v>0</v>
      </c>
      <c r="B1487" s="32" t="str">
        <f>IMAGE("https://gymvisual.com/22091-catalog_default/dumbbell-front-rack-lunge.jpg",4,500,500)</f>
        <v/>
      </c>
      <c r="C1487" s="30">
        <v>1486.0</v>
      </c>
      <c r="D1487" s="16" t="s">
        <v>2050</v>
      </c>
      <c r="E1487" s="16" t="s">
        <v>184</v>
      </c>
      <c r="F1487" s="16" t="s">
        <v>285</v>
      </c>
      <c r="G1487" s="16" t="s">
        <v>222</v>
      </c>
      <c r="H1487" s="16" t="s">
        <v>189</v>
      </c>
      <c r="I1487" s="16" t="s">
        <v>190</v>
      </c>
    </row>
    <row r="1488" ht="242.25" customHeight="1">
      <c r="A1488" s="32" t="b">
        <v>0</v>
      </c>
      <c r="B1488" s="32" t="str">
        <f>IMAGE("https://gymvisual.com/24920-catalog_default/3-4-sit-up.jpg",4,500,500)</f>
        <v/>
      </c>
      <c r="C1488" s="30">
        <v>1487.0</v>
      </c>
      <c r="D1488" s="16" t="s">
        <v>2051</v>
      </c>
      <c r="E1488" s="16" t="s">
        <v>184</v>
      </c>
      <c r="F1488" s="16" t="s">
        <v>228</v>
      </c>
      <c r="G1488" s="16" t="s">
        <v>222</v>
      </c>
      <c r="H1488" s="16" t="s">
        <v>229</v>
      </c>
      <c r="I1488" s="16" t="s">
        <v>244</v>
      </c>
    </row>
    <row r="1489" ht="242.25" customHeight="1">
      <c r="A1489" s="32" t="b">
        <v>0</v>
      </c>
      <c r="B1489" s="32" t="str">
        <f>IMAGE("https://gymvisual.com/9613-catalog_default/dumbbell-front-raise-female.jpg",4,500,500)</f>
        <v/>
      </c>
      <c r="C1489" s="30">
        <v>1488.0</v>
      </c>
      <c r="D1489" s="16" t="s">
        <v>2052</v>
      </c>
      <c r="E1489" s="16" t="s">
        <v>184</v>
      </c>
      <c r="F1489" s="16" t="s">
        <v>228</v>
      </c>
      <c r="G1489" s="16" t="s">
        <v>222</v>
      </c>
      <c r="H1489" s="16" t="s">
        <v>229</v>
      </c>
      <c r="I1489" s="16" t="s">
        <v>244</v>
      </c>
    </row>
    <row r="1490" ht="242.25" customHeight="1">
      <c r="A1490" s="32" t="b">
        <v>0</v>
      </c>
      <c r="B1490" s="32" t="str">
        <f>IMAGE("https://gymvisual.com/947-catalog_default/3-4-sit-up.jpg",4,500,500)</f>
        <v/>
      </c>
      <c r="C1490" s="30">
        <v>1489.0</v>
      </c>
      <c r="D1490" s="16" t="s">
        <v>2053</v>
      </c>
      <c r="E1490" s="16" t="s">
        <v>184</v>
      </c>
      <c r="F1490" s="16" t="s">
        <v>228</v>
      </c>
      <c r="G1490" s="16" t="s">
        <v>222</v>
      </c>
      <c r="H1490" s="16" t="s">
        <v>229</v>
      </c>
      <c r="I1490" s="16" t="s">
        <v>244</v>
      </c>
    </row>
    <row r="1491" ht="242.25" customHeight="1">
      <c r="A1491" s="32" t="b">
        <v>0</v>
      </c>
      <c r="B1491" s="32" t="str">
        <f>IMAGE("https://gymvisual.com/13892-catalog_default/dumbbell-front-raise-version-2-female.jpg",4,500,500)</f>
        <v/>
      </c>
      <c r="C1491" s="30">
        <v>1490.0</v>
      </c>
      <c r="D1491" s="16" t="s">
        <v>2054</v>
      </c>
      <c r="E1491" s="16" t="s">
        <v>184</v>
      </c>
      <c r="F1491" s="16" t="s">
        <v>228</v>
      </c>
      <c r="G1491" s="16" t="s">
        <v>222</v>
      </c>
      <c r="H1491" s="16" t="s">
        <v>220</v>
      </c>
      <c r="I1491" s="16" t="s">
        <v>220</v>
      </c>
    </row>
    <row r="1492" ht="242.25" customHeight="1">
      <c r="A1492" s="32" t="b">
        <v>0</v>
      </c>
      <c r="B1492" s="32" t="str">
        <f>IMAGE("https://gymvisual.com/13213-catalog_default/dumbbell-front-squat.jpg",4,500,500)</f>
        <v/>
      </c>
      <c r="C1492" s="30">
        <v>1491.0</v>
      </c>
      <c r="D1492" s="16" t="s">
        <v>2055</v>
      </c>
      <c r="E1492" s="16" t="s">
        <v>184</v>
      </c>
      <c r="F1492" s="16" t="s">
        <v>294</v>
      </c>
      <c r="G1492" s="16" t="s">
        <v>222</v>
      </c>
      <c r="H1492" s="16" t="s">
        <v>189</v>
      </c>
      <c r="I1492" s="16" t="s">
        <v>190</v>
      </c>
    </row>
    <row r="1493" ht="242.25" customHeight="1">
      <c r="A1493" s="32" t="b">
        <v>0</v>
      </c>
      <c r="B1493" s="32" t="str">
        <f>IMAGE("https://gymvisual.com/13277-catalog_default/dumbbell-front-squat-female.jpg",4,500,500)</f>
        <v/>
      </c>
      <c r="C1493" s="30">
        <v>1492.0</v>
      </c>
      <c r="D1493" s="16" t="s">
        <v>2056</v>
      </c>
      <c r="E1493" s="16" t="s">
        <v>184</v>
      </c>
      <c r="F1493" s="16" t="s">
        <v>294</v>
      </c>
      <c r="G1493" s="16" t="s">
        <v>222</v>
      </c>
      <c r="H1493" s="16" t="s">
        <v>189</v>
      </c>
      <c r="I1493" s="16" t="s">
        <v>190</v>
      </c>
    </row>
    <row r="1494" ht="242.25" customHeight="1">
      <c r="A1494" s="32" t="b">
        <v>0</v>
      </c>
      <c r="B1494" s="32" t="str">
        <f>IMAGE("https://gymvisual.com/953-catalog_default/3-4-sit-up.jpg",4,500,500)</f>
        <v/>
      </c>
      <c r="C1494" s="30">
        <v>1493.0</v>
      </c>
      <c r="D1494" s="16" t="s">
        <v>2057</v>
      </c>
      <c r="E1494" s="16" t="s">
        <v>184</v>
      </c>
      <c r="F1494" s="16" t="s">
        <v>228</v>
      </c>
      <c r="G1494" s="16" t="s">
        <v>222</v>
      </c>
      <c r="H1494" s="16" t="s">
        <v>454</v>
      </c>
      <c r="I1494" s="16" t="s">
        <v>885</v>
      </c>
    </row>
    <row r="1495" ht="242.25" customHeight="1">
      <c r="A1495" s="32" t="b">
        <v>0</v>
      </c>
      <c r="B1495" s="32" t="str">
        <f>IMAGE("https://gymvisual.com/11303-catalog_default/dumbbell-full-can-lateral-raise-female.jpg",4,500,500)</f>
        <v/>
      </c>
      <c r="C1495" s="30">
        <v>1494.0</v>
      </c>
      <c r="D1495" s="16" t="s">
        <v>2058</v>
      </c>
      <c r="E1495" s="16" t="s">
        <v>184</v>
      </c>
      <c r="F1495" s="16" t="s">
        <v>228</v>
      </c>
      <c r="G1495" s="16" t="s">
        <v>222</v>
      </c>
      <c r="H1495" s="16" t="s">
        <v>220</v>
      </c>
      <c r="I1495" s="16" t="s">
        <v>220</v>
      </c>
    </row>
    <row r="1496" ht="242.25" customHeight="1">
      <c r="A1496" s="32" t="b">
        <v>0</v>
      </c>
      <c r="B1496" s="32" t="str">
        <f>IMAGE("https://gymvisual.com/22628-catalog_default/dumbbell-full-swing.jpg",4,500,500)</f>
        <v/>
      </c>
      <c r="C1496" s="30">
        <v>1495.0</v>
      </c>
      <c r="D1496" s="16" t="s">
        <v>2059</v>
      </c>
      <c r="E1496" s="16" t="s">
        <v>184</v>
      </c>
      <c r="F1496" s="16" t="s">
        <v>185</v>
      </c>
      <c r="G1496" s="16" t="s">
        <v>222</v>
      </c>
      <c r="H1496" s="16" t="s">
        <v>2060</v>
      </c>
      <c r="I1496" s="16" t="s">
        <v>2061</v>
      </c>
    </row>
    <row r="1497" ht="242.25" customHeight="1">
      <c r="A1497" s="32" t="b">
        <v>0</v>
      </c>
      <c r="B1497" s="32" t="str">
        <f>IMAGE("https://gymvisual.com/13618-catalog_default/dumbbell-glute-bridge.jpg",4,500,500)</f>
        <v/>
      </c>
      <c r="C1497" s="30">
        <v>1496.0</v>
      </c>
      <c r="D1497" s="16" t="s">
        <v>2062</v>
      </c>
      <c r="E1497" s="16" t="s">
        <v>184</v>
      </c>
      <c r="F1497" s="16" t="s">
        <v>185</v>
      </c>
      <c r="G1497" s="16" t="s">
        <v>222</v>
      </c>
      <c r="H1497" s="16" t="s">
        <v>187</v>
      </c>
      <c r="I1497" s="16" t="s">
        <v>188</v>
      </c>
    </row>
    <row r="1498" ht="242.25" customHeight="1">
      <c r="A1498" s="32" t="b">
        <v>0</v>
      </c>
      <c r="B1498" s="32" t="str">
        <f>IMAGE("https://gymvisual.com/13890-catalog_default/dumbbell-glute-bridge-female.jpg",4,500,500)</f>
        <v/>
      </c>
      <c r="C1498" s="30">
        <v>1497.0</v>
      </c>
      <c r="D1498" s="16" t="s">
        <v>2063</v>
      </c>
      <c r="E1498" s="16" t="s">
        <v>184</v>
      </c>
      <c r="F1498" s="16" t="s">
        <v>185</v>
      </c>
      <c r="G1498" s="16" t="s">
        <v>222</v>
      </c>
      <c r="H1498" s="16" t="s">
        <v>187</v>
      </c>
      <c r="I1498" s="16" t="s">
        <v>854</v>
      </c>
    </row>
    <row r="1499" ht="242.25" customHeight="1">
      <c r="A1499" s="32" t="b">
        <v>0</v>
      </c>
      <c r="B1499" s="32" t="str">
        <f>IMAGE("https://gymvisual.com/20990-catalog_default/dumbbell-glute-dominant-step-up-female.jpg",4,500,500)</f>
        <v/>
      </c>
      <c r="C1499" s="30">
        <v>1498.0</v>
      </c>
      <c r="D1499" s="16" t="s">
        <v>2064</v>
      </c>
      <c r="E1499" s="16" t="s">
        <v>184</v>
      </c>
      <c r="F1499" s="16" t="s">
        <v>294</v>
      </c>
      <c r="G1499" s="16" t="s">
        <v>222</v>
      </c>
      <c r="H1499" s="16" t="s">
        <v>189</v>
      </c>
      <c r="I1499" s="16" t="s">
        <v>190</v>
      </c>
    </row>
    <row r="1500" ht="242.25" customHeight="1">
      <c r="A1500" s="32" t="b">
        <v>0</v>
      </c>
      <c r="B1500" s="32" t="str">
        <f>IMAGE("https://gymvisual.com/14761-catalog_default/dumbbell-gobelt-curtsey-lunge.jpg",4,500,500)</f>
        <v/>
      </c>
      <c r="C1500" s="30">
        <v>1499.0</v>
      </c>
      <c r="D1500" s="16" t="s">
        <v>2065</v>
      </c>
      <c r="E1500" s="16" t="s">
        <v>184</v>
      </c>
      <c r="F1500" s="16" t="s">
        <v>294</v>
      </c>
      <c r="G1500" s="16" t="s">
        <v>222</v>
      </c>
      <c r="H1500" s="16" t="s">
        <v>189</v>
      </c>
      <c r="I1500" s="16" t="s">
        <v>2066</v>
      </c>
    </row>
    <row r="1501" ht="242.25" customHeight="1">
      <c r="A1501" s="32" t="b">
        <v>0</v>
      </c>
      <c r="B1501" s="32" t="str">
        <f>IMAGE("https://gymvisual.com/23667-catalog_default/dumbbell-goblet-2-sec-hold-squat.jpg",4,500,500)</f>
        <v/>
      </c>
      <c r="C1501" s="30">
        <v>1500.0</v>
      </c>
      <c r="D1501" s="16" t="s">
        <v>2067</v>
      </c>
      <c r="E1501" s="16" t="s">
        <v>184</v>
      </c>
      <c r="F1501" s="16" t="s">
        <v>285</v>
      </c>
      <c r="G1501" s="16" t="s">
        <v>222</v>
      </c>
      <c r="H1501" s="16" t="s">
        <v>189</v>
      </c>
      <c r="I1501" s="16" t="s">
        <v>902</v>
      </c>
    </row>
    <row r="1502" ht="242.25" customHeight="1">
      <c r="A1502" s="32" t="b">
        <v>0</v>
      </c>
      <c r="B1502" s="32" t="str">
        <f>IMAGE("https://gymvisual.com/14779-catalog_default/dumbbell-goblet-box-squat.jpg",4,500,500)</f>
        <v/>
      </c>
      <c r="C1502" s="30">
        <v>1501.0</v>
      </c>
      <c r="D1502" s="16" t="s">
        <v>2068</v>
      </c>
      <c r="E1502" s="16" t="s">
        <v>184</v>
      </c>
      <c r="F1502" s="16" t="s">
        <v>294</v>
      </c>
      <c r="G1502" s="16" t="s">
        <v>222</v>
      </c>
      <c r="H1502" s="16" t="s">
        <v>189</v>
      </c>
      <c r="I1502" s="16" t="s">
        <v>190</v>
      </c>
    </row>
    <row r="1503" ht="242.25" customHeight="1">
      <c r="A1503" s="32" t="b">
        <v>0</v>
      </c>
      <c r="B1503" s="32" t="str">
        <f>IMAGE("https://gymvisual.com/14777-catalog_default/dumbbell-goblet-split-squat.jpg",4,500,500)</f>
        <v/>
      </c>
      <c r="C1503" s="30">
        <v>1502.0</v>
      </c>
      <c r="D1503" s="16" t="s">
        <v>2069</v>
      </c>
      <c r="E1503" s="16" t="s">
        <v>184</v>
      </c>
      <c r="F1503" s="16" t="s">
        <v>294</v>
      </c>
      <c r="G1503" s="16" t="s">
        <v>222</v>
      </c>
      <c r="H1503" s="16" t="s">
        <v>189</v>
      </c>
      <c r="I1503" s="16" t="s">
        <v>190</v>
      </c>
    </row>
    <row r="1504" ht="242.25" customHeight="1">
      <c r="A1504" s="32" t="b">
        <v>0</v>
      </c>
      <c r="B1504" s="32" t="str">
        <f>IMAGE("https://gymvisual.com/22835-catalog_default/dumbbell-goblet-split-squat.jpg",4,500,500)</f>
        <v/>
      </c>
      <c r="C1504" s="30">
        <v>1503.0</v>
      </c>
      <c r="D1504" s="16" t="s">
        <v>2069</v>
      </c>
      <c r="E1504" s="16" t="s">
        <v>184</v>
      </c>
      <c r="F1504" s="16" t="s">
        <v>285</v>
      </c>
      <c r="G1504" s="16" t="s">
        <v>222</v>
      </c>
      <c r="H1504" s="16" t="s">
        <v>189</v>
      </c>
      <c r="I1504" s="16" t="s">
        <v>902</v>
      </c>
    </row>
    <row r="1505" ht="242.25" customHeight="1">
      <c r="A1505" s="32" t="b">
        <v>0</v>
      </c>
      <c r="B1505" s="32" t="str">
        <f>IMAGE("https://gymvisual.com/12257-catalog_default/dumbbell-goblet-split-squat-front-foot-elevanted.jpg",4,500,500)</f>
        <v/>
      </c>
      <c r="C1505" s="30">
        <v>1504.0</v>
      </c>
      <c r="D1505" s="16" t="s">
        <v>2070</v>
      </c>
      <c r="E1505" s="16" t="s">
        <v>184</v>
      </c>
      <c r="F1505" s="16" t="s">
        <v>285</v>
      </c>
      <c r="G1505" s="16" t="s">
        <v>222</v>
      </c>
      <c r="H1505" s="16" t="s">
        <v>189</v>
      </c>
      <c r="I1505" s="16" t="s">
        <v>190</v>
      </c>
    </row>
    <row r="1506" ht="242.25" customHeight="1">
      <c r="A1506" s="32" t="b">
        <v>0</v>
      </c>
      <c r="B1506" s="32" t="str">
        <f>IMAGE("https://gymvisual.com/12254-catalog_default/dumbbell-goblet-split-squat-front-foot-elevanted-female.jpg",4,500,500)</f>
        <v/>
      </c>
      <c r="C1506" s="30">
        <v>1505.0</v>
      </c>
      <c r="D1506" s="16" t="s">
        <v>2071</v>
      </c>
      <c r="E1506" s="16" t="s">
        <v>184</v>
      </c>
      <c r="F1506" s="16" t="s">
        <v>285</v>
      </c>
      <c r="G1506" s="16" t="s">
        <v>222</v>
      </c>
      <c r="H1506" s="16" t="s">
        <v>189</v>
      </c>
      <c r="I1506" s="16" t="s">
        <v>190</v>
      </c>
    </row>
    <row r="1507" ht="242.25" customHeight="1">
      <c r="A1507" s="32" t="b">
        <v>0</v>
      </c>
      <c r="B1507" s="32" t="str">
        <f>IMAGE("https://gymvisual.com/7570-catalog_default/dumbbell-goblet-squat.jpg",4,500,500)</f>
        <v/>
      </c>
      <c r="C1507" s="30">
        <v>1506.0</v>
      </c>
      <c r="D1507" s="16" t="s">
        <v>2072</v>
      </c>
      <c r="E1507" s="16" t="s">
        <v>184</v>
      </c>
      <c r="F1507" s="16" t="s">
        <v>285</v>
      </c>
      <c r="G1507" s="16" t="s">
        <v>222</v>
      </c>
      <c r="H1507" s="16" t="s">
        <v>189</v>
      </c>
      <c r="I1507" s="16" t="s">
        <v>902</v>
      </c>
    </row>
    <row r="1508" ht="242.25" customHeight="1">
      <c r="A1508" s="32" t="b">
        <v>0</v>
      </c>
      <c r="B1508" s="32" t="str">
        <f>IMAGE("https://gymvisual.com/9712-catalog_default/dumbbell-goblet-squat-female.jpg",4,500,500)</f>
        <v/>
      </c>
      <c r="C1508" s="30">
        <v>1507.0</v>
      </c>
      <c r="D1508" s="16" t="s">
        <v>2073</v>
      </c>
      <c r="E1508" s="16" t="s">
        <v>184</v>
      </c>
      <c r="F1508" s="16" t="s">
        <v>294</v>
      </c>
      <c r="G1508" s="16" t="s">
        <v>222</v>
      </c>
      <c r="H1508" s="16" t="s">
        <v>295</v>
      </c>
      <c r="I1508" s="16" t="s">
        <v>1121</v>
      </c>
    </row>
    <row r="1509" ht="242.25" customHeight="1">
      <c r="A1509" s="32" t="b">
        <v>0</v>
      </c>
      <c r="B1509" s="32" t="str">
        <f>IMAGE("https://gymvisual.com/22225-catalog_default/dumbbell-goblet-squat-and-biceps-curl.jpg",4,500,500)</f>
        <v/>
      </c>
      <c r="C1509" s="30">
        <v>1508.0</v>
      </c>
      <c r="D1509" s="16" t="s">
        <v>2074</v>
      </c>
      <c r="E1509" s="16" t="s">
        <v>184</v>
      </c>
      <c r="F1509" s="16" t="s">
        <v>285</v>
      </c>
      <c r="G1509" s="16" t="s">
        <v>222</v>
      </c>
      <c r="H1509" s="16" t="s">
        <v>220</v>
      </c>
      <c r="I1509" s="16" t="s">
        <v>220</v>
      </c>
    </row>
    <row r="1510" ht="242.25" customHeight="1">
      <c r="A1510" s="32" t="b">
        <v>0</v>
      </c>
      <c r="B1510" s="32" t="str">
        <f>IMAGE("https://gymvisual.com/20988-catalog_default/dumbbell-good-morning-squat.jpg",4,500,500)</f>
        <v/>
      </c>
      <c r="C1510" s="30">
        <v>1509.0</v>
      </c>
      <c r="D1510" s="16" t="s">
        <v>2075</v>
      </c>
      <c r="E1510" s="16" t="s">
        <v>184</v>
      </c>
      <c r="F1510" s="16" t="s">
        <v>294</v>
      </c>
      <c r="G1510" s="16" t="s">
        <v>222</v>
      </c>
      <c r="H1510" s="16" t="s">
        <v>2010</v>
      </c>
      <c r="I1510" s="16" t="s">
        <v>2076</v>
      </c>
    </row>
    <row r="1511" ht="242.25" customHeight="1">
      <c r="A1511" s="32" t="b">
        <v>0</v>
      </c>
      <c r="B1511" s="32" t="str">
        <f>IMAGE("https://gymvisual.com/19235-catalog_default/dumbbell-half-kneeling-lift-and-chop.jpg",4,500,500)</f>
        <v/>
      </c>
      <c r="C1511" s="30">
        <v>1510.0</v>
      </c>
      <c r="D1511" s="16" t="s">
        <v>2077</v>
      </c>
      <c r="E1511" s="16" t="s">
        <v>184</v>
      </c>
      <c r="F1511" s="16" t="s">
        <v>254</v>
      </c>
      <c r="G1511" s="16" t="s">
        <v>222</v>
      </c>
      <c r="H1511" s="16" t="s">
        <v>220</v>
      </c>
      <c r="I1511" s="16" t="s">
        <v>220</v>
      </c>
    </row>
    <row r="1512" ht="242.25" customHeight="1">
      <c r="A1512" s="32" t="b">
        <v>0</v>
      </c>
      <c r="B1512" s="32" t="str">
        <f>IMAGE("https://gymvisual.com/19245-catalog_default/dumbbell-half-kneeling-military-press.jpg",4,500,500)</f>
        <v/>
      </c>
      <c r="C1512" s="30">
        <v>1511.0</v>
      </c>
      <c r="D1512" s="16" t="s">
        <v>2078</v>
      </c>
      <c r="E1512" s="16" t="s">
        <v>184</v>
      </c>
      <c r="F1512" s="16" t="s">
        <v>228</v>
      </c>
      <c r="G1512" s="16" t="s">
        <v>222</v>
      </c>
      <c r="H1512" s="16" t="s">
        <v>220</v>
      </c>
      <c r="I1512" s="16" t="s">
        <v>220</v>
      </c>
    </row>
    <row r="1513" ht="242.25" customHeight="1">
      <c r="A1513" s="32" t="b">
        <v>0</v>
      </c>
      <c r="B1513" s="32" t="str">
        <f>IMAGE("https://gymvisual.com/959-catalog_default/3-4-sit-up.jpg",4,500,500)</f>
        <v/>
      </c>
      <c r="C1513" s="30">
        <v>1512.0</v>
      </c>
      <c r="D1513" s="16" t="s">
        <v>2079</v>
      </c>
      <c r="E1513" s="16" t="s">
        <v>184</v>
      </c>
      <c r="F1513" s="16" t="s">
        <v>219</v>
      </c>
      <c r="G1513" s="16" t="s">
        <v>222</v>
      </c>
      <c r="H1513" s="16" t="s">
        <v>216</v>
      </c>
      <c r="I1513" s="16" t="s">
        <v>217</v>
      </c>
    </row>
    <row r="1514" ht="242.25" customHeight="1">
      <c r="A1514" s="32" t="b">
        <v>0</v>
      </c>
      <c r="B1514" s="32" t="str">
        <f>IMAGE("https://gymvisual.com/9631-catalog_default/dumbbell-hammer-curl-female.jpg",4,500,500)</f>
        <v/>
      </c>
      <c r="C1514" s="30">
        <v>1513.0</v>
      </c>
      <c r="D1514" s="16" t="s">
        <v>2080</v>
      </c>
      <c r="E1514" s="16" t="s">
        <v>184</v>
      </c>
      <c r="F1514" s="16" t="s">
        <v>219</v>
      </c>
      <c r="G1514" s="16" t="s">
        <v>222</v>
      </c>
      <c r="H1514" s="16" t="s">
        <v>216</v>
      </c>
      <c r="I1514" s="16" t="s">
        <v>217</v>
      </c>
    </row>
    <row r="1515" ht="242.25" customHeight="1">
      <c r="A1515" s="32" t="b">
        <v>0</v>
      </c>
      <c r="B1515" s="32" t="str">
        <f>IMAGE("https://gymvisual.com/20668-catalog_default/dumbbell-hammer-curl-female.jpg",4,500,500)</f>
        <v/>
      </c>
      <c r="C1515" s="30">
        <v>1514.0</v>
      </c>
      <c r="D1515" s="16" t="s">
        <v>2080</v>
      </c>
      <c r="E1515" s="16" t="s">
        <v>184</v>
      </c>
      <c r="F1515" s="16" t="s">
        <v>219</v>
      </c>
      <c r="G1515" s="16" t="s">
        <v>222</v>
      </c>
      <c r="H1515" s="16" t="s">
        <v>216</v>
      </c>
      <c r="I1515" s="16" t="s">
        <v>217</v>
      </c>
    </row>
    <row r="1516" ht="242.25" customHeight="1">
      <c r="A1516" s="32" t="b">
        <v>0</v>
      </c>
      <c r="B1516" s="32" t="str">
        <f>IMAGE("https://gymvisual.com/956-catalog_default/3-4-sit-up.jpg",4,500,500)</f>
        <v/>
      </c>
      <c r="C1516" s="30">
        <v>1515.0</v>
      </c>
      <c r="D1516" s="16" t="s">
        <v>2081</v>
      </c>
      <c r="E1516" s="16" t="s">
        <v>184</v>
      </c>
      <c r="F1516" s="16" t="s">
        <v>219</v>
      </c>
      <c r="G1516" s="16" t="s">
        <v>222</v>
      </c>
      <c r="H1516" s="16" t="s">
        <v>216</v>
      </c>
      <c r="I1516" s="16" t="s">
        <v>217</v>
      </c>
    </row>
    <row r="1517" ht="242.25" customHeight="1">
      <c r="A1517" s="32" t="b">
        <v>0</v>
      </c>
      <c r="B1517" s="32" t="str">
        <f>IMAGE("https://gymvisual.com/7133-catalog_default/dumbbell-hammer-curl-on-exercise-ball.jpg",4,500,500)</f>
        <v/>
      </c>
      <c r="C1517" s="30">
        <v>1516.0</v>
      </c>
      <c r="D1517" s="16" t="s">
        <v>2082</v>
      </c>
      <c r="E1517" s="16" t="s">
        <v>184</v>
      </c>
      <c r="F1517" s="16" t="s">
        <v>219</v>
      </c>
      <c r="G1517" s="16" t="s">
        <v>222</v>
      </c>
      <c r="H1517" s="16" t="s">
        <v>220</v>
      </c>
      <c r="I1517" s="16" t="s">
        <v>220</v>
      </c>
    </row>
    <row r="1518" ht="242.25" customHeight="1">
      <c r="B1518" s="32" t="str">
        <f>IMAGE("https://gymvisual.com/11471-catalog_default/dumbbell-hammer-curl-on-exercise-ball-female.jpg",4,500,500)</f>
        <v/>
      </c>
      <c r="C1518" s="30">
        <v>1517.0</v>
      </c>
      <c r="D1518" s="16" t="s">
        <v>2083</v>
      </c>
      <c r="E1518" s="16" t="s">
        <v>184</v>
      </c>
      <c r="F1518" s="16" t="s">
        <v>219</v>
      </c>
      <c r="G1518" s="16" t="s">
        <v>1929</v>
      </c>
      <c r="H1518" s="16" t="s">
        <v>220</v>
      </c>
      <c r="I1518" s="16" t="s">
        <v>220</v>
      </c>
    </row>
    <row r="1519" ht="242.25" customHeight="1">
      <c r="A1519" s="32" t="b">
        <v>0</v>
      </c>
      <c r="B1519" s="32" t="str">
        <f>IMAGE("https://gymvisual.com/10455-catalog_default/dumbbell-hammer-curls-with-arm-blaster.jpg",4,500,500)</f>
        <v/>
      </c>
      <c r="C1519" s="30">
        <v>1518.0</v>
      </c>
      <c r="D1519" s="16" t="s">
        <v>2084</v>
      </c>
      <c r="E1519" s="16" t="s">
        <v>184</v>
      </c>
      <c r="F1519" s="16" t="s">
        <v>214</v>
      </c>
      <c r="G1519" s="16" t="s">
        <v>222</v>
      </c>
      <c r="H1519" s="16" t="s">
        <v>216</v>
      </c>
      <c r="I1519" s="16" t="s">
        <v>217</v>
      </c>
    </row>
    <row r="1520" ht="242.25" customHeight="1">
      <c r="A1520" s="32" t="b">
        <v>0</v>
      </c>
      <c r="B1520" s="32" t="str">
        <f>IMAGE("https://gymvisual.com/13423-catalog_default/dumbbell-hammer-curls-with-arm-blaster-female.jpg",4,500,500)</f>
        <v/>
      </c>
      <c r="C1520" s="30">
        <v>1519.0</v>
      </c>
      <c r="D1520" s="16" t="s">
        <v>2085</v>
      </c>
      <c r="E1520" s="16" t="s">
        <v>184</v>
      </c>
      <c r="F1520" s="16" t="s">
        <v>214</v>
      </c>
      <c r="G1520" s="16" t="s">
        <v>222</v>
      </c>
      <c r="H1520" s="16" t="s">
        <v>220</v>
      </c>
      <c r="I1520" s="16" t="s">
        <v>220</v>
      </c>
    </row>
    <row r="1521" ht="242.25" customHeight="1">
      <c r="A1521" s="32" t="b">
        <v>0</v>
      </c>
      <c r="B1521" s="32" t="str">
        <f>IMAGE("https://gymvisual.com/13209-catalog_default/dumbbell-hammer-grip-incline-bench-two-arm-row.jpg",4,500,500)</f>
        <v/>
      </c>
      <c r="C1521" s="30">
        <v>1520.0</v>
      </c>
      <c r="D1521" s="16" t="s">
        <v>2086</v>
      </c>
      <c r="E1521" s="16" t="s">
        <v>184</v>
      </c>
      <c r="F1521" s="16" t="s">
        <v>192</v>
      </c>
      <c r="G1521" s="16" t="s">
        <v>222</v>
      </c>
      <c r="H1521" s="16" t="s">
        <v>329</v>
      </c>
      <c r="I1521" s="16" t="s">
        <v>457</v>
      </c>
    </row>
    <row r="1522" ht="242.25" customHeight="1">
      <c r="A1522" s="32" t="b">
        <v>0</v>
      </c>
      <c r="B1522" s="32" t="str">
        <f>IMAGE("https://gymvisual.com/17146-catalog_default/dumbbell-hammer-grip-incline-bench-two-arm-row-female.jpg",4,500,500)</f>
        <v/>
      </c>
      <c r="C1522" s="30">
        <v>1521.0</v>
      </c>
      <c r="D1522" s="16" t="s">
        <v>2087</v>
      </c>
      <c r="E1522" s="16" t="s">
        <v>184</v>
      </c>
      <c r="F1522" s="16" t="s">
        <v>192</v>
      </c>
      <c r="G1522" s="16" t="s">
        <v>222</v>
      </c>
      <c r="H1522" s="16" t="s">
        <v>329</v>
      </c>
      <c r="I1522" s="16" t="s">
        <v>447</v>
      </c>
    </row>
    <row r="1523" ht="242.25" customHeight="1">
      <c r="A1523" s="32" t="b">
        <v>0</v>
      </c>
      <c r="B1523" s="32" t="str">
        <f>IMAGE("https://gymvisual.com/18746-catalog_default/dumbbell-hammer-preacher-curl-female.jpg",4,500,500)</f>
        <v/>
      </c>
      <c r="C1523" s="30">
        <v>1522.0</v>
      </c>
      <c r="D1523" s="16" t="s">
        <v>2088</v>
      </c>
      <c r="E1523" s="16" t="s">
        <v>184</v>
      </c>
      <c r="F1523" s="16" t="s">
        <v>214</v>
      </c>
      <c r="G1523" s="16" t="s">
        <v>222</v>
      </c>
      <c r="H1523" s="16" t="s">
        <v>220</v>
      </c>
      <c r="I1523" s="16" t="s">
        <v>220</v>
      </c>
    </row>
    <row r="1524" ht="242.25" customHeight="1">
      <c r="A1524" s="32" t="b">
        <v>0</v>
      </c>
      <c r="B1524" s="32" t="str">
        <f>IMAGE("https://gymvisual.com/19519-catalog_default/dumbbell-hang-clean.jpg",4,500,500)</f>
        <v/>
      </c>
      <c r="C1524" s="30">
        <v>1523.0</v>
      </c>
      <c r="D1524" s="16" t="s">
        <v>2089</v>
      </c>
      <c r="E1524" s="16" t="s">
        <v>184</v>
      </c>
      <c r="F1524" s="16" t="s">
        <v>764</v>
      </c>
      <c r="G1524" s="16" t="s">
        <v>222</v>
      </c>
      <c r="H1524" s="16" t="s">
        <v>220</v>
      </c>
      <c r="I1524" s="16" t="s">
        <v>220</v>
      </c>
    </row>
    <row r="1525" ht="242.25" customHeight="1">
      <c r="A1525" s="32" t="b">
        <v>0</v>
      </c>
      <c r="B1525" s="32" t="str">
        <f>IMAGE("https://gymvisual.com/19423-catalog_default/dumbbell-hang-clean-and-jerk.jpg",4,500,500)</f>
        <v/>
      </c>
      <c r="C1525" s="30">
        <v>1524.0</v>
      </c>
      <c r="D1525" s="16" t="s">
        <v>2090</v>
      </c>
      <c r="E1525" s="16" t="s">
        <v>184</v>
      </c>
      <c r="F1525" s="16" t="s">
        <v>764</v>
      </c>
      <c r="G1525" s="16" t="s">
        <v>222</v>
      </c>
      <c r="H1525" s="16" t="s">
        <v>220</v>
      </c>
      <c r="I1525" s="16" t="s">
        <v>220</v>
      </c>
    </row>
    <row r="1526" ht="242.25" customHeight="1">
      <c r="A1526" s="32" t="b">
        <v>0</v>
      </c>
      <c r="B1526" s="32" t="str">
        <f>IMAGE("https://gymvisual.com/22227-catalog_default/dumbbell-hang-power-clean.jpg",4,500,500)</f>
        <v/>
      </c>
      <c r="C1526" s="30">
        <v>1525.0</v>
      </c>
      <c r="D1526" s="16" t="s">
        <v>2091</v>
      </c>
      <c r="E1526" s="16" t="s">
        <v>184</v>
      </c>
      <c r="F1526" s="16" t="s">
        <v>764</v>
      </c>
      <c r="G1526" s="16" t="s">
        <v>222</v>
      </c>
      <c r="H1526" s="16" t="s">
        <v>954</v>
      </c>
      <c r="I1526" s="16" t="s">
        <v>220</v>
      </c>
    </row>
    <row r="1527" ht="242.25" customHeight="1">
      <c r="A1527" s="32" t="b">
        <v>0</v>
      </c>
      <c r="B1527" s="32" t="str">
        <f>IMAGE("https://gymvisual.com/22229-catalog_default/dumbbell-hang-power-clean-and-jerk.jpg",4,500,500)</f>
        <v/>
      </c>
      <c r="C1527" s="30">
        <v>1526.0</v>
      </c>
      <c r="D1527" s="16" t="s">
        <v>2092</v>
      </c>
      <c r="E1527" s="16" t="s">
        <v>184</v>
      </c>
      <c r="F1527" s="16" t="s">
        <v>764</v>
      </c>
      <c r="G1527" s="16" t="s">
        <v>222</v>
      </c>
      <c r="H1527" s="16" t="s">
        <v>220</v>
      </c>
      <c r="I1527" s="16" t="s">
        <v>220</v>
      </c>
    </row>
    <row r="1528" ht="242.25" customHeight="1">
      <c r="A1528" s="32" t="b">
        <v>0</v>
      </c>
      <c r="B1528" s="32" t="str">
        <f>IMAGE("https://gymvisual.com/22231-catalog_default/dumbbell-head-supported-row.jpg",4,500,500)</f>
        <v/>
      </c>
      <c r="C1528" s="30">
        <v>1527.0</v>
      </c>
      <c r="D1528" s="16" t="s">
        <v>2093</v>
      </c>
      <c r="E1528" s="16" t="s">
        <v>184</v>
      </c>
      <c r="F1528" s="16" t="s">
        <v>192</v>
      </c>
      <c r="G1528" s="16" t="s">
        <v>222</v>
      </c>
      <c r="H1528" s="16" t="s">
        <v>220</v>
      </c>
      <c r="I1528" s="16" t="s">
        <v>220</v>
      </c>
    </row>
    <row r="1529" ht="242.25" customHeight="1">
      <c r="A1529" s="32" t="b">
        <v>0</v>
      </c>
      <c r="B1529" s="32" t="str">
        <f>IMAGE("https://gymvisual.com/7138-catalog_default/dumbbell-high-curl.jpg",4,500,500)</f>
        <v/>
      </c>
      <c r="C1529" s="30">
        <v>1528.0</v>
      </c>
      <c r="D1529" s="16" t="s">
        <v>2094</v>
      </c>
      <c r="E1529" s="16" t="s">
        <v>184</v>
      </c>
      <c r="F1529" s="16" t="s">
        <v>219</v>
      </c>
      <c r="G1529" s="16" t="s">
        <v>222</v>
      </c>
      <c r="H1529" s="16" t="s">
        <v>220</v>
      </c>
      <c r="I1529" s="16" t="s">
        <v>220</v>
      </c>
    </row>
    <row r="1530" ht="242.25" customHeight="1">
      <c r="A1530" s="32" t="b">
        <v>0</v>
      </c>
      <c r="B1530" s="32" t="str">
        <f>IMAGE("https://gymvisual.com/12173-catalog_default/dumbbell-high-low-carry.jpg",4,500,500)</f>
        <v/>
      </c>
      <c r="C1530" s="30">
        <v>1529.0</v>
      </c>
      <c r="D1530" s="16" t="s">
        <v>2095</v>
      </c>
      <c r="E1530" s="16" t="s">
        <v>184</v>
      </c>
      <c r="F1530" s="16" t="s">
        <v>285</v>
      </c>
      <c r="G1530" s="16" t="s">
        <v>222</v>
      </c>
      <c r="H1530" s="16" t="s">
        <v>220</v>
      </c>
      <c r="I1530" s="16" t="s">
        <v>220</v>
      </c>
    </row>
    <row r="1531" ht="242.25" customHeight="1">
      <c r="A1531" s="32" t="b">
        <v>0</v>
      </c>
      <c r="B1531" s="32" t="str">
        <f>IMAGE("https://gymvisual.com/25011-catalog_default/dumbbell-high-pull.jpg",4,500,500)</f>
        <v/>
      </c>
      <c r="C1531" s="30">
        <v>1530.0</v>
      </c>
      <c r="D1531" s="16" t="s">
        <v>2096</v>
      </c>
      <c r="E1531" s="16" t="s">
        <v>184</v>
      </c>
      <c r="F1531" s="16" t="s">
        <v>764</v>
      </c>
      <c r="G1531" s="16" t="s">
        <v>222</v>
      </c>
      <c r="H1531" s="16" t="s">
        <v>220</v>
      </c>
      <c r="I1531" s="16" t="s">
        <v>220</v>
      </c>
    </row>
    <row r="1532" ht="242.25" customHeight="1">
      <c r="A1532" s="32" t="b">
        <v>0</v>
      </c>
      <c r="B1532" s="32" t="str">
        <f>IMAGE("https://gymvisual.com/22233-catalog_default/dumbbell-hip-thrust.jpg",4,500,500)</f>
        <v/>
      </c>
      <c r="C1532" s="30">
        <v>1531.0</v>
      </c>
      <c r="D1532" s="16" t="s">
        <v>2097</v>
      </c>
      <c r="E1532" s="16" t="s">
        <v>184</v>
      </c>
      <c r="F1532" s="16" t="s">
        <v>185</v>
      </c>
      <c r="G1532" s="16" t="s">
        <v>222</v>
      </c>
      <c r="H1532" s="16" t="s">
        <v>220</v>
      </c>
      <c r="I1532" s="16" t="s">
        <v>220</v>
      </c>
    </row>
    <row r="1533" ht="242.25" customHeight="1">
      <c r="A1533" s="32" t="b">
        <v>0</v>
      </c>
      <c r="B1533" s="32" t="str">
        <f>IMAGE("https://gymvisual.com/14759-catalog_default/dumbbell-incline-alternate-bicep-curl.jpg",4,500,500)</f>
        <v/>
      </c>
      <c r="C1533" s="30">
        <v>1532.0</v>
      </c>
      <c r="D1533" s="16" t="s">
        <v>2098</v>
      </c>
      <c r="E1533" s="16" t="s">
        <v>184</v>
      </c>
      <c r="F1533" s="16" t="s">
        <v>219</v>
      </c>
      <c r="G1533" s="16" t="s">
        <v>222</v>
      </c>
      <c r="H1533" s="16" t="s">
        <v>217</v>
      </c>
      <c r="I1533" s="16" t="s">
        <v>216</v>
      </c>
    </row>
    <row r="1534" ht="242.25" customHeight="1">
      <c r="A1534" s="32" t="b">
        <v>0</v>
      </c>
      <c r="B1534" s="32" t="str">
        <f>IMAGE("https://gymvisual.com/4604-catalog_default/dumbbell-incline-alternate-hammer-curl.jpg",4,500,500)</f>
        <v/>
      </c>
      <c r="C1534" s="30">
        <v>1533.0</v>
      </c>
      <c r="D1534" s="16" t="s">
        <v>2099</v>
      </c>
      <c r="E1534" s="16" t="s">
        <v>184</v>
      </c>
      <c r="F1534" s="16" t="s">
        <v>219</v>
      </c>
      <c r="G1534" s="16" t="s">
        <v>222</v>
      </c>
      <c r="H1534" s="16" t="s">
        <v>216</v>
      </c>
      <c r="I1534" s="16" t="s">
        <v>217</v>
      </c>
    </row>
    <row r="1535" ht="242.25" customHeight="1">
      <c r="A1535" s="32" t="b">
        <v>0</v>
      </c>
      <c r="B1535" s="32" t="str">
        <f>IMAGE("https://gymvisual.com/14102-catalog_default/dumbbell-incline-alternate-press.jpg",4,500,500)</f>
        <v/>
      </c>
      <c r="C1535" s="30">
        <v>1534.0</v>
      </c>
      <c r="D1535" s="16" t="s">
        <v>2100</v>
      </c>
      <c r="E1535" s="16" t="s">
        <v>184</v>
      </c>
      <c r="F1535" s="16" t="s">
        <v>234</v>
      </c>
      <c r="G1535" s="16" t="s">
        <v>222</v>
      </c>
      <c r="H1535" s="16" t="s">
        <v>415</v>
      </c>
      <c r="I1535" s="16" t="s">
        <v>243</v>
      </c>
    </row>
    <row r="1536" ht="242.25" customHeight="1">
      <c r="A1536" s="32" t="b">
        <v>0</v>
      </c>
      <c r="B1536" s="32" t="str">
        <f>IMAGE("https://gymvisual.com/14784-catalog_default/dumbbell-incline-alternate-reverse-fly.jpg",4,500,500)</f>
        <v/>
      </c>
      <c r="C1536" s="30">
        <v>1535.0</v>
      </c>
      <c r="D1536" s="16" t="s">
        <v>2101</v>
      </c>
      <c r="E1536" s="16" t="s">
        <v>184</v>
      </c>
      <c r="F1536" s="16" t="s">
        <v>228</v>
      </c>
      <c r="G1536" s="16" t="s">
        <v>222</v>
      </c>
      <c r="H1536" s="16" t="s">
        <v>408</v>
      </c>
      <c r="I1536" s="16" t="s">
        <v>452</v>
      </c>
    </row>
    <row r="1537" ht="242.25" customHeight="1">
      <c r="A1537" s="32" t="b">
        <v>0</v>
      </c>
      <c r="B1537" s="32" t="str">
        <f>IMAGE("https://gymvisual.com/17329-catalog_default/dumbbell-incline-around-the-world.jpg",4,500,500)</f>
        <v/>
      </c>
      <c r="C1537" s="30">
        <v>1536.0</v>
      </c>
      <c r="D1537" s="16" t="s">
        <v>2102</v>
      </c>
      <c r="E1537" s="16" t="s">
        <v>184</v>
      </c>
      <c r="F1537" s="16" t="s">
        <v>1168</v>
      </c>
      <c r="G1537" s="16" t="s">
        <v>222</v>
      </c>
      <c r="H1537" s="16" t="s">
        <v>882</v>
      </c>
      <c r="I1537" s="16" t="s">
        <v>2103</v>
      </c>
    </row>
    <row r="1538" ht="242.25" customHeight="1">
      <c r="A1538" s="32" t="b">
        <v>0</v>
      </c>
      <c r="B1538" s="32" t="str">
        <f>IMAGE("https://gymvisual.com/19335-catalog_default/3-4-sit-up.jpg",4,500,500)</f>
        <v/>
      </c>
      <c r="C1538" s="30">
        <v>1537.0</v>
      </c>
      <c r="D1538" s="16" t="s">
        <v>2104</v>
      </c>
      <c r="E1538" s="16" t="s">
        <v>184</v>
      </c>
      <c r="F1538" s="16" t="s">
        <v>234</v>
      </c>
      <c r="G1538" s="16" t="s">
        <v>222</v>
      </c>
      <c r="H1538" s="16" t="s">
        <v>415</v>
      </c>
      <c r="I1538" s="16" t="s">
        <v>243</v>
      </c>
    </row>
    <row r="1539" ht="242.25" customHeight="1">
      <c r="A1539" s="32" t="b">
        <v>0</v>
      </c>
      <c r="B1539" s="32" t="str">
        <f>IMAGE("https://gymvisual.com/10948-catalog_default/dumbbell-incline-bench-press-female.jpg",4,500,500)</f>
        <v/>
      </c>
      <c r="C1539" s="30">
        <v>1538.0</v>
      </c>
      <c r="D1539" s="16" t="s">
        <v>2105</v>
      </c>
      <c r="E1539" s="16" t="s">
        <v>184</v>
      </c>
      <c r="F1539" s="16" t="s">
        <v>234</v>
      </c>
      <c r="G1539" s="16" t="s">
        <v>222</v>
      </c>
      <c r="H1539" s="16" t="s">
        <v>415</v>
      </c>
      <c r="I1539" s="16" t="s">
        <v>243</v>
      </c>
    </row>
    <row r="1540" ht="242.25" customHeight="1">
      <c r="A1540" s="32" t="b">
        <v>0</v>
      </c>
      <c r="B1540" s="32" t="str">
        <f>IMAGE("https://gymvisual.com/965-catalog_default/3-4-sit-up.jpg",4,500,500)</f>
        <v/>
      </c>
      <c r="C1540" s="30">
        <v>1539.0</v>
      </c>
      <c r="D1540" s="16" t="s">
        <v>2106</v>
      </c>
      <c r="E1540" s="16" t="s">
        <v>184</v>
      </c>
      <c r="F1540" s="16" t="s">
        <v>219</v>
      </c>
      <c r="G1540" s="16" t="s">
        <v>222</v>
      </c>
      <c r="H1540" s="16" t="s">
        <v>241</v>
      </c>
      <c r="I1540" s="16" t="s">
        <v>292</v>
      </c>
    </row>
    <row r="1541" ht="242.25" customHeight="1">
      <c r="A1541" s="32" t="b">
        <v>0</v>
      </c>
      <c r="B1541" s="32" t="str">
        <f>IMAGE("https://gymvisual.com/22500-catalog_default/dumbbell-incline-biceps-curl-70-degrees-female.jpg",4,500,500)</f>
        <v/>
      </c>
      <c r="C1541" s="30">
        <v>1540.0</v>
      </c>
      <c r="D1541" s="16" t="s">
        <v>2107</v>
      </c>
      <c r="E1541" s="16" t="s">
        <v>184</v>
      </c>
      <c r="F1541" s="16" t="s">
        <v>219</v>
      </c>
      <c r="G1541" s="16" t="s">
        <v>222</v>
      </c>
      <c r="H1541" s="16" t="s">
        <v>220</v>
      </c>
      <c r="I1541" s="16" t="s">
        <v>220</v>
      </c>
    </row>
    <row r="1542" ht="242.25" customHeight="1">
      <c r="A1542" s="32" t="b">
        <v>0</v>
      </c>
      <c r="B1542" s="32" t="str">
        <f>IMAGE("https://gymvisual.com/11044-catalog_default/dumbbell-incline-biceps-curl-female.jpg",4,500,500)</f>
        <v/>
      </c>
      <c r="C1542" s="30">
        <v>1541.0</v>
      </c>
      <c r="D1542" s="16" t="s">
        <v>2108</v>
      </c>
      <c r="E1542" s="16" t="s">
        <v>184</v>
      </c>
      <c r="F1542" s="16" t="s">
        <v>219</v>
      </c>
      <c r="G1542" s="16" t="s">
        <v>222</v>
      </c>
      <c r="H1542" s="16" t="s">
        <v>241</v>
      </c>
      <c r="I1542" s="16" t="s">
        <v>292</v>
      </c>
    </row>
    <row r="1543" ht="242.25" customHeight="1">
      <c r="A1543" s="32" t="b">
        <v>0</v>
      </c>
      <c r="B1543" s="32" t="str">
        <f>IMAGE("https://gymvisual.com/16708-catalog_default/dumbbell-incline-biceps-curl-female.jpg",4,500,500)</f>
        <v/>
      </c>
      <c r="C1543" s="30">
        <v>1542.0</v>
      </c>
      <c r="D1543" s="16" t="s">
        <v>2108</v>
      </c>
      <c r="E1543" s="16" t="s">
        <v>184</v>
      </c>
      <c r="F1543" s="16" t="s">
        <v>219</v>
      </c>
      <c r="G1543" s="16" t="s">
        <v>222</v>
      </c>
      <c r="H1543" s="16" t="s">
        <v>241</v>
      </c>
      <c r="I1543" s="16" t="s">
        <v>292</v>
      </c>
    </row>
    <row r="1544" ht="242.25" customHeight="1">
      <c r="A1544" s="32" t="b">
        <v>0</v>
      </c>
      <c r="B1544" s="32" t="str">
        <f>IMAGE("https://gymvisual.com/22235-catalog_default/dumbbell-incline-biceps-curl-version-2-female.jpg",4,500,500)</f>
        <v/>
      </c>
      <c r="C1544" s="30">
        <v>1543.0</v>
      </c>
      <c r="D1544" s="16" t="s">
        <v>2109</v>
      </c>
      <c r="E1544" s="16" t="s">
        <v>184</v>
      </c>
      <c r="F1544" s="16" t="s">
        <v>219</v>
      </c>
      <c r="G1544" s="16" t="s">
        <v>222</v>
      </c>
      <c r="H1544" s="16" t="s">
        <v>220</v>
      </c>
      <c r="I1544" s="16" t="s">
        <v>220</v>
      </c>
    </row>
    <row r="1545" ht="242.25" customHeight="1">
      <c r="A1545" s="32" t="b">
        <v>0</v>
      </c>
      <c r="B1545" s="32" t="str">
        <f>IMAGE("https://gymvisual.com/968-catalog_default/3-4-sit-up.jpg",4,500,500)</f>
        <v/>
      </c>
      <c r="C1545" s="30">
        <v>1544.0</v>
      </c>
      <c r="D1545" s="16" t="s">
        <v>2110</v>
      </c>
      <c r="E1545" s="16" t="s">
        <v>184</v>
      </c>
      <c r="F1545" s="16" t="s">
        <v>234</v>
      </c>
      <c r="G1545" s="16" t="s">
        <v>222</v>
      </c>
      <c r="H1545" s="16" t="s">
        <v>415</v>
      </c>
      <c r="I1545" s="16" t="s">
        <v>2003</v>
      </c>
    </row>
    <row r="1546" ht="242.25" customHeight="1">
      <c r="A1546" s="32" t="b">
        <v>0</v>
      </c>
      <c r="B1546" s="32" t="str">
        <f>IMAGE("https://gymvisual.com/17462-catalog_default/dumbbell-incline-close-grip-press-variation.jpg",4,500,500)</f>
        <v/>
      </c>
      <c r="C1546" s="30">
        <v>1545.0</v>
      </c>
      <c r="D1546" s="16" t="s">
        <v>2111</v>
      </c>
      <c r="E1546" s="16" t="s">
        <v>184</v>
      </c>
      <c r="F1546" s="16" t="s">
        <v>219</v>
      </c>
      <c r="G1546" s="16" t="s">
        <v>222</v>
      </c>
      <c r="H1546" s="16" t="s">
        <v>2112</v>
      </c>
      <c r="I1546" s="16" t="s">
        <v>896</v>
      </c>
    </row>
    <row r="1547" ht="242.25" customHeight="1">
      <c r="A1547" s="32" t="b">
        <v>0</v>
      </c>
      <c r="B1547" s="32" t="str">
        <f>IMAGE("https://gymvisual.com/974-catalog_default/3-4-sit-up.jpg",4,500,500)</f>
        <v/>
      </c>
      <c r="C1547" s="30">
        <v>1546.0</v>
      </c>
      <c r="D1547" s="16" t="s">
        <v>2113</v>
      </c>
      <c r="E1547" s="16" t="s">
        <v>184</v>
      </c>
      <c r="F1547" s="16" t="s">
        <v>219</v>
      </c>
      <c r="G1547" s="16" t="s">
        <v>222</v>
      </c>
      <c r="H1547" s="16" t="s">
        <v>241</v>
      </c>
      <c r="I1547" s="16" t="s">
        <v>292</v>
      </c>
    </row>
    <row r="1548" ht="242.25" customHeight="1">
      <c r="A1548" s="32" t="b">
        <v>0</v>
      </c>
      <c r="B1548" s="32" t="str">
        <f>IMAGE("https://gymvisual.com/971-catalog_default/3-4-sit-up.jpg",4,500,500)</f>
        <v/>
      </c>
      <c r="C1548" s="30">
        <v>1547.0</v>
      </c>
      <c r="D1548" s="16" t="s">
        <v>2114</v>
      </c>
      <c r="E1548" s="16" t="s">
        <v>184</v>
      </c>
      <c r="F1548" s="16" t="s">
        <v>219</v>
      </c>
      <c r="G1548" s="16" t="s">
        <v>222</v>
      </c>
      <c r="H1548" s="16" t="s">
        <v>232</v>
      </c>
      <c r="I1548" s="16" t="s">
        <v>233</v>
      </c>
    </row>
    <row r="1549" ht="242.25" customHeight="1">
      <c r="A1549" s="32" t="b">
        <v>0</v>
      </c>
      <c r="B1549" s="32" t="str">
        <f>IMAGE("https://gymvisual.com/10273-catalog_default/3-4-sit-up.jpg",4,500,500)</f>
        <v/>
      </c>
      <c r="C1549" s="30">
        <v>1548.0</v>
      </c>
      <c r="D1549" s="16" t="s">
        <v>2115</v>
      </c>
      <c r="E1549" s="16" t="s">
        <v>184</v>
      </c>
      <c r="F1549" s="16" t="s">
        <v>234</v>
      </c>
      <c r="G1549" s="16" t="s">
        <v>222</v>
      </c>
      <c r="H1549" s="16" t="s">
        <v>415</v>
      </c>
      <c r="I1549" s="16" t="s">
        <v>236</v>
      </c>
    </row>
    <row r="1550" ht="242.25" customHeight="1">
      <c r="A1550" s="32" t="b">
        <v>0</v>
      </c>
      <c r="B1550" s="32" t="str">
        <f>IMAGE("https://gymvisual.com/11113-catalog_default/dumbbell-incline-fly-female.jpg",4,500,500)</f>
        <v/>
      </c>
      <c r="C1550" s="30">
        <v>1549.0</v>
      </c>
      <c r="D1550" s="16" t="s">
        <v>2116</v>
      </c>
      <c r="E1550" s="16" t="s">
        <v>184</v>
      </c>
      <c r="F1550" s="16" t="s">
        <v>234</v>
      </c>
      <c r="G1550" s="16" t="s">
        <v>222</v>
      </c>
      <c r="H1550" s="16" t="s">
        <v>415</v>
      </c>
      <c r="I1550" s="16" t="s">
        <v>236</v>
      </c>
    </row>
    <row r="1551" ht="242.25" customHeight="1">
      <c r="A1551" s="32" t="b">
        <v>0</v>
      </c>
      <c r="B1551" s="32" t="str">
        <f>IMAGE("https://gymvisual.com/5967-catalog_default/dumbbell-incline-fly-on-exercise-ball.jpg",4,500,500)</f>
        <v/>
      </c>
      <c r="C1551" s="30">
        <v>1550.0</v>
      </c>
      <c r="D1551" s="16" t="s">
        <v>2117</v>
      </c>
      <c r="E1551" s="16" t="s">
        <v>184</v>
      </c>
      <c r="F1551" s="16" t="s">
        <v>234</v>
      </c>
      <c r="G1551" s="16" t="s">
        <v>222</v>
      </c>
      <c r="H1551" s="16" t="s">
        <v>415</v>
      </c>
      <c r="I1551" s="16" t="s">
        <v>236</v>
      </c>
    </row>
    <row r="1552" ht="242.25" customHeight="1">
      <c r="B1552" s="32" t="str">
        <f>IMAGE("https://gymvisual.com/11408-catalog_default/dumbbell-incline-fly-on-exercise-ball-female.jpg",4,500,500)</f>
        <v/>
      </c>
      <c r="C1552" s="30">
        <v>1551.0</v>
      </c>
      <c r="D1552" s="16" t="s">
        <v>2118</v>
      </c>
      <c r="E1552" s="16" t="s">
        <v>184</v>
      </c>
      <c r="F1552" s="16" t="s">
        <v>234</v>
      </c>
      <c r="G1552" s="16" t="s">
        <v>1929</v>
      </c>
      <c r="H1552" s="16" t="s">
        <v>415</v>
      </c>
      <c r="I1552" s="16" t="s">
        <v>236</v>
      </c>
    </row>
    <row r="1553" ht="242.25" customHeight="1">
      <c r="A1553" s="32" t="b">
        <v>0</v>
      </c>
      <c r="B1553" s="32" t="str">
        <f>IMAGE("https://gymvisual.com/4428-catalog_default/dumbbell-incline-front-raise.jpg",4,500,500)</f>
        <v/>
      </c>
      <c r="C1553" s="30">
        <v>1552.0</v>
      </c>
      <c r="D1553" s="16" t="s">
        <v>2119</v>
      </c>
      <c r="E1553" s="16" t="s">
        <v>184</v>
      </c>
      <c r="F1553" s="16" t="s">
        <v>228</v>
      </c>
      <c r="G1553" s="16" t="s">
        <v>222</v>
      </c>
      <c r="H1553" s="16" t="s">
        <v>229</v>
      </c>
      <c r="I1553" s="16" t="s">
        <v>244</v>
      </c>
    </row>
    <row r="1554" ht="242.25" customHeight="1">
      <c r="A1554" s="32" t="b">
        <v>0</v>
      </c>
      <c r="B1554" s="32" t="str">
        <f>IMAGE("https://gymvisual.com/17383-catalog_default/dumbbell-incline-front-raise-with-chest-support.jpg",4,500,500)</f>
        <v/>
      </c>
      <c r="C1554" s="30">
        <v>1553.0</v>
      </c>
      <c r="D1554" s="16" t="s">
        <v>2120</v>
      </c>
      <c r="E1554" s="16" t="s">
        <v>184</v>
      </c>
      <c r="F1554" s="16" t="s">
        <v>228</v>
      </c>
      <c r="G1554" s="16" t="s">
        <v>222</v>
      </c>
      <c r="H1554" s="16" t="s">
        <v>229</v>
      </c>
      <c r="I1554" s="16" t="s">
        <v>244</v>
      </c>
    </row>
    <row r="1555" ht="242.25" customHeight="1">
      <c r="A1555" s="32" t="b">
        <v>0</v>
      </c>
      <c r="B1555" s="32" t="str">
        <f>IMAGE("https://gymvisual.com/980-catalog_default/3-4-sit-up.jpg",4,500,500)</f>
        <v/>
      </c>
      <c r="C1555" s="30">
        <v>1554.0</v>
      </c>
      <c r="D1555" s="16" t="s">
        <v>2121</v>
      </c>
      <c r="E1555" s="16" t="s">
        <v>184</v>
      </c>
      <c r="F1555" s="16" t="s">
        <v>219</v>
      </c>
      <c r="G1555" s="16" t="s">
        <v>222</v>
      </c>
      <c r="H1555" s="16" t="s">
        <v>241</v>
      </c>
      <c r="I1555" s="16" t="s">
        <v>292</v>
      </c>
    </row>
    <row r="1556" ht="242.25" customHeight="1">
      <c r="A1556" s="32" t="b">
        <v>0</v>
      </c>
      <c r="B1556" s="32" t="str">
        <f>IMAGE("https://gymvisual.com/11053-catalog_default/dumbbell-incline-hammer-curl-female.jpg",4,500,500)</f>
        <v/>
      </c>
      <c r="C1556" s="30">
        <v>1555.0</v>
      </c>
      <c r="D1556" s="16" t="s">
        <v>2122</v>
      </c>
      <c r="E1556" s="16" t="s">
        <v>184</v>
      </c>
      <c r="F1556" s="16" t="s">
        <v>219</v>
      </c>
      <c r="G1556" s="16" t="s">
        <v>222</v>
      </c>
      <c r="H1556" s="16" t="s">
        <v>216</v>
      </c>
      <c r="I1556" s="16" t="s">
        <v>217</v>
      </c>
    </row>
    <row r="1557" ht="242.25" customHeight="1">
      <c r="A1557" s="32" t="b">
        <v>0</v>
      </c>
      <c r="B1557" s="32" t="str">
        <f>IMAGE("https://gymvisual.com/983-catalog_default/3-4-sit-up.jpg",4,500,500)</f>
        <v/>
      </c>
      <c r="C1557" s="30">
        <v>1556.0</v>
      </c>
      <c r="D1557" s="16" t="s">
        <v>2123</v>
      </c>
      <c r="E1557" s="16" t="s">
        <v>184</v>
      </c>
      <c r="F1557" s="16" t="s">
        <v>234</v>
      </c>
      <c r="G1557" s="16" t="s">
        <v>222</v>
      </c>
      <c r="H1557" s="16" t="s">
        <v>415</v>
      </c>
      <c r="I1557" s="16" t="s">
        <v>243</v>
      </c>
    </row>
    <row r="1558" ht="242.25" customHeight="1">
      <c r="A1558" s="32" t="b">
        <v>0</v>
      </c>
      <c r="B1558" s="32" t="str">
        <f>IMAGE("https://gymvisual.com/11083-catalog_default/dumbbell-incline-hammer-press-female.jpg",4,500,500)</f>
        <v/>
      </c>
      <c r="C1558" s="30">
        <v>1557.0</v>
      </c>
      <c r="D1558" s="16" t="s">
        <v>2124</v>
      </c>
      <c r="E1558" s="16" t="s">
        <v>184</v>
      </c>
      <c r="F1558" s="16" t="s">
        <v>234</v>
      </c>
      <c r="G1558" s="16" t="s">
        <v>222</v>
      </c>
      <c r="H1558" s="16" t="s">
        <v>223</v>
      </c>
      <c r="I1558" s="16" t="s">
        <v>472</v>
      </c>
    </row>
    <row r="1559" ht="242.25" customHeight="1">
      <c r="A1559" s="32" t="b">
        <v>0</v>
      </c>
      <c r="B1559" s="32" t="str">
        <f>IMAGE("https://gymvisual.com/7093-catalog_default/dumbbell-incline-hammer-press-on-exercise-ball.jpg",4,500,500)</f>
        <v/>
      </c>
      <c r="C1559" s="30">
        <v>1558.0</v>
      </c>
      <c r="D1559" s="16" t="s">
        <v>2125</v>
      </c>
      <c r="E1559" s="16" t="s">
        <v>184</v>
      </c>
      <c r="F1559" s="16" t="s">
        <v>219</v>
      </c>
      <c r="G1559" s="16" t="s">
        <v>222</v>
      </c>
      <c r="H1559" s="16" t="s">
        <v>220</v>
      </c>
      <c r="I1559" s="16" t="s">
        <v>220</v>
      </c>
    </row>
    <row r="1560" ht="242.25" customHeight="1">
      <c r="A1560" s="32" t="b">
        <v>0</v>
      </c>
      <c r="B1560" s="32" t="str">
        <f>IMAGE("https://gymvisual.com/22237-catalog_default/dumbbell-incline-head-supported-row.jpg",4,500,500)</f>
        <v/>
      </c>
      <c r="C1560" s="30">
        <v>1559.0</v>
      </c>
      <c r="D1560" s="16" t="s">
        <v>2126</v>
      </c>
      <c r="E1560" s="16" t="s">
        <v>184</v>
      </c>
      <c r="F1560" s="16" t="s">
        <v>192</v>
      </c>
      <c r="G1560" s="16" t="s">
        <v>222</v>
      </c>
      <c r="H1560" s="16" t="s">
        <v>220</v>
      </c>
      <c r="I1560" s="16" t="s">
        <v>220</v>
      </c>
    </row>
    <row r="1561" ht="242.25" customHeight="1">
      <c r="A1561" s="32" t="b">
        <v>0</v>
      </c>
      <c r="B1561" s="32" t="str">
        <f>IMAGE("https://gymvisual.com/986-catalog_default/3-4-sit-up.jpg",4,500,500)</f>
        <v/>
      </c>
      <c r="C1561" s="30">
        <v>1560.0</v>
      </c>
      <c r="D1561" s="16" t="s">
        <v>2127</v>
      </c>
      <c r="E1561" s="16" t="s">
        <v>184</v>
      </c>
      <c r="F1561" s="16" t="s">
        <v>219</v>
      </c>
      <c r="G1561" s="16" t="s">
        <v>222</v>
      </c>
      <c r="H1561" s="16" t="s">
        <v>241</v>
      </c>
      <c r="I1561" s="16" t="s">
        <v>292</v>
      </c>
    </row>
    <row r="1562" ht="242.25" customHeight="1">
      <c r="A1562" s="32" t="b">
        <v>0</v>
      </c>
      <c r="B1562" s="32" t="str">
        <f>IMAGE("https://gymvisual.com/11134-catalog_default/dumbbell-incline-inner-biceps-curl-female.jpg",4,500,500)</f>
        <v/>
      </c>
      <c r="C1562" s="30">
        <v>1561.0</v>
      </c>
      <c r="D1562" s="16" t="s">
        <v>2128</v>
      </c>
      <c r="E1562" s="16" t="s">
        <v>184</v>
      </c>
      <c r="F1562" s="16" t="s">
        <v>219</v>
      </c>
      <c r="G1562" s="16" t="s">
        <v>222</v>
      </c>
      <c r="H1562" s="16" t="s">
        <v>220</v>
      </c>
      <c r="I1562" s="16" t="s">
        <v>220</v>
      </c>
    </row>
    <row r="1563" ht="242.25" customHeight="1">
      <c r="A1563" s="32" t="b">
        <v>0</v>
      </c>
      <c r="B1563" s="32" t="str">
        <f>IMAGE("https://gymvisual.com/5968-catalog_default/dumbbell-incline-one-arm-fly.jpg",4,500,500)</f>
        <v/>
      </c>
      <c r="C1563" s="30">
        <v>1562.0</v>
      </c>
      <c r="D1563" s="16" t="s">
        <v>2129</v>
      </c>
      <c r="E1563" s="16" t="s">
        <v>184</v>
      </c>
      <c r="F1563" s="16" t="s">
        <v>234</v>
      </c>
      <c r="G1563" s="16" t="s">
        <v>222</v>
      </c>
      <c r="H1563" s="16" t="s">
        <v>415</v>
      </c>
      <c r="I1563" s="16" t="s">
        <v>236</v>
      </c>
    </row>
    <row r="1564" ht="242.25" customHeight="1">
      <c r="A1564" s="32" t="b">
        <v>0</v>
      </c>
      <c r="B1564" s="32" t="str">
        <f>IMAGE("https://gymvisual.com/5969-catalog_default/dumbbell-incline-one-arm-fly-on-exercise-ball.jpg",4,500,500)</f>
        <v/>
      </c>
      <c r="C1564" s="30">
        <v>1563.0</v>
      </c>
      <c r="D1564" s="16" t="s">
        <v>2130</v>
      </c>
      <c r="E1564" s="16" t="s">
        <v>184</v>
      </c>
      <c r="F1564" s="16" t="s">
        <v>234</v>
      </c>
      <c r="G1564" s="16" t="s">
        <v>222</v>
      </c>
      <c r="H1564" s="16" t="s">
        <v>415</v>
      </c>
      <c r="I1564" s="16" t="s">
        <v>236</v>
      </c>
    </row>
    <row r="1565" ht="242.25" customHeight="1">
      <c r="A1565" s="32" t="b">
        <v>0</v>
      </c>
      <c r="B1565" s="32" t="str">
        <f>IMAGE("https://gymvisual.com/17875-catalog_default/dumbbell-incline-one-arm-front-raise-with-chest-support.jpg",4,500,500)</f>
        <v/>
      </c>
      <c r="C1565" s="30">
        <v>1564.0</v>
      </c>
      <c r="D1565" s="16" t="s">
        <v>2131</v>
      </c>
      <c r="E1565" s="16" t="s">
        <v>184</v>
      </c>
      <c r="F1565" s="16" t="s">
        <v>228</v>
      </c>
      <c r="G1565" s="16" t="s">
        <v>222</v>
      </c>
      <c r="H1565" s="16" t="s">
        <v>220</v>
      </c>
      <c r="I1565" s="16" t="s">
        <v>220</v>
      </c>
    </row>
    <row r="1566" ht="242.25" customHeight="1">
      <c r="A1566" s="32" t="b">
        <v>0</v>
      </c>
      <c r="B1566" s="32" t="str">
        <f>IMAGE("https://gymvisual.com/7094-catalog_default/dumbbell-incline-one-arm-hammer-press.jpg",4,500,500)</f>
        <v/>
      </c>
      <c r="C1566" s="30">
        <v>1565.0</v>
      </c>
      <c r="D1566" s="16" t="s">
        <v>2132</v>
      </c>
      <c r="E1566" s="16" t="s">
        <v>184</v>
      </c>
      <c r="F1566" s="16" t="s">
        <v>219</v>
      </c>
      <c r="G1566" s="16" t="s">
        <v>222</v>
      </c>
      <c r="H1566" s="16" t="s">
        <v>220</v>
      </c>
      <c r="I1566" s="16" t="s">
        <v>220</v>
      </c>
    </row>
    <row r="1567" ht="242.25" customHeight="1">
      <c r="A1567" s="32" t="b">
        <v>0</v>
      </c>
      <c r="B1567" s="32" t="str">
        <f>IMAGE("https://gymvisual.com/7095-catalog_default/dumbbell-incline-one-arm-hammer-press-on-exercise-ball.jpg",4,500,500)</f>
        <v/>
      </c>
      <c r="C1567" s="30">
        <v>1566.0</v>
      </c>
      <c r="D1567" s="16" t="s">
        <v>2133</v>
      </c>
      <c r="E1567" s="16" t="s">
        <v>184</v>
      </c>
      <c r="F1567" s="16" t="s">
        <v>219</v>
      </c>
      <c r="G1567" s="16" t="s">
        <v>222</v>
      </c>
      <c r="H1567" s="16" t="s">
        <v>220</v>
      </c>
      <c r="I1567" s="16" t="s">
        <v>220</v>
      </c>
    </row>
    <row r="1568" ht="242.25" customHeight="1">
      <c r="A1568" s="32" t="b">
        <v>0</v>
      </c>
      <c r="B1568" s="32" t="str">
        <f>IMAGE("https://gymvisual.com/989-catalog_default/3-4-sit-up.jpg",4,500,500)</f>
        <v/>
      </c>
      <c r="C1568" s="30">
        <v>1567.0</v>
      </c>
      <c r="D1568" s="16" t="s">
        <v>2134</v>
      </c>
      <c r="E1568" s="16" t="s">
        <v>184</v>
      </c>
      <c r="F1568" s="16" t="s">
        <v>228</v>
      </c>
      <c r="G1568" s="16" t="s">
        <v>222</v>
      </c>
      <c r="H1568" s="16" t="s">
        <v>544</v>
      </c>
      <c r="I1568" s="16" t="s">
        <v>2135</v>
      </c>
    </row>
    <row r="1569" ht="242.25" customHeight="1">
      <c r="A1569" s="32" t="b">
        <v>0</v>
      </c>
      <c r="B1569" s="32" t="str">
        <f>IMAGE("https://gymvisual.com/12057-catalog_default/dumbbell-incline-one-arm-lateral-raise-female.jpg",4,500,500)</f>
        <v/>
      </c>
      <c r="C1569" s="30">
        <v>1568.0</v>
      </c>
      <c r="D1569" s="16" t="s">
        <v>2136</v>
      </c>
      <c r="E1569" s="16" t="s">
        <v>184</v>
      </c>
      <c r="F1569" s="16" t="s">
        <v>228</v>
      </c>
      <c r="G1569" s="16" t="s">
        <v>222</v>
      </c>
      <c r="H1569" s="16" t="s">
        <v>220</v>
      </c>
      <c r="I1569" s="16" t="s">
        <v>220</v>
      </c>
    </row>
    <row r="1570" ht="242.25" customHeight="1">
      <c r="A1570" s="32" t="b">
        <v>0</v>
      </c>
      <c r="B1570" s="32" t="str">
        <f>IMAGE("https://gymvisual.com/5970-catalog_default/dumbbell-incline-one-arm-press.jpg",4,500,500)</f>
        <v/>
      </c>
      <c r="C1570" s="30">
        <v>1569.0</v>
      </c>
      <c r="D1570" s="16" t="s">
        <v>2137</v>
      </c>
      <c r="E1570" s="16" t="s">
        <v>184</v>
      </c>
      <c r="F1570" s="16" t="s">
        <v>234</v>
      </c>
      <c r="G1570" s="16" t="s">
        <v>222</v>
      </c>
      <c r="H1570" s="16" t="s">
        <v>415</v>
      </c>
      <c r="I1570" s="16" t="s">
        <v>243</v>
      </c>
    </row>
    <row r="1571" ht="242.25" customHeight="1">
      <c r="A1571" s="32" t="b">
        <v>0</v>
      </c>
      <c r="B1571" s="32" t="str">
        <f>IMAGE("https://gymvisual.com/5971-catalog_default/dumbbell-incline-one-arm-press-on-exercise-ball.jpg",4,500,500)</f>
        <v/>
      </c>
      <c r="C1571" s="30">
        <v>1570.0</v>
      </c>
      <c r="D1571" s="16" t="s">
        <v>2138</v>
      </c>
      <c r="E1571" s="16" t="s">
        <v>184</v>
      </c>
      <c r="F1571" s="16" t="s">
        <v>234</v>
      </c>
      <c r="G1571" s="16" t="s">
        <v>222</v>
      </c>
      <c r="H1571" s="16" t="s">
        <v>415</v>
      </c>
      <c r="I1571" s="16" t="s">
        <v>243</v>
      </c>
    </row>
    <row r="1572" ht="242.25" customHeight="1">
      <c r="A1572" s="32" t="b">
        <v>0</v>
      </c>
      <c r="B1572" s="32" t="str">
        <f>IMAGE("https://gymvisual.com/11086-catalog_default/dumbbell-incline-palm-in-press-female.jpg",4,500,500)</f>
        <v/>
      </c>
      <c r="C1572" s="30">
        <v>1571.0</v>
      </c>
      <c r="D1572" s="16" t="s">
        <v>2139</v>
      </c>
      <c r="E1572" s="16" t="s">
        <v>184</v>
      </c>
      <c r="F1572" s="16" t="s">
        <v>234</v>
      </c>
      <c r="G1572" s="16" t="s">
        <v>222</v>
      </c>
      <c r="H1572" s="16" t="s">
        <v>220</v>
      </c>
      <c r="I1572" s="16" t="s">
        <v>220</v>
      </c>
    </row>
    <row r="1573" ht="242.25" customHeight="1">
      <c r="A1573" s="32" t="b">
        <v>0</v>
      </c>
      <c r="B1573" s="32" t="str">
        <f>IMAGE("https://gymvisual.com/992-catalog_default/3-4-sit-up.jpg",4,500,500)</f>
        <v/>
      </c>
      <c r="C1573" s="30">
        <v>1572.0</v>
      </c>
      <c r="D1573" s="16" t="s">
        <v>2140</v>
      </c>
      <c r="E1573" s="16" t="s">
        <v>184</v>
      </c>
      <c r="F1573" s="16" t="s">
        <v>234</v>
      </c>
      <c r="G1573" s="16" t="s">
        <v>222</v>
      </c>
      <c r="H1573" s="16" t="s">
        <v>235</v>
      </c>
      <c r="I1573" s="16" t="s">
        <v>243</v>
      </c>
    </row>
    <row r="1574" ht="242.25" customHeight="1">
      <c r="A1574" s="32" t="b">
        <v>0</v>
      </c>
      <c r="B1574" s="32" t="str">
        <f>IMAGE("https://gymvisual.com/5972-catalog_default/dumbbell-incline-press-on-exercise-ball.jpg",4,500,500)</f>
        <v/>
      </c>
      <c r="C1574" s="30">
        <v>1573.0</v>
      </c>
      <c r="D1574" s="16" t="s">
        <v>2141</v>
      </c>
      <c r="E1574" s="16" t="s">
        <v>184</v>
      </c>
      <c r="F1574" s="16" t="s">
        <v>234</v>
      </c>
      <c r="G1574" s="16" t="s">
        <v>222</v>
      </c>
      <c r="H1574" s="16" t="s">
        <v>415</v>
      </c>
      <c r="I1574" s="16" t="s">
        <v>243</v>
      </c>
    </row>
    <row r="1575" ht="242.25" customHeight="1">
      <c r="B1575" s="32" t="str">
        <f>IMAGE("https://gymvisual.com/11411-catalog_default/dumbbell-incline-press-on-exercise-ball-female.jpg",4,500,500)</f>
        <v/>
      </c>
      <c r="C1575" s="30">
        <v>1574.0</v>
      </c>
      <c r="D1575" s="16" t="s">
        <v>2142</v>
      </c>
      <c r="E1575" s="16" t="s">
        <v>184</v>
      </c>
      <c r="F1575" s="16" t="s">
        <v>234</v>
      </c>
      <c r="G1575" s="16" t="s">
        <v>1929</v>
      </c>
      <c r="H1575" s="16" t="s">
        <v>220</v>
      </c>
      <c r="I1575" s="16" t="s">
        <v>220</v>
      </c>
    </row>
    <row r="1576" ht="242.25" customHeight="1">
      <c r="A1576" s="32" t="b">
        <v>0</v>
      </c>
      <c r="B1576" s="32" t="str">
        <f>IMAGE("https://gymvisual.com/995-catalog_default/3-4-sit-up.jpg",4,500,500)</f>
        <v/>
      </c>
      <c r="C1576" s="30">
        <v>1575.0</v>
      </c>
      <c r="D1576" s="16" t="s">
        <v>2143</v>
      </c>
      <c r="E1576" s="16" t="s">
        <v>184</v>
      </c>
      <c r="F1576" s="16" t="s">
        <v>228</v>
      </c>
      <c r="G1576" s="16" t="s">
        <v>222</v>
      </c>
      <c r="H1576" s="16" t="s">
        <v>229</v>
      </c>
      <c r="I1576" s="16" t="s">
        <v>244</v>
      </c>
    </row>
    <row r="1577" ht="242.25" customHeight="1">
      <c r="A1577" s="32" t="b">
        <v>0</v>
      </c>
      <c r="B1577" s="32" t="str">
        <f>IMAGE("https://gymvisual.com/11119-catalog_default/dumbbell-incline-raise-female.jpg",4,500,500)</f>
        <v/>
      </c>
      <c r="C1577" s="30">
        <v>1576.0</v>
      </c>
      <c r="D1577" s="16" t="s">
        <v>2144</v>
      </c>
      <c r="E1577" s="16" t="s">
        <v>184</v>
      </c>
      <c r="F1577" s="16" t="s">
        <v>228</v>
      </c>
      <c r="G1577" s="16" t="s">
        <v>222</v>
      </c>
      <c r="H1577" s="16" t="s">
        <v>220</v>
      </c>
      <c r="I1577" s="16" t="s">
        <v>220</v>
      </c>
    </row>
    <row r="1578" ht="242.25" customHeight="1">
      <c r="A1578" s="32" t="b">
        <v>0</v>
      </c>
      <c r="B1578" s="32" t="str">
        <f>IMAGE("https://gymvisual.com/11071-catalog_default/dumbbell-incline-rear-fly-female.jpg",4,500,500)</f>
        <v/>
      </c>
      <c r="C1578" s="30">
        <v>1577.0</v>
      </c>
      <c r="D1578" s="16" t="s">
        <v>2145</v>
      </c>
      <c r="E1578" s="16" t="s">
        <v>184</v>
      </c>
      <c r="F1578" s="16" t="s">
        <v>228</v>
      </c>
      <c r="G1578" s="16" t="s">
        <v>222</v>
      </c>
      <c r="H1578" s="16" t="s">
        <v>408</v>
      </c>
      <c r="I1578" s="16" t="s">
        <v>452</v>
      </c>
    </row>
    <row r="1579" ht="242.25" customHeight="1">
      <c r="A1579" s="32" t="b">
        <v>0</v>
      </c>
      <c r="B1579" s="32" t="str">
        <f>IMAGE("https://gymvisual.com/998-catalog_default/3-4-sit-up.jpg",4,500,500)</f>
        <v/>
      </c>
      <c r="C1579" s="30">
        <v>1578.0</v>
      </c>
      <c r="D1579" s="16" t="s">
        <v>2146</v>
      </c>
      <c r="E1579" s="16" t="s">
        <v>184</v>
      </c>
      <c r="F1579" s="16" t="s">
        <v>228</v>
      </c>
      <c r="G1579" s="16" t="s">
        <v>222</v>
      </c>
      <c r="H1579" s="16" t="s">
        <v>1997</v>
      </c>
      <c r="I1579" s="16" t="s">
        <v>2147</v>
      </c>
    </row>
    <row r="1580" ht="242.25" customHeight="1">
      <c r="A1580" s="32" t="b">
        <v>0</v>
      </c>
      <c r="B1580" s="32" t="str">
        <f>IMAGE("https://gymvisual.com/4582-catalog_default/dumbbell-incline-reverse-grip-30-degrees-bench-press.jpg",4,500,500)</f>
        <v/>
      </c>
      <c r="C1580" s="30">
        <v>1579.0</v>
      </c>
      <c r="D1580" s="16" t="s">
        <v>2148</v>
      </c>
      <c r="E1580" s="16" t="s">
        <v>184</v>
      </c>
      <c r="F1580" s="16" t="s">
        <v>234</v>
      </c>
      <c r="G1580" s="16" t="s">
        <v>222</v>
      </c>
      <c r="H1580" s="16" t="s">
        <v>415</v>
      </c>
      <c r="I1580" s="16" t="s">
        <v>2149</v>
      </c>
    </row>
    <row r="1581" ht="242.25" customHeight="1">
      <c r="A1581" s="32" t="b">
        <v>0</v>
      </c>
      <c r="B1581" s="32" t="str">
        <f>IMAGE("https://gymvisual.com/1001-catalog_default/3-4-sit-up.jpg",4,500,500)</f>
        <v/>
      </c>
      <c r="C1581" s="30">
        <v>1580.0</v>
      </c>
      <c r="D1581" s="16" t="s">
        <v>2150</v>
      </c>
      <c r="E1581" s="16" t="s">
        <v>184</v>
      </c>
      <c r="F1581" s="16" t="s">
        <v>192</v>
      </c>
      <c r="G1581" s="16" t="s">
        <v>222</v>
      </c>
      <c r="H1581" s="16" t="s">
        <v>329</v>
      </c>
      <c r="I1581" s="16" t="s">
        <v>194</v>
      </c>
    </row>
    <row r="1582" ht="242.25" customHeight="1">
      <c r="A1582" s="32" t="b">
        <v>0</v>
      </c>
      <c r="B1582" s="32" t="str">
        <f>IMAGE("https://gymvisual.com/11101-catalog_default/dumbbell-incline-row-female.jpg",4,500,500)</f>
        <v/>
      </c>
      <c r="C1582" s="30">
        <v>1581.0</v>
      </c>
      <c r="D1582" s="16" t="s">
        <v>2151</v>
      </c>
      <c r="E1582" s="16" t="s">
        <v>184</v>
      </c>
      <c r="F1582" s="16" t="s">
        <v>192</v>
      </c>
      <c r="G1582" s="16" t="s">
        <v>186</v>
      </c>
      <c r="H1582" s="16" t="s">
        <v>570</v>
      </c>
      <c r="I1582" s="16" t="s">
        <v>447</v>
      </c>
    </row>
    <row r="1583" ht="242.25" customHeight="1">
      <c r="A1583" s="32" t="b">
        <v>0</v>
      </c>
      <c r="B1583" s="32" t="str">
        <f>IMAGE("https://gymvisual.com/1004-catalog_default/3-4-sit-up.jpg",4,500,500)</f>
        <v/>
      </c>
      <c r="C1583" s="30">
        <v>1582.0</v>
      </c>
      <c r="D1583" s="16" t="s">
        <v>2152</v>
      </c>
      <c r="E1583" s="16" t="s">
        <v>184</v>
      </c>
      <c r="F1583" s="16" t="s">
        <v>234</v>
      </c>
      <c r="G1583" s="16" t="s">
        <v>222</v>
      </c>
      <c r="H1583" s="16" t="s">
        <v>885</v>
      </c>
      <c r="I1583" s="16" t="s">
        <v>415</v>
      </c>
    </row>
    <row r="1584" ht="242.25" customHeight="1">
      <c r="A1584" s="32" t="b">
        <v>0</v>
      </c>
      <c r="B1584" s="32" t="str">
        <f>IMAGE("https://gymvisual.com/21034-catalog_default/dumbbell-incline-shoulders-press.jpg",4,500,500)</f>
        <v/>
      </c>
      <c r="C1584" s="30">
        <v>1583.0</v>
      </c>
      <c r="D1584" s="16" t="s">
        <v>2153</v>
      </c>
      <c r="E1584" s="16" t="s">
        <v>184</v>
      </c>
      <c r="F1584" s="16" t="s">
        <v>228</v>
      </c>
      <c r="G1584" s="16" t="s">
        <v>222</v>
      </c>
      <c r="H1584" s="16" t="s">
        <v>220</v>
      </c>
      <c r="I1584" s="16" t="s">
        <v>220</v>
      </c>
    </row>
    <row r="1585" ht="242.25" customHeight="1">
      <c r="A1585" s="32" t="b">
        <v>0</v>
      </c>
      <c r="B1585" s="32" t="str">
        <f>IMAGE("https://gymvisual.com/1007-catalog_default/3-4-sit-up.jpg",4,500,500)</f>
        <v/>
      </c>
      <c r="C1585" s="30">
        <v>1584.0</v>
      </c>
      <c r="D1585" s="16" t="s">
        <v>2154</v>
      </c>
      <c r="E1585" s="16" t="s">
        <v>184</v>
      </c>
      <c r="F1585" s="16" t="s">
        <v>192</v>
      </c>
      <c r="G1585" s="16" t="s">
        <v>222</v>
      </c>
      <c r="H1585" s="16" t="s">
        <v>238</v>
      </c>
      <c r="I1585" s="16" t="s">
        <v>239</v>
      </c>
    </row>
    <row r="1586" ht="242.25" customHeight="1">
      <c r="A1586" s="32" t="b">
        <v>0</v>
      </c>
      <c r="B1586" s="32" t="str">
        <f>IMAGE("https://gymvisual.com/17276-catalog_default/dumbbell-incline-shrug-female.jpg",4,500,500)</f>
        <v/>
      </c>
      <c r="C1586" s="30">
        <v>1585.0</v>
      </c>
      <c r="D1586" s="16" t="s">
        <v>2155</v>
      </c>
      <c r="E1586" s="16" t="s">
        <v>184</v>
      </c>
      <c r="F1586" s="16" t="s">
        <v>192</v>
      </c>
      <c r="G1586" s="16" t="s">
        <v>222</v>
      </c>
      <c r="H1586" s="16" t="s">
        <v>238</v>
      </c>
      <c r="I1586" s="16" t="s">
        <v>239</v>
      </c>
    </row>
    <row r="1587" ht="242.25" customHeight="1">
      <c r="A1587" s="32" t="b">
        <v>0</v>
      </c>
      <c r="B1587" s="32" t="str">
        <f>IMAGE("https://gymvisual.com/23881-catalog_default/dumbbell-incline-squeeze-press.jpg",4,500,500)</f>
        <v/>
      </c>
      <c r="C1587" s="30">
        <v>1586.0</v>
      </c>
      <c r="D1587" s="16" t="s">
        <v>2156</v>
      </c>
      <c r="E1587" s="16" t="s">
        <v>184</v>
      </c>
      <c r="F1587" s="16" t="s">
        <v>219</v>
      </c>
      <c r="G1587" s="16" t="s">
        <v>222</v>
      </c>
      <c r="H1587" s="16" t="s">
        <v>415</v>
      </c>
      <c r="I1587" s="16" t="s">
        <v>243</v>
      </c>
    </row>
    <row r="1588" ht="242.25" customHeight="1">
      <c r="A1588" s="32" t="b">
        <v>0</v>
      </c>
      <c r="B1588" s="32" t="str">
        <f>IMAGE("https://gymvisual.com/14096-catalog_default/dumbbell-incline-t-raise.jpg",4,500,500)</f>
        <v/>
      </c>
      <c r="C1588" s="30">
        <v>1587.0</v>
      </c>
      <c r="D1588" s="16" t="s">
        <v>2157</v>
      </c>
      <c r="E1588" s="16" t="s">
        <v>184</v>
      </c>
      <c r="F1588" s="16" t="s">
        <v>228</v>
      </c>
      <c r="G1588" s="16" t="s">
        <v>222</v>
      </c>
      <c r="H1588" s="16" t="s">
        <v>408</v>
      </c>
      <c r="I1588" s="16" t="s">
        <v>731</v>
      </c>
    </row>
    <row r="1589" ht="242.25" customHeight="1">
      <c r="A1589" s="32" t="b">
        <v>0</v>
      </c>
      <c r="B1589" s="32" t="str">
        <f>IMAGE("https://gymvisual.com/20622-catalog_default/3-4-sit-up.jpg",4,500,500)</f>
        <v/>
      </c>
      <c r="C1589" s="30">
        <v>1588.0</v>
      </c>
      <c r="D1589" s="16" t="s">
        <v>2158</v>
      </c>
      <c r="E1589" s="16" t="s">
        <v>184</v>
      </c>
      <c r="F1589" s="16" t="s">
        <v>219</v>
      </c>
      <c r="G1589" s="16" t="s">
        <v>222</v>
      </c>
      <c r="H1589" s="16" t="s">
        <v>223</v>
      </c>
      <c r="I1589" s="16" t="s">
        <v>220</v>
      </c>
    </row>
    <row r="1590" ht="242.25" customHeight="1">
      <c r="A1590" s="32" t="b">
        <v>0</v>
      </c>
      <c r="B1590" s="32" t="str">
        <f>IMAGE("https://gymvisual.com/11092-catalog_default/dumbbell-incline-triceps-extension-female.jpg",4,500,500)</f>
        <v/>
      </c>
      <c r="C1590" s="30">
        <v>1589.0</v>
      </c>
      <c r="D1590" s="16" t="s">
        <v>2159</v>
      </c>
      <c r="E1590" s="16" t="s">
        <v>184</v>
      </c>
      <c r="F1590" s="16" t="s">
        <v>219</v>
      </c>
      <c r="G1590" s="16" t="s">
        <v>222</v>
      </c>
      <c r="H1590" s="16" t="s">
        <v>223</v>
      </c>
      <c r="I1590" s="16" t="s">
        <v>220</v>
      </c>
    </row>
    <row r="1591" ht="242.25" customHeight="1">
      <c r="A1591" s="32" t="b">
        <v>0</v>
      </c>
      <c r="B1591" s="32" t="str">
        <f>IMAGE("https://gymvisual.com/1013-catalog_default/3-4-sit-up.jpg",4,500,500)</f>
        <v/>
      </c>
      <c r="C1591" s="30">
        <v>1590.0</v>
      </c>
      <c r="D1591" s="16" t="s">
        <v>2160</v>
      </c>
      <c r="E1591" s="16" t="s">
        <v>184</v>
      </c>
      <c r="F1591" s="16" t="s">
        <v>234</v>
      </c>
      <c r="G1591" s="16" t="s">
        <v>222</v>
      </c>
      <c r="H1591" s="16" t="s">
        <v>415</v>
      </c>
      <c r="I1591" s="16" t="s">
        <v>236</v>
      </c>
    </row>
    <row r="1592" ht="242.25" customHeight="1">
      <c r="A1592" s="32" t="b">
        <v>0</v>
      </c>
      <c r="B1592" s="32" t="str">
        <f>IMAGE("https://gymvisual.com/7452-catalog_default/dumbbell-incline-two-arm-extension.jpg",4,500,500)</f>
        <v/>
      </c>
      <c r="C1592" s="30">
        <v>1591.0</v>
      </c>
      <c r="D1592" s="16" t="s">
        <v>2161</v>
      </c>
      <c r="E1592" s="16" t="s">
        <v>184</v>
      </c>
      <c r="F1592" s="16" t="s">
        <v>219</v>
      </c>
      <c r="G1592" s="16" t="s">
        <v>222</v>
      </c>
      <c r="H1592" s="16" t="s">
        <v>223</v>
      </c>
      <c r="I1592" s="16" t="s">
        <v>220</v>
      </c>
    </row>
    <row r="1593" ht="242.25" customHeight="1">
      <c r="A1593" s="32" t="b">
        <v>0</v>
      </c>
      <c r="B1593" s="32" t="str">
        <f>IMAGE("https://gymvisual.com/13425-catalog_default/dumbbell-incline-two-arm-extension-female.jpg",4,500,500)</f>
        <v/>
      </c>
      <c r="C1593" s="30">
        <v>1592.0</v>
      </c>
      <c r="D1593" s="16" t="s">
        <v>2162</v>
      </c>
      <c r="E1593" s="16" t="s">
        <v>184</v>
      </c>
      <c r="F1593" s="16" t="s">
        <v>219</v>
      </c>
      <c r="G1593" s="16" t="s">
        <v>222</v>
      </c>
      <c r="H1593" s="16" t="s">
        <v>223</v>
      </c>
      <c r="I1593" s="16" t="s">
        <v>220</v>
      </c>
    </row>
    <row r="1594" ht="242.25" customHeight="1">
      <c r="A1594" s="32" t="b">
        <v>0</v>
      </c>
      <c r="B1594" s="32" t="str">
        <f>IMAGE("https://gymvisual.com/17636-catalog_default/dumbbell-incline-two-front-raise-with-chest-support.jpg",4,500,500)</f>
        <v/>
      </c>
      <c r="C1594" s="30">
        <v>1593.0</v>
      </c>
      <c r="D1594" s="16" t="s">
        <v>2163</v>
      </c>
      <c r="E1594" s="16" t="s">
        <v>184</v>
      </c>
      <c r="F1594" s="16" t="s">
        <v>228</v>
      </c>
      <c r="G1594" s="16" t="s">
        <v>222</v>
      </c>
      <c r="H1594" s="16" t="s">
        <v>229</v>
      </c>
      <c r="I1594" s="16" t="s">
        <v>244</v>
      </c>
    </row>
    <row r="1595" ht="242.25" customHeight="1">
      <c r="A1595" s="32" t="b">
        <v>0</v>
      </c>
      <c r="B1595" s="32" t="str">
        <f>IMAGE("https://gymvisual.com/14094-catalog_default/dumbbell-incline-y-raise.jpg",4,500,500)</f>
        <v/>
      </c>
      <c r="C1595" s="30">
        <v>1594.0</v>
      </c>
      <c r="D1595" s="16" t="s">
        <v>2164</v>
      </c>
      <c r="E1595" s="16" t="s">
        <v>184</v>
      </c>
      <c r="F1595" s="16" t="s">
        <v>228</v>
      </c>
      <c r="G1595" s="16" t="s">
        <v>222</v>
      </c>
      <c r="H1595" s="16" t="s">
        <v>2165</v>
      </c>
      <c r="I1595" s="16" t="s">
        <v>220</v>
      </c>
    </row>
    <row r="1596" ht="242.25" customHeight="1">
      <c r="A1596" s="32" t="b">
        <v>0</v>
      </c>
      <c r="B1596" s="32" t="str">
        <f>IMAGE("https://gymvisual.com/17829-catalog_default/dumbbell-ipsilateral-split-squat.jpg",4,500,500)</f>
        <v/>
      </c>
      <c r="C1596" s="30">
        <v>1595.0</v>
      </c>
      <c r="D1596" s="16" t="s">
        <v>2166</v>
      </c>
      <c r="E1596" s="16" t="s">
        <v>184</v>
      </c>
      <c r="F1596" s="16" t="s">
        <v>285</v>
      </c>
      <c r="G1596" s="16" t="s">
        <v>222</v>
      </c>
      <c r="H1596" s="16" t="s">
        <v>220</v>
      </c>
      <c r="I1596" s="16" t="s">
        <v>220</v>
      </c>
    </row>
    <row r="1597" ht="242.25" customHeight="1">
      <c r="A1597" s="32" t="b">
        <v>0</v>
      </c>
      <c r="B1597" s="32" t="str">
        <f>IMAGE("https://gymvisual.com/1016-catalog_default/3-4-sit-up.jpg",4,500,500)</f>
        <v/>
      </c>
      <c r="C1597" s="30">
        <v>1596.0</v>
      </c>
      <c r="D1597" s="16" t="s">
        <v>2167</v>
      </c>
      <c r="E1597" s="16" t="s">
        <v>184</v>
      </c>
      <c r="F1597" s="16" t="s">
        <v>228</v>
      </c>
      <c r="G1597" s="16" t="s">
        <v>222</v>
      </c>
      <c r="H1597" s="16" t="s">
        <v>2168</v>
      </c>
      <c r="I1597" s="16" t="s">
        <v>2169</v>
      </c>
    </row>
    <row r="1598" ht="242.25" customHeight="1">
      <c r="A1598" s="32" t="b">
        <v>0</v>
      </c>
      <c r="B1598" s="32" t="str">
        <f>IMAGE("https://gymvisual.com/14266-catalog_default/dumbbell-iron-cross-female.jpg",4,500,500)</f>
        <v/>
      </c>
      <c r="C1598" s="30">
        <v>1597.0</v>
      </c>
      <c r="D1598" s="16" t="s">
        <v>2170</v>
      </c>
      <c r="E1598" s="16" t="s">
        <v>184</v>
      </c>
      <c r="F1598" s="16" t="s">
        <v>691</v>
      </c>
      <c r="G1598" s="16" t="s">
        <v>222</v>
      </c>
      <c r="H1598" s="16" t="s">
        <v>2168</v>
      </c>
      <c r="I1598" s="16" t="s">
        <v>2169</v>
      </c>
    </row>
    <row r="1599" ht="242.25" customHeight="1">
      <c r="A1599" s="32" t="b">
        <v>0</v>
      </c>
      <c r="B1599" s="32" t="str">
        <f>IMAGE("https://gymvisual.com/24496-catalog_default/dumbbell-kas-glute-bridge-female.jpg",4,500,500)</f>
        <v/>
      </c>
      <c r="C1599" s="30">
        <v>1598.0</v>
      </c>
      <c r="D1599" s="16" t="s">
        <v>2171</v>
      </c>
      <c r="E1599" s="16" t="s">
        <v>184</v>
      </c>
      <c r="F1599" s="16" t="s">
        <v>185</v>
      </c>
      <c r="G1599" s="16" t="s">
        <v>222</v>
      </c>
      <c r="H1599" s="16" t="s">
        <v>220</v>
      </c>
      <c r="I1599" s="16" t="s">
        <v>220</v>
      </c>
    </row>
    <row r="1600" ht="242.25" customHeight="1">
      <c r="A1600" s="32" t="b">
        <v>0</v>
      </c>
      <c r="B1600" s="32" t="str">
        <f>IMAGE("https://gymvisual.com/1019-catalog_default/3-4-sit-up.jpg",4,500,500)</f>
        <v/>
      </c>
      <c r="C1600" s="30">
        <v>1599.0</v>
      </c>
      <c r="D1600" s="16" t="s">
        <v>221</v>
      </c>
      <c r="E1600" s="16" t="s">
        <v>184</v>
      </c>
      <c r="F1600" s="16" t="s">
        <v>219</v>
      </c>
      <c r="G1600" s="16" t="s">
        <v>222</v>
      </c>
      <c r="H1600" s="16" t="s">
        <v>223</v>
      </c>
      <c r="I1600" s="16" t="s">
        <v>220</v>
      </c>
    </row>
    <row r="1601" ht="242.25" customHeight="1">
      <c r="A1601" s="32" t="b">
        <v>0</v>
      </c>
      <c r="B1601" s="32" t="str">
        <f>IMAGE("https://gymvisual.com/10936-catalog_default/dumbbell-kickback-female.jpg",4,500,500)</f>
        <v/>
      </c>
      <c r="C1601" s="30">
        <v>1600.0</v>
      </c>
      <c r="D1601" s="16" t="s">
        <v>2172</v>
      </c>
      <c r="E1601" s="16" t="s">
        <v>184</v>
      </c>
      <c r="F1601" s="16" t="s">
        <v>219</v>
      </c>
      <c r="G1601" s="16" t="s">
        <v>222</v>
      </c>
      <c r="H1601" s="16" t="s">
        <v>223</v>
      </c>
      <c r="I1601" s="16" t="s">
        <v>220</v>
      </c>
    </row>
    <row r="1602" ht="242.25" customHeight="1">
      <c r="A1602" s="32" t="b">
        <v>0</v>
      </c>
      <c r="B1602" s="32" t="str">
        <f>IMAGE("https://gymvisual.com/7453-catalog_default/dumbbell-kickbacks-on-exercise-ball.jpg",4,500,500)</f>
        <v/>
      </c>
      <c r="C1602" s="30">
        <v>1601.0</v>
      </c>
      <c r="D1602" s="16" t="s">
        <v>2173</v>
      </c>
      <c r="E1602" s="16" t="s">
        <v>184</v>
      </c>
      <c r="F1602" s="16" t="s">
        <v>219</v>
      </c>
      <c r="G1602" s="16" t="s">
        <v>222</v>
      </c>
      <c r="H1602" s="16" t="s">
        <v>220</v>
      </c>
      <c r="I1602" s="16" t="s">
        <v>220</v>
      </c>
    </row>
    <row r="1603" ht="242.25" customHeight="1">
      <c r="A1603" s="32" t="b">
        <v>0</v>
      </c>
      <c r="B1603" s="32" t="str">
        <f>IMAGE("https://gymvisual.com/22239-catalog_default/dumbbell-kneeling-arnold-press.jpg",4,500,500)</f>
        <v/>
      </c>
      <c r="C1603" s="30">
        <v>1602.0</v>
      </c>
      <c r="D1603" s="16" t="s">
        <v>2174</v>
      </c>
      <c r="E1603" s="16" t="s">
        <v>184</v>
      </c>
      <c r="F1603" s="16" t="s">
        <v>228</v>
      </c>
      <c r="G1603" s="16" t="s">
        <v>222</v>
      </c>
      <c r="H1603" s="16" t="s">
        <v>220</v>
      </c>
      <c r="I1603" s="16" t="s">
        <v>220</v>
      </c>
    </row>
    <row r="1604" ht="242.25" customHeight="1">
      <c r="A1604" s="32" t="b">
        <v>0</v>
      </c>
      <c r="B1604" s="32" t="str">
        <f>IMAGE("https://gymvisual.com/7134-catalog_default/dumbbell-kneeling-bicep-curl-exercise-ball.jpg",4,500,500)</f>
        <v/>
      </c>
      <c r="C1604" s="30">
        <v>1603.0</v>
      </c>
      <c r="D1604" s="16" t="s">
        <v>2175</v>
      </c>
      <c r="E1604" s="16" t="s">
        <v>184</v>
      </c>
      <c r="F1604" s="16" t="s">
        <v>219</v>
      </c>
      <c r="G1604" s="16" t="s">
        <v>222</v>
      </c>
      <c r="H1604" s="16" t="s">
        <v>220</v>
      </c>
      <c r="I1604" s="16" t="s">
        <v>220</v>
      </c>
    </row>
    <row r="1605" ht="242.25" customHeight="1">
      <c r="A1605" s="32" t="b">
        <v>0</v>
      </c>
      <c r="B1605" s="32" t="str">
        <f>IMAGE("https://gymvisual.com/14767-catalog_default/dumbbell-kneeling-hold-to-stand.jpg",4,500,500)</f>
        <v/>
      </c>
      <c r="C1605" s="30">
        <v>1604.0</v>
      </c>
      <c r="D1605" s="16" t="s">
        <v>2176</v>
      </c>
      <c r="E1605" s="16" t="s">
        <v>184</v>
      </c>
      <c r="F1605" s="16" t="s">
        <v>691</v>
      </c>
      <c r="G1605" s="16" t="s">
        <v>222</v>
      </c>
      <c r="H1605" s="16" t="s">
        <v>793</v>
      </c>
      <c r="I1605" s="16" t="s">
        <v>2177</v>
      </c>
    </row>
    <row r="1606" ht="242.25" customHeight="1">
      <c r="A1606" s="32" t="b">
        <v>0</v>
      </c>
      <c r="B1606" s="32" t="str">
        <f>IMAGE("https://gymvisual.com/24097-catalog_default/dumbbell-kneeling-hold-to-stand-clean-grip.jpg",4,500,500)</f>
        <v/>
      </c>
      <c r="C1606" s="30">
        <v>1605.0</v>
      </c>
      <c r="D1606" s="16" t="s">
        <v>2178</v>
      </c>
      <c r="E1606" s="16" t="s">
        <v>184</v>
      </c>
      <c r="F1606" s="16" t="s">
        <v>285</v>
      </c>
      <c r="G1606" s="16" t="s">
        <v>222</v>
      </c>
      <c r="H1606" s="16" t="s">
        <v>220</v>
      </c>
      <c r="I1606" s="16" t="s">
        <v>220</v>
      </c>
    </row>
    <row r="1607" ht="242.25" customHeight="1">
      <c r="A1607" s="32" t="b">
        <v>0</v>
      </c>
      <c r="B1607" s="32" t="str">
        <f>IMAGE("https://gymvisual.com/22391-catalog_default/dumbbell-lateral-lunge.jpg",4,500,500)</f>
        <v/>
      </c>
      <c r="C1607" s="30">
        <v>1606.0</v>
      </c>
      <c r="D1607" s="16" t="s">
        <v>2179</v>
      </c>
      <c r="E1607" s="16" t="s">
        <v>184</v>
      </c>
      <c r="F1607" s="16" t="s">
        <v>285</v>
      </c>
      <c r="G1607" s="16" t="s">
        <v>222</v>
      </c>
      <c r="H1607" s="16" t="s">
        <v>220</v>
      </c>
      <c r="I1607" s="16" t="s">
        <v>220</v>
      </c>
    </row>
    <row r="1608" ht="242.25" customHeight="1">
      <c r="A1608" s="32" t="b">
        <v>0</v>
      </c>
      <c r="B1608" s="32" t="str">
        <f>IMAGE("https://gymvisual.com/6800-catalog_default/dumbbell-lateral-lunge-with-bicep-curl.jpg",4,500,500)</f>
        <v/>
      </c>
      <c r="C1608" s="30">
        <v>1607.0</v>
      </c>
      <c r="D1608" s="16" t="s">
        <v>2180</v>
      </c>
      <c r="E1608" s="16" t="s">
        <v>184</v>
      </c>
      <c r="F1608" s="16" t="s">
        <v>285</v>
      </c>
      <c r="G1608" s="16" t="s">
        <v>222</v>
      </c>
      <c r="H1608" s="16" t="s">
        <v>220</v>
      </c>
      <c r="I1608" s="16" t="s">
        <v>220</v>
      </c>
    </row>
    <row r="1609" ht="242.25" customHeight="1">
      <c r="A1609" s="32" t="b">
        <v>0</v>
      </c>
      <c r="B1609" s="32" t="str">
        <f>IMAGE("https://gymvisual.com/15650-catalog_default/3-4-sit-up.jpg",4,500,500)</f>
        <v/>
      </c>
      <c r="C1609" s="30">
        <v>1608.0</v>
      </c>
      <c r="D1609" s="16" t="s">
        <v>2181</v>
      </c>
      <c r="E1609" s="16" t="s">
        <v>184</v>
      </c>
      <c r="F1609" s="16" t="s">
        <v>228</v>
      </c>
      <c r="G1609" s="16" t="s">
        <v>222</v>
      </c>
      <c r="H1609" s="16" t="s">
        <v>544</v>
      </c>
      <c r="I1609" s="16" t="s">
        <v>545</v>
      </c>
    </row>
    <row r="1610" ht="242.25" customHeight="1">
      <c r="A1610" s="32" t="b">
        <v>0</v>
      </c>
      <c r="B1610" s="32" t="str">
        <f>IMAGE("https://gymvisual.com/10579-catalog_default/dumbbell-lateral-step-up-female.jpg",4,500,500)</f>
        <v/>
      </c>
      <c r="C1610" s="30">
        <v>1609.0</v>
      </c>
      <c r="D1610" s="16" t="s">
        <v>2182</v>
      </c>
      <c r="E1610" s="16" t="s">
        <v>184</v>
      </c>
      <c r="F1610" s="16" t="s">
        <v>294</v>
      </c>
      <c r="G1610" s="16" t="s">
        <v>222</v>
      </c>
      <c r="H1610" s="16" t="s">
        <v>189</v>
      </c>
      <c r="I1610" s="16" t="s">
        <v>2046</v>
      </c>
    </row>
    <row r="1611" ht="242.25" customHeight="1">
      <c r="A1611" s="32" t="b">
        <v>0</v>
      </c>
      <c r="B1611" s="32" t="str">
        <f>IMAGE("https://gymvisual.com/1025-catalog_default/3-4-sit-up.jpg",4,500,500)</f>
        <v/>
      </c>
      <c r="C1611" s="30">
        <v>1610.0</v>
      </c>
      <c r="D1611" s="16" t="s">
        <v>2183</v>
      </c>
      <c r="E1611" s="16" t="s">
        <v>184</v>
      </c>
      <c r="F1611" s="16" t="s">
        <v>228</v>
      </c>
      <c r="G1611" s="16" t="s">
        <v>222</v>
      </c>
      <c r="H1611" s="16" t="s">
        <v>454</v>
      </c>
      <c r="I1611" s="16" t="s">
        <v>389</v>
      </c>
    </row>
    <row r="1612" ht="242.25" customHeight="1">
      <c r="A1612" s="32" t="b">
        <v>0</v>
      </c>
      <c r="B1612" s="32" t="str">
        <f>IMAGE("https://gymvisual.com/17173-catalog_default/dumbbell-low-fly.jpg",4,500,500)</f>
        <v/>
      </c>
      <c r="C1612" s="30">
        <v>1611.0</v>
      </c>
      <c r="D1612" s="16" t="s">
        <v>2184</v>
      </c>
      <c r="E1612" s="16" t="s">
        <v>184</v>
      </c>
      <c r="F1612" s="16" t="s">
        <v>234</v>
      </c>
      <c r="G1612" s="16" t="s">
        <v>222</v>
      </c>
      <c r="H1612" s="16" t="s">
        <v>415</v>
      </c>
      <c r="I1612" s="16" t="s">
        <v>236</v>
      </c>
    </row>
    <row r="1613" ht="242.25" customHeight="1">
      <c r="A1613" s="32" t="b">
        <v>0</v>
      </c>
      <c r="B1613" s="32" t="str">
        <f>IMAGE("https://gymvisual.com/22241-catalog_default/dumbbell-low-windmill.jpg",4,500,500)</f>
        <v/>
      </c>
      <c r="C1613" s="30">
        <v>1612.0</v>
      </c>
      <c r="D1613" s="16" t="s">
        <v>2185</v>
      </c>
      <c r="E1613" s="16" t="s">
        <v>184</v>
      </c>
      <c r="F1613" s="16" t="s">
        <v>254</v>
      </c>
      <c r="G1613" s="16" t="s">
        <v>222</v>
      </c>
      <c r="H1613" s="16" t="s">
        <v>220</v>
      </c>
      <c r="I1613" s="16" t="s">
        <v>220</v>
      </c>
    </row>
    <row r="1614" ht="242.25" customHeight="1">
      <c r="A1614" s="32" t="b">
        <v>0</v>
      </c>
      <c r="B1614" s="32" t="str">
        <f>IMAGE("https://gymvisual.com/20624-catalog_default/3-4-sit-up.jpg",4,500,500)</f>
        <v/>
      </c>
      <c r="C1614" s="30">
        <v>1613.0</v>
      </c>
      <c r="D1614" s="16" t="s">
        <v>95</v>
      </c>
      <c r="E1614" s="16" t="s">
        <v>184</v>
      </c>
      <c r="F1614" s="16" t="s">
        <v>185</v>
      </c>
      <c r="G1614" s="16" t="s">
        <v>222</v>
      </c>
      <c r="H1614" s="16" t="s">
        <v>189</v>
      </c>
      <c r="I1614" s="16" t="s">
        <v>190</v>
      </c>
    </row>
    <row r="1615" ht="242.25" customHeight="1">
      <c r="A1615" s="32" t="b">
        <v>0</v>
      </c>
      <c r="B1615" s="32" t="str">
        <f>IMAGE("https://gymvisual.com/9568-catalog_default/dumbbell-lunge-female.jpg",4,500,500)</f>
        <v/>
      </c>
      <c r="C1615" s="30">
        <v>1614.0</v>
      </c>
      <c r="D1615" s="16" t="s">
        <v>2186</v>
      </c>
      <c r="E1615" s="16" t="s">
        <v>184</v>
      </c>
      <c r="F1615" s="16" t="s">
        <v>294</v>
      </c>
      <c r="G1615" s="16" t="s">
        <v>222</v>
      </c>
      <c r="H1615" s="16" t="s">
        <v>189</v>
      </c>
      <c r="I1615" s="16" t="s">
        <v>190</v>
      </c>
    </row>
    <row r="1616" ht="242.25" customHeight="1">
      <c r="A1616" s="32" t="b">
        <v>0</v>
      </c>
      <c r="B1616" s="32" t="str">
        <f>IMAGE("https://gymvisual.com/13632-catalog_default/dumbbell-lunge-version-2.jpg",4,500,500)</f>
        <v/>
      </c>
      <c r="C1616" s="30">
        <v>1615.0</v>
      </c>
      <c r="D1616" s="16" t="s">
        <v>2187</v>
      </c>
      <c r="E1616" s="16" t="s">
        <v>184</v>
      </c>
      <c r="F1616" s="16" t="s">
        <v>285</v>
      </c>
      <c r="G1616" s="16" t="s">
        <v>222</v>
      </c>
      <c r="H1616" s="16" t="s">
        <v>189</v>
      </c>
      <c r="I1616" s="16" t="s">
        <v>190</v>
      </c>
    </row>
    <row r="1617" ht="242.25" customHeight="1">
      <c r="A1617" s="32" t="b">
        <v>0</v>
      </c>
      <c r="B1617" s="32" t="str">
        <f>IMAGE("https://gymvisual.com/7132-catalog_default/dumbbell-lunge-with-bicep-curl.jpg",4,500,500)</f>
        <v/>
      </c>
      <c r="C1617" s="30">
        <v>1616.0</v>
      </c>
      <c r="D1617" s="16" t="s">
        <v>2188</v>
      </c>
      <c r="E1617" s="16" t="s">
        <v>184</v>
      </c>
      <c r="F1617" s="16" t="s">
        <v>219</v>
      </c>
      <c r="G1617" s="16" t="s">
        <v>222</v>
      </c>
      <c r="H1617" s="16" t="s">
        <v>220</v>
      </c>
      <c r="I1617" s="16" t="s">
        <v>220</v>
      </c>
    </row>
    <row r="1618" ht="242.25" customHeight="1">
      <c r="A1618" s="32" t="b">
        <v>0</v>
      </c>
      <c r="B1618" s="32" t="str">
        <f>IMAGE("https://gymvisual.com/20674-catalog_default/dumbbell-lunge-with-bicep-curl-female.jpg",4,500,500)</f>
        <v/>
      </c>
      <c r="C1618" s="30">
        <v>1617.0</v>
      </c>
      <c r="D1618" s="16" t="s">
        <v>2189</v>
      </c>
      <c r="E1618" s="16" t="s">
        <v>184</v>
      </c>
      <c r="F1618" s="16" t="s">
        <v>294</v>
      </c>
      <c r="G1618" s="16" t="s">
        <v>222</v>
      </c>
      <c r="H1618" s="16" t="s">
        <v>220</v>
      </c>
      <c r="I1618" s="16" t="s">
        <v>220</v>
      </c>
    </row>
    <row r="1619" ht="242.25" customHeight="1">
      <c r="A1619" s="32" t="b">
        <v>0</v>
      </c>
      <c r="B1619" s="32" t="str">
        <f>IMAGE("https://gymvisual.com/1030-catalog_default/3-4-sit-up.jpg",4,500,500)</f>
        <v/>
      </c>
      <c r="C1619" s="30">
        <v>1618.0</v>
      </c>
      <c r="D1619" s="16" t="s">
        <v>2190</v>
      </c>
      <c r="E1619" s="16" t="s">
        <v>184</v>
      </c>
      <c r="F1619" s="16" t="s">
        <v>219</v>
      </c>
      <c r="G1619" s="16" t="s">
        <v>222</v>
      </c>
      <c r="H1619" s="16" t="s">
        <v>223</v>
      </c>
      <c r="I1619" s="16" t="s">
        <v>220</v>
      </c>
    </row>
    <row r="1620" ht="242.25" customHeight="1">
      <c r="A1620" s="32" t="b">
        <v>0</v>
      </c>
      <c r="B1620" s="32" t="str">
        <f>IMAGE("https://gymvisual.com/7448-catalog_default/dumbbell-lying-alternate-extension.jpg",4,500,500)</f>
        <v/>
      </c>
      <c r="C1620" s="30">
        <v>1619.0</v>
      </c>
      <c r="D1620" s="16" t="s">
        <v>2191</v>
      </c>
      <c r="E1620" s="16" t="s">
        <v>184</v>
      </c>
      <c r="F1620" s="16" t="s">
        <v>219</v>
      </c>
      <c r="G1620" s="16" t="s">
        <v>222</v>
      </c>
      <c r="H1620" s="16" t="s">
        <v>223</v>
      </c>
      <c r="I1620" s="16" t="s">
        <v>220</v>
      </c>
    </row>
    <row r="1621" ht="242.25" customHeight="1">
      <c r="A1621" s="32" t="b">
        <v>0</v>
      </c>
      <c r="B1621" s="32" t="str">
        <f>IMAGE("https://gymvisual.com/17280-catalog_default/dumbbell-lying-alternate-extension-female.jpg",4,500,500)</f>
        <v/>
      </c>
      <c r="C1621" s="30">
        <v>1620.0</v>
      </c>
      <c r="D1621" s="16" t="s">
        <v>2192</v>
      </c>
      <c r="E1621" s="16" t="s">
        <v>184</v>
      </c>
      <c r="F1621" s="16" t="s">
        <v>219</v>
      </c>
      <c r="G1621" s="16" t="s">
        <v>222</v>
      </c>
      <c r="H1621" s="16" t="s">
        <v>223</v>
      </c>
      <c r="I1621" s="16" t="s">
        <v>220</v>
      </c>
    </row>
    <row r="1622" ht="242.25" customHeight="1">
      <c r="A1622" s="32" t="b">
        <v>0</v>
      </c>
      <c r="B1622" s="32" t="str">
        <f>IMAGE("https://gymvisual.com/18963-catalog_default/dumbbell-lying-close-grip-parallel-row-on-rack.jpg",4,500,500)</f>
        <v/>
      </c>
      <c r="C1622" s="30">
        <v>1621.0</v>
      </c>
      <c r="D1622" s="16" t="s">
        <v>2193</v>
      </c>
      <c r="E1622" s="16" t="s">
        <v>184</v>
      </c>
      <c r="F1622" s="16" t="s">
        <v>192</v>
      </c>
      <c r="G1622" s="16" t="s">
        <v>222</v>
      </c>
      <c r="H1622" s="16" t="s">
        <v>329</v>
      </c>
      <c r="I1622" s="16" t="s">
        <v>357</v>
      </c>
    </row>
    <row r="1623" ht="242.25" customHeight="1">
      <c r="A1623" s="32" t="b">
        <v>0</v>
      </c>
      <c r="B1623" s="32" t="str">
        <f>IMAGE("https://gymvisual.com/1033-catalog_default/3-4-sit-up.jpg",4,500,500)</f>
        <v/>
      </c>
      <c r="C1623" s="30">
        <v>1622.0</v>
      </c>
      <c r="D1623" s="16" t="s">
        <v>2194</v>
      </c>
      <c r="E1623" s="16" t="s">
        <v>184</v>
      </c>
      <c r="F1623" s="16" t="s">
        <v>219</v>
      </c>
      <c r="G1623" s="16" t="s">
        <v>222</v>
      </c>
      <c r="H1623" s="16" t="s">
        <v>223</v>
      </c>
      <c r="I1623" s="16" t="s">
        <v>472</v>
      </c>
    </row>
    <row r="1624" ht="242.25" customHeight="1">
      <c r="A1624" s="32" t="b">
        <v>0</v>
      </c>
      <c r="B1624" s="32" t="str">
        <f>IMAGE("https://gymvisual.com/11312-catalog_default/dumbbell-lying-extension-across-face-female.jpg",4,500,500)</f>
        <v/>
      </c>
      <c r="C1624" s="30">
        <v>1623.0</v>
      </c>
      <c r="D1624" s="16" t="s">
        <v>2195</v>
      </c>
      <c r="E1624" s="16" t="s">
        <v>184</v>
      </c>
      <c r="F1624" s="16" t="s">
        <v>219</v>
      </c>
      <c r="G1624" s="16" t="s">
        <v>222</v>
      </c>
      <c r="H1624" s="16" t="s">
        <v>220</v>
      </c>
      <c r="I1624" s="16" t="s">
        <v>220</v>
      </c>
    </row>
    <row r="1625" ht="242.25" customHeight="1">
      <c r="A1625" s="32" t="b">
        <v>0</v>
      </c>
      <c r="B1625" s="32" t="str">
        <f>IMAGE("https://gymvisual.com/2628-catalog_default/dumbbell-lying-external-shoulder-rotation.jpg",4,500,500)</f>
        <v/>
      </c>
      <c r="C1625" s="30">
        <v>1624.0</v>
      </c>
      <c r="D1625" s="16" t="s">
        <v>2196</v>
      </c>
      <c r="E1625" s="16" t="s">
        <v>184</v>
      </c>
      <c r="F1625" s="16" t="s">
        <v>192</v>
      </c>
      <c r="G1625" s="16" t="s">
        <v>222</v>
      </c>
      <c r="H1625" s="16" t="s">
        <v>2197</v>
      </c>
      <c r="I1625" s="16" t="s">
        <v>220</v>
      </c>
    </row>
    <row r="1626" ht="242.25" customHeight="1">
      <c r="A1626" s="32" t="b">
        <v>0</v>
      </c>
      <c r="B1626" s="32" t="str">
        <f>IMAGE("https://gymvisual.com/13427-catalog_default/dumbbell-lying-external-shoulder-rotation-female.jpg",4,500,500)</f>
        <v/>
      </c>
      <c r="C1626" s="30">
        <v>1625.0</v>
      </c>
      <c r="D1626" s="16" t="s">
        <v>2198</v>
      </c>
      <c r="E1626" s="16" t="s">
        <v>184</v>
      </c>
      <c r="F1626" s="16" t="s">
        <v>192</v>
      </c>
      <c r="G1626" s="16" t="s">
        <v>222</v>
      </c>
      <c r="H1626" s="16" t="s">
        <v>220</v>
      </c>
      <c r="I1626" s="16" t="s">
        <v>220</v>
      </c>
    </row>
    <row r="1627" ht="242.25" customHeight="1">
      <c r="A1627" s="32" t="b">
        <v>0</v>
      </c>
      <c r="B1627" s="32" t="str">
        <f>IMAGE("https://gymvisual.com/1036-catalog_default/3-4-sit-up.jpg",4,500,500)</f>
        <v/>
      </c>
      <c r="C1627" s="30">
        <v>1626.0</v>
      </c>
      <c r="D1627" s="16" t="s">
        <v>2199</v>
      </c>
      <c r="E1627" s="16" t="s">
        <v>184</v>
      </c>
      <c r="F1627" s="16" t="s">
        <v>285</v>
      </c>
      <c r="G1627" s="16" t="s">
        <v>222</v>
      </c>
      <c r="H1627" s="16" t="s">
        <v>188</v>
      </c>
      <c r="I1627" s="16" t="s">
        <v>561</v>
      </c>
    </row>
    <row r="1628" ht="242.25" customHeight="1">
      <c r="A1628" s="32" t="b">
        <v>0</v>
      </c>
      <c r="B1628" s="32" t="str">
        <f>IMAGE("https://gymvisual.com/11504-catalog_default/dumbbell-lying-femoral-female.jpg",4,500,500)</f>
        <v/>
      </c>
      <c r="C1628" s="30">
        <v>1627.0</v>
      </c>
      <c r="D1628" s="16" t="s">
        <v>2200</v>
      </c>
      <c r="E1628" s="16" t="s">
        <v>184</v>
      </c>
      <c r="F1628" s="16" t="s">
        <v>285</v>
      </c>
      <c r="G1628" s="16" t="s">
        <v>222</v>
      </c>
      <c r="H1628" s="16" t="s">
        <v>188</v>
      </c>
      <c r="I1628" s="16" t="s">
        <v>561</v>
      </c>
    </row>
    <row r="1629" ht="242.25" customHeight="1">
      <c r="A1629" s="32" t="b">
        <v>0</v>
      </c>
      <c r="B1629" s="32" t="str">
        <f>IMAGE("https://gymvisual.com/18714-catalog_default/dumbbell-lying-floor-skull-crusher.jpg",4,500,500)</f>
        <v/>
      </c>
      <c r="C1629" s="30">
        <v>1628.0</v>
      </c>
      <c r="D1629" s="16" t="s">
        <v>2201</v>
      </c>
      <c r="E1629" s="16" t="s">
        <v>184</v>
      </c>
      <c r="F1629" s="16" t="s">
        <v>219</v>
      </c>
      <c r="G1629" s="16" t="s">
        <v>222</v>
      </c>
      <c r="H1629" s="16" t="s">
        <v>223</v>
      </c>
      <c r="I1629" s="16" t="s">
        <v>220</v>
      </c>
    </row>
    <row r="1630" ht="242.25" customHeight="1">
      <c r="A1630" s="32" t="b">
        <v>0</v>
      </c>
      <c r="B1630" s="32" t="str">
        <f>IMAGE("https://gymvisual.com/1039-catalog_default/3-4-sit-up.jpg",4,500,500)</f>
        <v/>
      </c>
      <c r="C1630" s="30">
        <v>1629.0</v>
      </c>
      <c r="D1630" s="16" t="s">
        <v>2202</v>
      </c>
      <c r="E1630" s="16" t="s">
        <v>184</v>
      </c>
      <c r="F1630" s="16" t="s">
        <v>234</v>
      </c>
      <c r="G1630" s="16" t="s">
        <v>222</v>
      </c>
      <c r="H1630" s="16" t="s">
        <v>235</v>
      </c>
      <c r="I1630" s="16" t="s">
        <v>243</v>
      </c>
    </row>
    <row r="1631" ht="242.25" customHeight="1">
      <c r="A1631" s="32" t="b">
        <v>0</v>
      </c>
      <c r="B1631" s="32" t="str">
        <f>IMAGE("https://gymvisual.com/11029-catalog_default/dumbbell-lying-hammer-press-female.jpg",4,500,500)</f>
        <v/>
      </c>
      <c r="C1631" s="30">
        <v>1630.0</v>
      </c>
      <c r="D1631" s="16" t="s">
        <v>2203</v>
      </c>
      <c r="E1631" s="16" t="s">
        <v>184</v>
      </c>
      <c r="F1631" s="16" t="s">
        <v>234</v>
      </c>
      <c r="G1631" s="16" t="s">
        <v>222</v>
      </c>
      <c r="H1631" s="16" t="s">
        <v>223</v>
      </c>
      <c r="I1631" s="16" t="s">
        <v>472</v>
      </c>
    </row>
    <row r="1632" ht="242.25" customHeight="1">
      <c r="A1632" s="32" t="b">
        <v>0</v>
      </c>
      <c r="B1632" s="32" t="str">
        <f>IMAGE("https://gymvisual.com/4431-catalog_default/dumbbell-lying-hammer-press-version-2.jpg",4,500,500)</f>
        <v/>
      </c>
      <c r="C1632" s="30">
        <v>1631.0</v>
      </c>
      <c r="D1632" s="16" t="s">
        <v>2204</v>
      </c>
      <c r="E1632" s="16" t="s">
        <v>184</v>
      </c>
      <c r="F1632" s="16" t="s">
        <v>234</v>
      </c>
      <c r="G1632" s="16" t="s">
        <v>222</v>
      </c>
      <c r="H1632" s="16" t="s">
        <v>347</v>
      </c>
      <c r="I1632" s="16" t="s">
        <v>1884</v>
      </c>
    </row>
    <row r="1633" ht="242.25" customHeight="1">
      <c r="A1633" s="32" t="b">
        <v>0</v>
      </c>
      <c r="B1633" s="32" t="str">
        <f>IMAGE("https://gymvisual.com/22149-catalog_default/dumbbell-lying-hamstring-curl.jpg",4,500,500)</f>
        <v/>
      </c>
      <c r="C1633" s="30">
        <v>1632.0</v>
      </c>
      <c r="D1633" s="16" t="s">
        <v>2205</v>
      </c>
      <c r="E1633" s="16" t="s">
        <v>184</v>
      </c>
      <c r="F1633" s="16" t="s">
        <v>285</v>
      </c>
      <c r="G1633" s="16" t="s">
        <v>222</v>
      </c>
      <c r="H1633" s="16" t="s">
        <v>188</v>
      </c>
      <c r="I1633" s="16" t="s">
        <v>368</v>
      </c>
    </row>
    <row r="1634" ht="242.25" customHeight="1">
      <c r="A1634" s="32" t="b">
        <v>0</v>
      </c>
      <c r="B1634" s="32" t="str">
        <f>IMAGE("https://gymvisual.com/14580-catalog_default/dumbbell-lying-on-floor-chest-press.jpg",4,500,500)</f>
        <v/>
      </c>
      <c r="C1634" s="30">
        <v>1633.0</v>
      </c>
      <c r="D1634" s="16" t="s">
        <v>2206</v>
      </c>
      <c r="E1634" s="16" t="s">
        <v>184</v>
      </c>
      <c r="F1634" s="16" t="s">
        <v>234</v>
      </c>
      <c r="G1634" s="16" t="s">
        <v>222</v>
      </c>
      <c r="H1634" s="16" t="s">
        <v>235</v>
      </c>
      <c r="I1634" s="16" t="s">
        <v>243</v>
      </c>
    </row>
    <row r="1635" ht="242.25" customHeight="1">
      <c r="A1635" s="32" t="b">
        <v>0</v>
      </c>
      <c r="B1635" s="32" t="str">
        <f>IMAGE("https://gymvisual.com/13207-catalog_default/dumbbell-lying-on-floor-hammer-press.jpg",4,500,500)</f>
        <v/>
      </c>
      <c r="C1635" s="30">
        <v>1634.0</v>
      </c>
      <c r="D1635" s="16" t="s">
        <v>2207</v>
      </c>
      <c r="E1635" s="16" t="s">
        <v>184</v>
      </c>
      <c r="F1635" s="16" t="s">
        <v>234</v>
      </c>
      <c r="G1635" s="16" t="s">
        <v>222</v>
      </c>
      <c r="H1635" s="16" t="s">
        <v>235</v>
      </c>
      <c r="I1635" s="16" t="s">
        <v>243</v>
      </c>
    </row>
    <row r="1636" ht="242.25" customHeight="1">
      <c r="A1636" s="32" t="b">
        <v>0</v>
      </c>
      <c r="B1636" s="32" t="str">
        <f>IMAGE("https://gymvisual.com/13886-catalog_default/dumbbell-lying-on-floor-hammer-press-female.jpg",4,500,500)</f>
        <v/>
      </c>
      <c r="C1636" s="30">
        <v>1635.0</v>
      </c>
      <c r="D1636" s="16" t="s">
        <v>2208</v>
      </c>
      <c r="E1636" s="16" t="s">
        <v>184</v>
      </c>
      <c r="F1636" s="16" t="s">
        <v>234</v>
      </c>
      <c r="G1636" s="16" t="s">
        <v>222</v>
      </c>
      <c r="H1636" s="16" t="s">
        <v>220</v>
      </c>
      <c r="I1636" s="16" t="s">
        <v>220</v>
      </c>
    </row>
    <row r="1637" ht="242.25" customHeight="1">
      <c r="A1637" s="32" t="b">
        <v>0</v>
      </c>
      <c r="B1637" s="32" t="str">
        <f>IMAGE("https://gymvisual.com/10614-catalog_default/dumbbell-lying-on-floor-rear-delt-raise.jpg",4,500,500)</f>
        <v/>
      </c>
      <c r="C1637" s="30">
        <v>1636.0</v>
      </c>
      <c r="D1637" s="16" t="s">
        <v>2209</v>
      </c>
      <c r="E1637" s="16" t="s">
        <v>184</v>
      </c>
      <c r="F1637" s="16" t="s">
        <v>228</v>
      </c>
      <c r="G1637" s="16" t="s">
        <v>222</v>
      </c>
      <c r="H1637" s="16" t="s">
        <v>408</v>
      </c>
      <c r="I1637" s="16" t="s">
        <v>452</v>
      </c>
    </row>
    <row r="1638" ht="242.25" customHeight="1">
      <c r="A1638" s="32" t="b">
        <v>0</v>
      </c>
      <c r="B1638" s="32" t="str">
        <f>IMAGE("https://gymvisual.com/1042-catalog_default/3-4-sit-up.jpg",4,500,500)</f>
        <v/>
      </c>
      <c r="C1638" s="30">
        <v>1637.0</v>
      </c>
      <c r="D1638" s="16" t="s">
        <v>2210</v>
      </c>
      <c r="E1638" s="16" t="s">
        <v>184</v>
      </c>
      <c r="F1638" s="16" t="s">
        <v>228</v>
      </c>
      <c r="G1638" s="16" t="s">
        <v>222</v>
      </c>
      <c r="H1638" s="16" t="s">
        <v>408</v>
      </c>
      <c r="I1638" s="16" t="s">
        <v>731</v>
      </c>
    </row>
    <row r="1639" ht="242.25" customHeight="1">
      <c r="A1639" s="32" t="b">
        <v>0</v>
      </c>
      <c r="B1639" s="32" t="str">
        <f>IMAGE("https://gymvisual.com/1048-catalog_default/3-4-sit-up.jpg",4,500,500)</f>
        <v/>
      </c>
      <c r="C1639" s="30">
        <v>1638.0</v>
      </c>
      <c r="D1639" s="16" t="s">
        <v>2211</v>
      </c>
      <c r="E1639" s="16" t="s">
        <v>184</v>
      </c>
      <c r="F1639" s="16" t="s">
        <v>234</v>
      </c>
      <c r="G1639" s="16" t="s">
        <v>222</v>
      </c>
      <c r="H1639" s="16" t="s">
        <v>235</v>
      </c>
      <c r="I1639" s="16" t="s">
        <v>243</v>
      </c>
    </row>
    <row r="1640" ht="242.25" customHeight="1">
      <c r="A1640" s="32" t="b">
        <v>0</v>
      </c>
      <c r="B1640" s="32" t="str">
        <f>IMAGE("https://gymvisual.com/11537-catalog_default/dumbbell-lying-one-arm-press-female.jpg",4,500,500)</f>
        <v/>
      </c>
      <c r="C1640" s="30">
        <v>1639.0</v>
      </c>
      <c r="D1640" s="16" t="s">
        <v>2212</v>
      </c>
      <c r="E1640" s="16" t="s">
        <v>184</v>
      </c>
      <c r="F1640" s="16" t="s">
        <v>234</v>
      </c>
      <c r="G1640" s="16" t="s">
        <v>222</v>
      </c>
      <c r="H1640" s="16" t="s">
        <v>220</v>
      </c>
      <c r="I1640" s="16" t="s">
        <v>220</v>
      </c>
    </row>
    <row r="1641" ht="242.25" customHeight="1">
      <c r="A1641" s="32" t="b">
        <v>0</v>
      </c>
      <c r="B1641" s="32" t="str">
        <f>IMAGE("https://gymvisual.com/1045-catalog_default/3-4-sit-up.jpg",4,500,500)</f>
        <v/>
      </c>
      <c r="C1641" s="30">
        <v>1640.0</v>
      </c>
      <c r="D1641" s="16" t="s">
        <v>2213</v>
      </c>
      <c r="E1641" s="16" t="s">
        <v>184</v>
      </c>
      <c r="F1641" s="16" t="s">
        <v>234</v>
      </c>
      <c r="G1641" s="16" t="s">
        <v>222</v>
      </c>
      <c r="H1641" s="16" t="s">
        <v>235</v>
      </c>
      <c r="I1641" s="16" t="s">
        <v>243</v>
      </c>
    </row>
    <row r="1642" ht="242.25" customHeight="1">
      <c r="A1642" s="32" t="b">
        <v>0</v>
      </c>
      <c r="B1642" s="32" t="str">
        <f>IMAGE("https://gymvisual.com/1051-catalog_default/3-4-sit-up.jpg",4,500,500)</f>
        <v/>
      </c>
      <c r="C1642" s="30">
        <v>1641.0</v>
      </c>
      <c r="D1642" s="16" t="s">
        <v>2214</v>
      </c>
      <c r="E1642" s="16" t="s">
        <v>184</v>
      </c>
      <c r="F1642" s="16" t="s">
        <v>219</v>
      </c>
      <c r="G1642" s="16" t="s">
        <v>222</v>
      </c>
      <c r="H1642" s="16" t="s">
        <v>223</v>
      </c>
      <c r="I1642" s="16" t="s">
        <v>220</v>
      </c>
    </row>
    <row r="1643" ht="242.25" customHeight="1">
      <c r="A1643" s="32" t="b">
        <v>0</v>
      </c>
      <c r="B1643" s="32" t="str">
        <f>IMAGE("https://gymvisual.com/11315-catalog_default/dumbbell-lying-one-arm-pronated-triceps-extension-female.jpg",4,500,500)</f>
        <v/>
      </c>
      <c r="C1643" s="30">
        <v>1642.0</v>
      </c>
      <c r="D1643" s="16" t="s">
        <v>2215</v>
      </c>
      <c r="E1643" s="16" t="s">
        <v>184</v>
      </c>
      <c r="F1643" s="16" t="s">
        <v>219</v>
      </c>
      <c r="G1643" s="16" t="s">
        <v>222</v>
      </c>
      <c r="H1643" s="16" t="s">
        <v>220</v>
      </c>
      <c r="I1643" s="16" t="s">
        <v>220</v>
      </c>
    </row>
    <row r="1644" ht="242.25" customHeight="1">
      <c r="A1644" s="32" t="b">
        <v>0</v>
      </c>
      <c r="B1644" s="32" t="str">
        <f>IMAGE("https://gymvisual.com/1054-catalog_default/3-4-sit-up.jpg",4,500,500)</f>
        <v/>
      </c>
      <c r="C1644" s="30">
        <v>1643.0</v>
      </c>
      <c r="D1644" s="16" t="s">
        <v>2216</v>
      </c>
      <c r="E1644" s="16" t="s">
        <v>184</v>
      </c>
      <c r="F1644" s="16" t="s">
        <v>228</v>
      </c>
      <c r="G1644" s="16" t="s">
        <v>222</v>
      </c>
      <c r="H1644" s="16" t="s">
        <v>408</v>
      </c>
      <c r="I1644" s="16" t="s">
        <v>452</v>
      </c>
    </row>
    <row r="1645" ht="242.25" customHeight="1">
      <c r="A1645" s="32" t="b">
        <v>0</v>
      </c>
      <c r="B1645" s="32" t="str">
        <f>IMAGE("https://gymvisual.com/2959-catalog_default/dumbbell-lying-one-arm-rear-lateral-raise.jpg",4,500,500)</f>
        <v/>
      </c>
      <c r="C1645" s="30">
        <v>1644.0</v>
      </c>
      <c r="D1645" s="16" t="s">
        <v>2216</v>
      </c>
      <c r="E1645" s="16" t="s">
        <v>184</v>
      </c>
      <c r="F1645" s="16" t="s">
        <v>228</v>
      </c>
      <c r="G1645" s="16" t="s">
        <v>222</v>
      </c>
      <c r="H1645" s="16" t="s">
        <v>408</v>
      </c>
      <c r="I1645" s="16" t="s">
        <v>452</v>
      </c>
    </row>
    <row r="1646" ht="242.25" customHeight="1">
      <c r="A1646" s="32" t="b">
        <v>0</v>
      </c>
      <c r="B1646" s="32" t="str">
        <f>IMAGE("https://gymvisual.com/1057-catalog_default/3-4-sit-up.jpg",4,500,500)</f>
        <v/>
      </c>
      <c r="C1646" s="30">
        <v>1645.0</v>
      </c>
      <c r="D1646" s="16" t="s">
        <v>2217</v>
      </c>
      <c r="E1646" s="16" t="s">
        <v>184</v>
      </c>
      <c r="F1646" s="16" t="s">
        <v>219</v>
      </c>
      <c r="G1646" s="16" t="s">
        <v>222</v>
      </c>
      <c r="H1646" s="16" t="s">
        <v>223</v>
      </c>
      <c r="I1646" s="16" t="s">
        <v>220</v>
      </c>
    </row>
    <row r="1647" ht="242.25" customHeight="1">
      <c r="A1647" s="32" t="b">
        <v>0</v>
      </c>
      <c r="B1647" s="32" t="str">
        <f>IMAGE("https://gymvisual.com/10760-catalog_default/dumbbell-lying-one-arm-supinated-triceps-extension-female.jpg",4,500,500)</f>
        <v/>
      </c>
      <c r="C1647" s="30">
        <v>1646.0</v>
      </c>
      <c r="D1647" s="16" t="s">
        <v>2218</v>
      </c>
      <c r="E1647" s="16" t="s">
        <v>184</v>
      </c>
      <c r="F1647" s="16" t="s">
        <v>219</v>
      </c>
      <c r="G1647" s="16" t="s">
        <v>222</v>
      </c>
      <c r="H1647" s="16" t="s">
        <v>223</v>
      </c>
      <c r="I1647" s="16" t="s">
        <v>220</v>
      </c>
    </row>
    <row r="1648" ht="242.25" customHeight="1">
      <c r="A1648" s="32" t="b">
        <v>0</v>
      </c>
      <c r="B1648" s="32" t="str">
        <f>IMAGE("https://gymvisual.com/1060-catalog_default/3-4-sit-up.jpg",4,500,500)</f>
        <v/>
      </c>
      <c r="C1648" s="30">
        <v>1647.0</v>
      </c>
      <c r="D1648" s="16" t="s">
        <v>2219</v>
      </c>
      <c r="E1648" s="16" t="s">
        <v>184</v>
      </c>
      <c r="F1648" s="16" t="s">
        <v>214</v>
      </c>
      <c r="G1648" s="16" t="s">
        <v>222</v>
      </c>
      <c r="H1648" s="16" t="s">
        <v>720</v>
      </c>
      <c r="I1648" s="16" t="s">
        <v>220</v>
      </c>
    </row>
    <row r="1649" ht="242.25" customHeight="1">
      <c r="A1649" s="32" t="b">
        <v>0</v>
      </c>
      <c r="B1649" s="32" t="str">
        <f>IMAGE("https://gymvisual.com/10804-catalog_default/dumbbell-lying-pronation-on-floor.jpg",4,500,500)</f>
        <v/>
      </c>
      <c r="C1649" s="30">
        <v>1648.0</v>
      </c>
      <c r="D1649" s="16" t="s">
        <v>2220</v>
      </c>
      <c r="E1649" s="16" t="s">
        <v>184</v>
      </c>
      <c r="F1649" s="16" t="s">
        <v>214</v>
      </c>
      <c r="G1649" s="16" t="s">
        <v>222</v>
      </c>
      <c r="H1649" s="16" t="s">
        <v>220</v>
      </c>
      <c r="I1649" s="16" t="s">
        <v>220</v>
      </c>
    </row>
    <row r="1650" ht="242.25" customHeight="1">
      <c r="A1650" s="32" t="b">
        <v>0</v>
      </c>
      <c r="B1650" s="32" t="str">
        <f>IMAGE("https://gymvisual.com/5973-catalog_default/dumbbell-lying-pullover-on-exercise-ball.jpg",4,500,500)</f>
        <v/>
      </c>
      <c r="C1650" s="30">
        <v>1649.0</v>
      </c>
      <c r="D1650" s="16" t="s">
        <v>2221</v>
      </c>
      <c r="E1650" s="16" t="s">
        <v>184</v>
      </c>
      <c r="F1650" s="16" t="s">
        <v>234</v>
      </c>
      <c r="G1650" s="16" t="s">
        <v>222</v>
      </c>
      <c r="H1650" s="16" t="s">
        <v>347</v>
      </c>
      <c r="I1650" s="16" t="s">
        <v>2222</v>
      </c>
    </row>
    <row r="1651" ht="242.25" customHeight="1">
      <c r="A1651" s="32" t="b">
        <v>0</v>
      </c>
      <c r="B1651" s="32" t="str">
        <f>IMAGE("https://gymvisual.com/6019-catalog_default/dumbbell-lying-rear-delt-row.jpg",4,500,500)</f>
        <v/>
      </c>
      <c r="C1651" s="30">
        <v>1650.0</v>
      </c>
      <c r="D1651" s="16" t="s">
        <v>2223</v>
      </c>
      <c r="E1651" s="16" t="s">
        <v>184</v>
      </c>
      <c r="F1651" s="16" t="s">
        <v>192</v>
      </c>
      <c r="G1651" s="16" t="s">
        <v>222</v>
      </c>
      <c r="H1651" s="16" t="s">
        <v>329</v>
      </c>
      <c r="I1651" s="16" t="s">
        <v>457</v>
      </c>
    </row>
    <row r="1652" ht="242.25" customHeight="1">
      <c r="A1652" s="32" t="b">
        <v>0</v>
      </c>
      <c r="B1652" s="32" t="str">
        <f>IMAGE("https://gymvisual.com/11384-catalog_default/dumbbell-lying-rear-delt-row-female.jpg",4,500,500)</f>
        <v/>
      </c>
      <c r="C1652" s="30">
        <v>1651.0</v>
      </c>
      <c r="D1652" s="16" t="s">
        <v>2224</v>
      </c>
      <c r="E1652" s="16" t="s">
        <v>184</v>
      </c>
      <c r="F1652" s="16" t="s">
        <v>192</v>
      </c>
      <c r="G1652" s="16" t="s">
        <v>222</v>
      </c>
      <c r="H1652" s="16" t="s">
        <v>220</v>
      </c>
      <c r="I1652" s="16" t="s">
        <v>220</v>
      </c>
    </row>
    <row r="1653" ht="242.25" customHeight="1">
      <c r="A1653" s="32" t="b">
        <v>0</v>
      </c>
      <c r="B1653" s="32" t="str">
        <f>IMAGE("https://gymvisual.com/1063-catalog_default/3-4-sit-up.jpg",4,500,500)</f>
        <v/>
      </c>
      <c r="C1653" s="30">
        <v>1652.0</v>
      </c>
      <c r="D1653" s="16" t="s">
        <v>2225</v>
      </c>
      <c r="E1653" s="16" t="s">
        <v>184</v>
      </c>
      <c r="F1653" s="16" t="s">
        <v>228</v>
      </c>
      <c r="G1653" s="16" t="s">
        <v>222</v>
      </c>
      <c r="H1653" s="16" t="s">
        <v>408</v>
      </c>
      <c r="I1653" s="16" t="s">
        <v>452</v>
      </c>
    </row>
    <row r="1654" ht="242.25" customHeight="1">
      <c r="A1654" s="32" t="b">
        <v>0</v>
      </c>
      <c r="B1654" s="32" t="str">
        <f>IMAGE("https://gymvisual.com/25065-catalog_default/dumbbell-lying-row-on-rack.jpg",4,500,500)</f>
        <v/>
      </c>
      <c r="C1654" s="30">
        <v>1653.0</v>
      </c>
      <c r="D1654" s="16" t="s">
        <v>2226</v>
      </c>
      <c r="E1654" s="16" t="s">
        <v>184</v>
      </c>
      <c r="F1654" s="16" t="s">
        <v>192</v>
      </c>
      <c r="G1654" s="16" t="s">
        <v>222</v>
      </c>
      <c r="H1654" s="16" t="s">
        <v>220</v>
      </c>
      <c r="I1654" s="16" t="s">
        <v>220</v>
      </c>
    </row>
    <row r="1655" ht="242.25" customHeight="1">
      <c r="A1655" s="32" t="b">
        <v>0</v>
      </c>
      <c r="B1655" s="32" t="str">
        <f>IMAGE("https://gymvisual.com/7454-catalog_default/dumbbell-lying-single-extension.jpg",4,500,500)</f>
        <v/>
      </c>
      <c r="C1655" s="30">
        <v>1654.0</v>
      </c>
      <c r="D1655" s="16" t="s">
        <v>2227</v>
      </c>
      <c r="E1655" s="16" t="s">
        <v>184</v>
      </c>
      <c r="F1655" s="16" t="s">
        <v>219</v>
      </c>
      <c r="G1655" s="16" t="s">
        <v>222</v>
      </c>
      <c r="H1655" s="16" t="s">
        <v>223</v>
      </c>
      <c r="I1655" s="16" t="s">
        <v>220</v>
      </c>
    </row>
    <row r="1656" ht="242.25" customHeight="1">
      <c r="A1656" s="32" t="b">
        <v>0</v>
      </c>
      <c r="B1656" s="32" t="str">
        <f>IMAGE("https://gymvisual.com/13429-catalog_default/dumbbell-lying-single-extension-female.jpg",4,500,500)</f>
        <v/>
      </c>
      <c r="C1656" s="30">
        <v>1655.0</v>
      </c>
      <c r="D1656" s="16" t="s">
        <v>2228</v>
      </c>
      <c r="E1656" s="16" t="s">
        <v>184</v>
      </c>
      <c r="F1656" s="16" t="s">
        <v>219</v>
      </c>
      <c r="G1656" s="16" t="s">
        <v>222</v>
      </c>
      <c r="H1656" s="16" t="s">
        <v>220</v>
      </c>
      <c r="I1656" s="16" t="s">
        <v>220</v>
      </c>
    </row>
    <row r="1657" ht="242.25" customHeight="1">
      <c r="A1657" s="32" t="b">
        <v>0</v>
      </c>
      <c r="B1657" s="32" t="str">
        <f>IMAGE("https://gymvisual.com/19337-catalog_default/3-4-sit-up.jpg",4,500,500)</f>
        <v/>
      </c>
      <c r="C1657" s="30">
        <v>1656.0</v>
      </c>
      <c r="D1657" s="16" t="s">
        <v>2229</v>
      </c>
      <c r="E1657" s="16" t="s">
        <v>184</v>
      </c>
      <c r="F1657" s="16" t="s">
        <v>214</v>
      </c>
      <c r="G1657" s="16" t="s">
        <v>222</v>
      </c>
      <c r="H1657" s="16" t="s">
        <v>220</v>
      </c>
      <c r="I1657" s="16" t="s">
        <v>220</v>
      </c>
    </row>
    <row r="1658" ht="242.25" customHeight="1">
      <c r="A1658" s="32" t="b">
        <v>0</v>
      </c>
      <c r="B1658" s="32" t="str">
        <f>IMAGE("https://gymvisual.com/10807-catalog_default/dumbbell-lying-supination-on-floor.jpg",4,500,500)</f>
        <v/>
      </c>
      <c r="C1658" s="30">
        <v>1657.0</v>
      </c>
      <c r="D1658" s="16" t="s">
        <v>2230</v>
      </c>
      <c r="E1658" s="16" t="s">
        <v>184</v>
      </c>
      <c r="F1658" s="16" t="s">
        <v>214</v>
      </c>
      <c r="G1658" s="16" t="s">
        <v>222</v>
      </c>
      <c r="H1658" s="16" t="s">
        <v>220</v>
      </c>
      <c r="I1658" s="16" t="s">
        <v>220</v>
      </c>
    </row>
    <row r="1659" ht="242.25" customHeight="1">
      <c r="A1659" s="32" t="b">
        <v>0</v>
      </c>
      <c r="B1659" s="32" t="str">
        <f>IMAGE("https://gymvisual.com/7135-catalog_default/dumbbell-lying-supine-biceps-curl.jpg",4,500,500)</f>
        <v/>
      </c>
      <c r="C1659" s="30">
        <v>1658.0</v>
      </c>
      <c r="D1659" s="16" t="s">
        <v>2231</v>
      </c>
      <c r="E1659" s="16" t="s">
        <v>184</v>
      </c>
      <c r="F1659" s="16" t="s">
        <v>219</v>
      </c>
      <c r="G1659" s="16" t="s">
        <v>222</v>
      </c>
      <c r="H1659" s="16" t="s">
        <v>220</v>
      </c>
      <c r="I1659" s="16" t="s">
        <v>220</v>
      </c>
    </row>
    <row r="1660" ht="242.25" customHeight="1">
      <c r="A1660" s="32" t="b">
        <v>0</v>
      </c>
      <c r="B1660" s="32" t="str">
        <f>IMAGE("https://gymvisual.com/1069-catalog_default/3-4-sit-up.jpg",4,500,500)</f>
        <v/>
      </c>
      <c r="C1660" s="30">
        <v>1659.0</v>
      </c>
      <c r="D1660" s="16" t="s">
        <v>2232</v>
      </c>
      <c r="E1660" s="16" t="s">
        <v>184</v>
      </c>
      <c r="F1660" s="16" t="s">
        <v>214</v>
      </c>
      <c r="G1660" s="16" t="s">
        <v>222</v>
      </c>
      <c r="H1660" s="16" t="s">
        <v>216</v>
      </c>
      <c r="I1660" s="16" t="s">
        <v>2003</v>
      </c>
    </row>
    <row r="1661" ht="242.25" customHeight="1">
      <c r="A1661" s="32" t="b">
        <v>0</v>
      </c>
      <c r="B1661" s="32" t="str">
        <f>IMAGE("https://gymvisual.com/14268-catalog_default/dumbbell-lying-supine-curl-female.jpg",4,500,500)</f>
        <v/>
      </c>
      <c r="C1661" s="30">
        <v>1660.0</v>
      </c>
      <c r="D1661" s="16" t="s">
        <v>2233</v>
      </c>
      <c r="E1661" s="16" t="s">
        <v>184</v>
      </c>
      <c r="F1661" s="16" t="s">
        <v>214</v>
      </c>
      <c r="G1661" s="16" t="s">
        <v>222</v>
      </c>
      <c r="H1661" s="16" t="s">
        <v>216</v>
      </c>
      <c r="I1661" s="16" t="s">
        <v>2003</v>
      </c>
    </row>
    <row r="1662" ht="242.25" customHeight="1">
      <c r="A1662" s="32" t="b">
        <v>0</v>
      </c>
      <c r="B1662" s="32" t="str">
        <f>IMAGE("https://gymvisual.com/20626-catalog_default/3-4-sit-up.jpg",4,500,500)</f>
        <v/>
      </c>
      <c r="C1662" s="30">
        <v>1661.0</v>
      </c>
      <c r="D1662" s="16" t="s">
        <v>2234</v>
      </c>
      <c r="E1662" s="16" t="s">
        <v>184</v>
      </c>
      <c r="F1662" s="16" t="s">
        <v>219</v>
      </c>
      <c r="G1662" s="16" t="s">
        <v>222</v>
      </c>
      <c r="H1662" s="16" t="s">
        <v>223</v>
      </c>
      <c r="I1662" s="16" t="s">
        <v>220</v>
      </c>
    </row>
    <row r="1663" ht="242.25" customHeight="1">
      <c r="A1663" s="32" t="b">
        <v>0</v>
      </c>
      <c r="B1663" s="32" t="str">
        <f>IMAGE("https://gymvisual.com/9667-catalog_default/dumbbell-lying-triceps-extension-female.jpg",4,500,500)</f>
        <v/>
      </c>
      <c r="C1663" s="30">
        <v>1662.0</v>
      </c>
      <c r="D1663" s="16" t="s">
        <v>2235</v>
      </c>
      <c r="E1663" s="16" t="s">
        <v>184</v>
      </c>
      <c r="F1663" s="16" t="s">
        <v>219</v>
      </c>
      <c r="G1663" s="16" t="s">
        <v>222</v>
      </c>
      <c r="H1663" s="16" t="s">
        <v>223</v>
      </c>
      <c r="I1663" s="16" t="s">
        <v>220</v>
      </c>
    </row>
    <row r="1664" ht="242.25" customHeight="1">
      <c r="A1664" s="32" t="b">
        <v>0</v>
      </c>
      <c r="B1664" s="32" t="str">
        <f>IMAGE("https://gymvisual.com/11318-catalog_default/dumbbell-lying-triceps-extension-female.jpg",4,500,500)</f>
        <v/>
      </c>
      <c r="C1664" s="30">
        <v>1663.0</v>
      </c>
      <c r="D1664" s="16" t="s">
        <v>2235</v>
      </c>
      <c r="E1664" s="16" t="s">
        <v>184</v>
      </c>
      <c r="F1664" s="16" t="s">
        <v>219</v>
      </c>
      <c r="G1664" s="16" t="s">
        <v>222</v>
      </c>
      <c r="H1664" s="16" t="s">
        <v>223</v>
      </c>
      <c r="I1664" s="16" t="s">
        <v>220</v>
      </c>
    </row>
    <row r="1665" ht="242.25" customHeight="1">
      <c r="A1665" s="32" t="b">
        <v>0</v>
      </c>
      <c r="B1665" s="32" t="str">
        <f>IMAGE("https://gymvisual.com/10922-catalog_default/dumbbell-lying-triceps-extension-on-floor-female.jpg",4,500,500)</f>
        <v/>
      </c>
      <c r="C1665" s="30">
        <v>1664.0</v>
      </c>
      <c r="D1665" s="16" t="s">
        <v>2236</v>
      </c>
      <c r="E1665" s="16" t="s">
        <v>184</v>
      </c>
      <c r="F1665" s="16" t="s">
        <v>219</v>
      </c>
      <c r="G1665" s="16" t="s">
        <v>222</v>
      </c>
      <c r="H1665" s="16" t="s">
        <v>223</v>
      </c>
      <c r="I1665" s="16" t="s">
        <v>220</v>
      </c>
    </row>
    <row r="1666" ht="242.25" customHeight="1">
      <c r="A1666" s="32" t="b">
        <v>0</v>
      </c>
      <c r="B1666" s="32" t="str">
        <f>IMAGE("https://gymvisual.com/7136-catalog_default/dumbbell-lying-wide-curl.jpg",4,500,500)</f>
        <v/>
      </c>
      <c r="C1666" s="30">
        <v>1665.0</v>
      </c>
      <c r="D1666" s="16" t="s">
        <v>2237</v>
      </c>
      <c r="E1666" s="16" t="s">
        <v>184</v>
      </c>
      <c r="F1666" s="16" t="s">
        <v>219</v>
      </c>
      <c r="G1666" s="16" t="s">
        <v>222</v>
      </c>
      <c r="H1666" s="16" t="s">
        <v>220</v>
      </c>
      <c r="I1666" s="16" t="s">
        <v>220</v>
      </c>
    </row>
    <row r="1667" ht="242.25" customHeight="1">
      <c r="A1667" s="32" t="b">
        <v>0</v>
      </c>
      <c r="B1667" s="32" t="str">
        <f>IMAGE("https://gymvisual.com/18965-catalog_default/dumbbell-lying-wide-grip-row-on-rack.jpg",4,500,500)</f>
        <v/>
      </c>
      <c r="C1667" s="30">
        <v>1666.0</v>
      </c>
      <c r="D1667" s="16" t="s">
        <v>2238</v>
      </c>
      <c r="E1667" s="16" t="s">
        <v>184</v>
      </c>
      <c r="F1667" s="16" t="s">
        <v>192</v>
      </c>
      <c r="G1667" s="16" t="s">
        <v>222</v>
      </c>
      <c r="H1667" s="16" t="s">
        <v>329</v>
      </c>
      <c r="I1667" s="16" t="s">
        <v>447</v>
      </c>
    </row>
    <row r="1668" ht="242.25" customHeight="1">
      <c r="A1668" s="32" t="b">
        <v>0</v>
      </c>
      <c r="B1668" s="32" t="str">
        <f>IMAGE("https://gymvisual.com/22243-catalog_default/dumbbell-lying-woodchop.jpg",4,500,500)</f>
        <v/>
      </c>
      <c r="C1668" s="30">
        <v>1667.0</v>
      </c>
      <c r="D1668" s="16" t="s">
        <v>2239</v>
      </c>
      <c r="E1668" s="16" t="s">
        <v>184</v>
      </c>
      <c r="F1668" s="16" t="s">
        <v>254</v>
      </c>
      <c r="G1668" s="16" t="s">
        <v>222</v>
      </c>
      <c r="H1668" s="16" t="s">
        <v>220</v>
      </c>
      <c r="I1668" s="16" t="s">
        <v>220</v>
      </c>
    </row>
    <row r="1669" ht="242.25" customHeight="1">
      <c r="A1669" s="32" t="b">
        <v>0</v>
      </c>
      <c r="B1669" s="32" t="str">
        <f>IMAGE("https://gymvisual.com/24830-catalog_default/dumbbell-narrow-stance-squat-male.jpg",4,500,500)</f>
        <v/>
      </c>
      <c r="C1669" s="30">
        <v>1668.0</v>
      </c>
      <c r="D1669" s="16" t="s">
        <v>2240</v>
      </c>
      <c r="E1669" s="16" t="s">
        <v>184</v>
      </c>
      <c r="F1669" s="16" t="s">
        <v>285</v>
      </c>
      <c r="G1669" s="16" t="s">
        <v>222</v>
      </c>
      <c r="H1669" s="16" t="s">
        <v>552</v>
      </c>
      <c r="I1669" s="16" t="s">
        <v>553</v>
      </c>
    </row>
    <row r="1670" ht="242.25" customHeight="1">
      <c r="A1670" s="32" t="b">
        <v>0</v>
      </c>
      <c r="B1670" s="32" t="str">
        <f>IMAGE("https://gymvisual.com/1075-catalog_default/3-4-sit-up.jpg",4,500,500)</f>
        <v/>
      </c>
      <c r="C1670" s="30">
        <v>1669.0</v>
      </c>
      <c r="D1670" s="16" t="s">
        <v>2241</v>
      </c>
      <c r="E1670" s="16" t="s">
        <v>184</v>
      </c>
      <c r="F1670" s="16" t="s">
        <v>219</v>
      </c>
      <c r="G1670" s="16" t="s">
        <v>222</v>
      </c>
      <c r="H1670" s="16" t="s">
        <v>223</v>
      </c>
      <c r="I1670" s="16" t="s">
        <v>220</v>
      </c>
    </row>
    <row r="1671" ht="242.25" customHeight="1">
      <c r="A1671" s="32" t="b">
        <v>0</v>
      </c>
      <c r="B1671" s="32" t="str">
        <f>IMAGE("https://gymvisual.com/5974-catalog_default/dumbbell-one-arm-bench-fly.jpg",4,500,500)</f>
        <v/>
      </c>
      <c r="C1671" s="30">
        <v>1670.0</v>
      </c>
      <c r="D1671" s="16" t="s">
        <v>2242</v>
      </c>
      <c r="E1671" s="16" t="s">
        <v>184</v>
      </c>
      <c r="F1671" s="16" t="s">
        <v>234</v>
      </c>
      <c r="G1671" s="16" t="s">
        <v>222</v>
      </c>
      <c r="H1671" s="16" t="s">
        <v>347</v>
      </c>
      <c r="I1671" s="16" t="s">
        <v>420</v>
      </c>
    </row>
    <row r="1672" ht="242.25" customHeight="1">
      <c r="A1672" s="32" t="b">
        <v>0</v>
      </c>
      <c r="B1672" s="32" t="str">
        <f>IMAGE("https://gymvisual.com/10371-catalog_default/dumbbell-one-arm-bent-over-row-female.jpg",4,500,500)</f>
        <v/>
      </c>
      <c r="C1672" s="30">
        <v>1671.0</v>
      </c>
      <c r="D1672" s="16" t="s">
        <v>2243</v>
      </c>
      <c r="E1672" s="16" t="s">
        <v>184</v>
      </c>
      <c r="F1672" s="16" t="s">
        <v>228</v>
      </c>
      <c r="G1672" s="16" t="s">
        <v>222</v>
      </c>
      <c r="H1672" s="16" t="s">
        <v>408</v>
      </c>
      <c r="I1672" s="16" t="s">
        <v>2244</v>
      </c>
    </row>
    <row r="1673" ht="242.25" customHeight="1">
      <c r="A1673" s="32" t="b">
        <v>0</v>
      </c>
      <c r="B1673" s="32" t="str">
        <f>IMAGE("https://gymvisual.com/15647-catalog_default/dumbbell-one-arm-bent-over-row.jpg",4,500,500)</f>
        <v/>
      </c>
      <c r="C1673" s="30">
        <v>1672.0</v>
      </c>
      <c r="D1673" s="16" t="s">
        <v>2245</v>
      </c>
      <c r="E1673" s="16" t="s">
        <v>184</v>
      </c>
      <c r="F1673" s="16" t="s">
        <v>192</v>
      </c>
      <c r="G1673" s="16" t="s">
        <v>222</v>
      </c>
      <c r="H1673" s="16" t="s">
        <v>329</v>
      </c>
      <c r="I1673" s="16" t="s">
        <v>457</v>
      </c>
    </row>
    <row r="1674" ht="242.25" customHeight="1">
      <c r="A1674" s="32" t="b">
        <v>0</v>
      </c>
      <c r="B1674" s="32" t="str">
        <f>IMAGE("https://gymvisual.com/5975-catalog_default/dumbbell-one-arm-chest-fly-on-exercise-ball.jpg",4,500,500)</f>
        <v/>
      </c>
      <c r="C1674" s="30">
        <v>1673.0</v>
      </c>
      <c r="D1674" s="16" t="s">
        <v>2246</v>
      </c>
      <c r="E1674" s="16" t="s">
        <v>184</v>
      </c>
      <c r="F1674" s="16" t="s">
        <v>234</v>
      </c>
      <c r="G1674" s="16" t="s">
        <v>222</v>
      </c>
      <c r="H1674" s="16" t="s">
        <v>347</v>
      </c>
      <c r="I1674" s="16" t="s">
        <v>420</v>
      </c>
    </row>
    <row r="1675" ht="242.25" customHeight="1">
      <c r="A1675" s="32" t="b">
        <v>0</v>
      </c>
      <c r="B1675" s="32" t="str">
        <f>IMAGE("https://gymvisual.com/1078-catalog_default/3-4-sit-up.jpg",4,500,500)</f>
        <v/>
      </c>
      <c r="C1675" s="30">
        <v>1674.0</v>
      </c>
      <c r="D1675" s="16" t="s">
        <v>2247</v>
      </c>
      <c r="E1675" s="16" t="s">
        <v>184</v>
      </c>
      <c r="F1675" s="16" t="s">
        <v>219</v>
      </c>
      <c r="G1675" s="16" t="s">
        <v>222</v>
      </c>
      <c r="H1675" s="16" t="s">
        <v>232</v>
      </c>
      <c r="I1675" s="16" t="s">
        <v>233</v>
      </c>
    </row>
    <row r="1676" ht="242.25" customHeight="1">
      <c r="B1676" s="32" t="str">
        <f>IMAGE("https://gymvisual.com/11321-catalog_default/dumbbell-one-arm-concetration-curl-on-stability-ball-female.jpg",4,500,500)</f>
        <v/>
      </c>
      <c r="C1676" s="30">
        <v>1675.0</v>
      </c>
      <c r="D1676" s="16" t="s">
        <v>2248</v>
      </c>
      <c r="E1676" s="16" t="s">
        <v>184</v>
      </c>
      <c r="F1676" s="16" t="s">
        <v>219</v>
      </c>
      <c r="G1676" s="16" t="s">
        <v>1929</v>
      </c>
      <c r="H1676" s="16" t="s">
        <v>220</v>
      </c>
      <c r="I1676" s="16" t="s">
        <v>220</v>
      </c>
    </row>
    <row r="1677" ht="242.25" customHeight="1">
      <c r="A1677" s="32" t="b">
        <v>0</v>
      </c>
      <c r="B1677" s="32" t="str">
        <f>IMAGE("https://gymvisual.com/5976-catalog_default/dumbbell-one-arm-decline-chest-press.jpg",4,500,500)</f>
        <v/>
      </c>
      <c r="C1677" s="30">
        <v>1676.0</v>
      </c>
      <c r="D1677" s="16" t="s">
        <v>2249</v>
      </c>
      <c r="E1677" s="16" t="s">
        <v>184</v>
      </c>
      <c r="F1677" s="16" t="s">
        <v>234</v>
      </c>
      <c r="G1677" s="16" t="s">
        <v>222</v>
      </c>
      <c r="H1677" s="16" t="s">
        <v>347</v>
      </c>
      <c r="I1677" s="16" t="s">
        <v>382</v>
      </c>
    </row>
    <row r="1678" ht="242.25" customHeight="1">
      <c r="A1678" s="32" t="b">
        <v>0</v>
      </c>
      <c r="B1678" s="32" t="str">
        <f>IMAGE("https://gymvisual.com/13616-catalog_default/dumbbell-one-arm-floor-fly.jpg",4,500,500)</f>
        <v/>
      </c>
      <c r="C1678" s="30">
        <v>1677.0</v>
      </c>
      <c r="D1678" s="16" t="s">
        <v>2250</v>
      </c>
      <c r="E1678" s="16" t="s">
        <v>184</v>
      </c>
      <c r="F1678" s="16" t="s">
        <v>234</v>
      </c>
      <c r="G1678" s="16" t="s">
        <v>222</v>
      </c>
      <c r="H1678" s="16" t="s">
        <v>235</v>
      </c>
      <c r="I1678" s="16" t="s">
        <v>236</v>
      </c>
    </row>
    <row r="1679" ht="242.25" customHeight="1">
      <c r="A1679" s="32" t="b">
        <v>0</v>
      </c>
      <c r="B1679" s="32" t="str">
        <f>IMAGE("https://gymvisual.com/5977-catalog_default/dumbbell-one-arm-fly-on-exercise-ball.jpg",4,500,500)</f>
        <v/>
      </c>
      <c r="C1679" s="30">
        <v>1678.0</v>
      </c>
      <c r="D1679" s="16" t="s">
        <v>2251</v>
      </c>
      <c r="E1679" s="16" t="s">
        <v>184</v>
      </c>
      <c r="F1679" s="16" t="s">
        <v>234</v>
      </c>
      <c r="G1679" s="16" t="s">
        <v>222</v>
      </c>
      <c r="H1679" s="16" t="s">
        <v>347</v>
      </c>
      <c r="I1679" s="16" t="s">
        <v>420</v>
      </c>
    </row>
    <row r="1680" ht="242.25" customHeight="1">
      <c r="A1680" s="32" t="b">
        <v>0</v>
      </c>
      <c r="B1680" s="32" t="str">
        <f>IMAGE("https://gymvisual.com/7455-catalog_default/dumbbell-one-arm-french-press-on-exercise-ball.jpg",4,500,500)</f>
        <v/>
      </c>
      <c r="C1680" s="30">
        <v>1679.0</v>
      </c>
      <c r="D1680" s="16" t="s">
        <v>2252</v>
      </c>
      <c r="E1680" s="16" t="s">
        <v>184</v>
      </c>
      <c r="F1680" s="16" t="s">
        <v>219</v>
      </c>
      <c r="G1680" s="16" t="s">
        <v>222</v>
      </c>
      <c r="H1680" s="16" t="s">
        <v>220</v>
      </c>
      <c r="I1680" s="16" t="s">
        <v>220</v>
      </c>
    </row>
    <row r="1681" ht="242.25" customHeight="1">
      <c r="B1681" s="32" t="str">
        <f>IMAGE("https://gymvisual.com/11474-catalog_default/dumbbell-one-arm-french-press-on-exercise-ball-female.jpg",4,500,500)</f>
        <v/>
      </c>
      <c r="C1681" s="30">
        <v>1680.0</v>
      </c>
      <c r="D1681" s="16" t="s">
        <v>2253</v>
      </c>
      <c r="E1681" s="16" t="s">
        <v>184</v>
      </c>
      <c r="F1681" s="16" t="s">
        <v>219</v>
      </c>
      <c r="G1681" s="16" t="s">
        <v>1929</v>
      </c>
      <c r="H1681" s="16" t="s">
        <v>220</v>
      </c>
      <c r="I1681" s="16" t="s">
        <v>220</v>
      </c>
    </row>
    <row r="1682" ht="242.25" customHeight="1">
      <c r="A1682" s="32" t="b">
        <v>0</v>
      </c>
      <c r="B1682" s="32" t="str">
        <f>IMAGE("https://gymvisual.com/17177-catalog_default/dumbbell-one-arm-front-raise.jpg",4,500,500)</f>
        <v/>
      </c>
      <c r="C1682" s="30">
        <v>1681.0</v>
      </c>
      <c r="D1682" s="16" t="s">
        <v>2254</v>
      </c>
      <c r="E1682" s="16" t="s">
        <v>184</v>
      </c>
      <c r="F1682" s="16" t="s">
        <v>228</v>
      </c>
      <c r="G1682" s="16" t="s">
        <v>222</v>
      </c>
      <c r="H1682" s="16" t="s">
        <v>229</v>
      </c>
      <c r="I1682" s="16" t="s">
        <v>244</v>
      </c>
    </row>
    <row r="1683" ht="242.25" customHeight="1">
      <c r="A1683" s="32" t="b">
        <v>0</v>
      </c>
      <c r="B1683" s="32" t="str">
        <f>IMAGE("https://gymvisual.com/7137-catalog_default/dumbbell-one-arm-hammer-preacher-curl.jpg",4,500,500)</f>
        <v/>
      </c>
      <c r="C1683" s="30">
        <v>1682.0</v>
      </c>
      <c r="D1683" s="16" t="s">
        <v>2255</v>
      </c>
      <c r="E1683" s="16" t="s">
        <v>184</v>
      </c>
      <c r="F1683" s="16" t="s">
        <v>219</v>
      </c>
      <c r="G1683" s="16" t="s">
        <v>222</v>
      </c>
      <c r="H1683" s="16" t="s">
        <v>220</v>
      </c>
      <c r="I1683" s="16" t="s">
        <v>220</v>
      </c>
    </row>
    <row r="1684" ht="242.25" customHeight="1">
      <c r="A1684" s="32" t="b">
        <v>0</v>
      </c>
      <c r="B1684" s="32" t="str">
        <f>IMAGE("https://gymvisual.com/7096-catalog_default/dumbbell-one-arm-hammer-press-on-exercise-ball.jpg",4,500,500)</f>
        <v/>
      </c>
      <c r="C1684" s="30">
        <v>1683.0</v>
      </c>
      <c r="D1684" s="16" t="s">
        <v>2256</v>
      </c>
      <c r="E1684" s="16" t="s">
        <v>184</v>
      </c>
      <c r="F1684" s="16" t="s">
        <v>219</v>
      </c>
      <c r="G1684" s="16" t="s">
        <v>222</v>
      </c>
      <c r="H1684" s="16" t="s">
        <v>220</v>
      </c>
      <c r="I1684" s="16" t="s">
        <v>220</v>
      </c>
    </row>
    <row r="1685" ht="242.25" customHeight="1">
      <c r="A1685" s="32" t="b">
        <v>0</v>
      </c>
      <c r="B1685" s="32" t="str">
        <f>IMAGE("https://gymvisual.com/5978-catalog_default/dumbbell-one-arm-incline-chest-press.jpg",4,500,500)</f>
        <v/>
      </c>
      <c r="C1685" s="30">
        <v>1684.0</v>
      </c>
      <c r="D1685" s="16" t="s">
        <v>2257</v>
      </c>
      <c r="E1685" s="16" t="s">
        <v>184</v>
      </c>
      <c r="F1685" s="16" t="s">
        <v>234</v>
      </c>
      <c r="G1685" s="16" t="s">
        <v>222</v>
      </c>
      <c r="H1685" s="16" t="s">
        <v>415</v>
      </c>
      <c r="I1685" s="16" t="s">
        <v>243</v>
      </c>
    </row>
    <row r="1686" ht="242.25" customHeight="1">
      <c r="A1686" s="32" t="b">
        <v>0</v>
      </c>
      <c r="B1686" s="32" t="str">
        <f>IMAGE("https://gymvisual.com/1081-catalog_default/3-4-sit-up.jpg",4,500,500)</f>
        <v/>
      </c>
      <c r="C1686" s="30">
        <v>1685.0</v>
      </c>
      <c r="D1686" s="16" t="s">
        <v>2258</v>
      </c>
      <c r="E1686" s="16" t="s">
        <v>184</v>
      </c>
      <c r="F1686" s="16" t="s">
        <v>219</v>
      </c>
      <c r="G1686" s="16" t="s">
        <v>222</v>
      </c>
      <c r="H1686" s="16" t="s">
        <v>223</v>
      </c>
      <c r="I1686" s="16" t="s">
        <v>220</v>
      </c>
    </row>
    <row r="1687" ht="242.25" customHeight="1">
      <c r="A1687" s="32" t="b">
        <v>0</v>
      </c>
      <c r="B1687" s="32" t="str">
        <f>IMAGE("https://gymvisual.com/10300-catalog_default/dumbbell-one-arm-kickback-female.jpg",4,500,500)</f>
        <v/>
      </c>
      <c r="C1687" s="30">
        <v>1686.0</v>
      </c>
      <c r="D1687" s="16" t="s">
        <v>2259</v>
      </c>
      <c r="E1687" s="16" t="s">
        <v>184</v>
      </c>
      <c r="F1687" s="16" t="s">
        <v>219</v>
      </c>
      <c r="G1687" s="16" t="s">
        <v>222</v>
      </c>
      <c r="H1687" s="16" t="s">
        <v>223</v>
      </c>
      <c r="I1687" s="16" t="s">
        <v>220</v>
      </c>
    </row>
    <row r="1688" ht="242.25" customHeight="1">
      <c r="A1688" s="32" t="b">
        <v>0</v>
      </c>
      <c r="B1688" s="32" t="str">
        <f>IMAGE("https://gymvisual.com/1084-catalog_default/3-4-sit-up.jpg",4,500,500)</f>
        <v/>
      </c>
      <c r="C1688" s="30">
        <v>1687.0</v>
      </c>
      <c r="D1688" s="16" t="s">
        <v>2260</v>
      </c>
      <c r="E1688" s="16" t="s">
        <v>184</v>
      </c>
      <c r="F1688" s="16" t="s">
        <v>228</v>
      </c>
      <c r="G1688" s="16" t="s">
        <v>222</v>
      </c>
      <c r="H1688" s="16" t="s">
        <v>544</v>
      </c>
      <c r="I1688" s="16" t="s">
        <v>545</v>
      </c>
    </row>
    <row r="1689" ht="242.25" customHeight="1">
      <c r="A1689" s="32" t="b">
        <v>0</v>
      </c>
      <c r="B1689" s="32" t="str">
        <f>IMAGE("https://gymvisual.com/11324-catalog_default/dumbbell-one-arm-lateral-raise-female.jpg",4,500,500)</f>
        <v/>
      </c>
      <c r="C1689" s="30">
        <v>1688.0</v>
      </c>
      <c r="D1689" s="16" t="s">
        <v>2261</v>
      </c>
      <c r="E1689" s="16" t="s">
        <v>184</v>
      </c>
      <c r="F1689" s="16" t="s">
        <v>228</v>
      </c>
      <c r="G1689" s="16" t="s">
        <v>222</v>
      </c>
      <c r="H1689" s="16" t="s">
        <v>544</v>
      </c>
      <c r="I1689" s="16" t="s">
        <v>545</v>
      </c>
    </row>
    <row r="1690" ht="242.25" customHeight="1">
      <c r="A1690" s="32" t="b">
        <v>0</v>
      </c>
      <c r="B1690" s="32" t="str">
        <f>IMAGE("https://gymvisual.com/11567-catalog_default/dumbbell-one-arm-lateral-raise-female.jpg",4,500,500)</f>
        <v/>
      </c>
      <c r="C1690" s="30">
        <v>1689.0</v>
      </c>
      <c r="D1690" s="16" t="s">
        <v>2262</v>
      </c>
      <c r="E1690" s="16" t="s">
        <v>184</v>
      </c>
      <c r="F1690" s="16" t="s">
        <v>228</v>
      </c>
      <c r="G1690" s="16" t="s">
        <v>222</v>
      </c>
      <c r="H1690" s="16" t="s">
        <v>220</v>
      </c>
      <c r="I1690" s="16" t="s">
        <v>220</v>
      </c>
    </row>
    <row r="1691" ht="242.25" customHeight="1">
      <c r="A1691" s="32" t="b">
        <v>0</v>
      </c>
      <c r="B1691" s="32" t="str">
        <f>IMAGE("https://gymvisual.com/1087-catalog_default/3-4-sit-up.jpg",4,500,500)</f>
        <v/>
      </c>
      <c r="C1691" s="30">
        <v>1690.0</v>
      </c>
      <c r="D1691" s="16" t="s">
        <v>2260</v>
      </c>
      <c r="E1691" s="16" t="s">
        <v>184</v>
      </c>
      <c r="F1691" s="16" t="s">
        <v>228</v>
      </c>
      <c r="G1691" s="16" t="s">
        <v>222</v>
      </c>
      <c r="H1691" s="16" t="s">
        <v>544</v>
      </c>
      <c r="I1691" s="16" t="s">
        <v>2135</v>
      </c>
    </row>
    <row r="1692" ht="242.25" customHeight="1">
      <c r="A1692" s="32" t="b">
        <v>0</v>
      </c>
      <c r="B1692" s="32" t="str">
        <f>IMAGE("https://gymvisual.com/22137-catalog_default/dumbbell-one-arm-low-fly.jpg",4,500,500)</f>
        <v/>
      </c>
      <c r="C1692" s="30">
        <v>1691.0</v>
      </c>
      <c r="D1692" s="16" t="s">
        <v>2263</v>
      </c>
      <c r="E1692" s="16" t="s">
        <v>184</v>
      </c>
      <c r="F1692" s="16" t="s">
        <v>234</v>
      </c>
      <c r="G1692" s="16" t="s">
        <v>222</v>
      </c>
      <c r="H1692" s="16" t="s">
        <v>235</v>
      </c>
      <c r="I1692" s="16" t="s">
        <v>236</v>
      </c>
    </row>
    <row r="1693" ht="242.25" customHeight="1">
      <c r="A1693" s="32" t="b">
        <v>0</v>
      </c>
      <c r="B1693" s="32" t="str">
        <f>IMAGE("https://gymvisual.com/13627-catalog_default/dumbbell-one-arm-lunge.jpg",4,500,500)</f>
        <v/>
      </c>
      <c r="C1693" s="30">
        <v>1692.0</v>
      </c>
      <c r="D1693" s="16" t="s">
        <v>2264</v>
      </c>
      <c r="E1693" s="16" t="s">
        <v>184</v>
      </c>
      <c r="F1693" s="16" t="s">
        <v>285</v>
      </c>
      <c r="G1693" s="16" t="s">
        <v>222</v>
      </c>
      <c r="H1693" s="16" t="s">
        <v>189</v>
      </c>
      <c r="I1693" s="16" t="s">
        <v>190</v>
      </c>
    </row>
    <row r="1694" ht="242.25" customHeight="1">
      <c r="A1694" s="32" t="b">
        <v>0</v>
      </c>
      <c r="B1694" s="32" t="str">
        <f>IMAGE("https://gymvisual.com/1090-catalog_default/3-4-sit-up.jpg",4,500,500)</f>
        <v/>
      </c>
      <c r="C1694" s="30">
        <v>1693.0</v>
      </c>
      <c r="D1694" s="16" t="s">
        <v>2265</v>
      </c>
      <c r="E1694" s="16" t="s">
        <v>184</v>
      </c>
      <c r="F1694" s="16" t="s">
        <v>234</v>
      </c>
      <c r="G1694" s="16" t="s">
        <v>222</v>
      </c>
      <c r="H1694" s="16" t="s">
        <v>235</v>
      </c>
      <c r="I1694" s="16" t="s">
        <v>2266</v>
      </c>
    </row>
    <row r="1695" ht="242.25" customHeight="1">
      <c r="A1695" s="32" t="b">
        <v>0</v>
      </c>
      <c r="B1695" s="32" t="str">
        <f>IMAGE("https://gymvisual.com/5979-catalog_default/dumbbell-one-arm-press-on-exercise-ball.jpg",4,500,500)</f>
        <v/>
      </c>
      <c r="C1695" s="30">
        <v>1694.0</v>
      </c>
      <c r="D1695" s="16" t="s">
        <v>2267</v>
      </c>
      <c r="E1695" s="16" t="s">
        <v>184</v>
      </c>
      <c r="F1695" s="16" t="s">
        <v>234</v>
      </c>
      <c r="G1695" s="16" t="s">
        <v>222</v>
      </c>
      <c r="H1695" s="16" t="s">
        <v>347</v>
      </c>
      <c r="I1695" s="16" t="s">
        <v>382</v>
      </c>
    </row>
    <row r="1696" ht="242.25" customHeight="1">
      <c r="A1696" s="32" t="b">
        <v>0</v>
      </c>
      <c r="B1696" s="32" t="str">
        <f>IMAGE("https://gymvisual.com/7139-catalog_default/dumbbell-one-arm-prone-curl.jpg",4,500,500)</f>
        <v/>
      </c>
      <c r="C1696" s="30">
        <v>1695.0</v>
      </c>
      <c r="D1696" s="16" t="s">
        <v>2268</v>
      </c>
      <c r="E1696" s="16" t="s">
        <v>184</v>
      </c>
      <c r="F1696" s="16" t="s">
        <v>219</v>
      </c>
      <c r="G1696" s="16" t="s">
        <v>222</v>
      </c>
      <c r="H1696" s="16" t="s">
        <v>220</v>
      </c>
      <c r="I1696" s="16" t="s">
        <v>220</v>
      </c>
    </row>
    <row r="1697" ht="242.25" customHeight="1">
      <c r="A1697" s="32" t="b">
        <v>0</v>
      </c>
      <c r="B1697" s="32" t="str">
        <f>IMAGE("https://gymvisual.com/7140-catalog_default/dumbbell-one-arm-prone-hammer-curl.jpg",4,500,500)</f>
        <v/>
      </c>
      <c r="C1697" s="30">
        <v>1696.0</v>
      </c>
      <c r="D1697" s="16" t="s">
        <v>2269</v>
      </c>
      <c r="E1697" s="16" t="s">
        <v>184</v>
      </c>
      <c r="F1697" s="16" t="s">
        <v>219</v>
      </c>
      <c r="G1697" s="16" t="s">
        <v>222</v>
      </c>
      <c r="H1697" s="16" t="s">
        <v>220</v>
      </c>
      <c r="I1697" s="16" t="s">
        <v>220</v>
      </c>
    </row>
    <row r="1698" ht="242.25" customHeight="1">
      <c r="A1698" s="32" t="b">
        <v>0</v>
      </c>
      <c r="B1698" s="32" t="str">
        <f>IMAGE("https://gymvisual.com/5980-catalog_default/dumbbell-one-arm-pullover-on-exercise-ball.jpg",4,500,500)</f>
        <v/>
      </c>
      <c r="C1698" s="30">
        <v>1697.0</v>
      </c>
      <c r="D1698" s="16" t="s">
        <v>2270</v>
      </c>
      <c r="E1698" s="16" t="s">
        <v>184</v>
      </c>
      <c r="F1698" s="16" t="s">
        <v>234</v>
      </c>
      <c r="G1698" s="16" t="s">
        <v>222</v>
      </c>
      <c r="H1698" s="16" t="s">
        <v>347</v>
      </c>
      <c r="I1698" s="16" t="s">
        <v>2222</v>
      </c>
    </row>
    <row r="1699" ht="242.25" customHeight="1">
      <c r="A1699" s="32" t="b">
        <v>0</v>
      </c>
      <c r="B1699" s="32" t="str">
        <f>IMAGE("https://gymvisual.com/1093-catalog_default/3-4-sit-up.jpg",4,500,500)</f>
        <v/>
      </c>
      <c r="C1699" s="30">
        <v>1698.0</v>
      </c>
      <c r="D1699" s="16" t="s">
        <v>2271</v>
      </c>
      <c r="E1699" s="16" t="s">
        <v>184</v>
      </c>
      <c r="F1699" s="16" t="s">
        <v>214</v>
      </c>
      <c r="G1699" s="16" t="s">
        <v>222</v>
      </c>
      <c r="H1699" s="16" t="s">
        <v>604</v>
      </c>
      <c r="I1699" s="16" t="s">
        <v>220</v>
      </c>
    </row>
    <row r="1700" ht="242.25" customHeight="1">
      <c r="A1700" s="32" t="b">
        <v>0</v>
      </c>
      <c r="B1700" s="32" t="str">
        <f>IMAGE("https://gymvisual.com/11549-catalog_default/dumbbell-one-arm-revers-wrist-curl-female.jpg",4,500,500)</f>
        <v/>
      </c>
      <c r="C1700" s="30">
        <v>1699.0</v>
      </c>
      <c r="D1700" s="16" t="s">
        <v>2272</v>
      </c>
      <c r="E1700" s="16" t="s">
        <v>184</v>
      </c>
      <c r="F1700" s="16" t="s">
        <v>214</v>
      </c>
      <c r="G1700" s="16" t="s">
        <v>222</v>
      </c>
      <c r="H1700" s="16" t="s">
        <v>220</v>
      </c>
      <c r="I1700" s="16" t="s">
        <v>220</v>
      </c>
    </row>
    <row r="1701" ht="242.25" customHeight="1">
      <c r="A1701" s="32" t="b">
        <v>0</v>
      </c>
      <c r="B1701" s="32" t="str">
        <f>IMAGE("https://gymvisual.com/1096-catalog_default/3-4-sit-up.jpg",4,500,500)</f>
        <v/>
      </c>
      <c r="C1701" s="30">
        <v>1700.0</v>
      </c>
      <c r="D1701" s="16" t="s">
        <v>2273</v>
      </c>
      <c r="E1701" s="16" t="s">
        <v>184</v>
      </c>
      <c r="F1701" s="16" t="s">
        <v>228</v>
      </c>
      <c r="G1701" s="16" t="s">
        <v>222</v>
      </c>
      <c r="H1701" s="16" t="s">
        <v>408</v>
      </c>
      <c r="I1701" s="16" t="s">
        <v>452</v>
      </c>
    </row>
    <row r="1702" ht="242.25" customHeight="1">
      <c r="A1702" s="32" t="b">
        <v>0</v>
      </c>
      <c r="B1702" s="32" t="str">
        <f>IMAGE("https://gymvisual.com/11570-catalog_default/dumbbell-one-arm-reverse-fly-with-support-female.jpg",4,500,500)</f>
        <v/>
      </c>
      <c r="C1702" s="30">
        <v>1701.0</v>
      </c>
      <c r="D1702" s="16" t="s">
        <v>2274</v>
      </c>
      <c r="E1702" s="16" t="s">
        <v>184</v>
      </c>
      <c r="F1702" s="16" t="s">
        <v>228</v>
      </c>
      <c r="G1702" s="16" t="s">
        <v>222</v>
      </c>
      <c r="H1702" s="16" t="s">
        <v>220</v>
      </c>
      <c r="I1702" s="16" t="s">
        <v>220</v>
      </c>
    </row>
    <row r="1703" ht="242.25" customHeight="1">
      <c r="A1703" s="32" t="b">
        <v>0</v>
      </c>
      <c r="B1703" s="32" t="str">
        <f>IMAGE("https://gymvisual.com/17642-catalog_default/dumbbell-one-arm-reverse-fly-with-support-version-2.jpg",4,500,500)</f>
        <v/>
      </c>
      <c r="C1703" s="30">
        <v>1702.0</v>
      </c>
      <c r="D1703" s="16" t="s">
        <v>2275</v>
      </c>
      <c r="E1703" s="16" t="s">
        <v>184</v>
      </c>
      <c r="F1703" s="16" t="s">
        <v>228</v>
      </c>
      <c r="G1703" s="16" t="s">
        <v>222</v>
      </c>
      <c r="H1703" s="16" t="s">
        <v>408</v>
      </c>
      <c r="I1703" s="16" t="s">
        <v>452</v>
      </c>
    </row>
    <row r="1704" ht="242.25" customHeight="1">
      <c r="A1704" s="32" t="b">
        <v>0</v>
      </c>
      <c r="B1704" s="32" t="str">
        <f>IMAGE("https://gymvisual.com/7097-catalog_default/dumbbell-one-arm-reverse-grip-press.jpg",4,500,500)</f>
        <v/>
      </c>
      <c r="C1704" s="30">
        <v>1703.0</v>
      </c>
      <c r="D1704" s="16" t="s">
        <v>2276</v>
      </c>
      <c r="E1704" s="16" t="s">
        <v>184</v>
      </c>
      <c r="F1704" s="16" t="s">
        <v>234</v>
      </c>
      <c r="G1704" s="16" t="s">
        <v>222</v>
      </c>
      <c r="H1704" s="16" t="s">
        <v>220</v>
      </c>
      <c r="I1704" s="16" t="s">
        <v>220</v>
      </c>
    </row>
    <row r="1705" ht="242.25" customHeight="1">
      <c r="A1705" s="32" t="b">
        <v>0</v>
      </c>
      <c r="B1705" s="32" t="str">
        <f>IMAGE("https://gymvisual.com/6266-catalog_default/dumbbell-one-arm-reverse-preacher-curl.jpg",4,500,500)</f>
        <v/>
      </c>
      <c r="C1705" s="30">
        <v>1704.0</v>
      </c>
      <c r="D1705" s="16" t="s">
        <v>2277</v>
      </c>
      <c r="E1705" s="16" t="s">
        <v>184</v>
      </c>
      <c r="F1705" s="16" t="s">
        <v>214</v>
      </c>
      <c r="G1705" s="16" t="s">
        <v>222</v>
      </c>
      <c r="H1705" s="16" t="s">
        <v>216</v>
      </c>
      <c r="I1705" s="16" t="s">
        <v>217</v>
      </c>
    </row>
    <row r="1706" ht="242.25" customHeight="1">
      <c r="A1706" s="32" t="b">
        <v>0</v>
      </c>
      <c r="B1706" s="32" t="str">
        <f>IMAGE("https://gymvisual.com/7141-catalog_default/dumbbell-one-arm-reverse-spider-curl.jpg",4,500,500)</f>
        <v/>
      </c>
      <c r="C1706" s="30">
        <v>1705.0</v>
      </c>
      <c r="D1706" s="16" t="s">
        <v>2278</v>
      </c>
      <c r="E1706" s="16" t="s">
        <v>184</v>
      </c>
      <c r="F1706" s="16" t="s">
        <v>219</v>
      </c>
      <c r="G1706" s="16" t="s">
        <v>222</v>
      </c>
      <c r="H1706" s="16" t="s">
        <v>220</v>
      </c>
      <c r="I1706" s="16" t="s">
        <v>220</v>
      </c>
    </row>
    <row r="1707" ht="242.25" customHeight="1">
      <c r="A1707" s="32" t="b">
        <v>0</v>
      </c>
      <c r="B1707" s="32" t="str">
        <f>IMAGE("https://gymvisual.com/4607-catalog_default/dumbbell-one-arm-row-rack-support.jpg",4,500,500)</f>
        <v/>
      </c>
      <c r="C1707" s="30">
        <v>1706.0</v>
      </c>
      <c r="D1707" s="16" t="s">
        <v>2279</v>
      </c>
      <c r="E1707" s="16" t="s">
        <v>184</v>
      </c>
      <c r="F1707" s="16" t="s">
        <v>192</v>
      </c>
      <c r="G1707" s="16" t="s">
        <v>222</v>
      </c>
      <c r="H1707" s="16" t="s">
        <v>329</v>
      </c>
      <c r="I1707" s="16" t="s">
        <v>457</v>
      </c>
    </row>
    <row r="1708" ht="242.25" customHeight="1">
      <c r="A1708" s="32" t="b">
        <v>0</v>
      </c>
      <c r="B1708" s="32" t="str">
        <f>IMAGE("https://gymvisual.com/7142-catalog_default/dumbbell-one-arm-seated-bicep-curl-on-exercise-ball.jpg",4,500,500)</f>
        <v/>
      </c>
      <c r="C1708" s="30">
        <v>1707.0</v>
      </c>
      <c r="D1708" s="16" t="s">
        <v>2280</v>
      </c>
      <c r="E1708" s="16" t="s">
        <v>184</v>
      </c>
      <c r="F1708" s="16" t="s">
        <v>219</v>
      </c>
      <c r="G1708" s="16" t="s">
        <v>222</v>
      </c>
      <c r="H1708" s="16" t="s">
        <v>220</v>
      </c>
      <c r="I1708" s="16" t="s">
        <v>220</v>
      </c>
    </row>
    <row r="1709" ht="242.25" customHeight="1">
      <c r="A1709" s="32" t="b">
        <v>0</v>
      </c>
      <c r="B1709" s="32" t="str">
        <f>IMAGE("https://gymvisual.com/7143-catalog_default/dumbbell-one-arm-seated-hammer-curl.jpg",4,500,500)</f>
        <v/>
      </c>
      <c r="C1709" s="30">
        <v>1708.0</v>
      </c>
      <c r="D1709" s="16" t="s">
        <v>2281</v>
      </c>
      <c r="E1709" s="16" t="s">
        <v>184</v>
      </c>
      <c r="F1709" s="16" t="s">
        <v>219</v>
      </c>
      <c r="G1709" s="16" t="s">
        <v>222</v>
      </c>
      <c r="H1709" s="16" t="s">
        <v>220</v>
      </c>
      <c r="I1709" s="16" t="s">
        <v>220</v>
      </c>
    </row>
    <row r="1710" ht="242.25" customHeight="1">
      <c r="A1710" s="32" t="b">
        <v>0</v>
      </c>
      <c r="B1710" s="32" t="str">
        <f>IMAGE("https://gymvisual.com/6267-catalog_default/dumbbell-one-arm-seated-neutral-wrist-curl.jpg",4,500,500)</f>
        <v/>
      </c>
      <c r="C1710" s="30">
        <v>1709.0</v>
      </c>
      <c r="D1710" s="16" t="s">
        <v>2282</v>
      </c>
      <c r="E1710" s="16" t="s">
        <v>184</v>
      </c>
      <c r="F1710" s="16" t="s">
        <v>214</v>
      </c>
      <c r="G1710" s="16" t="s">
        <v>222</v>
      </c>
      <c r="H1710" s="16" t="s">
        <v>604</v>
      </c>
      <c r="I1710" s="16" t="s">
        <v>220</v>
      </c>
    </row>
    <row r="1711" ht="242.25" customHeight="1">
      <c r="A1711" s="32" t="b">
        <v>0</v>
      </c>
      <c r="B1711" s="32" t="str">
        <f>IMAGE("https://gymvisual.com/11552-catalog_default/dumbbell-one-arm-seated-neutral-wrist-curl-female.jpg",4,500,500)</f>
        <v/>
      </c>
      <c r="C1711" s="30">
        <v>1710.0</v>
      </c>
      <c r="D1711" s="16" t="s">
        <v>2283</v>
      </c>
      <c r="E1711" s="16" t="s">
        <v>184</v>
      </c>
      <c r="F1711" s="16" t="s">
        <v>214</v>
      </c>
      <c r="G1711" s="16" t="s">
        <v>222</v>
      </c>
      <c r="H1711" s="16" t="s">
        <v>220</v>
      </c>
      <c r="I1711" s="16" t="s">
        <v>220</v>
      </c>
    </row>
    <row r="1712" ht="242.25" customHeight="1">
      <c r="A1712" s="32" t="b">
        <v>0</v>
      </c>
      <c r="B1712" s="32" t="str">
        <f>IMAGE("https://gymvisual.com/1102-catalog_default/3-4-sit-up.jpg",4,500,500)</f>
        <v/>
      </c>
      <c r="C1712" s="30">
        <v>1711.0</v>
      </c>
      <c r="D1712" s="16" t="s">
        <v>2284</v>
      </c>
      <c r="E1712" s="16" t="s">
        <v>184</v>
      </c>
      <c r="F1712" s="16" t="s">
        <v>228</v>
      </c>
      <c r="G1712" s="16" t="s">
        <v>222</v>
      </c>
      <c r="H1712" s="16" t="s">
        <v>229</v>
      </c>
      <c r="I1712" s="16" t="s">
        <v>626</v>
      </c>
    </row>
    <row r="1713" ht="242.25" customHeight="1">
      <c r="A1713" s="32" t="b">
        <v>0</v>
      </c>
      <c r="B1713" s="32" t="str">
        <f>IMAGE("https://gymvisual.com/1099-catalog_default/3-4-sit-up.jpg",4,500,500)</f>
        <v/>
      </c>
      <c r="C1713" s="30">
        <v>1712.0</v>
      </c>
      <c r="D1713" s="16" t="s">
        <v>2285</v>
      </c>
      <c r="E1713" s="16" t="s">
        <v>184</v>
      </c>
      <c r="F1713" s="16" t="s">
        <v>228</v>
      </c>
      <c r="G1713" s="16" t="s">
        <v>222</v>
      </c>
      <c r="H1713" s="16" t="s">
        <v>229</v>
      </c>
      <c r="I1713" s="16" t="s">
        <v>626</v>
      </c>
    </row>
    <row r="1714" ht="242.25" customHeight="1">
      <c r="A1714" s="32" t="b">
        <v>0</v>
      </c>
      <c r="B1714" s="32" t="str">
        <f>IMAGE("https://gymvisual.com/10310-catalog_default/dumbbell-one-arm-shoulder-press-version-2-female.jpg",4,500,500)</f>
        <v/>
      </c>
      <c r="C1714" s="30">
        <v>1713.0</v>
      </c>
      <c r="D1714" s="16" t="s">
        <v>2286</v>
      </c>
      <c r="E1714" s="16" t="s">
        <v>184</v>
      </c>
      <c r="F1714" s="16" t="s">
        <v>228</v>
      </c>
      <c r="G1714" s="16" t="s">
        <v>222</v>
      </c>
      <c r="H1714" s="16" t="s">
        <v>229</v>
      </c>
      <c r="I1714" s="16" t="s">
        <v>626</v>
      </c>
    </row>
    <row r="1715" ht="242.25" customHeight="1">
      <c r="A1715" s="32" t="b">
        <v>0</v>
      </c>
      <c r="B1715" s="32" t="str">
        <f>IMAGE("https://gymvisual.com/17119-catalog_default/dumbbell-one-arm-snatch.jpg",4,500,500)</f>
        <v/>
      </c>
      <c r="C1715" s="30">
        <v>1714.0</v>
      </c>
      <c r="D1715" s="16" t="s">
        <v>2287</v>
      </c>
      <c r="E1715" s="16" t="s">
        <v>184</v>
      </c>
      <c r="F1715" s="16" t="s">
        <v>691</v>
      </c>
      <c r="G1715" s="16" t="s">
        <v>222</v>
      </c>
      <c r="H1715" s="16" t="s">
        <v>2288</v>
      </c>
      <c r="I1715" s="16" t="s">
        <v>2289</v>
      </c>
    </row>
    <row r="1716" ht="242.25" customHeight="1">
      <c r="A1716" s="32" t="b">
        <v>0</v>
      </c>
      <c r="B1716" s="32" t="str">
        <f>IMAGE("https://gymvisual.com/7144-catalog_default/dumbbell-one-arm-standing-curl.jpg",4,500,500)</f>
        <v/>
      </c>
      <c r="C1716" s="30">
        <v>1715.0</v>
      </c>
      <c r="D1716" s="16" t="s">
        <v>2290</v>
      </c>
      <c r="E1716" s="16" t="s">
        <v>184</v>
      </c>
      <c r="F1716" s="16" t="s">
        <v>219</v>
      </c>
      <c r="G1716" s="16" t="s">
        <v>222</v>
      </c>
      <c r="H1716" s="16" t="s">
        <v>220</v>
      </c>
      <c r="I1716" s="16" t="s">
        <v>220</v>
      </c>
    </row>
    <row r="1717" ht="242.25" customHeight="1">
      <c r="A1717" s="32" t="b">
        <v>0</v>
      </c>
      <c r="B1717" s="32" t="str">
        <f>IMAGE("https://gymvisual.com/7145-catalog_default/dumbbell-one-arm-standing-hammer-curl.jpg",4,500,500)</f>
        <v/>
      </c>
      <c r="C1717" s="30">
        <v>1716.0</v>
      </c>
      <c r="D1717" s="16" t="s">
        <v>2291</v>
      </c>
      <c r="E1717" s="16" t="s">
        <v>184</v>
      </c>
      <c r="F1717" s="16" t="s">
        <v>219</v>
      </c>
      <c r="G1717" s="16" t="s">
        <v>222</v>
      </c>
      <c r="H1717" s="16" t="s">
        <v>220</v>
      </c>
      <c r="I1717" s="16" t="s">
        <v>220</v>
      </c>
    </row>
    <row r="1718" ht="242.25" customHeight="1">
      <c r="A1718" s="32" t="b">
        <v>0</v>
      </c>
      <c r="B1718" s="32" t="str">
        <f>IMAGE("https://gymvisual.com/19179-catalog_default/dumbbell-one-arm-thruster.jpg",4,500,500)</f>
        <v/>
      </c>
      <c r="C1718" s="30">
        <v>1717.0</v>
      </c>
      <c r="D1718" s="16" t="s">
        <v>2292</v>
      </c>
      <c r="E1718" s="16" t="s">
        <v>184</v>
      </c>
      <c r="F1718" s="16" t="s">
        <v>691</v>
      </c>
      <c r="G1718" s="16" t="s">
        <v>222</v>
      </c>
      <c r="H1718" s="16" t="s">
        <v>220</v>
      </c>
      <c r="I1718" s="16" t="s">
        <v>220</v>
      </c>
    </row>
    <row r="1719" ht="242.25" customHeight="1">
      <c r="A1719" s="32" t="b">
        <v>0</v>
      </c>
      <c r="B1719" s="32" t="str">
        <f>IMAGE("https://gymvisual.com/18758-catalog_default/dumbbell-one-arm-triceps-extension-female.jpg",4,500,500)</f>
        <v/>
      </c>
      <c r="C1719" s="30">
        <v>1718.0</v>
      </c>
      <c r="D1719" s="16" t="s">
        <v>2293</v>
      </c>
      <c r="E1719" s="16" t="s">
        <v>184</v>
      </c>
      <c r="F1719" s="16" t="s">
        <v>219</v>
      </c>
      <c r="G1719" s="16" t="s">
        <v>222</v>
      </c>
      <c r="H1719" s="16" t="s">
        <v>220</v>
      </c>
      <c r="I1719" s="16" t="s">
        <v>220</v>
      </c>
    </row>
    <row r="1720" ht="242.25" customHeight="1">
      <c r="A1720" s="32" t="b">
        <v>0</v>
      </c>
      <c r="B1720" s="32" t="str">
        <f>IMAGE("https://gymvisual.com/1105-catalog_default/3-4-sit-up.jpg",4,500,500)</f>
        <v/>
      </c>
      <c r="C1720" s="30">
        <v>1719.0</v>
      </c>
      <c r="D1720" s="16" t="s">
        <v>2294</v>
      </c>
      <c r="E1720" s="16" t="s">
        <v>184</v>
      </c>
      <c r="F1720" s="16" t="s">
        <v>219</v>
      </c>
      <c r="G1720" s="16" t="s">
        <v>222</v>
      </c>
      <c r="H1720" s="16" t="s">
        <v>223</v>
      </c>
      <c r="I1720" s="16" t="s">
        <v>220</v>
      </c>
    </row>
    <row r="1721" ht="242.25" customHeight="1">
      <c r="A1721" s="32" t="b">
        <v>0</v>
      </c>
      <c r="B1721" s="32" t="str">
        <f>IMAGE("https://gymvisual.com/11351-catalog_default/dumbbell-one-arm-triceps-extension-on-bench-female.jpg",4,500,500)</f>
        <v/>
      </c>
      <c r="C1721" s="30">
        <v>1720.0</v>
      </c>
      <c r="D1721" s="16" t="s">
        <v>2295</v>
      </c>
      <c r="E1721" s="16" t="s">
        <v>184</v>
      </c>
      <c r="F1721" s="16" t="s">
        <v>219</v>
      </c>
      <c r="G1721" s="16" t="s">
        <v>222</v>
      </c>
      <c r="H1721" s="16" t="s">
        <v>223</v>
      </c>
      <c r="I1721" s="16" t="s">
        <v>220</v>
      </c>
    </row>
    <row r="1722" ht="242.25" customHeight="1">
      <c r="A1722" s="32" t="b">
        <v>0</v>
      </c>
      <c r="B1722" s="32" t="str">
        <f>IMAGE("https://gymvisual.com/17841-catalog_default/dumbbell-one-arm-triceps-extension-on-stability-ball.jpg",4,500,500)</f>
        <v/>
      </c>
      <c r="C1722" s="30">
        <v>1721.0</v>
      </c>
      <c r="D1722" s="16" t="s">
        <v>2296</v>
      </c>
      <c r="E1722" s="16" t="s">
        <v>184</v>
      </c>
      <c r="F1722" s="16" t="s">
        <v>219</v>
      </c>
      <c r="G1722" s="16" t="s">
        <v>222</v>
      </c>
      <c r="H1722" s="16" t="s">
        <v>220</v>
      </c>
      <c r="I1722" s="16" t="s">
        <v>220</v>
      </c>
    </row>
    <row r="1723" ht="242.25" customHeight="1">
      <c r="A1723" s="32" t="b">
        <v>0</v>
      </c>
      <c r="B1723" s="32" t="str">
        <f>IMAGE("https://gymvisual.com/1108-catalog_default/3-4-sit-up.jpg",4,500,500)</f>
        <v/>
      </c>
      <c r="C1723" s="30">
        <v>1722.0</v>
      </c>
      <c r="D1723" s="16" t="s">
        <v>2297</v>
      </c>
      <c r="E1723" s="16" t="s">
        <v>184</v>
      </c>
      <c r="F1723" s="16" t="s">
        <v>228</v>
      </c>
      <c r="G1723" s="16" t="s">
        <v>222</v>
      </c>
      <c r="H1723" s="16" t="s">
        <v>544</v>
      </c>
      <c r="I1723" s="16" t="s">
        <v>2298</v>
      </c>
    </row>
    <row r="1724" ht="242.25" customHeight="1">
      <c r="A1724" s="32" t="b">
        <v>0</v>
      </c>
      <c r="B1724" s="32" t="str">
        <f>IMAGE("https://gymvisual.com/11348-catalog_default/dumbbell-one-arm-upright-row-female.jpg",4,500,500)</f>
        <v/>
      </c>
      <c r="C1724" s="30">
        <v>1723.0</v>
      </c>
      <c r="D1724" s="16" t="s">
        <v>2299</v>
      </c>
      <c r="E1724" s="16" t="s">
        <v>184</v>
      </c>
      <c r="F1724" s="16" t="s">
        <v>228</v>
      </c>
      <c r="G1724" s="16" t="s">
        <v>222</v>
      </c>
      <c r="H1724" s="16" t="s">
        <v>220</v>
      </c>
      <c r="I1724" s="16" t="s">
        <v>220</v>
      </c>
    </row>
    <row r="1725" ht="242.25" customHeight="1">
      <c r="A1725" s="32" t="b">
        <v>0</v>
      </c>
      <c r="B1725" s="32" t="str">
        <f>IMAGE("https://gymvisual.com/13614-catalog_default/dumbbell-one-arm-wide-grip-bench-press.jpg",4,500,500)</f>
        <v/>
      </c>
      <c r="C1725" s="30">
        <v>1724.0</v>
      </c>
      <c r="D1725" s="16" t="s">
        <v>2300</v>
      </c>
      <c r="E1725" s="16" t="s">
        <v>184</v>
      </c>
      <c r="F1725" s="16" t="s">
        <v>234</v>
      </c>
      <c r="G1725" s="16" t="s">
        <v>222</v>
      </c>
      <c r="H1725" s="16" t="s">
        <v>235</v>
      </c>
      <c r="I1725" s="16" t="s">
        <v>243</v>
      </c>
    </row>
    <row r="1726" ht="242.25" customHeight="1">
      <c r="A1726" s="32" t="b">
        <v>0</v>
      </c>
      <c r="B1726" s="32" t="str">
        <f>IMAGE("https://gymvisual.com/13115-catalog_default/3-4-sit-up.jpg",4,500,500)</f>
        <v/>
      </c>
      <c r="C1726" s="30">
        <v>1725.0</v>
      </c>
      <c r="D1726" s="16" t="s">
        <v>2301</v>
      </c>
      <c r="E1726" s="16" t="s">
        <v>184</v>
      </c>
      <c r="F1726" s="16" t="s">
        <v>214</v>
      </c>
      <c r="G1726" s="16" t="s">
        <v>222</v>
      </c>
      <c r="H1726" s="16" t="s">
        <v>720</v>
      </c>
      <c r="I1726" s="16" t="s">
        <v>220</v>
      </c>
    </row>
    <row r="1727" ht="242.25" customHeight="1">
      <c r="A1727" s="32" t="b">
        <v>0</v>
      </c>
      <c r="B1727" s="32" t="str">
        <f>IMAGE("https://gymvisual.com/11555-catalog_default/dumbbell-one-arm-wrist-curl-femaleforearm.jpg",4,500,500)</f>
        <v/>
      </c>
      <c r="C1727" s="30">
        <v>1726.0</v>
      </c>
      <c r="D1727" s="16" t="s">
        <v>2302</v>
      </c>
      <c r="E1727" s="16" t="s">
        <v>184</v>
      </c>
      <c r="F1727" s="16" t="s">
        <v>214</v>
      </c>
      <c r="G1727" s="16" t="s">
        <v>222</v>
      </c>
      <c r="H1727" s="16" t="s">
        <v>220</v>
      </c>
      <c r="I1727" s="16" t="s">
        <v>220</v>
      </c>
    </row>
    <row r="1728" ht="242.25" customHeight="1">
      <c r="A1728" s="32" t="b">
        <v>0</v>
      </c>
      <c r="B1728" s="32" t="str">
        <f>IMAGE("https://gymvisual.com/20088-catalog_default/dumbbell-one-arm-y-elevation.jpg",4,500,500)</f>
        <v/>
      </c>
      <c r="C1728" s="30">
        <v>1727.0</v>
      </c>
      <c r="D1728" s="16" t="s">
        <v>2303</v>
      </c>
      <c r="E1728" s="16" t="s">
        <v>184</v>
      </c>
      <c r="F1728" s="16" t="s">
        <v>228</v>
      </c>
      <c r="G1728" s="16" t="s">
        <v>222</v>
      </c>
      <c r="H1728" s="16" t="s">
        <v>1997</v>
      </c>
      <c r="I1728" s="16" t="s">
        <v>731</v>
      </c>
    </row>
    <row r="1729" ht="242.25" customHeight="1">
      <c r="A1729" s="32" t="b">
        <v>0</v>
      </c>
      <c r="B1729" s="32" t="str">
        <f>IMAGE("https://gymvisual.com/7146-catalog_default/dumbbell-one-arm-zottman-preacher-curl.jpg",4,500,500)</f>
        <v/>
      </c>
      <c r="C1729" s="30">
        <v>1728.0</v>
      </c>
      <c r="D1729" s="16" t="s">
        <v>2304</v>
      </c>
      <c r="E1729" s="16" t="s">
        <v>184</v>
      </c>
      <c r="F1729" s="16" t="s">
        <v>219</v>
      </c>
      <c r="G1729" s="16" t="s">
        <v>222</v>
      </c>
      <c r="H1729" s="16" t="s">
        <v>241</v>
      </c>
      <c r="I1729" s="16" t="s">
        <v>2305</v>
      </c>
    </row>
    <row r="1730" ht="242.25" customHeight="1">
      <c r="A1730" s="32" t="b">
        <v>0</v>
      </c>
      <c r="B1730" s="32" t="str">
        <f>IMAGE("https://gymvisual.com/16706-catalog_default/dumbbell-one-arm-zottman-preacher-curl-female.jpg",4,500,500)</f>
        <v/>
      </c>
      <c r="C1730" s="30">
        <v>1729.0</v>
      </c>
      <c r="D1730" s="16" t="s">
        <v>2306</v>
      </c>
      <c r="E1730" s="16" t="s">
        <v>184</v>
      </c>
      <c r="F1730" s="16" t="s">
        <v>219</v>
      </c>
      <c r="G1730" s="16" t="s">
        <v>222</v>
      </c>
      <c r="H1730" s="16" t="s">
        <v>241</v>
      </c>
      <c r="I1730" s="16" t="s">
        <v>2305</v>
      </c>
    </row>
    <row r="1731" ht="242.25" customHeight="1">
      <c r="A1731" s="32" t="b">
        <v>0</v>
      </c>
      <c r="B1731" s="32" t="str">
        <f>IMAGE("https://gymvisual.com/5981-catalog_default/dumbbell-one-leg-fly-on-exercise-ball.jpg",4,500,500)</f>
        <v/>
      </c>
      <c r="C1731" s="30">
        <v>1730.0</v>
      </c>
      <c r="D1731" s="16" t="s">
        <v>2307</v>
      </c>
      <c r="E1731" s="16" t="s">
        <v>184</v>
      </c>
      <c r="F1731" s="16" t="s">
        <v>234</v>
      </c>
      <c r="G1731" s="16" t="s">
        <v>222</v>
      </c>
      <c r="H1731" s="16" t="s">
        <v>347</v>
      </c>
      <c r="I1731" s="16" t="s">
        <v>420</v>
      </c>
    </row>
    <row r="1732" ht="242.25" customHeight="1">
      <c r="A1732" s="32" t="b">
        <v>0</v>
      </c>
      <c r="B1732" s="32" t="str">
        <f>IMAGE("https://gymvisual.com/2772-catalog_default/dumbbell-one-leg-squat.jpg",4,500,500)</f>
        <v/>
      </c>
      <c r="C1732" s="30">
        <v>1731.0</v>
      </c>
      <c r="D1732" s="16" t="s">
        <v>2308</v>
      </c>
      <c r="E1732" s="16" t="s">
        <v>184</v>
      </c>
      <c r="F1732" s="16" t="s">
        <v>285</v>
      </c>
      <c r="G1732" s="16" t="s">
        <v>222</v>
      </c>
      <c r="H1732" s="16" t="s">
        <v>552</v>
      </c>
      <c r="I1732" s="16" t="s">
        <v>553</v>
      </c>
    </row>
    <row r="1733" ht="242.25" customHeight="1">
      <c r="A1733" s="32" t="b">
        <v>0</v>
      </c>
      <c r="B1733" s="32" t="str">
        <f>IMAGE("https://gymvisual.com/1114-catalog_default/3-4-sit-up.jpg",4,500,500)</f>
        <v/>
      </c>
      <c r="C1733" s="30">
        <v>1732.0</v>
      </c>
      <c r="D1733" s="16" t="s">
        <v>2309</v>
      </c>
      <c r="E1733" s="16" t="s">
        <v>184</v>
      </c>
      <c r="F1733" s="16" t="s">
        <v>214</v>
      </c>
      <c r="G1733" s="16" t="s">
        <v>222</v>
      </c>
      <c r="H1733" s="16" t="s">
        <v>216</v>
      </c>
      <c r="I1733" s="16" t="s">
        <v>220</v>
      </c>
    </row>
    <row r="1734" ht="242.25" customHeight="1">
      <c r="A1734" s="32" t="b">
        <v>0</v>
      </c>
      <c r="B1734" s="32" t="str">
        <f>IMAGE("https://gymvisual.com/11414-catalog_default/dumbbell-over-bench-neutral-wrist-curl-female.jpg",4,500,500)</f>
        <v/>
      </c>
      <c r="C1734" s="30">
        <v>1733.0</v>
      </c>
      <c r="D1734" s="16" t="s">
        <v>2310</v>
      </c>
      <c r="E1734" s="16" t="s">
        <v>184</v>
      </c>
      <c r="F1734" s="16" t="s">
        <v>214</v>
      </c>
      <c r="G1734" s="16" t="s">
        <v>222</v>
      </c>
      <c r="H1734" s="16" t="s">
        <v>220</v>
      </c>
      <c r="I1734" s="16" t="s">
        <v>220</v>
      </c>
    </row>
    <row r="1735" ht="242.25" customHeight="1">
      <c r="A1735" s="32" t="b">
        <v>0</v>
      </c>
      <c r="B1735" s="32" t="str">
        <f>IMAGE("https://gymvisual.com/1117-catalog_default/3-4-sit-up.jpg",4,500,500)</f>
        <v/>
      </c>
      <c r="C1735" s="30">
        <v>1734.0</v>
      </c>
      <c r="D1735" s="16" t="s">
        <v>2311</v>
      </c>
      <c r="E1735" s="16" t="s">
        <v>184</v>
      </c>
      <c r="F1735" s="16" t="s">
        <v>214</v>
      </c>
      <c r="G1735" s="16" t="s">
        <v>222</v>
      </c>
      <c r="H1735" s="16" t="s">
        <v>216</v>
      </c>
      <c r="I1735" s="16" t="s">
        <v>220</v>
      </c>
    </row>
    <row r="1736" ht="242.25" customHeight="1">
      <c r="A1736" s="32" t="b">
        <v>0</v>
      </c>
      <c r="B1736" s="32" t="str">
        <f>IMAGE("https://gymvisual.com/11417-catalog_default/dumbbell-over-bench-one-arm-neutral-wrist-curl-female.jpg",4,500,500)</f>
        <v/>
      </c>
      <c r="C1736" s="30">
        <v>1735.0</v>
      </c>
      <c r="D1736" s="16" t="s">
        <v>2312</v>
      </c>
      <c r="E1736" s="16" t="s">
        <v>184</v>
      </c>
      <c r="F1736" s="16" t="s">
        <v>214</v>
      </c>
      <c r="G1736" s="16" t="s">
        <v>222</v>
      </c>
      <c r="H1736" s="16" t="s">
        <v>220</v>
      </c>
      <c r="I1736" s="16" t="s">
        <v>220</v>
      </c>
    </row>
    <row r="1737" ht="242.25" customHeight="1">
      <c r="A1737" s="32" t="b">
        <v>0</v>
      </c>
      <c r="B1737" s="32" t="str">
        <f>IMAGE("https://gymvisual.com/6458-catalog_default/dumbbell-over-bench-one-arm-reverse-wrist-curl.jpg",4,500,500)</f>
        <v/>
      </c>
      <c r="C1737" s="30">
        <v>1736.0</v>
      </c>
      <c r="D1737" s="16" t="s">
        <v>2313</v>
      </c>
      <c r="E1737" s="16" t="s">
        <v>184</v>
      </c>
      <c r="F1737" s="16" t="s">
        <v>214</v>
      </c>
      <c r="G1737" s="16" t="s">
        <v>222</v>
      </c>
      <c r="H1737" s="16" t="s">
        <v>720</v>
      </c>
      <c r="I1737" s="16" t="s">
        <v>220</v>
      </c>
    </row>
    <row r="1738" ht="242.25" customHeight="1">
      <c r="A1738" s="32" t="b">
        <v>0</v>
      </c>
      <c r="B1738" s="32" t="str">
        <f>IMAGE("https://gymvisual.com/1120-catalog_default/3-4-sit-up.jpg",4,500,500)</f>
        <v/>
      </c>
      <c r="C1738" s="30">
        <v>1737.0</v>
      </c>
      <c r="D1738" s="16" t="s">
        <v>2314</v>
      </c>
      <c r="E1738" s="16" t="s">
        <v>184</v>
      </c>
      <c r="F1738" s="16" t="s">
        <v>214</v>
      </c>
      <c r="G1738" s="16" t="s">
        <v>222</v>
      </c>
      <c r="H1738" s="16" t="s">
        <v>604</v>
      </c>
      <c r="I1738" s="16" t="s">
        <v>220</v>
      </c>
    </row>
    <row r="1739" ht="242.25" customHeight="1">
      <c r="A1739" s="32" t="b">
        <v>0</v>
      </c>
      <c r="B1739" s="32" t="str">
        <f>IMAGE("https://gymvisual.com/11558-catalog_default/dumbbell-over-bench-one-arm-wrist-curl-female.jpg",4,500,500)</f>
        <v/>
      </c>
      <c r="C1739" s="30">
        <v>1738.0</v>
      </c>
      <c r="D1739" s="16" t="s">
        <v>2315</v>
      </c>
      <c r="E1739" s="16" t="s">
        <v>184</v>
      </c>
      <c r="F1739" s="16" t="s">
        <v>214</v>
      </c>
      <c r="G1739" s="16" t="s">
        <v>222</v>
      </c>
      <c r="H1739" s="16" t="s">
        <v>220</v>
      </c>
      <c r="I1739" s="16" t="s">
        <v>220</v>
      </c>
    </row>
    <row r="1740" ht="242.25" customHeight="1">
      <c r="A1740" s="32" t="b">
        <v>0</v>
      </c>
      <c r="B1740" s="32" t="str">
        <f>IMAGE("https://gymvisual.com/1123-catalog_default/3-4-sit-up.jpg",4,500,500)</f>
        <v/>
      </c>
      <c r="C1740" s="30">
        <v>1739.0</v>
      </c>
      <c r="D1740" s="16" t="s">
        <v>2316</v>
      </c>
      <c r="E1740" s="16" t="s">
        <v>184</v>
      </c>
      <c r="F1740" s="16" t="s">
        <v>214</v>
      </c>
      <c r="G1740" s="16" t="s">
        <v>222</v>
      </c>
      <c r="H1740" s="16" t="s">
        <v>720</v>
      </c>
      <c r="I1740" s="16" t="s">
        <v>220</v>
      </c>
    </row>
    <row r="1741" ht="242.25" customHeight="1">
      <c r="A1741" s="32" t="b">
        <v>0</v>
      </c>
      <c r="B1741" s="32" t="str">
        <f>IMAGE("https://gymvisual.com/11420-catalog_default/dumbbell-over-bench-revers-wrist-curl-female.jpg",4,500,500)</f>
        <v/>
      </c>
      <c r="C1741" s="30">
        <v>1740.0</v>
      </c>
      <c r="D1741" s="16" t="s">
        <v>2317</v>
      </c>
      <c r="E1741" s="16" t="s">
        <v>184</v>
      </c>
      <c r="F1741" s="16" t="s">
        <v>214</v>
      </c>
      <c r="G1741" s="16" t="s">
        <v>222</v>
      </c>
      <c r="H1741" s="16" t="s">
        <v>220</v>
      </c>
      <c r="I1741" s="16" t="s">
        <v>220</v>
      </c>
    </row>
    <row r="1742" ht="242.25" customHeight="1">
      <c r="A1742" s="32" t="b">
        <v>0</v>
      </c>
      <c r="B1742" s="32" t="str">
        <f>IMAGE("https://gymvisual.com/22462-catalog_default/dumbbell-over-bench-revers-wrist-curl-with-mat-female.jpg",4,500,500)</f>
        <v/>
      </c>
      <c r="C1742" s="30">
        <v>1741.0</v>
      </c>
      <c r="D1742" s="16" t="s">
        <v>2318</v>
      </c>
      <c r="E1742" s="16" t="s">
        <v>184</v>
      </c>
      <c r="F1742" s="16" t="s">
        <v>214</v>
      </c>
      <c r="G1742" s="16" t="s">
        <v>222</v>
      </c>
      <c r="H1742" s="16" t="s">
        <v>220</v>
      </c>
      <c r="I1742" s="16" t="s">
        <v>220</v>
      </c>
    </row>
    <row r="1743" ht="242.25" customHeight="1">
      <c r="A1743" s="32" t="b">
        <v>0</v>
      </c>
      <c r="B1743" s="32" t="str">
        <f>IMAGE("https://gymvisual.com/1126-catalog_default/3-4-sit-up.jpg",4,500,500)</f>
        <v/>
      </c>
      <c r="C1743" s="30">
        <v>1742.0</v>
      </c>
      <c r="D1743" s="16" t="s">
        <v>2319</v>
      </c>
      <c r="E1743" s="16" t="s">
        <v>184</v>
      </c>
      <c r="F1743" s="16" t="s">
        <v>214</v>
      </c>
      <c r="G1743" s="16" t="s">
        <v>222</v>
      </c>
      <c r="H1743" s="16" t="s">
        <v>604</v>
      </c>
      <c r="I1743" s="16" t="s">
        <v>220</v>
      </c>
    </row>
    <row r="1744" ht="242.25" customHeight="1">
      <c r="A1744" s="32" t="b">
        <v>0</v>
      </c>
      <c r="B1744" s="32" t="str">
        <f>IMAGE("https://gymvisual.com/11423-catalog_default/dumbbell-over-bench-wrist-curl-female.jpg",4,500,500)</f>
        <v/>
      </c>
      <c r="C1744" s="30">
        <v>1743.0</v>
      </c>
      <c r="D1744" s="16" t="s">
        <v>2320</v>
      </c>
      <c r="E1744" s="16" t="s">
        <v>184</v>
      </c>
      <c r="F1744" s="16" t="s">
        <v>214</v>
      </c>
      <c r="G1744" s="16" t="s">
        <v>222</v>
      </c>
      <c r="H1744" s="16" t="s">
        <v>720</v>
      </c>
      <c r="I1744" s="16" t="s">
        <v>220</v>
      </c>
    </row>
    <row r="1745" ht="242.25" customHeight="1">
      <c r="A1745" s="32" t="b">
        <v>0</v>
      </c>
      <c r="B1745" s="32" t="str">
        <f>IMAGE("https://gymvisual.com/12175-catalog_default/dumbbell-overhead-carry.jpg",4,500,500)</f>
        <v/>
      </c>
      <c r="C1745" s="30">
        <v>1744.0</v>
      </c>
      <c r="D1745" s="16" t="s">
        <v>2321</v>
      </c>
      <c r="E1745" s="16" t="s">
        <v>184</v>
      </c>
      <c r="F1745" s="16" t="s">
        <v>285</v>
      </c>
      <c r="G1745" s="16" t="s">
        <v>222</v>
      </c>
      <c r="H1745" s="16" t="s">
        <v>220</v>
      </c>
      <c r="I1745" s="16" t="s">
        <v>220</v>
      </c>
    </row>
    <row r="1746" ht="242.25" customHeight="1">
      <c r="A1746" s="32" t="b">
        <v>0</v>
      </c>
      <c r="B1746" s="32" t="str">
        <f>IMAGE("https://gymvisual.com/24115-catalog_default/dumbbell-overhead-lunge.jpg",4,500,500)</f>
        <v/>
      </c>
      <c r="C1746" s="30">
        <v>1745.0</v>
      </c>
      <c r="D1746" s="16" t="s">
        <v>2322</v>
      </c>
      <c r="E1746" s="16" t="s">
        <v>184</v>
      </c>
      <c r="F1746" s="16" t="s">
        <v>285</v>
      </c>
      <c r="G1746" s="16" t="s">
        <v>222</v>
      </c>
      <c r="H1746" s="16" t="s">
        <v>220</v>
      </c>
      <c r="I1746" s="16" t="s">
        <v>220</v>
      </c>
    </row>
    <row r="1747" ht="242.25" customHeight="1">
      <c r="A1747" s="32" t="b">
        <v>0</v>
      </c>
      <c r="B1747" s="32" t="str">
        <f>IMAGE("https://gymvisual.com/7334-catalog_default/dumbbell-overhead-side-lunge.jpg",4,500,500)</f>
        <v/>
      </c>
      <c r="C1747" s="30">
        <v>1746.0</v>
      </c>
      <c r="D1747" s="16" t="s">
        <v>2323</v>
      </c>
      <c r="E1747" s="16" t="s">
        <v>184</v>
      </c>
      <c r="F1747" s="16" t="s">
        <v>285</v>
      </c>
      <c r="G1747" s="16" t="s">
        <v>222</v>
      </c>
      <c r="H1747" s="16" t="s">
        <v>220</v>
      </c>
      <c r="I1747" s="16" t="s">
        <v>220</v>
      </c>
    </row>
    <row r="1748" ht="242.25" customHeight="1">
      <c r="A1748" s="32" t="b">
        <v>0</v>
      </c>
      <c r="B1748" s="32" t="str">
        <f>IMAGE("https://gymvisual.com/22245-catalog_default/dumbbell-overhead-sit-up.jpg",4,500,500)</f>
        <v/>
      </c>
      <c r="C1748" s="30">
        <v>1747.0</v>
      </c>
      <c r="D1748" s="16" t="s">
        <v>2324</v>
      </c>
      <c r="E1748" s="16" t="s">
        <v>184</v>
      </c>
      <c r="F1748" s="16" t="s">
        <v>254</v>
      </c>
      <c r="G1748" s="16" t="s">
        <v>222</v>
      </c>
      <c r="H1748" s="16" t="s">
        <v>256</v>
      </c>
      <c r="I1748" s="16" t="s">
        <v>257</v>
      </c>
    </row>
    <row r="1749" ht="242.25" customHeight="1">
      <c r="A1749" s="32" t="b">
        <v>0</v>
      </c>
      <c r="B1749" s="32" t="str">
        <f>IMAGE("https://gymvisual.com/16029-catalog_default/dumbbell-overhead-squat.jpg",4,500,500)</f>
        <v/>
      </c>
      <c r="C1749" s="30">
        <v>1748.0</v>
      </c>
      <c r="D1749" s="16" t="s">
        <v>2325</v>
      </c>
      <c r="E1749" s="16" t="s">
        <v>184</v>
      </c>
      <c r="F1749" s="16" t="s">
        <v>294</v>
      </c>
      <c r="G1749" s="16" t="s">
        <v>222</v>
      </c>
      <c r="H1749" s="16" t="s">
        <v>189</v>
      </c>
      <c r="I1749" s="16" t="s">
        <v>190</v>
      </c>
    </row>
    <row r="1750" ht="242.25" customHeight="1">
      <c r="A1750" s="32" t="b">
        <v>0</v>
      </c>
      <c r="B1750" s="32" t="str">
        <f>IMAGE("https://gymvisual.com/6020-catalog_default/dumbbell-palm-rotational-bent-over-row.jpg",4,500,500)</f>
        <v/>
      </c>
      <c r="C1750" s="30">
        <v>1749.0</v>
      </c>
      <c r="D1750" s="16" t="s">
        <v>2326</v>
      </c>
      <c r="E1750" s="16" t="s">
        <v>184</v>
      </c>
      <c r="F1750" s="16" t="s">
        <v>192</v>
      </c>
      <c r="G1750" s="16" t="s">
        <v>222</v>
      </c>
      <c r="H1750" s="16" t="s">
        <v>329</v>
      </c>
      <c r="I1750" s="16" t="s">
        <v>457</v>
      </c>
    </row>
    <row r="1751" ht="242.25" customHeight="1">
      <c r="A1751" s="32" t="b">
        <v>0</v>
      </c>
      <c r="B1751" s="32" t="str">
        <f>IMAGE("https://gymvisual.com/11396-catalog_default/dumbbell-palm-rotational-bent-over-row-female.jpg",4,500,500)</f>
        <v/>
      </c>
      <c r="C1751" s="30">
        <v>1750.0</v>
      </c>
      <c r="D1751" s="16" t="s">
        <v>2327</v>
      </c>
      <c r="E1751" s="16" t="s">
        <v>184</v>
      </c>
      <c r="F1751" s="16" t="s">
        <v>192</v>
      </c>
      <c r="G1751" s="16" t="s">
        <v>222</v>
      </c>
      <c r="H1751" s="16" t="s">
        <v>570</v>
      </c>
      <c r="I1751" s="16" t="s">
        <v>447</v>
      </c>
    </row>
    <row r="1752" ht="242.25" customHeight="1">
      <c r="A1752" s="32" t="b">
        <v>0</v>
      </c>
      <c r="B1752" s="32" t="str">
        <f>IMAGE("https://gymvisual.com/7098-catalog_default/dumbbell-palms-in-incline-bench-press.jpg",4,500,500)</f>
        <v/>
      </c>
      <c r="C1752" s="30">
        <v>1751.0</v>
      </c>
      <c r="D1752" s="16" t="s">
        <v>2328</v>
      </c>
      <c r="E1752" s="16" t="s">
        <v>184</v>
      </c>
      <c r="F1752" s="16" t="s">
        <v>219</v>
      </c>
      <c r="G1752" s="16" t="s">
        <v>222</v>
      </c>
      <c r="H1752" s="16" t="s">
        <v>415</v>
      </c>
      <c r="I1752" s="16" t="s">
        <v>2329</v>
      </c>
    </row>
    <row r="1753" ht="242.25" customHeight="1">
      <c r="A1753" s="32" t="b">
        <v>0</v>
      </c>
      <c r="B1753" s="32" t="str">
        <f>IMAGE("https://gymvisual.com/18017-catalog_default/dumbbell-partials-lateral-raise.jpg",4,500,500)</f>
        <v/>
      </c>
      <c r="C1753" s="30">
        <v>1752.0</v>
      </c>
      <c r="D1753" s="16" t="s">
        <v>2330</v>
      </c>
      <c r="E1753" s="16" t="s">
        <v>184</v>
      </c>
      <c r="F1753" s="16" t="s">
        <v>228</v>
      </c>
      <c r="G1753" s="16" t="s">
        <v>222</v>
      </c>
      <c r="H1753" s="16" t="s">
        <v>220</v>
      </c>
      <c r="I1753" s="16" t="s">
        <v>220</v>
      </c>
    </row>
    <row r="1754" ht="242.25" customHeight="1">
      <c r="A1754" s="32" t="b">
        <v>0</v>
      </c>
      <c r="B1754" s="32" t="str">
        <f>IMAGE("https://gymvisual.com/1129-catalog_default/3-4-sit-up.jpg",4,500,500)</f>
        <v/>
      </c>
      <c r="C1754" s="30">
        <v>1753.0</v>
      </c>
      <c r="D1754" s="16" t="s">
        <v>2331</v>
      </c>
      <c r="E1754" s="16" t="s">
        <v>184</v>
      </c>
      <c r="F1754" s="16" t="s">
        <v>214</v>
      </c>
      <c r="G1754" s="16" t="s">
        <v>222</v>
      </c>
      <c r="H1754" s="16" t="s">
        <v>216</v>
      </c>
      <c r="I1754" s="16" t="s">
        <v>217</v>
      </c>
    </row>
    <row r="1755" ht="242.25" customHeight="1">
      <c r="A1755" s="32" t="b">
        <v>0</v>
      </c>
      <c r="B1755" s="32" t="str">
        <f>IMAGE("https://gymvisual.com/24254-catalog_default/dumbbell-plank-pass-through.jpg",4,500,500)</f>
        <v/>
      </c>
      <c r="C1755" s="30">
        <v>1754.0</v>
      </c>
      <c r="D1755" s="16" t="s">
        <v>2332</v>
      </c>
      <c r="E1755" s="16" t="s">
        <v>184</v>
      </c>
      <c r="F1755" s="16" t="s">
        <v>254</v>
      </c>
      <c r="G1755" s="16" t="s">
        <v>222</v>
      </c>
      <c r="H1755" s="16" t="s">
        <v>2333</v>
      </c>
      <c r="I1755" s="16" t="s">
        <v>2334</v>
      </c>
    </row>
    <row r="1756" ht="242.25" customHeight="1">
      <c r="A1756" s="32" t="b">
        <v>0</v>
      </c>
      <c r="B1756" s="32" t="str">
        <f>IMAGE("https://gymvisual.com/1132-catalog_default/3-4-sit-up.jpg",4,500,500)</f>
        <v/>
      </c>
      <c r="C1756" s="30">
        <v>1755.0</v>
      </c>
      <c r="D1756" s="16" t="s">
        <v>2335</v>
      </c>
      <c r="E1756" s="16" t="s">
        <v>184</v>
      </c>
      <c r="F1756" s="16" t="s">
        <v>285</v>
      </c>
      <c r="G1756" s="16" t="s">
        <v>222</v>
      </c>
      <c r="H1756" s="16" t="s">
        <v>189</v>
      </c>
      <c r="I1756" s="16" t="s">
        <v>2046</v>
      </c>
    </row>
    <row r="1757" ht="242.25" customHeight="1">
      <c r="A1757" s="32" t="b">
        <v>0</v>
      </c>
      <c r="B1757" s="32" t="str">
        <f>IMAGE("https://gymvisual.com/17757-catalog_default/dumbbell-poliquin-lateral-raise.jpg",4,500,500)</f>
        <v/>
      </c>
      <c r="C1757" s="30">
        <v>1756.0</v>
      </c>
      <c r="D1757" s="16" t="s">
        <v>2336</v>
      </c>
      <c r="E1757" s="16" t="s">
        <v>184</v>
      </c>
      <c r="F1757" s="16" t="s">
        <v>228</v>
      </c>
      <c r="G1757" s="16" t="s">
        <v>222</v>
      </c>
      <c r="H1757" s="16" t="s">
        <v>220</v>
      </c>
      <c r="I1757" s="16" t="s">
        <v>220</v>
      </c>
    </row>
    <row r="1758" ht="242.25" customHeight="1">
      <c r="A1758" s="32" t="b">
        <v>0</v>
      </c>
      <c r="B1758" s="32" t="str">
        <f>IMAGE("https://gymvisual.com/20722-catalog_default/dumbbell-power-clean.jpg",4,500,500)</f>
        <v/>
      </c>
      <c r="C1758" s="30">
        <v>1757.0</v>
      </c>
      <c r="D1758" s="16" t="s">
        <v>2337</v>
      </c>
      <c r="E1758" s="16" t="s">
        <v>184</v>
      </c>
      <c r="F1758" s="16" t="s">
        <v>764</v>
      </c>
      <c r="G1758" s="16" t="s">
        <v>222</v>
      </c>
      <c r="H1758" s="16" t="s">
        <v>220</v>
      </c>
      <c r="I1758" s="16" t="s">
        <v>220</v>
      </c>
    </row>
    <row r="1759" ht="242.25" customHeight="1">
      <c r="A1759" s="32" t="b">
        <v>0</v>
      </c>
      <c r="B1759" s="32" t="str">
        <f>IMAGE("https://gymvisual.com/19499-catalog_default/dumbbell-power-clean-and-jerk.jpg",4,500,500)</f>
        <v/>
      </c>
      <c r="C1759" s="30">
        <v>1758.0</v>
      </c>
      <c r="D1759" s="16" t="s">
        <v>2338</v>
      </c>
      <c r="E1759" s="16" t="s">
        <v>184</v>
      </c>
      <c r="F1759" s="16" t="s">
        <v>764</v>
      </c>
      <c r="G1759" s="16" t="s">
        <v>222</v>
      </c>
      <c r="H1759" s="16" t="s">
        <v>220</v>
      </c>
      <c r="I1759" s="16" t="s">
        <v>220</v>
      </c>
    </row>
    <row r="1760" ht="242.25" customHeight="1">
      <c r="A1760" s="32" t="b">
        <v>0</v>
      </c>
      <c r="B1760" s="32" t="str">
        <f>IMAGE("https://gymvisual.com/1135-catalog_default/3-4-sit-up.jpg",4,500,500)</f>
        <v/>
      </c>
      <c r="C1760" s="30">
        <v>1759.0</v>
      </c>
      <c r="D1760" s="16" t="s">
        <v>2339</v>
      </c>
      <c r="E1760" s="16" t="s">
        <v>184</v>
      </c>
      <c r="F1760" s="16" t="s">
        <v>219</v>
      </c>
      <c r="G1760" s="16" t="s">
        <v>222</v>
      </c>
      <c r="H1760" s="16" t="s">
        <v>232</v>
      </c>
      <c r="I1760" s="16" t="s">
        <v>292</v>
      </c>
    </row>
    <row r="1761" ht="242.25" customHeight="1">
      <c r="A1761" s="32" t="b">
        <v>0</v>
      </c>
      <c r="B1761" s="32" t="str">
        <f>IMAGE("https://gymvisual.com/10363-catalog_default/dumbbell-preacher-curl-female.jpg",4,500,500)</f>
        <v/>
      </c>
      <c r="C1761" s="30">
        <v>1760.0</v>
      </c>
      <c r="D1761" s="16" t="s">
        <v>2340</v>
      </c>
      <c r="E1761" s="16" t="s">
        <v>184</v>
      </c>
      <c r="F1761" s="16" t="s">
        <v>219</v>
      </c>
      <c r="G1761" s="16" t="s">
        <v>222</v>
      </c>
      <c r="H1761" s="16" t="s">
        <v>232</v>
      </c>
      <c r="I1761" s="16" t="s">
        <v>233</v>
      </c>
    </row>
    <row r="1762" ht="242.25" customHeight="1">
      <c r="A1762" s="32" t="b">
        <v>0</v>
      </c>
      <c r="B1762" s="32" t="str">
        <f>IMAGE("https://gymvisual.com/20592-catalog_default/dumbbell-preacher-curl-turned-torso.jpg",4,500,500)</f>
        <v/>
      </c>
      <c r="C1762" s="30">
        <v>1761.0</v>
      </c>
      <c r="D1762" s="16" t="s">
        <v>2341</v>
      </c>
      <c r="E1762" s="16" t="s">
        <v>184</v>
      </c>
      <c r="F1762" s="16" t="s">
        <v>219</v>
      </c>
      <c r="G1762" s="16" t="s">
        <v>222</v>
      </c>
      <c r="H1762" s="16" t="s">
        <v>232</v>
      </c>
      <c r="I1762" s="16" t="s">
        <v>233</v>
      </c>
    </row>
    <row r="1763" ht="242.25" customHeight="1">
      <c r="A1763" s="32" t="b">
        <v>0</v>
      </c>
      <c r="B1763" s="32" t="str">
        <f>IMAGE("https://gymvisual.com/7147-catalog_default/dumbbell-preacher-curl-over-exercise-ball.jpg",4,500,500)</f>
        <v/>
      </c>
      <c r="C1763" s="30">
        <v>1762.0</v>
      </c>
      <c r="D1763" s="16" t="s">
        <v>2342</v>
      </c>
      <c r="E1763" s="16" t="s">
        <v>184</v>
      </c>
      <c r="F1763" s="16" t="s">
        <v>219</v>
      </c>
      <c r="G1763" s="16" t="s">
        <v>222</v>
      </c>
      <c r="H1763" s="16" t="s">
        <v>232</v>
      </c>
      <c r="I1763" s="16" t="s">
        <v>233</v>
      </c>
    </row>
    <row r="1764" ht="242.25" customHeight="1">
      <c r="A1764" s="32" t="b">
        <v>0</v>
      </c>
      <c r="B1764" s="32" t="str">
        <f>IMAGE("https://gymvisual.com/16704-catalog_default/dumbbell-preacher-curl-over-exercise-ball-female.jpg",4,500,500)</f>
        <v/>
      </c>
      <c r="C1764" s="30">
        <v>1763.0</v>
      </c>
      <c r="D1764" s="16" t="s">
        <v>2343</v>
      </c>
      <c r="E1764" s="16" t="s">
        <v>184</v>
      </c>
      <c r="F1764" s="16" t="s">
        <v>219</v>
      </c>
      <c r="G1764" s="16" t="s">
        <v>222</v>
      </c>
      <c r="H1764" s="16" t="s">
        <v>232</v>
      </c>
      <c r="I1764" s="16" t="s">
        <v>233</v>
      </c>
    </row>
    <row r="1765" ht="242.25" customHeight="1">
      <c r="A1765" s="32" t="b">
        <v>0</v>
      </c>
      <c r="B1765" s="32" t="str">
        <f>IMAGE("https://gymvisual.com/5982-catalog_default/dumbbell-press-on-exercise-ball.jpg",4,500,500)</f>
        <v/>
      </c>
      <c r="C1765" s="30">
        <v>1764.0</v>
      </c>
      <c r="D1765" s="16" t="s">
        <v>2344</v>
      </c>
      <c r="E1765" s="16" t="s">
        <v>184</v>
      </c>
      <c r="F1765" s="16" t="s">
        <v>234</v>
      </c>
      <c r="G1765" s="16" t="s">
        <v>222</v>
      </c>
      <c r="H1765" s="16" t="s">
        <v>347</v>
      </c>
      <c r="I1765" s="16" t="s">
        <v>382</v>
      </c>
    </row>
    <row r="1766" ht="242.25" customHeight="1">
      <c r="B1766" s="32" t="str">
        <f>IMAGE("https://gymvisual.com/13431-catalog_default/dumbbell-press-on-exercise-ball-female.jpg",4,500,500)</f>
        <v/>
      </c>
      <c r="C1766" s="30">
        <v>1765.0</v>
      </c>
      <c r="D1766" s="16" t="s">
        <v>2345</v>
      </c>
      <c r="E1766" s="16" t="s">
        <v>184</v>
      </c>
      <c r="F1766" s="16" t="s">
        <v>234</v>
      </c>
      <c r="G1766" s="16" t="s">
        <v>1929</v>
      </c>
      <c r="H1766" s="16" t="s">
        <v>220</v>
      </c>
      <c r="I1766" s="16" t="s">
        <v>220</v>
      </c>
    </row>
    <row r="1767" ht="242.25" customHeight="1">
      <c r="A1767" s="32" t="b">
        <v>0</v>
      </c>
      <c r="B1767" s="32" t="str">
        <f>IMAGE("https://gymvisual.com/16022-catalog_default/dumbbell-press-squat.jpg",4,500,500)</f>
        <v/>
      </c>
      <c r="C1767" s="30">
        <v>1766.0</v>
      </c>
      <c r="D1767" s="16" t="s">
        <v>2346</v>
      </c>
      <c r="E1767" s="16" t="s">
        <v>184</v>
      </c>
      <c r="F1767" s="16" t="s">
        <v>2347</v>
      </c>
      <c r="G1767" s="16" t="s">
        <v>222</v>
      </c>
      <c r="H1767" s="16" t="s">
        <v>2348</v>
      </c>
      <c r="I1767" s="16" t="s">
        <v>2349</v>
      </c>
    </row>
    <row r="1768" ht="242.25" customHeight="1">
      <c r="A1768" s="32" t="b">
        <v>0</v>
      </c>
      <c r="B1768" s="32" t="str">
        <f>IMAGE("https://gymvisual.com/1138-catalog_default/3-4-sit-up.jpg",4,500,500)</f>
        <v/>
      </c>
      <c r="C1768" s="30">
        <v>1767.0</v>
      </c>
      <c r="D1768" s="16" t="s">
        <v>2350</v>
      </c>
      <c r="E1768" s="16" t="s">
        <v>184</v>
      </c>
      <c r="F1768" s="16" t="s">
        <v>219</v>
      </c>
      <c r="G1768" s="16" t="s">
        <v>222</v>
      </c>
      <c r="H1768" s="16" t="s">
        <v>223</v>
      </c>
      <c r="I1768" s="16" t="s">
        <v>220</v>
      </c>
    </row>
    <row r="1769" ht="242.25" customHeight="1">
      <c r="A1769" s="32" t="b">
        <v>0</v>
      </c>
      <c r="B1769" s="32" t="str">
        <f>IMAGE("https://gymvisual.com/17282-catalog_default/dumbbell-pronate-grip-triceps-extension-female.jpg",4,500,500)</f>
        <v/>
      </c>
      <c r="C1769" s="30">
        <v>1768.0</v>
      </c>
      <c r="D1769" s="16" t="s">
        <v>2351</v>
      </c>
      <c r="E1769" s="16" t="s">
        <v>184</v>
      </c>
      <c r="F1769" s="16" t="s">
        <v>219</v>
      </c>
      <c r="G1769" s="16" t="s">
        <v>222</v>
      </c>
      <c r="H1769" s="16" t="s">
        <v>223</v>
      </c>
      <c r="I1769" s="16" t="s">
        <v>220</v>
      </c>
    </row>
    <row r="1770" ht="242.25" customHeight="1">
      <c r="A1770" s="32" t="b">
        <v>0</v>
      </c>
      <c r="B1770" s="32" t="str">
        <f>IMAGE("https://gymvisual.com/9845-catalog_default/dumbbell-pronated-grip-row-female.jpg",4,500,500)</f>
        <v/>
      </c>
      <c r="C1770" s="30">
        <v>1769.0</v>
      </c>
      <c r="D1770" s="16" t="s">
        <v>2352</v>
      </c>
      <c r="E1770" s="16" t="s">
        <v>184</v>
      </c>
      <c r="F1770" s="16" t="s">
        <v>192</v>
      </c>
      <c r="G1770" s="16" t="s">
        <v>222</v>
      </c>
      <c r="H1770" s="16" t="s">
        <v>329</v>
      </c>
      <c r="I1770" s="16" t="s">
        <v>457</v>
      </c>
    </row>
    <row r="1771" ht="242.25" customHeight="1">
      <c r="A1771" s="32" t="b">
        <v>0</v>
      </c>
      <c r="B1771" s="32" t="str">
        <f>IMAGE("https://gymvisual.com/9844-catalog_default/dumbbell-pronated-to-neutral-grip-row-female.jpg",4,500,500)</f>
        <v/>
      </c>
      <c r="C1771" s="30">
        <v>1770.0</v>
      </c>
      <c r="D1771" s="16" t="s">
        <v>2353</v>
      </c>
      <c r="E1771" s="16" t="s">
        <v>184</v>
      </c>
      <c r="F1771" s="16" t="s">
        <v>192</v>
      </c>
      <c r="G1771" s="16" t="s">
        <v>222</v>
      </c>
      <c r="H1771" s="16" t="s">
        <v>329</v>
      </c>
      <c r="I1771" s="16" t="s">
        <v>457</v>
      </c>
    </row>
    <row r="1772" ht="242.25" customHeight="1">
      <c r="A1772" s="32" t="b">
        <v>0</v>
      </c>
      <c r="B1772" s="32" t="str">
        <f>IMAGE("https://gymvisual.com/25667-catalog_default/dumbbell-prone-full-can-exercise-male.jpg",4,500,500)</f>
        <v/>
      </c>
      <c r="C1772" s="30">
        <v>1771.0</v>
      </c>
      <c r="D1772" s="16" t="s">
        <v>2354</v>
      </c>
      <c r="E1772" s="16" t="s">
        <v>184</v>
      </c>
      <c r="F1772" s="16" t="s">
        <v>228</v>
      </c>
      <c r="G1772" s="16" t="s">
        <v>222</v>
      </c>
      <c r="H1772" s="16" t="s">
        <v>220</v>
      </c>
      <c r="I1772" s="16" t="s">
        <v>220</v>
      </c>
    </row>
    <row r="1773" ht="242.25" customHeight="1">
      <c r="A1773" s="32" t="b">
        <v>0</v>
      </c>
      <c r="B1773" s="32" t="str">
        <f>IMAGE("https://gymvisual.com/1141-catalog_default/3-4-sit-up.jpg",4,500,500)</f>
        <v/>
      </c>
      <c r="C1773" s="30">
        <v>1772.0</v>
      </c>
      <c r="D1773" s="16" t="s">
        <v>2355</v>
      </c>
      <c r="E1773" s="16" t="s">
        <v>184</v>
      </c>
      <c r="F1773" s="16" t="s">
        <v>219</v>
      </c>
      <c r="G1773" s="16" t="s">
        <v>222</v>
      </c>
      <c r="H1773" s="16" t="s">
        <v>232</v>
      </c>
      <c r="I1773" s="16" t="s">
        <v>233</v>
      </c>
    </row>
    <row r="1774" ht="242.25" customHeight="1">
      <c r="A1774" s="32" t="b">
        <v>0</v>
      </c>
      <c r="B1774" s="32" t="str">
        <f>IMAGE("https://gymvisual.com/11059-catalog_default/dumbbell-prone-incline-curl-female.jpg",4,500,500)</f>
        <v/>
      </c>
      <c r="C1774" s="30">
        <v>1773.0</v>
      </c>
      <c r="D1774" s="16" t="s">
        <v>2356</v>
      </c>
      <c r="E1774" s="16" t="s">
        <v>184</v>
      </c>
      <c r="F1774" s="16" t="s">
        <v>219</v>
      </c>
      <c r="G1774" s="16" t="s">
        <v>222</v>
      </c>
      <c r="H1774" s="16" t="s">
        <v>241</v>
      </c>
      <c r="I1774" s="16" t="s">
        <v>292</v>
      </c>
    </row>
    <row r="1775" ht="242.25" customHeight="1">
      <c r="A1775" s="32" t="b">
        <v>0</v>
      </c>
      <c r="B1775" s="32" t="str">
        <f>IMAGE("https://gymvisual.com/7148-catalog_default/dumbbell-prone-incline-hammer-curl.jpg",4,500,500)</f>
        <v/>
      </c>
      <c r="C1775" s="30">
        <v>1774.0</v>
      </c>
      <c r="D1775" s="16" t="s">
        <v>2357</v>
      </c>
      <c r="E1775" s="16" t="s">
        <v>184</v>
      </c>
      <c r="F1775" s="16" t="s">
        <v>219</v>
      </c>
      <c r="G1775" s="16" t="s">
        <v>222</v>
      </c>
      <c r="H1775" s="16" t="s">
        <v>216</v>
      </c>
      <c r="I1775" s="16" t="s">
        <v>217</v>
      </c>
    </row>
    <row r="1776" ht="242.25" customHeight="1">
      <c r="A1776" s="32" t="b">
        <v>0</v>
      </c>
      <c r="B1776" s="32" t="str">
        <f>IMAGE("https://gymvisual.com/11056-catalog_default/dumbbell-prone-incline-hammer-curl-female.jpg",4,500,500)</f>
        <v/>
      </c>
      <c r="C1776" s="30">
        <v>1775.0</v>
      </c>
      <c r="D1776" s="16" t="s">
        <v>2358</v>
      </c>
      <c r="E1776" s="16" t="s">
        <v>184</v>
      </c>
      <c r="F1776" s="16" t="s">
        <v>219</v>
      </c>
      <c r="G1776" s="16" t="s">
        <v>222</v>
      </c>
      <c r="H1776" s="16" t="s">
        <v>220</v>
      </c>
      <c r="I1776" s="16" t="s">
        <v>220</v>
      </c>
    </row>
    <row r="1777" ht="242.25" customHeight="1">
      <c r="A1777" s="32" t="b">
        <v>0</v>
      </c>
      <c r="B1777" s="32" t="str">
        <f>IMAGE("https://gymvisual.com/24792-catalog_default/dumbbell-prone-rear-delt-swing.jpg",4,500,500)</f>
        <v/>
      </c>
      <c r="C1777" s="30">
        <v>1776.0</v>
      </c>
      <c r="D1777" s="16" t="s">
        <v>2359</v>
      </c>
      <c r="E1777" s="16" t="s">
        <v>184</v>
      </c>
      <c r="F1777" s="16" t="s">
        <v>228</v>
      </c>
      <c r="G1777" s="16" t="s">
        <v>222</v>
      </c>
      <c r="H1777" s="16" t="s">
        <v>408</v>
      </c>
      <c r="I1777" s="16" t="s">
        <v>1621</v>
      </c>
    </row>
    <row r="1778" ht="242.25" customHeight="1">
      <c r="A1778" s="32" t="b">
        <v>0</v>
      </c>
      <c r="B1778" s="32" t="str">
        <f>IMAGE("https://gymvisual.com/20058-catalog_default/dumbbell-prone-triceps-kickback.jpg",4,500,500)</f>
        <v/>
      </c>
      <c r="C1778" s="30">
        <v>1777.0</v>
      </c>
      <c r="D1778" s="16" t="s">
        <v>2360</v>
      </c>
      <c r="E1778" s="16" t="s">
        <v>184</v>
      </c>
      <c r="F1778" s="16" t="s">
        <v>219</v>
      </c>
      <c r="G1778" s="16" t="s">
        <v>222</v>
      </c>
      <c r="H1778" s="16" t="s">
        <v>223</v>
      </c>
      <c r="I1778" s="16" t="s">
        <v>220</v>
      </c>
    </row>
    <row r="1779" ht="242.25" customHeight="1">
      <c r="A1779" s="32" t="b">
        <v>0</v>
      </c>
      <c r="B1779" s="32" t="str">
        <f>IMAGE("https://gymvisual.com/1144-catalog_default/3-4-sit-up.jpg",4,500,500)</f>
        <v/>
      </c>
      <c r="C1779" s="30">
        <v>1778.0</v>
      </c>
      <c r="D1779" s="16" t="s">
        <v>2361</v>
      </c>
      <c r="E1779" s="16" t="s">
        <v>184</v>
      </c>
      <c r="F1779" s="16" t="s">
        <v>234</v>
      </c>
      <c r="G1779" s="16" t="s">
        <v>222</v>
      </c>
      <c r="H1779" s="16" t="s">
        <v>347</v>
      </c>
      <c r="I1779" s="16" t="s">
        <v>2362</v>
      </c>
    </row>
    <row r="1780" ht="242.25" customHeight="1">
      <c r="A1780" s="32" t="b">
        <v>0</v>
      </c>
      <c r="B1780" s="32" t="str">
        <f>IMAGE("https://gymvisual.com/5983-catalog_default/dumbbell-pullover-hip-extension-on-exercise-ball.jpg",4,500,500)</f>
        <v/>
      </c>
      <c r="C1780" s="30">
        <v>1779.0</v>
      </c>
      <c r="D1780" s="16" t="s">
        <v>2363</v>
      </c>
      <c r="E1780" s="16" t="s">
        <v>184</v>
      </c>
      <c r="F1780" s="16" t="s">
        <v>234</v>
      </c>
      <c r="G1780" s="16" t="s">
        <v>222</v>
      </c>
      <c r="H1780" s="16" t="s">
        <v>2364</v>
      </c>
      <c r="I1780" s="16" t="s">
        <v>2365</v>
      </c>
    </row>
    <row r="1781" ht="242.25" customHeight="1">
      <c r="A1781" s="32" t="b">
        <v>0</v>
      </c>
      <c r="B1781" s="32" t="str">
        <f>IMAGE("https://gymvisual.com/5984-catalog_default/dumbbell-pullover-on-exercise-ball.jpg",4,500,500)</f>
        <v/>
      </c>
      <c r="C1781" s="30">
        <v>1780.0</v>
      </c>
      <c r="D1781" s="16" t="s">
        <v>2366</v>
      </c>
      <c r="E1781" s="16" t="s">
        <v>184</v>
      </c>
      <c r="F1781" s="16" t="s">
        <v>234</v>
      </c>
      <c r="G1781" s="16" t="s">
        <v>222</v>
      </c>
      <c r="H1781" s="16" t="s">
        <v>347</v>
      </c>
      <c r="I1781" s="16" t="s">
        <v>2222</v>
      </c>
    </row>
    <row r="1782" ht="242.25" customHeight="1">
      <c r="B1782" s="32" t="str">
        <f>IMAGE("https://gymvisual.com/11393-catalog_default/dumbbell-pullover-on-exercise-ball-female.jpg",4,500,500)</f>
        <v/>
      </c>
      <c r="C1782" s="30">
        <v>1781.0</v>
      </c>
      <c r="D1782" s="16" t="s">
        <v>2367</v>
      </c>
      <c r="E1782" s="16" t="s">
        <v>184</v>
      </c>
      <c r="F1782" s="16" t="s">
        <v>192</v>
      </c>
      <c r="G1782" s="16" t="s">
        <v>1929</v>
      </c>
      <c r="H1782" s="16" t="s">
        <v>220</v>
      </c>
      <c r="I1782" s="16" t="s">
        <v>220</v>
      </c>
    </row>
    <row r="1783" ht="242.25" customHeight="1">
      <c r="A1783" s="32" t="b">
        <v>0</v>
      </c>
      <c r="B1783" s="32" t="str">
        <f>IMAGE("https://gymvisual.com/22153-catalog_default/dumbbell-pullover-on-floor.jpg",4,500,500)</f>
        <v/>
      </c>
      <c r="C1783" s="30">
        <v>1782.0</v>
      </c>
      <c r="D1783" s="16" t="s">
        <v>2368</v>
      </c>
      <c r="E1783" s="16" t="s">
        <v>184</v>
      </c>
      <c r="F1783" s="16" t="s">
        <v>192</v>
      </c>
      <c r="G1783" s="16" t="s">
        <v>222</v>
      </c>
      <c r="H1783" s="16" t="s">
        <v>347</v>
      </c>
      <c r="I1783" s="16" t="s">
        <v>2362</v>
      </c>
    </row>
    <row r="1784" ht="242.25" customHeight="1">
      <c r="A1784" s="32" t="b">
        <v>0</v>
      </c>
      <c r="B1784" s="32" t="str">
        <f>IMAGE("https://gymvisual.com/19447-catalog_default/dumbbell-push-jerk.jpg",4,500,500)</f>
        <v/>
      </c>
      <c r="C1784" s="30">
        <v>1783.0</v>
      </c>
      <c r="D1784" s="16" t="s">
        <v>2369</v>
      </c>
      <c r="E1784" s="16" t="s">
        <v>184</v>
      </c>
      <c r="F1784" s="16" t="s">
        <v>764</v>
      </c>
      <c r="G1784" s="16" t="s">
        <v>222</v>
      </c>
      <c r="H1784" s="16" t="s">
        <v>220</v>
      </c>
      <c r="I1784" s="16" t="s">
        <v>220</v>
      </c>
    </row>
    <row r="1785" ht="242.25" customHeight="1">
      <c r="A1785" s="32" t="b">
        <v>0</v>
      </c>
      <c r="B1785" s="32" t="str">
        <f>IMAGE("https://gymvisual.com/7352-catalog_default/dumbbell-push-press.jpg",4,500,500)</f>
        <v/>
      </c>
      <c r="C1785" s="30">
        <v>1784.0</v>
      </c>
      <c r="D1785" s="16" t="s">
        <v>2370</v>
      </c>
      <c r="E1785" s="16" t="s">
        <v>184</v>
      </c>
      <c r="F1785" s="16" t="s">
        <v>228</v>
      </c>
      <c r="G1785" s="16" t="s">
        <v>222</v>
      </c>
      <c r="H1785" s="16" t="s">
        <v>2371</v>
      </c>
      <c r="I1785" s="16" t="s">
        <v>220</v>
      </c>
    </row>
    <row r="1786" ht="242.25" customHeight="1">
      <c r="A1786" s="32" t="b">
        <v>0</v>
      </c>
      <c r="B1786" s="32" t="str">
        <f>IMAGE("https://gymvisual.com/17409-catalog_default/dumbbell-push-up-front-raise.jpg",4,500,500)</f>
        <v/>
      </c>
      <c r="C1786" s="30">
        <v>1785.0</v>
      </c>
      <c r="D1786" s="16" t="s">
        <v>2372</v>
      </c>
      <c r="E1786" s="16" t="s">
        <v>184</v>
      </c>
      <c r="F1786" s="16" t="s">
        <v>234</v>
      </c>
      <c r="G1786" s="16" t="s">
        <v>222</v>
      </c>
      <c r="H1786" s="16" t="s">
        <v>220</v>
      </c>
      <c r="I1786" s="16" t="s">
        <v>220</v>
      </c>
    </row>
    <row r="1787" ht="242.25" customHeight="1">
      <c r="A1787" s="32" t="b">
        <v>0</v>
      </c>
      <c r="B1787" s="32" t="str">
        <f>IMAGE("https://gymvisual.com/1147-catalog_default/3-4-sit-up.jpg",4,500,500)</f>
        <v/>
      </c>
      <c r="C1787" s="30">
        <v>1786.0</v>
      </c>
      <c r="D1787" s="16" t="s">
        <v>2373</v>
      </c>
      <c r="E1787" s="16" t="s">
        <v>184</v>
      </c>
      <c r="F1787" s="16" t="s">
        <v>228</v>
      </c>
      <c r="G1787" s="16" t="s">
        <v>222</v>
      </c>
      <c r="H1787" s="16" t="s">
        <v>544</v>
      </c>
      <c r="I1787" s="16" t="s">
        <v>2374</v>
      </c>
    </row>
    <row r="1788" ht="242.25" customHeight="1">
      <c r="A1788" s="32" t="b">
        <v>0</v>
      </c>
      <c r="B1788" s="32" t="str">
        <f>IMAGE("https://gymvisual.com/22247-catalog_default/dumbbell-rdl-and-bent-over-row.jpg",4,500,500)</f>
        <v/>
      </c>
      <c r="C1788" s="30">
        <v>1787.0</v>
      </c>
      <c r="D1788" s="16" t="s">
        <v>2375</v>
      </c>
      <c r="E1788" s="16" t="s">
        <v>184</v>
      </c>
      <c r="F1788" s="16" t="s">
        <v>192</v>
      </c>
      <c r="G1788" s="16" t="s">
        <v>222</v>
      </c>
      <c r="H1788" s="16" t="s">
        <v>220</v>
      </c>
      <c r="I1788" s="16" t="s">
        <v>220</v>
      </c>
    </row>
    <row r="1789" ht="242.25" customHeight="1">
      <c r="A1789" s="32" t="b">
        <v>0</v>
      </c>
      <c r="B1789" s="32" t="str">
        <f>IMAGE("https://gymvisual.com/14413-catalog_default/dumbbell-rdl-death-march.jpg",4,500,500)</f>
        <v/>
      </c>
      <c r="C1789" s="30">
        <v>1788.0</v>
      </c>
      <c r="D1789" s="16" t="s">
        <v>2376</v>
      </c>
      <c r="E1789" s="16" t="s">
        <v>184</v>
      </c>
      <c r="F1789" s="16" t="s">
        <v>185</v>
      </c>
      <c r="G1789" s="16" t="s">
        <v>222</v>
      </c>
      <c r="H1789" s="16" t="s">
        <v>189</v>
      </c>
      <c r="I1789" s="16" t="s">
        <v>314</v>
      </c>
    </row>
    <row r="1790" ht="242.25" customHeight="1">
      <c r="A1790" s="32" t="b">
        <v>0</v>
      </c>
      <c r="B1790" s="32" t="str">
        <f>IMAGE("https://gymvisual.com/20752-catalog_default/dumbbell-rear-delt-fly-45-degrees.jpg",4,500,500)</f>
        <v/>
      </c>
      <c r="C1790" s="30">
        <v>1789.0</v>
      </c>
      <c r="D1790" s="16" t="s">
        <v>2377</v>
      </c>
      <c r="E1790" s="16" t="s">
        <v>184</v>
      </c>
      <c r="F1790" s="16" t="s">
        <v>228</v>
      </c>
      <c r="G1790" s="16" t="s">
        <v>222</v>
      </c>
      <c r="H1790" s="16" t="s">
        <v>408</v>
      </c>
      <c r="I1790" s="16" t="s">
        <v>452</v>
      </c>
    </row>
    <row r="1791" ht="242.25" customHeight="1">
      <c r="A1791" s="32" t="b">
        <v>0</v>
      </c>
      <c r="B1791" s="32" t="str">
        <f>IMAGE("https://gymvisual.com/11032-catalog_default/dumbbell-rear-delt-fly-female.jpg",4,500,500)</f>
        <v/>
      </c>
      <c r="C1791" s="30">
        <v>1790.0</v>
      </c>
      <c r="D1791" s="16" t="s">
        <v>2378</v>
      </c>
      <c r="E1791" s="16" t="s">
        <v>184</v>
      </c>
      <c r="F1791" s="16" t="s">
        <v>228</v>
      </c>
      <c r="G1791" s="16" t="s">
        <v>222</v>
      </c>
      <c r="H1791" s="16" t="s">
        <v>408</v>
      </c>
      <c r="I1791" s="16" t="s">
        <v>452</v>
      </c>
    </row>
    <row r="1792" ht="242.25" customHeight="1">
      <c r="A1792" s="32" t="b">
        <v>0</v>
      </c>
      <c r="B1792" s="32" t="str">
        <f>IMAGE("https://gymvisual.com/9736-catalog_default/dumbbell-rear-delt-raise.jpg",4,500,500)</f>
        <v/>
      </c>
      <c r="C1792" s="30">
        <v>1791.0</v>
      </c>
      <c r="D1792" s="16" t="s">
        <v>2379</v>
      </c>
      <c r="E1792" s="16" t="s">
        <v>184</v>
      </c>
      <c r="F1792" s="16" t="s">
        <v>228</v>
      </c>
      <c r="G1792" s="16" t="s">
        <v>222</v>
      </c>
      <c r="H1792" s="16" t="s">
        <v>408</v>
      </c>
      <c r="I1792" s="16" t="s">
        <v>2380</v>
      </c>
    </row>
    <row r="1793" ht="242.25" customHeight="1">
      <c r="A1793" s="32" t="b">
        <v>0</v>
      </c>
      <c r="B1793" s="32" t="str">
        <f>IMAGE("https://gymvisual.com/13894-catalog_default/dumbbell-rear-delt-raise-female.jpg",4,500,500)</f>
        <v/>
      </c>
      <c r="C1793" s="30">
        <v>1792.0</v>
      </c>
      <c r="D1793" s="16" t="s">
        <v>2381</v>
      </c>
      <c r="E1793" s="16" t="s">
        <v>184</v>
      </c>
      <c r="F1793" s="16" t="s">
        <v>228</v>
      </c>
      <c r="G1793" s="16" t="s">
        <v>222</v>
      </c>
      <c r="H1793" s="16" t="s">
        <v>220</v>
      </c>
      <c r="I1793" s="16" t="s">
        <v>220</v>
      </c>
    </row>
    <row r="1794" ht="242.25" customHeight="1">
      <c r="A1794" s="32" t="b">
        <v>0</v>
      </c>
      <c r="B1794" s="32" t="str">
        <f>IMAGE("https://gymvisual.com/16620-catalog_default/dumbbell-rear-delt-row-female.jpg",4,500,500)</f>
        <v/>
      </c>
      <c r="C1794" s="30">
        <v>1793.0</v>
      </c>
      <c r="D1794" s="16" t="s">
        <v>2382</v>
      </c>
      <c r="E1794" s="16" t="s">
        <v>184</v>
      </c>
      <c r="F1794" s="16" t="s">
        <v>192</v>
      </c>
      <c r="G1794" s="16" t="s">
        <v>222</v>
      </c>
      <c r="H1794" s="16" t="s">
        <v>329</v>
      </c>
      <c r="I1794" s="16" t="s">
        <v>447</v>
      </c>
    </row>
    <row r="1795" ht="242.25" customHeight="1">
      <c r="A1795" s="32" t="b">
        <v>0</v>
      </c>
      <c r="B1795" s="32" t="str">
        <f>IMAGE("https://gymvisual.com/1150-catalog_default/3-4-sit-up.jpg",4,500,500)</f>
        <v/>
      </c>
      <c r="C1795" s="30">
        <v>1794.0</v>
      </c>
      <c r="D1795" s="16" t="s">
        <v>2383</v>
      </c>
      <c r="E1795" s="16" t="s">
        <v>184</v>
      </c>
      <c r="F1795" s="16" t="s">
        <v>228</v>
      </c>
      <c r="G1795" s="16" t="s">
        <v>222</v>
      </c>
      <c r="H1795" s="16" t="s">
        <v>408</v>
      </c>
      <c r="I1795" s="16" t="s">
        <v>490</v>
      </c>
    </row>
    <row r="1796" ht="242.25" customHeight="1">
      <c r="A1796" s="32" t="b">
        <v>0</v>
      </c>
      <c r="B1796" s="32" t="str">
        <f>IMAGE("https://gymvisual.com/20628-catalog_default/3-4-sit-up.jpg",4,500,500)</f>
        <v/>
      </c>
      <c r="C1796" s="30">
        <v>1795.0</v>
      </c>
      <c r="D1796" s="16" t="s">
        <v>2384</v>
      </c>
      <c r="E1796" s="16" t="s">
        <v>184</v>
      </c>
      <c r="F1796" s="16" t="s">
        <v>228</v>
      </c>
      <c r="G1796" s="16" t="s">
        <v>222</v>
      </c>
      <c r="H1796" s="16" t="s">
        <v>408</v>
      </c>
      <c r="I1796" s="16" t="s">
        <v>452</v>
      </c>
    </row>
    <row r="1797" ht="242.25" customHeight="1">
      <c r="A1797" s="32" t="b">
        <v>0</v>
      </c>
      <c r="B1797" s="32" t="str">
        <f>IMAGE("https://gymvisual.com/10370-catalog_default/dumbbell-rear-fly-female.jpg",4,500,500)</f>
        <v/>
      </c>
      <c r="C1797" s="30">
        <v>1796.0</v>
      </c>
      <c r="D1797" s="16" t="s">
        <v>2385</v>
      </c>
      <c r="E1797" s="16" t="s">
        <v>184</v>
      </c>
      <c r="F1797" s="16" t="s">
        <v>228</v>
      </c>
      <c r="G1797" s="16" t="s">
        <v>222</v>
      </c>
      <c r="H1797" s="16" t="s">
        <v>408</v>
      </c>
      <c r="I1797" s="16" t="s">
        <v>452</v>
      </c>
    </row>
    <row r="1798" ht="242.25" customHeight="1">
      <c r="A1798" s="32" t="b">
        <v>0</v>
      </c>
      <c r="B1798" s="32" t="str">
        <f>IMAGE("https://gymvisual.com/20742-catalog_default/3-4-sit-up.jpg",4,500,500)</f>
        <v/>
      </c>
      <c r="C1798" s="30">
        <v>1797.0</v>
      </c>
      <c r="D1798" s="16" t="s">
        <v>2386</v>
      </c>
      <c r="E1798" s="16" t="s">
        <v>184</v>
      </c>
      <c r="F1798" s="16" t="s">
        <v>228</v>
      </c>
      <c r="G1798" s="16" t="s">
        <v>222</v>
      </c>
      <c r="H1798" s="16" t="s">
        <v>408</v>
      </c>
      <c r="I1798" s="16" t="s">
        <v>452</v>
      </c>
    </row>
    <row r="1799" ht="242.25" customHeight="1">
      <c r="A1799" s="32" t="b">
        <v>0</v>
      </c>
      <c r="B1799" s="32" t="str">
        <f>IMAGE("https://gymvisual.com/1156-catalog_default/3-4-sit-up.jpg",4,500,500)</f>
        <v/>
      </c>
      <c r="C1799" s="30">
        <v>1798.0</v>
      </c>
      <c r="D1799" s="16" t="s">
        <v>2387</v>
      </c>
      <c r="E1799" s="16" t="s">
        <v>184</v>
      </c>
      <c r="F1799" s="16" t="s">
        <v>228</v>
      </c>
      <c r="G1799" s="16" t="s">
        <v>222</v>
      </c>
      <c r="H1799" s="16" t="s">
        <v>408</v>
      </c>
      <c r="I1799" s="16" t="s">
        <v>452</v>
      </c>
    </row>
    <row r="1800" ht="242.25" customHeight="1">
      <c r="A1800" s="32" t="b">
        <v>0</v>
      </c>
      <c r="B1800" s="32" t="str">
        <f>IMAGE("https://gymvisual.com/1162-catalog_default/3-4-sit-up.jpg",4,500,500)</f>
        <v/>
      </c>
      <c r="C1800" s="30">
        <v>1799.0</v>
      </c>
      <c r="D1800" s="16" t="s">
        <v>2388</v>
      </c>
      <c r="E1800" s="16" t="s">
        <v>184</v>
      </c>
      <c r="F1800" s="16" t="s">
        <v>285</v>
      </c>
      <c r="G1800" s="16" t="s">
        <v>222</v>
      </c>
      <c r="H1800" s="16" t="s">
        <v>189</v>
      </c>
      <c r="I1800" s="16" t="s">
        <v>190</v>
      </c>
    </row>
    <row r="1801" ht="242.25" customHeight="1">
      <c r="A1801" s="32" t="b">
        <v>0</v>
      </c>
      <c r="B1801" s="32" t="str">
        <f>IMAGE("https://gymvisual.com/9571-catalog_default/dumbbell-rear-lunge-female.jpg",4,500,500)</f>
        <v/>
      </c>
      <c r="C1801" s="30">
        <v>1800.0</v>
      </c>
      <c r="D1801" s="16" t="s">
        <v>2389</v>
      </c>
      <c r="E1801" s="16" t="s">
        <v>184</v>
      </c>
      <c r="F1801" s="16" t="s">
        <v>294</v>
      </c>
      <c r="G1801" s="16" t="s">
        <v>222</v>
      </c>
      <c r="H1801" s="16" t="s">
        <v>189</v>
      </c>
      <c r="I1801" s="16" t="s">
        <v>190</v>
      </c>
    </row>
    <row r="1802" ht="242.25" customHeight="1">
      <c r="A1802" s="32" t="b">
        <v>0</v>
      </c>
      <c r="B1802" s="32" t="str">
        <f>IMAGE("https://gymvisual.com/10256-catalog_default/dumbbell-rear-lunge-from-step-female.jpg",4,500,500)</f>
        <v/>
      </c>
      <c r="C1802" s="30">
        <v>1801.0</v>
      </c>
      <c r="D1802" s="16" t="s">
        <v>2390</v>
      </c>
      <c r="E1802" s="16" t="s">
        <v>184</v>
      </c>
      <c r="F1802" s="16" t="s">
        <v>294</v>
      </c>
      <c r="G1802" s="16" t="s">
        <v>222</v>
      </c>
      <c r="H1802" s="16" t="s">
        <v>189</v>
      </c>
      <c r="I1802" s="16" t="s">
        <v>190</v>
      </c>
    </row>
    <row r="1803" ht="242.25" customHeight="1">
      <c r="A1803" s="32" t="b">
        <v>0</v>
      </c>
      <c r="B1803" s="32" t="str">
        <f>IMAGE("https://gymvisual.com/17583-catalog_default/dumbbell-rear-lunge-front-raise.jpg",4,500,500)</f>
        <v/>
      </c>
      <c r="C1803" s="30">
        <v>1802.0</v>
      </c>
      <c r="D1803" s="16" t="s">
        <v>2391</v>
      </c>
      <c r="E1803" s="16" t="s">
        <v>184</v>
      </c>
      <c r="F1803" s="16" t="s">
        <v>691</v>
      </c>
      <c r="G1803" s="16" t="s">
        <v>222</v>
      </c>
      <c r="H1803" s="16" t="s">
        <v>793</v>
      </c>
      <c r="I1803" s="16" t="s">
        <v>2392</v>
      </c>
    </row>
    <row r="1804" ht="242.25" customHeight="1">
      <c r="A1804" s="32" t="b">
        <v>0</v>
      </c>
      <c r="B1804" s="32" t="str">
        <f>IMAGE("https://gymvisual.com/13301-catalog_default/dumbbell-renegade-row.jpg",4,500,500)</f>
        <v/>
      </c>
      <c r="C1804" s="30">
        <v>1803.0</v>
      </c>
      <c r="D1804" s="16" t="s">
        <v>2393</v>
      </c>
      <c r="E1804" s="16" t="s">
        <v>184</v>
      </c>
      <c r="F1804" s="16" t="s">
        <v>361</v>
      </c>
      <c r="G1804" s="16" t="s">
        <v>222</v>
      </c>
      <c r="H1804" s="16" t="s">
        <v>329</v>
      </c>
      <c r="I1804" s="16" t="s">
        <v>457</v>
      </c>
    </row>
    <row r="1805" ht="242.25" customHeight="1">
      <c r="A1805" s="32" t="b">
        <v>0</v>
      </c>
      <c r="B1805" s="32" t="str">
        <f>IMAGE("https://gymvisual.com/13303-catalog_default/dumbbell-renegade-row-female.jpg",4,500,500)</f>
        <v/>
      </c>
      <c r="C1805" s="30">
        <v>1804.0</v>
      </c>
      <c r="D1805" s="16" t="s">
        <v>2394</v>
      </c>
      <c r="E1805" s="16" t="s">
        <v>184</v>
      </c>
      <c r="F1805" s="16" t="s">
        <v>361</v>
      </c>
      <c r="G1805" s="16" t="s">
        <v>222</v>
      </c>
      <c r="H1805" s="16" t="s">
        <v>220</v>
      </c>
      <c r="I1805" s="16" t="s">
        <v>220</v>
      </c>
    </row>
    <row r="1806" ht="242.25" customHeight="1">
      <c r="A1806" s="32" t="b">
        <v>0</v>
      </c>
      <c r="B1806" s="32" t="str">
        <f>IMAGE("https://gymvisual.com/19604-catalog_default/dumbbell-renegade-row-to-squat.jpg",4,500,500)</f>
        <v/>
      </c>
      <c r="C1806" s="30">
        <v>1805.0</v>
      </c>
      <c r="D1806" s="16" t="s">
        <v>2395</v>
      </c>
      <c r="E1806" s="16" t="s">
        <v>184</v>
      </c>
      <c r="F1806" s="16" t="s">
        <v>2396</v>
      </c>
      <c r="G1806" s="16" t="s">
        <v>222</v>
      </c>
      <c r="H1806" s="16" t="s">
        <v>220</v>
      </c>
      <c r="I1806" s="16" t="s">
        <v>220</v>
      </c>
    </row>
    <row r="1807" ht="242.25" customHeight="1">
      <c r="A1807" s="32" t="b">
        <v>0</v>
      </c>
      <c r="B1807" s="32" t="str">
        <f>IMAGE("https://gymvisual.com/1165-catalog_default/3-4-sit-up.jpg",4,500,500)</f>
        <v/>
      </c>
      <c r="C1807" s="30">
        <v>1806.0</v>
      </c>
      <c r="D1807" s="16" t="s">
        <v>2397</v>
      </c>
      <c r="E1807" s="16" t="s">
        <v>184</v>
      </c>
      <c r="F1807" s="16" t="s">
        <v>214</v>
      </c>
      <c r="G1807" s="16" t="s">
        <v>222</v>
      </c>
      <c r="H1807" s="16" t="s">
        <v>216</v>
      </c>
      <c r="I1807" s="16" t="s">
        <v>217</v>
      </c>
    </row>
    <row r="1808" ht="242.25" customHeight="1">
      <c r="A1808" s="32" t="b">
        <v>0</v>
      </c>
      <c r="B1808" s="32" t="str">
        <f>IMAGE("https://gymvisual.com/7099-catalog_default/dumbbell-reverse-bench-press.jpg",4,500,500)</f>
        <v/>
      </c>
      <c r="C1808" s="30">
        <v>1807.0</v>
      </c>
      <c r="D1808" s="16" t="s">
        <v>2398</v>
      </c>
      <c r="E1808" s="16" t="s">
        <v>184</v>
      </c>
      <c r="F1808" s="16" t="s">
        <v>234</v>
      </c>
      <c r="G1808" s="16" t="s">
        <v>222</v>
      </c>
      <c r="H1808" s="16" t="s">
        <v>220</v>
      </c>
      <c r="I1808" s="16" t="s">
        <v>220</v>
      </c>
    </row>
    <row r="1809" ht="242.25" customHeight="1">
      <c r="A1809" s="32" t="b">
        <v>0</v>
      </c>
      <c r="B1809" s="32" t="str">
        <f>IMAGE("https://gymvisual.com/13924-catalog_default/dumbbell-reverse-bench-press-female.jpg",4,500,500)</f>
        <v/>
      </c>
      <c r="C1809" s="30">
        <v>1808.0</v>
      </c>
      <c r="D1809" s="16" t="s">
        <v>2399</v>
      </c>
      <c r="E1809" s="16" t="s">
        <v>184</v>
      </c>
      <c r="F1809" s="16" t="s">
        <v>1894</v>
      </c>
      <c r="G1809" s="16" t="s">
        <v>222</v>
      </c>
      <c r="H1809" s="16" t="s">
        <v>2400</v>
      </c>
      <c r="I1809" s="16" t="s">
        <v>229</v>
      </c>
    </row>
    <row r="1810" ht="242.25" customHeight="1">
      <c r="A1810" s="32" t="b">
        <v>0</v>
      </c>
      <c r="B1810" s="32" t="str">
        <f>IMAGE("https://gymvisual.com/1168-catalog_default/3-4-sit-up.jpg",4,500,500)</f>
        <v/>
      </c>
      <c r="C1810" s="30">
        <v>1809.0</v>
      </c>
      <c r="D1810" s="16" t="s">
        <v>2401</v>
      </c>
      <c r="E1810" s="16" t="s">
        <v>184</v>
      </c>
      <c r="F1810" s="16" t="s">
        <v>228</v>
      </c>
      <c r="G1810" s="16" t="s">
        <v>222</v>
      </c>
      <c r="H1810" s="16" t="s">
        <v>408</v>
      </c>
      <c r="I1810" s="16" t="s">
        <v>452</v>
      </c>
    </row>
    <row r="1811" ht="242.25" customHeight="1">
      <c r="A1811" s="32" t="b">
        <v>0</v>
      </c>
      <c r="B1811" s="32" t="str">
        <f>IMAGE("https://gymvisual.com/6021-catalog_default/dumbbell-reverse-grip-incline-bench-one-arm-row.jpg",4,500,500)</f>
        <v/>
      </c>
      <c r="C1811" s="30">
        <v>1810.0</v>
      </c>
      <c r="D1811" s="16" t="s">
        <v>2402</v>
      </c>
      <c r="E1811" s="16" t="s">
        <v>184</v>
      </c>
      <c r="F1811" s="16" t="s">
        <v>192</v>
      </c>
      <c r="G1811" s="16" t="s">
        <v>222</v>
      </c>
      <c r="H1811" s="16" t="s">
        <v>329</v>
      </c>
      <c r="I1811" s="16" t="s">
        <v>457</v>
      </c>
    </row>
    <row r="1812" ht="242.25" customHeight="1">
      <c r="A1812" s="32" t="b">
        <v>0</v>
      </c>
      <c r="B1812" s="32" t="str">
        <f>IMAGE("https://gymvisual.com/11399-catalog_default/dumbbell-reverse-grip-incline-bench-one-arm-row-female.jpg",4,500,500)</f>
        <v/>
      </c>
      <c r="C1812" s="30">
        <v>1811.0</v>
      </c>
      <c r="D1812" s="16" t="s">
        <v>2403</v>
      </c>
      <c r="E1812" s="16" t="s">
        <v>184</v>
      </c>
      <c r="F1812" s="16" t="s">
        <v>192</v>
      </c>
      <c r="G1812" s="16" t="s">
        <v>222</v>
      </c>
      <c r="H1812" s="16" t="s">
        <v>220</v>
      </c>
      <c r="I1812" s="16" t="s">
        <v>220</v>
      </c>
    </row>
    <row r="1813" ht="242.25" customHeight="1">
      <c r="A1813" s="32" t="b">
        <v>0</v>
      </c>
      <c r="B1813" s="32" t="str">
        <f>IMAGE("https://gymvisual.com/6022-catalog_default/dumbbell-reverse-grip-incline-bench-two-arm-row.jpg",4,500,500)</f>
        <v/>
      </c>
      <c r="C1813" s="30">
        <v>1812.0</v>
      </c>
      <c r="D1813" s="16" t="s">
        <v>2404</v>
      </c>
      <c r="E1813" s="16" t="s">
        <v>184</v>
      </c>
      <c r="F1813" s="16" t="s">
        <v>192</v>
      </c>
      <c r="G1813" s="16" t="s">
        <v>222</v>
      </c>
      <c r="H1813" s="16" t="s">
        <v>329</v>
      </c>
      <c r="I1813" s="16" t="s">
        <v>457</v>
      </c>
    </row>
    <row r="1814" ht="242.25" customHeight="1">
      <c r="A1814" s="32" t="b">
        <v>0</v>
      </c>
      <c r="B1814" s="32" t="str">
        <f>IMAGE("https://gymvisual.com/11104-catalog_default/dumbbell-reverse-grip-incline-row-female.jpg",4,500,500)</f>
        <v/>
      </c>
      <c r="C1814" s="30">
        <v>1813.0</v>
      </c>
      <c r="D1814" s="16" t="s">
        <v>2405</v>
      </c>
      <c r="E1814" s="16" t="s">
        <v>184</v>
      </c>
      <c r="F1814" s="16" t="s">
        <v>192</v>
      </c>
      <c r="G1814" s="16" t="s">
        <v>222</v>
      </c>
      <c r="H1814" s="16" t="s">
        <v>570</v>
      </c>
      <c r="I1814" s="16" t="s">
        <v>447</v>
      </c>
    </row>
    <row r="1815" ht="242.25" customHeight="1">
      <c r="A1815" s="32" t="b">
        <v>0</v>
      </c>
      <c r="B1815" s="32" t="str">
        <f>IMAGE("https://gymvisual.com/9846-catalog_default/dumbbell-reverse-grip-row-female.jpg",4,500,500)</f>
        <v/>
      </c>
      <c r="C1815" s="30">
        <v>1814.0</v>
      </c>
      <c r="D1815" s="16" t="s">
        <v>2406</v>
      </c>
      <c r="E1815" s="16" t="s">
        <v>184</v>
      </c>
      <c r="F1815" s="16" t="s">
        <v>192</v>
      </c>
      <c r="G1815" s="16" t="s">
        <v>222</v>
      </c>
      <c r="H1815" s="16" t="s">
        <v>329</v>
      </c>
      <c r="I1815" s="16" t="s">
        <v>457</v>
      </c>
    </row>
    <row r="1816" ht="242.25" customHeight="1">
      <c r="A1816" s="32" t="b">
        <v>0</v>
      </c>
      <c r="B1816" s="32" t="str">
        <f>IMAGE("https://gymvisual.com/22357-catalog_default/dumbbell-reverse-grip-squeeze-bench-press.jpg",4,500,500)</f>
        <v/>
      </c>
      <c r="C1816" s="30">
        <v>1815.0</v>
      </c>
      <c r="D1816" s="16" t="s">
        <v>2407</v>
      </c>
      <c r="E1816" s="16" t="s">
        <v>184</v>
      </c>
      <c r="F1816" s="16" t="s">
        <v>219</v>
      </c>
      <c r="G1816" s="16" t="s">
        <v>222</v>
      </c>
      <c r="H1816" s="16" t="s">
        <v>220</v>
      </c>
      <c r="I1816" s="16" t="s">
        <v>220</v>
      </c>
    </row>
    <row r="1817" ht="242.25" customHeight="1">
      <c r="A1817" s="32" t="b">
        <v>0</v>
      </c>
      <c r="B1817" s="32" t="str">
        <f>IMAGE("https://gymvisual.com/24991-catalog_default/3-4-sit-up.jpg",4,500,500)</f>
        <v/>
      </c>
      <c r="C1817" s="30">
        <v>1816.0</v>
      </c>
      <c r="D1817" s="16" t="s">
        <v>2408</v>
      </c>
      <c r="E1817" s="16" t="s">
        <v>184</v>
      </c>
      <c r="F1817" s="16" t="s">
        <v>214</v>
      </c>
      <c r="G1817" s="16" t="s">
        <v>222</v>
      </c>
      <c r="H1817" s="16" t="s">
        <v>216</v>
      </c>
      <c r="I1817" s="16" t="s">
        <v>217</v>
      </c>
    </row>
    <row r="1818" ht="242.25" customHeight="1">
      <c r="A1818" s="32" t="b">
        <v>0</v>
      </c>
      <c r="B1818" s="32" t="str">
        <f>IMAGE("https://gymvisual.com/7149-catalog_default/dumbbell-reverse-spider-curl.jpg",4,500,500)</f>
        <v/>
      </c>
      <c r="C1818" s="30">
        <v>1817.0</v>
      </c>
      <c r="D1818" s="16" t="s">
        <v>2409</v>
      </c>
      <c r="E1818" s="16" t="s">
        <v>184</v>
      </c>
      <c r="F1818" s="16" t="s">
        <v>219</v>
      </c>
      <c r="G1818" s="16" t="s">
        <v>222</v>
      </c>
      <c r="H1818" s="16" t="s">
        <v>220</v>
      </c>
      <c r="I1818" s="16" t="s">
        <v>220</v>
      </c>
    </row>
    <row r="1819" ht="242.25" customHeight="1">
      <c r="A1819" s="32" t="b">
        <v>0</v>
      </c>
      <c r="B1819" s="32" t="str">
        <f>IMAGE("https://gymvisual.com/1174-catalog_default/3-4-sit-up.jpg",4,500,500)</f>
        <v/>
      </c>
      <c r="C1819" s="30">
        <v>1818.0</v>
      </c>
      <c r="D1819" s="16" t="s">
        <v>2410</v>
      </c>
      <c r="E1819" s="16" t="s">
        <v>184</v>
      </c>
      <c r="F1819" s="16" t="s">
        <v>214</v>
      </c>
      <c r="G1819" s="16" t="s">
        <v>222</v>
      </c>
      <c r="H1819" s="16" t="s">
        <v>604</v>
      </c>
      <c r="I1819" s="16" t="s">
        <v>220</v>
      </c>
    </row>
    <row r="1820" ht="242.25" customHeight="1">
      <c r="A1820" s="32" t="b">
        <v>0</v>
      </c>
      <c r="B1820" s="32" t="str">
        <f>IMAGE("https://gymvisual.com/7639-catalog_default/dumbbell-romanian-deadlift.jpg",4,500,500)</f>
        <v/>
      </c>
      <c r="C1820" s="30">
        <v>1819.0</v>
      </c>
      <c r="D1820" s="16" t="s">
        <v>2411</v>
      </c>
      <c r="E1820" s="16" t="s">
        <v>184</v>
      </c>
      <c r="F1820" s="16" t="s">
        <v>185</v>
      </c>
      <c r="G1820" s="16" t="s">
        <v>222</v>
      </c>
      <c r="H1820" s="16" t="s">
        <v>2412</v>
      </c>
      <c r="I1820" s="16" t="s">
        <v>2413</v>
      </c>
    </row>
    <row r="1821" ht="242.25" customHeight="1">
      <c r="A1821" s="32" t="b">
        <v>0</v>
      </c>
      <c r="B1821" s="32" t="str">
        <f>IMAGE("https://gymvisual.com/9580-catalog_default/dumbbell-romanian-deadlift-female.jpg",4,500,500)</f>
        <v/>
      </c>
      <c r="C1821" s="30">
        <v>1820.0</v>
      </c>
      <c r="D1821" s="16" t="s">
        <v>2414</v>
      </c>
      <c r="E1821" s="16" t="s">
        <v>184</v>
      </c>
      <c r="F1821" s="16" t="s">
        <v>185</v>
      </c>
      <c r="G1821" s="16" t="s">
        <v>222</v>
      </c>
      <c r="H1821" s="16" t="s">
        <v>267</v>
      </c>
      <c r="I1821" s="16" t="s">
        <v>2415</v>
      </c>
    </row>
    <row r="1822" ht="242.25" customHeight="1">
      <c r="A1822" s="32" t="b">
        <v>0</v>
      </c>
      <c r="B1822" s="32" t="str">
        <f>IMAGE("https://gymvisual.com/1177-catalog_default/3-4-sit-up.jpg",4,500,500)</f>
        <v/>
      </c>
      <c r="C1822" s="30">
        <v>1821.0</v>
      </c>
      <c r="D1822" s="16" t="s">
        <v>2416</v>
      </c>
      <c r="E1822" s="16" t="s">
        <v>184</v>
      </c>
      <c r="F1822" s="16" t="s">
        <v>228</v>
      </c>
      <c r="G1822" s="16" t="s">
        <v>222</v>
      </c>
      <c r="H1822" s="16" t="s">
        <v>408</v>
      </c>
      <c r="I1822" s="16" t="s">
        <v>2417</v>
      </c>
    </row>
    <row r="1823" ht="242.25" customHeight="1">
      <c r="A1823" s="32" t="b">
        <v>0</v>
      </c>
      <c r="B1823" s="32" t="str">
        <f>IMAGE("https://gymvisual.com/22355-catalog_default/dumbbell-rotational-grip-bench-press.jpg",4,500,500)</f>
        <v/>
      </c>
      <c r="C1823" s="30">
        <v>1822.0</v>
      </c>
      <c r="D1823" s="16" t="s">
        <v>2418</v>
      </c>
      <c r="E1823" s="16" t="s">
        <v>184</v>
      </c>
      <c r="F1823" s="16" t="s">
        <v>234</v>
      </c>
      <c r="G1823" s="16" t="s">
        <v>222</v>
      </c>
      <c r="H1823" s="16" t="s">
        <v>220</v>
      </c>
      <c r="I1823" s="16" t="s">
        <v>220</v>
      </c>
    </row>
    <row r="1824" ht="242.25" customHeight="1">
      <c r="A1824" s="32" t="b">
        <v>0</v>
      </c>
      <c r="B1824" s="32" t="str">
        <f>IMAGE("https://gymvisual.com/13920-catalog_default/dumbbell-russian-twist.jpg",4,500,500)</f>
        <v/>
      </c>
      <c r="C1824" s="30">
        <v>1823.0</v>
      </c>
      <c r="D1824" s="16" t="s">
        <v>2419</v>
      </c>
      <c r="E1824" s="16" t="s">
        <v>184</v>
      </c>
      <c r="F1824" s="16" t="s">
        <v>254</v>
      </c>
      <c r="G1824" s="16" t="s">
        <v>222</v>
      </c>
      <c r="H1824" s="16" t="s">
        <v>257</v>
      </c>
      <c r="I1824" s="16" t="s">
        <v>256</v>
      </c>
    </row>
    <row r="1825" ht="242.25" customHeight="1">
      <c r="A1825" s="32" t="b">
        <v>0</v>
      </c>
      <c r="B1825" s="32" t="str">
        <f>IMAGE("https://gymvisual.com/13922-catalog_default/dumbbell-russian-twist-female.jpg",4,500,500)</f>
        <v/>
      </c>
      <c r="C1825" s="30">
        <v>1824.0</v>
      </c>
      <c r="D1825" s="16" t="s">
        <v>2420</v>
      </c>
      <c r="E1825" s="16" t="s">
        <v>184</v>
      </c>
      <c r="F1825" s="16" t="s">
        <v>254</v>
      </c>
      <c r="G1825" s="16" t="s">
        <v>222</v>
      </c>
      <c r="H1825" s="16" t="s">
        <v>257</v>
      </c>
      <c r="I1825" s="16" t="s">
        <v>256</v>
      </c>
    </row>
    <row r="1826" ht="242.25" customHeight="1">
      <c r="A1826" s="32" t="b">
        <v>0</v>
      </c>
      <c r="B1826" s="32" t="str">
        <f>IMAGE("https://gymvisual.com/17815-catalog_default/dumbbell-russian-twist-on-stability-ball.jpg",4,500,500)</f>
        <v/>
      </c>
      <c r="C1826" s="30">
        <v>1825.0</v>
      </c>
      <c r="D1826" s="16" t="s">
        <v>2421</v>
      </c>
      <c r="E1826" s="16" t="s">
        <v>184</v>
      </c>
      <c r="F1826" s="16" t="s">
        <v>254</v>
      </c>
      <c r="G1826" s="16" t="s">
        <v>222</v>
      </c>
      <c r="H1826" s="16" t="s">
        <v>220</v>
      </c>
      <c r="I1826" s="16" t="s">
        <v>220</v>
      </c>
    </row>
    <row r="1827" ht="242.25" customHeight="1">
      <c r="A1827" s="32" t="b">
        <v>0</v>
      </c>
      <c r="B1827" s="32" t="str">
        <f>IMAGE("https://gymvisual.com/19596-catalog_default/dumbbell-russian-twist-close-grip-shoulder-press-sit-up.jpg",4,500,500)</f>
        <v/>
      </c>
      <c r="C1827" s="30">
        <v>1826.0</v>
      </c>
      <c r="D1827" s="16" t="s">
        <v>2422</v>
      </c>
      <c r="E1827" s="16" t="s">
        <v>184</v>
      </c>
      <c r="F1827" s="16" t="s">
        <v>254</v>
      </c>
      <c r="G1827" s="16" t="s">
        <v>222</v>
      </c>
      <c r="H1827" s="16" t="s">
        <v>220</v>
      </c>
      <c r="I1827" s="16" t="s">
        <v>220</v>
      </c>
    </row>
    <row r="1828" ht="242.25" customHeight="1">
      <c r="A1828" s="32" t="b">
        <v>0</v>
      </c>
      <c r="B1828" s="32" t="str">
        <f>IMAGE("https://gymvisual.com/22249-catalog_default/dumbbell-russian-twist-with-legs-floor-off.jpg",4,500,500)</f>
        <v/>
      </c>
      <c r="C1828" s="30">
        <v>1827.0</v>
      </c>
      <c r="D1828" s="16" t="s">
        <v>2423</v>
      </c>
      <c r="E1828" s="16" t="s">
        <v>184</v>
      </c>
      <c r="F1828" s="16" t="s">
        <v>254</v>
      </c>
      <c r="G1828" s="16" t="s">
        <v>222</v>
      </c>
      <c r="H1828" s="16" t="s">
        <v>220</v>
      </c>
      <c r="I1828" s="16" t="s">
        <v>220</v>
      </c>
    </row>
    <row r="1829" ht="242.25" customHeight="1">
      <c r="A1829" s="32" t="b">
        <v>0</v>
      </c>
      <c r="B1829" s="32" t="str">
        <f>IMAGE("https://gymvisual.com/10375-catalog_default/dumbbell-scott-press.jpg",4,500,500)</f>
        <v/>
      </c>
      <c r="C1829" s="30">
        <v>1828.0</v>
      </c>
      <c r="D1829" s="16" t="s">
        <v>2424</v>
      </c>
      <c r="E1829" s="16" t="s">
        <v>184</v>
      </c>
      <c r="F1829" s="16" t="s">
        <v>228</v>
      </c>
      <c r="G1829" s="16" t="s">
        <v>222</v>
      </c>
      <c r="H1829" s="16" t="s">
        <v>544</v>
      </c>
      <c r="I1829" s="16" t="s">
        <v>2425</v>
      </c>
    </row>
    <row r="1830" ht="242.25" customHeight="1">
      <c r="A1830" s="32" t="b">
        <v>0</v>
      </c>
      <c r="B1830" s="32" t="str">
        <f>IMAGE("https://gymvisual.com/13896-catalog_default/dumbbell-scott-press-female.jpg",4,500,500)</f>
        <v/>
      </c>
      <c r="C1830" s="30">
        <v>1829.0</v>
      </c>
      <c r="D1830" s="16" t="s">
        <v>2426</v>
      </c>
      <c r="E1830" s="16" t="s">
        <v>184</v>
      </c>
      <c r="F1830" s="16" t="s">
        <v>228</v>
      </c>
      <c r="G1830" s="16" t="s">
        <v>222</v>
      </c>
      <c r="H1830" s="16" t="s">
        <v>220</v>
      </c>
      <c r="I1830" s="16" t="s">
        <v>220</v>
      </c>
    </row>
    <row r="1831" ht="242.25" customHeight="1">
      <c r="A1831" s="32" t="b">
        <v>0</v>
      </c>
      <c r="B1831" s="32" t="str">
        <f>IMAGE("https://gymvisual.com/16702-catalog_default/dumbbell-seated-alternate-biceps-curl-female.jpg",4,500,500)</f>
        <v/>
      </c>
      <c r="C1831" s="30">
        <v>1830.0</v>
      </c>
      <c r="D1831" s="16" t="s">
        <v>2427</v>
      </c>
      <c r="E1831" s="16" t="s">
        <v>184</v>
      </c>
      <c r="F1831" s="16" t="s">
        <v>219</v>
      </c>
      <c r="G1831" s="16" t="s">
        <v>222</v>
      </c>
      <c r="H1831" s="16" t="s">
        <v>241</v>
      </c>
      <c r="I1831" s="16" t="s">
        <v>292</v>
      </c>
    </row>
    <row r="1832" ht="242.25" customHeight="1">
      <c r="A1832" s="32" t="b">
        <v>0</v>
      </c>
      <c r="B1832" s="32" t="str">
        <f>IMAGE("https://gymvisual.com/1180-catalog_default/3-4-sit-up.jpg",4,500,500)</f>
        <v/>
      </c>
      <c r="C1832" s="30">
        <v>1831.0</v>
      </c>
      <c r="D1832" s="16" t="s">
        <v>2428</v>
      </c>
      <c r="E1832" s="16" t="s">
        <v>184</v>
      </c>
      <c r="F1832" s="16" t="s">
        <v>228</v>
      </c>
      <c r="G1832" s="16" t="s">
        <v>222</v>
      </c>
      <c r="H1832" s="16" t="s">
        <v>229</v>
      </c>
      <c r="I1832" s="16" t="s">
        <v>244</v>
      </c>
    </row>
    <row r="1833" ht="242.25" customHeight="1">
      <c r="A1833" s="32" t="b">
        <v>0</v>
      </c>
      <c r="B1833" s="32" t="str">
        <f>IMAGE("https://gymvisual.com/11336-catalog_default/dumbbell-seated-alternate-front-raise-female.jpg",4,500,500)</f>
        <v/>
      </c>
      <c r="C1833" s="30">
        <v>1832.0</v>
      </c>
      <c r="D1833" s="16" t="s">
        <v>2429</v>
      </c>
      <c r="E1833" s="16" t="s">
        <v>184</v>
      </c>
      <c r="F1833" s="16" t="s">
        <v>228</v>
      </c>
      <c r="G1833" s="16" t="s">
        <v>222</v>
      </c>
      <c r="H1833" s="16" t="s">
        <v>229</v>
      </c>
      <c r="I1833" s="16" t="s">
        <v>244</v>
      </c>
    </row>
    <row r="1834" ht="242.25" customHeight="1">
      <c r="A1834" s="32" t="b">
        <v>0</v>
      </c>
      <c r="B1834" s="32" t="str">
        <f>IMAGE("https://gymvisual.com/7150-catalog_default/dumbbell-seated-alternate-hammer-curl-on-exercise-ball.jpg",4,500,500)</f>
        <v/>
      </c>
      <c r="C1834" s="30">
        <v>1833.0</v>
      </c>
      <c r="D1834" s="16" t="s">
        <v>2430</v>
      </c>
      <c r="E1834" s="16" t="s">
        <v>184</v>
      </c>
      <c r="F1834" s="16" t="s">
        <v>219</v>
      </c>
      <c r="G1834" s="16" t="s">
        <v>222</v>
      </c>
      <c r="H1834" s="16" t="s">
        <v>220</v>
      </c>
      <c r="I1834" s="16" t="s">
        <v>220</v>
      </c>
    </row>
    <row r="1835" ht="242.25" customHeight="1">
      <c r="A1835" s="32" t="b">
        <v>0</v>
      </c>
      <c r="B1835" s="32" t="str">
        <f>IMAGE("https://gymvisual.com/1183-catalog_default/3-4-sit-up.jpg",4,500,500)</f>
        <v/>
      </c>
      <c r="C1835" s="30">
        <v>1834.0</v>
      </c>
      <c r="D1835" s="16" t="s">
        <v>2431</v>
      </c>
      <c r="E1835" s="16" t="s">
        <v>184</v>
      </c>
      <c r="F1835" s="16" t="s">
        <v>228</v>
      </c>
      <c r="G1835" s="16" t="s">
        <v>222</v>
      </c>
      <c r="H1835" s="16" t="s">
        <v>229</v>
      </c>
      <c r="I1835" s="16" t="s">
        <v>626</v>
      </c>
    </row>
    <row r="1836" ht="242.25" customHeight="1">
      <c r="A1836" s="32" t="b">
        <v>0</v>
      </c>
      <c r="B1836" s="32" t="str">
        <f>IMAGE("https://gymvisual.com/11333-catalog_default/dumbbell-seated-alternate-press-female.jpg",4,500,500)</f>
        <v/>
      </c>
      <c r="C1836" s="30">
        <v>1835.0</v>
      </c>
      <c r="D1836" s="16" t="s">
        <v>2432</v>
      </c>
      <c r="E1836" s="16" t="s">
        <v>184</v>
      </c>
      <c r="F1836" s="16" t="s">
        <v>228</v>
      </c>
      <c r="G1836" s="16" t="s">
        <v>222</v>
      </c>
      <c r="H1836" s="16" t="s">
        <v>220</v>
      </c>
      <c r="I1836" s="16" t="s">
        <v>220</v>
      </c>
    </row>
    <row r="1837" ht="242.25" customHeight="1">
      <c r="A1837" s="32" t="b">
        <v>0</v>
      </c>
      <c r="B1837" s="32" t="str">
        <f>IMAGE("https://gymvisual.com/14104-catalog_default/dumbbell-seated-alternate-shoulder.jpg",4,500,500)</f>
        <v/>
      </c>
      <c r="C1837" s="30">
        <v>1836.0</v>
      </c>
      <c r="D1837" s="16" t="s">
        <v>2433</v>
      </c>
      <c r="E1837" s="16" t="s">
        <v>184</v>
      </c>
      <c r="F1837" s="16" t="s">
        <v>228</v>
      </c>
      <c r="G1837" s="16" t="s">
        <v>222</v>
      </c>
      <c r="H1837" s="16" t="s">
        <v>229</v>
      </c>
      <c r="I1837" s="16" t="s">
        <v>626</v>
      </c>
    </row>
    <row r="1838" ht="242.25" customHeight="1">
      <c r="A1838" s="32" t="b">
        <v>0</v>
      </c>
      <c r="B1838" s="32" t="str">
        <f>IMAGE("https://gymvisual.com/14173-catalog_default/3-4-sit-up.jpg",4,500,500)</f>
        <v/>
      </c>
      <c r="C1838" s="30">
        <v>1837.0</v>
      </c>
      <c r="D1838" s="16" t="s">
        <v>2434</v>
      </c>
      <c r="E1838" s="16" t="s">
        <v>184</v>
      </c>
      <c r="F1838" s="16" t="s">
        <v>219</v>
      </c>
      <c r="G1838" s="16" t="s">
        <v>222</v>
      </c>
      <c r="H1838" s="16" t="s">
        <v>223</v>
      </c>
      <c r="I1838" s="16" t="s">
        <v>220</v>
      </c>
    </row>
    <row r="1839" ht="242.25" customHeight="1">
      <c r="A1839" s="32" t="b">
        <v>0</v>
      </c>
      <c r="B1839" s="32" t="str">
        <f>IMAGE("https://gymvisual.com/9807-catalog_default/dumbbell-seated-bent-arm-lateral-raise.jpg",4,500,500)</f>
        <v/>
      </c>
      <c r="C1839" s="30">
        <v>1838.0</v>
      </c>
      <c r="D1839" s="16" t="s">
        <v>2435</v>
      </c>
      <c r="E1839" s="16" t="s">
        <v>184</v>
      </c>
      <c r="F1839" s="16" t="s">
        <v>228</v>
      </c>
      <c r="G1839" s="16" t="s">
        <v>222</v>
      </c>
      <c r="H1839" s="16" t="s">
        <v>544</v>
      </c>
      <c r="I1839" s="16" t="s">
        <v>2436</v>
      </c>
    </row>
    <row r="1840" ht="242.25" customHeight="1">
      <c r="A1840" s="32" t="b">
        <v>0</v>
      </c>
      <c r="B1840" s="32" t="str">
        <f>IMAGE("https://gymvisual.com/7449-catalog_default/dumbbell-seated-bent-over-alternate-kickback.jpg",4,500,500)</f>
        <v/>
      </c>
      <c r="C1840" s="30">
        <v>1839.0</v>
      </c>
      <c r="D1840" s="16" t="s">
        <v>2437</v>
      </c>
      <c r="E1840" s="16" t="s">
        <v>184</v>
      </c>
      <c r="F1840" s="16" t="s">
        <v>219</v>
      </c>
      <c r="G1840" s="16" t="s">
        <v>222</v>
      </c>
      <c r="H1840" s="16" t="s">
        <v>220</v>
      </c>
      <c r="I1840" s="16" t="s">
        <v>220</v>
      </c>
    </row>
    <row r="1841" ht="242.25" customHeight="1">
      <c r="A1841" s="32" t="b">
        <v>0</v>
      </c>
      <c r="B1841" s="32" t="str">
        <f>IMAGE("https://gymvisual.com/17865-catalog_default/dumbbell-seated-bent-over-alternate-rear-delt-fly.jpg",4,500,500)</f>
        <v/>
      </c>
      <c r="C1841" s="30">
        <v>1840.0</v>
      </c>
      <c r="D1841" s="16" t="s">
        <v>2438</v>
      </c>
      <c r="E1841" s="16" t="s">
        <v>184</v>
      </c>
      <c r="F1841" s="16" t="s">
        <v>228</v>
      </c>
      <c r="G1841" s="16" t="s">
        <v>222</v>
      </c>
      <c r="H1841" s="16" t="s">
        <v>220</v>
      </c>
      <c r="I1841" s="16" t="s">
        <v>220</v>
      </c>
    </row>
    <row r="1842" ht="242.25" customHeight="1">
      <c r="A1842" s="32" t="b">
        <v>0</v>
      </c>
      <c r="B1842" s="32" t="str">
        <f>IMAGE("https://gymvisual.com/17634-catalog_default/dumbbell-seated-bent-over-rear-delt-row.jpg",4,500,500)</f>
        <v/>
      </c>
      <c r="C1842" s="30">
        <v>1841.0</v>
      </c>
      <c r="D1842" s="16" t="s">
        <v>2439</v>
      </c>
      <c r="E1842" s="16" t="s">
        <v>184</v>
      </c>
      <c r="F1842" s="16" t="s">
        <v>228</v>
      </c>
      <c r="G1842" s="16" t="s">
        <v>222</v>
      </c>
      <c r="H1842" s="16" t="s">
        <v>408</v>
      </c>
      <c r="I1842" s="16" t="s">
        <v>452</v>
      </c>
    </row>
    <row r="1843" ht="242.25" customHeight="1">
      <c r="A1843" s="32" t="b">
        <v>0</v>
      </c>
      <c r="B1843" s="32" t="str">
        <f>IMAGE("https://gymvisual.com/7456-catalog_default/dumbbell-seated-bent-over-triceps-extension.jpg",4,500,500)</f>
        <v/>
      </c>
      <c r="C1843" s="30">
        <v>1842.0</v>
      </c>
      <c r="D1843" s="16" t="s">
        <v>2440</v>
      </c>
      <c r="E1843" s="16" t="s">
        <v>184</v>
      </c>
      <c r="F1843" s="16" t="s">
        <v>219</v>
      </c>
      <c r="G1843" s="16" t="s">
        <v>222</v>
      </c>
      <c r="H1843" s="16" t="s">
        <v>220</v>
      </c>
      <c r="I1843" s="16" t="s">
        <v>220</v>
      </c>
    </row>
    <row r="1844" ht="242.25" customHeight="1">
      <c r="A1844" s="32" t="b">
        <v>0</v>
      </c>
      <c r="B1844" s="32" t="str">
        <f>IMAGE("https://gymvisual.com/7151-catalog_default/dumbbell-seated-bicep-curl.jpg",4,500,500)</f>
        <v/>
      </c>
      <c r="C1844" s="30">
        <v>1843.0</v>
      </c>
      <c r="D1844" s="16" t="s">
        <v>2441</v>
      </c>
      <c r="E1844" s="16" t="s">
        <v>184</v>
      </c>
      <c r="F1844" s="16" t="s">
        <v>219</v>
      </c>
      <c r="G1844" s="16" t="s">
        <v>222</v>
      </c>
      <c r="H1844" s="16" t="s">
        <v>220</v>
      </c>
      <c r="I1844" s="16" t="s">
        <v>220</v>
      </c>
    </row>
    <row r="1845" ht="242.25" customHeight="1">
      <c r="A1845" s="32" t="b">
        <v>0</v>
      </c>
      <c r="B1845" s="32" t="str">
        <f>IMAGE("https://gymvisual.com/1189-catalog_default/3-4-sit-up.jpg",4,500,500)</f>
        <v/>
      </c>
      <c r="C1845" s="30">
        <v>1844.0</v>
      </c>
      <c r="D1845" s="16" t="s">
        <v>2442</v>
      </c>
      <c r="E1845" s="16" t="s">
        <v>184</v>
      </c>
      <c r="F1845" s="16" t="s">
        <v>219</v>
      </c>
      <c r="G1845" s="16" t="s">
        <v>222</v>
      </c>
      <c r="H1845" s="16" t="s">
        <v>241</v>
      </c>
      <c r="I1845" s="16" t="s">
        <v>292</v>
      </c>
    </row>
    <row r="1846" ht="242.25" customHeight="1">
      <c r="A1846" s="32" t="b">
        <v>0</v>
      </c>
      <c r="B1846" s="32" t="str">
        <f>IMAGE("https://gymvisual.com/14106-catalog_default/dumbbell-seated-biceps-curl-to-shoulder-press.jpg",4,500,500)</f>
        <v/>
      </c>
      <c r="C1846" s="30">
        <v>1845.0</v>
      </c>
      <c r="D1846" s="16" t="s">
        <v>2443</v>
      </c>
      <c r="E1846" s="16" t="s">
        <v>184</v>
      </c>
      <c r="F1846" s="16" t="s">
        <v>829</v>
      </c>
      <c r="G1846" s="16" t="s">
        <v>222</v>
      </c>
      <c r="H1846" s="16" t="s">
        <v>2003</v>
      </c>
      <c r="I1846" s="16" t="s">
        <v>2004</v>
      </c>
    </row>
    <row r="1847" ht="242.25" customHeight="1">
      <c r="A1847" s="32" t="b">
        <v>0</v>
      </c>
      <c r="B1847" s="32" t="str">
        <f>IMAGE("https://gymvisual.com/6076-catalog_default/dumbbell-seated-calf-raise.jpg",4,500,500)</f>
        <v/>
      </c>
      <c r="C1847" s="30">
        <v>1846.0</v>
      </c>
      <c r="D1847" s="16" t="s">
        <v>2444</v>
      </c>
      <c r="E1847" s="16" t="s">
        <v>184</v>
      </c>
      <c r="F1847" s="16" t="s">
        <v>325</v>
      </c>
      <c r="G1847" s="16" t="s">
        <v>222</v>
      </c>
      <c r="H1847" s="16" t="s">
        <v>368</v>
      </c>
      <c r="I1847" s="16" t="s">
        <v>463</v>
      </c>
    </row>
    <row r="1848" ht="242.25" customHeight="1">
      <c r="A1848" s="32" t="b">
        <v>0</v>
      </c>
      <c r="B1848" s="32" t="str">
        <f>IMAGE("https://gymvisual.com/13433-catalog_default/dumbbell-seated-calf-raise-female.jpg",4,500,500)</f>
        <v/>
      </c>
      <c r="C1848" s="30">
        <v>1847.0</v>
      </c>
      <c r="D1848" s="16" t="s">
        <v>2445</v>
      </c>
      <c r="E1848" s="16" t="s">
        <v>184</v>
      </c>
      <c r="F1848" s="16" t="s">
        <v>325</v>
      </c>
      <c r="G1848" s="16" t="s">
        <v>222</v>
      </c>
      <c r="H1848" s="16" t="s">
        <v>368</v>
      </c>
      <c r="I1848" s="16" t="s">
        <v>463</v>
      </c>
    </row>
    <row r="1849" ht="242.25" customHeight="1">
      <c r="A1849" s="32" t="b">
        <v>0</v>
      </c>
      <c r="B1849" s="32" t="str">
        <f>IMAGE("https://gymvisual.com/17638-catalog_default/dumbbell-seated-close-grip-press.jpg",4,500,500)</f>
        <v/>
      </c>
      <c r="C1849" s="30">
        <v>1848.0</v>
      </c>
      <c r="D1849" s="16" t="s">
        <v>2446</v>
      </c>
      <c r="E1849" s="16" t="s">
        <v>184</v>
      </c>
      <c r="F1849" s="16" t="s">
        <v>228</v>
      </c>
      <c r="G1849" s="16" t="s">
        <v>222</v>
      </c>
      <c r="H1849" s="16" t="s">
        <v>229</v>
      </c>
      <c r="I1849" s="16" t="s">
        <v>626</v>
      </c>
    </row>
    <row r="1850" ht="242.25" customHeight="1">
      <c r="A1850" s="32" t="b">
        <v>0</v>
      </c>
      <c r="B1850" s="32" t="str">
        <f>IMAGE("https://gymvisual.com/18009-catalog_default/dumbbell-seated-cuban-press.jpg",4,500,500)</f>
        <v/>
      </c>
      <c r="C1850" s="30">
        <v>1849.0</v>
      </c>
      <c r="D1850" s="16" t="s">
        <v>2447</v>
      </c>
      <c r="E1850" s="16" t="s">
        <v>184</v>
      </c>
      <c r="F1850" s="16" t="s">
        <v>228</v>
      </c>
      <c r="G1850" s="16" t="s">
        <v>222</v>
      </c>
      <c r="H1850" s="16" t="s">
        <v>220</v>
      </c>
      <c r="I1850" s="16" t="s">
        <v>220</v>
      </c>
    </row>
    <row r="1851" ht="242.25" customHeight="1">
      <c r="A1851" s="32" t="b">
        <v>0</v>
      </c>
      <c r="B1851" s="32" t="str">
        <f>IMAGE("https://gymvisual.com/1192-catalog_default/3-4-sit-up.jpg",4,500,500)</f>
        <v/>
      </c>
      <c r="C1851" s="30">
        <v>1850.0</v>
      </c>
      <c r="D1851" s="16" t="s">
        <v>2448</v>
      </c>
      <c r="E1851" s="16" t="s">
        <v>184</v>
      </c>
      <c r="F1851" s="16" t="s">
        <v>219</v>
      </c>
      <c r="G1851" s="16" t="s">
        <v>222</v>
      </c>
      <c r="H1851" s="16" t="s">
        <v>241</v>
      </c>
      <c r="I1851" s="16" t="s">
        <v>292</v>
      </c>
    </row>
    <row r="1852" ht="242.25" customHeight="1">
      <c r="A1852" s="32" t="b">
        <v>0</v>
      </c>
      <c r="B1852" s="32" t="str">
        <f>IMAGE("https://gymvisual.com/9634-catalog_default/dumbbell-seated-curl-female.jpg",4,500,500)</f>
        <v/>
      </c>
      <c r="C1852" s="30">
        <v>1851.0</v>
      </c>
      <c r="D1852" s="16" t="s">
        <v>2449</v>
      </c>
      <c r="E1852" s="16" t="s">
        <v>184</v>
      </c>
      <c r="F1852" s="16" t="s">
        <v>219</v>
      </c>
      <c r="G1852" s="16" t="s">
        <v>222</v>
      </c>
      <c r="H1852" s="16" t="s">
        <v>220</v>
      </c>
      <c r="I1852" s="16" t="s">
        <v>220</v>
      </c>
    </row>
    <row r="1853" ht="242.25" customHeight="1">
      <c r="A1853" s="32" t="b">
        <v>0</v>
      </c>
      <c r="B1853" s="32" t="str">
        <f>IMAGE("https://gymvisual.com/13435-catalog_default/dumbbell-seated-curl-female.jpg",4,500,500)</f>
        <v/>
      </c>
      <c r="C1853" s="30">
        <v>1852.0</v>
      </c>
      <c r="D1853" s="16" t="s">
        <v>2449</v>
      </c>
      <c r="E1853" s="16" t="s">
        <v>184</v>
      </c>
      <c r="F1853" s="16" t="s">
        <v>219</v>
      </c>
      <c r="G1853" s="16" t="s">
        <v>222</v>
      </c>
      <c r="H1853" s="16" t="s">
        <v>220</v>
      </c>
      <c r="I1853" s="16" t="s">
        <v>220</v>
      </c>
    </row>
    <row r="1854" ht="242.25" customHeight="1">
      <c r="A1854" s="32" t="b">
        <v>0</v>
      </c>
      <c r="B1854" s="32" t="str">
        <f>IMAGE("https://gymvisual.com/20086-catalog_default/dumbbell-seated-external-shoulder-rotation.jpg",4,500,500)</f>
        <v/>
      </c>
      <c r="C1854" s="30">
        <v>1853.0</v>
      </c>
      <c r="D1854" s="16" t="s">
        <v>2450</v>
      </c>
      <c r="E1854" s="16" t="s">
        <v>184</v>
      </c>
      <c r="F1854" s="16" t="s">
        <v>228</v>
      </c>
      <c r="G1854" s="16" t="s">
        <v>222</v>
      </c>
      <c r="H1854" s="16" t="s">
        <v>408</v>
      </c>
      <c r="I1854" s="16" t="s">
        <v>2451</v>
      </c>
    </row>
    <row r="1855" ht="242.25" customHeight="1">
      <c r="A1855" s="32" t="b">
        <v>0</v>
      </c>
      <c r="B1855" s="32" t="str">
        <f>IMAGE("https://gymvisual.com/17575-catalog_default/dumbbell-seated-front-and-back-tate-press.jpg",4,500,500)</f>
        <v/>
      </c>
      <c r="C1855" s="30">
        <v>1854.0</v>
      </c>
      <c r="D1855" s="16" t="s">
        <v>2452</v>
      </c>
      <c r="E1855" s="16" t="s">
        <v>184</v>
      </c>
      <c r="F1855" s="16" t="s">
        <v>219</v>
      </c>
      <c r="G1855" s="16" t="s">
        <v>222</v>
      </c>
      <c r="H1855" s="16" t="s">
        <v>223</v>
      </c>
      <c r="I1855" s="16" t="s">
        <v>2453</v>
      </c>
    </row>
    <row r="1856" ht="242.25" customHeight="1">
      <c r="A1856" s="32" t="b">
        <v>0</v>
      </c>
      <c r="B1856" s="32" t="str">
        <f>IMAGE("https://gymvisual.com/1195-catalog_default/3-4-sit-up.jpg",4,500,500)</f>
        <v/>
      </c>
      <c r="C1856" s="30">
        <v>1855.0</v>
      </c>
      <c r="D1856" s="16" t="s">
        <v>2454</v>
      </c>
      <c r="E1856" s="16" t="s">
        <v>184</v>
      </c>
      <c r="F1856" s="16" t="s">
        <v>228</v>
      </c>
      <c r="G1856" s="16" t="s">
        <v>222</v>
      </c>
      <c r="H1856" s="16" t="s">
        <v>229</v>
      </c>
      <c r="I1856" s="16" t="s">
        <v>244</v>
      </c>
    </row>
    <row r="1857" ht="242.25" customHeight="1">
      <c r="A1857" s="32" t="b">
        <v>0</v>
      </c>
      <c r="B1857" s="32" t="str">
        <f>IMAGE("https://gymvisual.com/9619-catalog_default/dumbbell-seated-front-raise-female.jpg",4,500,500)</f>
        <v/>
      </c>
      <c r="C1857" s="30">
        <v>1856.0</v>
      </c>
      <c r="D1857" s="16" t="s">
        <v>2455</v>
      </c>
      <c r="E1857" s="16" t="s">
        <v>184</v>
      </c>
      <c r="F1857" s="16" t="s">
        <v>228</v>
      </c>
      <c r="G1857" s="16" t="s">
        <v>222</v>
      </c>
      <c r="H1857" s="16" t="s">
        <v>229</v>
      </c>
      <c r="I1857" s="16" t="s">
        <v>244</v>
      </c>
    </row>
    <row r="1858" ht="242.25" customHeight="1">
      <c r="A1858" s="32" t="b">
        <v>0</v>
      </c>
      <c r="B1858" s="32" t="str">
        <f>IMAGE("https://gymvisual.com/17839-catalog_default/dumbbell-seated-gittleson-shrug.jpg",4,500,500)</f>
        <v/>
      </c>
      <c r="C1858" s="30">
        <v>1857.0</v>
      </c>
      <c r="D1858" s="16" t="s">
        <v>2456</v>
      </c>
      <c r="E1858" s="16" t="s">
        <v>184</v>
      </c>
      <c r="F1858" s="16" t="s">
        <v>192</v>
      </c>
      <c r="G1858" s="16" t="s">
        <v>222</v>
      </c>
      <c r="H1858" s="16" t="s">
        <v>220</v>
      </c>
      <c r="I1858" s="16" t="s">
        <v>220</v>
      </c>
    </row>
    <row r="1859" ht="242.25" customHeight="1">
      <c r="A1859" s="32" t="b">
        <v>0</v>
      </c>
      <c r="B1859" s="32" t="str">
        <f>IMAGE("https://gymvisual.com/7152-catalog_default/dumbbell-seated-hammer-curl.jpg",4,500,500)</f>
        <v/>
      </c>
      <c r="C1859" s="30">
        <v>1858.0</v>
      </c>
      <c r="D1859" s="16" t="s">
        <v>2457</v>
      </c>
      <c r="E1859" s="16" t="s">
        <v>184</v>
      </c>
      <c r="F1859" s="16" t="s">
        <v>219</v>
      </c>
      <c r="G1859" s="16" t="s">
        <v>222</v>
      </c>
      <c r="H1859" s="16" t="s">
        <v>216</v>
      </c>
      <c r="I1859" s="16" t="s">
        <v>217</v>
      </c>
    </row>
    <row r="1860" ht="242.25" customHeight="1">
      <c r="A1860" s="32" t="b">
        <v>0</v>
      </c>
      <c r="B1860" s="32" t="str">
        <f>IMAGE("https://gymvisual.com/1198-catalog_default/3-4-sit-up.jpg",4,500,500)</f>
        <v/>
      </c>
      <c r="C1860" s="30">
        <v>1859.0</v>
      </c>
      <c r="D1860" s="16" t="s">
        <v>2458</v>
      </c>
      <c r="E1860" s="16" t="s">
        <v>184</v>
      </c>
      <c r="F1860" s="16" t="s">
        <v>219</v>
      </c>
      <c r="G1860" s="16" t="s">
        <v>222</v>
      </c>
      <c r="H1860" s="16" t="s">
        <v>241</v>
      </c>
      <c r="I1860" s="16" t="s">
        <v>292</v>
      </c>
    </row>
    <row r="1861" ht="242.25" customHeight="1">
      <c r="A1861" s="32" t="b">
        <v>0</v>
      </c>
      <c r="B1861" s="32" t="str">
        <f>IMAGE("https://gymvisual.com/1201-catalog_default/3-4-sit-up.jpg",4,500,500)</f>
        <v/>
      </c>
      <c r="C1861" s="30">
        <v>1860.0</v>
      </c>
      <c r="D1861" s="16" t="s">
        <v>2459</v>
      </c>
      <c r="E1861" s="16" t="s">
        <v>184</v>
      </c>
      <c r="F1861" s="16" t="s">
        <v>219</v>
      </c>
      <c r="G1861" s="16" t="s">
        <v>222</v>
      </c>
      <c r="H1861" s="16" t="s">
        <v>223</v>
      </c>
      <c r="I1861" s="16" t="s">
        <v>220</v>
      </c>
    </row>
    <row r="1862" ht="242.25" customHeight="1">
      <c r="A1862" s="32" t="b">
        <v>0</v>
      </c>
      <c r="B1862" s="32" t="str">
        <f>IMAGE("https://gymvisual.com/13882-catalog_default/dumbbell-seated-kickback-female.jpg",4,500,500)</f>
        <v/>
      </c>
      <c r="C1862" s="30">
        <v>1861.0</v>
      </c>
      <c r="D1862" s="16" t="s">
        <v>2460</v>
      </c>
      <c r="E1862" s="16" t="s">
        <v>184</v>
      </c>
      <c r="F1862" s="16" t="s">
        <v>219</v>
      </c>
      <c r="G1862" s="16" t="s">
        <v>222</v>
      </c>
      <c r="H1862" s="16" t="s">
        <v>223</v>
      </c>
      <c r="I1862" s="16" t="s">
        <v>220</v>
      </c>
    </row>
    <row r="1863" ht="242.25" customHeight="1">
      <c r="A1863" s="32" t="b">
        <v>0</v>
      </c>
      <c r="B1863" s="32" t="str">
        <f>IMAGE("https://gymvisual.com/1207-catalog_default/3-4-sit-up.jpg",4,500,500)</f>
        <v/>
      </c>
      <c r="C1863" s="30">
        <v>1862.0</v>
      </c>
      <c r="D1863" s="16" t="s">
        <v>2461</v>
      </c>
      <c r="E1863" s="16" t="s">
        <v>184</v>
      </c>
      <c r="F1863" s="16" t="s">
        <v>228</v>
      </c>
      <c r="G1863" s="16" t="s">
        <v>222</v>
      </c>
      <c r="H1863" s="16" t="s">
        <v>544</v>
      </c>
      <c r="I1863" s="16" t="s">
        <v>545</v>
      </c>
    </row>
    <row r="1864" ht="242.25" customHeight="1">
      <c r="A1864" s="32" t="b">
        <v>0</v>
      </c>
      <c r="B1864" s="32" t="str">
        <f>IMAGE("https://gymvisual.com/9622-catalog_default/dumbbell-seated-lateral-raise-female.jpg",4,500,500)</f>
        <v/>
      </c>
      <c r="C1864" s="30">
        <v>1863.0</v>
      </c>
      <c r="D1864" s="16" t="s">
        <v>2462</v>
      </c>
      <c r="E1864" s="16" t="s">
        <v>184</v>
      </c>
      <c r="F1864" s="16" t="s">
        <v>228</v>
      </c>
      <c r="G1864" s="16" t="s">
        <v>222</v>
      </c>
      <c r="H1864" s="16" t="s">
        <v>544</v>
      </c>
      <c r="I1864" s="16" t="s">
        <v>545</v>
      </c>
    </row>
    <row r="1865" ht="242.25" customHeight="1">
      <c r="A1865" s="32" t="b">
        <v>0</v>
      </c>
      <c r="B1865" s="32" t="str">
        <f>IMAGE("https://gymvisual.com/1204-catalog_default/3-4-sit-up.jpg",4,500,500)</f>
        <v/>
      </c>
      <c r="C1865" s="30">
        <v>1864.0</v>
      </c>
      <c r="D1865" s="16" t="s">
        <v>2463</v>
      </c>
      <c r="E1865" s="16" t="s">
        <v>184</v>
      </c>
      <c r="F1865" s="16" t="s">
        <v>228</v>
      </c>
      <c r="G1865" s="16" t="s">
        <v>222</v>
      </c>
      <c r="H1865" s="16" t="s">
        <v>544</v>
      </c>
      <c r="I1865" s="16" t="s">
        <v>545</v>
      </c>
    </row>
    <row r="1866" ht="242.25" customHeight="1">
      <c r="A1866" s="32" t="b">
        <v>0</v>
      </c>
      <c r="B1866" s="32" t="str">
        <f>IMAGE("https://gymvisual.com/17843-catalog_default/dumbbell-seated-lateral-raise-on-stability-ball.jpg",4,500,500)</f>
        <v/>
      </c>
      <c r="C1866" s="30">
        <v>1865.0</v>
      </c>
      <c r="D1866" s="16" t="s">
        <v>2464</v>
      </c>
      <c r="E1866" s="16" t="s">
        <v>184</v>
      </c>
      <c r="F1866" s="16" t="s">
        <v>228</v>
      </c>
      <c r="G1866" s="16" t="s">
        <v>222</v>
      </c>
      <c r="H1866" s="16" t="s">
        <v>220</v>
      </c>
      <c r="I1866" s="16" t="s">
        <v>220</v>
      </c>
    </row>
    <row r="1867" ht="242.25" customHeight="1">
      <c r="A1867" s="32" t="b">
        <v>0</v>
      </c>
      <c r="B1867" s="32" t="str">
        <f>IMAGE("https://gymvisual.com/17640-catalog_default/dumbbell-seated-lateral-to-front-raise.jpg",4,500,500)</f>
        <v/>
      </c>
      <c r="C1867" s="30">
        <v>1866.0</v>
      </c>
      <c r="D1867" s="16" t="s">
        <v>2465</v>
      </c>
      <c r="E1867" s="16" t="s">
        <v>184</v>
      </c>
      <c r="F1867" s="16" t="s">
        <v>228</v>
      </c>
      <c r="G1867" s="16" t="s">
        <v>222</v>
      </c>
      <c r="H1867" s="16" t="s">
        <v>454</v>
      </c>
      <c r="I1867" s="16" t="s">
        <v>2466</v>
      </c>
    </row>
    <row r="1868" ht="242.25" customHeight="1">
      <c r="A1868" s="32" t="b">
        <v>0</v>
      </c>
      <c r="B1868" s="32" t="str">
        <f>IMAGE("https://gymvisual.com/1210-catalog_default/3-4-sit-up.jpg",4,500,500)</f>
        <v/>
      </c>
      <c r="C1868" s="30">
        <v>1867.0</v>
      </c>
      <c r="D1868" s="16" t="s">
        <v>2467</v>
      </c>
      <c r="E1868" s="16" t="s">
        <v>184</v>
      </c>
      <c r="F1868" s="16" t="s">
        <v>214</v>
      </c>
      <c r="G1868" s="16" t="s">
        <v>222</v>
      </c>
      <c r="H1868" s="16" t="s">
        <v>216</v>
      </c>
      <c r="I1868" s="16" t="s">
        <v>220</v>
      </c>
    </row>
    <row r="1869" ht="242.25" customHeight="1">
      <c r="A1869" s="32" t="b">
        <v>0</v>
      </c>
      <c r="B1869" s="32" t="str">
        <f>IMAGE("https://gymvisual.com/11426-catalog_default/dumbbell-seated-neutral-wrist-curl-female.jpg",4,500,500)</f>
        <v/>
      </c>
      <c r="C1869" s="30">
        <v>1868.0</v>
      </c>
      <c r="D1869" s="16" t="s">
        <v>2468</v>
      </c>
      <c r="E1869" s="16" t="s">
        <v>184</v>
      </c>
      <c r="F1869" s="16" t="s">
        <v>214</v>
      </c>
      <c r="G1869" s="16" t="s">
        <v>222</v>
      </c>
      <c r="H1869" s="16" t="s">
        <v>604</v>
      </c>
      <c r="I1869" s="16" t="s">
        <v>220</v>
      </c>
    </row>
    <row r="1870" ht="242.25" customHeight="1">
      <c r="A1870" s="32" t="b">
        <v>0</v>
      </c>
      <c r="B1870" s="32" t="str">
        <f>IMAGE("https://gymvisual.com/14775-catalog_default/dumbbell-seated-on-exercise-ball-shoulder-press.jpg",4,500,500)</f>
        <v/>
      </c>
      <c r="C1870" s="30">
        <v>1869.0</v>
      </c>
      <c r="D1870" s="16" t="s">
        <v>2469</v>
      </c>
      <c r="E1870" s="16" t="s">
        <v>184</v>
      </c>
      <c r="F1870" s="16" t="s">
        <v>228</v>
      </c>
      <c r="G1870" s="16" t="s">
        <v>222</v>
      </c>
      <c r="H1870" s="16" t="s">
        <v>229</v>
      </c>
      <c r="I1870" s="16" t="s">
        <v>626</v>
      </c>
    </row>
    <row r="1871" ht="242.25" customHeight="1">
      <c r="A1871" s="32" t="b">
        <v>0</v>
      </c>
      <c r="B1871" s="32" t="str">
        <f>IMAGE("https://gymvisual.com/17941-catalog_default/dumbbell-seated-one-arm-arnold-press-male.jpg",4,500,500)</f>
        <v/>
      </c>
      <c r="C1871" s="30">
        <v>1870.0</v>
      </c>
      <c r="D1871" s="16" t="s">
        <v>2470</v>
      </c>
      <c r="E1871" s="16" t="s">
        <v>184</v>
      </c>
      <c r="F1871" s="16" t="s">
        <v>228</v>
      </c>
      <c r="G1871" s="16" t="s">
        <v>222</v>
      </c>
      <c r="H1871" s="16" t="s">
        <v>220</v>
      </c>
      <c r="I1871" s="16" t="s">
        <v>220</v>
      </c>
    </row>
    <row r="1872" ht="242.25" customHeight="1">
      <c r="A1872" s="32" t="b">
        <v>0</v>
      </c>
      <c r="B1872" s="32" t="str">
        <f>IMAGE("https://gymvisual.com/7153-catalog_default/dumbbell-seated-one-arm-bicep-curl-on-exercise-ball-with-leg-raised.jpg",4,500,500)</f>
        <v/>
      </c>
      <c r="C1872" s="30">
        <v>1871.0</v>
      </c>
      <c r="D1872" s="16" t="s">
        <v>2471</v>
      </c>
      <c r="E1872" s="16" t="s">
        <v>184</v>
      </c>
      <c r="F1872" s="16" t="s">
        <v>219</v>
      </c>
      <c r="G1872" s="16" t="s">
        <v>222</v>
      </c>
      <c r="H1872" s="16" t="s">
        <v>220</v>
      </c>
      <c r="I1872" s="16" t="s">
        <v>220</v>
      </c>
    </row>
    <row r="1873" ht="242.25" customHeight="1">
      <c r="A1873" s="32" t="b">
        <v>0</v>
      </c>
      <c r="B1873" s="32" t="str">
        <f>IMAGE("https://gymvisual.com/14773-catalog_default/dumbbell-seated-one-arm-front-raise.jpg",4,500,500)</f>
        <v/>
      </c>
      <c r="C1873" s="30">
        <v>1872.0</v>
      </c>
      <c r="D1873" s="16" t="s">
        <v>2472</v>
      </c>
      <c r="E1873" s="16" t="s">
        <v>184</v>
      </c>
      <c r="F1873" s="16" t="s">
        <v>228</v>
      </c>
      <c r="G1873" s="16" t="s">
        <v>222</v>
      </c>
      <c r="H1873" s="16" t="s">
        <v>229</v>
      </c>
      <c r="I1873" s="16" t="s">
        <v>244</v>
      </c>
    </row>
    <row r="1874" ht="242.25" customHeight="1">
      <c r="A1874" s="32" t="b">
        <v>0</v>
      </c>
      <c r="B1874" s="32" t="str">
        <f>IMAGE("https://gymvisual.com/1213-catalog_default/3-4-sit-up.jpg",4,500,500)</f>
        <v/>
      </c>
      <c r="C1874" s="30">
        <v>1873.0</v>
      </c>
      <c r="D1874" s="16" t="s">
        <v>2473</v>
      </c>
      <c r="E1874" s="16" t="s">
        <v>184</v>
      </c>
      <c r="F1874" s="16" t="s">
        <v>219</v>
      </c>
      <c r="G1874" s="16" t="s">
        <v>222</v>
      </c>
      <c r="H1874" s="16" t="s">
        <v>223</v>
      </c>
      <c r="I1874" s="16" t="s">
        <v>220</v>
      </c>
    </row>
    <row r="1875" ht="242.25" customHeight="1">
      <c r="A1875" s="32" t="b">
        <v>0</v>
      </c>
      <c r="B1875" s="32" t="str">
        <f>IMAGE("https://gymvisual.com/1216-catalog_default/3-4-sit-up.jpg",4,500,500)</f>
        <v/>
      </c>
      <c r="C1875" s="30">
        <v>1874.0</v>
      </c>
      <c r="D1875" s="16" t="s">
        <v>2474</v>
      </c>
      <c r="E1875" s="16" t="s">
        <v>184</v>
      </c>
      <c r="F1875" s="16" t="s">
        <v>214</v>
      </c>
      <c r="G1875" s="16" t="s">
        <v>222</v>
      </c>
      <c r="H1875" s="16" t="s">
        <v>720</v>
      </c>
      <c r="I1875" s="16" t="s">
        <v>220</v>
      </c>
    </row>
    <row r="1876" ht="242.25" customHeight="1">
      <c r="A1876" s="32" t="b">
        <v>0</v>
      </c>
      <c r="B1876" s="32" t="str">
        <f>IMAGE("https://gymvisual.com/4602-catalog_default/dumbbell-seated-one-arm-shoulder-press.jpg",4,500,500)</f>
        <v/>
      </c>
      <c r="C1876" s="30">
        <v>1875.0</v>
      </c>
      <c r="D1876" s="16" t="s">
        <v>2475</v>
      </c>
      <c r="E1876" s="16" t="s">
        <v>184</v>
      </c>
      <c r="F1876" s="16" t="s">
        <v>228</v>
      </c>
      <c r="G1876" s="16" t="s">
        <v>222</v>
      </c>
      <c r="H1876" s="16" t="s">
        <v>229</v>
      </c>
      <c r="I1876" s="16" t="s">
        <v>2476</v>
      </c>
    </row>
    <row r="1877" ht="242.25" customHeight="1">
      <c r="A1877" s="32" t="b">
        <v>0</v>
      </c>
      <c r="B1877" s="32" t="str">
        <f>IMAGE("https://gymvisual.com/1219-catalog_default/3-4-sit-up.jpg",4,500,500)</f>
        <v/>
      </c>
      <c r="C1877" s="30">
        <v>1876.0</v>
      </c>
      <c r="D1877" s="16" t="s">
        <v>2477</v>
      </c>
      <c r="E1877" s="16" t="s">
        <v>184</v>
      </c>
      <c r="F1877" s="16" t="s">
        <v>325</v>
      </c>
      <c r="G1877" s="16" t="s">
        <v>222</v>
      </c>
      <c r="H1877" s="16" t="s">
        <v>368</v>
      </c>
      <c r="I1877" s="16" t="s">
        <v>463</v>
      </c>
    </row>
    <row r="1878" ht="242.25" customHeight="1">
      <c r="A1878" s="32" t="b">
        <v>0</v>
      </c>
      <c r="B1878" s="32" t="str">
        <f>IMAGE("https://gymvisual.com/6077-catalog_default/dumbbell-seated-one-leg-calf-raise-hammer-grip.jpg",4,500,500)</f>
        <v/>
      </c>
      <c r="C1878" s="30">
        <v>1877.0</v>
      </c>
      <c r="D1878" s="16" t="s">
        <v>2478</v>
      </c>
      <c r="E1878" s="16" t="s">
        <v>184</v>
      </c>
      <c r="F1878" s="16" t="s">
        <v>325</v>
      </c>
      <c r="G1878" s="16" t="s">
        <v>222</v>
      </c>
      <c r="H1878" s="16" t="s">
        <v>368</v>
      </c>
      <c r="I1878" s="16" t="s">
        <v>463</v>
      </c>
    </row>
    <row r="1879" ht="242.25" customHeight="1">
      <c r="A1879" s="32" t="b">
        <v>0</v>
      </c>
      <c r="B1879" s="32" t="str">
        <f>IMAGE("https://gymvisual.com/6078-catalog_default/dumbbell-seated-one-leg-calf-raise-palm-up.jpg",4,500,500)</f>
        <v/>
      </c>
      <c r="C1879" s="30">
        <v>1878.0</v>
      </c>
      <c r="D1879" s="16" t="s">
        <v>2479</v>
      </c>
      <c r="E1879" s="16" t="s">
        <v>184</v>
      </c>
      <c r="F1879" s="16" t="s">
        <v>325</v>
      </c>
      <c r="G1879" s="16" t="s">
        <v>222</v>
      </c>
      <c r="H1879" s="16" t="s">
        <v>368</v>
      </c>
      <c r="I1879" s="16" t="s">
        <v>463</v>
      </c>
    </row>
    <row r="1880" ht="242.25" customHeight="1">
      <c r="A1880" s="32" t="b">
        <v>0</v>
      </c>
      <c r="B1880" s="32" t="str">
        <f>IMAGE("https://gymvisual.com/1222-catalog_default/3-4-sit-up.jpg",4,500,500)</f>
        <v/>
      </c>
      <c r="C1880" s="30">
        <v>1879.0</v>
      </c>
      <c r="D1880" s="16" t="s">
        <v>2480</v>
      </c>
      <c r="E1880" s="16" t="s">
        <v>184</v>
      </c>
      <c r="F1880" s="16" t="s">
        <v>214</v>
      </c>
      <c r="G1880" s="16" t="s">
        <v>222</v>
      </c>
      <c r="H1880" s="16" t="s">
        <v>720</v>
      </c>
      <c r="I1880" s="16" t="s">
        <v>220</v>
      </c>
    </row>
    <row r="1881" ht="242.25" customHeight="1">
      <c r="A1881" s="32" t="b">
        <v>0</v>
      </c>
      <c r="B1881" s="32" t="str">
        <f>IMAGE("https://gymvisual.com/11429-catalog_default/dumbbell-seated-palms-up-wrist-curl-female.jpg",4,500,500)</f>
        <v/>
      </c>
      <c r="C1881" s="30">
        <v>1880.0</v>
      </c>
      <c r="D1881" s="16" t="s">
        <v>2481</v>
      </c>
      <c r="E1881" s="16" t="s">
        <v>184</v>
      </c>
      <c r="F1881" s="16" t="s">
        <v>214</v>
      </c>
      <c r="G1881" s="16" t="s">
        <v>222</v>
      </c>
      <c r="H1881" s="16" t="s">
        <v>305</v>
      </c>
      <c r="I1881" s="16" t="s">
        <v>2482</v>
      </c>
    </row>
    <row r="1882" ht="242.25" customHeight="1">
      <c r="A1882" s="32" t="b">
        <v>0</v>
      </c>
      <c r="B1882" s="32" t="str">
        <f>IMAGE("https://gymvisual.com/1225-catalog_default/3-4-sit-up.jpg",4,500,500)</f>
        <v/>
      </c>
      <c r="C1882" s="30">
        <v>1881.0</v>
      </c>
      <c r="D1882" s="16" t="s">
        <v>2483</v>
      </c>
      <c r="E1882" s="16" t="s">
        <v>184</v>
      </c>
      <c r="F1882" s="16" t="s">
        <v>219</v>
      </c>
      <c r="G1882" s="16" t="s">
        <v>222</v>
      </c>
      <c r="H1882" s="16" t="s">
        <v>232</v>
      </c>
      <c r="I1882" s="16" t="s">
        <v>233</v>
      </c>
    </row>
    <row r="1883" ht="242.25" customHeight="1">
      <c r="A1883" s="32" t="b">
        <v>0</v>
      </c>
      <c r="B1883" s="32" t="str">
        <f>IMAGE("https://gymvisual.com/1228-catalog_default/3-4-sit-up.jpg",4,500,500)</f>
        <v/>
      </c>
      <c r="C1883" s="30">
        <v>1882.0</v>
      </c>
      <c r="D1883" s="16" t="s">
        <v>2484</v>
      </c>
      <c r="E1883" s="16" t="s">
        <v>184</v>
      </c>
      <c r="F1883" s="16" t="s">
        <v>214</v>
      </c>
      <c r="G1883" s="16" t="s">
        <v>222</v>
      </c>
      <c r="H1883" s="16" t="s">
        <v>216</v>
      </c>
      <c r="I1883" s="16" t="s">
        <v>217</v>
      </c>
    </row>
    <row r="1884" ht="242.25" customHeight="1">
      <c r="A1884" s="32" t="b">
        <v>0</v>
      </c>
      <c r="B1884" s="32" t="str">
        <f>IMAGE("https://gymvisual.com/14771-catalog_default/dumbbell-seated-reverse-grip-biceps-curl.jpg",4,500,500)</f>
        <v/>
      </c>
      <c r="C1884" s="30">
        <v>1883.0</v>
      </c>
      <c r="D1884" s="16" t="s">
        <v>2485</v>
      </c>
      <c r="E1884" s="16" t="s">
        <v>184</v>
      </c>
      <c r="F1884" s="16" t="s">
        <v>214</v>
      </c>
      <c r="G1884" s="16" t="s">
        <v>222</v>
      </c>
      <c r="H1884" s="16" t="s">
        <v>216</v>
      </c>
      <c r="I1884" s="16" t="s">
        <v>217</v>
      </c>
    </row>
    <row r="1885" ht="242.25" customHeight="1">
      <c r="A1885" s="32" t="b">
        <v>0</v>
      </c>
      <c r="B1885" s="32" t="str">
        <f>IMAGE("https://gymvisual.com/7457-catalog_default/dumbbell-seated-reverse-grip-one-arm-overhead-tricep-extension.jpg",4,500,500)</f>
        <v/>
      </c>
      <c r="C1885" s="30">
        <v>1884.0</v>
      </c>
      <c r="D1885" s="16" t="s">
        <v>2486</v>
      </c>
      <c r="E1885" s="16" t="s">
        <v>184</v>
      </c>
      <c r="F1885" s="16" t="s">
        <v>219</v>
      </c>
      <c r="G1885" s="16" t="s">
        <v>222</v>
      </c>
      <c r="H1885" s="16" t="s">
        <v>220</v>
      </c>
      <c r="I1885" s="16" t="s">
        <v>220</v>
      </c>
    </row>
    <row r="1886" ht="242.25" customHeight="1">
      <c r="A1886" s="32" t="b">
        <v>0</v>
      </c>
      <c r="B1886" s="32" t="str">
        <f>IMAGE("https://gymvisual.com/1234-catalog_default/3-4-sit-up.jpg",4,500,500)</f>
        <v/>
      </c>
      <c r="C1886" s="30">
        <v>1885.0</v>
      </c>
      <c r="D1886" s="16" t="s">
        <v>2487</v>
      </c>
      <c r="E1886" s="16" t="s">
        <v>184</v>
      </c>
      <c r="F1886" s="16" t="s">
        <v>228</v>
      </c>
      <c r="G1886" s="16" t="s">
        <v>222</v>
      </c>
      <c r="H1886" s="16" t="s">
        <v>229</v>
      </c>
      <c r="I1886" s="16" t="s">
        <v>626</v>
      </c>
    </row>
    <row r="1887" ht="242.25" customHeight="1">
      <c r="A1887" s="32" t="b">
        <v>0</v>
      </c>
      <c r="B1887" s="32" t="str">
        <f>IMAGE("https://gymvisual.com/9625-catalog_default/dumbbell-seated-shoulder-press-female.jpg",4,500,500)</f>
        <v/>
      </c>
      <c r="C1887" s="30">
        <v>1886.0</v>
      </c>
      <c r="D1887" s="16" t="s">
        <v>2488</v>
      </c>
      <c r="E1887" s="16" t="s">
        <v>184</v>
      </c>
      <c r="F1887" s="16" t="s">
        <v>228</v>
      </c>
      <c r="G1887" s="16" t="s">
        <v>222</v>
      </c>
      <c r="H1887" s="16" t="s">
        <v>229</v>
      </c>
      <c r="I1887" s="16" t="s">
        <v>230</v>
      </c>
    </row>
    <row r="1888" ht="242.25" customHeight="1">
      <c r="A1888" s="32" t="b">
        <v>0</v>
      </c>
      <c r="B1888" s="32" t="str">
        <f>IMAGE("https://gymvisual.com/1231-catalog_default/3-4-sit-up.jpg",4,500,500)</f>
        <v/>
      </c>
      <c r="C1888" s="30">
        <v>1887.0</v>
      </c>
      <c r="D1888" s="16" t="s">
        <v>2489</v>
      </c>
      <c r="E1888" s="16" t="s">
        <v>184</v>
      </c>
      <c r="F1888" s="16" t="s">
        <v>228</v>
      </c>
      <c r="G1888" s="16" t="s">
        <v>222</v>
      </c>
      <c r="H1888" s="16" t="s">
        <v>229</v>
      </c>
      <c r="I1888" s="16" t="s">
        <v>1334</v>
      </c>
    </row>
    <row r="1889" ht="242.25" customHeight="1">
      <c r="A1889" s="32" t="b">
        <v>0</v>
      </c>
      <c r="B1889" s="32" t="str">
        <f>IMAGE("https://gymvisual.com/11330-catalog_default/dumbbell-seated-shoulder-press-parallel-grip-female.jpg",4,500,500)</f>
        <v/>
      </c>
      <c r="C1889" s="30">
        <v>1888.0</v>
      </c>
      <c r="D1889" s="16" t="s">
        <v>2490</v>
      </c>
      <c r="E1889" s="16" t="s">
        <v>184</v>
      </c>
      <c r="F1889" s="16" t="s">
        <v>228</v>
      </c>
      <c r="G1889" s="16" t="s">
        <v>222</v>
      </c>
      <c r="H1889" s="16" t="s">
        <v>220</v>
      </c>
      <c r="I1889" s="16" t="s">
        <v>220</v>
      </c>
    </row>
    <row r="1890" ht="242.25" customHeight="1">
      <c r="A1890" s="32" t="b">
        <v>0</v>
      </c>
      <c r="B1890" s="32" t="str">
        <f>IMAGE("https://gymvisual.com/8827-catalog_default/dumbbell-seated-triceps-extension.jpg",4,500,500)</f>
        <v/>
      </c>
      <c r="C1890" s="30">
        <v>1889.0</v>
      </c>
      <c r="D1890" s="16" t="s">
        <v>2491</v>
      </c>
      <c r="E1890" s="16" t="s">
        <v>184</v>
      </c>
      <c r="F1890" s="16" t="s">
        <v>219</v>
      </c>
      <c r="G1890" s="16" t="s">
        <v>222</v>
      </c>
      <c r="H1890" s="16" t="s">
        <v>223</v>
      </c>
      <c r="I1890" s="16" t="s">
        <v>220</v>
      </c>
    </row>
    <row r="1891" ht="242.25" customHeight="1">
      <c r="A1891" s="32" t="b">
        <v>0</v>
      </c>
      <c r="B1891" s="32" t="str">
        <f>IMAGE("https://gymvisual.com/20670-catalog_default/dumbbell-seated-triceps-extension-female.jpg",4,500,500)</f>
        <v/>
      </c>
      <c r="C1891" s="30">
        <v>1890.0</v>
      </c>
      <c r="D1891" s="16" t="s">
        <v>2492</v>
      </c>
      <c r="E1891" s="16" t="s">
        <v>184</v>
      </c>
      <c r="F1891" s="16" t="s">
        <v>219</v>
      </c>
      <c r="G1891" s="16" t="s">
        <v>222</v>
      </c>
      <c r="H1891" s="16" t="s">
        <v>223</v>
      </c>
      <c r="I1891" s="16" t="s">
        <v>220</v>
      </c>
    </row>
    <row r="1892" ht="242.25" customHeight="1">
      <c r="A1892" s="32" t="b">
        <v>0</v>
      </c>
      <c r="B1892" s="32" t="str">
        <f>IMAGE("https://gymvisual.com/19598-catalog_default/dumbbell-seated-tuck-crunch-on-floor.jpg",4,500,500)</f>
        <v/>
      </c>
      <c r="C1892" s="30">
        <v>1891.0</v>
      </c>
      <c r="D1892" s="16" t="s">
        <v>2493</v>
      </c>
      <c r="E1892" s="16" t="s">
        <v>184</v>
      </c>
      <c r="F1892" s="16" t="s">
        <v>254</v>
      </c>
      <c r="G1892" s="16" t="s">
        <v>222</v>
      </c>
      <c r="H1892" s="16" t="s">
        <v>220</v>
      </c>
      <c r="I1892" s="16" t="s">
        <v>220</v>
      </c>
    </row>
    <row r="1893" ht="242.25" customHeight="1">
      <c r="A1893" s="32" t="b">
        <v>0</v>
      </c>
      <c r="B1893" s="32" t="str">
        <f>IMAGE("https://gymvisual.com/19602-catalog_default/dumbbell-seated-tuck-twisting-crunch-on-floor.jpg",4,500,500)</f>
        <v/>
      </c>
      <c r="C1893" s="30">
        <v>1892.0</v>
      </c>
      <c r="D1893" s="16" t="s">
        <v>2494</v>
      </c>
      <c r="E1893" s="16" t="s">
        <v>184</v>
      </c>
      <c r="F1893" s="16" t="s">
        <v>254</v>
      </c>
      <c r="G1893" s="16" t="s">
        <v>222</v>
      </c>
      <c r="H1893" s="16" t="s">
        <v>220</v>
      </c>
      <c r="I1893" s="16" t="s">
        <v>220</v>
      </c>
    </row>
    <row r="1894" ht="242.25" customHeight="1">
      <c r="A1894" s="32" t="b">
        <v>0</v>
      </c>
      <c r="B1894" s="32" t="str">
        <f>IMAGE("https://gymvisual.com/17298-catalog_default/dumbbell-seated-upright-alternate-squeeze-press.jpg",4,500,500)</f>
        <v/>
      </c>
      <c r="C1894" s="30">
        <v>1893.0</v>
      </c>
      <c r="D1894" s="16" t="s">
        <v>2495</v>
      </c>
      <c r="E1894" s="16" t="s">
        <v>184</v>
      </c>
      <c r="F1894" s="16" t="s">
        <v>234</v>
      </c>
      <c r="G1894" s="16" t="s">
        <v>222</v>
      </c>
      <c r="H1894" s="16" t="s">
        <v>472</v>
      </c>
      <c r="I1894" s="16" t="s">
        <v>230</v>
      </c>
    </row>
    <row r="1895" ht="242.25" customHeight="1">
      <c r="A1895" s="32" t="b">
        <v>0</v>
      </c>
      <c r="B1895" s="32" t="str">
        <f>IMAGE("https://gymvisual.com/17921-catalog_default/dumbbell-seated-zottman-curl-male.jpg",4,500,500)</f>
        <v/>
      </c>
      <c r="C1895" s="30">
        <v>1894.0</v>
      </c>
      <c r="D1895" s="16" t="s">
        <v>2496</v>
      </c>
      <c r="E1895" s="16" t="s">
        <v>184</v>
      </c>
      <c r="F1895" s="16" t="s">
        <v>219</v>
      </c>
      <c r="G1895" s="16" t="s">
        <v>222</v>
      </c>
      <c r="H1895" s="16" t="s">
        <v>220</v>
      </c>
      <c r="I1895" s="16" t="s">
        <v>220</v>
      </c>
    </row>
    <row r="1896" ht="242.25" customHeight="1">
      <c r="A1896" s="32" t="b">
        <v>0</v>
      </c>
      <c r="B1896" s="32" t="str">
        <f>IMAGE("https://gymvisual.com/24099-catalog_default/dumbbell-shoulder-internal-rotation-at-90-abduction.jpg",4,500,500)</f>
        <v/>
      </c>
      <c r="C1896" s="30">
        <v>1895.0</v>
      </c>
      <c r="D1896" s="16" t="s">
        <v>2497</v>
      </c>
      <c r="E1896" s="16" t="s">
        <v>184</v>
      </c>
      <c r="F1896" s="16" t="s">
        <v>192</v>
      </c>
      <c r="G1896" s="16" t="s">
        <v>222</v>
      </c>
      <c r="H1896" s="16" t="s">
        <v>220</v>
      </c>
      <c r="I1896" s="16" t="s">
        <v>220</v>
      </c>
    </row>
    <row r="1897" ht="242.25" customHeight="1">
      <c r="A1897" s="32" t="b">
        <v>0</v>
      </c>
      <c r="B1897" s="32" t="str">
        <f>IMAGE("https://gymvisual.com/10070-catalog_default/3-4-sit-up.jpg",4,500,500)</f>
        <v/>
      </c>
      <c r="C1897" s="30">
        <v>1896.0</v>
      </c>
      <c r="D1897" s="16" t="s">
        <v>2498</v>
      </c>
      <c r="E1897" s="16" t="s">
        <v>184</v>
      </c>
      <c r="F1897" s="16" t="s">
        <v>192</v>
      </c>
      <c r="G1897" s="16" t="s">
        <v>222</v>
      </c>
      <c r="H1897" s="16" t="s">
        <v>238</v>
      </c>
      <c r="I1897" s="16" t="s">
        <v>1621</v>
      </c>
    </row>
    <row r="1898" ht="242.25" customHeight="1">
      <c r="A1898" s="32" t="b">
        <v>0</v>
      </c>
      <c r="B1898" s="32" t="str">
        <f>IMAGE("https://gymvisual.com/11339-catalog_default/dumbbell-shrug-female.jpg",4,500,500)</f>
        <v/>
      </c>
      <c r="C1898" s="30">
        <v>1897.0</v>
      </c>
      <c r="D1898" s="16" t="s">
        <v>2499</v>
      </c>
      <c r="E1898" s="16" t="s">
        <v>184</v>
      </c>
      <c r="F1898" s="16" t="s">
        <v>192</v>
      </c>
      <c r="G1898" s="16" t="s">
        <v>222</v>
      </c>
      <c r="H1898" s="16" t="s">
        <v>238</v>
      </c>
      <c r="I1898" s="16" t="s">
        <v>618</v>
      </c>
    </row>
    <row r="1899" ht="242.25" customHeight="1">
      <c r="A1899" s="32" t="b">
        <v>0</v>
      </c>
      <c r="B1899" s="32" t="str">
        <f>IMAGE("https://gymvisual.com/22253-catalog_default/dumbbell-side-bench-squat.jpg",4,500,500)</f>
        <v/>
      </c>
      <c r="C1899" s="30">
        <v>1898.0</v>
      </c>
      <c r="D1899" s="16" t="s">
        <v>2500</v>
      </c>
      <c r="E1899" s="16" t="s">
        <v>184</v>
      </c>
      <c r="F1899" s="16" t="s">
        <v>285</v>
      </c>
      <c r="G1899" s="16" t="s">
        <v>222</v>
      </c>
      <c r="H1899" s="16" t="s">
        <v>220</v>
      </c>
      <c r="I1899" s="16" t="s">
        <v>220</v>
      </c>
    </row>
    <row r="1900" ht="242.25" customHeight="1">
      <c r="A1900" s="32" t="b">
        <v>0</v>
      </c>
      <c r="B1900" s="32" t="str">
        <f>IMAGE("https://gymvisual.com/25723-catalog_default/3-4-sit-up.jpg",4,500,500)</f>
        <v/>
      </c>
      <c r="C1900" s="30">
        <v>1899.0</v>
      </c>
      <c r="D1900" s="16" t="s">
        <v>2501</v>
      </c>
      <c r="E1900" s="16" t="s">
        <v>184</v>
      </c>
      <c r="F1900" s="16" t="s">
        <v>254</v>
      </c>
      <c r="G1900" s="16" t="s">
        <v>222</v>
      </c>
      <c r="H1900" s="16" t="s">
        <v>257</v>
      </c>
      <c r="I1900" s="16" t="s">
        <v>220</v>
      </c>
    </row>
    <row r="1901" ht="242.25" customHeight="1">
      <c r="A1901" s="32" t="b">
        <v>0</v>
      </c>
      <c r="B1901" s="32" t="str">
        <f>IMAGE("https://gymvisual.com/10918-catalog_default/dumbbell-side-bend-female.jpg",4,500,500)</f>
        <v/>
      </c>
      <c r="C1901" s="30">
        <v>1900.0</v>
      </c>
      <c r="D1901" s="16" t="s">
        <v>2502</v>
      </c>
      <c r="E1901" s="16" t="s">
        <v>184</v>
      </c>
      <c r="F1901" s="16" t="s">
        <v>254</v>
      </c>
      <c r="G1901" s="16" t="s">
        <v>222</v>
      </c>
      <c r="H1901" s="16" t="s">
        <v>257</v>
      </c>
      <c r="I1901" s="16" t="s">
        <v>271</v>
      </c>
    </row>
    <row r="1902" ht="242.25" customHeight="1">
      <c r="A1902" s="32" t="b">
        <v>0</v>
      </c>
      <c r="B1902" s="32" t="str">
        <f>IMAGE("https://gymvisual.com/18742-catalog_default/dumbbell-side-bend-version-2.jpg",4,500,500)</f>
        <v/>
      </c>
      <c r="C1902" s="30">
        <v>1901.0</v>
      </c>
      <c r="D1902" s="16" t="s">
        <v>2503</v>
      </c>
      <c r="E1902" s="16" t="s">
        <v>184</v>
      </c>
      <c r="F1902" s="16" t="s">
        <v>254</v>
      </c>
      <c r="G1902" s="16" t="s">
        <v>222</v>
      </c>
      <c r="H1902" s="16" t="s">
        <v>220</v>
      </c>
      <c r="I1902" s="16" t="s">
        <v>220</v>
      </c>
    </row>
    <row r="1903" ht="242.25" customHeight="1">
      <c r="A1903" s="32" t="b">
        <v>0</v>
      </c>
      <c r="B1903" s="32" t="str">
        <f>IMAGE("https://gymvisual.com/13623-catalog_default/dumbbell-side-bridge.jpg",4,500,500)</f>
        <v/>
      </c>
      <c r="C1903" s="30">
        <v>1902.0</v>
      </c>
      <c r="D1903" s="16" t="s">
        <v>2504</v>
      </c>
      <c r="E1903" s="16" t="s">
        <v>184</v>
      </c>
      <c r="F1903" s="16" t="s">
        <v>254</v>
      </c>
      <c r="G1903" s="16" t="s">
        <v>222</v>
      </c>
      <c r="H1903" s="16" t="s">
        <v>2505</v>
      </c>
      <c r="I1903" s="16" t="s">
        <v>220</v>
      </c>
    </row>
    <row r="1904" ht="242.25" customHeight="1">
      <c r="A1904" s="32" t="b">
        <v>0</v>
      </c>
      <c r="B1904" s="32" t="str">
        <f>IMAGE("https://gymvisual.com/10926-catalog_default/dumbbell-side-bridge-female.jpg",4,500,500)</f>
        <v/>
      </c>
      <c r="C1904" s="30">
        <v>1903.0</v>
      </c>
      <c r="D1904" s="16" t="s">
        <v>2506</v>
      </c>
      <c r="E1904" s="16" t="s">
        <v>184</v>
      </c>
      <c r="F1904" s="16" t="s">
        <v>254</v>
      </c>
      <c r="G1904" s="16" t="s">
        <v>222</v>
      </c>
      <c r="H1904" s="16" t="s">
        <v>257</v>
      </c>
      <c r="I1904" s="16" t="s">
        <v>2507</v>
      </c>
    </row>
    <row r="1905" ht="242.25" customHeight="1">
      <c r="A1905" s="32" t="b">
        <v>0</v>
      </c>
      <c r="B1905" s="32" t="str">
        <f>IMAGE("https://gymvisual.com/19021-catalog_default/dumbbell-side-bridge-with-bent-leg-male.jpg",4,500,500)</f>
        <v/>
      </c>
      <c r="C1905" s="30">
        <v>1904.0</v>
      </c>
      <c r="D1905" s="16" t="s">
        <v>2508</v>
      </c>
      <c r="E1905" s="16" t="s">
        <v>184</v>
      </c>
      <c r="F1905" s="16" t="s">
        <v>254</v>
      </c>
      <c r="G1905" s="16" t="s">
        <v>222</v>
      </c>
      <c r="H1905" s="16" t="s">
        <v>257</v>
      </c>
      <c r="I1905" s="16" t="s">
        <v>220</v>
      </c>
    </row>
    <row r="1906" ht="242.25" customHeight="1">
      <c r="A1906" s="32" t="b">
        <v>0</v>
      </c>
      <c r="B1906" s="32" t="str">
        <f>IMAGE("https://gymvisual.com/4583-catalog_default/dumbbell-side-lunge.jpg",4,500,500)</f>
        <v/>
      </c>
      <c r="C1906" s="30">
        <v>1905.0</v>
      </c>
      <c r="D1906" s="16" t="s">
        <v>2509</v>
      </c>
      <c r="E1906" s="16" t="s">
        <v>184</v>
      </c>
      <c r="F1906" s="16" t="s">
        <v>185</v>
      </c>
      <c r="G1906" s="16" t="s">
        <v>222</v>
      </c>
      <c r="H1906" s="16" t="s">
        <v>187</v>
      </c>
      <c r="I1906" s="16" t="s">
        <v>2510</v>
      </c>
    </row>
    <row r="1907" ht="242.25" customHeight="1">
      <c r="A1907" s="32" t="b">
        <v>0</v>
      </c>
      <c r="B1907" s="32" t="str">
        <f>IMAGE("https://gymvisual.com/13918-catalog_default/dumbbell-side-lunge-version-3.jpg",4,500,500)</f>
        <v/>
      </c>
      <c r="C1907" s="30">
        <v>1906.0</v>
      </c>
      <c r="D1907" s="16" t="s">
        <v>2511</v>
      </c>
      <c r="E1907" s="16" t="s">
        <v>184</v>
      </c>
      <c r="F1907" s="16" t="s">
        <v>294</v>
      </c>
      <c r="G1907" s="16" t="s">
        <v>222</v>
      </c>
      <c r="H1907" s="16" t="s">
        <v>295</v>
      </c>
      <c r="I1907" s="16" t="s">
        <v>2512</v>
      </c>
    </row>
    <row r="1908" ht="242.25" customHeight="1">
      <c r="A1908" s="32" t="b">
        <v>0</v>
      </c>
      <c r="B1908" s="32" t="str">
        <f>IMAGE("https://gymvisual.com/13916-catalog_default/dumbbell-side-lunge-version-3-female.jpg",4,500,500)</f>
        <v/>
      </c>
      <c r="C1908" s="30">
        <v>1907.0</v>
      </c>
      <c r="D1908" s="16" t="s">
        <v>2513</v>
      </c>
      <c r="E1908" s="16" t="s">
        <v>184</v>
      </c>
      <c r="F1908" s="16" t="s">
        <v>294</v>
      </c>
      <c r="G1908" s="16" t="s">
        <v>222</v>
      </c>
      <c r="H1908" s="16" t="s">
        <v>295</v>
      </c>
      <c r="I1908" s="16" t="s">
        <v>2512</v>
      </c>
    </row>
    <row r="1909" ht="242.25" customHeight="1">
      <c r="A1909" s="32" t="b">
        <v>0</v>
      </c>
      <c r="B1909" s="32" t="str">
        <f>IMAGE("https://gymvisual.com/22255-catalog_default/dumbbell-side-lunge-with-shoulder-press.jpg",4,500,500)</f>
        <v/>
      </c>
      <c r="C1909" s="30">
        <v>1908.0</v>
      </c>
      <c r="D1909" s="16" t="s">
        <v>2514</v>
      </c>
      <c r="E1909" s="16" t="s">
        <v>184</v>
      </c>
      <c r="F1909" s="16" t="s">
        <v>285</v>
      </c>
      <c r="G1909" s="16" t="s">
        <v>222</v>
      </c>
      <c r="H1909" s="16" t="s">
        <v>220</v>
      </c>
      <c r="I1909" s="16" t="s">
        <v>220</v>
      </c>
    </row>
    <row r="1910" ht="242.25" customHeight="1">
      <c r="A1910" s="32" t="b">
        <v>0</v>
      </c>
      <c r="B1910" s="32" t="str">
        <f>IMAGE("https://gymvisual.com/25661-catalog_default/dumbbell-side-lying-external-rotation-on-a-bench-male.jpg",4,500,500)</f>
        <v/>
      </c>
      <c r="C1910" s="30">
        <v>1909.0</v>
      </c>
      <c r="D1910" s="16" t="s">
        <v>2515</v>
      </c>
      <c r="E1910" s="16" t="s">
        <v>184</v>
      </c>
      <c r="F1910" s="16" t="s">
        <v>192</v>
      </c>
      <c r="G1910" s="16" t="s">
        <v>222</v>
      </c>
      <c r="H1910" s="16" t="s">
        <v>220</v>
      </c>
      <c r="I1910" s="16" t="s">
        <v>220</v>
      </c>
    </row>
    <row r="1911" ht="242.25" customHeight="1">
      <c r="A1911" s="32" t="b">
        <v>0</v>
      </c>
      <c r="B1911" s="32" t="str">
        <f>IMAGE("https://gymvisual.com/1243-catalog_default/3-4-sit-up.jpg",4,500,500)</f>
        <v/>
      </c>
      <c r="C1911" s="30">
        <v>1910.0</v>
      </c>
      <c r="D1911" s="16" t="s">
        <v>2516</v>
      </c>
      <c r="E1911" s="16" t="s">
        <v>184</v>
      </c>
      <c r="F1911" s="16" t="s">
        <v>228</v>
      </c>
      <c r="G1911" s="16" t="s">
        <v>222</v>
      </c>
      <c r="H1911" s="16" t="s">
        <v>544</v>
      </c>
      <c r="I1911" s="16" t="s">
        <v>2517</v>
      </c>
    </row>
    <row r="1912" ht="242.25" customHeight="1">
      <c r="A1912" s="32" t="b">
        <v>0</v>
      </c>
      <c r="B1912" s="32" t="str">
        <f>IMAGE("https://gymvisual.com/14448-catalog_default/dumbbell-side-plank-with-rear-fly.jpg",4,500,500)</f>
        <v/>
      </c>
      <c r="C1912" s="30">
        <v>1911.0</v>
      </c>
      <c r="D1912" s="16" t="s">
        <v>2518</v>
      </c>
      <c r="E1912" s="16" t="s">
        <v>184</v>
      </c>
      <c r="F1912" s="16" t="s">
        <v>254</v>
      </c>
      <c r="G1912" s="16" t="s">
        <v>222</v>
      </c>
      <c r="H1912" s="16" t="s">
        <v>2519</v>
      </c>
      <c r="I1912" s="16" t="s">
        <v>2520</v>
      </c>
    </row>
    <row r="1913" ht="242.25" customHeight="1">
      <c r="A1913" s="32" t="b">
        <v>0</v>
      </c>
      <c r="B1913" s="32" t="str">
        <f>IMAGE("https://gymvisual.com/20700-catalog_default/dumbbell-side-squat.jpg",4,500,500)</f>
        <v/>
      </c>
      <c r="C1913" s="30">
        <v>1912.0</v>
      </c>
      <c r="D1913" s="16" t="s">
        <v>2521</v>
      </c>
      <c r="E1913" s="16" t="s">
        <v>184</v>
      </c>
      <c r="F1913" s="16" t="s">
        <v>285</v>
      </c>
      <c r="G1913" s="16" t="s">
        <v>222</v>
      </c>
      <c r="H1913" s="16" t="s">
        <v>295</v>
      </c>
      <c r="I1913" s="16" t="s">
        <v>2522</v>
      </c>
    </row>
    <row r="1914" ht="242.25" customHeight="1">
      <c r="A1914" s="32" t="b">
        <v>0</v>
      </c>
      <c r="B1914" s="32" t="str">
        <f>IMAGE("https://gymvisual.com/23903-catalog_default/dumbbell-single-arm-alternate-decline-bench-press.jpg",4,500,500)</f>
        <v/>
      </c>
      <c r="C1914" s="30">
        <v>1913.0</v>
      </c>
      <c r="D1914" s="16" t="s">
        <v>2523</v>
      </c>
      <c r="E1914" s="16" t="s">
        <v>184</v>
      </c>
      <c r="F1914" s="16" t="s">
        <v>234</v>
      </c>
      <c r="G1914" s="16" t="s">
        <v>222</v>
      </c>
      <c r="H1914" s="16" t="s">
        <v>347</v>
      </c>
      <c r="I1914" s="16" t="s">
        <v>382</v>
      </c>
    </row>
    <row r="1915" ht="242.25" customHeight="1">
      <c r="A1915" s="32" t="b">
        <v>0</v>
      </c>
      <c r="B1915" s="32" t="str">
        <f>IMAGE("https://gymvisual.com/23905-catalog_default/dumbbell-single-arm-alternate-fly.jpg",4,500,500)</f>
        <v/>
      </c>
      <c r="C1915" s="30">
        <v>1914.0</v>
      </c>
      <c r="D1915" s="16" t="s">
        <v>2524</v>
      </c>
      <c r="E1915" s="16" t="s">
        <v>184</v>
      </c>
      <c r="F1915" s="16" t="s">
        <v>234</v>
      </c>
      <c r="G1915" s="16" t="s">
        <v>222</v>
      </c>
      <c r="H1915" s="16" t="s">
        <v>235</v>
      </c>
      <c r="I1915" s="16" t="s">
        <v>236</v>
      </c>
    </row>
    <row r="1916" ht="242.25" customHeight="1">
      <c r="A1916" s="32" t="b">
        <v>0</v>
      </c>
      <c r="B1916" s="32" t="str">
        <f>IMAGE("https://gymvisual.com/22359-catalog_default/dumbbell-single-arm-bent-over-row.jpg",4,500,500)</f>
        <v/>
      </c>
      <c r="C1916" s="30">
        <v>1915.0</v>
      </c>
      <c r="D1916" s="16" t="s">
        <v>2525</v>
      </c>
      <c r="E1916" s="16" t="s">
        <v>184</v>
      </c>
      <c r="F1916" s="16" t="s">
        <v>192</v>
      </c>
      <c r="G1916" s="16" t="s">
        <v>222</v>
      </c>
      <c r="H1916" s="16" t="s">
        <v>220</v>
      </c>
      <c r="I1916" s="16" t="s">
        <v>220</v>
      </c>
    </row>
    <row r="1917" ht="242.25" customHeight="1">
      <c r="A1917" s="32" t="b">
        <v>0</v>
      </c>
      <c r="B1917" s="32" t="str">
        <f>IMAGE("https://gymvisual.com/23895-catalog_default/dumbbell-single-arm-floor-press.jpg",4,500,500)</f>
        <v/>
      </c>
      <c r="C1917" s="30">
        <v>1916.0</v>
      </c>
      <c r="D1917" s="16" t="s">
        <v>2526</v>
      </c>
      <c r="E1917" s="16" t="s">
        <v>184</v>
      </c>
      <c r="F1917" s="16" t="s">
        <v>234</v>
      </c>
      <c r="G1917" s="16" t="s">
        <v>222</v>
      </c>
      <c r="H1917" s="16" t="s">
        <v>347</v>
      </c>
      <c r="I1917" s="16" t="s">
        <v>382</v>
      </c>
    </row>
    <row r="1918" ht="242.25" customHeight="1">
      <c r="A1918" s="32" t="b">
        <v>0</v>
      </c>
      <c r="B1918" s="32" t="str">
        <f>IMAGE("https://gymvisual.com/26373-catalog_default/dumbbell-single-arm-neutral-grip-front-raise.jpg",4,500,500)</f>
        <v/>
      </c>
      <c r="C1918" s="30">
        <v>1917.0</v>
      </c>
      <c r="D1918" s="16" t="s">
        <v>2527</v>
      </c>
      <c r="E1918" s="16" t="s">
        <v>184</v>
      </c>
      <c r="F1918" s="16" t="s">
        <v>228</v>
      </c>
      <c r="G1918" s="16" t="s">
        <v>222</v>
      </c>
      <c r="H1918" s="16" t="s">
        <v>220</v>
      </c>
      <c r="I1918" s="16" t="s">
        <v>220</v>
      </c>
    </row>
    <row r="1919" ht="242.25" customHeight="1">
      <c r="A1919" s="32" t="b">
        <v>0</v>
      </c>
      <c r="B1919" s="32" t="str">
        <f>IMAGE("https://gymvisual.com/14108-catalog_default/dumbbell-single-arm-overhead-carry.jpg",4,500,500)</f>
        <v/>
      </c>
      <c r="C1919" s="30">
        <v>1918.0</v>
      </c>
      <c r="D1919" s="16" t="s">
        <v>2528</v>
      </c>
      <c r="E1919" s="16" t="s">
        <v>184</v>
      </c>
      <c r="F1919" s="16" t="s">
        <v>1129</v>
      </c>
      <c r="G1919" s="16" t="s">
        <v>222</v>
      </c>
      <c r="H1919" s="16" t="s">
        <v>220</v>
      </c>
      <c r="I1919" s="16" t="s">
        <v>220</v>
      </c>
    </row>
    <row r="1920" ht="242.25" customHeight="1">
      <c r="A1920" s="32" t="b">
        <v>0</v>
      </c>
      <c r="B1920" s="32" t="str">
        <f>IMAGE("https://gymvisual.com/23899-catalog_default/dumbbell-single-arm-overhead-lunge.jpg",4,500,500)</f>
        <v/>
      </c>
      <c r="C1920" s="30">
        <v>1919.0</v>
      </c>
      <c r="D1920" s="16" t="s">
        <v>2529</v>
      </c>
      <c r="E1920" s="16" t="s">
        <v>184</v>
      </c>
      <c r="F1920" s="16" t="s">
        <v>285</v>
      </c>
      <c r="G1920" s="16" t="s">
        <v>222</v>
      </c>
      <c r="H1920" s="16" t="s">
        <v>189</v>
      </c>
      <c r="I1920" s="16" t="s">
        <v>190</v>
      </c>
    </row>
    <row r="1921" ht="242.25" customHeight="1">
      <c r="A1921" s="32" t="b">
        <v>0</v>
      </c>
      <c r="B1921" s="32" t="str">
        <f>IMAGE("https://gymvisual.com/13437-catalog_default/dumbbell-single-arm-preacher-curl-female.jpg",4,500,500)</f>
        <v/>
      </c>
      <c r="C1921" s="30">
        <v>1920.0</v>
      </c>
      <c r="D1921" s="16" t="s">
        <v>2530</v>
      </c>
      <c r="E1921" s="16" t="s">
        <v>184</v>
      </c>
      <c r="F1921" s="16" t="s">
        <v>219</v>
      </c>
      <c r="G1921" s="16" t="s">
        <v>222</v>
      </c>
      <c r="H1921" s="16" t="s">
        <v>232</v>
      </c>
      <c r="I1921" s="16" t="s">
        <v>233</v>
      </c>
    </row>
    <row r="1922" ht="242.25" customHeight="1">
      <c r="A1922" s="32" t="b">
        <v>0</v>
      </c>
      <c r="B1922" s="32" t="str">
        <f>IMAGE("https://gymvisual.com/23893-catalog_default/dumbbell-single-arm-underhand-front-raise.jpg",4,500,500)</f>
        <v/>
      </c>
      <c r="C1922" s="30">
        <v>1921.0</v>
      </c>
      <c r="D1922" s="16" t="s">
        <v>2531</v>
      </c>
      <c r="E1922" s="16" t="s">
        <v>184</v>
      </c>
      <c r="F1922" s="16" t="s">
        <v>228</v>
      </c>
      <c r="G1922" s="16" t="s">
        <v>222</v>
      </c>
      <c r="H1922" s="16" t="s">
        <v>229</v>
      </c>
      <c r="I1922" s="16" t="s">
        <v>244</v>
      </c>
    </row>
    <row r="1923" ht="242.25" customHeight="1">
      <c r="A1923" s="32" t="b">
        <v>0</v>
      </c>
      <c r="B1923" s="32" t="str">
        <f>IMAGE("https://gymvisual.com/24041-catalog_default/3-4-sit-up.jpg",4,500,500)</f>
        <v/>
      </c>
      <c r="C1923" s="30">
        <v>1922.0</v>
      </c>
      <c r="D1923" s="16" t="s">
        <v>2532</v>
      </c>
      <c r="E1923" s="16" t="s">
        <v>184</v>
      </c>
      <c r="F1923" s="16" t="s">
        <v>325</v>
      </c>
      <c r="G1923" s="16" t="s">
        <v>222</v>
      </c>
      <c r="H1923" s="16" t="s">
        <v>368</v>
      </c>
      <c r="I1923" s="16" t="s">
        <v>463</v>
      </c>
    </row>
    <row r="1924" ht="242.25" customHeight="1">
      <c r="A1924" s="32" t="b">
        <v>0</v>
      </c>
      <c r="B1924" s="32" t="str">
        <f>IMAGE("https://gymvisual.com/11402-catalog_default/dumbbell-single-leg-calf-raise-female.jpg",4,500,500)</f>
        <v/>
      </c>
      <c r="C1924" s="30">
        <v>1923.0</v>
      </c>
      <c r="D1924" s="16" t="s">
        <v>2533</v>
      </c>
      <c r="E1924" s="16" t="s">
        <v>184</v>
      </c>
      <c r="F1924" s="16" t="s">
        <v>325</v>
      </c>
      <c r="G1924" s="16" t="s">
        <v>222</v>
      </c>
      <c r="H1924" s="16" t="s">
        <v>220</v>
      </c>
      <c r="I1924" s="16" t="s">
        <v>220</v>
      </c>
    </row>
    <row r="1925" ht="242.25" customHeight="1">
      <c r="A1925" s="32" t="b">
        <v>0</v>
      </c>
      <c r="B1925" s="32" t="str">
        <f>IMAGE("https://gymvisual.com/17368-catalog_default/illustration.jpg",4,500,500)</f>
        <v/>
      </c>
      <c r="C1925" s="30">
        <v>1924.0</v>
      </c>
      <c r="D1925" s="16" t="s">
        <v>2534</v>
      </c>
      <c r="E1925" s="16" t="s">
        <v>184</v>
      </c>
      <c r="F1925" s="16" t="s">
        <v>325</v>
      </c>
      <c r="G1925" s="16" t="s">
        <v>222</v>
      </c>
      <c r="H1925" s="16" t="s">
        <v>368</v>
      </c>
      <c r="I1925" s="16" t="s">
        <v>463</v>
      </c>
    </row>
    <row r="1926" ht="242.25" customHeight="1">
      <c r="A1926" s="32" t="b">
        <v>0</v>
      </c>
      <c r="B1926" s="32" t="str">
        <f>IMAGE("https://gymvisual.com/7519-catalog_default/dumbbell-single-leg-deadlift.jpg",4,500,500)</f>
        <v/>
      </c>
      <c r="C1926" s="30">
        <v>1925.0</v>
      </c>
      <c r="D1926" s="16" t="s">
        <v>2535</v>
      </c>
      <c r="E1926" s="16" t="s">
        <v>184</v>
      </c>
      <c r="F1926" s="16" t="s">
        <v>185</v>
      </c>
      <c r="G1926" s="16" t="s">
        <v>222</v>
      </c>
      <c r="H1926" s="16" t="s">
        <v>267</v>
      </c>
      <c r="I1926" s="16" t="s">
        <v>188</v>
      </c>
    </row>
    <row r="1927" ht="242.25" customHeight="1">
      <c r="A1927" s="32" t="b">
        <v>0</v>
      </c>
      <c r="B1927" s="32" t="str">
        <f>IMAGE("https://gymvisual.com/11435-catalog_default/dumbbell-single-leg-deadlift-female.jpg",4,500,500)</f>
        <v/>
      </c>
      <c r="C1927" s="30">
        <v>1926.0</v>
      </c>
      <c r="D1927" s="16" t="s">
        <v>2536</v>
      </c>
      <c r="E1927" s="16" t="s">
        <v>184</v>
      </c>
      <c r="F1927" s="16" t="s">
        <v>185</v>
      </c>
      <c r="G1927" s="16" t="s">
        <v>222</v>
      </c>
      <c r="H1927" s="16" t="s">
        <v>187</v>
      </c>
      <c r="I1927" s="16" t="s">
        <v>482</v>
      </c>
    </row>
    <row r="1928" ht="242.25" customHeight="1">
      <c r="A1928" s="32" t="b">
        <v>0</v>
      </c>
      <c r="B1928" s="32" t="str">
        <f>IMAGE("https://gymvisual.com/11969-catalog_default/dumbbell-single-leg-deadlift-with-stepbox-support.jpg",4,500,500)</f>
        <v/>
      </c>
      <c r="C1928" s="30">
        <v>1927.0</v>
      </c>
      <c r="D1928" s="16" t="s">
        <v>2537</v>
      </c>
      <c r="E1928" s="16" t="s">
        <v>184</v>
      </c>
      <c r="F1928" s="16" t="s">
        <v>185</v>
      </c>
      <c r="G1928" s="16" t="s">
        <v>222</v>
      </c>
      <c r="H1928" s="16" t="s">
        <v>220</v>
      </c>
      <c r="I1928" s="16" t="s">
        <v>220</v>
      </c>
    </row>
    <row r="1929" ht="242.25" customHeight="1">
      <c r="A1929" s="32" t="b">
        <v>0</v>
      </c>
      <c r="B1929" s="32" t="str">
        <f>IMAGE("https://gymvisual.com/11968-catalog_default/dumbbell-single-leg-deadlift-with-stepbox-support-female.jpg",4,500,500)</f>
        <v/>
      </c>
      <c r="C1929" s="30">
        <v>1928.0</v>
      </c>
      <c r="D1929" s="16" t="s">
        <v>2538</v>
      </c>
      <c r="E1929" s="16" t="s">
        <v>184</v>
      </c>
      <c r="F1929" s="16" t="s">
        <v>185</v>
      </c>
      <c r="G1929" s="16" t="s">
        <v>222</v>
      </c>
      <c r="H1929" s="16" t="s">
        <v>220</v>
      </c>
      <c r="I1929" s="16" t="s">
        <v>220</v>
      </c>
    </row>
    <row r="1930" ht="242.25" customHeight="1">
      <c r="A1930" s="32" t="b">
        <v>0</v>
      </c>
      <c r="B1930" s="32" t="str">
        <f>IMAGE("https://gymvisual.com/11827-catalog_default/dumbbell-single-leg-deadlift-with-wall-support-female.jpg",4,500,500)</f>
        <v/>
      </c>
      <c r="C1930" s="30">
        <v>1929.0</v>
      </c>
      <c r="D1930" s="16" t="s">
        <v>2539</v>
      </c>
      <c r="E1930" s="16" t="s">
        <v>184</v>
      </c>
      <c r="F1930" s="16" t="s">
        <v>185</v>
      </c>
      <c r="G1930" s="16" t="s">
        <v>222</v>
      </c>
      <c r="H1930" s="16" t="s">
        <v>220</v>
      </c>
      <c r="I1930" s="16" t="s">
        <v>220</v>
      </c>
    </row>
    <row r="1931" ht="242.25" customHeight="1">
      <c r="A1931" s="32" t="b">
        <v>0</v>
      </c>
      <c r="B1931" s="32" t="str">
        <f>IMAGE("https://gymvisual.com/22147-catalog_default/dumbbell-single-leg-glute-bridge.jpg",4,500,500)</f>
        <v/>
      </c>
      <c r="C1931" s="30">
        <v>1930.0</v>
      </c>
      <c r="D1931" s="16" t="s">
        <v>2540</v>
      </c>
      <c r="E1931" s="16" t="s">
        <v>184</v>
      </c>
      <c r="F1931" s="16" t="s">
        <v>185</v>
      </c>
      <c r="G1931" s="16" t="s">
        <v>222</v>
      </c>
      <c r="H1931" s="16" t="s">
        <v>187</v>
      </c>
      <c r="I1931" s="16" t="s">
        <v>854</v>
      </c>
    </row>
    <row r="1932" ht="242.25" customHeight="1">
      <c r="A1932" s="32" t="b">
        <v>0</v>
      </c>
      <c r="B1932" s="32" t="str">
        <f>IMAGE("https://gymvisual.com/22257-catalog_default/dumbbell-single-leg-hip-thrust.jpg",4,500,500)</f>
        <v/>
      </c>
      <c r="C1932" s="30">
        <v>1931.0</v>
      </c>
      <c r="D1932" s="16" t="s">
        <v>2541</v>
      </c>
      <c r="E1932" s="16" t="s">
        <v>184</v>
      </c>
      <c r="F1932" s="16" t="s">
        <v>185</v>
      </c>
      <c r="G1932" s="16" t="s">
        <v>222</v>
      </c>
      <c r="H1932" s="16" t="s">
        <v>220</v>
      </c>
      <c r="I1932" s="16" t="s">
        <v>220</v>
      </c>
    </row>
    <row r="1933" ht="242.25" customHeight="1">
      <c r="A1933" s="32" t="b">
        <v>0</v>
      </c>
      <c r="B1933" s="32" t="str">
        <f>IMAGE("https://gymvisual.com/26064-catalog_default/3-4-sit-up.jpg",4,500,500)</f>
        <v/>
      </c>
      <c r="C1933" s="30">
        <v>1932.0</v>
      </c>
      <c r="D1933" s="16" t="s">
        <v>2542</v>
      </c>
      <c r="E1933" s="16" t="s">
        <v>184</v>
      </c>
      <c r="F1933" s="16" t="s">
        <v>285</v>
      </c>
      <c r="G1933" s="16" t="s">
        <v>222</v>
      </c>
      <c r="H1933" s="16" t="s">
        <v>189</v>
      </c>
      <c r="I1933" s="16" t="s">
        <v>190</v>
      </c>
    </row>
    <row r="1934" ht="242.25" customHeight="1">
      <c r="A1934" s="32" t="b">
        <v>0</v>
      </c>
      <c r="B1934" s="32" t="str">
        <f>IMAGE("https://gymvisual.com/1252-catalog_default/3-4-sit-up.jpg",4,500,500)</f>
        <v/>
      </c>
      <c r="C1934" s="30">
        <v>1933.0</v>
      </c>
      <c r="D1934" s="16" t="s">
        <v>2543</v>
      </c>
      <c r="E1934" s="16" t="s">
        <v>184</v>
      </c>
      <c r="F1934" s="16" t="s">
        <v>185</v>
      </c>
      <c r="G1934" s="16" t="s">
        <v>222</v>
      </c>
      <c r="H1934" s="16" t="s">
        <v>189</v>
      </c>
      <c r="I1934" s="16" t="s">
        <v>190</v>
      </c>
    </row>
    <row r="1935" ht="242.25" customHeight="1">
      <c r="A1935" s="32" t="b">
        <v>0</v>
      </c>
      <c r="B1935" s="32" t="str">
        <f>IMAGE("https://gymvisual.com/14052-catalog_default/dumbbell-single-leg-squat-female.jpg",4,500,500)</f>
        <v/>
      </c>
      <c r="C1935" s="30">
        <v>1934.0</v>
      </c>
      <c r="D1935" s="16" t="s">
        <v>2544</v>
      </c>
      <c r="E1935" s="16" t="s">
        <v>184</v>
      </c>
      <c r="F1935" s="16" t="s">
        <v>294</v>
      </c>
      <c r="G1935" s="16" t="s">
        <v>222</v>
      </c>
      <c r="H1935" s="16" t="s">
        <v>189</v>
      </c>
      <c r="I1935" s="16" t="s">
        <v>190</v>
      </c>
    </row>
    <row r="1936" ht="242.25" customHeight="1">
      <c r="A1936" s="32" t="b">
        <v>0</v>
      </c>
      <c r="B1936" s="32" t="str">
        <f>IMAGE("https://gymvisual.com/16712-catalog_default/dumbbell-single-leg-squat-version-2-female.jpg",4,500,500)</f>
        <v/>
      </c>
      <c r="C1936" s="30">
        <v>1935.0</v>
      </c>
      <c r="D1936" s="16" t="s">
        <v>2545</v>
      </c>
      <c r="E1936" s="16" t="s">
        <v>184</v>
      </c>
      <c r="F1936" s="16" t="s">
        <v>294</v>
      </c>
      <c r="G1936" s="16" t="s">
        <v>222</v>
      </c>
      <c r="H1936" s="16" t="s">
        <v>189</v>
      </c>
      <c r="I1936" s="16" t="s">
        <v>190</v>
      </c>
    </row>
    <row r="1937" ht="242.25" customHeight="1">
      <c r="A1937" s="32" t="b">
        <v>0</v>
      </c>
      <c r="B1937" s="32" t="str">
        <f>IMAGE("https://gymvisual.com/16714-catalog_default/dumbbell-single-leg-squat-version-2-male.jpg",4,500,500)</f>
        <v/>
      </c>
      <c r="C1937" s="30">
        <v>1936.0</v>
      </c>
      <c r="D1937" s="16" t="s">
        <v>2546</v>
      </c>
      <c r="E1937" s="16" t="s">
        <v>184</v>
      </c>
      <c r="F1937" s="16" t="s">
        <v>294</v>
      </c>
      <c r="G1937" s="16" t="s">
        <v>222</v>
      </c>
      <c r="H1937" s="16" t="s">
        <v>220</v>
      </c>
      <c r="I1937" s="16" t="s">
        <v>220</v>
      </c>
    </row>
    <row r="1938" ht="242.25" customHeight="1">
      <c r="A1938" s="32" t="b">
        <v>0</v>
      </c>
      <c r="B1938" s="32" t="str">
        <f>IMAGE("https://gymvisual.com/12190-catalog_default/dumbbell-single-leg-step-up.jpg",4,500,500)</f>
        <v/>
      </c>
      <c r="C1938" s="30">
        <v>1937.0</v>
      </c>
      <c r="D1938" s="16" t="s">
        <v>2547</v>
      </c>
      <c r="E1938" s="16" t="s">
        <v>184</v>
      </c>
      <c r="F1938" s="16" t="s">
        <v>285</v>
      </c>
      <c r="G1938" s="16" t="s">
        <v>222</v>
      </c>
      <c r="H1938" s="16" t="s">
        <v>189</v>
      </c>
      <c r="I1938" s="16" t="s">
        <v>190</v>
      </c>
    </row>
    <row r="1939" ht="242.25" customHeight="1">
      <c r="A1939" s="32" t="b">
        <v>0</v>
      </c>
      <c r="B1939" s="32" t="str">
        <f>IMAGE("https://gymvisual.com/22349-catalog_default/dumbbell-single-leg-step-up-on-bench.jpg",4,500,500)</f>
        <v/>
      </c>
      <c r="C1939" s="30">
        <v>1938.0</v>
      </c>
      <c r="D1939" s="16" t="s">
        <v>2548</v>
      </c>
      <c r="E1939" s="16" t="s">
        <v>184</v>
      </c>
      <c r="F1939" s="16" t="s">
        <v>285</v>
      </c>
      <c r="G1939" s="16" t="s">
        <v>222</v>
      </c>
      <c r="H1939" s="16" t="s">
        <v>220</v>
      </c>
      <c r="I1939" s="16" t="s">
        <v>220</v>
      </c>
    </row>
    <row r="1940" ht="242.25" customHeight="1">
      <c r="A1940" s="32" t="b">
        <v>0</v>
      </c>
      <c r="B1940" s="32" t="str">
        <f>IMAGE("https://gymvisual.com/26076-catalog_default/dumbbell-single-power-clean.jpg",4,500,500)</f>
        <v/>
      </c>
      <c r="C1940" s="30">
        <v>1939.0</v>
      </c>
      <c r="D1940" s="16" t="s">
        <v>2549</v>
      </c>
      <c r="E1940" s="16" t="s">
        <v>184</v>
      </c>
      <c r="F1940" s="16" t="s">
        <v>764</v>
      </c>
      <c r="G1940" s="16" t="s">
        <v>222</v>
      </c>
      <c r="H1940" s="16" t="s">
        <v>220</v>
      </c>
      <c r="I1940" s="16" t="s">
        <v>220</v>
      </c>
    </row>
    <row r="1941" ht="242.25" customHeight="1">
      <c r="A1941" s="32" t="b">
        <v>0</v>
      </c>
      <c r="B1941" s="32" t="str">
        <f>IMAGE("https://gymvisual.com/17302-catalog_default/dumbbell-single-spider-curl-with-chest-support.jpg",4,500,500)</f>
        <v/>
      </c>
      <c r="C1941" s="30">
        <v>1940.0</v>
      </c>
      <c r="D1941" s="16" t="s">
        <v>2550</v>
      </c>
      <c r="E1941" s="16" t="s">
        <v>184</v>
      </c>
      <c r="F1941" s="16" t="s">
        <v>219</v>
      </c>
      <c r="G1941" s="16" t="s">
        <v>222</v>
      </c>
      <c r="H1941" s="16" t="s">
        <v>241</v>
      </c>
      <c r="I1941" s="16" t="s">
        <v>292</v>
      </c>
    </row>
    <row r="1942" ht="242.25" customHeight="1">
      <c r="A1942" s="32" t="b">
        <v>0</v>
      </c>
      <c r="B1942" s="32" t="str">
        <f>IMAGE("https://gymvisual.com/20686-catalog_default/dumbbell-single-stiff-leg-deadlift.jpg",4,500,500)</f>
        <v/>
      </c>
      <c r="C1942" s="30">
        <v>1941.0</v>
      </c>
      <c r="D1942" s="16" t="s">
        <v>2551</v>
      </c>
      <c r="E1942" s="16" t="s">
        <v>184</v>
      </c>
      <c r="F1942" s="16" t="s">
        <v>185</v>
      </c>
      <c r="G1942" s="16" t="s">
        <v>222</v>
      </c>
      <c r="H1942" s="16" t="s">
        <v>267</v>
      </c>
      <c r="I1942" s="16" t="s">
        <v>188</v>
      </c>
    </row>
    <row r="1943" ht="242.25" customHeight="1">
      <c r="A1943" s="32" t="b">
        <v>0</v>
      </c>
      <c r="B1943" s="32" t="str">
        <f>IMAGE("https://gymvisual.com/10495-catalog_default/dumbbell-single-arm-leaning-lateral-raise.jpg",4,500,500)</f>
        <v/>
      </c>
      <c r="C1943" s="30">
        <v>1942.0</v>
      </c>
      <c r="D1943" s="16" t="s">
        <v>2552</v>
      </c>
      <c r="E1943" s="16" t="s">
        <v>184</v>
      </c>
      <c r="F1943" s="16" t="s">
        <v>228</v>
      </c>
      <c r="G1943" s="16" t="s">
        <v>222</v>
      </c>
      <c r="H1943" s="16" t="s">
        <v>544</v>
      </c>
      <c r="I1943" s="16" t="s">
        <v>2436</v>
      </c>
    </row>
    <row r="1944" ht="242.25" customHeight="1">
      <c r="A1944" s="32" t="b">
        <v>0</v>
      </c>
      <c r="B1944" s="32" t="str">
        <f>IMAGE("https://gymvisual.com/22259-catalog_default/dumbbell-sit-up.jpg",4,500,500)</f>
        <v/>
      </c>
      <c r="C1944" s="30">
        <v>1943.0</v>
      </c>
      <c r="D1944" s="16" t="s">
        <v>2553</v>
      </c>
      <c r="E1944" s="16" t="s">
        <v>184</v>
      </c>
      <c r="F1944" s="16" t="s">
        <v>254</v>
      </c>
      <c r="G1944" s="16" t="s">
        <v>222</v>
      </c>
      <c r="H1944" s="16" t="s">
        <v>220</v>
      </c>
      <c r="I1944" s="16" t="s">
        <v>220</v>
      </c>
    </row>
    <row r="1945" ht="242.25" customHeight="1">
      <c r="A1945" s="32" t="b">
        <v>0</v>
      </c>
      <c r="B1945" s="32" t="str">
        <f>IMAGE("https://gymvisual.com/12269-catalog_default/dumbbell-split-squat.jpg",4,500,500)</f>
        <v/>
      </c>
      <c r="C1945" s="30">
        <v>1944.0</v>
      </c>
      <c r="D1945" s="16" t="s">
        <v>2554</v>
      </c>
      <c r="E1945" s="16" t="s">
        <v>184</v>
      </c>
      <c r="F1945" s="16" t="s">
        <v>285</v>
      </c>
      <c r="G1945" s="16" t="s">
        <v>222</v>
      </c>
      <c r="H1945" s="16" t="s">
        <v>189</v>
      </c>
      <c r="I1945" s="16" t="s">
        <v>190</v>
      </c>
    </row>
    <row r="1946" ht="242.25" customHeight="1">
      <c r="A1946" s="32" t="b">
        <v>0</v>
      </c>
      <c r="B1946" s="32" t="str">
        <f>IMAGE("https://gymvisual.com/20678-catalog_default/dumbbell-split-squat-female.jpg",4,500,500)</f>
        <v/>
      </c>
      <c r="C1946" s="30">
        <v>1945.0</v>
      </c>
      <c r="D1946" s="16" t="s">
        <v>2555</v>
      </c>
      <c r="E1946" s="16" t="s">
        <v>184</v>
      </c>
      <c r="F1946" s="16" t="s">
        <v>285</v>
      </c>
      <c r="G1946" s="16" t="s">
        <v>222</v>
      </c>
      <c r="H1946" s="16" t="s">
        <v>189</v>
      </c>
      <c r="I1946" s="16" t="s">
        <v>190</v>
      </c>
    </row>
    <row r="1947" ht="242.25" customHeight="1">
      <c r="A1947" s="32" t="b">
        <v>0</v>
      </c>
      <c r="B1947" s="32" t="str">
        <f>IMAGE("https://gymvisual.com/12260-catalog_default/dumbbell-split-squat-front-foot-elevanted.jpg",4,500,500)</f>
        <v/>
      </c>
      <c r="C1947" s="30">
        <v>1946.0</v>
      </c>
      <c r="D1947" s="16" t="s">
        <v>2556</v>
      </c>
      <c r="E1947" s="16" t="s">
        <v>184</v>
      </c>
      <c r="F1947" s="16" t="s">
        <v>285</v>
      </c>
      <c r="G1947" s="16" t="s">
        <v>222</v>
      </c>
      <c r="H1947" s="16" t="s">
        <v>189</v>
      </c>
      <c r="I1947" s="16" t="s">
        <v>190</v>
      </c>
    </row>
    <row r="1948" ht="242.25" customHeight="1">
      <c r="A1948" s="32" t="b">
        <v>0</v>
      </c>
      <c r="B1948" s="32" t="str">
        <f>IMAGE("https://gymvisual.com/12263-catalog_default/dumbbell-split-squat-front-foot-elevanted-female.jpg",4,500,500)</f>
        <v/>
      </c>
      <c r="C1948" s="30">
        <v>1947.0</v>
      </c>
      <c r="D1948" s="16" t="s">
        <v>2557</v>
      </c>
      <c r="E1948" s="16" t="s">
        <v>184</v>
      </c>
      <c r="F1948" s="16" t="s">
        <v>285</v>
      </c>
      <c r="G1948" s="16" t="s">
        <v>222</v>
      </c>
      <c r="H1948" s="16" t="s">
        <v>189</v>
      </c>
      <c r="I1948" s="16" t="s">
        <v>190</v>
      </c>
    </row>
    <row r="1949" ht="242.25" customHeight="1">
      <c r="A1949" s="32" t="b">
        <v>0</v>
      </c>
      <c r="B1949" s="32" t="str">
        <f>IMAGE("https://gymvisual.com/16032-catalog_default/dumbbell-split-squat-front-foot-elevanted-with-bosu-ball-female.jpg",4,500,500)</f>
        <v/>
      </c>
      <c r="C1949" s="30">
        <v>1948.0</v>
      </c>
      <c r="D1949" s="16" t="s">
        <v>2558</v>
      </c>
      <c r="E1949" s="16" t="s">
        <v>184</v>
      </c>
      <c r="F1949" s="16" t="s">
        <v>294</v>
      </c>
      <c r="G1949" s="16" t="s">
        <v>222</v>
      </c>
      <c r="H1949" s="16" t="s">
        <v>189</v>
      </c>
      <c r="I1949" s="16" t="s">
        <v>190</v>
      </c>
    </row>
    <row r="1950" ht="242.25" customHeight="1">
      <c r="A1950" s="32" t="b">
        <v>0</v>
      </c>
      <c r="B1950" s="32" t="str">
        <f>IMAGE("https://gymvisual.com/20553-catalog_default/dumbbell-sprinter-thrust-chest-press.jpg",4,500,500)</f>
        <v/>
      </c>
      <c r="C1950" s="30">
        <v>1949.0</v>
      </c>
      <c r="D1950" s="16" t="s">
        <v>2559</v>
      </c>
      <c r="E1950" s="16" t="s">
        <v>184</v>
      </c>
      <c r="F1950" s="16" t="s">
        <v>1798</v>
      </c>
      <c r="G1950" s="16" t="s">
        <v>222</v>
      </c>
      <c r="H1950" s="16" t="s">
        <v>2560</v>
      </c>
      <c r="I1950" s="16" t="s">
        <v>2561</v>
      </c>
    </row>
    <row r="1951" ht="242.25" customHeight="1">
      <c r="A1951" s="32" t="b">
        <v>0</v>
      </c>
      <c r="B1951" s="32" t="str">
        <f>IMAGE("https://gymvisual.com/1258-catalog_default/3-4-sit-up.jpg",4,500,500)</f>
        <v/>
      </c>
      <c r="C1951" s="30">
        <v>1950.0</v>
      </c>
      <c r="D1951" s="16" t="s">
        <v>2562</v>
      </c>
      <c r="E1951" s="16" t="s">
        <v>184</v>
      </c>
      <c r="F1951" s="16" t="s">
        <v>185</v>
      </c>
      <c r="G1951" s="16" t="s">
        <v>222</v>
      </c>
      <c r="H1951" s="16" t="s">
        <v>189</v>
      </c>
      <c r="I1951" s="16" t="s">
        <v>190</v>
      </c>
    </row>
    <row r="1952" ht="242.25" customHeight="1">
      <c r="A1952" s="32" t="b">
        <v>0</v>
      </c>
      <c r="B1952" s="32" t="str">
        <f>IMAGE("https://gymvisual.com/6802-catalog_default/dumbbell-squat.jpg",4,500,500)</f>
        <v/>
      </c>
      <c r="C1952" s="30">
        <v>1951.0</v>
      </c>
      <c r="D1952" s="16" t="s">
        <v>2562</v>
      </c>
      <c r="E1952" s="16" t="s">
        <v>184</v>
      </c>
      <c r="F1952" s="16" t="s">
        <v>285</v>
      </c>
      <c r="G1952" s="16" t="s">
        <v>222</v>
      </c>
      <c r="H1952" s="16" t="s">
        <v>189</v>
      </c>
      <c r="I1952" s="16" t="s">
        <v>190</v>
      </c>
    </row>
    <row r="1953" ht="242.25" customHeight="1">
      <c r="A1953" s="32" t="b">
        <v>0</v>
      </c>
      <c r="B1953" s="32" t="str">
        <f>IMAGE("https://gymvisual.com/1255-catalog_default/3-4-sit-up.jpg",4,500,500)</f>
        <v/>
      </c>
      <c r="C1953" s="30">
        <v>1952.0</v>
      </c>
      <c r="D1953" s="16" t="s">
        <v>2563</v>
      </c>
      <c r="E1953" s="16" t="s">
        <v>184</v>
      </c>
      <c r="F1953" s="16" t="s">
        <v>285</v>
      </c>
      <c r="G1953" s="16" t="s">
        <v>222</v>
      </c>
      <c r="H1953" s="16" t="s">
        <v>189</v>
      </c>
      <c r="I1953" s="16" t="s">
        <v>190</v>
      </c>
    </row>
    <row r="1954" ht="242.25" customHeight="1">
      <c r="A1954" s="32" t="b">
        <v>0</v>
      </c>
      <c r="B1954" s="32" t="str">
        <f>IMAGE("https://gymvisual.com/9574-catalog_default/dumbbell-squat-female.jpg",4,500,500)</f>
        <v/>
      </c>
      <c r="C1954" s="30">
        <v>1953.0</v>
      </c>
      <c r="D1954" s="16" t="s">
        <v>2564</v>
      </c>
      <c r="E1954" s="16" t="s">
        <v>184</v>
      </c>
      <c r="F1954" s="16" t="s">
        <v>294</v>
      </c>
      <c r="G1954" s="16" t="s">
        <v>222</v>
      </c>
      <c r="H1954" s="16" t="s">
        <v>189</v>
      </c>
      <c r="I1954" s="16" t="s">
        <v>190</v>
      </c>
    </row>
    <row r="1955" ht="242.25" customHeight="1">
      <c r="A1955" s="32" t="b">
        <v>0</v>
      </c>
      <c r="B1955" s="32" t="str">
        <f>IMAGE("https://gymvisual.com/19219-catalog_default/dumbbell-squat-hold-calf-raise.jpg",4,500,500)</f>
        <v/>
      </c>
      <c r="C1955" s="30">
        <v>1954.0</v>
      </c>
      <c r="D1955" s="16" t="s">
        <v>2565</v>
      </c>
      <c r="E1955" s="16" t="s">
        <v>184</v>
      </c>
      <c r="F1955" s="16" t="s">
        <v>1236</v>
      </c>
      <c r="G1955" s="16" t="s">
        <v>222</v>
      </c>
      <c r="H1955" s="16" t="s">
        <v>220</v>
      </c>
      <c r="I1955" s="16" t="s">
        <v>220</v>
      </c>
    </row>
    <row r="1956" ht="242.25" customHeight="1">
      <c r="A1956" s="32" t="b">
        <v>0</v>
      </c>
      <c r="B1956" s="32" t="str">
        <f>IMAGE("https://gymvisual.com/24101-catalog_default/dumbbell-squat-to-overhead-press.jpg",4,500,500)</f>
        <v/>
      </c>
      <c r="C1956" s="30">
        <v>1955.0</v>
      </c>
      <c r="D1956" s="16" t="s">
        <v>2566</v>
      </c>
      <c r="E1956" s="16" t="s">
        <v>184</v>
      </c>
      <c r="F1956" s="16" t="s">
        <v>285</v>
      </c>
      <c r="G1956" s="16" t="s">
        <v>222</v>
      </c>
      <c r="H1956" s="16" t="s">
        <v>220</v>
      </c>
      <c r="I1956" s="16" t="s">
        <v>220</v>
      </c>
    </row>
    <row r="1957" ht="242.25" customHeight="1">
      <c r="A1957" s="32" t="b">
        <v>0</v>
      </c>
      <c r="B1957" s="32" t="str">
        <f>IMAGE("https://gymvisual.com/14755-catalog_default/dumbbell-squeeze-bench-press.jpg",4,500,500)</f>
        <v/>
      </c>
      <c r="C1957" s="30">
        <v>1956.0</v>
      </c>
      <c r="D1957" s="16" t="s">
        <v>2567</v>
      </c>
      <c r="E1957" s="16" t="s">
        <v>184</v>
      </c>
      <c r="F1957" s="16" t="s">
        <v>234</v>
      </c>
      <c r="G1957" s="16" t="s">
        <v>222</v>
      </c>
      <c r="H1957" s="16" t="s">
        <v>2400</v>
      </c>
      <c r="I1957" s="16" t="s">
        <v>229</v>
      </c>
    </row>
    <row r="1958" ht="242.25" customHeight="1">
      <c r="A1958" s="32" t="b">
        <v>0</v>
      </c>
      <c r="B1958" s="32" t="str">
        <f>IMAGE("https://gymvisual.com/22261-catalog_default/dumbbell-staggered-stance-romanian-deadlift.jpg",4,500,500)</f>
        <v/>
      </c>
      <c r="C1958" s="30">
        <v>1957.0</v>
      </c>
      <c r="D1958" s="16" t="s">
        <v>2568</v>
      </c>
      <c r="E1958" s="16" t="s">
        <v>184</v>
      </c>
      <c r="F1958" s="16" t="s">
        <v>185</v>
      </c>
      <c r="G1958" s="16" t="s">
        <v>222</v>
      </c>
      <c r="H1958" s="16" t="s">
        <v>220</v>
      </c>
      <c r="I1958" s="16" t="s">
        <v>220</v>
      </c>
    </row>
    <row r="1959" ht="242.25" customHeight="1">
      <c r="A1959" s="32" t="b">
        <v>0</v>
      </c>
      <c r="B1959" s="32" t="str">
        <f>IMAGE("https://gymvisual.com/17863-catalog_default/dumbbell-standing-alternate-arnold-press.jpg",4,500,500)</f>
        <v/>
      </c>
      <c r="C1959" s="30">
        <v>1958.0</v>
      </c>
      <c r="D1959" s="16" t="s">
        <v>2569</v>
      </c>
      <c r="E1959" s="16" t="s">
        <v>184</v>
      </c>
      <c r="F1959" s="16" t="s">
        <v>228</v>
      </c>
      <c r="G1959" s="16" t="s">
        <v>222</v>
      </c>
      <c r="H1959" s="16" t="s">
        <v>220</v>
      </c>
      <c r="I1959" s="16" t="s">
        <v>220</v>
      </c>
    </row>
    <row r="1960" ht="242.25" customHeight="1">
      <c r="A1960" s="32" t="b">
        <v>0</v>
      </c>
      <c r="B1960" s="32" t="str">
        <f>IMAGE("https://gymvisual.com/14147-catalog_default/dumbbell-standing-alternate-hammer-curl-and-press.jpg",4,500,500)</f>
        <v/>
      </c>
      <c r="C1960" s="30">
        <v>1959.0</v>
      </c>
      <c r="D1960" s="16" t="s">
        <v>2570</v>
      </c>
      <c r="E1960" s="16" t="s">
        <v>184</v>
      </c>
      <c r="F1960" s="16" t="s">
        <v>829</v>
      </c>
      <c r="G1960" s="16" t="s">
        <v>222</v>
      </c>
      <c r="H1960" s="16" t="s">
        <v>2003</v>
      </c>
      <c r="I1960" s="16" t="s">
        <v>2004</v>
      </c>
    </row>
    <row r="1961" ht="242.25" customHeight="1">
      <c r="A1961" s="32" t="b">
        <v>0</v>
      </c>
      <c r="B1961" s="32" t="str">
        <f>IMAGE("https://gymvisual.com/14121-catalog_default/3-4-sit-up.jpg",4,500,500)</f>
        <v/>
      </c>
      <c r="C1961" s="30">
        <v>1960.0</v>
      </c>
      <c r="D1961" s="16" t="s">
        <v>2571</v>
      </c>
      <c r="E1961" s="16" t="s">
        <v>184</v>
      </c>
      <c r="F1961" s="16" t="s">
        <v>228</v>
      </c>
      <c r="G1961" s="16" t="s">
        <v>222</v>
      </c>
      <c r="H1961" s="16" t="s">
        <v>229</v>
      </c>
      <c r="I1961" s="16" t="s">
        <v>1334</v>
      </c>
    </row>
    <row r="1962" ht="242.25" customHeight="1">
      <c r="A1962" s="32" t="b">
        <v>0</v>
      </c>
      <c r="B1962" s="32" t="str">
        <f>IMAGE("https://gymvisual.com/1264-catalog_default/3-4-sit-up.jpg",4,500,500)</f>
        <v/>
      </c>
      <c r="C1962" s="30">
        <v>1961.0</v>
      </c>
      <c r="D1962" s="16" t="s">
        <v>2572</v>
      </c>
      <c r="E1962" s="16" t="s">
        <v>184</v>
      </c>
      <c r="F1962" s="16" t="s">
        <v>228</v>
      </c>
      <c r="G1962" s="16" t="s">
        <v>222</v>
      </c>
      <c r="H1962" s="16" t="s">
        <v>229</v>
      </c>
      <c r="I1962" s="16" t="s">
        <v>244</v>
      </c>
    </row>
    <row r="1963" ht="242.25" customHeight="1">
      <c r="A1963" s="32" t="b">
        <v>0</v>
      </c>
      <c r="B1963" s="32" t="str">
        <f>IMAGE("https://gymvisual.com/26317-catalog_default/dumbbell-standing-alternate-vertical-front-raises.jpg",4,500,500)</f>
        <v/>
      </c>
      <c r="C1963" s="30">
        <v>1962.0</v>
      </c>
      <c r="D1963" s="16" t="s">
        <v>2573</v>
      </c>
      <c r="E1963" s="16" t="s">
        <v>184</v>
      </c>
      <c r="F1963" s="16" t="s">
        <v>228</v>
      </c>
      <c r="G1963" s="16" t="s">
        <v>222</v>
      </c>
      <c r="H1963" s="16" t="s">
        <v>229</v>
      </c>
      <c r="I1963" s="16" t="s">
        <v>244</v>
      </c>
    </row>
    <row r="1964" ht="242.25" customHeight="1">
      <c r="A1964" s="32" t="b">
        <v>0</v>
      </c>
      <c r="B1964" s="32" t="str">
        <f>IMAGE("https://gymvisual.com/7458-catalog_default/dumbbell-standing-alternating-tricep-kickback.jpg",4,500,500)</f>
        <v/>
      </c>
      <c r="C1964" s="30">
        <v>1963.0</v>
      </c>
      <c r="D1964" s="16" t="s">
        <v>2574</v>
      </c>
      <c r="E1964" s="16" t="s">
        <v>184</v>
      </c>
      <c r="F1964" s="16" t="s">
        <v>219</v>
      </c>
      <c r="G1964" s="16" t="s">
        <v>222</v>
      </c>
      <c r="H1964" s="16" t="s">
        <v>220</v>
      </c>
      <c r="I1964" s="16" t="s">
        <v>220</v>
      </c>
    </row>
    <row r="1965" ht="242.25" customHeight="1">
      <c r="A1965" s="32" t="b">
        <v>0</v>
      </c>
      <c r="B1965" s="32" t="str">
        <f>IMAGE("https://gymvisual.com/17917-catalog_default/dumbbell-standing-arnold-press-male.jpg",4,500,500)</f>
        <v/>
      </c>
      <c r="C1965" s="30">
        <v>1964.0</v>
      </c>
      <c r="D1965" s="16" t="s">
        <v>2575</v>
      </c>
      <c r="E1965" s="16" t="s">
        <v>184</v>
      </c>
      <c r="F1965" s="16" t="s">
        <v>228</v>
      </c>
      <c r="G1965" s="16" t="s">
        <v>222</v>
      </c>
      <c r="H1965" s="16" t="s">
        <v>229</v>
      </c>
      <c r="I1965" s="16" t="s">
        <v>230</v>
      </c>
    </row>
    <row r="1966" ht="242.25" customHeight="1">
      <c r="A1966" s="32" t="b">
        <v>0</v>
      </c>
      <c r="B1966" s="32" t="str">
        <f>IMAGE("https://gymvisual.com/8764-catalog_default/dumbbell-standing-around-world.jpg",4,500,500)</f>
        <v/>
      </c>
      <c r="C1966" s="30">
        <v>1965.0</v>
      </c>
      <c r="D1966" s="16" t="s">
        <v>2576</v>
      </c>
      <c r="E1966" s="16" t="s">
        <v>184</v>
      </c>
      <c r="F1966" s="16" t="s">
        <v>228</v>
      </c>
      <c r="G1966" s="16" t="s">
        <v>222</v>
      </c>
      <c r="H1966" s="16" t="s">
        <v>544</v>
      </c>
      <c r="I1966" s="16" t="s">
        <v>2577</v>
      </c>
    </row>
    <row r="1967" ht="242.25" customHeight="1">
      <c r="A1967" s="32" t="b">
        <v>0</v>
      </c>
      <c r="B1967" s="32" t="str">
        <f>IMAGE("https://gymvisual.com/9806-catalog_default/dumbbell-standing-bent-arm-lateral-raise-female.jpg",4,500,500)</f>
        <v/>
      </c>
      <c r="C1967" s="30">
        <v>1966.0</v>
      </c>
      <c r="D1967" s="16" t="s">
        <v>2578</v>
      </c>
      <c r="E1967" s="16" t="s">
        <v>184</v>
      </c>
      <c r="F1967" s="16" t="s">
        <v>228</v>
      </c>
      <c r="G1967" s="16" t="s">
        <v>222</v>
      </c>
      <c r="H1967" s="16" t="s">
        <v>544</v>
      </c>
      <c r="I1967" s="16" t="s">
        <v>2436</v>
      </c>
    </row>
    <row r="1968" ht="242.25" customHeight="1">
      <c r="A1968" s="32" t="b">
        <v>0</v>
      </c>
      <c r="B1968" s="32" t="str">
        <f>IMAGE("https://gymvisual.com/24810-catalog_default/dumbbell-standing-bent-arm-lateral-raise-male.jpg",4,500,500)</f>
        <v/>
      </c>
      <c r="C1968" s="30">
        <v>1967.0</v>
      </c>
      <c r="D1968" s="16" t="s">
        <v>2579</v>
      </c>
      <c r="E1968" s="16" t="s">
        <v>184</v>
      </c>
      <c r="F1968" s="16" t="s">
        <v>228</v>
      </c>
      <c r="G1968" s="16" t="s">
        <v>222</v>
      </c>
      <c r="H1968" s="16" t="s">
        <v>544</v>
      </c>
      <c r="I1968" s="16" t="s">
        <v>713</v>
      </c>
    </row>
    <row r="1969" ht="242.25" customHeight="1">
      <c r="A1969" s="32" t="b">
        <v>0</v>
      </c>
      <c r="B1969" s="32" t="str">
        <f>IMAGE("https://gymvisual.com/7459-catalog_default/dumbbell-standing-bent-over-one-arm-triceps-extension.jpg",4,500,500)</f>
        <v/>
      </c>
      <c r="C1969" s="30">
        <v>1968.0</v>
      </c>
      <c r="D1969" s="16" t="s">
        <v>2580</v>
      </c>
      <c r="E1969" s="16" t="s">
        <v>184</v>
      </c>
      <c r="F1969" s="16" t="s">
        <v>219</v>
      </c>
      <c r="G1969" s="16" t="s">
        <v>222</v>
      </c>
      <c r="H1969" s="16" t="s">
        <v>220</v>
      </c>
      <c r="I1969" s="16" t="s">
        <v>220</v>
      </c>
    </row>
    <row r="1970" ht="242.25" customHeight="1">
      <c r="A1970" s="32" t="b">
        <v>0</v>
      </c>
      <c r="B1970" s="32" t="str">
        <f>IMAGE("https://gymvisual.com/7460-catalog_default/dumbbell-standing-bent-over-two-arm-triceps-extension.jpg",4,500,500)</f>
        <v/>
      </c>
      <c r="C1970" s="30">
        <v>1969.0</v>
      </c>
      <c r="D1970" s="16" t="s">
        <v>2581</v>
      </c>
      <c r="E1970" s="16" t="s">
        <v>184</v>
      </c>
      <c r="F1970" s="16" t="s">
        <v>219</v>
      </c>
      <c r="G1970" s="16" t="s">
        <v>222</v>
      </c>
      <c r="H1970" s="16" t="s">
        <v>220</v>
      </c>
      <c r="I1970" s="16" t="s">
        <v>220</v>
      </c>
    </row>
    <row r="1971" ht="242.25" customHeight="1">
      <c r="A1971" s="32" t="b">
        <v>0</v>
      </c>
      <c r="B1971" s="32" t="str">
        <f>IMAGE("https://gymvisual.com/24762-catalog_default/3-4-sit-up.jpg",4,500,500)</f>
        <v/>
      </c>
      <c r="C1971" s="30">
        <v>1970.0</v>
      </c>
      <c r="D1971" s="16" t="s">
        <v>2582</v>
      </c>
      <c r="E1971" s="16" t="s">
        <v>184</v>
      </c>
      <c r="F1971" s="16" t="s">
        <v>219</v>
      </c>
      <c r="G1971" s="16" t="s">
        <v>222</v>
      </c>
      <c r="H1971" s="16" t="s">
        <v>241</v>
      </c>
      <c r="I1971" s="16" t="s">
        <v>292</v>
      </c>
    </row>
    <row r="1972" ht="242.25" customHeight="1">
      <c r="A1972" s="32" t="b">
        <v>0</v>
      </c>
      <c r="B1972" s="32" t="str">
        <f>IMAGE("https://gymvisual.com/19239-catalog_default/dumbbell-standing-biceps-curl-to-shoulder-press-male.jpg",4,500,500)</f>
        <v/>
      </c>
      <c r="C1972" s="30">
        <v>1971.0</v>
      </c>
      <c r="D1972" s="16" t="s">
        <v>2583</v>
      </c>
      <c r="E1972" s="16" t="s">
        <v>184</v>
      </c>
      <c r="F1972" s="16" t="s">
        <v>829</v>
      </c>
      <c r="G1972" s="16" t="s">
        <v>222</v>
      </c>
      <c r="H1972" s="16" t="s">
        <v>220</v>
      </c>
      <c r="I1972" s="16" t="s">
        <v>220</v>
      </c>
    </row>
    <row r="1973" ht="242.25" customHeight="1">
      <c r="A1973" s="32" t="b">
        <v>0</v>
      </c>
      <c r="B1973" s="32" t="str">
        <f>IMAGE("https://gymvisual.com/1270-catalog_default/3-4-sit-up.jpg",4,500,500)</f>
        <v/>
      </c>
      <c r="C1973" s="30">
        <v>1972.0</v>
      </c>
      <c r="D1973" s="16" t="s">
        <v>2584</v>
      </c>
      <c r="E1973" s="16" t="s">
        <v>184</v>
      </c>
      <c r="F1973" s="16" t="s">
        <v>325</v>
      </c>
      <c r="G1973" s="16" t="s">
        <v>222</v>
      </c>
      <c r="H1973" s="16" t="s">
        <v>368</v>
      </c>
      <c r="I1973" s="16" t="s">
        <v>463</v>
      </c>
    </row>
    <row r="1974" ht="242.25" customHeight="1">
      <c r="A1974" s="32" t="b">
        <v>0</v>
      </c>
      <c r="B1974" s="32" t="str">
        <f>IMAGE("https://gymvisual.com/9544-catalog_default/dumbbell-standing-calf-raise-female.jpg",4,500,500)</f>
        <v/>
      </c>
      <c r="C1974" s="30">
        <v>1973.0</v>
      </c>
      <c r="D1974" s="16" t="s">
        <v>2585</v>
      </c>
      <c r="E1974" s="16" t="s">
        <v>184</v>
      </c>
      <c r="F1974" s="16" t="s">
        <v>325</v>
      </c>
      <c r="G1974" s="16" t="s">
        <v>222</v>
      </c>
      <c r="H1974" s="16" t="s">
        <v>368</v>
      </c>
      <c r="I1974" s="16" t="s">
        <v>463</v>
      </c>
    </row>
    <row r="1975" ht="242.25" customHeight="1">
      <c r="A1975" s="32" t="b">
        <v>0</v>
      </c>
      <c r="B1975" s="32" t="str">
        <f>IMAGE("https://gymvisual.com/1273-catalog_default/3-4-sit-up.jpg",4,500,500)</f>
        <v/>
      </c>
      <c r="C1975" s="30">
        <v>1974.0</v>
      </c>
      <c r="D1975" s="16" t="s">
        <v>2586</v>
      </c>
      <c r="E1975" s="16" t="s">
        <v>184</v>
      </c>
      <c r="F1975" s="16" t="s">
        <v>219</v>
      </c>
      <c r="G1975" s="16" t="s">
        <v>222</v>
      </c>
      <c r="H1975" s="16" t="s">
        <v>232</v>
      </c>
      <c r="I1975" s="16" t="s">
        <v>233</v>
      </c>
    </row>
    <row r="1976" ht="242.25" customHeight="1">
      <c r="A1976" s="32" t="b">
        <v>0</v>
      </c>
      <c r="B1976" s="32" t="str">
        <f>IMAGE("https://gymvisual.com/23458-catalog_default/dumbbell-standing-drag-curl-version-2.jpg",4,500,500)</f>
        <v/>
      </c>
      <c r="C1976" s="30">
        <v>1975.0</v>
      </c>
      <c r="D1976" s="16" t="s">
        <v>2587</v>
      </c>
      <c r="E1976" s="16" t="s">
        <v>184</v>
      </c>
      <c r="F1976" s="16" t="s">
        <v>219</v>
      </c>
      <c r="G1976" s="16" t="s">
        <v>222</v>
      </c>
      <c r="H1976" s="16" t="s">
        <v>236</v>
      </c>
      <c r="I1976" s="16" t="s">
        <v>292</v>
      </c>
    </row>
    <row r="1977" ht="242.25" customHeight="1">
      <c r="A1977" s="32" t="b">
        <v>0</v>
      </c>
      <c r="B1977" s="32" t="str">
        <f>IMAGE("https://gymvisual.com/1276-catalog_default/3-4-sit-up.jpg",4,500,500)</f>
        <v/>
      </c>
      <c r="C1977" s="30">
        <v>1976.0</v>
      </c>
      <c r="D1977" s="16" t="s">
        <v>2588</v>
      </c>
      <c r="E1977" s="16" t="s">
        <v>184</v>
      </c>
      <c r="F1977" s="16" t="s">
        <v>228</v>
      </c>
      <c r="G1977" s="16" t="s">
        <v>222</v>
      </c>
      <c r="H1977" s="16" t="s">
        <v>229</v>
      </c>
      <c r="I1977" s="16" t="s">
        <v>244</v>
      </c>
    </row>
    <row r="1978" ht="242.25" customHeight="1">
      <c r="A1978" s="32" t="b">
        <v>0</v>
      </c>
      <c r="B1978" s="32" t="str">
        <f>IMAGE("https://gymvisual.com/22426-catalog_default/dumbbell-standing-high-windmill.jpg",4,500,500)</f>
        <v/>
      </c>
      <c r="C1978" s="30">
        <v>1977.0</v>
      </c>
      <c r="D1978" s="16" t="s">
        <v>2589</v>
      </c>
      <c r="E1978" s="16" t="s">
        <v>184</v>
      </c>
      <c r="F1978" s="16" t="s">
        <v>254</v>
      </c>
      <c r="G1978" s="16" t="s">
        <v>222</v>
      </c>
      <c r="H1978" s="16" t="s">
        <v>220</v>
      </c>
      <c r="I1978" s="16" t="s">
        <v>220</v>
      </c>
    </row>
    <row r="1979" ht="242.25" customHeight="1">
      <c r="A1979" s="32" t="b">
        <v>0</v>
      </c>
      <c r="B1979" s="32" t="str">
        <f>IMAGE("https://gymvisual.com/4599-catalog_default/dumbbell-standing-inner-biceps-curl.jpg",4,500,500)</f>
        <v/>
      </c>
      <c r="C1979" s="30">
        <v>1978.0</v>
      </c>
      <c r="D1979" s="16" t="s">
        <v>2590</v>
      </c>
      <c r="E1979" s="16" t="s">
        <v>184</v>
      </c>
      <c r="F1979" s="16" t="s">
        <v>219</v>
      </c>
      <c r="G1979" s="16" t="s">
        <v>222</v>
      </c>
      <c r="H1979" s="16" t="s">
        <v>241</v>
      </c>
      <c r="I1979" s="16" t="s">
        <v>232</v>
      </c>
    </row>
    <row r="1980" ht="242.25" customHeight="1">
      <c r="A1980" s="32" t="b">
        <v>0</v>
      </c>
      <c r="B1980" s="32" t="str">
        <f>IMAGE("https://gymvisual.com/9823-catalog_default/dumbbell-standing-inner-biceps-curl-version-2.jpg",4,500,500)</f>
        <v/>
      </c>
      <c r="C1980" s="30">
        <v>1979.0</v>
      </c>
      <c r="D1980" s="16" t="s">
        <v>2591</v>
      </c>
      <c r="E1980" s="16" t="s">
        <v>184</v>
      </c>
      <c r="F1980" s="16" t="s">
        <v>219</v>
      </c>
      <c r="G1980" s="16" t="s">
        <v>222</v>
      </c>
      <c r="H1980" s="16" t="s">
        <v>241</v>
      </c>
      <c r="I1980" s="16" t="s">
        <v>232</v>
      </c>
    </row>
    <row r="1981" ht="242.25" customHeight="1">
      <c r="A1981" s="32" t="b">
        <v>0</v>
      </c>
      <c r="B1981" s="32" t="str">
        <f>IMAGE("https://gymvisual.com/1279-catalog_default/3-4-sit-up.jpg",4,500,500)</f>
        <v/>
      </c>
      <c r="C1981" s="30">
        <v>1980.0</v>
      </c>
      <c r="D1981" s="16" t="s">
        <v>2592</v>
      </c>
      <c r="E1981" s="16" t="s">
        <v>184</v>
      </c>
      <c r="F1981" s="16" t="s">
        <v>219</v>
      </c>
      <c r="G1981" s="16" t="s">
        <v>222</v>
      </c>
      <c r="H1981" s="16" t="s">
        <v>223</v>
      </c>
      <c r="I1981" s="16" t="s">
        <v>220</v>
      </c>
    </row>
    <row r="1982" ht="242.25" customHeight="1">
      <c r="A1982" s="32" t="b">
        <v>0</v>
      </c>
      <c r="B1982" s="32" t="str">
        <f>IMAGE("https://gymvisual.com/11342-catalog_default/dumbbell-standing-kickback-female.jpg",4,500,500)</f>
        <v/>
      </c>
      <c r="C1982" s="30">
        <v>1981.0</v>
      </c>
      <c r="D1982" s="16" t="s">
        <v>2593</v>
      </c>
      <c r="E1982" s="16" t="s">
        <v>184</v>
      </c>
      <c r="F1982" s="16" t="s">
        <v>219</v>
      </c>
      <c r="G1982" s="16" t="s">
        <v>222</v>
      </c>
      <c r="H1982" s="16" t="s">
        <v>223</v>
      </c>
      <c r="I1982" s="16" t="s">
        <v>220</v>
      </c>
    </row>
    <row r="1983" ht="242.25" customHeight="1">
      <c r="A1983" s="32" t="b">
        <v>0</v>
      </c>
      <c r="B1983" s="32" t="str">
        <f>IMAGE("https://gymvisual.com/9616-catalog_default/dumbbell-standing-lateral-raise-female.jpg",4,500,500)</f>
        <v/>
      </c>
      <c r="C1983" s="30">
        <v>1982.0</v>
      </c>
      <c r="D1983" s="16" t="s">
        <v>2594</v>
      </c>
      <c r="E1983" s="16" t="s">
        <v>184</v>
      </c>
      <c r="F1983" s="16" t="s">
        <v>228</v>
      </c>
      <c r="G1983" s="16" t="s">
        <v>222</v>
      </c>
      <c r="H1983" s="16" t="s">
        <v>544</v>
      </c>
      <c r="I1983" s="16" t="s">
        <v>545</v>
      </c>
    </row>
    <row r="1984" ht="242.25" customHeight="1">
      <c r="A1984" s="32" t="b">
        <v>0</v>
      </c>
      <c r="B1984" s="32" t="str">
        <f>IMAGE("https://gymvisual.com/1282-catalog_default/3-4-sit-up.jpg",4,500,500)</f>
        <v/>
      </c>
      <c r="C1984" s="30">
        <v>1983.0</v>
      </c>
      <c r="D1984" s="16" t="s">
        <v>2595</v>
      </c>
      <c r="E1984" s="16" t="s">
        <v>184</v>
      </c>
      <c r="F1984" s="16" t="s">
        <v>219</v>
      </c>
      <c r="G1984" s="16" t="s">
        <v>222</v>
      </c>
      <c r="H1984" s="16" t="s">
        <v>232</v>
      </c>
      <c r="I1984" s="16" t="s">
        <v>233</v>
      </c>
    </row>
    <row r="1985" ht="242.25" customHeight="1">
      <c r="A1985" s="32" t="b">
        <v>0</v>
      </c>
      <c r="B1985" s="32" t="str">
        <f>IMAGE("https://gymvisual.com/1285-catalog_default/3-4-sit-up.jpg",4,500,500)</f>
        <v/>
      </c>
      <c r="C1985" s="30">
        <v>1984.0</v>
      </c>
      <c r="D1985" s="16" t="s">
        <v>2596</v>
      </c>
      <c r="E1985" s="16" t="s">
        <v>184</v>
      </c>
      <c r="F1985" s="16" t="s">
        <v>219</v>
      </c>
      <c r="G1985" s="16" t="s">
        <v>222</v>
      </c>
      <c r="H1985" s="16" t="s">
        <v>232</v>
      </c>
      <c r="I1985" s="16" t="s">
        <v>233</v>
      </c>
    </row>
    <row r="1986" ht="242.25" customHeight="1">
      <c r="A1986" s="32" t="b">
        <v>0</v>
      </c>
      <c r="B1986" s="32" t="str">
        <f>IMAGE("https://gymvisual.com/13439-catalog_default/dumbbell-standing-one-arm-curl-over-incline-bench-female.jpg",4,500,500)</f>
        <v/>
      </c>
      <c r="C1986" s="30">
        <v>1985.0</v>
      </c>
      <c r="D1986" s="16" t="s">
        <v>2597</v>
      </c>
      <c r="E1986" s="16" t="s">
        <v>184</v>
      </c>
      <c r="F1986" s="16" t="s">
        <v>219</v>
      </c>
      <c r="G1986" s="16" t="s">
        <v>222</v>
      </c>
      <c r="H1986" s="16" t="s">
        <v>220</v>
      </c>
      <c r="I1986" s="16" t="s">
        <v>220</v>
      </c>
    </row>
    <row r="1987" ht="242.25" customHeight="1">
      <c r="A1987" s="32" t="b">
        <v>0</v>
      </c>
      <c r="B1987" s="32" t="str">
        <f>IMAGE("https://gymvisual.com/7154-catalog_default/dumbbell-standing-one-arm-curl-over-incline-bench.jpg",4,500,500)</f>
        <v/>
      </c>
      <c r="C1987" s="30">
        <v>1986.0</v>
      </c>
      <c r="D1987" s="16" t="s">
        <v>2598</v>
      </c>
      <c r="E1987" s="16" t="s">
        <v>184</v>
      </c>
      <c r="F1987" s="16" t="s">
        <v>219</v>
      </c>
      <c r="G1987" s="16" t="s">
        <v>222</v>
      </c>
      <c r="H1987" s="16" t="s">
        <v>220</v>
      </c>
      <c r="I1987" s="16" t="s">
        <v>220</v>
      </c>
    </row>
    <row r="1988" ht="242.25" customHeight="1">
      <c r="A1988" s="32" t="b">
        <v>0</v>
      </c>
      <c r="B1988" s="32" t="str">
        <f>IMAGE("https://gymvisual.com/1288-catalog_default/3-4-sit-up.jpg",4,500,500)</f>
        <v/>
      </c>
      <c r="C1988" s="30">
        <v>1987.0</v>
      </c>
      <c r="D1988" s="16" t="s">
        <v>2599</v>
      </c>
      <c r="E1988" s="16" t="s">
        <v>184</v>
      </c>
      <c r="F1988" s="16" t="s">
        <v>219</v>
      </c>
      <c r="G1988" s="16" t="s">
        <v>222</v>
      </c>
      <c r="H1988" s="16" t="s">
        <v>223</v>
      </c>
      <c r="I1988" s="16" t="s">
        <v>220</v>
      </c>
    </row>
    <row r="1989" ht="242.25" customHeight="1">
      <c r="A1989" s="32" t="b">
        <v>0</v>
      </c>
      <c r="B1989" s="32" t="str">
        <f>IMAGE("https://gymvisual.com/1291-catalog_default/3-4-sit-up.jpg",4,500,500)</f>
        <v/>
      </c>
      <c r="C1989" s="30">
        <v>1988.0</v>
      </c>
      <c r="D1989" s="16" t="s">
        <v>2600</v>
      </c>
      <c r="E1989" s="16" t="s">
        <v>184</v>
      </c>
      <c r="F1989" s="16" t="s">
        <v>228</v>
      </c>
      <c r="G1989" s="16" t="s">
        <v>222</v>
      </c>
      <c r="H1989" s="16" t="s">
        <v>229</v>
      </c>
      <c r="I1989" s="16" t="s">
        <v>626</v>
      </c>
    </row>
    <row r="1990" ht="242.25" customHeight="1">
      <c r="A1990" s="32" t="b">
        <v>0</v>
      </c>
      <c r="B1990" s="32" t="str">
        <f>IMAGE("https://gymvisual.com/1294-catalog_default/3-4-sit-up.jpg",4,500,500)</f>
        <v/>
      </c>
      <c r="C1990" s="30">
        <v>1989.0</v>
      </c>
      <c r="D1990" s="16" t="s">
        <v>2601</v>
      </c>
      <c r="E1990" s="16" t="s">
        <v>184</v>
      </c>
      <c r="F1990" s="16" t="s">
        <v>214</v>
      </c>
      <c r="G1990" s="16" t="s">
        <v>222</v>
      </c>
      <c r="H1990" s="16" t="s">
        <v>216</v>
      </c>
      <c r="I1990" s="16" t="s">
        <v>217</v>
      </c>
    </row>
    <row r="1991" ht="242.25" customHeight="1">
      <c r="A1991" s="32" t="b">
        <v>0</v>
      </c>
      <c r="B1991" s="32" t="str">
        <f>IMAGE("https://gymvisual.com/1297-catalog_default/3-4-sit-up.jpg",4,500,500)</f>
        <v/>
      </c>
      <c r="C1991" s="30">
        <v>1990.0</v>
      </c>
      <c r="D1991" s="16" t="s">
        <v>2602</v>
      </c>
      <c r="E1991" s="16" t="s">
        <v>184</v>
      </c>
      <c r="F1991" s="16" t="s">
        <v>228</v>
      </c>
      <c r="G1991" s="16" t="s">
        <v>222</v>
      </c>
      <c r="H1991" s="16" t="s">
        <v>229</v>
      </c>
      <c r="I1991" s="16" t="s">
        <v>626</v>
      </c>
    </row>
    <row r="1992" ht="242.25" customHeight="1">
      <c r="A1992" s="32" t="b">
        <v>0</v>
      </c>
      <c r="B1992" s="32" t="str">
        <f>IMAGE("https://gymvisual.com/10307-catalog_default/dumbbell-standing-overhead-press-female.jpg",4,500,500)</f>
        <v/>
      </c>
      <c r="C1992" s="30">
        <v>1991.0</v>
      </c>
      <c r="D1992" s="16" t="s">
        <v>2603</v>
      </c>
      <c r="E1992" s="16" t="s">
        <v>184</v>
      </c>
      <c r="F1992" s="16" t="s">
        <v>228</v>
      </c>
      <c r="G1992" s="16" t="s">
        <v>222</v>
      </c>
      <c r="H1992" s="16" t="s">
        <v>229</v>
      </c>
      <c r="I1992" s="16" t="s">
        <v>2604</v>
      </c>
    </row>
    <row r="1993" ht="242.25" customHeight="1">
      <c r="A1993" s="32" t="b">
        <v>0</v>
      </c>
      <c r="B1993" s="32" t="str">
        <f>IMAGE("https://gymvisual.com/1300-catalog_default/3-4-sit-up.jpg",4,500,500)</f>
        <v/>
      </c>
      <c r="C1993" s="30">
        <v>1992.0</v>
      </c>
      <c r="D1993" s="16" t="s">
        <v>2605</v>
      </c>
      <c r="E1993" s="16" t="s">
        <v>184</v>
      </c>
      <c r="F1993" s="16" t="s">
        <v>228</v>
      </c>
      <c r="G1993" s="16" t="s">
        <v>222</v>
      </c>
      <c r="H1993" s="16" t="s">
        <v>229</v>
      </c>
      <c r="I1993" s="16" t="s">
        <v>626</v>
      </c>
    </row>
    <row r="1994" ht="242.25" customHeight="1">
      <c r="A1994" s="32" t="b">
        <v>0</v>
      </c>
      <c r="B1994" s="32" t="str">
        <f>IMAGE("https://gymvisual.com/11345-catalog_default/dumbbell-standing-palms-in-press-female.jpg",4,500,500)</f>
        <v/>
      </c>
      <c r="C1994" s="30">
        <v>1993.0</v>
      </c>
      <c r="D1994" s="16" t="s">
        <v>2606</v>
      </c>
      <c r="E1994" s="16" t="s">
        <v>184</v>
      </c>
      <c r="F1994" s="16" t="s">
        <v>228</v>
      </c>
      <c r="G1994" s="16" t="s">
        <v>222</v>
      </c>
      <c r="H1994" s="16" t="s">
        <v>220</v>
      </c>
      <c r="I1994" s="16" t="s">
        <v>220</v>
      </c>
    </row>
    <row r="1995" ht="242.25" customHeight="1">
      <c r="A1995" s="32" t="b">
        <v>0</v>
      </c>
      <c r="B1995" s="32" t="str">
        <f>IMAGE("https://gymvisual.com/1303-catalog_default/3-4-sit-up.jpg",4,500,500)</f>
        <v/>
      </c>
      <c r="C1995" s="30">
        <v>1994.0</v>
      </c>
      <c r="D1995" s="16" t="s">
        <v>2607</v>
      </c>
      <c r="E1995" s="16" t="s">
        <v>184</v>
      </c>
      <c r="F1995" s="16" t="s">
        <v>219</v>
      </c>
      <c r="G1995" s="16" t="s">
        <v>222</v>
      </c>
      <c r="H1995" s="16" t="s">
        <v>232</v>
      </c>
      <c r="I1995" s="16" t="s">
        <v>233</v>
      </c>
    </row>
    <row r="1996" ht="242.25" customHeight="1">
      <c r="A1996" s="32" t="b">
        <v>0</v>
      </c>
      <c r="B1996" s="32" t="str">
        <f>IMAGE("https://gymvisual.com/1306-catalog_default/3-4-sit-up.jpg",4,500,500)</f>
        <v/>
      </c>
      <c r="C1996" s="30">
        <v>1995.0</v>
      </c>
      <c r="D1996" s="16" t="s">
        <v>2608</v>
      </c>
      <c r="E1996" s="16" t="s">
        <v>184</v>
      </c>
      <c r="F1996" s="16" t="s">
        <v>214</v>
      </c>
      <c r="G1996" s="16" t="s">
        <v>222</v>
      </c>
      <c r="H1996" s="16" t="s">
        <v>216</v>
      </c>
      <c r="I1996" s="16" t="s">
        <v>217</v>
      </c>
    </row>
    <row r="1997" ht="242.25" customHeight="1">
      <c r="A1997" s="32" t="b">
        <v>0</v>
      </c>
      <c r="B1997" s="32" t="str">
        <f>IMAGE("https://gymvisual.com/22351-catalog_default/dumbbell-standing-single-arm-arnold-press.jpg",4,500,500)</f>
        <v/>
      </c>
      <c r="C1997" s="30">
        <v>1996.0</v>
      </c>
      <c r="D1997" s="16" t="s">
        <v>2609</v>
      </c>
      <c r="E1997" s="16" t="s">
        <v>184</v>
      </c>
      <c r="F1997" s="16" t="s">
        <v>228</v>
      </c>
      <c r="G1997" s="16" t="s">
        <v>222</v>
      </c>
      <c r="H1997" s="16" t="s">
        <v>220</v>
      </c>
      <c r="I1997" s="16" t="s">
        <v>220</v>
      </c>
    </row>
    <row r="1998" ht="242.25" customHeight="1">
      <c r="A1998" s="32" t="b">
        <v>0</v>
      </c>
      <c r="B1998" s="32" t="str">
        <f>IMAGE("https://gymvisual.com/4434-catalog_default/dumbbell-standing-single-leg-calf-raise.jpg",4,500,500)</f>
        <v/>
      </c>
      <c r="C1998" s="30">
        <v>1997.0</v>
      </c>
      <c r="D1998" s="16" t="s">
        <v>2610</v>
      </c>
      <c r="E1998" s="16" t="s">
        <v>184</v>
      </c>
      <c r="F1998" s="16" t="s">
        <v>325</v>
      </c>
      <c r="G1998" s="16" t="s">
        <v>222</v>
      </c>
      <c r="H1998" s="16" t="s">
        <v>368</v>
      </c>
      <c r="I1998" s="16" t="s">
        <v>463</v>
      </c>
    </row>
    <row r="1999" ht="242.25" customHeight="1">
      <c r="A1999" s="32" t="b">
        <v>0</v>
      </c>
      <c r="B1999" s="32" t="str">
        <f>IMAGE("https://gymvisual.com/16041-catalog_default/dumbbell-standing-single-leg-calf-raise.jpg",4,500,500)</f>
        <v/>
      </c>
      <c r="C1999" s="30">
        <v>1998.0</v>
      </c>
      <c r="D1999" s="16" t="s">
        <v>2610</v>
      </c>
      <c r="E1999" s="16" t="s">
        <v>184</v>
      </c>
      <c r="F1999" s="16" t="s">
        <v>325</v>
      </c>
      <c r="G1999" s="16" t="s">
        <v>222</v>
      </c>
      <c r="H1999" s="16" t="s">
        <v>368</v>
      </c>
      <c r="I1999" s="16" t="s">
        <v>463</v>
      </c>
    </row>
    <row r="2000" ht="242.25" customHeight="1">
      <c r="A2000" s="32" t="b">
        <v>0</v>
      </c>
      <c r="B2000" s="32" t="str">
        <f>IMAGE("https://gymvisual.com/17466-catalog_default/dumbbell-standing-single-spider-curl.jpg",4,500,500)</f>
        <v/>
      </c>
      <c r="C2000" s="30">
        <v>1999.0</v>
      </c>
      <c r="D2000" s="16" t="s">
        <v>2611</v>
      </c>
      <c r="E2000" s="16" t="s">
        <v>184</v>
      </c>
      <c r="F2000" s="16" t="s">
        <v>219</v>
      </c>
      <c r="G2000" s="16" t="s">
        <v>222</v>
      </c>
      <c r="H2000" s="16" t="s">
        <v>241</v>
      </c>
      <c r="I2000" s="16" t="s">
        <v>292</v>
      </c>
    </row>
    <row r="2001" ht="242.25" customHeight="1">
      <c r="A2001" s="32" t="b">
        <v>0</v>
      </c>
      <c r="B2001" s="32" t="str">
        <f>IMAGE("https://gymvisual.com/1309-catalog_default/3-4-sit-up.jpg",4,500,500)</f>
        <v/>
      </c>
      <c r="C2001" s="30">
        <v>2000.0</v>
      </c>
      <c r="D2001" s="16" t="s">
        <v>2612</v>
      </c>
      <c r="E2001" s="16" t="s">
        <v>184</v>
      </c>
      <c r="F2001" s="16" t="s">
        <v>219</v>
      </c>
      <c r="G2001" s="16" t="s">
        <v>222</v>
      </c>
      <c r="H2001" s="16" t="s">
        <v>223</v>
      </c>
      <c r="I2001" s="16" t="s">
        <v>220</v>
      </c>
    </row>
    <row r="2002" ht="242.25" customHeight="1">
      <c r="A2002" s="32" t="b">
        <v>0</v>
      </c>
      <c r="B2002" s="32" t="str">
        <f>IMAGE("https://gymvisual.com/10368-catalog_default/dumbbell-standing-triceps-extension-female.jpg",4,500,500)</f>
        <v/>
      </c>
      <c r="C2002" s="30">
        <v>2001.0</v>
      </c>
      <c r="D2002" s="16" t="s">
        <v>2613</v>
      </c>
      <c r="E2002" s="16" t="s">
        <v>184</v>
      </c>
      <c r="F2002" s="16" t="s">
        <v>219</v>
      </c>
      <c r="G2002" s="16" t="s">
        <v>222</v>
      </c>
      <c r="H2002" s="16" t="s">
        <v>223</v>
      </c>
      <c r="I2002" s="16" t="s">
        <v>220</v>
      </c>
    </row>
    <row r="2003" ht="242.25" customHeight="1">
      <c r="A2003" s="32" t="b">
        <v>0</v>
      </c>
      <c r="B2003" s="32" t="str">
        <f>IMAGE("https://gymvisual.com/22450-catalog_default/dumbbell-standing-windmill.jpg",4,500,500)</f>
        <v/>
      </c>
      <c r="C2003" s="30">
        <v>2002.0</v>
      </c>
      <c r="D2003" s="16" t="s">
        <v>2614</v>
      </c>
      <c r="E2003" s="16" t="s">
        <v>184</v>
      </c>
      <c r="F2003" s="16" t="s">
        <v>254</v>
      </c>
      <c r="G2003" s="16" t="s">
        <v>222</v>
      </c>
      <c r="H2003" s="16" t="s">
        <v>220</v>
      </c>
      <c r="I2003" s="16" t="s">
        <v>220</v>
      </c>
    </row>
    <row r="2004" ht="242.25" customHeight="1">
      <c r="A2004" s="32" t="b">
        <v>0</v>
      </c>
      <c r="B2004" s="32" t="str">
        <f>IMAGE("https://gymvisual.com/9744-catalog_default/dumbbell-standing-zottman-preacher-curl.jpg",4,500,500)</f>
        <v/>
      </c>
      <c r="C2004" s="30">
        <v>2003.0</v>
      </c>
      <c r="D2004" s="16" t="s">
        <v>2615</v>
      </c>
      <c r="E2004" s="16" t="s">
        <v>184</v>
      </c>
      <c r="F2004" s="16" t="s">
        <v>219</v>
      </c>
      <c r="G2004" s="16" t="s">
        <v>222</v>
      </c>
      <c r="H2004" s="16" t="s">
        <v>241</v>
      </c>
      <c r="I2004" s="16" t="s">
        <v>2305</v>
      </c>
    </row>
    <row r="2005" ht="242.25" customHeight="1">
      <c r="A2005" s="32" t="b">
        <v>0</v>
      </c>
      <c r="B2005" s="32" t="str">
        <f>IMAGE("https://gymvisual.com/23591-catalog_default/dumbbell-static-lunge.jpg",4,500,500)</f>
        <v/>
      </c>
      <c r="C2005" s="30">
        <v>2004.0</v>
      </c>
      <c r="D2005" s="16" t="s">
        <v>2616</v>
      </c>
      <c r="E2005" s="16" t="s">
        <v>184</v>
      </c>
      <c r="F2005" s="16" t="s">
        <v>285</v>
      </c>
      <c r="G2005" s="16" t="s">
        <v>222</v>
      </c>
      <c r="H2005" s="16" t="s">
        <v>295</v>
      </c>
      <c r="I2005" s="16" t="s">
        <v>2512</v>
      </c>
    </row>
    <row r="2006" ht="242.25" customHeight="1">
      <c r="A2006" s="32" t="b">
        <v>0</v>
      </c>
      <c r="B2006" s="32" t="str">
        <f>IMAGE("https://gymvisual.com/22263-catalog_default/dumbbell-step-back-lunge-and-row.jpg",4,500,500)</f>
        <v/>
      </c>
      <c r="C2006" s="30">
        <v>2005.0</v>
      </c>
      <c r="D2006" s="16" t="s">
        <v>2617</v>
      </c>
      <c r="E2006" s="16" t="s">
        <v>184</v>
      </c>
      <c r="F2006" s="16" t="s">
        <v>285</v>
      </c>
      <c r="G2006" s="16" t="s">
        <v>222</v>
      </c>
      <c r="H2006" s="16" t="s">
        <v>220</v>
      </c>
      <c r="I2006" s="16" t="s">
        <v>220</v>
      </c>
    </row>
    <row r="2007" ht="242.25" customHeight="1">
      <c r="A2007" s="32" t="b">
        <v>0</v>
      </c>
      <c r="B2007" s="32" t="str">
        <f>IMAGE("https://gymvisual.com/9577-catalog_default/dumbbell-step-up-female.jpg",4,500,500)</f>
        <v/>
      </c>
      <c r="C2007" s="30">
        <v>2006.0</v>
      </c>
      <c r="D2007" s="16" t="s">
        <v>2618</v>
      </c>
      <c r="E2007" s="16" t="s">
        <v>184</v>
      </c>
      <c r="F2007" s="16" t="s">
        <v>294</v>
      </c>
      <c r="G2007" s="16" t="s">
        <v>222</v>
      </c>
      <c r="H2007" s="16" t="s">
        <v>189</v>
      </c>
      <c r="I2007" s="16" t="s">
        <v>190</v>
      </c>
    </row>
    <row r="2008" ht="242.25" customHeight="1">
      <c r="A2008" s="32" t="b">
        <v>0</v>
      </c>
      <c r="B2008" s="32" t="str">
        <f>IMAGE("https://gymvisual.com/7157-catalog_default/dumbbell-step-up-single-leg-balance-with-bicep-curl.jpg",4,500,500)</f>
        <v/>
      </c>
      <c r="C2008" s="30">
        <v>2007.0</v>
      </c>
      <c r="D2008" s="16" t="s">
        <v>2619</v>
      </c>
      <c r="E2008" s="16" t="s">
        <v>184</v>
      </c>
      <c r="F2008" s="16" t="s">
        <v>219</v>
      </c>
      <c r="G2008" s="16" t="s">
        <v>222</v>
      </c>
      <c r="H2008" s="16" t="s">
        <v>220</v>
      </c>
      <c r="I2008" s="16" t="s">
        <v>220</v>
      </c>
    </row>
    <row r="2009" ht="242.25" customHeight="1">
      <c r="A2009" s="32" t="b">
        <v>0</v>
      </c>
      <c r="B2009" s="32" t="str">
        <f>IMAGE("https://gymvisual.com/1312-catalog_default/3-4-sit-up.jpg",4,500,500)</f>
        <v/>
      </c>
      <c r="C2009" s="30">
        <v>2008.0</v>
      </c>
      <c r="D2009" s="16" t="s">
        <v>2620</v>
      </c>
      <c r="E2009" s="16" t="s">
        <v>184</v>
      </c>
      <c r="F2009" s="16" t="s">
        <v>185</v>
      </c>
      <c r="G2009" s="16" t="s">
        <v>222</v>
      </c>
      <c r="H2009" s="16" t="s">
        <v>189</v>
      </c>
      <c r="I2009" s="16" t="s">
        <v>2046</v>
      </c>
    </row>
    <row r="2010" ht="242.25" customHeight="1">
      <c r="A2010" s="32" t="b">
        <v>0</v>
      </c>
      <c r="B2010" s="32" t="str">
        <f>IMAGE("https://gymvisual.com/22522-catalog_default/dumbbell-step-up-version-2.jpg",4,500,500)</f>
        <v/>
      </c>
      <c r="C2010" s="30">
        <v>2009.0</v>
      </c>
      <c r="D2010" s="16" t="s">
        <v>2621</v>
      </c>
      <c r="E2010" s="16" t="s">
        <v>184</v>
      </c>
      <c r="F2010" s="16" t="s">
        <v>285</v>
      </c>
      <c r="G2010" s="16" t="s">
        <v>222</v>
      </c>
      <c r="H2010" s="16" t="s">
        <v>220</v>
      </c>
      <c r="I2010" s="16" t="s">
        <v>220</v>
      </c>
    </row>
    <row r="2011" ht="242.25" customHeight="1">
      <c r="A2011" s="32" t="b">
        <v>0</v>
      </c>
      <c r="B2011" s="32" t="str">
        <f>IMAGE("https://gymvisual.com/11958-catalog_default/dumbbell-step-up-lunge.jpg",4,500,500)</f>
        <v/>
      </c>
      <c r="C2011" s="30">
        <v>2010.0</v>
      </c>
      <c r="D2011" s="16" t="s">
        <v>2622</v>
      </c>
      <c r="E2011" s="16" t="s">
        <v>184</v>
      </c>
      <c r="F2011" s="16" t="s">
        <v>285</v>
      </c>
      <c r="G2011" s="16" t="s">
        <v>222</v>
      </c>
      <c r="H2011" s="16" t="s">
        <v>220</v>
      </c>
      <c r="I2011" s="16" t="s">
        <v>220</v>
      </c>
    </row>
    <row r="2012" ht="242.25" customHeight="1">
      <c r="A2012" s="32" t="b">
        <v>0</v>
      </c>
      <c r="B2012" s="32" t="str">
        <f>IMAGE("https://gymvisual.com/11959-catalog_default/dumbbell-step-up-lunge-female.jpg",4,500,500)</f>
        <v/>
      </c>
      <c r="C2012" s="30">
        <v>2011.0</v>
      </c>
      <c r="D2012" s="16" t="s">
        <v>2623</v>
      </c>
      <c r="E2012" s="16" t="s">
        <v>184</v>
      </c>
      <c r="F2012" s="16" t="s">
        <v>285</v>
      </c>
      <c r="G2012" s="16" t="s">
        <v>222</v>
      </c>
      <c r="H2012" s="16" t="s">
        <v>220</v>
      </c>
      <c r="I2012" s="16" t="s">
        <v>220</v>
      </c>
    </row>
    <row r="2013" ht="242.25" customHeight="1">
      <c r="A2013" s="32" t="b">
        <v>0</v>
      </c>
      <c r="B2013" s="32" t="str">
        <f>IMAGE("https://gymvisual.com/11975-catalog_default/dumbbell-step-up-split-squat.jpg",4,500,500)</f>
        <v/>
      </c>
      <c r="C2013" s="30">
        <v>2012.0</v>
      </c>
      <c r="D2013" s="16" t="s">
        <v>2624</v>
      </c>
      <c r="E2013" s="16" t="s">
        <v>184</v>
      </c>
      <c r="F2013" s="16" t="s">
        <v>285</v>
      </c>
      <c r="G2013" s="16" t="s">
        <v>222</v>
      </c>
      <c r="H2013" s="16" t="s">
        <v>220</v>
      </c>
      <c r="I2013" s="16" t="s">
        <v>220</v>
      </c>
    </row>
    <row r="2014" ht="242.25" customHeight="1">
      <c r="A2014" s="32" t="b">
        <v>0</v>
      </c>
      <c r="B2014" s="32" t="str">
        <f>IMAGE("https://gymvisual.com/11976-catalog_default/dumbbell-step-up-split-squat-female.jpg",4,500,500)</f>
        <v/>
      </c>
      <c r="C2014" s="30">
        <v>2013.0</v>
      </c>
      <c r="D2014" s="16" t="s">
        <v>2625</v>
      </c>
      <c r="E2014" s="16" t="s">
        <v>184</v>
      </c>
      <c r="F2014" s="16" t="s">
        <v>285</v>
      </c>
      <c r="G2014" s="16" t="s">
        <v>222</v>
      </c>
      <c r="H2014" s="16" t="s">
        <v>220</v>
      </c>
      <c r="I2014" s="16" t="s">
        <v>220</v>
      </c>
    </row>
    <row r="2015" ht="242.25" customHeight="1">
      <c r="A2015" s="32" t="b">
        <v>0</v>
      </c>
      <c r="B2015" s="32" t="str">
        <f>IMAGE("https://gymvisual.com/22161-catalog_default/dumbbell-step-up-with-knee-raise.jpg",4,500,500)</f>
        <v/>
      </c>
      <c r="C2015" s="30">
        <v>2014.0</v>
      </c>
      <c r="D2015" s="16" t="s">
        <v>2626</v>
      </c>
      <c r="E2015" s="16" t="s">
        <v>184</v>
      </c>
      <c r="F2015" s="16" t="s">
        <v>185</v>
      </c>
      <c r="G2015" s="16" t="s">
        <v>222</v>
      </c>
      <c r="H2015" s="16" t="s">
        <v>189</v>
      </c>
      <c r="I2015" s="16" t="s">
        <v>190</v>
      </c>
    </row>
    <row r="2016" ht="242.25" customHeight="1">
      <c r="A2016" s="32" t="b">
        <v>0</v>
      </c>
      <c r="B2016" s="32" t="str">
        <f>IMAGE("https://gymvisual.com/1315-catalog_default/3-4-sit-up.jpg",4,500,500)</f>
        <v/>
      </c>
      <c r="C2016" s="30">
        <v>2015.0</v>
      </c>
      <c r="D2016" s="16" t="s">
        <v>2627</v>
      </c>
      <c r="E2016" s="16" t="s">
        <v>184</v>
      </c>
      <c r="F2016" s="16" t="s">
        <v>185</v>
      </c>
      <c r="G2016" s="16" t="s">
        <v>222</v>
      </c>
      <c r="H2016" s="16" t="s">
        <v>267</v>
      </c>
      <c r="I2016" s="16" t="s">
        <v>188</v>
      </c>
    </row>
    <row r="2017" ht="242.25" customHeight="1">
      <c r="A2017" s="32" t="b">
        <v>0</v>
      </c>
      <c r="B2017" s="32" t="str">
        <f>IMAGE("https://gymvisual.com/13630-catalog_default/dumbbell-stiff-leg-deadlift.jpg",4,500,500)</f>
        <v/>
      </c>
      <c r="C2017" s="30">
        <v>2016.0</v>
      </c>
      <c r="D2017" s="16" t="s">
        <v>2627</v>
      </c>
      <c r="E2017" s="16" t="s">
        <v>184</v>
      </c>
      <c r="F2017" s="16" t="s">
        <v>185</v>
      </c>
      <c r="G2017" s="16" t="s">
        <v>222</v>
      </c>
      <c r="H2017" s="16" t="s">
        <v>267</v>
      </c>
      <c r="I2017" s="16" t="s">
        <v>188</v>
      </c>
    </row>
    <row r="2018" ht="242.25" customHeight="1">
      <c r="A2018" s="32" t="b">
        <v>0</v>
      </c>
      <c r="B2018" s="32" t="str">
        <f>IMAGE("https://gymvisual.com/11438-catalog_default/dumbbell-stiff-leg-deadlift-female.jpg",4,500,500)</f>
        <v/>
      </c>
      <c r="C2018" s="30">
        <v>2017.0</v>
      </c>
      <c r="D2018" s="16" t="s">
        <v>2628</v>
      </c>
      <c r="E2018" s="16" t="s">
        <v>184</v>
      </c>
      <c r="F2018" s="16" t="s">
        <v>294</v>
      </c>
      <c r="G2018" s="16" t="s">
        <v>222</v>
      </c>
      <c r="H2018" s="16" t="s">
        <v>267</v>
      </c>
      <c r="I2018" s="16" t="s">
        <v>188</v>
      </c>
    </row>
    <row r="2019" ht="242.25" customHeight="1">
      <c r="A2019" s="32" t="b">
        <v>0</v>
      </c>
      <c r="B2019" s="32" t="str">
        <f>IMAGE("https://gymvisual.com/17132-catalog_default/dumbbell-stiff-leg-deadlift-female.jpg",4,500,500)</f>
        <v/>
      </c>
      <c r="C2019" s="30">
        <v>2018.0</v>
      </c>
      <c r="D2019" s="16" t="s">
        <v>2628</v>
      </c>
      <c r="E2019" s="16" t="s">
        <v>184</v>
      </c>
      <c r="F2019" s="16" t="s">
        <v>185</v>
      </c>
      <c r="G2019" s="16" t="s">
        <v>222</v>
      </c>
      <c r="H2019" s="16" t="s">
        <v>267</v>
      </c>
      <c r="I2019" s="16" t="s">
        <v>188</v>
      </c>
    </row>
    <row r="2020" ht="242.25" customHeight="1">
      <c r="A2020" s="32" t="b">
        <v>0</v>
      </c>
      <c r="B2020" s="32" t="str">
        <f>IMAGE("https://gymvisual.com/6803-catalog_default/dumbbell-stiff-leg-deadlift-on-bench.jpg",4,500,500)</f>
        <v/>
      </c>
      <c r="C2020" s="30">
        <v>2019.0</v>
      </c>
      <c r="D2020" s="16" t="s">
        <v>2629</v>
      </c>
      <c r="E2020" s="16" t="s">
        <v>184</v>
      </c>
      <c r="F2020" s="16" t="s">
        <v>185</v>
      </c>
      <c r="G2020" s="16" t="s">
        <v>222</v>
      </c>
      <c r="H2020" s="16" t="s">
        <v>220</v>
      </c>
      <c r="I2020" s="16" t="s">
        <v>220</v>
      </c>
    </row>
    <row r="2021" ht="242.25" customHeight="1">
      <c r="A2021" s="32" t="b">
        <v>0</v>
      </c>
      <c r="B2021" s="32" t="str">
        <f>IMAGE("https://gymvisual.com/22139-catalog_default/dumbbell-straight-arm-crunch.jpg",4,500,500)</f>
        <v/>
      </c>
      <c r="C2021" s="30">
        <v>2020.0</v>
      </c>
      <c r="D2021" s="16" t="s">
        <v>2630</v>
      </c>
      <c r="E2021" s="16" t="s">
        <v>184</v>
      </c>
      <c r="F2021" s="16" t="s">
        <v>254</v>
      </c>
      <c r="G2021" s="16" t="s">
        <v>222</v>
      </c>
      <c r="H2021" s="16" t="s">
        <v>256</v>
      </c>
      <c r="I2021" s="16" t="s">
        <v>257</v>
      </c>
    </row>
    <row r="2022" ht="242.25" customHeight="1">
      <c r="A2022" s="32" t="b">
        <v>0</v>
      </c>
      <c r="B2022" s="32" t="str">
        <f>IMAGE("https://gymvisual.com/12250-catalog_default/3-4-sit-up.jpg",4,500,500)</f>
        <v/>
      </c>
      <c r="C2022" s="30">
        <v>2021.0</v>
      </c>
      <c r="D2022" s="16" t="s">
        <v>2631</v>
      </c>
      <c r="E2022" s="16" t="s">
        <v>184</v>
      </c>
      <c r="F2022" s="16" t="s">
        <v>234</v>
      </c>
      <c r="G2022" s="16" t="s">
        <v>222</v>
      </c>
      <c r="H2022" s="16" t="s">
        <v>347</v>
      </c>
      <c r="I2022" s="16" t="s">
        <v>2222</v>
      </c>
    </row>
    <row r="2023" ht="242.25" customHeight="1">
      <c r="A2023" s="32" t="b">
        <v>0</v>
      </c>
      <c r="B2023" s="32" t="str">
        <f>IMAGE("https://gymvisual.com/9637-catalog_default/dumbbell-straight-arm-pullover-female.jpg",4,500,500)</f>
        <v/>
      </c>
      <c r="C2023" s="30">
        <v>2022.0</v>
      </c>
      <c r="D2023" s="16" t="s">
        <v>2632</v>
      </c>
      <c r="E2023" s="16" t="s">
        <v>184</v>
      </c>
      <c r="F2023" s="16" t="s">
        <v>192</v>
      </c>
      <c r="G2023" s="16" t="s">
        <v>222</v>
      </c>
      <c r="H2023" s="16" t="s">
        <v>347</v>
      </c>
      <c r="I2023" s="16" t="s">
        <v>2362</v>
      </c>
    </row>
    <row r="2024" ht="242.25" customHeight="1">
      <c r="A2024" s="32" t="b">
        <v>0</v>
      </c>
      <c r="B2024" s="32" t="str">
        <f>IMAGE("https://gymvisual.com/12748-catalog_default/dumbbell-straight-arm-pullover-knees-at-90-degrees.jpg",4,500,500)</f>
        <v/>
      </c>
      <c r="C2024" s="30">
        <v>2023.0</v>
      </c>
      <c r="D2024" s="16" t="s">
        <v>2633</v>
      </c>
      <c r="E2024" s="16" t="s">
        <v>184</v>
      </c>
      <c r="F2024" s="16" t="s">
        <v>234</v>
      </c>
      <c r="G2024" s="16" t="s">
        <v>222</v>
      </c>
      <c r="H2024" s="16" t="s">
        <v>347</v>
      </c>
      <c r="I2024" s="16" t="s">
        <v>2634</v>
      </c>
    </row>
    <row r="2025" ht="242.25" customHeight="1">
      <c r="B2025" s="32" t="str">
        <f>IMAGE("https://gymvisual.com/12838-catalog_default/dumbbell-straight-arm-pullover-with-hanging-band-technique.jpg",4,500,500)</f>
        <v/>
      </c>
      <c r="C2025" s="30">
        <v>2024.0</v>
      </c>
      <c r="D2025" s="16" t="s">
        <v>2635</v>
      </c>
      <c r="E2025" s="16" t="s">
        <v>184</v>
      </c>
      <c r="F2025" s="16" t="s">
        <v>234</v>
      </c>
      <c r="G2025" s="16" t="s">
        <v>222</v>
      </c>
      <c r="H2025" s="16" t="s">
        <v>347</v>
      </c>
      <c r="I2025" s="16" t="s">
        <v>2636</v>
      </c>
    </row>
    <row r="2026" ht="242.25" customHeight="1">
      <c r="A2026" s="32" t="b">
        <v>0</v>
      </c>
      <c r="B2026" s="32" t="str">
        <f>IMAGE("https://gymvisual.com/22756-catalog_default/dumbbell-straight-arm-twisting-sit-up.jpg",4,500,500)</f>
        <v/>
      </c>
      <c r="C2026" s="30">
        <v>2025.0</v>
      </c>
      <c r="D2026" s="16" t="s">
        <v>2637</v>
      </c>
      <c r="E2026" s="16" t="s">
        <v>184</v>
      </c>
      <c r="F2026" s="16" t="s">
        <v>254</v>
      </c>
      <c r="G2026" s="16" t="s">
        <v>222</v>
      </c>
      <c r="H2026" s="16" t="s">
        <v>257</v>
      </c>
      <c r="I2026" s="16" t="s">
        <v>256</v>
      </c>
    </row>
    <row r="2027" ht="242.25" customHeight="1">
      <c r="A2027" s="32" t="b">
        <v>0</v>
      </c>
      <c r="B2027" s="32" t="str">
        <f>IMAGE("https://gymvisual.com/24651-catalog_default/3-4-sit-up.jpg",4,500,500)</f>
        <v/>
      </c>
      <c r="C2027" s="30">
        <v>2026.0</v>
      </c>
      <c r="D2027" s="16" t="s">
        <v>2638</v>
      </c>
      <c r="E2027" s="16" t="s">
        <v>184</v>
      </c>
      <c r="F2027" s="16" t="s">
        <v>254</v>
      </c>
      <c r="G2027" s="16" t="s">
        <v>222</v>
      </c>
      <c r="H2027" s="16" t="s">
        <v>267</v>
      </c>
      <c r="I2027" s="16" t="s">
        <v>188</v>
      </c>
    </row>
    <row r="2028" ht="242.25" customHeight="1">
      <c r="A2028" s="32" t="b">
        <v>0</v>
      </c>
      <c r="B2028" s="32" t="str">
        <f>IMAGE("https://gymvisual.com/19606-catalog_default/dumbbell-straight-leg-russian-twist.jpg",4,500,500)</f>
        <v/>
      </c>
      <c r="C2028" s="30">
        <v>2027.0</v>
      </c>
      <c r="D2028" s="16" t="s">
        <v>2639</v>
      </c>
      <c r="E2028" s="16" t="s">
        <v>184</v>
      </c>
      <c r="F2028" s="16" t="s">
        <v>254</v>
      </c>
      <c r="G2028" s="16" t="s">
        <v>222</v>
      </c>
      <c r="H2028" s="16" t="s">
        <v>257</v>
      </c>
      <c r="I2028" s="16" t="s">
        <v>2640</v>
      </c>
    </row>
    <row r="2029" ht="242.25" customHeight="1">
      <c r="A2029" s="32" t="b">
        <v>0</v>
      </c>
      <c r="B2029" s="32" t="str">
        <f>IMAGE("https://gymvisual.com/22151-catalog_default/dumbbell-straight-legs-deadlift.jpg",4,500,500)</f>
        <v/>
      </c>
      <c r="C2029" s="30">
        <v>2028.0</v>
      </c>
      <c r="D2029" s="16" t="s">
        <v>2641</v>
      </c>
      <c r="E2029" s="16" t="s">
        <v>184</v>
      </c>
      <c r="F2029" s="16" t="s">
        <v>185</v>
      </c>
      <c r="G2029" s="16" t="s">
        <v>222</v>
      </c>
      <c r="H2029" s="16" t="s">
        <v>267</v>
      </c>
      <c r="I2029" s="16" t="s">
        <v>188</v>
      </c>
    </row>
    <row r="2030" ht="242.25" customHeight="1">
      <c r="A2030" s="32" t="b">
        <v>0</v>
      </c>
      <c r="B2030" s="32" t="str">
        <f>IMAGE("https://gymvisual.com/12172-catalog_default/dumbbell-suitcase-carry.jpg",4,500,500)</f>
        <v/>
      </c>
      <c r="C2030" s="30">
        <v>2029.0</v>
      </c>
      <c r="D2030" s="16" t="s">
        <v>2642</v>
      </c>
      <c r="E2030" s="16" t="s">
        <v>184</v>
      </c>
      <c r="F2030" s="16" t="s">
        <v>285</v>
      </c>
      <c r="G2030" s="16" t="s">
        <v>222</v>
      </c>
      <c r="H2030" s="16" t="s">
        <v>220</v>
      </c>
      <c r="I2030" s="16" t="s">
        <v>220</v>
      </c>
    </row>
    <row r="2031" ht="242.25" customHeight="1">
      <c r="A2031" s="32" t="b">
        <v>0</v>
      </c>
      <c r="B2031" s="32" t="str">
        <f>IMAGE("https://gymvisual.com/22265-catalog_default/dumbbell-sumo-deadlift-female.jpg",4,500,500)</f>
        <v/>
      </c>
      <c r="C2031" s="30">
        <v>2030.0</v>
      </c>
      <c r="D2031" s="16" t="s">
        <v>2643</v>
      </c>
      <c r="E2031" s="16" t="s">
        <v>184</v>
      </c>
      <c r="F2031" s="16" t="s">
        <v>185</v>
      </c>
      <c r="G2031" s="16" t="s">
        <v>222</v>
      </c>
      <c r="H2031" s="16" t="s">
        <v>220</v>
      </c>
      <c r="I2031" s="16" t="s">
        <v>220</v>
      </c>
    </row>
    <row r="2032" ht="242.25" customHeight="1">
      <c r="A2032" s="32" t="b">
        <v>0</v>
      </c>
      <c r="B2032" s="32" t="str">
        <f>IMAGE("https://gymvisual.com/11970-catalog_default/dumbbell-sumo-pull-through.jpg",4,500,500)</f>
        <v/>
      </c>
      <c r="C2032" s="30">
        <v>2031.0</v>
      </c>
      <c r="D2032" s="16" t="s">
        <v>2644</v>
      </c>
      <c r="E2032" s="16" t="s">
        <v>184</v>
      </c>
      <c r="F2032" s="16" t="s">
        <v>185</v>
      </c>
      <c r="G2032" s="16" t="s">
        <v>222</v>
      </c>
      <c r="H2032" s="16" t="s">
        <v>220</v>
      </c>
      <c r="I2032" s="16" t="s">
        <v>220</v>
      </c>
    </row>
    <row r="2033" ht="242.25" customHeight="1">
      <c r="A2033" s="32" t="b">
        <v>0</v>
      </c>
      <c r="B2033" s="32" t="str">
        <f>IMAGE("https://gymvisual.com/11971-catalog_default/dumbbell-sumo-pull-through-female.jpg",4,500,500)</f>
        <v/>
      </c>
      <c r="C2033" s="30">
        <v>2032.0</v>
      </c>
      <c r="D2033" s="16" t="s">
        <v>2645</v>
      </c>
      <c r="E2033" s="16" t="s">
        <v>184</v>
      </c>
      <c r="F2033" s="16" t="s">
        <v>185</v>
      </c>
      <c r="G2033" s="16" t="s">
        <v>222</v>
      </c>
      <c r="H2033" s="16" t="s">
        <v>1201</v>
      </c>
      <c r="I2033" s="16" t="s">
        <v>2646</v>
      </c>
    </row>
    <row r="2034" ht="242.25" customHeight="1">
      <c r="A2034" s="32" t="b">
        <v>0</v>
      </c>
      <c r="B2034" s="32" t="str">
        <f>IMAGE("https://gymvisual.com/1324-catalog_default/3-4-sit-up.jpg",4,500,500)</f>
        <v/>
      </c>
      <c r="C2034" s="30">
        <v>2033.0</v>
      </c>
      <c r="D2034" s="16" t="s">
        <v>2647</v>
      </c>
      <c r="E2034" s="16" t="s">
        <v>184</v>
      </c>
      <c r="F2034" s="16" t="s">
        <v>285</v>
      </c>
      <c r="G2034" s="16" t="s">
        <v>222</v>
      </c>
      <c r="H2034" s="16" t="s">
        <v>189</v>
      </c>
      <c r="I2034" s="16" t="s">
        <v>190</v>
      </c>
    </row>
    <row r="2035" ht="242.25" customHeight="1">
      <c r="A2035" s="32" t="b">
        <v>0</v>
      </c>
      <c r="B2035" s="32" t="str">
        <f>IMAGE("https://gymvisual.com/20656-catalog_default/dumbbell-sumo-squat-female.jpg",4,500,500)</f>
        <v/>
      </c>
      <c r="C2035" s="30">
        <v>2034.0</v>
      </c>
      <c r="D2035" s="16" t="s">
        <v>2648</v>
      </c>
      <c r="E2035" s="16" t="s">
        <v>184</v>
      </c>
      <c r="F2035" s="16" t="s">
        <v>285</v>
      </c>
      <c r="G2035" s="16" t="s">
        <v>222</v>
      </c>
      <c r="H2035" s="16" t="s">
        <v>189</v>
      </c>
      <c r="I2035" s="16" t="s">
        <v>1121</v>
      </c>
    </row>
    <row r="2036" ht="242.25" customHeight="1">
      <c r="A2036" s="32" t="b">
        <v>0</v>
      </c>
      <c r="B2036" s="32" t="str">
        <f>IMAGE("https://gymvisual.com/21113-catalog_default/dumbbell-sumo-squat-male.jpg",4,500,500)</f>
        <v/>
      </c>
      <c r="C2036" s="30">
        <v>2035.0</v>
      </c>
      <c r="D2036" s="16" t="s">
        <v>2649</v>
      </c>
      <c r="E2036" s="16" t="s">
        <v>184</v>
      </c>
      <c r="F2036" s="16" t="s">
        <v>294</v>
      </c>
      <c r="G2036" s="16" t="s">
        <v>222</v>
      </c>
      <c r="H2036" s="16" t="s">
        <v>220</v>
      </c>
      <c r="I2036" s="16" t="s">
        <v>220</v>
      </c>
    </row>
    <row r="2037" ht="242.25" customHeight="1">
      <c r="A2037" s="32" t="b">
        <v>0</v>
      </c>
      <c r="B2037" s="32" t="str">
        <f>IMAGE("https://gymvisual.com/10539-catalog_default/dumbbell-sumo-squat-off-benches-female.jpg",4,500,500)</f>
        <v/>
      </c>
      <c r="C2037" s="30">
        <v>2036.0</v>
      </c>
      <c r="D2037" s="16" t="s">
        <v>2650</v>
      </c>
      <c r="E2037" s="16" t="s">
        <v>184</v>
      </c>
      <c r="F2037" s="16" t="s">
        <v>185</v>
      </c>
      <c r="G2037" s="16" t="s">
        <v>222</v>
      </c>
      <c r="H2037" s="16" t="s">
        <v>189</v>
      </c>
      <c r="I2037" s="16" t="s">
        <v>1121</v>
      </c>
    </row>
    <row r="2038" ht="242.25" customHeight="1">
      <c r="A2038" s="32" t="b">
        <v>0</v>
      </c>
      <c r="B2038" s="32" t="str">
        <f>IMAGE("https://gymvisual.com/13930-catalog_default/dumbbell-superman.jpg",4,500,500)</f>
        <v/>
      </c>
      <c r="C2038" s="30">
        <v>2037.0</v>
      </c>
      <c r="D2038" s="16" t="s">
        <v>2651</v>
      </c>
      <c r="E2038" s="16" t="s">
        <v>184</v>
      </c>
      <c r="F2038" s="16" t="s">
        <v>185</v>
      </c>
      <c r="G2038" s="16" t="s">
        <v>222</v>
      </c>
      <c r="H2038" s="16" t="s">
        <v>267</v>
      </c>
      <c r="I2038" s="16" t="s">
        <v>188</v>
      </c>
    </row>
    <row r="2039" ht="242.25" customHeight="1">
      <c r="A2039" s="32" t="b">
        <v>0</v>
      </c>
      <c r="B2039" s="32" t="str">
        <f>IMAGE("https://gymvisual.com/13932-catalog_default/dumbbell-superman-female.jpg",4,500,500)</f>
        <v/>
      </c>
      <c r="C2039" s="30">
        <v>2038.0</v>
      </c>
      <c r="D2039" s="16" t="s">
        <v>2652</v>
      </c>
      <c r="E2039" s="16" t="s">
        <v>184</v>
      </c>
      <c r="F2039" s="16" t="s">
        <v>185</v>
      </c>
      <c r="G2039" s="16" t="s">
        <v>222</v>
      </c>
      <c r="H2039" s="16" t="s">
        <v>267</v>
      </c>
      <c r="I2039" s="16" t="s">
        <v>188</v>
      </c>
    </row>
    <row r="2040" ht="242.25" customHeight="1">
      <c r="A2040" s="32" t="b">
        <v>0</v>
      </c>
      <c r="B2040" s="32" t="str">
        <f>IMAGE("https://gymvisual.com/11967-catalog_default/dumbbell-supported-squat.jpg",4,500,500)</f>
        <v/>
      </c>
      <c r="C2040" s="30">
        <v>2039.0</v>
      </c>
      <c r="D2040" s="16" t="s">
        <v>2653</v>
      </c>
      <c r="E2040" s="16" t="s">
        <v>184</v>
      </c>
      <c r="F2040" s="16" t="s">
        <v>285</v>
      </c>
      <c r="G2040" s="16" t="s">
        <v>222</v>
      </c>
      <c r="H2040" s="16" t="s">
        <v>220</v>
      </c>
      <c r="I2040" s="16" t="s">
        <v>220</v>
      </c>
    </row>
    <row r="2041" ht="242.25" customHeight="1">
      <c r="A2041" s="32" t="b">
        <v>0</v>
      </c>
      <c r="B2041" s="32" t="str">
        <f>IMAGE("https://gymvisual.com/11966-catalog_default/dumbbell-supported-squat-female.jpg",4,500,500)</f>
        <v/>
      </c>
      <c r="C2041" s="30">
        <v>2040.0</v>
      </c>
      <c r="D2041" s="16" t="s">
        <v>2654</v>
      </c>
      <c r="E2041" s="16" t="s">
        <v>184</v>
      </c>
      <c r="F2041" s="16" t="s">
        <v>285</v>
      </c>
      <c r="G2041" s="16" t="s">
        <v>222</v>
      </c>
      <c r="H2041" s="16" t="s">
        <v>220</v>
      </c>
      <c r="I2041" s="16" t="s">
        <v>220</v>
      </c>
    </row>
    <row r="2042" ht="242.25" customHeight="1">
      <c r="A2042" s="32" t="b">
        <v>0</v>
      </c>
      <c r="B2042" s="32" t="str">
        <f>IMAGE("https://gymvisual.com/13926-catalog_default/dumbbell-svend-press.jpg",4,500,500)</f>
        <v/>
      </c>
      <c r="C2042" s="30">
        <v>2041.0</v>
      </c>
      <c r="D2042" s="16" t="s">
        <v>2655</v>
      </c>
      <c r="E2042" s="16" t="s">
        <v>184</v>
      </c>
      <c r="F2042" s="16" t="s">
        <v>234</v>
      </c>
      <c r="G2042" s="16" t="s">
        <v>222</v>
      </c>
      <c r="H2042" s="16" t="s">
        <v>235</v>
      </c>
      <c r="I2042" s="16" t="s">
        <v>243</v>
      </c>
    </row>
    <row r="2043" ht="242.25" customHeight="1">
      <c r="A2043" s="32" t="b">
        <v>0</v>
      </c>
      <c r="B2043" s="32" t="str">
        <f>IMAGE("https://gymvisual.com/13928-catalog_default/dumbbell-svend-press-female.jpg",4,500,500)</f>
        <v/>
      </c>
      <c r="C2043" s="30">
        <v>2042.0</v>
      </c>
      <c r="D2043" s="16" t="s">
        <v>2656</v>
      </c>
      <c r="E2043" s="16" t="s">
        <v>184</v>
      </c>
      <c r="F2043" s="16" t="s">
        <v>234</v>
      </c>
      <c r="G2043" s="16" t="s">
        <v>222</v>
      </c>
      <c r="H2043" s="16" t="s">
        <v>235</v>
      </c>
      <c r="I2043" s="16" t="s">
        <v>243</v>
      </c>
    </row>
    <row r="2044" ht="242.25" customHeight="1">
      <c r="A2044" s="32" t="b">
        <v>0</v>
      </c>
      <c r="B2044" s="32" t="str">
        <f>IMAGE("https://gymvisual.com/13699-catalog_default/dumbbell-swing.jpg",4,500,500)</f>
        <v/>
      </c>
      <c r="C2044" s="30">
        <v>2043.0</v>
      </c>
      <c r="D2044" s="16" t="s">
        <v>2657</v>
      </c>
      <c r="E2044" s="16" t="s">
        <v>184</v>
      </c>
      <c r="F2044" s="16" t="s">
        <v>691</v>
      </c>
      <c r="G2044" s="16" t="s">
        <v>222</v>
      </c>
      <c r="H2044" s="16" t="s">
        <v>2060</v>
      </c>
      <c r="I2044" s="16" t="s">
        <v>2061</v>
      </c>
    </row>
    <row r="2045" ht="242.25" customHeight="1">
      <c r="A2045" s="32" t="b">
        <v>0</v>
      </c>
      <c r="B2045" s="32" t="str">
        <f>IMAGE("https://gymvisual.com/13912-catalog_default/dumbbell-swing-female.jpg",4,500,500)</f>
        <v/>
      </c>
      <c r="C2045" s="30">
        <v>2044.0</v>
      </c>
      <c r="D2045" s="16" t="s">
        <v>2658</v>
      </c>
      <c r="E2045" s="16" t="s">
        <v>184</v>
      </c>
      <c r="F2045" s="16" t="s">
        <v>691</v>
      </c>
      <c r="G2045" s="16" t="s">
        <v>222</v>
      </c>
      <c r="H2045" s="16" t="s">
        <v>2412</v>
      </c>
      <c r="I2045" s="16" t="s">
        <v>2659</v>
      </c>
    </row>
    <row r="2046" ht="242.25" customHeight="1">
      <c r="A2046" s="32" t="b">
        <v>0</v>
      </c>
      <c r="B2046" s="32" t="str">
        <f>IMAGE("https://gymvisual.com/1327-catalog_default/3-4-sit-up.jpg",4,500,500)</f>
        <v/>
      </c>
      <c r="C2046" s="30">
        <v>2045.0</v>
      </c>
      <c r="D2046" s="16" t="s">
        <v>2660</v>
      </c>
      <c r="E2046" s="16" t="s">
        <v>184</v>
      </c>
      <c r="F2046" s="16" t="s">
        <v>219</v>
      </c>
      <c r="G2046" s="16" t="s">
        <v>222</v>
      </c>
      <c r="H2046" s="16" t="s">
        <v>223</v>
      </c>
      <c r="I2046" s="16" t="s">
        <v>229</v>
      </c>
    </row>
    <row r="2047" ht="242.25" customHeight="1">
      <c r="A2047" s="32" t="b">
        <v>0</v>
      </c>
      <c r="B2047" s="32" t="str">
        <f>IMAGE("https://gymvisual.com/20680-catalog_default/dumbbell-thruster.jpg",4,500,500)</f>
        <v/>
      </c>
      <c r="C2047" s="30">
        <v>2046.0</v>
      </c>
      <c r="D2047" s="16" t="s">
        <v>2661</v>
      </c>
      <c r="E2047" s="16" t="s">
        <v>184</v>
      </c>
      <c r="F2047" s="16" t="s">
        <v>691</v>
      </c>
      <c r="G2047" s="16" t="s">
        <v>222</v>
      </c>
      <c r="H2047" s="16" t="s">
        <v>793</v>
      </c>
      <c r="I2047" s="16" t="s">
        <v>2662</v>
      </c>
    </row>
    <row r="2048" ht="242.25" customHeight="1">
      <c r="A2048" s="32" t="b">
        <v>0</v>
      </c>
      <c r="B2048" s="32" t="str">
        <f>IMAGE("https://gymvisual.com/13281-catalog_default/dumbbell-thruster-female.jpg",4,500,500)</f>
        <v/>
      </c>
      <c r="C2048" s="30">
        <v>2047.0</v>
      </c>
      <c r="D2048" s="16" t="s">
        <v>2663</v>
      </c>
      <c r="E2048" s="16" t="s">
        <v>184</v>
      </c>
      <c r="F2048" s="16" t="s">
        <v>691</v>
      </c>
      <c r="G2048" s="16" t="s">
        <v>222</v>
      </c>
      <c r="H2048" s="16" t="s">
        <v>220</v>
      </c>
      <c r="I2048" s="16" t="s">
        <v>220</v>
      </c>
    </row>
    <row r="2049" ht="242.25" customHeight="1">
      <c r="A2049" s="32" t="b">
        <v>0</v>
      </c>
      <c r="B2049" s="32" t="str">
        <f>IMAGE("https://gymvisual.com/7461-catalog_default/dumbbell-tricep-kickback-with-stork-stance.jpg",4,500,500)</f>
        <v/>
      </c>
      <c r="C2049" s="30">
        <v>2048.0</v>
      </c>
      <c r="D2049" s="16" t="s">
        <v>2664</v>
      </c>
      <c r="E2049" s="16" t="s">
        <v>184</v>
      </c>
      <c r="F2049" s="16" t="s">
        <v>219</v>
      </c>
      <c r="G2049" s="16" t="s">
        <v>222</v>
      </c>
      <c r="H2049" s="16" t="s">
        <v>220</v>
      </c>
      <c r="I2049" s="16" t="s">
        <v>220</v>
      </c>
    </row>
    <row r="2050" ht="242.25" customHeight="1">
      <c r="A2050" s="32" t="b">
        <v>0</v>
      </c>
      <c r="B2050" s="32" t="str">
        <f>IMAGE("https://gymvisual.com/18756-catalog_default/dumbbell-twisted-fly.jpg",4,500,500)</f>
        <v/>
      </c>
      <c r="C2050" s="30">
        <v>2049.0</v>
      </c>
      <c r="D2050" s="16" t="s">
        <v>2665</v>
      </c>
      <c r="E2050" s="16" t="s">
        <v>184</v>
      </c>
      <c r="F2050" s="16" t="s">
        <v>234</v>
      </c>
      <c r="G2050" s="16" t="s">
        <v>222</v>
      </c>
      <c r="H2050" s="16" t="s">
        <v>220</v>
      </c>
      <c r="I2050" s="16" t="s">
        <v>220</v>
      </c>
    </row>
    <row r="2051" ht="242.25" customHeight="1">
      <c r="A2051" s="32" t="b">
        <v>0</v>
      </c>
      <c r="B2051" s="32" t="str">
        <f>IMAGE("https://gymvisual.com/7462-catalog_default/dumbbell-twisting-bench-press.jpg",4,500,500)</f>
        <v/>
      </c>
      <c r="C2051" s="30">
        <v>2050.0</v>
      </c>
      <c r="D2051" s="16" t="s">
        <v>2666</v>
      </c>
      <c r="E2051" s="16" t="s">
        <v>184</v>
      </c>
      <c r="F2051" s="16" t="s">
        <v>219</v>
      </c>
      <c r="G2051" s="16" t="s">
        <v>222</v>
      </c>
      <c r="H2051" s="16" t="s">
        <v>220</v>
      </c>
      <c r="I2051" s="16" t="s">
        <v>220</v>
      </c>
    </row>
    <row r="2052" ht="242.25" customHeight="1">
      <c r="A2052" s="32" t="b">
        <v>0</v>
      </c>
      <c r="B2052" s="32" t="str">
        <f>IMAGE("https://gymvisual.com/10028-catalog_default/dumbbell-two-arm-seated-hammer-curl-on-exercise-ball.jpg",4,500,500)</f>
        <v/>
      </c>
      <c r="C2052" s="30">
        <v>2051.0</v>
      </c>
      <c r="D2052" s="16" t="s">
        <v>2667</v>
      </c>
      <c r="E2052" s="16" t="s">
        <v>184</v>
      </c>
      <c r="F2052" s="16" t="s">
        <v>214</v>
      </c>
      <c r="G2052" s="16" t="s">
        <v>222</v>
      </c>
      <c r="H2052" s="16" t="s">
        <v>216</v>
      </c>
      <c r="I2052" s="16" t="s">
        <v>217</v>
      </c>
    </row>
    <row r="2053" ht="242.25" customHeight="1">
      <c r="A2053" s="32" t="b">
        <v>0</v>
      </c>
      <c r="B2053" s="32" t="str">
        <f>IMAGE("https://gymvisual.com/24822-catalog_default/3-4-sit-up.jpg",4,500,500)</f>
        <v/>
      </c>
      <c r="C2053" s="30">
        <v>2052.0</v>
      </c>
      <c r="D2053" s="16" t="s">
        <v>2668</v>
      </c>
      <c r="E2053" s="16" t="s">
        <v>184</v>
      </c>
      <c r="F2053" s="16" t="s">
        <v>228</v>
      </c>
      <c r="G2053" s="16" t="s">
        <v>222</v>
      </c>
      <c r="H2053" s="16" t="s">
        <v>544</v>
      </c>
      <c r="I2053" s="16" t="s">
        <v>713</v>
      </c>
    </row>
    <row r="2054" ht="242.25" customHeight="1">
      <c r="A2054" s="32" t="b">
        <v>0</v>
      </c>
      <c r="B2054" s="32" t="str">
        <f>IMAGE("https://gymvisual.com/7592-catalog_default/dumbbell-upright-row-back-pov.jpg",4,500,500)</f>
        <v/>
      </c>
      <c r="C2054" s="30">
        <v>2053.0</v>
      </c>
      <c r="D2054" s="16" t="s">
        <v>2669</v>
      </c>
      <c r="E2054" s="16" t="s">
        <v>184</v>
      </c>
      <c r="F2054" s="16" t="s">
        <v>228</v>
      </c>
      <c r="G2054" s="16" t="s">
        <v>222</v>
      </c>
      <c r="H2054" s="16" t="s">
        <v>220</v>
      </c>
      <c r="I2054" s="16" t="s">
        <v>220</v>
      </c>
    </row>
    <row r="2055" ht="242.25" customHeight="1">
      <c r="A2055" s="32" t="b">
        <v>0</v>
      </c>
      <c r="B2055" s="32" t="str">
        <f>IMAGE("https://gymvisual.com/13898-catalog_default/dumbbell-upright-row-female.jpg",4,500,500)</f>
        <v/>
      </c>
      <c r="C2055" s="30">
        <v>2054.0</v>
      </c>
      <c r="D2055" s="16" t="s">
        <v>2670</v>
      </c>
      <c r="E2055" s="16" t="s">
        <v>184</v>
      </c>
      <c r="F2055" s="16" t="s">
        <v>228</v>
      </c>
      <c r="G2055" s="16" t="s">
        <v>222</v>
      </c>
      <c r="H2055" s="16" t="s">
        <v>544</v>
      </c>
      <c r="I2055" s="16" t="s">
        <v>713</v>
      </c>
    </row>
    <row r="2056" ht="242.25" customHeight="1">
      <c r="A2056" s="32" t="b">
        <v>0</v>
      </c>
      <c r="B2056" s="32" t="str">
        <f>IMAGE("https://gymvisual.com/2631-catalog_default/dumbbell-upright-shoulder-external-rotation.jpg",4,500,500)</f>
        <v/>
      </c>
      <c r="C2056" s="30">
        <v>2055.0</v>
      </c>
      <c r="D2056" s="16" t="s">
        <v>2671</v>
      </c>
      <c r="E2056" s="16" t="s">
        <v>184</v>
      </c>
      <c r="F2056" s="16" t="s">
        <v>192</v>
      </c>
      <c r="G2056" s="16" t="s">
        <v>222</v>
      </c>
      <c r="H2056" s="16" t="s">
        <v>1607</v>
      </c>
      <c r="I2056" s="16" t="s">
        <v>220</v>
      </c>
    </row>
    <row r="2057" ht="242.25" customHeight="1">
      <c r="A2057" s="32" t="b">
        <v>0</v>
      </c>
      <c r="B2057" s="32" t="str">
        <f>IMAGE("https://gymvisual.com/13620-catalog_default/dumbbell-v-up.jpg",4,500,500)</f>
        <v/>
      </c>
      <c r="C2057" s="30">
        <v>2056.0</v>
      </c>
      <c r="D2057" s="16" t="s">
        <v>2672</v>
      </c>
      <c r="E2057" s="16" t="s">
        <v>184</v>
      </c>
      <c r="F2057" s="16" t="s">
        <v>254</v>
      </c>
      <c r="G2057" s="16" t="s">
        <v>222</v>
      </c>
      <c r="H2057" s="16" t="s">
        <v>305</v>
      </c>
      <c r="I2057" s="16" t="s">
        <v>319</v>
      </c>
    </row>
    <row r="2058" ht="242.25" customHeight="1">
      <c r="A2058" s="32" t="b">
        <v>0</v>
      </c>
      <c r="B2058" s="32" t="str">
        <f>IMAGE("https://gymvisual.com/13914-catalog_default/dumbbell-v-up-female.jpg",4,500,500)</f>
        <v/>
      </c>
      <c r="C2058" s="30">
        <v>2057.0</v>
      </c>
      <c r="D2058" s="16" t="s">
        <v>2673</v>
      </c>
      <c r="E2058" s="16" t="s">
        <v>184</v>
      </c>
      <c r="F2058" s="16" t="s">
        <v>310</v>
      </c>
      <c r="G2058" s="16" t="s">
        <v>222</v>
      </c>
      <c r="H2058" s="16" t="s">
        <v>305</v>
      </c>
      <c r="I2058" s="16" t="s">
        <v>600</v>
      </c>
    </row>
    <row r="2059" ht="242.25" customHeight="1">
      <c r="A2059" s="32" t="b">
        <v>0</v>
      </c>
      <c r="B2059" s="32" t="str">
        <f>IMAGE("https://gymvisual.com/22754-catalog_default/dumbbell-v-up-version-2.jpg",4,500,500)</f>
        <v/>
      </c>
      <c r="C2059" s="30">
        <v>2058.0</v>
      </c>
      <c r="D2059" s="16" t="s">
        <v>2674</v>
      </c>
      <c r="E2059" s="16" t="s">
        <v>184</v>
      </c>
      <c r="F2059" s="16" t="s">
        <v>254</v>
      </c>
      <c r="G2059" s="16" t="s">
        <v>222</v>
      </c>
      <c r="H2059" s="16" t="s">
        <v>305</v>
      </c>
      <c r="I2059" s="16" t="s">
        <v>600</v>
      </c>
    </row>
    <row r="2060" ht="242.25" customHeight="1">
      <c r="A2060" s="32" t="b">
        <v>0</v>
      </c>
      <c r="B2060" s="32" t="str">
        <f>IMAGE("https://gymvisual.com/13900-catalog_default/dumbbell-w-press-female.jpg",4,500,500)</f>
        <v/>
      </c>
      <c r="C2060" s="30">
        <v>2059.0</v>
      </c>
      <c r="D2060" s="16" t="s">
        <v>2675</v>
      </c>
      <c r="E2060" s="16" t="s">
        <v>184</v>
      </c>
      <c r="F2060" s="16" t="s">
        <v>228</v>
      </c>
      <c r="G2060" s="16" t="s">
        <v>222</v>
      </c>
      <c r="H2060" s="16" t="s">
        <v>220</v>
      </c>
      <c r="I2060" s="16" t="s">
        <v>220</v>
      </c>
    </row>
    <row r="2061" ht="242.25" customHeight="1">
      <c r="A2061" s="32" t="b">
        <v>0</v>
      </c>
      <c r="B2061" s="32" t="str">
        <f>IMAGE("https://gymvisual.com/14175-catalog_default/3-4-sit-up.jpg",4,500,500)</f>
        <v/>
      </c>
      <c r="C2061" s="30">
        <v>2060.0</v>
      </c>
      <c r="D2061" s="16" t="s">
        <v>2676</v>
      </c>
      <c r="E2061" s="16" t="s">
        <v>184</v>
      </c>
      <c r="F2061" s="16" t="s">
        <v>228</v>
      </c>
      <c r="G2061" s="16" t="s">
        <v>222</v>
      </c>
      <c r="H2061" s="16" t="s">
        <v>544</v>
      </c>
      <c r="I2061" s="16" t="s">
        <v>722</v>
      </c>
    </row>
    <row r="2062" ht="242.25" customHeight="1">
      <c r="A2062" s="32" t="b">
        <v>0</v>
      </c>
      <c r="B2062" s="32" t="str">
        <f>IMAGE("https://gymvisual.com/20395-catalog_default/dumbbell-waiter-biceps-curl.jpg",4,500,500)</f>
        <v/>
      </c>
      <c r="C2062" s="30">
        <v>2061.0</v>
      </c>
      <c r="D2062" s="16" t="s">
        <v>2677</v>
      </c>
      <c r="E2062" s="16" t="s">
        <v>184</v>
      </c>
      <c r="F2062" s="16" t="s">
        <v>219</v>
      </c>
      <c r="G2062" s="16" t="s">
        <v>222</v>
      </c>
      <c r="H2062" s="16" t="s">
        <v>241</v>
      </c>
      <c r="I2062" s="16" t="s">
        <v>292</v>
      </c>
    </row>
    <row r="2063" ht="242.25" customHeight="1">
      <c r="A2063" s="32" t="b">
        <v>0</v>
      </c>
      <c r="B2063" s="32" t="str">
        <f>IMAGE("https://gymvisual.com/25067-catalog_default/dumbbell-walking-calf-raise.jpg",4,500,500)</f>
        <v/>
      </c>
      <c r="C2063" s="30">
        <v>2062.0</v>
      </c>
      <c r="D2063" s="16" t="s">
        <v>2678</v>
      </c>
      <c r="E2063" s="16" t="s">
        <v>184</v>
      </c>
      <c r="F2063" s="16" t="s">
        <v>325</v>
      </c>
      <c r="G2063" s="16" t="s">
        <v>222</v>
      </c>
      <c r="H2063" s="16" t="s">
        <v>220</v>
      </c>
      <c r="I2063" s="16" t="s">
        <v>220</v>
      </c>
    </row>
    <row r="2064" ht="242.25" customHeight="1">
      <c r="A2064" s="32" t="b">
        <v>0</v>
      </c>
      <c r="B2064" s="32" t="str">
        <f>IMAGE("https://gymvisual.com/23593-catalog_default/dumbbell-walking-lunge-female.jpg",4,500,500)</f>
        <v/>
      </c>
      <c r="C2064" s="30">
        <v>2063.0</v>
      </c>
      <c r="D2064" s="16" t="s">
        <v>2679</v>
      </c>
      <c r="E2064" s="16" t="s">
        <v>184</v>
      </c>
      <c r="F2064" s="16" t="s">
        <v>285</v>
      </c>
      <c r="G2064" s="16" t="s">
        <v>222</v>
      </c>
      <c r="H2064" s="16" t="s">
        <v>189</v>
      </c>
      <c r="I2064" s="16" t="s">
        <v>190</v>
      </c>
    </row>
    <row r="2065" ht="242.25" customHeight="1">
      <c r="A2065" s="32" t="b">
        <v>0</v>
      </c>
      <c r="B2065" s="32" t="str">
        <f>IMAGE("https://gymvisual.com/6805-catalog_default/dumbbell-wall-squat.jpg",4,500,500)</f>
        <v/>
      </c>
      <c r="C2065" s="30">
        <v>2064.0</v>
      </c>
      <c r="D2065" s="16" t="s">
        <v>2680</v>
      </c>
      <c r="E2065" s="16" t="s">
        <v>184</v>
      </c>
      <c r="F2065" s="16" t="s">
        <v>285</v>
      </c>
      <c r="G2065" s="16" t="s">
        <v>222</v>
      </c>
      <c r="H2065" s="16" t="s">
        <v>220</v>
      </c>
      <c r="I2065" s="16" t="s">
        <v>220</v>
      </c>
    </row>
    <row r="2066" ht="242.25" customHeight="1">
      <c r="A2066" s="32" t="b">
        <v>0</v>
      </c>
      <c r="B2066" s="32" t="str">
        <f>IMAGE("https://gymvisual.com/21044-catalog_default/dumbbell-wood-chop-squat.jpg",4,500,500)</f>
        <v/>
      </c>
      <c r="C2066" s="30">
        <v>2065.0</v>
      </c>
      <c r="D2066" s="16" t="s">
        <v>2681</v>
      </c>
      <c r="E2066" s="16" t="s">
        <v>184</v>
      </c>
      <c r="F2066" s="16" t="s">
        <v>254</v>
      </c>
      <c r="G2066" s="16" t="s">
        <v>222</v>
      </c>
      <c r="H2066" s="16" t="s">
        <v>2682</v>
      </c>
      <c r="I2066" s="16" t="s">
        <v>2683</v>
      </c>
    </row>
    <row r="2067" ht="242.25" customHeight="1">
      <c r="A2067" s="32" t="b">
        <v>0</v>
      </c>
      <c r="B2067" s="32" t="str">
        <f>IMAGE("https://gymvisual.com/25013-catalog_default/dumbbell-z-press.jpg",4,500,500)</f>
        <v/>
      </c>
      <c r="C2067" s="30">
        <v>2066.0</v>
      </c>
      <c r="D2067" s="16" t="s">
        <v>2684</v>
      </c>
      <c r="E2067" s="16" t="s">
        <v>184</v>
      </c>
      <c r="F2067" s="16" t="s">
        <v>228</v>
      </c>
      <c r="G2067" s="16" t="s">
        <v>222</v>
      </c>
      <c r="H2067" s="16" t="s">
        <v>220</v>
      </c>
      <c r="I2067" s="16" t="s">
        <v>220</v>
      </c>
    </row>
    <row r="2068" ht="242.25" customHeight="1">
      <c r="A2068" s="32" t="b">
        <v>0</v>
      </c>
      <c r="B2068" s="32" t="str">
        <f>IMAGE("https://gymvisual.com/12243-catalog_default/3-4-sit-up.jpg",4,500,500)</f>
        <v/>
      </c>
      <c r="C2068" s="30">
        <v>2067.0</v>
      </c>
      <c r="D2068" s="16" t="s">
        <v>2685</v>
      </c>
      <c r="E2068" s="16" t="s">
        <v>184</v>
      </c>
      <c r="F2068" s="16" t="s">
        <v>219</v>
      </c>
      <c r="G2068" s="16" t="s">
        <v>222</v>
      </c>
      <c r="H2068" s="16" t="s">
        <v>241</v>
      </c>
      <c r="I2068" s="16" t="s">
        <v>292</v>
      </c>
    </row>
    <row r="2069" ht="242.25" customHeight="1">
      <c r="A2069" s="32" t="b">
        <v>0</v>
      </c>
      <c r="B2069" s="32" t="str">
        <f>IMAGE("https://gymvisual.com/9747-catalog_default/dumbbell-zottman-preacher-curl.jpg",4,500,500)</f>
        <v/>
      </c>
      <c r="C2069" s="30">
        <v>2068.0</v>
      </c>
      <c r="D2069" s="16" t="s">
        <v>2686</v>
      </c>
      <c r="E2069" s="16" t="s">
        <v>184</v>
      </c>
      <c r="F2069" s="16" t="s">
        <v>219</v>
      </c>
      <c r="G2069" s="16" t="s">
        <v>222</v>
      </c>
      <c r="H2069" s="16" t="s">
        <v>241</v>
      </c>
      <c r="I2069" s="16" t="s">
        <v>2305</v>
      </c>
    </row>
    <row r="2070" ht="242.25" customHeight="1">
      <c r="A2070" s="32" t="b">
        <v>0</v>
      </c>
      <c r="B2070" s="32" t="str">
        <f>IMAGE("https://gymvisual.com/22251-catalog_default/dumbbells-glute-bridge-female.jpg",4,500,500)</f>
        <v/>
      </c>
      <c r="C2070" s="30">
        <v>2069.0</v>
      </c>
      <c r="D2070" s="16" t="s">
        <v>2687</v>
      </c>
      <c r="E2070" s="16" t="s">
        <v>184</v>
      </c>
      <c r="F2070" s="16" t="s">
        <v>185</v>
      </c>
      <c r="G2070" s="16" t="s">
        <v>222</v>
      </c>
      <c r="H2070" s="16" t="s">
        <v>220</v>
      </c>
      <c r="I2070" s="16" t="s">
        <v>220</v>
      </c>
    </row>
    <row r="2071" ht="242.25" customHeight="1">
      <c r="A2071" s="32" t="b">
        <v>0</v>
      </c>
      <c r="B2071" s="32" t="str">
        <f>IMAGE("https://gymvisual.com/22424-catalog_default/dumbbells-glute-bridge-version-2-female.jpg",4,500,500)</f>
        <v/>
      </c>
      <c r="C2071" s="30">
        <v>2070.0</v>
      </c>
      <c r="D2071" s="16" t="s">
        <v>2688</v>
      </c>
      <c r="E2071" s="16" t="s">
        <v>184</v>
      </c>
      <c r="F2071" s="16" t="s">
        <v>185</v>
      </c>
      <c r="G2071" s="16" t="s">
        <v>222</v>
      </c>
      <c r="H2071" s="16" t="s">
        <v>220</v>
      </c>
      <c r="I2071" s="16" t="s">
        <v>220</v>
      </c>
    </row>
    <row r="2072" ht="242.25" customHeight="1">
      <c r="A2072" s="32" t="b">
        <v>0</v>
      </c>
      <c r="B2072" s="32" t="str">
        <f>IMAGE("https://gymvisual.com/8830-catalog_default/dumbbells-seated-triceps-extension.jpg",4,500,500)</f>
        <v/>
      </c>
      <c r="C2072" s="30">
        <v>2071.0</v>
      </c>
      <c r="D2072" s="16" t="s">
        <v>2689</v>
      </c>
      <c r="E2072" s="16" t="s">
        <v>184</v>
      </c>
      <c r="F2072" s="16" t="s">
        <v>219</v>
      </c>
      <c r="G2072" s="16" t="s">
        <v>222</v>
      </c>
      <c r="H2072" s="16" t="s">
        <v>223</v>
      </c>
      <c r="I2072" s="16" t="s">
        <v>220</v>
      </c>
    </row>
    <row r="2073" ht="242.25" customHeight="1">
      <c r="A2073" s="32" t="b">
        <v>0</v>
      </c>
      <c r="B2073" s="32" t="str">
        <f>IMAGE("https://gymvisual.com/10245-catalog_default/dumbbells-straight-arm-pullover-version-2-female.jpg",4,500,500)</f>
        <v/>
      </c>
      <c r="C2073" s="30">
        <v>2072.0</v>
      </c>
      <c r="D2073" s="16" t="s">
        <v>2690</v>
      </c>
      <c r="E2073" s="16" t="s">
        <v>184</v>
      </c>
      <c r="F2073" s="16" t="s">
        <v>234</v>
      </c>
      <c r="G2073" s="16" t="s">
        <v>222</v>
      </c>
      <c r="H2073" s="16" t="s">
        <v>347</v>
      </c>
      <c r="I2073" s="16" t="s">
        <v>2636</v>
      </c>
    </row>
    <row r="2074" ht="242.25" customHeight="1">
      <c r="A2074" s="32" t="b">
        <v>0</v>
      </c>
      <c r="B2074" s="32" t="str">
        <f>IMAGE("https://gymvisual.com/9829-catalog_default/dumbbells-sumo-squat-female.jpg",4,500,500)</f>
        <v/>
      </c>
      <c r="C2074" s="30">
        <v>2073.0</v>
      </c>
      <c r="D2074" s="16" t="s">
        <v>2691</v>
      </c>
      <c r="E2074" s="16" t="s">
        <v>184</v>
      </c>
      <c r="F2074" s="16" t="s">
        <v>285</v>
      </c>
      <c r="G2074" s="16" t="s">
        <v>222</v>
      </c>
      <c r="H2074" s="16" t="s">
        <v>189</v>
      </c>
      <c r="I2074" s="16" t="s">
        <v>1121</v>
      </c>
    </row>
    <row r="2075" ht="242.25" customHeight="1">
      <c r="A2075" s="32" t="b">
        <v>0</v>
      </c>
      <c r="B2075" s="32" t="str">
        <f>IMAGE("https://gymvisual.com/25659-catalog_default/dumbell-one-arm-side-lying-bench-press-male.jpg",4,500,500)</f>
        <v/>
      </c>
      <c r="C2075" s="30">
        <v>2074.0</v>
      </c>
      <c r="D2075" s="16" t="s">
        <v>2692</v>
      </c>
      <c r="E2075" s="16" t="s">
        <v>184</v>
      </c>
      <c r="F2075" s="16" t="s">
        <v>234</v>
      </c>
      <c r="G2075" s="16" t="s">
        <v>222</v>
      </c>
      <c r="H2075" s="16" t="s">
        <v>220</v>
      </c>
      <c r="I2075" s="16" t="s">
        <v>220</v>
      </c>
    </row>
    <row r="2076" ht="242.25" customHeight="1">
      <c r="B2076" s="32" t="str">
        <f>IMAGE("https://gymvisual.com/13511-catalog_default/elbow-dips.jpg",4,500,500)</f>
        <v/>
      </c>
      <c r="C2076" s="30">
        <v>2075.0</v>
      </c>
      <c r="D2076" s="16" t="s">
        <v>2693</v>
      </c>
      <c r="E2076" s="16" t="s">
        <v>184</v>
      </c>
      <c r="F2076" s="16" t="s">
        <v>219</v>
      </c>
      <c r="G2076" s="16" t="s">
        <v>255</v>
      </c>
      <c r="H2076" s="16" t="s">
        <v>223</v>
      </c>
      <c r="I2076" s="16" t="s">
        <v>1181</v>
      </c>
    </row>
    <row r="2077" ht="242.25" customHeight="1">
      <c r="B2077" s="32" t="str">
        <f>IMAGE("https://gymvisual.com/7615-catalog_default/elbow-lift-reverse-push-up.jpg",4,500,500)</f>
        <v/>
      </c>
      <c r="C2077" s="30">
        <v>2076.0</v>
      </c>
      <c r="D2077" s="16" t="s">
        <v>2694</v>
      </c>
      <c r="E2077" s="16" t="s">
        <v>184</v>
      </c>
      <c r="F2077" s="16" t="s">
        <v>192</v>
      </c>
      <c r="G2077" s="16" t="s">
        <v>255</v>
      </c>
      <c r="H2077" s="16" t="s">
        <v>329</v>
      </c>
      <c r="I2077" s="16" t="s">
        <v>408</v>
      </c>
    </row>
    <row r="2078" ht="242.25" customHeight="1">
      <c r="B2078" s="32" t="str">
        <f>IMAGE("https://gymvisual.com/23579-catalog_default/elbow-to-knee-side-plank-crunch-female.jpg",4,500,500)</f>
        <v/>
      </c>
      <c r="C2078" s="30">
        <v>2077.0</v>
      </c>
      <c r="D2078" s="16" t="s">
        <v>2695</v>
      </c>
      <c r="E2078" s="16" t="s">
        <v>184</v>
      </c>
      <c r="F2078" s="16" t="s">
        <v>254</v>
      </c>
      <c r="G2078" s="16" t="s">
        <v>255</v>
      </c>
      <c r="H2078" s="16" t="s">
        <v>2696</v>
      </c>
      <c r="I2078" s="16" t="s">
        <v>296</v>
      </c>
    </row>
    <row r="2079" ht="242.25" customHeight="1">
      <c r="B2079" s="32" t="str">
        <f>IMAGE("https://gymvisual.com/14022-catalog_default/elbow-to-knee-side-plank-crunch-male.jpg",4,500,500)</f>
        <v/>
      </c>
      <c r="C2079" s="30">
        <v>2078.0</v>
      </c>
      <c r="D2079" s="16" t="s">
        <v>2697</v>
      </c>
      <c r="E2079" s="16" t="s">
        <v>184</v>
      </c>
      <c r="F2079" s="16" t="s">
        <v>522</v>
      </c>
      <c r="G2079" s="16" t="s">
        <v>255</v>
      </c>
      <c r="H2079" s="16" t="s">
        <v>2698</v>
      </c>
      <c r="I2079" s="16" t="s">
        <v>296</v>
      </c>
    </row>
    <row r="2080" ht="242.25" customHeight="1">
      <c r="B2080" s="32" t="str">
        <f>IMAGE("https://gymvisual.com/13984-catalog_default/elbow-to-knee-sit-up.jpg",4,500,500)</f>
        <v/>
      </c>
      <c r="C2080" s="30">
        <v>2079.0</v>
      </c>
      <c r="D2080" s="16" t="s">
        <v>2699</v>
      </c>
      <c r="E2080" s="16" t="s">
        <v>184</v>
      </c>
      <c r="F2080" s="16" t="s">
        <v>254</v>
      </c>
      <c r="G2080" s="16" t="s">
        <v>255</v>
      </c>
      <c r="H2080" s="16" t="s">
        <v>257</v>
      </c>
      <c r="I2080" s="16" t="s">
        <v>256</v>
      </c>
    </row>
    <row r="2081" ht="242.25" customHeight="1">
      <c r="B2081" s="32" t="str">
        <f>IMAGE("https://gymvisual.com/13297-catalog_default/elbow-up-and-down-dynamic-plank.jpg",4,500,500)</f>
        <v/>
      </c>
      <c r="C2081" s="30">
        <v>2080.0</v>
      </c>
      <c r="D2081" s="16" t="s">
        <v>2700</v>
      </c>
      <c r="E2081" s="16" t="s">
        <v>184</v>
      </c>
      <c r="F2081" s="16" t="s">
        <v>1894</v>
      </c>
      <c r="G2081" s="16" t="s">
        <v>255</v>
      </c>
      <c r="H2081" s="16" t="s">
        <v>2701</v>
      </c>
      <c r="I2081" s="16" t="s">
        <v>2702</v>
      </c>
    </row>
    <row r="2082" ht="242.25" customHeight="1">
      <c r="B2082" s="32" t="str">
        <f>IMAGE("https://gymvisual.com/13299-catalog_default/elbow-up-and-down-dynamic-plank-female.jpg",4,500,500)</f>
        <v/>
      </c>
      <c r="C2082" s="30">
        <v>2081.0</v>
      </c>
      <c r="D2082" s="16" t="s">
        <v>2703</v>
      </c>
      <c r="E2082" s="16" t="s">
        <v>184</v>
      </c>
      <c r="F2082" s="16" t="s">
        <v>1894</v>
      </c>
      <c r="G2082" s="16" t="s">
        <v>255</v>
      </c>
      <c r="H2082" s="16" t="s">
        <v>2701</v>
      </c>
      <c r="I2082" s="16" t="s">
        <v>2702</v>
      </c>
    </row>
    <row r="2083" ht="242.25" customHeight="1">
      <c r="B2083" s="32" t="str">
        <f>IMAGE("https://gymvisual.com/1347-catalog_default/3-4-sit-up.jpg",4,500,500)</f>
        <v/>
      </c>
      <c r="C2083" s="30">
        <v>2082.0</v>
      </c>
      <c r="D2083" s="16" t="s">
        <v>2704</v>
      </c>
      <c r="E2083" s="16" t="s">
        <v>184</v>
      </c>
      <c r="F2083" s="16" t="s">
        <v>254</v>
      </c>
      <c r="G2083" s="16" t="s">
        <v>255</v>
      </c>
      <c r="H2083" s="16" t="s">
        <v>260</v>
      </c>
      <c r="I2083" s="16" t="s">
        <v>1332</v>
      </c>
    </row>
    <row r="2084" ht="242.25" customHeight="1">
      <c r="B2084" s="32" t="str">
        <f>IMAGE("https://gymvisual.com/14084-catalog_default/elevanted-inverted-row-between-3-chairs.jpg",4,500,500)</f>
        <v/>
      </c>
      <c r="C2084" s="30">
        <v>2083.0</v>
      </c>
      <c r="D2084" s="16" t="s">
        <v>2705</v>
      </c>
      <c r="E2084" s="16" t="s">
        <v>184</v>
      </c>
      <c r="F2084" s="16" t="s">
        <v>192</v>
      </c>
      <c r="G2084" s="16" t="s">
        <v>255</v>
      </c>
      <c r="H2084" s="16" t="s">
        <v>329</v>
      </c>
      <c r="I2084" s="16" t="s">
        <v>447</v>
      </c>
    </row>
    <row r="2085" ht="242.25" customHeight="1">
      <c r="B2085" s="32" t="str">
        <f>IMAGE("https://gymvisual.com/14086-catalog_default/elevanted-inverted-underhand-grip-row-between-3-chairs.jpg",4,500,500)</f>
        <v/>
      </c>
      <c r="C2085" s="30">
        <v>2084.0</v>
      </c>
      <c r="D2085" s="16" t="s">
        <v>2706</v>
      </c>
      <c r="E2085" s="16" t="s">
        <v>184</v>
      </c>
      <c r="F2085" s="16" t="s">
        <v>192</v>
      </c>
      <c r="G2085" s="16" t="s">
        <v>255</v>
      </c>
      <c r="H2085" s="16" t="s">
        <v>329</v>
      </c>
      <c r="I2085" s="16" t="s">
        <v>357</v>
      </c>
    </row>
    <row r="2086" ht="242.25" customHeight="1">
      <c r="B2086" s="32" t="str">
        <f>IMAGE("https://gymvisual.com/17699-catalog_default/elevanted-push-up.jpg",4,500,500)</f>
        <v/>
      </c>
      <c r="C2086" s="30">
        <v>2085.0</v>
      </c>
      <c r="D2086" s="16" t="s">
        <v>2707</v>
      </c>
      <c r="E2086" s="16" t="s">
        <v>184</v>
      </c>
      <c r="F2086" s="16" t="s">
        <v>234</v>
      </c>
      <c r="G2086" s="16" t="s">
        <v>255</v>
      </c>
      <c r="H2086" s="16" t="s">
        <v>235</v>
      </c>
      <c r="I2086" s="16" t="s">
        <v>243</v>
      </c>
    </row>
    <row r="2087" ht="242.25" customHeight="1">
      <c r="B2087" s="32" t="str">
        <f>IMAGE("https://gymvisual.com/22448-catalog_default/elevated-seated-calf-raise.jpg",4,500,500)</f>
        <v/>
      </c>
      <c r="C2087" s="30">
        <v>2086.0</v>
      </c>
      <c r="D2087" s="16" t="s">
        <v>2708</v>
      </c>
      <c r="E2087" s="16" t="s">
        <v>184</v>
      </c>
      <c r="F2087" s="16" t="s">
        <v>325</v>
      </c>
      <c r="G2087" s="16" t="s">
        <v>255</v>
      </c>
      <c r="H2087" s="16" t="s">
        <v>220</v>
      </c>
      <c r="I2087" s="16" t="s">
        <v>220</v>
      </c>
    </row>
    <row r="2088" ht="242.25" customHeight="1">
      <c r="B2088" s="32" t="str">
        <f>IMAGE("https://gymvisual.com/20982-catalog_default/elevated-side-lunge.jpg",4,500,500)</f>
        <v/>
      </c>
      <c r="C2088" s="30">
        <v>2087.0</v>
      </c>
      <c r="D2088" s="16" t="s">
        <v>2709</v>
      </c>
      <c r="E2088" s="16" t="s">
        <v>184</v>
      </c>
      <c r="F2088" s="16" t="s">
        <v>294</v>
      </c>
      <c r="G2088" s="16" t="s">
        <v>255</v>
      </c>
      <c r="H2088" s="16" t="s">
        <v>295</v>
      </c>
      <c r="I2088" s="16" t="s">
        <v>2522</v>
      </c>
    </row>
    <row r="2089" ht="242.25" customHeight="1">
      <c r="B2089" s="32" t="str">
        <f>IMAGE("https://gymvisual.com/22452-catalog_default/elevated-single-leg-hip-thrust-female.jpg",4,500,500)</f>
        <v/>
      </c>
      <c r="C2089" s="30">
        <v>2088.0</v>
      </c>
      <c r="D2089" s="16" t="s">
        <v>2710</v>
      </c>
      <c r="E2089" s="16" t="s">
        <v>184</v>
      </c>
      <c r="F2089" s="16" t="s">
        <v>185</v>
      </c>
      <c r="G2089" s="16" t="s">
        <v>255</v>
      </c>
      <c r="H2089" s="16" t="s">
        <v>220</v>
      </c>
      <c r="I2089" s="16" t="s">
        <v>220</v>
      </c>
    </row>
    <row r="2090" ht="242.25" customHeight="1">
      <c r="B2090" s="32" t="str">
        <f>IMAGE("https://gymvisual.com/22432-catalog_default/elevated-single-leg-squat.jpg",4,500,500)</f>
        <v/>
      </c>
      <c r="C2090" s="30">
        <v>2089.0</v>
      </c>
      <c r="D2090" s="16" t="s">
        <v>2711</v>
      </c>
      <c r="E2090" s="16" t="s">
        <v>184</v>
      </c>
      <c r="F2090" s="16" t="s">
        <v>285</v>
      </c>
      <c r="G2090" s="16" t="s">
        <v>255</v>
      </c>
      <c r="H2090" s="16" t="s">
        <v>220</v>
      </c>
      <c r="I2090" s="16" t="s">
        <v>220</v>
      </c>
    </row>
    <row r="2091" ht="242.25" customHeight="1">
      <c r="B2091" s="32" t="str">
        <f>IMAGE("https://gymvisual.com/22267-catalog_default/elevated-standing-calf-raise.jpg",4,500,500)</f>
        <v/>
      </c>
      <c r="C2091" s="30">
        <v>2090.0</v>
      </c>
      <c r="D2091" s="16" t="s">
        <v>2712</v>
      </c>
      <c r="E2091" s="16" t="s">
        <v>184</v>
      </c>
      <c r="F2091" s="16" t="s">
        <v>325</v>
      </c>
      <c r="G2091" s="16" t="s">
        <v>255</v>
      </c>
      <c r="H2091" s="16" t="s">
        <v>220</v>
      </c>
      <c r="I2091" s="16" t="s">
        <v>220</v>
      </c>
    </row>
    <row r="2092" ht="242.25" customHeight="1">
      <c r="B2092" s="32" t="str">
        <f>IMAGE("https://gymvisual.com/24059-catalog_default/elevated-standing-calf-raise.jpg",4,500,500)</f>
        <v/>
      </c>
      <c r="C2092" s="30">
        <v>2091.0</v>
      </c>
      <c r="D2092" s="16" t="s">
        <v>2712</v>
      </c>
      <c r="E2092" s="16" t="s">
        <v>184</v>
      </c>
      <c r="F2092" s="16" t="s">
        <v>325</v>
      </c>
      <c r="G2092" s="16" t="s">
        <v>255</v>
      </c>
      <c r="H2092" s="16" t="s">
        <v>220</v>
      </c>
      <c r="I2092" s="16" t="s">
        <v>220</v>
      </c>
    </row>
    <row r="2093" ht="242.25" customHeight="1">
      <c r="B2093" s="32" t="str">
        <f>IMAGE("https://gymvisual.com/22269-catalog_default/elevated-standing-single-leg-calf-raise.jpg",4,500,500)</f>
        <v/>
      </c>
      <c r="C2093" s="30">
        <v>2092.0</v>
      </c>
      <c r="D2093" s="16" t="s">
        <v>2713</v>
      </c>
      <c r="E2093" s="16" t="s">
        <v>184</v>
      </c>
      <c r="F2093" s="16" t="s">
        <v>325</v>
      </c>
      <c r="G2093" s="16" t="s">
        <v>255</v>
      </c>
      <c r="H2093" s="16" t="s">
        <v>220</v>
      </c>
      <c r="I2093" s="16" t="s">
        <v>220</v>
      </c>
    </row>
    <row r="2094" ht="242.25" customHeight="1">
      <c r="B2094" s="32" t="str">
        <f>IMAGE("https://gymvisual.com/13521-catalog_default/elevator.jpg",4,500,500)</f>
        <v/>
      </c>
      <c r="C2094" s="30">
        <v>2093.0</v>
      </c>
      <c r="D2094" s="16" t="s">
        <v>2714</v>
      </c>
      <c r="E2094" s="16" t="s">
        <v>184</v>
      </c>
      <c r="F2094" s="16" t="s">
        <v>192</v>
      </c>
      <c r="G2094" s="16" t="s">
        <v>255</v>
      </c>
      <c r="H2094" s="16" t="s">
        <v>220</v>
      </c>
      <c r="I2094" s="16" t="s">
        <v>220</v>
      </c>
    </row>
    <row r="2095" ht="242.25" customHeight="1">
      <c r="B2095" s="32" t="str">
        <f>IMAGE("https://gymvisual.com/6023-catalog_default/exercise-ball-alternating-arm-ups.jpg",4,500,500)</f>
        <v/>
      </c>
      <c r="C2095" s="30">
        <v>2094.0</v>
      </c>
      <c r="D2095" s="16" t="s">
        <v>2715</v>
      </c>
      <c r="E2095" s="16" t="s">
        <v>184</v>
      </c>
      <c r="F2095" s="16" t="s">
        <v>192</v>
      </c>
      <c r="G2095" s="16" t="s">
        <v>399</v>
      </c>
      <c r="H2095" s="16" t="s">
        <v>300</v>
      </c>
      <c r="I2095" s="16" t="s">
        <v>2716</v>
      </c>
    </row>
    <row r="2096" ht="242.25" customHeight="1">
      <c r="B2096" s="32" t="str">
        <f>IMAGE("https://gymvisual.com/6024-catalog_default/exercise-ball-back-extension-with-arms-extended.jpg",4,500,500)</f>
        <v/>
      </c>
      <c r="C2096" s="30">
        <v>2095.0</v>
      </c>
      <c r="D2096" s="16" t="s">
        <v>2717</v>
      </c>
      <c r="E2096" s="16" t="s">
        <v>184</v>
      </c>
      <c r="F2096" s="16" t="s">
        <v>192</v>
      </c>
      <c r="G2096" s="16" t="s">
        <v>399</v>
      </c>
      <c r="H2096" s="16" t="s">
        <v>275</v>
      </c>
      <c r="I2096" s="16" t="s">
        <v>187</v>
      </c>
    </row>
    <row r="2097" ht="242.25" customHeight="1">
      <c r="B2097" s="32" t="str">
        <f>IMAGE("https://gymvisual.com/6025-catalog_default/exercise-ball-back-extension-with-hands-behind-head.jpg",4,500,500)</f>
        <v/>
      </c>
      <c r="C2097" s="30">
        <v>2096.0</v>
      </c>
      <c r="D2097" s="16" t="s">
        <v>2718</v>
      </c>
      <c r="E2097" s="16" t="s">
        <v>184</v>
      </c>
      <c r="F2097" s="16" t="s">
        <v>192</v>
      </c>
      <c r="G2097" s="16" t="s">
        <v>399</v>
      </c>
      <c r="H2097" s="16" t="s">
        <v>275</v>
      </c>
      <c r="I2097" s="16" t="s">
        <v>187</v>
      </c>
    </row>
    <row r="2098" ht="242.25" customHeight="1">
      <c r="B2098" s="32" t="str">
        <f>IMAGE("https://gymvisual.com/12060-catalog_default/exercise-ball-back-extension-with-hands-behind-head-female.jpg",4,500,500)</f>
        <v/>
      </c>
      <c r="C2098" s="30">
        <v>2097.0</v>
      </c>
      <c r="D2098" s="16" t="s">
        <v>2719</v>
      </c>
      <c r="E2098" s="16" t="s">
        <v>184</v>
      </c>
      <c r="F2098" s="16" t="s">
        <v>192</v>
      </c>
      <c r="G2098" s="16" t="s">
        <v>399</v>
      </c>
      <c r="H2098" s="16" t="s">
        <v>275</v>
      </c>
      <c r="I2098" s="16" t="s">
        <v>187</v>
      </c>
    </row>
    <row r="2099" ht="242.25" customHeight="1">
      <c r="B2099" s="32" t="str">
        <f>IMAGE("https://gymvisual.com/6026-catalog_default/exercise-ball-back-extension-with-knees-off-ground.jpg",4,500,500)</f>
        <v/>
      </c>
      <c r="C2099" s="30">
        <v>2098.0</v>
      </c>
      <c r="D2099" s="16" t="s">
        <v>2720</v>
      </c>
      <c r="E2099" s="16" t="s">
        <v>184</v>
      </c>
      <c r="F2099" s="16" t="s">
        <v>192</v>
      </c>
      <c r="G2099" s="16" t="s">
        <v>399</v>
      </c>
      <c r="H2099" s="16" t="s">
        <v>275</v>
      </c>
      <c r="I2099" s="16" t="s">
        <v>187</v>
      </c>
    </row>
    <row r="2100" ht="242.25" customHeight="1">
      <c r="B2100" s="32" t="str">
        <f>IMAGE("https://gymvisual.com/6027-catalog_default/exercise-ball-back-extension-with-rotation.jpg",4,500,500)</f>
        <v/>
      </c>
      <c r="C2100" s="30">
        <v>2099.0</v>
      </c>
      <c r="D2100" s="16" t="s">
        <v>2721</v>
      </c>
      <c r="E2100" s="16" t="s">
        <v>184</v>
      </c>
      <c r="F2100" s="16" t="s">
        <v>192</v>
      </c>
      <c r="G2100" s="16" t="s">
        <v>399</v>
      </c>
      <c r="H2100" s="16" t="s">
        <v>275</v>
      </c>
      <c r="I2100" s="16" t="s">
        <v>2722</v>
      </c>
    </row>
    <row r="2101" ht="242.25" customHeight="1">
      <c r="B2101" s="32" t="str">
        <f>IMAGE("https://gymvisual.com/17721-catalog_default/exercise-ball-body-saw.jpg",4,500,500)</f>
        <v/>
      </c>
      <c r="C2101" s="30">
        <v>2100.0</v>
      </c>
      <c r="D2101" s="16" t="s">
        <v>2723</v>
      </c>
      <c r="E2101" s="16" t="s">
        <v>184</v>
      </c>
      <c r="F2101" s="16" t="s">
        <v>254</v>
      </c>
      <c r="G2101" s="16" t="s">
        <v>399</v>
      </c>
      <c r="H2101" s="16" t="s">
        <v>220</v>
      </c>
      <c r="I2101" s="16" t="s">
        <v>220</v>
      </c>
    </row>
    <row r="2102" ht="242.25" customHeight="1">
      <c r="B2102" s="32" t="str">
        <f>IMAGE("https://gymvisual.com/7463-catalog_default/exercise-ball-dip.jpg",4,500,500)</f>
        <v/>
      </c>
      <c r="C2102" s="30">
        <v>2101.0</v>
      </c>
      <c r="D2102" s="16" t="s">
        <v>2724</v>
      </c>
      <c r="E2102" s="16" t="s">
        <v>184</v>
      </c>
      <c r="F2102" s="16" t="s">
        <v>219</v>
      </c>
      <c r="G2102" s="16" t="s">
        <v>399</v>
      </c>
      <c r="H2102" s="16" t="s">
        <v>220</v>
      </c>
      <c r="I2102" s="16" t="s">
        <v>220</v>
      </c>
    </row>
    <row r="2103" ht="242.25" customHeight="1">
      <c r="B2103" s="32" t="str">
        <f>IMAGE("https://gymvisual.com/10611-catalog_default/exercise-ball-frog-crunch-female.jpg",4,500,500)</f>
        <v/>
      </c>
      <c r="C2103" s="30">
        <v>2102.0</v>
      </c>
      <c r="D2103" s="16" t="s">
        <v>2725</v>
      </c>
      <c r="E2103" s="16" t="s">
        <v>184</v>
      </c>
      <c r="F2103" s="16" t="s">
        <v>254</v>
      </c>
      <c r="G2103" s="16" t="s">
        <v>399</v>
      </c>
      <c r="H2103" s="16" t="s">
        <v>256</v>
      </c>
      <c r="I2103" s="16" t="s">
        <v>317</v>
      </c>
    </row>
    <row r="2104" ht="242.25" customHeight="1">
      <c r="B2104" s="32" t="str">
        <f>IMAGE("https://gymvisual.com/22847-catalog_default/exercise-ball-leg-curl.jpg",4,500,500)</f>
        <v/>
      </c>
      <c r="C2104" s="30">
        <v>2103.0</v>
      </c>
      <c r="D2104" s="16" t="s">
        <v>2726</v>
      </c>
      <c r="E2104" s="16" t="s">
        <v>184</v>
      </c>
      <c r="F2104" s="16" t="s">
        <v>285</v>
      </c>
      <c r="G2104" s="16" t="s">
        <v>399</v>
      </c>
      <c r="H2104" s="16" t="s">
        <v>188</v>
      </c>
      <c r="I2104" s="16" t="s">
        <v>665</v>
      </c>
    </row>
    <row r="2105" ht="242.25" customHeight="1">
      <c r="A2105" s="32" t="b">
        <v>0</v>
      </c>
      <c r="B2105" s="32" t="str">
        <f>IMAGE("https://gymvisual.com/6079-catalog_default/exercise-ball-on-the-wall-calf-raise.jpg",4,500,500)</f>
        <v/>
      </c>
      <c r="C2105" s="30">
        <v>2104.0</v>
      </c>
      <c r="D2105" s="16" t="s">
        <v>2727</v>
      </c>
      <c r="E2105" s="16" t="s">
        <v>184</v>
      </c>
      <c r="F2105" s="16" t="s">
        <v>325</v>
      </c>
      <c r="G2105" s="16" t="s">
        <v>222</v>
      </c>
      <c r="H2105" s="16" t="s">
        <v>368</v>
      </c>
      <c r="I2105" s="16" t="s">
        <v>463</v>
      </c>
    </row>
    <row r="2106" ht="242.25" customHeight="1">
      <c r="A2106" s="32" t="b">
        <v>0</v>
      </c>
      <c r="B2106" s="32" t="str">
        <f>IMAGE("https://gymvisual.com/13507-catalog_default/exercise-ball-on-the-wall-calf-raise-tennis-ball-between-ankles.jpg",4,500,500)</f>
        <v/>
      </c>
      <c r="C2106" s="30">
        <v>2105.0</v>
      </c>
      <c r="D2106" s="16" t="s">
        <v>2728</v>
      </c>
      <c r="E2106" s="16" t="s">
        <v>184</v>
      </c>
      <c r="F2106" s="16" t="s">
        <v>325</v>
      </c>
      <c r="G2106" s="16" t="s">
        <v>222</v>
      </c>
      <c r="H2106" s="16" t="s">
        <v>368</v>
      </c>
      <c r="I2106" s="16" t="s">
        <v>463</v>
      </c>
    </row>
    <row r="2107" ht="242.25" customHeight="1">
      <c r="A2107" s="32" t="b">
        <v>0</v>
      </c>
      <c r="B2107" s="32" t="str">
        <f>IMAGE("https://gymvisual.com/13505-catalog_default/exercise-ball-on-the-wall-calf-raise-tennis-ball-between-knees.jpg",4,500,500)</f>
        <v/>
      </c>
      <c r="C2107" s="30">
        <v>2106.0</v>
      </c>
      <c r="D2107" s="16" t="s">
        <v>2729</v>
      </c>
      <c r="E2107" s="16" t="s">
        <v>184</v>
      </c>
      <c r="F2107" s="16" t="s">
        <v>325</v>
      </c>
      <c r="G2107" s="16" t="s">
        <v>222</v>
      </c>
      <c r="H2107" s="16" t="s">
        <v>368</v>
      </c>
      <c r="I2107" s="16" t="s">
        <v>463</v>
      </c>
    </row>
    <row r="2108" ht="242.25" customHeight="1">
      <c r="B2108" s="32" t="str">
        <f>IMAGE("https://gymvisual.com/6268-catalog_default/exercise-ball-one-leg-prone-lower-body-rotation.jpg",4,500,500)</f>
        <v/>
      </c>
      <c r="C2108" s="30">
        <v>2107.0</v>
      </c>
      <c r="D2108" s="16" t="s">
        <v>2730</v>
      </c>
      <c r="E2108" s="16" t="s">
        <v>184</v>
      </c>
      <c r="F2108" s="16" t="s">
        <v>185</v>
      </c>
      <c r="G2108" s="16" t="s">
        <v>399</v>
      </c>
      <c r="H2108" s="16" t="s">
        <v>475</v>
      </c>
      <c r="I2108" s="16" t="s">
        <v>2731</v>
      </c>
    </row>
    <row r="2109" ht="242.25" customHeight="1">
      <c r="B2109" s="32" t="str">
        <f>IMAGE("https://gymvisual.com/6269-catalog_default/exercise-ball-one-legged-diagonal-kick-hamstring-curl.jpg",4,500,500)</f>
        <v/>
      </c>
      <c r="C2109" s="30">
        <v>2108.0</v>
      </c>
      <c r="D2109" s="16" t="s">
        <v>2732</v>
      </c>
      <c r="E2109" s="16" t="s">
        <v>184</v>
      </c>
      <c r="F2109" s="16" t="s">
        <v>185</v>
      </c>
      <c r="G2109" s="16" t="s">
        <v>399</v>
      </c>
      <c r="H2109" s="16" t="s">
        <v>187</v>
      </c>
      <c r="I2109" s="16" t="s">
        <v>2733</v>
      </c>
    </row>
    <row r="2110" ht="242.25" customHeight="1">
      <c r="B2110" s="32" t="str">
        <f>IMAGE("https://gymvisual.com/12064-catalog_default/exercise-ball-one-legged-diagonal-kick-hamstring-curl-female.jpg",4,500,500)</f>
        <v/>
      </c>
      <c r="C2110" s="30">
        <v>2109.0</v>
      </c>
      <c r="D2110" s="16" t="s">
        <v>2734</v>
      </c>
      <c r="E2110" s="16" t="s">
        <v>184</v>
      </c>
      <c r="F2110" s="16" t="s">
        <v>185</v>
      </c>
      <c r="G2110" s="16" t="s">
        <v>399</v>
      </c>
      <c r="H2110" s="16" t="s">
        <v>220</v>
      </c>
      <c r="I2110" s="16" t="s">
        <v>220</v>
      </c>
    </row>
    <row r="2111" ht="242.25" customHeight="1">
      <c r="B2111" s="32" t="str">
        <f>IMAGE("https://gymvisual.com/5985-catalog_default/exercise-ball-pike-push-up.jpg",4,500,500)</f>
        <v/>
      </c>
      <c r="C2111" s="30">
        <v>2110.0</v>
      </c>
      <c r="D2111" s="16" t="s">
        <v>2735</v>
      </c>
      <c r="E2111" s="16" t="s">
        <v>184</v>
      </c>
      <c r="F2111" s="16" t="s">
        <v>234</v>
      </c>
      <c r="G2111" s="16" t="s">
        <v>399</v>
      </c>
      <c r="H2111" s="16" t="s">
        <v>2736</v>
      </c>
      <c r="I2111" s="16" t="s">
        <v>382</v>
      </c>
    </row>
    <row r="2112" ht="242.25" customHeight="1">
      <c r="B2112" s="32" t="str">
        <f>IMAGE("https://gymvisual.com/6034-catalog_default/exercise-ball-prone-leg-raise.jpg",4,500,500)</f>
        <v/>
      </c>
      <c r="C2112" s="30">
        <v>2111.0</v>
      </c>
      <c r="D2112" s="16" t="s">
        <v>2737</v>
      </c>
      <c r="E2112" s="16" t="s">
        <v>184</v>
      </c>
      <c r="F2112" s="16" t="s">
        <v>192</v>
      </c>
      <c r="G2112" s="16" t="s">
        <v>399</v>
      </c>
      <c r="H2112" s="16" t="s">
        <v>2738</v>
      </c>
      <c r="I2112" s="16" t="s">
        <v>2739</v>
      </c>
    </row>
    <row r="2113" ht="242.25" customHeight="1">
      <c r="B2113" s="32" t="str">
        <f>IMAGE("https://gymvisual.com/20984-catalog_default/exercise-ball-serratus-wall-slide.jpg",4,500,500)</f>
        <v/>
      </c>
      <c r="C2113" s="30">
        <v>2112.0</v>
      </c>
      <c r="D2113" s="16" t="s">
        <v>2740</v>
      </c>
      <c r="E2113" s="16" t="s">
        <v>184</v>
      </c>
      <c r="F2113" s="16" t="s">
        <v>234</v>
      </c>
      <c r="G2113" s="16" t="s">
        <v>255</v>
      </c>
      <c r="H2113" s="16" t="s">
        <v>389</v>
      </c>
      <c r="I2113" s="16" t="s">
        <v>229</v>
      </c>
    </row>
    <row r="2114" ht="242.25" customHeight="1">
      <c r="A2114" s="32" t="b">
        <v>0</v>
      </c>
      <c r="B2114" s="32" t="str">
        <f>IMAGE("https://gymvisual.com/7465-catalog_default/exercise-ball-supine-triceps-extension.jpg",4,500,500)</f>
        <v/>
      </c>
      <c r="C2114" s="30">
        <v>2113.0</v>
      </c>
      <c r="D2114" s="16" t="s">
        <v>2741</v>
      </c>
      <c r="E2114" s="16" t="s">
        <v>184</v>
      </c>
      <c r="F2114" s="16" t="s">
        <v>219</v>
      </c>
      <c r="G2114" s="16" t="s">
        <v>222</v>
      </c>
      <c r="H2114" s="16" t="s">
        <v>220</v>
      </c>
      <c r="I2114" s="16" t="s">
        <v>220</v>
      </c>
    </row>
    <row r="2115" ht="242.25" customHeight="1">
      <c r="B2115" s="32" t="str">
        <f>IMAGE("https://gymvisual.com/6809-catalog_default/exercise-ball-wall-squat.jpg",4,500,500)</f>
        <v/>
      </c>
      <c r="C2115" s="30">
        <v>2114.0</v>
      </c>
      <c r="D2115" s="16" t="s">
        <v>2742</v>
      </c>
      <c r="E2115" s="16" t="s">
        <v>184</v>
      </c>
      <c r="F2115" s="16" t="s">
        <v>285</v>
      </c>
      <c r="G2115" s="16" t="s">
        <v>399</v>
      </c>
      <c r="H2115" s="16" t="s">
        <v>189</v>
      </c>
      <c r="I2115" s="16" t="s">
        <v>190</v>
      </c>
    </row>
    <row r="2116" ht="242.25" customHeight="1">
      <c r="B2116" s="32" t="str">
        <f>IMAGE("https://gymvisual.com/7716-catalog_default/extra-decline-sit-up.jpg",4,500,500)</f>
        <v/>
      </c>
      <c r="C2116" s="30">
        <v>2115.0</v>
      </c>
      <c r="D2116" s="16" t="s">
        <v>2743</v>
      </c>
      <c r="E2116" s="16" t="s">
        <v>184</v>
      </c>
      <c r="F2116" s="16" t="s">
        <v>254</v>
      </c>
      <c r="G2116" s="16" t="s">
        <v>255</v>
      </c>
      <c r="H2116" s="16" t="s">
        <v>220</v>
      </c>
      <c r="I2116" s="16" t="s">
        <v>220</v>
      </c>
    </row>
    <row r="2117" ht="242.25" customHeight="1">
      <c r="B2117" s="32" t="str">
        <f>IMAGE("https://gymvisual.com/13443-catalog_default/ez-bar-biceps-curl-with-arm-blaster-female.jpg",4,500,500)</f>
        <v/>
      </c>
      <c r="C2117" s="30">
        <v>2116.0</v>
      </c>
      <c r="D2117" s="16" t="s">
        <v>2744</v>
      </c>
      <c r="E2117" s="16" t="s">
        <v>184</v>
      </c>
      <c r="F2117" s="16" t="s">
        <v>219</v>
      </c>
      <c r="G2117" s="16" t="s">
        <v>2745</v>
      </c>
      <c r="H2117" s="16" t="s">
        <v>220</v>
      </c>
      <c r="I2117" s="16" t="s">
        <v>220</v>
      </c>
    </row>
    <row r="2118" ht="242.25" customHeight="1">
      <c r="B2118" s="32" t="str">
        <f>IMAGE("https://gymvisual.com/17961-catalog_default/ez-bar-california-skullcrusher-male.jpg",4,500,500)</f>
        <v/>
      </c>
      <c r="C2118" s="30">
        <v>2117.0</v>
      </c>
      <c r="D2118" s="16" t="s">
        <v>2746</v>
      </c>
      <c r="E2118" s="16" t="s">
        <v>184</v>
      </c>
      <c r="F2118" s="16" t="s">
        <v>219</v>
      </c>
      <c r="G2118" s="16" t="s">
        <v>2745</v>
      </c>
      <c r="H2118" s="16" t="s">
        <v>220</v>
      </c>
      <c r="I2118" s="16" t="s">
        <v>220</v>
      </c>
    </row>
    <row r="2119" ht="242.25" customHeight="1">
      <c r="B2119" s="32" t="str">
        <f>IMAGE("https://gymvisual.com/7466-catalog_default/ez-bar-french-press-on-exercise-ball.jpg",4,500,500)</f>
        <v/>
      </c>
      <c r="C2119" s="30">
        <v>2118.0</v>
      </c>
      <c r="D2119" s="16" t="s">
        <v>2747</v>
      </c>
      <c r="E2119" s="16" t="s">
        <v>184</v>
      </c>
      <c r="F2119" s="16" t="s">
        <v>219</v>
      </c>
      <c r="G2119" s="16" t="s">
        <v>2745</v>
      </c>
      <c r="H2119" s="16" t="s">
        <v>220</v>
      </c>
      <c r="I2119" s="16" t="s">
        <v>220</v>
      </c>
    </row>
    <row r="2120" ht="242.25" customHeight="1">
      <c r="B2120" s="32" t="str">
        <f>IMAGE("https://gymvisual.com/12474-catalog_default/ez-bar-lying-bent-arms-pullover.jpg",4,500,500)</f>
        <v/>
      </c>
      <c r="C2120" s="30">
        <v>2119.0</v>
      </c>
      <c r="D2120" s="16" t="s">
        <v>2748</v>
      </c>
      <c r="E2120" s="16" t="s">
        <v>184</v>
      </c>
      <c r="F2120" s="16" t="s">
        <v>192</v>
      </c>
      <c r="G2120" s="16" t="s">
        <v>2745</v>
      </c>
      <c r="H2120" s="16" t="s">
        <v>300</v>
      </c>
      <c r="I2120" s="16" t="s">
        <v>1533</v>
      </c>
    </row>
    <row r="2121" ht="242.25" customHeight="1">
      <c r="B2121" s="32" t="str">
        <f>IMAGE("https://gymvisual.com/7467-catalog_default/ez-bar-lying-close-grip-triceps-extension-behind-head.jpg",4,500,500)</f>
        <v/>
      </c>
      <c r="C2121" s="30">
        <v>2120.0</v>
      </c>
      <c r="D2121" s="16" t="s">
        <v>2749</v>
      </c>
      <c r="E2121" s="16" t="s">
        <v>184</v>
      </c>
      <c r="F2121" s="16" t="s">
        <v>219</v>
      </c>
      <c r="G2121" s="16" t="s">
        <v>2745</v>
      </c>
      <c r="H2121" s="16" t="s">
        <v>220</v>
      </c>
      <c r="I2121" s="16" t="s">
        <v>220</v>
      </c>
    </row>
    <row r="2122" ht="242.25" customHeight="1">
      <c r="B2122" s="32" t="str">
        <f>IMAGE("https://gymvisual.com/6035-catalog_default/ez-bar-reverse-grip-bent-over-row.jpg",4,500,500)</f>
        <v/>
      </c>
      <c r="C2122" s="30">
        <v>2121.0</v>
      </c>
      <c r="D2122" s="16" t="s">
        <v>2750</v>
      </c>
      <c r="E2122" s="16" t="s">
        <v>184</v>
      </c>
      <c r="F2122" s="16" t="s">
        <v>192</v>
      </c>
      <c r="G2122" s="16" t="s">
        <v>2745</v>
      </c>
      <c r="H2122" s="16" t="s">
        <v>329</v>
      </c>
      <c r="I2122" s="16" t="s">
        <v>457</v>
      </c>
    </row>
    <row r="2123" ht="242.25" customHeight="1">
      <c r="B2123" s="32" t="str">
        <f>IMAGE("https://gymvisual.com/7155-catalog_default/ez-bar-seated-close-grip-concentration-curl.jpg",4,500,500)</f>
        <v/>
      </c>
      <c r="C2123" s="30">
        <v>2122.0</v>
      </c>
      <c r="D2123" s="16" t="s">
        <v>2751</v>
      </c>
      <c r="E2123" s="16" t="s">
        <v>184</v>
      </c>
      <c r="F2123" s="16" t="s">
        <v>219</v>
      </c>
      <c r="G2123" s="16" t="s">
        <v>2745</v>
      </c>
      <c r="H2123" s="16" t="s">
        <v>232</v>
      </c>
      <c r="I2123" s="16" t="s">
        <v>233</v>
      </c>
    </row>
    <row r="2124" ht="242.25" customHeight="1">
      <c r="B2124" s="32" t="str">
        <f>IMAGE("https://gymvisual.com/7468-catalog_default/ez-bar-standing-french-press.jpg",4,500,500)</f>
        <v/>
      </c>
      <c r="C2124" s="30">
        <v>2123.0</v>
      </c>
      <c r="D2124" s="16" t="s">
        <v>2752</v>
      </c>
      <c r="E2124" s="16" t="s">
        <v>184</v>
      </c>
      <c r="F2124" s="16" t="s">
        <v>219</v>
      </c>
      <c r="G2124" s="16" t="s">
        <v>2745</v>
      </c>
      <c r="H2124" s="16" t="s">
        <v>223</v>
      </c>
      <c r="I2124" s="16" t="s">
        <v>220</v>
      </c>
    </row>
    <row r="2125" ht="242.25" customHeight="1">
      <c r="B2125" s="32" t="str">
        <f>IMAGE("https://gymvisual.com/1353-catalog_default/3-4-sit-up.jpg",4,500,500)</f>
        <v/>
      </c>
      <c r="C2125" s="30">
        <v>2124.0</v>
      </c>
      <c r="D2125" s="16" t="s">
        <v>2753</v>
      </c>
      <c r="E2125" s="16" t="s">
        <v>184</v>
      </c>
      <c r="F2125" s="16" t="s">
        <v>228</v>
      </c>
      <c r="G2125" s="16" t="s">
        <v>2745</v>
      </c>
      <c r="H2125" s="16" t="s">
        <v>2754</v>
      </c>
      <c r="I2125" s="16" t="s">
        <v>2755</v>
      </c>
    </row>
    <row r="2126" ht="242.25" customHeight="1">
      <c r="B2126" s="32" t="str">
        <f>IMAGE("https://gymvisual.com/14270-catalog_default/ez-barbell-anti-gravity-press-female.jpg",4,500,500)</f>
        <v/>
      </c>
      <c r="C2126" s="30">
        <v>2125.0</v>
      </c>
      <c r="D2126" s="16" t="s">
        <v>2756</v>
      </c>
      <c r="E2126" s="16" t="s">
        <v>184</v>
      </c>
      <c r="F2126" s="16" t="s">
        <v>228</v>
      </c>
      <c r="G2126" s="16" t="s">
        <v>2745</v>
      </c>
      <c r="H2126" s="16" t="s">
        <v>2754</v>
      </c>
      <c r="I2126" s="16" t="s">
        <v>2755</v>
      </c>
    </row>
    <row r="2127" ht="242.25" customHeight="1">
      <c r="B2127" s="32" t="str">
        <f>IMAGE("https://gymvisual.com/11068-catalog_default/ez-barbell-close-grip-curl-female.jpg",4,500,500)</f>
        <v/>
      </c>
      <c r="C2127" s="30">
        <v>2126.0</v>
      </c>
      <c r="D2127" s="16" t="s">
        <v>2757</v>
      </c>
      <c r="E2127" s="16" t="s">
        <v>184</v>
      </c>
      <c r="F2127" s="16" t="s">
        <v>219</v>
      </c>
      <c r="G2127" s="16" t="s">
        <v>2745</v>
      </c>
      <c r="H2127" s="16" t="s">
        <v>241</v>
      </c>
      <c r="I2127" s="16" t="s">
        <v>292</v>
      </c>
    </row>
    <row r="2128" ht="242.25" customHeight="1">
      <c r="B2128" s="32" t="str">
        <f>IMAGE("https://gymvisual.com/12072-catalog_default/ez-barbell-close-grip-preacher-curl.jpg",4,500,500)</f>
        <v/>
      </c>
      <c r="C2128" s="30">
        <v>2127.0</v>
      </c>
      <c r="D2128" s="16" t="s">
        <v>2758</v>
      </c>
      <c r="E2128" s="16" t="s">
        <v>184</v>
      </c>
      <c r="F2128" s="16" t="s">
        <v>219</v>
      </c>
      <c r="G2128" s="16" t="s">
        <v>2745</v>
      </c>
      <c r="H2128" s="16" t="s">
        <v>232</v>
      </c>
      <c r="I2128" s="16" t="s">
        <v>233</v>
      </c>
    </row>
    <row r="2129" ht="242.25" customHeight="1">
      <c r="B2129" s="32" t="str">
        <f>IMAGE("https://gymvisual.com/4610-catalog_default/3-4-sit-up.jpg",4,500,500)</f>
        <v/>
      </c>
      <c r="C2129" s="30">
        <v>2128.0</v>
      </c>
      <c r="D2129" s="16" t="s">
        <v>2759</v>
      </c>
      <c r="E2129" s="16" t="s">
        <v>184</v>
      </c>
      <c r="F2129" s="16" t="s">
        <v>219</v>
      </c>
      <c r="G2129" s="16" t="s">
        <v>2745</v>
      </c>
      <c r="H2129" s="16" t="s">
        <v>232</v>
      </c>
      <c r="I2129" s="16" t="s">
        <v>233</v>
      </c>
    </row>
    <row r="2130" ht="242.25" customHeight="1">
      <c r="B2130" s="32" t="str">
        <f>IMAGE("https://gymvisual.com/2598-catalog_default/3-4-sit-up.jpg",4,500,500)</f>
        <v/>
      </c>
      <c r="C2130" s="30">
        <v>2129.0</v>
      </c>
      <c r="D2130" s="16" t="s">
        <v>2760</v>
      </c>
      <c r="E2130" s="16" t="s">
        <v>184</v>
      </c>
      <c r="F2130" s="16" t="s">
        <v>219</v>
      </c>
      <c r="G2130" s="16" t="s">
        <v>2745</v>
      </c>
      <c r="H2130" s="16" t="s">
        <v>241</v>
      </c>
      <c r="I2130" s="16" t="s">
        <v>292</v>
      </c>
    </row>
    <row r="2131" ht="242.25" customHeight="1">
      <c r="B2131" s="32" t="str">
        <f>IMAGE("https://gymvisual.com/9628-catalog_default/ez-barbell-curl-female.jpg",4,500,500)</f>
        <v/>
      </c>
      <c r="C2131" s="30">
        <v>2130.0</v>
      </c>
      <c r="D2131" s="16" t="s">
        <v>2761</v>
      </c>
      <c r="E2131" s="16" t="s">
        <v>184</v>
      </c>
      <c r="F2131" s="16" t="s">
        <v>219</v>
      </c>
      <c r="G2131" s="16" t="s">
        <v>2745</v>
      </c>
      <c r="H2131" s="16" t="s">
        <v>241</v>
      </c>
      <c r="I2131" s="16" t="s">
        <v>292</v>
      </c>
    </row>
    <row r="2132" ht="242.25" customHeight="1">
      <c r="B2132" s="32" t="str">
        <f>IMAGE("https://gymvisual.com/15653-catalog_default/3-4-sit-up.jpg",4,500,500)</f>
        <v/>
      </c>
      <c r="C2132" s="30">
        <v>2131.0</v>
      </c>
      <c r="D2132" s="16" t="s">
        <v>2762</v>
      </c>
      <c r="E2132" s="16" t="s">
        <v>184</v>
      </c>
      <c r="F2132" s="16" t="s">
        <v>219</v>
      </c>
      <c r="G2132" s="16" t="s">
        <v>2745</v>
      </c>
      <c r="H2132" s="16" t="s">
        <v>223</v>
      </c>
      <c r="I2132" s="16" t="s">
        <v>292</v>
      </c>
    </row>
    <row r="2133" ht="242.25" customHeight="1">
      <c r="B2133" s="32" t="str">
        <f>IMAGE("https://gymvisual.com/12054-catalog_default/ez-barbell-decline-close-grip-face-press-female.jpg",4,500,500)</f>
        <v/>
      </c>
      <c r="C2133" s="30">
        <v>2132.0</v>
      </c>
      <c r="D2133" s="16" t="s">
        <v>2763</v>
      </c>
      <c r="E2133" s="16" t="s">
        <v>184</v>
      </c>
      <c r="F2133" s="16" t="s">
        <v>219</v>
      </c>
      <c r="G2133" s="16" t="s">
        <v>2745</v>
      </c>
      <c r="H2133" s="16" t="s">
        <v>220</v>
      </c>
      <c r="I2133" s="16" t="s">
        <v>220</v>
      </c>
    </row>
    <row r="2134" ht="242.25" customHeight="1">
      <c r="B2134" s="32" t="str">
        <f>IMAGE("https://gymvisual.com/8821-catalog_default/ez-barbell-decline-triceps-extension.jpg",4,500,500)</f>
        <v/>
      </c>
      <c r="C2134" s="30">
        <v>2133.0</v>
      </c>
      <c r="D2134" s="16" t="s">
        <v>2764</v>
      </c>
      <c r="E2134" s="16" t="s">
        <v>184</v>
      </c>
      <c r="F2134" s="16" t="s">
        <v>219</v>
      </c>
      <c r="G2134" s="16" t="s">
        <v>2745</v>
      </c>
      <c r="H2134" s="16" t="s">
        <v>223</v>
      </c>
      <c r="I2134" s="16" t="s">
        <v>220</v>
      </c>
    </row>
    <row r="2135" ht="242.25" customHeight="1">
      <c r="B2135" s="32" t="str">
        <f>IMAGE("https://gymvisual.com/1365-catalog_default/3-4-sit-up.jpg",4,500,500)</f>
        <v/>
      </c>
      <c r="C2135" s="30">
        <v>2134.0</v>
      </c>
      <c r="D2135" s="16" t="s">
        <v>2765</v>
      </c>
      <c r="E2135" s="16" t="s">
        <v>184</v>
      </c>
      <c r="F2135" s="16" t="s">
        <v>219</v>
      </c>
      <c r="G2135" s="16" t="s">
        <v>2745</v>
      </c>
      <c r="H2135" s="16" t="s">
        <v>223</v>
      </c>
      <c r="I2135" s="16" t="s">
        <v>220</v>
      </c>
    </row>
    <row r="2136" ht="242.25" customHeight="1">
      <c r="B2136" s="32" t="str">
        <f>IMAGE("https://gymvisual.com/1368-catalog_default/3-4-sit-up.jpg",4,500,500)</f>
        <v/>
      </c>
      <c r="C2136" s="30">
        <v>2135.0</v>
      </c>
      <c r="D2136" s="16" t="s">
        <v>2766</v>
      </c>
      <c r="E2136" s="16" t="s">
        <v>184</v>
      </c>
      <c r="F2136" s="16" t="s">
        <v>219</v>
      </c>
      <c r="G2136" s="16" t="s">
        <v>2745</v>
      </c>
      <c r="H2136" s="16" t="s">
        <v>223</v>
      </c>
      <c r="I2136" s="16" t="s">
        <v>472</v>
      </c>
    </row>
    <row r="2137" ht="242.25" customHeight="1">
      <c r="B2137" s="32" t="str">
        <f>IMAGE("https://gymvisual.com/1371-catalog_default/3-4-sit-up.jpg",4,500,500)</f>
        <v/>
      </c>
      <c r="C2137" s="30">
        <v>2136.0</v>
      </c>
      <c r="D2137" s="16" t="s">
        <v>2767</v>
      </c>
      <c r="E2137" s="16" t="s">
        <v>184</v>
      </c>
      <c r="F2137" s="16" t="s">
        <v>214</v>
      </c>
      <c r="G2137" s="16" t="s">
        <v>2745</v>
      </c>
      <c r="H2137" s="16" t="s">
        <v>216</v>
      </c>
      <c r="I2137" s="16" t="s">
        <v>217</v>
      </c>
    </row>
    <row r="2138" ht="242.25" customHeight="1">
      <c r="B2138" s="32" t="str">
        <f>IMAGE("https://gymvisual.com/11065-catalog_default/ez-barbell-reverse-grip-curl-female.jpg",4,500,500)</f>
        <v/>
      </c>
      <c r="C2138" s="30">
        <v>2137.0</v>
      </c>
      <c r="D2138" s="16" t="s">
        <v>2768</v>
      </c>
      <c r="E2138" s="16" t="s">
        <v>184</v>
      </c>
      <c r="F2138" s="16" t="s">
        <v>219</v>
      </c>
      <c r="G2138" s="16" t="s">
        <v>2745</v>
      </c>
      <c r="H2138" s="16" t="s">
        <v>216</v>
      </c>
      <c r="I2138" s="16" t="s">
        <v>217</v>
      </c>
    </row>
    <row r="2139" ht="242.25" customHeight="1">
      <c r="B2139" s="32" t="str">
        <f>IMAGE("https://gymvisual.com/24993-catalog_default/3-4-sit-up.jpg",4,500,500)</f>
        <v/>
      </c>
      <c r="C2139" s="30">
        <v>2138.0</v>
      </c>
      <c r="D2139" s="16" t="s">
        <v>2769</v>
      </c>
      <c r="E2139" s="16" t="s">
        <v>184</v>
      </c>
      <c r="F2139" s="16" t="s">
        <v>214</v>
      </c>
      <c r="G2139" s="16" t="s">
        <v>2745</v>
      </c>
      <c r="H2139" s="16" t="s">
        <v>216</v>
      </c>
      <c r="I2139" s="16" t="s">
        <v>217</v>
      </c>
    </row>
    <row r="2140" ht="242.25" customHeight="1">
      <c r="B2140" s="32" t="str">
        <f>IMAGE("https://gymvisual.com/6486-catalog_default/ez-barbell-seated-curls.jpg",4,500,500)</f>
        <v/>
      </c>
      <c r="C2140" s="30">
        <v>2139.0</v>
      </c>
      <c r="D2140" s="16" t="s">
        <v>2770</v>
      </c>
      <c r="E2140" s="16" t="s">
        <v>184</v>
      </c>
      <c r="F2140" s="16" t="s">
        <v>219</v>
      </c>
      <c r="G2140" s="16" t="s">
        <v>2745</v>
      </c>
      <c r="H2140" s="16" t="s">
        <v>241</v>
      </c>
      <c r="I2140" s="16" t="s">
        <v>292</v>
      </c>
    </row>
    <row r="2141" ht="242.25" customHeight="1">
      <c r="B2141" s="32" t="str">
        <f>IMAGE("https://gymvisual.com/25073-catalog_default/3-4-sit-up.jpg",4,500,500)</f>
        <v/>
      </c>
      <c r="C2141" s="30">
        <v>2140.0</v>
      </c>
      <c r="D2141" s="16" t="s">
        <v>2771</v>
      </c>
      <c r="E2141" s="16" t="s">
        <v>184</v>
      </c>
      <c r="F2141" s="16" t="s">
        <v>219</v>
      </c>
      <c r="G2141" s="16" t="s">
        <v>2745</v>
      </c>
      <c r="H2141" s="16" t="s">
        <v>223</v>
      </c>
      <c r="I2141" s="16" t="s">
        <v>220</v>
      </c>
    </row>
    <row r="2142" ht="242.25" customHeight="1">
      <c r="B2142" s="32" t="str">
        <f>IMAGE("https://gymvisual.com/1380-catalog_default/3-4-sit-up.jpg",4,500,500)</f>
        <v/>
      </c>
      <c r="C2142" s="30">
        <v>2141.0</v>
      </c>
      <c r="D2142" s="16" t="s">
        <v>2772</v>
      </c>
      <c r="E2142" s="16" t="s">
        <v>184</v>
      </c>
      <c r="F2142" s="16" t="s">
        <v>219</v>
      </c>
      <c r="G2142" s="16" t="s">
        <v>2745</v>
      </c>
      <c r="H2142" s="16" t="s">
        <v>217</v>
      </c>
      <c r="I2142" s="16" t="s">
        <v>216</v>
      </c>
    </row>
    <row r="2143" ht="242.25" customHeight="1">
      <c r="B2143" s="32" t="str">
        <f>IMAGE("https://gymvisual.com/7103-catalog_default/ez-barbell-spider-curl.jpg",4,500,500)</f>
        <v/>
      </c>
      <c r="C2143" s="30">
        <v>2142.0</v>
      </c>
      <c r="D2143" s="16" t="s">
        <v>2772</v>
      </c>
      <c r="E2143" s="16" t="s">
        <v>184</v>
      </c>
      <c r="F2143" s="16" t="s">
        <v>219</v>
      </c>
      <c r="G2143" s="16" t="s">
        <v>2745</v>
      </c>
      <c r="H2143" s="16" t="s">
        <v>241</v>
      </c>
      <c r="I2143" s="16" t="s">
        <v>292</v>
      </c>
    </row>
    <row r="2144" ht="242.25" customHeight="1">
      <c r="B2144" s="32" t="str">
        <f>IMAGE("https://gymvisual.com/23478-catalog_default/ez-bar-21s.jpg",4,500,500)</f>
        <v/>
      </c>
      <c r="C2144" s="30">
        <v>2143.0</v>
      </c>
      <c r="D2144" s="16" t="s">
        <v>2773</v>
      </c>
      <c r="E2144" s="16" t="s">
        <v>184</v>
      </c>
      <c r="F2144" s="16" t="s">
        <v>219</v>
      </c>
      <c r="G2144" s="16" t="s">
        <v>2745</v>
      </c>
      <c r="H2144" s="16" t="s">
        <v>217</v>
      </c>
      <c r="I2144" s="16" t="s">
        <v>216</v>
      </c>
    </row>
    <row r="2145" ht="242.25" customHeight="1">
      <c r="B2145" s="32" t="str">
        <f>IMAGE("https://gymvisual.com/10457-catalog_default/ez-bar-biceps-curl-with-arm-blaster.jpg",4,500,500)</f>
        <v/>
      </c>
      <c r="C2145" s="30">
        <v>2144.0</v>
      </c>
      <c r="D2145" s="16" t="s">
        <v>2774</v>
      </c>
      <c r="E2145" s="16" t="s">
        <v>184</v>
      </c>
      <c r="F2145" s="16" t="s">
        <v>219</v>
      </c>
      <c r="G2145" s="16" t="s">
        <v>2745</v>
      </c>
      <c r="H2145" s="16" t="s">
        <v>241</v>
      </c>
      <c r="I2145" s="16" t="s">
        <v>292</v>
      </c>
    </row>
    <row r="2146" ht="242.25" customHeight="1">
      <c r="B2146" s="32" t="str">
        <f>IMAGE("https://gymvisual.com/10543-catalog_default/ez-bar-close-grip-bench-press.jpg",4,500,500)</f>
        <v/>
      </c>
      <c r="C2146" s="30">
        <v>2145.0</v>
      </c>
      <c r="D2146" s="16" t="s">
        <v>2775</v>
      </c>
      <c r="E2146" s="16" t="s">
        <v>184</v>
      </c>
      <c r="F2146" s="16" t="s">
        <v>219</v>
      </c>
      <c r="G2146" s="16" t="s">
        <v>2745</v>
      </c>
      <c r="H2146" s="16" t="s">
        <v>223</v>
      </c>
      <c r="I2146" s="16" t="s">
        <v>472</v>
      </c>
    </row>
    <row r="2147" ht="242.25" customHeight="1">
      <c r="B2147" s="32" t="str">
        <f>IMAGE("https://gymvisual.com/10546-catalog_default/ez-bar-close-grip-bench-press-female.jpg",4,500,500)</f>
        <v/>
      </c>
      <c r="C2147" s="30">
        <v>2146.0</v>
      </c>
      <c r="D2147" s="16" t="s">
        <v>2776</v>
      </c>
      <c r="E2147" s="16" t="s">
        <v>184</v>
      </c>
      <c r="F2147" s="16" t="s">
        <v>219</v>
      </c>
      <c r="G2147" s="16" t="s">
        <v>2745</v>
      </c>
      <c r="H2147" s="16" t="s">
        <v>223</v>
      </c>
      <c r="I2147" s="16" t="s">
        <v>472</v>
      </c>
    </row>
    <row r="2148" ht="242.25" customHeight="1">
      <c r="B2148" s="32" t="str">
        <f>IMAGE("https://gymvisual.com/20475-catalog_default/ez-bar-deadlift-with-biceps-curl.jpg",4,500,500)</f>
        <v/>
      </c>
      <c r="C2148" s="30">
        <v>2147.0</v>
      </c>
      <c r="D2148" s="16" t="s">
        <v>2777</v>
      </c>
      <c r="E2148" s="16" t="s">
        <v>184</v>
      </c>
      <c r="F2148" s="16" t="s">
        <v>2778</v>
      </c>
      <c r="G2148" s="16" t="s">
        <v>2745</v>
      </c>
      <c r="H2148" s="16" t="s">
        <v>2779</v>
      </c>
      <c r="I2148" s="16" t="s">
        <v>2780</v>
      </c>
    </row>
    <row r="2149" ht="242.25" customHeight="1">
      <c r="B2149" s="32" t="str">
        <f>IMAGE("https://gymvisual.com/18967-catalog_default/ez-bar-drag-bicep-curl.jpg",4,500,500)</f>
        <v/>
      </c>
      <c r="C2149" s="30">
        <v>2148.0</v>
      </c>
      <c r="D2149" s="16" t="s">
        <v>2781</v>
      </c>
      <c r="E2149" s="16" t="s">
        <v>184</v>
      </c>
      <c r="F2149" s="16" t="s">
        <v>829</v>
      </c>
      <c r="G2149" s="16" t="s">
        <v>2745</v>
      </c>
      <c r="H2149" s="16" t="s">
        <v>236</v>
      </c>
      <c r="I2149" s="16" t="s">
        <v>292</v>
      </c>
    </row>
    <row r="2150" ht="242.25" customHeight="1">
      <c r="B2150" s="32" t="str">
        <f>IMAGE("https://gymvisual.com/17395-catalog_default/ez-bar-front-twist-raise.jpg",4,500,500)</f>
        <v/>
      </c>
      <c r="C2150" s="30">
        <v>2149.0</v>
      </c>
      <c r="D2150" s="16" t="s">
        <v>2782</v>
      </c>
      <c r="E2150" s="16" t="s">
        <v>184</v>
      </c>
      <c r="F2150" s="16" t="s">
        <v>228</v>
      </c>
      <c r="G2150" s="16" t="s">
        <v>2745</v>
      </c>
      <c r="H2150" s="16" t="s">
        <v>454</v>
      </c>
      <c r="I2150" s="16" t="s">
        <v>2783</v>
      </c>
    </row>
    <row r="2151" ht="242.25" customHeight="1">
      <c r="B2151" s="32" t="str">
        <f>IMAGE("https://gymvisual.com/17401-catalog_default/ez-bar-incline-front-raise.jpg",4,500,500)</f>
        <v/>
      </c>
      <c r="C2151" s="30">
        <v>2150.0</v>
      </c>
      <c r="D2151" s="16" t="s">
        <v>2784</v>
      </c>
      <c r="E2151" s="16" t="s">
        <v>184</v>
      </c>
      <c r="F2151" s="16" t="s">
        <v>228</v>
      </c>
      <c r="G2151" s="16" t="s">
        <v>2745</v>
      </c>
      <c r="H2151" s="16" t="s">
        <v>229</v>
      </c>
      <c r="I2151" s="16" t="s">
        <v>244</v>
      </c>
    </row>
    <row r="2152" ht="242.25" customHeight="1">
      <c r="B2152" s="32" t="str">
        <f>IMAGE("https://gymvisual.com/17598-catalog_default/ez-bar-knelling-rollout.jpg",4,500,500)</f>
        <v/>
      </c>
      <c r="C2152" s="30">
        <v>2151.0</v>
      </c>
      <c r="D2152" s="16" t="s">
        <v>2785</v>
      </c>
      <c r="E2152" s="16" t="s">
        <v>184</v>
      </c>
      <c r="F2152" s="16" t="s">
        <v>254</v>
      </c>
      <c r="G2152" s="16" t="s">
        <v>2745</v>
      </c>
      <c r="H2152" s="16" t="s">
        <v>305</v>
      </c>
      <c r="I2152" s="16" t="s">
        <v>220</v>
      </c>
    </row>
    <row r="2153" ht="242.25" customHeight="1">
      <c r="B2153" s="32" t="str">
        <f>IMAGE("https://gymvisual.com/17594-catalog_default/ez-bar-legs-side-pull-in-sit-up.jpg",4,500,500)</f>
        <v/>
      </c>
      <c r="C2153" s="30">
        <v>2152.0</v>
      </c>
      <c r="D2153" s="16" t="s">
        <v>2786</v>
      </c>
      <c r="E2153" s="16" t="s">
        <v>184</v>
      </c>
      <c r="F2153" s="16" t="s">
        <v>254</v>
      </c>
      <c r="G2153" s="16" t="s">
        <v>2745</v>
      </c>
      <c r="H2153" s="16" t="s">
        <v>2640</v>
      </c>
      <c r="I2153" s="16" t="s">
        <v>220</v>
      </c>
    </row>
    <row r="2154" ht="242.25" customHeight="1">
      <c r="B2154" s="32" t="str">
        <f>IMAGE("https://gymvisual.com/17596-catalog_default/ez-bar-reverse-crunch.jpg",4,500,500)</f>
        <v/>
      </c>
      <c r="C2154" s="30">
        <v>2153.0</v>
      </c>
      <c r="D2154" s="16" t="s">
        <v>2787</v>
      </c>
      <c r="E2154" s="16" t="s">
        <v>184</v>
      </c>
      <c r="F2154" s="16" t="s">
        <v>254</v>
      </c>
      <c r="G2154" s="16" t="s">
        <v>2745</v>
      </c>
      <c r="H2154" s="16" t="s">
        <v>305</v>
      </c>
      <c r="I2154" s="16" t="s">
        <v>220</v>
      </c>
    </row>
    <row r="2155" ht="242.25" customHeight="1">
      <c r="B2155" s="32" t="str">
        <f>IMAGE("https://gymvisual.com/20815-catalog_default/ez-bar-russian-twist-sit-up.jpg",4,500,500)</f>
        <v/>
      </c>
      <c r="C2155" s="30">
        <v>2154.0</v>
      </c>
      <c r="D2155" s="16" t="s">
        <v>2788</v>
      </c>
      <c r="E2155" s="16" t="s">
        <v>184</v>
      </c>
      <c r="F2155" s="16" t="s">
        <v>254</v>
      </c>
      <c r="G2155" s="16" t="s">
        <v>2745</v>
      </c>
      <c r="H2155" s="16" t="s">
        <v>263</v>
      </c>
      <c r="I2155" s="16" t="s">
        <v>220</v>
      </c>
    </row>
    <row r="2156" ht="242.25" customHeight="1">
      <c r="B2156" s="32" t="str">
        <f>IMAGE("https://gymvisual.com/17403-catalog_default/ez-bar-seated-close-grip-shoulder-press.jpg",4,500,500)</f>
        <v/>
      </c>
      <c r="C2156" s="30">
        <v>2155.0</v>
      </c>
      <c r="D2156" s="16" t="s">
        <v>2789</v>
      </c>
      <c r="E2156" s="16" t="s">
        <v>184</v>
      </c>
      <c r="F2156" s="16" t="s">
        <v>228</v>
      </c>
      <c r="G2156" s="16" t="s">
        <v>2745</v>
      </c>
      <c r="H2156" s="16" t="s">
        <v>229</v>
      </c>
      <c r="I2156" s="16" t="s">
        <v>2790</v>
      </c>
    </row>
    <row r="2157" ht="242.25" customHeight="1">
      <c r="B2157" s="32" t="str">
        <f>IMAGE("https://gymvisual.com/20817-catalog_default/ez-bar-shoulder-press-sit-up.jpg",4,500,500)</f>
        <v/>
      </c>
      <c r="C2157" s="30">
        <v>2156.0</v>
      </c>
      <c r="D2157" s="16" t="s">
        <v>2791</v>
      </c>
      <c r="E2157" s="16" t="s">
        <v>184</v>
      </c>
      <c r="F2157" s="16" t="s">
        <v>254</v>
      </c>
      <c r="G2157" s="16" t="s">
        <v>2745</v>
      </c>
      <c r="H2157" s="16" t="s">
        <v>2792</v>
      </c>
      <c r="I2157" s="16" t="s">
        <v>220</v>
      </c>
    </row>
    <row r="2158" ht="242.25" customHeight="1">
      <c r="B2158" s="32" t="str">
        <f>IMAGE("https://gymvisual.com/4597-catalog_default/ez-bar-standing-overhead-press.jpg",4,500,500)</f>
        <v/>
      </c>
      <c r="C2158" s="30">
        <v>2157.0</v>
      </c>
      <c r="D2158" s="16" t="s">
        <v>2793</v>
      </c>
      <c r="E2158" s="16" t="s">
        <v>184</v>
      </c>
      <c r="F2158" s="16" t="s">
        <v>228</v>
      </c>
      <c r="G2158" s="16" t="s">
        <v>2745</v>
      </c>
      <c r="H2158" s="16" t="s">
        <v>229</v>
      </c>
      <c r="I2158" s="16" t="s">
        <v>626</v>
      </c>
    </row>
    <row r="2159" ht="242.25" customHeight="1">
      <c r="B2159" s="32" t="str">
        <f>IMAGE("https://gymvisual.com/17600-catalog_default/ez-bar-up-down-twist.jpg",4,500,500)</f>
        <v/>
      </c>
      <c r="C2159" s="30">
        <v>2158.0</v>
      </c>
      <c r="D2159" s="16" t="s">
        <v>2794</v>
      </c>
      <c r="E2159" s="16" t="s">
        <v>184</v>
      </c>
      <c r="F2159" s="16" t="s">
        <v>254</v>
      </c>
      <c r="G2159" s="16" t="s">
        <v>2745</v>
      </c>
      <c r="H2159" s="16" t="s">
        <v>741</v>
      </c>
      <c r="I2159" s="16" t="s">
        <v>220</v>
      </c>
    </row>
    <row r="2160" ht="242.25" customHeight="1">
      <c r="B2160" s="32" t="str">
        <f>IMAGE("https://gymvisual.com/14382-catalog_default/ez-barbell-lying-triceps-extension-female.jpg",4,500,500)</f>
        <v/>
      </c>
      <c r="C2160" s="30">
        <v>2159.0</v>
      </c>
      <c r="D2160" s="16" t="s">
        <v>2795</v>
      </c>
      <c r="E2160" s="16" t="s">
        <v>184</v>
      </c>
      <c r="F2160" s="16" t="s">
        <v>219</v>
      </c>
      <c r="G2160" s="16" t="s">
        <v>2745</v>
      </c>
      <c r="H2160" s="16" t="s">
        <v>223</v>
      </c>
      <c r="I2160" s="16" t="s">
        <v>220</v>
      </c>
    </row>
    <row r="2161" ht="242.25" customHeight="1">
      <c r="B2161" s="32" t="str">
        <f>IMAGE("https://gymvisual.com/12116-catalog_default/ez-barbell-standing-preacher-curl.jpg",4,500,500)</f>
        <v/>
      </c>
      <c r="C2161" s="30">
        <v>2160.0</v>
      </c>
      <c r="D2161" s="16" t="s">
        <v>2796</v>
      </c>
      <c r="E2161" s="16" t="s">
        <v>184</v>
      </c>
      <c r="F2161" s="16" t="s">
        <v>219</v>
      </c>
      <c r="G2161" s="16" t="s">
        <v>2745</v>
      </c>
      <c r="H2161" s="16" t="s">
        <v>241</v>
      </c>
      <c r="I2161" s="16" t="s">
        <v>292</v>
      </c>
    </row>
    <row r="2162" ht="242.25" customHeight="1">
      <c r="B2162" s="32" t="str">
        <f>IMAGE("https://gymvisual.com/11597-catalog_default/ez-barbell-standing-wide-grip-biceps-curl.jpg",4,500,500)</f>
        <v/>
      </c>
      <c r="C2162" s="30">
        <v>2161.0</v>
      </c>
      <c r="D2162" s="16" t="s">
        <v>2797</v>
      </c>
      <c r="E2162" s="16" t="s">
        <v>184</v>
      </c>
      <c r="F2162" s="16" t="s">
        <v>219</v>
      </c>
      <c r="G2162" s="16" t="s">
        <v>2745</v>
      </c>
      <c r="H2162" s="16" t="s">
        <v>241</v>
      </c>
      <c r="I2162" s="16" t="s">
        <v>292</v>
      </c>
    </row>
    <row r="2163" ht="242.25" customHeight="1">
      <c r="A2163" s="32" t="b">
        <v>0</v>
      </c>
      <c r="B2163" s="32" t="str">
        <f>IMAGE("https://gymvisual.com/1383-catalog_default/3-4-sit-up.jpg",4,500,500)</f>
        <v/>
      </c>
      <c r="C2163" s="30">
        <v>2162.0</v>
      </c>
      <c r="D2163" s="16" t="s">
        <v>2798</v>
      </c>
      <c r="E2163" s="16" t="s">
        <v>184</v>
      </c>
      <c r="F2163" s="16" t="s">
        <v>214</v>
      </c>
      <c r="G2163" s="16" t="s">
        <v>186</v>
      </c>
      <c r="H2163" s="16" t="s">
        <v>220</v>
      </c>
      <c r="I2163" s="16" t="s">
        <v>220</v>
      </c>
    </row>
    <row r="2164" ht="242.25" customHeight="1">
      <c r="B2164" s="32" t="str">
        <f>IMAGE("https://gymvisual.com/17385-catalog_default/finger-push-up.jpg",4,500,500)</f>
        <v/>
      </c>
      <c r="C2164" s="30">
        <v>2163.0</v>
      </c>
      <c r="D2164" s="16" t="s">
        <v>2799</v>
      </c>
      <c r="E2164" s="16" t="s">
        <v>184</v>
      </c>
      <c r="F2164" s="16" t="s">
        <v>234</v>
      </c>
      <c r="G2164" s="16" t="s">
        <v>255</v>
      </c>
      <c r="H2164" s="16" t="s">
        <v>235</v>
      </c>
      <c r="I2164" s="16" t="s">
        <v>2800</v>
      </c>
    </row>
    <row r="2165" ht="242.25" customHeight="1">
      <c r="B2165" s="32" t="str">
        <f>IMAGE("https://gymvisual.com/1386-catalog_default/3-4-sit-up.jpg",4,500,500)</f>
        <v/>
      </c>
      <c r="C2165" s="30">
        <v>2164.0</v>
      </c>
      <c r="D2165" s="16" t="s">
        <v>2801</v>
      </c>
      <c r="E2165" s="16" t="s">
        <v>184</v>
      </c>
      <c r="F2165" s="16" t="s">
        <v>254</v>
      </c>
      <c r="G2165" s="16" t="s">
        <v>255</v>
      </c>
      <c r="H2165" s="16" t="s">
        <v>256</v>
      </c>
      <c r="I2165" s="16" t="s">
        <v>2802</v>
      </c>
    </row>
    <row r="2166" ht="242.25" customHeight="1">
      <c r="B2166" s="32" t="str">
        <f>IMAGE("https://gymvisual.com/1389-catalog_default/3-4-sit-up.jpg",4,500,500)</f>
        <v/>
      </c>
      <c r="C2166" s="30">
        <v>2165.0</v>
      </c>
      <c r="D2166" s="16" t="s">
        <v>2803</v>
      </c>
      <c r="E2166" s="16" t="s">
        <v>184</v>
      </c>
      <c r="F2166" s="16" t="s">
        <v>254</v>
      </c>
      <c r="G2166" s="16" t="s">
        <v>255</v>
      </c>
      <c r="H2166" s="16" t="s">
        <v>256</v>
      </c>
      <c r="I2166" s="16" t="s">
        <v>2802</v>
      </c>
    </row>
    <row r="2167" ht="242.25" customHeight="1">
      <c r="B2167" s="32" t="str">
        <f>IMAGE("https://gymvisual.com/18796-catalog_default/flexion-leg-sit-up-straight-arm-female.jpg",4,500,500)</f>
        <v/>
      </c>
      <c r="C2167" s="30">
        <v>2166.0</v>
      </c>
      <c r="D2167" s="16" t="s">
        <v>2804</v>
      </c>
      <c r="E2167" s="16" t="s">
        <v>184</v>
      </c>
      <c r="F2167" s="16" t="s">
        <v>254</v>
      </c>
      <c r="G2167" s="16" t="s">
        <v>255</v>
      </c>
      <c r="H2167" s="16" t="s">
        <v>305</v>
      </c>
      <c r="I2167" s="16" t="s">
        <v>319</v>
      </c>
    </row>
    <row r="2168" ht="242.25" customHeight="1">
      <c r="B2168" s="32" t="str">
        <f>IMAGE("https://gymvisual.com/13071-catalog_default/floor-crunch-feet-on-bench-female.jpg",4,500,500)</f>
        <v/>
      </c>
      <c r="C2168" s="30">
        <v>2167.0</v>
      </c>
      <c r="D2168" s="16" t="s">
        <v>2805</v>
      </c>
      <c r="E2168" s="16" t="s">
        <v>184</v>
      </c>
      <c r="F2168" s="16" t="s">
        <v>254</v>
      </c>
      <c r="G2168" s="16" t="s">
        <v>255</v>
      </c>
      <c r="H2168" s="16" t="s">
        <v>256</v>
      </c>
      <c r="I2168" s="16" t="s">
        <v>257</v>
      </c>
    </row>
    <row r="2169" ht="242.25" customHeight="1">
      <c r="A2169" s="32" t="b">
        <v>0</v>
      </c>
      <c r="B2169" s="32" t="str">
        <f>IMAGE("https://gymvisual.com/1392-catalog_default/3-4-sit-up.jpg",4,500,500)</f>
        <v/>
      </c>
      <c r="C2169" s="30">
        <v>2168.0</v>
      </c>
      <c r="D2169" s="16" t="s">
        <v>2806</v>
      </c>
      <c r="E2169" s="16" t="s">
        <v>184</v>
      </c>
      <c r="F2169" s="16" t="s">
        <v>234</v>
      </c>
      <c r="G2169" s="16" t="s">
        <v>186</v>
      </c>
      <c r="H2169" s="16" t="s">
        <v>347</v>
      </c>
      <c r="I2169" s="16" t="s">
        <v>420</v>
      </c>
    </row>
    <row r="2170" ht="242.25" customHeight="1">
      <c r="B2170" s="32" t="str">
        <f>IMAGE("https://gymvisual.com/17195-catalog_default/floor-fly-with-towels.jpg",4,500,500)</f>
        <v/>
      </c>
      <c r="C2170" s="30">
        <v>2169.0</v>
      </c>
      <c r="D2170" s="16" t="s">
        <v>2807</v>
      </c>
      <c r="E2170" s="16" t="s">
        <v>184</v>
      </c>
      <c r="F2170" s="16" t="s">
        <v>234</v>
      </c>
      <c r="G2170" s="16" t="s">
        <v>255</v>
      </c>
      <c r="H2170" s="16" t="s">
        <v>235</v>
      </c>
      <c r="I2170" s="16" t="s">
        <v>236</v>
      </c>
    </row>
    <row r="2171" ht="242.25" customHeight="1">
      <c r="B2171" s="32" t="str">
        <f>IMAGE("https://gymvisual.com/13118-catalog_default/floor-hyperextension-female.jpg",4,500,500)</f>
        <v/>
      </c>
      <c r="C2171" s="30">
        <v>2170.0</v>
      </c>
      <c r="D2171" s="16" t="s">
        <v>2808</v>
      </c>
      <c r="E2171" s="16" t="s">
        <v>184</v>
      </c>
      <c r="F2171" s="16" t="s">
        <v>185</v>
      </c>
      <c r="G2171" s="16" t="s">
        <v>255</v>
      </c>
      <c r="H2171" s="16" t="s">
        <v>275</v>
      </c>
      <c r="I2171" s="16" t="s">
        <v>220</v>
      </c>
    </row>
    <row r="2172" ht="242.25" customHeight="1">
      <c r="B2172" s="32" t="str">
        <f>IMAGE("https://gymvisual.com/13072-catalog_default/floor-twisting-crunch-feet-on-bench-female.jpg",4,500,500)</f>
        <v/>
      </c>
      <c r="C2172" s="30">
        <v>2171.0</v>
      </c>
      <c r="D2172" s="16" t="s">
        <v>2809</v>
      </c>
      <c r="E2172" s="16" t="s">
        <v>184</v>
      </c>
      <c r="F2172" s="16" t="s">
        <v>254</v>
      </c>
      <c r="G2172" s="16" t="s">
        <v>255</v>
      </c>
      <c r="H2172" s="16" t="s">
        <v>257</v>
      </c>
      <c r="I2172" s="16" t="s">
        <v>256</v>
      </c>
    </row>
    <row r="2173" ht="242.25" customHeight="1">
      <c r="B2173" s="32" t="str">
        <f>IMAGE("https://gymvisual.com/1395-catalog_default/3-4-sit-up.jpg",4,500,500)</f>
        <v/>
      </c>
      <c r="C2173" s="30">
        <v>2172.0</v>
      </c>
      <c r="D2173" s="16" t="s">
        <v>2810</v>
      </c>
      <c r="E2173" s="16" t="s">
        <v>184</v>
      </c>
      <c r="F2173" s="16" t="s">
        <v>185</v>
      </c>
      <c r="G2173" s="16" t="s">
        <v>255</v>
      </c>
      <c r="H2173" s="16" t="s">
        <v>187</v>
      </c>
      <c r="I2173" s="16" t="s">
        <v>188</v>
      </c>
    </row>
    <row r="2174" ht="242.25" customHeight="1">
      <c r="B2174" s="32" t="str">
        <f>IMAGE("https://gymvisual.com/12082-catalog_default/flutter-kicks-hands-under-hips-head-up-female.jpg",4,500,500)</f>
        <v/>
      </c>
      <c r="C2174" s="30">
        <v>2173.0</v>
      </c>
      <c r="D2174" s="16" t="s">
        <v>2811</v>
      </c>
      <c r="E2174" s="16" t="s">
        <v>184</v>
      </c>
      <c r="F2174" s="16" t="s">
        <v>185</v>
      </c>
      <c r="G2174" s="16" t="s">
        <v>255</v>
      </c>
      <c r="H2174" s="16" t="s">
        <v>220</v>
      </c>
      <c r="I2174" s="16" t="s">
        <v>220</v>
      </c>
    </row>
    <row r="2175" ht="242.25" customHeight="1">
      <c r="B2175" s="32" t="str">
        <f>IMAGE("https://gymvisual.com/4437-catalog_default/flutter-kicks-version-2.jpg",4,500,500)</f>
        <v/>
      </c>
      <c r="C2175" s="30">
        <v>2174.0</v>
      </c>
      <c r="D2175" s="16" t="s">
        <v>2812</v>
      </c>
      <c r="E2175" s="16" t="s">
        <v>184</v>
      </c>
      <c r="F2175" s="16" t="s">
        <v>185</v>
      </c>
      <c r="G2175" s="16" t="s">
        <v>255</v>
      </c>
      <c r="H2175" s="16" t="s">
        <v>187</v>
      </c>
      <c r="I2175" s="16" t="s">
        <v>188</v>
      </c>
    </row>
    <row r="2176" ht="242.25" customHeight="1">
      <c r="B2176" s="32" t="str">
        <f>IMAGE("https://gymvisual.com/20648-catalog_default/flutter-kicks-version-3.jpg",4,500,500)</f>
        <v/>
      </c>
      <c r="C2176" s="30">
        <v>2175.0</v>
      </c>
      <c r="D2176" s="16" t="s">
        <v>2813</v>
      </c>
      <c r="E2176" s="16" t="s">
        <v>184</v>
      </c>
      <c r="F2176" s="16" t="s">
        <v>185</v>
      </c>
      <c r="G2176" s="16" t="s">
        <v>255</v>
      </c>
      <c r="H2176" s="16" t="s">
        <v>271</v>
      </c>
      <c r="I2176" s="16" t="s">
        <v>566</v>
      </c>
    </row>
    <row r="2177" ht="242.25" customHeight="1">
      <c r="B2177" s="32" t="str">
        <f>IMAGE("https://gymvisual.com/22779-catalog_default/flutter-kicks-version-3-female.jpg",4,500,500)</f>
        <v/>
      </c>
      <c r="C2177" s="30">
        <v>2176.0</v>
      </c>
      <c r="D2177" s="16" t="s">
        <v>2814</v>
      </c>
      <c r="E2177" s="16" t="s">
        <v>184</v>
      </c>
      <c r="F2177" s="16" t="s">
        <v>185</v>
      </c>
      <c r="G2177" s="16" t="s">
        <v>255</v>
      </c>
      <c r="H2177" s="16" t="s">
        <v>305</v>
      </c>
      <c r="I2177" s="16" t="s">
        <v>1306</v>
      </c>
    </row>
    <row r="2178" ht="242.25" customHeight="1">
      <c r="B2178" s="32" t="str">
        <f>IMAGE("https://gymvisual.com/18035-catalog_default/fly-agains-chains.jpg",4,500,500)</f>
        <v/>
      </c>
      <c r="C2178" s="30">
        <v>2177.0</v>
      </c>
      <c r="D2178" s="16" t="s">
        <v>2815</v>
      </c>
      <c r="E2178" s="16" t="s">
        <v>184</v>
      </c>
      <c r="F2178" s="16" t="s">
        <v>234</v>
      </c>
      <c r="G2178" s="16" t="s">
        <v>255</v>
      </c>
      <c r="H2178" s="16" t="s">
        <v>220</v>
      </c>
      <c r="I2178" s="16" t="s">
        <v>220</v>
      </c>
    </row>
    <row r="2179" ht="242.25" customHeight="1">
      <c r="B2179" s="32" t="str">
        <f>IMAGE("https://gymvisual.com/12206-catalog_default/forearm-wall-slide.jpg",4,500,500)</f>
        <v/>
      </c>
      <c r="C2179" s="30">
        <v>2178.0</v>
      </c>
      <c r="D2179" s="16" t="s">
        <v>2816</v>
      </c>
      <c r="E2179" s="16" t="s">
        <v>184</v>
      </c>
      <c r="F2179" s="16" t="s">
        <v>192</v>
      </c>
      <c r="G2179" s="16" t="s">
        <v>255</v>
      </c>
      <c r="H2179" s="16" t="s">
        <v>220</v>
      </c>
      <c r="I2179" s="16" t="s">
        <v>220</v>
      </c>
    </row>
    <row r="2180" ht="242.25" customHeight="1">
      <c r="B2180" s="32" t="str">
        <f>IMAGE("https://gymvisual.com/7346-catalog_default/forward-hops.jpg",4,500,500)</f>
        <v/>
      </c>
      <c r="C2180" s="30">
        <v>2179.0</v>
      </c>
      <c r="D2180" s="16" t="s">
        <v>2817</v>
      </c>
      <c r="E2180" s="16" t="s">
        <v>184</v>
      </c>
      <c r="F2180" s="16" t="s">
        <v>285</v>
      </c>
      <c r="G2180" s="16" t="s">
        <v>255</v>
      </c>
      <c r="H2180" s="16" t="s">
        <v>220</v>
      </c>
      <c r="I2180" s="16" t="s">
        <v>220</v>
      </c>
    </row>
    <row r="2181" ht="242.25" customHeight="1">
      <c r="B2181" s="32" t="str">
        <f>IMAGE("https://gymvisual.com/13786-catalog_default/forward-lunge-male.jpg",4,500,500)</f>
        <v/>
      </c>
      <c r="C2181" s="30">
        <v>2180.0</v>
      </c>
      <c r="D2181" s="16" t="s">
        <v>2818</v>
      </c>
      <c r="E2181" s="16" t="s">
        <v>184</v>
      </c>
      <c r="F2181" s="16" t="s">
        <v>285</v>
      </c>
      <c r="G2181" s="16" t="s">
        <v>255</v>
      </c>
      <c r="H2181" s="16" t="s">
        <v>189</v>
      </c>
      <c r="I2181" s="16" t="s">
        <v>190</v>
      </c>
    </row>
    <row r="2182" ht="242.25" customHeight="1">
      <c r="B2182" s="32" t="str">
        <f>IMAGE("https://gymvisual.com/16007-catalog_default/forward-pulse-lunge-with-hands-overhead.jpg",4,500,500)</f>
        <v/>
      </c>
      <c r="C2182" s="30">
        <v>2181.0</v>
      </c>
      <c r="D2182" s="16" t="s">
        <v>2819</v>
      </c>
      <c r="E2182" s="16" t="s">
        <v>184</v>
      </c>
      <c r="F2182" s="16" t="s">
        <v>294</v>
      </c>
      <c r="G2182" s="16" t="s">
        <v>255</v>
      </c>
      <c r="H2182" s="16" t="s">
        <v>189</v>
      </c>
      <c r="I2182" s="16" t="s">
        <v>190</v>
      </c>
    </row>
    <row r="2183" ht="242.25" customHeight="1">
      <c r="B2183" s="32" t="str">
        <f>IMAGE("https://gymvisual.com/17805-catalog_default/forward-step-front-plank-female.jpg",4,500,500)</f>
        <v/>
      </c>
      <c r="C2183" s="30">
        <v>2182.0</v>
      </c>
      <c r="D2183" s="16" t="s">
        <v>2820</v>
      </c>
      <c r="E2183" s="16" t="s">
        <v>184</v>
      </c>
      <c r="F2183" s="16" t="s">
        <v>185</v>
      </c>
      <c r="G2183" s="16" t="s">
        <v>255</v>
      </c>
      <c r="H2183" s="16" t="s">
        <v>220</v>
      </c>
      <c r="I2183" s="16" t="s">
        <v>220</v>
      </c>
    </row>
    <row r="2184" ht="242.25" customHeight="1">
      <c r="B2184" s="32" t="str">
        <f>IMAGE("https://gymvisual.com/17333-catalog_default/forward-to-side-to-rear-lunge-female.jpg",4,500,500)</f>
        <v/>
      </c>
      <c r="C2184" s="30">
        <v>2183.0</v>
      </c>
      <c r="D2184" s="16" t="s">
        <v>2821</v>
      </c>
      <c r="E2184" s="16" t="s">
        <v>184</v>
      </c>
      <c r="F2184" s="16" t="s">
        <v>294</v>
      </c>
      <c r="G2184" s="16" t="s">
        <v>255</v>
      </c>
      <c r="H2184" s="16" t="s">
        <v>295</v>
      </c>
      <c r="I2184" s="16" t="s">
        <v>296</v>
      </c>
    </row>
    <row r="2185" ht="242.25" customHeight="1">
      <c r="A2185" s="32" t="b">
        <v>0</v>
      </c>
      <c r="B2185" s="32" t="str">
        <f>IMAGE("https://gymvisual.com/12855-catalog_default/frankenstein-squat.jpg",4,500,500)</f>
        <v/>
      </c>
      <c r="C2185" s="30">
        <v>2184.0</v>
      </c>
      <c r="D2185" s="16" t="s">
        <v>2822</v>
      </c>
      <c r="E2185" s="16" t="s">
        <v>184</v>
      </c>
      <c r="F2185" s="16" t="s">
        <v>285</v>
      </c>
      <c r="G2185" s="16" t="s">
        <v>186</v>
      </c>
      <c r="H2185" s="16" t="s">
        <v>189</v>
      </c>
      <c r="I2185" s="16" t="s">
        <v>190</v>
      </c>
    </row>
    <row r="2186" ht="242.25" customHeight="1">
      <c r="B2186" s="32" t="str">
        <f>IMAGE("https://gymvisual.com/10528-catalog_default/frog-crunch.jpg",4,500,500)</f>
        <v/>
      </c>
      <c r="C2186" s="30">
        <v>2185.0</v>
      </c>
      <c r="D2186" s="16" t="s">
        <v>2823</v>
      </c>
      <c r="E2186" s="16" t="s">
        <v>184</v>
      </c>
      <c r="F2186" s="16" t="s">
        <v>254</v>
      </c>
      <c r="G2186" s="16" t="s">
        <v>255</v>
      </c>
      <c r="H2186" s="16" t="s">
        <v>256</v>
      </c>
      <c r="I2186" s="16" t="s">
        <v>2824</v>
      </c>
    </row>
    <row r="2187" ht="242.25" customHeight="1">
      <c r="B2187" s="32" t="str">
        <f>IMAGE("https://gymvisual.com/11137-catalog_default/frog-crunch-female.jpg",4,500,500)</f>
        <v/>
      </c>
      <c r="C2187" s="30">
        <v>2186.0</v>
      </c>
      <c r="D2187" s="16" t="s">
        <v>2825</v>
      </c>
      <c r="E2187" s="16" t="s">
        <v>184</v>
      </c>
      <c r="F2187" s="16" t="s">
        <v>254</v>
      </c>
      <c r="G2187" s="16" t="s">
        <v>255</v>
      </c>
      <c r="H2187" s="16" t="s">
        <v>305</v>
      </c>
      <c r="I2187" s="16" t="s">
        <v>311</v>
      </c>
    </row>
    <row r="2188" ht="242.25" customHeight="1">
      <c r="B2188" s="32" t="str">
        <f>IMAGE("https://gymvisual.com/11834-catalog_default/frog-hip-thrust-female.jpg",4,500,500)</f>
        <v/>
      </c>
      <c r="C2188" s="30">
        <v>2187.0</v>
      </c>
      <c r="D2188" s="16" t="s">
        <v>2826</v>
      </c>
      <c r="E2188" s="16" t="s">
        <v>184</v>
      </c>
      <c r="F2188" s="16" t="s">
        <v>185</v>
      </c>
      <c r="G2188" s="16" t="s">
        <v>255</v>
      </c>
      <c r="H2188" s="16" t="s">
        <v>1240</v>
      </c>
      <c r="I2188" s="16" t="s">
        <v>1241</v>
      </c>
    </row>
    <row r="2189" ht="242.25" customHeight="1">
      <c r="B2189" s="32" t="str">
        <f>IMAGE("https://gymvisual.com/12751-catalog_default/frog-reverse-hyperextension-on-a-bench-female.jpg",4,500,500)</f>
        <v/>
      </c>
      <c r="C2189" s="30">
        <v>2188.0</v>
      </c>
      <c r="D2189" s="16" t="s">
        <v>2827</v>
      </c>
      <c r="E2189" s="16" t="s">
        <v>184</v>
      </c>
      <c r="F2189" s="16" t="s">
        <v>185</v>
      </c>
      <c r="G2189" s="16" t="s">
        <v>255</v>
      </c>
      <c r="H2189" s="16" t="s">
        <v>1201</v>
      </c>
      <c r="I2189" s="16" t="s">
        <v>188</v>
      </c>
    </row>
    <row r="2190" ht="242.25" customHeight="1">
      <c r="B2190" s="32" t="str">
        <f>IMAGE("https://gymvisual.com/17739-catalog_default/frog-reverse-hyperextension-on-a-bench-male.jpg",4,500,500)</f>
        <v/>
      </c>
      <c r="C2190" s="30">
        <v>2189.0</v>
      </c>
      <c r="D2190" s="16" t="s">
        <v>2828</v>
      </c>
      <c r="E2190" s="16" t="s">
        <v>184</v>
      </c>
      <c r="F2190" s="16" t="s">
        <v>185</v>
      </c>
      <c r="G2190" s="16" t="s">
        <v>255</v>
      </c>
      <c r="H2190" s="16" t="s">
        <v>220</v>
      </c>
      <c r="I2190" s="16" t="s">
        <v>220</v>
      </c>
    </row>
    <row r="2191" ht="242.25" customHeight="1">
      <c r="B2191" s="32" t="str">
        <f>IMAGE("https://gymvisual.com/17121-catalog_default/frog-sit-up.jpg",4,500,500)</f>
        <v/>
      </c>
      <c r="C2191" s="30">
        <v>2190.0</v>
      </c>
      <c r="D2191" s="16" t="s">
        <v>2829</v>
      </c>
      <c r="E2191" s="16" t="s">
        <v>184</v>
      </c>
      <c r="F2191" s="16" t="s">
        <v>254</v>
      </c>
      <c r="G2191" s="16" t="s">
        <v>255</v>
      </c>
      <c r="H2191" s="16" t="s">
        <v>2830</v>
      </c>
      <c r="I2191" s="16" t="s">
        <v>2831</v>
      </c>
    </row>
    <row r="2192" ht="242.25" customHeight="1">
      <c r="B2192" s="32" t="str">
        <f>IMAGE("https://gymvisual.com/16011-catalog_default/frogger.jpg",4,500,500)</f>
        <v/>
      </c>
      <c r="C2192" s="30">
        <v>2191.0</v>
      </c>
      <c r="D2192" s="16" t="s">
        <v>2832</v>
      </c>
      <c r="E2192" s="16" t="s">
        <v>184</v>
      </c>
      <c r="F2192" s="16" t="s">
        <v>254</v>
      </c>
      <c r="G2192" s="16" t="s">
        <v>255</v>
      </c>
      <c r="H2192" s="16" t="s">
        <v>2833</v>
      </c>
      <c r="I2192" s="16" t="s">
        <v>2834</v>
      </c>
    </row>
    <row r="2193" ht="242.25" customHeight="1">
      <c r="B2193" s="32" t="str">
        <f>IMAGE("https://gymvisual.com/6810-catalog_default/front-back-leg-raises.jpg",4,500,500)</f>
        <v/>
      </c>
      <c r="C2193" s="30">
        <v>2192.0</v>
      </c>
      <c r="D2193" s="16" t="s">
        <v>2835</v>
      </c>
      <c r="E2193" s="16" t="s">
        <v>184</v>
      </c>
      <c r="F2193" s="16" t="s">
        <v>185</v>
      </c>
      <c r="G2193" s="16" t="s">
        <v>255</v>
      </c>
      <c r="H2193" s="16" t="s">
        <v>220</v>
      </c>
      <c r="I2193" s="16" t="s">
        <v>220</v>
      </c>
    </row>
    <row r="2194" ht="242.25" customHeight="1">
      <c r="B2194" s="32" t="str">
        <f>IMAGE("https://gymvisual.com/13529-catalog_default/front-lever.jpg",4,500,500)</f>
        <v/>
      </c>
      <c r="C2194" s="30">
        <v>2193.0</v>
      </c>
      <c r="D2194" s="16" t="s">
        <v>2836</v>
      </c>
      <c r="E2194" s="16" t="s">
        <v>184</v>
      </c>
      <c r="F2194" s="16" t="s">
        <v>254</v>
      </c>
      <c r="G2194" s="16" t="s">
        <v>255</v>
      </c>
      <c r="H2194" s="16" t="s">
        <v>256</v>
      </c>
      <c r="I2194" s="16" t="s">
        <v>2837</v>
      </c>
    </row>
    <row r="2195" ht="242.25" customHeight="1">
      <c r="B2195" s="32" t="str">
        <f>IMAGE("https://gymvisual.com/13527-catalog_default/front-lever-reps.jpg",4,500,500)</f>
        <v/>
      </c>
      <c r="C2195" s="30">
        <v>2194.0</v>
      </c>
      <c r="D2195" s="16" t="s">
        <v>2838</v>
      </c>
      <c r="E2195" s="16" t="s">
        <v>184</v>
      </c>
      <c r="F2195" s="16" t="s">
        <v>361</v>
      </c>
      <c r="G2195" s="16" t="s">
        <v>255</v>
      </c>
      <c r="H2195" s="16" t="s">
        <v>220</v>
      </c>
      <c r="I2195" s="16" t="s">
        <v>220</v>
      </c>
    </row>
    <row r="2196" ht="242.25" customHeight="1">
      <c r="B2196" s="32" t="str">
        <f>IMAGE("https://gymvisual.com/13259-catalog_default/3-4-sit-up.jpg",4,500,500)</f>
        <v/>
      </c>
      <c r="C2196" s="30">
        <v>2195.0</v>
      </c>
      <c r="D2196" s="16" t="s">
        <v>2839</v>
      </c>
      <c r="E2196" s="16" t="s">
        <v>184</v>
      </c>
      <c r="F2196" s="16" t="s">
        <v>254</v>
      </c>
      <c r="G2196" s="16" t="s">
        <v>255</v>
      </c>
      <c r="H2196" s="16" t="s">
        <v>256</v>
      </c>
      <c r="I2196" s="16" t="s">
        <v>2840</v>
      </c>
    </row>
    <row r="2197" ht="242.25" customHeight="1">
      <c r="B2197" s="32" t="str">
        <f>IMAGE("https://gymvisual.com/1412-catalog_default/3-4-sit-up.jpg",4,500,500)</f>
        <v/>
      </c>
      <c r="C2197" s="30">
        <v>2196.0</v>
      </c>
      <c r="D2197" s="16" t="s">
        <v>2839</v>
      </c>
      <c r="E2197" s="16" t="s">
        <v>184</v>
      </c>
      <c r="F2197" s="16" t="s">
        <v>254</v>
      </c>
      <c r="G2197" s="16" t="s">
        <v>255</v>
      </c>
      <c r="H2197" s="16" t="s">
        <v>256</v>
      </c>
      <c r="I2197" s="16" t="s">
        <v>1314</v>
      </c>
    </row>
    <row r="2198" ht="242.25" customHeight="1">
      <c r="B2198" s="32" t="str">
        <f>IMAGE("https://gymvisual.com/10194-catalog_default/front-plank-butt-wrong-right.jpg",4,500,500)</f>
        <v/>
      </c>
      <c r="C2198" s="30">
        <v>2197.0</v>
      </c>
      <c r="D2198" s="16" t="s">
        <v>2841</v>
      </c>
      <c r="E2198" s="16" t="s">
        <v>184</v>
      </c>
      <c r="F2198" s="16" t="s">
        <v>254</v>
      </c>
      <c r="G2198" s="16" t="s">
        <v>255</v>
      </c>
      <c r="H2198" s="16" t="s">
        <v>220</v>
      </c>
      <c r="I2198" s="16" t="s">
        <v>220</v>
      </c>
    </row>
    <row r="2199" ht="242.25" customHeight="1">
      <c r="B2199" s="32" t="str">
        <f>IMAGE("https://gymvisual.com/12081-catalog_default/front-plank-to-push-up-female.jpg",4,500,500)</f>
        <v/>
      </c>
      <c r="C2199" s="30">
        <v>2198.0</v>
      </c>
      <c r="D2199" s="16" t="s">
        <v>2842</v>
      </c>
      <c r="E2199" s="16" t="s">
        <v>184</v>
      </c>
      <c r="F2199" s="16" t="s">
        <v>254</v>
      </c>
      <c r="G2199" s="16" t="s">
        <v>255</v>
      </c>
      <c r="H2199" s="16" t="s">
        <v>220</v>
      </c>
      <c r="I2199" s="16" t="s">
        <v>220</v>
      </c>
    </row>
    <row r="2200" ht="242.25" customHeight="1">
      <c r="B2200" s="32" t="str">
        <f>IMAGE("https://gymvisual.com/24657-catalog_default/front-plank-to-toe-tap-male.jpg",4,500,500)</f>
        <v/>
      </c>
      <c r="C2200" s="30">
        <v>2199.0</v>
      </c>
      <c r="D2200" s="16" t="s">
        <v>2843</v>
      </c>
      <c r="E2200" s="16" t="s">
        <v>184</v>
      </c>
      <c r="F2200" s="16" t="s">
        <v>185</v>
      </c>
      <c r="G2200" s="16" t="s">
        <v>255</v>
      </c>
      <c r="H2200" s="16" t="s">
        <v>220</v>
      </c>
      <c r="I2200" s="16" t="s">
        <v>220</v>
      </c>
    </row>
    <row r="2201" ht="242.25" customHeight="1">
      <c r="B2201" s="32" t="str">
        <f>IMAGE("https://gymvisual.com/17703-catalog_default/front-plank-toe-tap-male.jpg",4,500,500)</f>
        <v/>
      </c>
      <c r="C2201" s="30">
        <v>2200.0</v>
      </c>
      <c r="D2201" s="16" t="s">
        <v>2844</v>
      </c>
      <c r="E2201" s="16" t="s">
        <v>184</v>
      </c>
      <c r="F2201" s="16" t="s">
        <v>254</v>
      </c>
      <c r="G2201" s="16" t="s">
        <v>255</v>
      </c>
      <c r="H2201" s="16" t="s">
        <v>2845</v>
      </c>
      <c r="I2201" s="16" t="s">
        <v>2846</v>
      </c>
    </row>
    <row r="2202" ht="242.25" customHeight="1">
      <c r="B2202" s="32" t="str">
        <f>IMAGE("https://gymvisual.com/12087-catalog_default/front-plank-with-arm-and-leg-lift-female.jpg",4,500,500)</f>
        <v/>
      </c>
      <c r="C2202" s="30">
        <v>2201.0</v>
      </c>
      <c r="D2202" s="16" t="s">
        <v>2847</v>
      </c>
      <c r="E2202" s="16" t="s">
        <v>184</v>
      </c>
      <c r="F2202" s="16" t="s">
        <v>254</v>
      </c>
      <c r="G2202" s="16" t="s">
        <v>255</v>
      </c>
      <c r="H2202" s="16" t="s">
        <v>2848</v>
      </c>
      <c r="I2202" s="16" t="s">
        <v>2849</v>
      </c>
    </row>
    <row r="2203" ht="242.25" customHeight="1">
      <c r="B2203" s="32" t="str">
        <f>IMAGE("https://gymvisual.com/19375-catalog_default/front-plank-with-arm-and-leg-lift-push-up-position-female.jpg",4,500,500)</f>
        <v/>
      </c>
      <c r="C2203" s="30">
        <v>2202.0</v>
      </c>
      <c r="D2203" s="16" t="s">
        <v>2850</v>
      </c>
      <c r="E2203" s="16" t="s">
        <v>184</v>
      </c>
      <c r="F2203" s="16" t="s">
        <v>254</v>
      </c>
      <c r="G2203" s="16" t="s">
        <v>255</v>
      </c>
      <c r="H2203" s="16" t="s">
        <v>220</v>
      </c>
      <c r="I2203" s="16" t="s">
        <v>220</v>
      </c>
    </row>
    <row r="2204" ht="242.25" customHeight="1">
      <c r="B2204" s="32" t="str">
        <f>IMAGE("https://gymvisual.com/12085-catalog_default/front-plank-with-arm-lift-female.jpg",4,500,500)</f>
        <v/>
      </c>
      <c r="C2204" s="30">
        <v>2203.0</v>
      </c>
      <c r="D2204" s="16" t="s">
        <v>2851</v>
      </c>
      <c r="E2204" s="16" t="s">
        <v>184</v>
      </c>
      <c r="F2204" s="16" t="s">
        <v>254</v>
      </c>
      <c r="G2204" s="16" t="s">
        <v>255</v>
      </c>
      <c r="H2204" s="16" t="s">
        <v>220</v>
      </c>
      <c r="I2204" s="16" t="s">
        <v>220</v>
      </c>
    </row>
    <row r="2205" ht="242.25" customHeight="1">
      <c r="B2205" s="32" t="str">
        <f>IMAGE("https://gymvisual.com/12086-catalog_default/front-plank-with-arm-lift-push-up-position-female.jpg",4,500,500)</f>
        <v/>
      </c>
      <c r="C2205" s="30">
        <v>2204.0</v>
      </c>
      <c r="D2205" s="16" t="s">
        <v>2852</v>
      </c>
      <c r="E2205" s="16" t="s">
        <v>184</v>
      </c>
      <c r="F2205" s="16" t="s">
        <v>254</v>
      </c>
      <c r="G2205" s="16" t="s">
        <v>255</v>
      </c>
      <c r="H2205" s="16" t="s">
        <v>220</v>
      </c>
      <c r="I2205" s="16" t="s">
        <v>220</v>
      </c>
    </row>
    <row r="2206" ht="242.25" customHeight="1">
      <c r="B2206" s="32" t="str">
        <f>IMAGE("https://gymvisual.com/12089-catalog_default/front-plank-with-leg-lift-female.jpg",4,500,500)</f>
        <v/>
      </c>
      <c r="C2206" s="30">
        <v>2205.0</v>
      </c>
      <c r="D2206" s="16" t="s">
        <v>2853</v>
      </c>
      <c r="E2206" s="16" t="s">
        <v>184</v>
      </c>
      <c r="F2206" s="16" t="s">
        <v>254</v>
      </c>
      <c r="G2206" s="16" t="s">
        <v>255</v>
      </c>
      <c r="H2206" s="16" t="s">
        <v>2848</v>
      </c>
      <c r="I2206" s="16" t="s">
        <v>2854</v>
      </c>
    </row>
    <row r="2207" ht="242.25" customHeight="1">
      <c r="B2207" s="32" t="str">
        <f>IMAGE("https://gymvisual.com/14018-catalog_default/front-plank-with-leg-lift-male.jpg",4,500,500)</f>
        <v/>
      </c>
      <c r="C2207" s="30">
        <v>2206.0</v>
      </c>
      <c r="D2207" s="16" t="s">
        <v>2855</v>
      </c>
      <c r="E2207" s="16" t="s">
        <v>184</v>
      </c>
      <c r="F2207" s="16" t="s">
        <v>310</v>
      </c>
      <c r="G2207" s="16" t="s">
        <v>255</v>
      </c>
      <c r="H2207" s="16" t="s">
        <v>2848</v>
      </c>
      <c r="I2207" s="16" t="s">
        <v>2856</v>
      </c>
    </row>
    <row r="2208" ht="242.25" customHeight="1">
      <c r="B2208" s="32" t="str">
        <f>IMAGE("https://gymvisual.com/1409-catalog_default/3-4-sit-up.jpg",4,500,500)</f>
        <v/>
      </c>
      <c r="C2208" s="30">
        <v>2207.0</v>
      </c>
      <c r="D2208" s="16" t="s">
        <v>2857</v>
      </c>
      <c r="E2208" s="16" t="s">
        <v>184</v>
      </c>
      <c r="F2208" s="16" t="s">
        <v>254</v>
      </c>
      <c r="G2208" s="16" t="s">
        <v>255</v>
      </c>
      <c r="H2208" s="16" t="s">
        <v>260</v>
      </c>
      <c r="I2208" s="16" t="s">
        <v>2858</v>
      </c>
    </row>
    <row r="2209" ht="242.25" customHeight="1">
      <c r="B2209" s="32" t="str">
        <f>IMAGE("https://gymvisual.com/17797-catalog_default/front-to-side-plank-female.jpg",4,500,500)</f>
        <v/>
      </c>
      <c r="C2209" s="30">
        <v>2208.0</v>
      </c>
      <c r="D2209" s="16" t="s">
        <v>2859</v>
      </c>
      <c r="E2209" s="16" t="s">
        <v>184</v>
      </c>
      <c r="F2209" s="16" t="s">
        <v>254</v>
      </c>
      <c r="G2209" s="16" t="s">
        <v>255</v>
      </c>
      <c r="H2209" s="16" t="s">
        <v>220</v>
      </c>
      <c r="I2209" s="16" t="s">
        <v>220</v>
      </c>
    </row>
    <row r="2210" ht="242.25" customHeight="1">
      <c r="B2210" s="32" t="str">
        <f>IMAGE("https://gymvisual.com/13606-catalog_default/full-planche-push-up.jpg",4,500,500)</f>
        <v/>
      </c>
      <c r="C2210" s="30">
        <v>2209.0</v>
      </c>
      <c r="D2210" s="16" t="s">
        <v>2860</v>
      </c>
      <c r="E2210" s="16" t="s">
        <v>184</v>
      </c>
      <c r="F2210" s="16" t="s">
        <v>2861</v>
      </c>
      <c r="G2210" s="16" t="s">
        <v>255</v>
      </c>
      <c r="H2210" s="16" t="s">
        <v>2862</v>
      </c>
      <c r="I2210" s="16" t="s">
        <v>2863</v>
      </c>
    </row>
    <row r="2211" ht="242.25" customHeight="1">
      <c r="B2211" s="32" t="str">
        <f>IMAGE("https://gymvisual.com/14016-catalog_default/full-squat-mobility.jpg",4,500,500)</f>
        <v/>
      </c>
      <c r="C2211" s="30">
        <v>2210.0</v>
      </c>
      <c r="D2211" s="16" t="s">
        <v>2864</v>
      </c>
      <c r="E2211" s="16" t="s">
        <v>184</v>
      </c>
      <c r="F2211" s="16" t="s">
        <v>294</v>
      </c>
      <c r="G2211" s="16" t="s">
        <v>255</v>
      </c>
      <c r="H2211" s="16" t="s">
        <v>189</v>
      </c>
      <c r="I2211" s="16" t="s">
        <v>190</v>
      </c>
    </row>
    <row r="2212" ht="242.25" customHeight="1">
      <c r="B2212" s="32" t="str">
        <f>IMAGE("https://gymvisual.com/1414-catalog_default/3-4-sit-up.jpg",4,500,500)</f>
        <v/>
      </c>
      <c r="C2212" s="30">
        <v>2211.0</v>
      </c>
      <c r="D2212" s="16" t="s">
        <v>2865</v>
      </c>
      <c r="E2212" s="16" t="s">
        <v>184</v>
      </c>
      <c r="F2212" s="16" t="s">
        <v>192</v>
      </c>
      <c r="G2212" s="16" t="s">
        <v>255</v>
      </c>
      <c r="H2212" s="16" t="s">
        <v>300</v>
      </c>
      <c r="I2212" s="16" t="s">
        <v>1357</v>
      </c>
    </row>
    <row r="2213" ht="242.25" customHeight="1">
      <c r="B2213" s="32" t="str">
        <f>IMAGE("https://gymvisual.com/14149-catalog_default/glute-bridge-march.jpg",4,500,500)</f>
        <v/>
      </c>
      <c r="C2213" s="30">
        <v>2212.0</v>
      </c>
      <c r="D2213" s="16" t="s">
        <v>2866</v>
      </c>
      <c r="E2213" s="16" t="s">
        <v>184</v>
      </c>
      <c r="F2213" s="16" t="s">
        <v>310</v>
      </c>
      <c r="G2213" s="16" t="s">
        <v>255</v>
      </c>
      <c r="H2213" s="16" t="s">
        <v>2848</v>
      </c>
      <c r="I2213" s="16" t="s">
        <v>1204</v>
      </c>
    </row>
    <row r="2214" ht="242.25" customHeight="1">
      <c r="B2214" s="32" t="str">
        <f>IMAGE("https://gymvisual.com/22630-catalog_default/glute-bridge-march-female.jpg",4,500,500)</f>
        <v/>
      </c>
      <c r="C2214" s="30">
        <v>2213.0</v>
      </c>
      <c r="D2214" s="16" t="s">
        <v>2867</v>
      </c>
      <c r="E2214" s="16" t="s">
        <v>184</v>
      </c>
      <c r="F2214" s="16" t="s">
        <v>185</v>
      </c>
      <c r="G2214" s="16" t="s">
        <v>255</v>
      </c>
      <c r="H2214" s="16" t="s">
        <v>2868</v>
      </c>
      <c r="I2214" s="16" t="s">
        <v>1204</v>
      </c>
    </row>
    <row r="2215" ht="242.25" customHeight="1">
      <c r="B2215" s="32" t="str">
        <f>IMAGE("https://gymvisual.com/10653-catalog_default/glute-bridge-one-leg-on-bench.jpg",4,500,500)</f>
        <v/>
      </c>
      <c r="C2215" s="30">
        <v>2214.0</v>
      </c>
      <c r="D2215" s="16" t="s">
        <v>2869</v>
      </c>
      <c r="E2215" s="16" t="s">
        <v>184</v>
      </c>
      <c r="F2215" s="16" t="s">
        <v>185</v>
      </c>
      <c r="G2215" s="16" t="s">
        <v>255</v>
      </c>
      <c r="H2215" s="16" t="s">
        <v>187</v>
      </c>
      <c r="I2215" s="16" t="s">
        <v>220</v>
      </c>
    </row>
    <row r="2216" ht="242.25" customHeight="1">
      <c r="B2216" s="32" t="str">
        <f>IMAGE("https://gymvisual.com/10659-catalog_default/glute-bridge-one-leg-on-floor-bent-knee.jpg",4,500,500)</f>
        <v/>
      </c>
      <c r="C2216" s="30">
        <v>2215.0</v>
      </c>
      <c r="D2216" s="16" t="s">
        <v>2870</v>
      </c>
      <c r="E2216" s="16" t="s">
        <v>184</v>
      </c>
      <c r="F2216" s="16" t="s">
        <v>185</v>
      </c>
      <c r="G2216" s="16" t="s">
        <v>255</v>
      </c>
      <c r="H2216" s="16" t="s">
        <v>187</v>
      </c>
      <c r="I2216" s="16" t="s">
        <v>220</v>
      </c>
    </row>
    <row r="2217" ht="242.25" customHeight="1">
      <c r="B2217" s="32" t="str">
        <f>IMAGE("https://gymvisual.com/10656-catalog_default/glute-bridge-one-leg-on-floor-straight-leg.jpg",4,500,500)</f>
        <v/>
      </c>
      <c r="C2217" s="30">
        <v>2216.0</v>
      </c>
      <c r="D2217" s="16" t="s">
        <v>2871</v>
      </c>
      <c r="E2217" s="16" t="s">
        <v>184</v>
      </c>
      <c r="F2217" s="16" t="s">
        <v>185</v>
      </c>
      <c r="G2217" s="16" t="s">
        <v>255</v>
      </c>
      <c r="H2217" s="16" t="s">
        <v>187</v>
      </c>
      <c r="I2217" s="16" t="s">
        <v>220</v>
      </c>
    </row>
    <row r="2218" ht="242.25" customHeight="1">
      <c r="B2218" s="32" t="str">
        <f>IMAGE("https://gymvisual.com/10650-catalog_default/glute-bridge-two-legs-on-bench.jpg",4,500,500)</f>
        <v/>
      </c>
      <c r="C2218" s="30">
        <v>2217.0</v>
      </c>
      <c r="D2218" s="16" t="s">
        <v>2872</v>
      </c>
      <c r="E2218" s="16" t="s">
        <v>184</v>
      </c>
      <c r="F2218" s="16" t="s">
        <v>185</v>
      </c>
      <c r="G2218" s="16" t="s">
        <v>255</v>
      </c>
      <c r="H2218" s="16" t="s">
        <v>187</v>
      </c>
      <c r="I2218" s="16" t="s">
        <v>220</v>
      </c>
    </row>
    <row r="2219" ht="242.25" customHeight="1">
      <c r="B2219" s="32" t="str">
        <f>IMAGE("https://gymvisual.com/14056-catalog_default/glute-bridge-two-legs-on-bench-male.jpg",4,500,500)</f>
        <v/>
      </c>
      <c r="C2219" s="30">
        <v>2218.0</v>
      </c>
      <c r="D2219" s="16" t="s">
        <v>2873</v>
      </c>
      <c r="E2219" s="16" t="s">
        <v>184</v>
      </c>
      <c r="F2219" s="16" t="s">
        <v>185</v>
      </c>
      <c r="G2219" s="16" t="s">
        <v>255</v>
      </c>
      <c r="H2219" s="16" t="s">
        <v>187</v>
      </c>
      <c r="I2219" s="16" t="s">
        <v>188</v>
      </c>
    </row>
    <row r="2220" ht="242.25" customHeight="1">
      <c r="B2220" s="32" t="str">
        <f>IMAGE("https://gymvisual.com/22542-catalog_default/glute-bridge-two-legs-on-floor-female.jpg",4,500,500)</f>
        <v/>
      </c>
      <c r="C2220" s="30">
        <v>2219.0</v>
      </c>
      <c r="D2220" s="16" t="s">
        <v>2874</v>
      </c>
      <c r="E2220" s="16" t="s">
        <v>184</v>
      </c>
      <c r="F2220" s="16" t="s">
        <v>185</v>
      </c>
      <c r="G2220" s="16" t="s">
        <v>255</v>
      </c>
      <c r="H2220" s="16" t="s">
        <v>187</v>
      </c>
      <c r="I2220" s="16" t="s">
        <v>854</v>
      </c>
    </row>
    <row r="2221" ht="242.25" customHeight="1">
      <c r="B2221" s="32" t="str">
        <f>IMAGE("https://gymvisual.com/22271-catalog_default/glute-ham-developer-hip-extension.jpg",4,500,500)</f>
        <v/>
      </c>
      <c r="C2221" s="30">
        <v>2220.0</v>
      </c>
      <c r="D2221" s="16" t="s">
        <v>2875</v>
      </c>
      <c r="E2221" s="16" t="s">
        <v>184</v>
      </c>
      <c r="F2221" s="16" t="s">
        <v>185</v>
      </c>
      <c r="G2221" s="16" t="s">
        <v>255</v>
      </c>
      <c r="H2221" s="16" t="s">
        <v>220</v>
      </c>
      <c r="I2221" s="16" t="s">
        <v>220</v>
      </c>
    </row>
    <row r="2222" ht="242.25" customHeight="1">
      <c r="B2222" s="32" t="str">
        <f>IMAGE("https://gymvisual.com/22273-catalog_default/glute-ham-developer-sit-up-and-russian-twist.jpg",4,500,500)</f>
        <v/>
      </c>
      <c r="C2222" s="30">
        <v>2221.0</v>
      </c>
      <c r="D2222" s="16" t="s">
        <v>2876</v>
      </c>
      <c r="E2222" s="16" t="s">
        <v>184</v>
      </c>
      <c r="F2222" s="16" t="s">
        <v>254</v>
      </c>
      <c r="G2222" s="16" t="s">
        <v>255</v>
      </c>
      <c r="H2222" s="16" t="s">
        <v>220</v>
      </c>
      <c r="I2222" s="16" t="s">
        <v>220</v>
      </c>
    </row>
    <row r="2223" ht="242.25" customHeight="1">
      <c r="B2223" s="32" t="str">
        <f>IMAGE("https://gymvisual.com/22275-catalog_default/glute-ham-hyperextension-twist.jpg",4,500,500)</f>
        <v/>
      </c>
      <c r="C2223" s="30">
        <v>2222.0</v>
      </c>
      <c r="D2223" s="16" t="s">
        <v>2877</v>
      </c>
      <c r="E2223" s="16" t="s">
        <v>184</v>
      </c>
      <c r="F2223" s="16" t="s">
        <v>185</v>
      </c>
      <c r="G2223" s="16" t="s">
        <v>255</v>
      </c>
      <c r="H2223" s="16" t="s">
        <v>220</v>
      </c>
      <c r="I2223" s="16" t="s">
        <v>220</v>
      </c>
    </row>
    <row r="2224" ht="242.25" customHeight="1">
      <c r="B2224" s="32" t="str">
        <f>IMAGE("https://gymvisual.com/19014-catalog_default/glute-ham-raise-version-2.jpg",4,500,500)</f>
        <v/>
      </c>
      <c r="C2224" s="30">
        <v>2223.0</v>
      </c>
      <c r="D2224" s="16" t="s">
        <v>2878</v>
      </c>
      <c r="E2224" s="16" t="s">
        <v>184</v>
      </c>
      <c r="F2224" s="16" t="s">
        <v>285</v>
      </c>
      <c r="G2224" s="16" t="s">
        <v>255</v>
      </c>
      <c r="H2224" s="16" t="s">
        <v>188</v>
      </c>
      <c r="I2224" s="16" t="s">
        <v>2879</v>
      </c>
    </row>
    <row r="2225" ht="242.25" customHeight="1">
      <c r="B2225" s="32" t="str">
        <f>IMAGE("https://gymvisual.com/22428-catalog_default/glute-ham-raise-with-extended-arms.jpg",4,500,500)</f>
        <v/>
      </c>
      <c r="C2225" s="30">
        <v>2224.0</v>
      </c>
      <c r="D2225" s="16" t="s">
        <v>2880</v>
      </c>
      <c r="E2225" s="16" t="s">
        <v>184</v>
      </c>
      <c r="F2225" s="16" t="s">
        <v>285</v>
      </c>
      <c r="G2225" s="16" t="s">
        <v>255</v>
      </c>
      <c r="H2225" s="16" t="s">
        <v>220</v>
      </c>
      <c r="I2225" s="16" t="s">
        <v>220</v>
      </c>
    </row>
    <row r="2226" ht="242.25" customHeight="1">
      <c r="B2226" s="32" t="str">
        <f>IMAGE("https://gymvisual.com/22277-catalog_default/glute-ham-single-leg-hyperextension.jpg",4,500,500)</f>
        <v/>
      </c>
      <c r="C2226" s="30">
        <v>2225.0</v>
      </c>
      <c r="D2226" s="16" t="s">
        <v>2881</v>
      </c>
      <c r="E2226" s="16" t="s">
        <v>184</v>
      </c>
      <c r="F2226" s="16" t="s">
        <v>185</v>
      </c>
      <c r="G2226" s="16" t="s">
        <v>255</v>
      </c>
      <c r="H2226" s="16" t="s">
        <v>220</v>
      </c>
      <c r="I2226" s="16" t="s">
        <v>220</v>
      </c>
    </row>
    <row r="2227" ht="242.25" customHeight="1">
      <c r="B2227" s="32" t="str">
        <f>IMAGE("https://gymvisual.com/24083-catalog_default/glute-ham-twist.jpg",4,500,500)</f>
        <v/>
      </c>
      <c r="C2227" s="30">
        <v>2226.0</v>
      </c>
      <c r="D2227" s="16" t="s">
        <v>2882</v>
      </c>
      <c r="E2227" s="16" t="s">
        <v>184</v>
      </c>
      <c r="F2227" s="16" t="s">
        <v>254</v>
      </c>
      <c r="G2227" s="16" t="s">
        <v>255</v>
      </c>
      <c r="H2227" s="16" t="s">
        <v>220</v>
      </c>
      <c r="I2227" s="16" t="s">
        <v>220</v>
      </c>
    </row>
    <row r="2228" ht="242.25" customHeight="1">
      <c r="B2228" s="32" t="str">
        <f>IMAGE("https://gymvisual.com/23557-catalog_default/glute-march.jpg",4,500,500)</f>
        <v/>
      </c>
      <c r="C2228" s="30">
        <v>2227.0</v>
      </c>
      <c r="D2228" s="16" t="s">
        <v>2883</v>
      </c>
      <c r="E2228" s="16" t="s">
        <v>184</v>
      </c>
      <c r="F2228" s="16" t="s">
        <v>185</v>
      </c>
      <c r="G2228" s="16" t="s">
        <v>255</v>
      </c>
      <c r="H2228" s="16" t="s">
        <v>2868</v>
      </c>
      <c r="I2228" s="16" t="s">
        <v>1202</v>
      </c>
    </row>
    <row r="2229" ht="242.25" customHeight="1">
      <c r="B2229" s="32" t="str">
        <f>IMAGE("https://gymvisual.com/20684-catalog_default/glute-ham-raise.jpg",4,500,500)</f>
        <v/>
      </c>
      <c r="C2229" s="30">
        <v>2228.0</v>
      </c>
      <c r="D2229" s="16" t="s">
        <v>2884</v>
      </c>
      <c r="E2229" s="16" t="s">
        <v>184</v>
      </c>
      <c r="F2229" s="16" t="s">
        <v>285</v>
      </c>
      <c r="G2229" s="16" t="s">
        <v>255</v>
      </c>
      <c r="H2229" s="16" t="s">
        <v>188</v>
      </c>
      <c r="I2229" s="16" t="s">
        <v>2879</v>
      </c>
    </row>
    <row r="2230" ht="242.25" customHeight="1">
      <c r="B2230" s="32" t="str">
        <f>IMAGE("https://gymvisual.com/22159-catalog_default/good-morning-squat.jpg",4,500,500)</f>
        <v/>
      </c>
      <c r="C2230" s="30">
        <v>2229.0</v>
      </c>
      <c r="D2230" s="16" t="s">
        <v>2885</v>
      </c>
      <c r="E2230" s="16" t="s">
        <v>184</v>
      </c>
      <c r="F2230" s="16" t="s">
        <v>185</v>
      </c>
      <c r="G2230" s="16" t="s">
        <v>255</v>
      </c>
      <c r="H2230" s="16" t="s">
        <v>188</v>
      </c>
      <c r="I2230" s="16" t="s">
        <v>857</v>
      </c>
    </row>
    <row r="2231" ht="242.25" customHeight="1">
      <c r="B2231" s="32" t="str">
        <f>IMAGE("https://gymvisual.com/1417-catalog_default/3-4-sit-up.jpg",4,500,500)</f>
        <v/>
      </c>
      <c r="C2231" s="30">
        <v>2230.0</v>
      </c>
      <c r="D2231" s="16" t="s">
        <v>2886</v>
      </c>
      <c r="E2231" s="16" t="s">
        <v>184</v>
      </c>
      <c r="F2231" s="16" t="s">
        <v>254</v>
      </c>
      <c r="G2231" s="16" t="s">
        <v>255</v>
      </c>
      <c r="H2231" s="16" t="s">
        <v>256</v>
      </c>
      <c r="I2231" s="16" t="s">
        <v>2887</v>
      </c>
    </row>
    <row r="2232" ht="242.25" customHeight="1">
      <c r="B2232" s="32" t="str">
        <f>IMAGE("https://gymvisual.com/11483-catalog_default/gorilla-chin-female.jpg",4,500,500)</f>
        <v/>
      </c>
      <c r="C2232" s="30">
        <v>2231.0</v>
      </c>
      <c r="D2232" s="16" t="s">
        <v>2888</v>
      </c>
      <c r="E2232" s="16" t="s">
        <v>184</v>
      </c>
      <c r="F2232" s="16" t="s">
        <v>192</v>
      </c>
      <c r="G2232" s="16" t="s">
        <v>255</v>
      </c>
      <c r="H2232" s="16" t="s">
        <v>220</v>
      </c>
      <c r="I2232" s="16" t="s">
        <v>220</v>
      </c>
    </row>
    <row r="2233" ht="242.25" customHeight="1">
      <c r="B2233" s="32" t="str">
        <f>IMAGE("https://gymvisual.com/1420-catalog_default/3-4-sit-up.jpg",4,500,500)</f>
        <v/>
      </c>
      <c r="C2233" s="30">
        <v>2232.0</v>
      </c>
      <c r="D2233" s="16" t="s">
        <v>2889</v>
      </c>
      <c r="E2233" s="16" t="s">
        <v>184</v>
      </c>
      <c r="F2233" s="16" t="s">
        <v>192</v>
      </c>
      <c r="G2233" s="16" t="s">
        <v>255</v>
      </c>
      <c r="H2233" s="16" t="s">
        <v>2640</v>
      </c>
      <c r="I2233" s="16" t="s">
        <v>2890</v>
      </c>
    </row>
    <row r="2234" ht="242.25" customHeight="1">
      <c r="B2234" s="32" t="str">
        <f>IMAGE("https://gymvisual.com/1422-catalog_default/3-4-sit-up.jpg",4,500,500)</f>
        <v/>
      </c>
      <c r="C2234" s="30">
        <v>2233.0</v>
      </c>
      <c r="D2234" s="16" t="s">
        <v>2891</v>
      </c>
      <c r="E2234" s="16" t="s">
        <v>184</v>
      </c>
      <c r="F2234" s="16" t="s">
        <v>254</v>
      </c>
      <c r="G2234" s="16" t="s">
        <v>255</v>
      </c>
      <c r="H2234" s="16" t="s">
        <v>256</v>
      </c>
      <c r="I2234" s="16" t="s">
        <v>257</v>
      </c>
    </row>
    <row r="2235" ht="242.25" customHeight="1">
      <c r="B2235" s="32" t="str">
        <f>IMAGE("https://gymvisual.com/13447-catalog_default/groin-crunch-female.jpg",4,500,500)</f>
        <v/>
      </c>
      <c r="C2235" s="30">
        <v>2234.0</v>
      </c>
      <c r="D2235" s="16" t="s">
        <v>2892</v>
      </c>
      <c r="E2235" s="16" t="s">
        <v>184</v>
      </c>
      <c r="F2235" s="16" t="s">
        <v>254</v>
      </c>
      <c r="G2235" s="16" t="s">
        <v>255</v>
      </c>
      <c r="H2235" s="16" t="s">
        <v>220</v>
      </c>
      <c r="I2235" s="16" t="s">
        <v>220</v>
      </c>
    </row>
    <row r="2236" ht="242.25" customHeight="1">
      <c r="B2236" s="32" t="str">
        <f>IMAGE("https://gymvisual.com/6080-catalog_default/hack-calf-raise.jpg",4,500,500)</f>
        <v/>
      </c>
      <c r="C2236" s="30">
        <v>2235.0</v>
      </c>
      <c r="D2236" s="16" t="s">
        <v>823</v>
      </c>
      <c r="E2236" s="16" t="s">
        <v>184</v>
      </c>
      <c r="F2236" s="16" t="s">
        <v>325</v>
      </c>
      <c r="G2236" s="16" t="s">
        <v>2893</v>
      </c>
      <c r="H2236" s="16" t="s">
        <v>368</v>
      </c>
      <c r="I2236" s="16" t="s">
        <v>463</v>
      </c>
    </row>
    <row r="2237" ht="242.25" customHeight="1">
      <c r="B2237" s="32" t="str">
        <f>IMAGE("https://gymvisual.com/6081-catalog_default/hack-one-leg-calf-raise.jpg",4,500,500)</f>
        <v/>
      </c>
      <c r="C2237" s="30">
        <v>2236.0</v>
      </c>
      <c r="D2237" s="16" t="s">
        <v>2894</v>
      </c>
      <c r="E2237" s="16" t="s">
        <v>184</v>
      </c>
      <c r="F2237" s="16" t="s">
        <v>325</v>
      </c>
      <c r="G2237" s="16" t="s">
        <v>2893</v>
      </c>
      <c r="H2237" s="16" t="s">
        <v>368</v>
      </c>
      <c r="I2237" s="16" t="s">
        <v>463</v>
      </c>
    </row>
    <row r="2238" ht="242.25" customHeight="1">
      <c r="B2238" s="32" t="str">
        <f>IMAGE("https://gymvisual.com/12879-catalog_default/half-sit-up-male.jpg",4,500,500)</f>
        <v/>
      </c>
      <c r="C2238" s="30">
        <v>2237.0</v>
      </c>
      <c r="D2238" s="16" t="s">
        <v>2895</v>
      </c>
      <c r="E2238" s="16" t="s">
        <v>184</v>
      </c>
      <c r="F2238" s="16" t="s">
        <v>254</v>
      </c>
      <c r="G2238" s="16" t="s">
        <v>255</v>
      </c>
      <c r="H2238" s="16" t="s">
        <v>305</v>
      </c>
      <c r="I2238" s="16" t="s">
        <v>257</v>
      </c>
    </row>
    <row r="2239" ht="242.25" customHeight="1">
      <c r="B2239" s="32" t="str">
        <f>IMAGE("https://gymvisual.com/4624-catalog_default/half-wipers-bent-leg.jpg",4,500,500)</f>
        <v/>
      </c>
      <c r="C2239" s="30">
        <v>2238.0</v>
      </c>
      <c r="D2239" s="16" t="s">
        <v>2896</v>
      </c>
      <c r="E2239" s="16" t="s">
        <v>184</v>
      </c>
      <c r="F2239" s="16" t="s">
        <v>254</v>
      </c>
      <c r="G2239" s="16" t="s">
        <v>255</v>
      </c>
      <c r="H2239" s="16" t="s">
        <v>257</v>
      </c>
      <c r="I2239" s="16" t="s">
        <v>220</v>
      </c>
    </row>
    <row r="2240" ht="242.25" customHeight="1">
      <c r="B2240" s="32" t="str">
        <f>IMAGE("https://gymvisual.com/7717-catalog_default/hammer-grip-pull-up-on-dip-cage.jpg",4,500,500)</f>
        <v/>
      </c>
      <c r="C2240" s="30">
        <v>2239.0</v>
      </c>
      <c r="D2240" s="16" t="s">
        <v>2897</v>
      </c>
      <c r="E2240" s="16" t="s">
        <v>184</v>
      </c>
      <c r="F2240" s="16" t="s">
        <v>192</v>
      </c>
      <c r="G2240" s="16" t="s">
        <v>255</v>
      </c>
      <c r="H2240" s="16" t="s">
        <v>300</v>
      </c>
      <c r="I2240" s="16" t="s">
        <v>387</v>
      </c>
    </row>
    <row r="2241" ht="242.25" customHeight="1">
      <c r="B2241" s="32" t="str">
        <f>IMAGE("https://gymvisual.com/17140-catalog_default/hammer-grip-pull-up-on-dip-cage-female.jpg",4,500,500)</f>
        <v/>
      </c>
      <c r="C2241" s="30">
        <v>2240.0</v>
      </c>
      <c r="D2241" s="16" t="s">
        <v>2898</v>
      </c>
      <c r="E2241" s="16" t="s">
        <v>184</v>
      </c>
      <c r="F2241" s="16" t="s">
        <v>192</v>
      </c>
      <c r="G2241" s="16" t="s">
        <v>255</v>
      </c>
      <c r="H2241" s="16" t="s">
        <v>300</v>
      </c>
      <c r="I2241" s="16" t="s">
        <v>2899</v>
      </c>
    </row>
    <row r="2242" ht="242.25" customHeight="1">
      <c r="B2242" s="32" t="str">
        <f>IMAGE("https://gymvisual.com/1425-catalog_default/3-4-sit-up.jpg",4,500,500)</f>
        <v/>
      </c>
      <c r="C2242" s="30">
        <v>2241.0</v>
      </c>
      <c r="D2242" s="16" t="s">
        <v>2900</v>
      </c>
      <c r="E2242" s="16" t="s">
        <v>184</v>
      </c>
      <c r="F2242" s="16" t="s">
        <v>254</v>
      </c>
      <c r="G2242" s="16" t="s">
        <v>255</v>
      </c>
      <c r="H2242" s="16" t="s">
        <v>260</v>
      </c>
      <c r="I2242" s="16" t="s">
        <v>220</v>
      </c>
    </row>
    <row r="2243" ht="242.25" customHeight="1">
      <c r="B2243" s="32" t="str">
        <f>IMAGE("https://gymvisual.com/13647-catalog_default/hand-spring-wrist-curl.jpg",4,500,500)</f>
        <v/>
      </c>
      <c r="C2243" s="30">
        <v>2242.0</v>
      </c>
      <c r="D2243" s="16" t="s">
        <v>2901</v>
      </c>
      <c r="E2243" s="16" t="s">
        <v>184</v>
      </c>
      <c r="F2243" s="16" t="s">
        <v>214</v>
      </c>
      <c r="G2243" s="16" t="s">
        <v>396</v>
      </c>
      <c r="H2243" s="16" t="s">
        <v>720</v>
      </c>
      <c r="I2243" s="16" t="s">
        <v>220</v>
      </c>
    </row>
    <row r="2244" ht="242.25" customHeight="1">
      <c r="B2244" s="32" t="str">
        <f>IMAGE("https://gymvisual.com/17783-catalog_default/hands-release-push-up-female.jpg",4,500,500)</f>
        <v/>
      </c>
      <c r="C2244" s="30">
        <v>2243.0</v>
      </c>
      <c r="D2244" s="16" t="s">
        <v>2902</v>
      </c>
      <c r="E2244" s="16" t="s">
        <v>184</v>
      </c>
      <c r="F2244" s="16" t="s">
        <v>234</v>
      </c>
      <c r="G2244" s="16" t="s">
        <v>255</v>
      </c>
      <c r="H2244" s="16" t="s">
        <v>220</v>
      </c>
      <c r="I2244" s="16" t="s">
        <v>220</v>
      </c>
    </row>
    <row r="2245" ht="242.25" customHeight="1">
      <c r="B2245" s="32" t="str">
        <f>IMAGE("https://gymvisual.com/1428-catalog_default/3-4-sit-up.jpg",4,500,500)</f>
        <v/>
      </c>
      <c r="C2245" s="30">
        <v>2244.0</v>
      </c>
      <c r="D2245" s="16" t="s">
        <v>2903</v>
      </c>
      <c r="E2245" s="16" t="s">
        <v>184</v>
      </c>
      <c r="F2245" s="16" t="s">
        <v>228</v>
      </c>
      <c r="G2245" s="16" t="s">
        <v>255</v>
      </c>
      <c r="H2245" s="16" t="s">
        <v>223</v>
      </c>
      <c r="I2245" s="16" t="s">
        <v>2904</v>
      </c>
    </row>
    <row r="2246" ht="242.25" customHeight="1">
      <c r="B2246" s="32" t="str">
        <f>IMAGE("https://gymvisual.com/10312-catalog_default/handstand-push-up-female.jpg",4,500,500)</f>
        <v/>
      </c>
      <c r="C2246" s="30">
        <v>2245.0</v>
      </c>
      <c r="D2246" s="16" t="s">
        <v>2905</v>
      </c>
      <c r="E2246" s="16" t="s">
        <v>184</v>
      </c>
      <c r="F2246" s="16" t="s">
        <v>219</v>
      </c>
      <c r="G2246" s="16" t="s">
        <v>255</v>
      </c>
      <c r="H2246" s="16" t="s">
        <v>223</v>
      </c>
      <c r="I2246" s="16" t="s">
        <v>2906</v>
      </c>
    </row>
    <row r="2247" ht="242.25" customHeight="1">
      <c r="B2247" s="32" t="str">
        <f>IMAGE("https://gymvisual.com/17779-catalog_default/handstand-shoulder-press-with-wall-between-benches.jpg",4,500,500)</f>
        <v/>
      </c>
      <c r="C2247" s="30">
        <v>2246.0</v>
      </c>
      <c r="D2247" s="16" t="s">
        <v>2907</v>
      </c>
      <c r="E2247" s="16" t="s">
        <v>184</v>
      </c>
      <c r="F2247" s="16" t="s">
        <v>228</v>
      </c>
      <c r="G2247" s="16" t="s">
        <v>255</v>
      </c>
      <c r="H2247" s="16" t="s">
        <v>220</v>
      </c>
      <c r="I2247" s="16" t="s">
        <v>220</v>
      </c>
    </row>
    <row r="2248" ht="242.25" customHeight="1">
      <c r="B2248" s="32" t="str">
        <f>IMAGE("https://gymvisual.com/19415-catalog_default/hanging-deadbug.jpg",4,500,500)</f>
        <v/>
      </c>
      <c r="C2248" s="30">
        <v>2247.0</v>
      </c>
      <c r="D2248" s="16" t="s">
        <v>2908</v>
      </c>
      <c r="E2248" s="16" t="s">
        <v>184</v>
      </c>
      <c r="F2248" s="16" t="s">
        <v>185</v>
      </c>
      <c r="G2248" s="16" t="s">
        <v>255</v>
      </c>
      <c r="H2248" s="16" t="s">
        <v>305</v>
      </c>
      <c r="I2248" s="16" t="s">
        <v>1306</v>
      </c>
    </row>
    <row r="2249" ht="242.25" customHeight="1">
      <c r="B2249" s="32" t="str">
        <f>IMAGE("https://gymvisual.com/20702-catalog_default/hanging-flutter-kick.jpg",4,500,500)</f>
        <v/>
      </c>
      <c r="C2249" s="30">
        <v>2248.0</v>
      </c>
      <c r="D2249" s="16" t="s">
        <v>2909</v>
      </c>
      <c r="E2249" s="16" t="s">
        <v>184</v>
      </c>
      <c r="F2249" s="16" t="s">
        <v>254</v>
      </c>
      <c r="G2249" s="16" t="s">
        <v>255</v>
      </c>
      <c r="H2249" s="16" t="s">
        <v>305</v>
      </c>
      <c r="I2249" s="16" t="s">
        <v>1306</v>
      </c>
    </row>
    <row r="2250" ht="242.25" customHeight="1">
      <c r="B2250" s="32" t="str">
        <f>IMAGE("https://gymvisual.com/22430-catalog_default/hanging-half-windmill.jpg",4,500,500)</f>
        <v/>
      </c>
      <c r="C2250" s="30">
        <v>2249.0</v>
      </c>
      <c r="D2250" s="16" t="s">
        <v>2910</v>
      </c>
      <c r="E2250" s="16" t="s">
        <v>184</v>
      </c>
      <c r="F2250" s="16" t="s">
        <v>254</v>
      </c>
      <c r="G2250" s="16" t="s">
        <v>255</v>
      </c>
      <c r="H2250" s="16" t="s">
        <v>220</v>
      </c>
      <c r="I2250" s="16" t="s">
        <v>220</v>
      </c>
    </row>
    <row r="2251" ht="242.25" customHeight="1">
      <c r="B2251" s="32" t="str">
        <f>IMAGE("https://gymvisual.com/22279-catalog_default/hanging-knee-circle-raise.jpg",4,500,500)</f>
        <v/>
      </c>
      <c r="C2251" s="30">
        <v>2250.0</v>
      </c>
      <c r="D2251" s="16" t="s">
        <v>2911</v>
      </c>
      <c r="E2251" s="16" t="s">
        <v>184</v>
      </c>
      <c r="F2251" s="16" t="s">
        <v>185</v>
      </c>
      <c r="G2251" s="16" t="s">
        <v>255</v>
      </c>
      <c r="H2251" s="16" t="s">
        <v>220</v>
      </c>
      <c r="I2251" s="16" t="s">
        <v>220</v>
      </c>
    </row>
    <row r="2252" ht="242.25" customHeight="1">
      <c r="B2252" s="32" t="str">
        <f>IMAGE("https://gymvisual.com/20690-catalog_default/hanging-knees-to-elbows.jpg",4,500,500)</f>
        <v/>
      </c>
      <c r="C2252" s="30">
        <v>2251.0</v>
      </c>
      <c r="D2252" s="16" t="s">
        <v>2912</v>
      </c>
      <c r="E2252" s="16" t="s">
        <v>184</v>
      </c>
      <c r="F2252" s="16" t="s">
        <v>254</v>
      </c>
      <c r="G2252" s="16" t="s">
        <v>255</v>
      </c>
      <c r="H2252" s="16" t="s">
        <v>305</v>
      </c>
      <c r="I2252" s="16" t="s">
        <v>319</v>
      </c>
    </row>
    <row r="2253" ht="242.25" customHeight="1">
      <c r="B2253" s="32" t="str">
        <f>IMAGE("https://gymvisual.com/7590-catalog_default/hanging-leg-hip-raise.jpg",4,500,500)</f>
        <v/>
      </c>
      <c r="C2253" s="30">
        <v>2252.0</v>
      </c>
      <c r="D2253" s="16" t="s">
        <v>2913</v>
      </c>
      <c r="E2253" s="16" t="s">
        <v>184</v>
      </c>
      <c r="F2253" s="16" t="s">
        <v>254</v>
      </c>
      <c r="G2253" s="16" t="s">
        <v>255</v>
      </c>
      <c r="H2253" s="16" t="s">
        <v>305</v>
      </c>
      <c r="I2253" s="16" t="s">
        <v>600</v>
      </c>
    </row>
    <row r="2254" ht="242.25" customHeight="1">
      <c r="B2254" s="32" t="str">
        <f>IMAGE("https://gymvisual.com/11212-catalog_default/hanging-leg-hip-raise-female.jpg",4,500,500)</f>
        <v/>
      </c>
      <c r="C2254" s="30">
        <v>2253.0</v>
      </c>
      <c r="D2254" s="16" t="s">
        <v>2914</v>
      </c>
      <c r="E2254" s="16" t="s">
        <v>184</v>
      </c>
      <c r="F2254" s="16" t="s">
        <v>310</v>
      </c>
      <c r="G2254" s="16" t="s">
        <v>255</v>
      </c>
      <c r="H2254" s="16" t="s">
        <v>305</v>
      </c>
      <c r="I2254" s="16" t="s">
        <v>600</v>
      </c>
    </row>
    <row r="2255" ht="242.25" customHeight="1">
      <c r="B2255" s="32" t="str">
        <f>IMAGE("https://gymvisual.com/1431-catalog_default/3-4-sit-up.jpg",4,500,500)</f>
        <v/>
      </c>
      <c r="C2255" s="30">
        <v>2254.0</v>
      </c>
      <c r="D2255" s="16" t="s">
        <v>2915</v>
      </c>
      <c r="E2255" s="16" t="s">
        <v>184</v>
      </c>
      <c r="F2255" s="16" t="s">
        <v>185</v>
      </c>
      <c r="G2255" s="16" t="s">
        <v>255</v>
      </c>
      <c r="H2255" s="16" t="s">
        <v>271</v>
      </c>
      <c r="I2255" s="16" t="s">
        <v>2916</v>
      </c>
    </row>
    <row r="2256" ht="242.25" customHeight="1">
      <c r="B2256" s="32" t="str">
        <f>IMAGE("https://gymvisual.com/7573-catalog_default/hanging-oblique-knee-raise.jpg",4,500,500)</f>
        <v/>
      </c>
      <c r="C2256" s="30">
        <v>2255.0</v>
      </c>
      <c r="D2256" s="16" t="s">
        <v>2917</v>
      </c>
      <c r="E2256" s="16" t="s">
        <v>184</v>
      </c>
      <c r="F2256" s="16" t="s">
        <v>254</v>
      </c>
      <c r="G2256" s="16" t="s">
        <v>255</v>
      </c>
      <c r="H2256" s="16" t="s">
        <v>424</v>
      </c>
      <c r="I2256" s="16" t="s">
        <v>2918</v>
      </c>
    </row>
    <row r="2257" ht="242.25" customHeight="1">
      <c r="B2257" s="32" t="str">
        <f>IMAGE("https://gymvisual.com/13449-catalog_default/hanging-oblique-knee-raise-female.jpg",4,500,500)</f>
        <v/>
      </c>
      <c r="C2257" s="30">
        <v>2256.0</v>
      </c>
      <c r="D2257" s="16" t="s">
        <v>2919</v>
      </c>
      <c r="E2257" s="16" t="s">
        <v>184</v>
      </c>
      <c r="F2257" s="16" t="s">
        <v>254</v>
      </c>
      <c r="G2257" s="16" t="s">
        <v>255</v>
      </c>
      <c r="H2257" s="16" t="s">
        <v>263</v>
      </c>
      <c r="I2257" s="16" t="s">
        <v>2920</v>
      </c>
    </row>
    <row r="2258" ht="242.25" customHeight="1">
      <c r="B2258" s="32" t="str">
        <f>IMAGE("https://gymvisual.com/1434-catalog_default/3-4-sit-up.jpg",4,500,500)</f>
        <v/>
      </c>
      <c r="C2258" s="30">
        <v>2257.0</v>
      </c>
      <c r="D2258" s="16" t="s">
        <v>2921</v>
      </c>
      <c r="E2258" s="16" t="s">
        <v>184</v>
      </c>
      <c r="F2258" s="16" t="s">
        <v>254</v>
      </c>
      <c r="G2258" s="16" t="s">
        <v>255</v>
      </c>
      <c r="H2258" s="16" t="s">
        <v>256</v>
      </c>
      <c r="I2258" s="16" t="s">
        <v>2922</v>
      </c>
    </row>
    <row r="2259" ht="242.25" customHeight="1">
      <c r="B2259" s="32" t="str">
        <f>IMAGE("https://gymvisual.com/11486-catalog_default/hanging-pike-female.jpg",4,500,500)</f>
        <v/>
      </c>
      <c r="C2259" s="30">
        <v>2258.0</v>
      </c>
      <c r="D2259" s="16" t="s">
        <v>2923</v>
      </c>
      <c r="E2259" s="16" t="s">
        <v>184</v>
      </c>
      <c r="F2259" s="16" t="s">
        <v>254</v>
      </c>
      <c r="G2259" s="16" t="s">
        <v>255</v>
      </c>
      <c r="H2259" s="16" t="s">
        <v>220</v>
      </c>
      <c r="I2259" s="16" t="s">
        <v>220</v>
      </c>
    </row>
    <row r="2260" ht="242.25" customHeight="1">
      <c r="B2260" s="32" t="str">
        <f>IMAGE("https://gymvisual.com/17997-catalog_default/hanging-scapular-shrug.jpg",4,500,500)</f>
        <v/>
      </c>
      <c r="C2260" s="30">
        <v>2259.0</v>
      </c>
      <c r="D2260" s="16" t="s">
        <v>2924</v>
      </c>
      <c r="E2260" s="16" t="s">
        <v>184</v>
      </c>
      <c r="F2260" s="16" t="s">
        <v>192</v>
      </c>
      <c r="G2260" s="16" t="s">
        <v>255</v>
      </c>
      <c r="H2260" s="16" t="s">
        <v>220</v>
      </c>
      <c r="I2260" s="16" t="s">
        <v>220</v>
      </c>
    </row>
    <row r="2261" ht="242.25" customHeight="1">
      <c r="B2261" s="32" t="str">
        <f>IMAGE("https://gymvisual.com/1437-catalog_default/3-4-sit-up.jpg",4,500,500)</f>
        <v/>
      </c>
      <c r="C2261" s="30">
        <v>2260.0</v>
      </c>
      <c r="D2261" s="16" t="s">
        <v>2925</v>
      </c>
      <c r="E2261" s="16" t="s">
        <v>184</v>
      </c>
      <c r="F2261" s="16" t="s">
        <v>254</v>
      </c>
      <c r="G2261" s="16" t="s">
        <v>255</v>
      </c>
      <c r="H2261" s="16" t="s">
        <v>256</v>
      </c>
      <c r="I2261" s="16" t="s">
        <v>2926</v>
      </c>
    </row>
    <row r="2262" ht="242.25" customHeight="1">
      <c r="B2262" s="32" t="str">
        <f>IMAGE("https://gymvisual.com/14272-catalog_default/hanging-straight-leg-hip-raise-female.jpg",4,500,500)</f>
        <v/>
      </c>
      <c r="C2262" s="30">
        <v>2261.0</v>
      </c>
      <c r="D2262" s="16" t="s">
        <v>2927</v>
      </c>
      <c r="E2262" s="16" t="s">
        <v>184</v>
      </c>
      <c r="F2262" s="16" t="s">
        <v>310</v>
      </c>
      <c r="G2262" s="16" t="s">
        <v>255</v>
      </c>
      <c r="H2262" s="16" t="s">
        <v>305</v>
      </c>
      <c r="I2262" s="16" t="s">
        <v>2928</v>
      </c>
    </row>
    <row r="2263" ht="242.25" customHeight="1">
      <c r="B2263" s="32" t="str">
        <f>IMAGE("https://gymvisual.com/24922-catalog_default/3-4-sit-up.jpg",4,500,500)</f>
        <v/>
      </c>
      <c r="C2263" s="30">
        <v>2262.0</v>
      </c>
      <c r="D2263" s="16" t="s">
        <v>2929</v>
      </c>
      <c r="E2263" s="16" t="s">
        <v>184</v>
      </c>
      <c r="F2263" s="16" t="s">
        <v>185</v>
      </c>
      <c r="G2263" s="16" t="s">
        <v>255</v>
      </c>
      <c r="H2263" s="16" t="s">
        <v>271</v>
      </c>
      <c r="I2263" s="16" t="s">
        <v>566</v>
      </c>
    </row>
    <row r="2264" ht="242.25" customHeight="1">
      <c r="B2264" s="32" t="str">
        <f>IMAGE("https://gymvisual.com/11149-catalog_default/hanging-straight-leg-raise-female.jpg",4,500,500)</f>
        <v/>
      </c>
      <c r="C2264" s="30">
        <v>2263.0</v>
      </c>
      <c r="D2264" s="16" t="s">
        <v>2930</v>
      </c>
      <c r="E2264" s="16" t="s">
        <v>184</v>
      </c>
      <c r="F2264" s="16" t="s">
        <v>310</v>
      </c>
      <c r="G2264" s="16" t="s">
        <v>255</v>
      </c>
      <c r="H2264" s="16" t="s">
        <v>305</v>
      </c>
      <c r="I2264" s="16" t="s">
        <v>1306</v>
      </c>
    </row>
    <row r="2265" ht="242.25" customHeight="1">
      <c r="B2265" s="32" t="str">
        <f>IMAGE("https://gymvisual.com/20630-catalog_default/3-4-sit-up.jpg",4,500,500)</f>
        <v/>
      </c>
      <c r="C2265" s="30">
        <v>2264.0</v>
      </c>
      <c r="D2265" s="16" t="s">
        <v>2931</v>
      </c>
      <c r="E2265" s="16" t="s">
        <v>184</v>
      </c>
      <c r="F2265" s="16" t="s">
        <v>254</v>
      </c>
      <c r="G2265" s="16" t="s">
        <v>255</v>
      </c>
      <c r="H2265" s="16" t="s">
        <v>260</v>
      </c>
      <c r="I2265" s="16" t="s">
        <v>2932</v>
      </c>
    </row>
    <row r="2266" ht="242.25" customHeight="1">
      <c r="B2266" s="32" t="str">
        <f>IMAGE("https://gymvisual.com/11607-catalog_default/hanging-straight-twisting-leg-hip-raise-female.jpg",4,500,500)</f>
        <v/>
      </c>
      <c r="C2266" s="30">
        <v>2265.0</v>
      </c>
      <c r="D2266" s="16" t="s">
        <v>2933</v>
      </c>
      <c r="E2266" s="16" t="s">
        <v>184</v>
      </c>
      <c r="F2266" s="16" t="s">
        <v>310</v>
      </c>
      <c r="G2266" s="16" t="s">
        <v>255</v>
      </c>
      <c r="H2266" s="16" t="s">
        <v>220</v>
      </c>
      <c r="I2266" s="16" t="s">
        <v>220</v>
      </c>
    </row>
    <row r="2267" ht="242.25" customHeight="1">
      <c r="B2267" s="32" t="str">
        <f>IMAGE("https://gymvisual.com/17125-catalog_default/hanging-toes-to-bar.jpg",4,500,500)</f>
        <v/>
      </c>
      <c r="C2267" s="30">
        <v>2266.0</v>
      </c>
      <c r="D2267" s="16" t="s">
        <v>2934</v>
      </c>
      <c r="E2267" s="16" t="s">
        <v>184</v>
      </c>
      <c r="F2267" s="16" t="s">
        <v>254</v>
      </c>
      <c r="G2267" s="16" t="s">
        <v>255</v>
      </c>
      <c r="H2267" s="16" t="s">
        <v>305</v>
      </c>
      <c r="I2267" s="16" t="s">
        <v>600</v>
      </c>
    </row>
    <row r="2268" ht="242.25" customHeight="1">
      <c r="B2268" s="32" t="str">
        <f>IMAGE("https://gymvisual.com/13693-catalog_default/hawaian-squat.jpg",4,500,500)</f>
        <v/>
      </c>
      <c r="C2268" s="30">
        <v>2267.0</v>
      </c>
      <c r="D2268" s="16" t="s">
        <v>2935</v>
      </c>
      <c r="E2268" s="16" t="s">
        <v>184</v>
      </c>
      <c r="F2268" s="16" t="s">
        <v>294</v>
      </c>
      <c r="G2268" s="16" t="s">
        <v>255</v>
      </c>
      <c r="H2268" s="16" t="s">
        <v>189</v>
      </c>
      <c r="I2268" s="16" t="s">
        <v>2512</v>
      </c>
    </row>
    <row r="2269" ht="242.25" customHeight="1">
      <c r="B2269" s="32" t="str">
        <f>IMAGE("https://gymvisual.com/17743-catalog_default/heel-drops.jpg",4,500,500)</f>
        <v/>
      </c>
      <c r="C2269" s="30">
        <v>2268.0</v>
      </c>
      <c r="D2269" s="16" t="s">
        <v>2936</v>
      </c>
      <c r="E2269" s="16" t="s">
        <v>184</v>
      </c>
      <c r="F2269" s="16" t="s">
        <v>185</v>
      </c>
      <c r="G2269" s="16" t="s">
        <v>255</v>
      </c>
      <c r="H2269" s="16" t="s">
        <v>220</v>
      </c>
      <c r="I2269" s="16" t="s">
        <v>220</v>
      </c>
    </row>
    <row r="2270" ht="242.25" customHeight="1">
      <c r="B2270" s="32" t="str">
        <f>IMAGE("https://gymvisual.com/22476-catalog_default/high-bar-inverted-row.jpg",4,500,500)</f>
        <v/>
      </c>
      <c r="C2270" s="30">
        <v>2269.0</v>
      </c>
      <c r="D2270" s="16" t="s">
        <v>2937</v>
      </c>
      <c r="E2270" s="16" t="s">
        <v>184</v>
      </c>
      <c r="F2270" s="16" t="s">
        <v>192</v>
      </c>
      <c r="G2270" s="16" t="s">
        <v>255</v>
      </c>
      <c r="H2270" s="16" t="s">
        <v>220</v>
      </c>
      <c r="I2270" s="16" t="s">
        <v>220</v>
      </c>
    </row>
    <row r="2271" ht="242.25" customHeight="1">
      <c r="B2271" s="32" t="str">
        <f>IMAGE("https://gymvisual.com/23563-catalog_default/high-knee-run-female.jpg",4,500,500)</f>
        <v/>
      </c>
      <c r="C2271" s="30">
        <v>2270.0</v>
      </c>
      <c r="D2271" s="16" t="s">
        <v>2938</v>
      </c>
      <c r="E2271" s="16" t="s">
        <v>184</v>
      </c>
      <c r="F2271" s="16" t="s">
        <v>1162</v>
      </c>
      <c r="G2271" s="16" t="s">
        <v>255</v>
      </c>
      <c r="H2271" s="16" t="s">
        <v>220</v>
      </c>
      <c r="I2271" s="16" t="s">
        <v>220</v>
      </c>
    </row>
    <row r="2272" ht="242.25" customHeight="1">
      <c r="B2272" s="32" t="str">
        <f>IMAGE("https://gymvisual.com/23603-catalog_default/high-knee-squat-version-2-male.jpg",4,500,500)</f>
        <v/>
      </c>
      <c r="C2272" s="30">
        <v>2271.0</v>
      </c>
      <c r="D2272" s="16" t="s">
        <v>2939</v>
      </c>
      <c r="E2272" s="16" t="s">
        <v>184</v>
      </c>
      <c r="F2272" s="16" t="s">
        <v>321</v>
      </c>
      <c r="G2272" s="16" t="s">
        <v>255</v>
      </c>
      <c r="H2272" s="16" t="s">
        <v>220</v>
      </c>
      <c r="I2272" s="16" t="s">
        <v>220</v>
      </c>
    </row>
    <row r="2273" ht="242.25" customHeight="1">
      <c r="B2273" s="32" t="str">
        <f>IMAGE("https://gymvisual.com/22801-catalog_default/hip-clam-shell.jpg",4,500,500)</f>
        <v/>
      </c>
      <c r="C2273" s="30">
        <v>2272.0</v>
      </c>
      <c r="D2273" s="16" t="s">
        <v>2940</v>
      </c>
      <c r="E2273" s="16" t="s">
        <v>184</v>
      </c>
      <c r="F2273" s="16" t="s">
        <v>185</v>
      </c>
      <c r="G2273" s="16" t="s">
        <v>255</v>
      </c>
      <c r="H2273" s="16" t="s">
        <v>475</v>
      </c>
      <c r="I2273" s="16" t="s">
        <v>476</v>
      </c>
    </row>
    <row r="2274" ht="242.25" customHeight="1">
      <c r="B2274" s="32" t="str">
        <f>IMAGE("https://gymvisual.com/1461-catalog_default/3-4-sit-up.jpg",4,500,500)</f>
        <v/>
      </c>
      <c r="C2274" s="30">
        <v>2273.0</v>
      </c>
      <c r="D2274" s="16" t="s">
        <v>2941</v>
      </c>
      <c r="E2274" s="16" t="s">
        <v>184</v>
      </c>
      <c r="F2274" s="16" t="s">
        <v>254</v>
      </c>
      <c r="G2274" s="16" t="s">
        <v>255</v>
      </c>
      <c r="H2274" s="16" t="s">
        <v>305</v>
      </c>
      <c r="I2274" s="16" t="s">
        <v>371</v>
      </c>
    </row>
    <row r="2275" ht="242.25" customHeight="1">
      <c r="B2275" s="32" t="str">
        <f>IMAGE("https://gymvisual.com/7692-catalog_default/hip-lift-low-back-off-floor.jpg",4,500,500)</f>
        <v/>
      </c>
      <c r="C2275" s="30">
        <v>2274.0</v>
      </c>
      <c r="D2275" s="16" t="s">
        <v>2942</v>
      </c>
      <c r="E2275" s="16" t="s">
        <v>184</v>
      </c>
      <c r="F2275" s="16" t="s">
        <v>254</v>
      </c>
      <c r="G2275" s="16" t="s">
        <v>255</v>
      </c>
      <c r="H2275" s="16" t="s">
        <v>220</v>
      </c>
      <c r="I2275" s="16" t="s">
        <v>220</v>
      </c>
    </row>
    <row r="2276" ht="242.25" customHeight="1">
      <c r="B2276" s="32" t="str">
        <f>IMAGE("https://gymvisual.com/1467-catalog_default/3-4-sit-up.jpg",4,500,500)</f>
        <v/>
      </c>
      <c r="C2276" s="30">
        <v>2275.0</v>
      </c>
      <c r="D2276" s="16" t="s">
        <v>2943</v>
      </c>
      <c r="E2276" s="16" t="s">
        <v>184</v>
      </c>
      <c r="F2276" s="16" t="s">
        <v>254</v>
      </c>
      <c r="G2276" s="16" t="s">
        <v>255</v>
      </c>
      <c r="H2276" s="16" t="s">
        <v>305</v>
      </c>
      <c r="I2276" s="16" t="s">
        <v>371</v>
      </c>
    </row>
    <row r="2277" ht="242.25" customHeight="1">
      <c r="B2277" s="32" t="str">
        <f>IMAGE("https://gymvisual.com/11489-catalog_default/hip-raise-bent-knee-female.jpg",4,500,500)</f>
        <v/>
      </c>
      <c r="C2277" s="30">
        <v>2276.0</v>
      </c>
      <c r="D2277" s="16" t="s">
        <v>2944</v>
      </c>
      <c r="E2277" s="16" t="s">
        <v>184</v>
      </c>
      <c r="F2277" s="16" t="s">
        <v>254</v>
      </c>
      <c r="G2277" s="16" t="s">
        <v>255</v>
      </c>
      <c r="H2277" s="16" t="s">
        <v>220</v>
      </c>
      <c r="I2277" s="16" t="s">
        <v>220</v>
      </c>
    </row>
    <row r="2278" ht="242.25" customHeight="1">
      <c r="B2278" s="32" t="str">
        <f>IMAGE("https://gymvisual.com/1473-catalog_default/3-4-sit-up.jpg",4,500,500)</f>
        <v/>
      </c>
      <c r="C2278" s="30">
        <v>2277.0</v>
      </c>
      <c r="D2278" s="16" t="s">
        <v>2945</v>
      </c>
      <c r="E2278" s="16" t="s">
        <v>184</v>
      </c>
      <c r="F2278" s="16" t="s">
        <v>254</v>
      </c>
      <c r="G2278" s="16" t="s">
        <v>255</v>
      </c>
      <c r="H2278" s="16" t="s">
        <v>256</v>
      </c>
      <c r="I2278" s="16" t="s">
        <v>2946</v>
      </c>
    </row>
    <row r="2279" ht="242.25" customHeight="1">
      <c r="B2279" s="32" t="str">
        <f>IMAGE("https://gymvisual.com/1470-catalog_default/3-4-sit-up.jpg",4,500,500)</f>
        <v/>
      </c>
      <c r="C2279" s="30">
        <v>2278.0</v>
      </c>
      <c r="D2279" s="16" t="s">
        <v>2947</v>
      </c>
      <c r="E2279" s="16" t="s">
        <v>184</v>
      </c>
      <c r="F2279" s="16" t="s">
        <v>254</v>
      </c>
      <c r="G2279" s="16" t="s">
        <v>255</v>
      </c>
      <c r="H2279" s="16" t="s">
        <v>256</v>
      </c>
      <c r="I2279" s="16" t="s">
        <v>1330</v>
      </c>
    </row>
    <row r="2280" ht="242.25" customHeight="1">
      <c r="B2280" s="32" t="str">
        <f>IMAGE("https://gymvisual.com/1476-catalog_default/3-4-sit-up.jpg",4,500,500)</f>
        <v/>
      </c>
      <c r="C2280" s="30">
        <v>2279.0</v>
      </c>
      <c r="D2280" s="16" t="s">
        <v>2948</v>
      </c>
      <c r="E2280" s="16" t="s">
        <v>184</v>
      </c>
      <c r="F2280" s="16" t="s">
        <v>185</v>
      </c>
      <c r="G2280" s="16" t="s">
        <v>255</v>
      </c>
      <c r="H2280" s="16" t="s">
        <v>256</v>
      </c>
      <c r="I2280" s="16" t="s">
        <v>2949</v>
      </c>
    </row>
    <row r="2281" ht="242.25" customHeight="1">
      <c r="B2281" s="32" t="str">
        <f>IMAGE("https://gymvisual.com/19439-catalog_default/hip-roll-plank.jpg",4,500,500)</f>
        <v/>
      </c>
      <c r="C2281" s="30">
        <v>2280.0</v>
      </c>
      <c r="D2281" s="16" t="s">
        <v>2950</v>
      </c>
      <c r="E2281" s="16" t="s">
        <v>184</v>
      </c>
      <c r="F2281" s="16" t="s">
        <v>254</v>
      </c>
      <c r="G2281" s="16" t="s">
        <v>255</v>
      </c>
      <c r="H2281" s="16" t="s">
        <v>220</v>
      </c>
      <c r="I2281" s="16" t="s">
        <v>220</v>
      </c>
    </row>
    <row r="2282" ht="242.25" customHeight="1">
      <c r="B2282" s="32" t="str">
        <f>IMAGE("https://gymvisual.com/23629-catalog_default/hip-swirls.jpg",4,500,500)</f>
        <v/>
      </c>
      <c r="C2282" s="30">
        <v>2281.0</v>
      </c>
      <c r="D2282" s="16" t="s">
        <v>2951</v>
      </c>
      <c r="E2282" s="16" t="s">
        <v>184</v>
      </c>
      <c r="F2282" s="16" t="s">
        <v>185</v>
      </c>
      <c r="G2282" s="16" t="s">
        <v>255</v>
      </c>
      <c r="H2282" s="16" t="s">
        <v>2952</v>
      </c>
      <c r="I2282" s="16" t="s">
        <v>2953</v>
      </c>
    </row>
    <row r="2283" ht="242.25" customHeight="1">
      <c r="B2283" s="32" t="str">
        <f>IMAGE("https://gymvisual.com/10103-catalog_default/hip-thrusts.jpg",4,500,500)</f>
        <v/>
      </c>
      <c r="C2283" s="30">
        <v>2282.0</v>
      </c>
      <c r="D2283" s="16" t="s">
        <v>2954</v>
      </c>
      <c r="E2283" s="16" t="s">
        <v>184</v>
      </c>
      <c r="F2283" s="16" t="s">
        <v>185</v>
      </c>
      <c r="G2283" s="16" t="s">
        <v>255</v>
      </c>
      <c r="H2283" s="16" t="s">
        <v>220</v>
      </c>
      <c r="I2283" s="16" t="s">
        <v>220</v>
      </c>
    </row>
    <row r="2284" ht="242.25" customHeight="1">
      <c r="B2284" s="32" t="str">
        <f>IMAGE("https://gymvisual.com/8770-catalog_default/hip-thrusts-female.jpg",4,500,500)</f>
        <v/>
      </c>
      <c r="C2284" s="30">
        <v>2283.0</v>
      </c>
      <c r="D2284" s="16" t="s">
        <v>2955</v>
      </c>
      <c r="E2284" s="16" t="s">
        <v>184</v>
      </c>
      <c r="F2284" s="16" t="s">
        <v>185</v>
      </c>
      <c r="G2284" s="16" t="s">
        <v>255</v>
      </c>
      <c r="H2284" s="16" t="s">
        <v>187</v>
      </c>
      <c r="I2284" s="16" t="s">
        <v>854</v>
      </c>
    </row>
    <row r="2285" ht="242.25" customHeight="1">
      <c r="B2285" s="32" t="str">
        <f>IMAGE("https://gymvisual.com/4622-catalog_default/hollow-hold.jpg",4,500,500)</f>
        <v/>
      </c>
      <c r="C2285" s="30">
        <v>2284.0</v>
      </c>
      <c r="D2285" s="16" t="s">
        <v>2956</v>
      </c>
      <c r="E2285" s="16" t="s">
        <v>184</v>
      </c>
      <c r="F2285" s="16" t="s">
        <v>254</v>
      </c>
      <c r="G2285" s="16" t="s">
        <v>255</v>
      </c>
      <c r="H2285" s="16" t="s">
        <v>305</v>
      </c>
      <c r="I2285" s="16" t="s">
        <v>319</v>
      </c>
    </row>
    <row r="2286" ht="242.25" customHeight="1">
      <c r="A2286" s="32" t="b">
        <v>0</v>
      </c>
      <c r="B2286" s="32" t="str">
        <f>IMAGE("https://gymvisual.com/19379-catalog_default/hyght-dumbbell-fly.jpg",4,500,500)</f>
        <v/>
      </c>
      <c r="C2286" s="30">
        <v>2285.0</v>
      </c>
      <c r="D2286" s="16" t="s">
        <v>2957</v>
      </c>
      <c r="E2286" s="16" t="s">
        <v>184</v>
      </c>
      <c r="F2286" s="16" t="s">
        <v>234</v>
      </c>
      <c r="G2286" s="16" t="s">
        <v>222</v>
      </c>
      <c r="H2286" s="16" t="s">
        <v>415</v>
      </c>
      <c r="I2286" s="16" t="s">
        <v>236</v>
      </c>
    </row>
    <row r="2287" ht="242.25" customHeight="1">
      <c r="A2287" s="32" t="b">
        <v>0</v>
      </c>
      <c r="B2287" s="32" t="str">
        <f>IMAGE("https://gymvisual.com/13884-catalog_default/hyght-dumbbell-fly-female.jpg",4,500,500)</f>
        <v/>
      </c>
      <c r="C2287" s="30">
        <v>2286.0</v>
      </c>
      <c r="D2287" s="16" t="s">
        <v>2958</v>
      </c>
      <c r="E2287" s="16" t="s">
        <v>184</v>
      </c>
      <c r="F2287" s="16" t="s">
        <v>234</v>
      </c>
      <c r="G2287" s="16" t="s">
        <v>222</v>
      </c>
      <c r="H2287" s="16" t="s">
        <v>220</v>
      </c>
      <c r="I2287" s="16" t="s">
        <v>220</v>
      </c>
    </row>
    <row r="2288" ht="242.25" customHeight="1">
      <c r="B2288" s="32" t="str">
        <f>IMAGE("https://gymvisual.com/19339-catalog_default/3-4-sit-up.jpg",4,500,500)</f>
        <v/>
      </c>
      <c r="C2288" s="30">
        <v>2287.0</v>
      </c>
      <c r="D2288" s="16" t="s">
        <v>2959</v>
      </c>
      <c r="E2288" s="16" t="s">
        <v>184</v>
      </c>
      <c r="F2288" s="16" t="s">
        <v>254</v>
      </c>
      <c r="G2288" s="16" t="s">
        <v>255</v>
      </c>
      <c r="H2288" s="16" t="s">
        <v>275</v>
      </c>
      <c r="I2288" s="16" t="s">
        <v>2412</v>
      </c>
    </row>
    <row r="2289" ht="242.25" customHeight="1">
      <c r="B2289" s="32" t="str">
        <f>IMAGE("https://gymvisual.com/11152-catalog_default/hyperextension-female.jpg",4,500,500)</f>
        <v/>
      </c>
      <c r="C2289" s="30">
        <v>2288.0</v>
      </c>
      <c r="D2289" s="16" t="s">
        <v>2960</v>
      </c>
      <c r="E2289" s="16" t="s">
        <v>184</v>
      </c>
      <c r="F2289" s="16" t="s">
        <v>185</v>
      </c>
      <c r="G2289" s="16" t="s">
        <v>255</v>
      </c>
      <c r="H2289" s="16" t="s">
        <v>220</v>
      </c>
      <c r="I2289" s="16" t="s">
        <v>220</v>
      </c>
    </row>
    <row r="2290" ht="242.25" customHeight="1">
      <c r="B2290" s="32" t="str">
        <f>IMAGE("https://gymvisual.com/1479-catalog_default/3-4-sit-up.jpg",4,500,500)</f>
        <v/>
      </c>
      <c r="C2290" s="30">
        <v>2289.0</v>
      </c>
      <c r="D2290" s="16" t="s">
        <v>2961</v>
      </c>
      <c r="E2290" s="16" t="s">
        <v>184</v>
      </c>
      <c r="F2290" s="16" t="s">
        <v>254</v>
      </c>
      <c r="G2290" s="16" t="s">
        <v>255</v>
      </c>
      <c r="H2290" s="16" t="s">
        <v>275</v>
      </c>
      <c r="I2290" s="16" t="s">
        <v>2412</v>
      </c>
    </row>
    <row r="2291" ht="242.25" customHeight="1">
      <c r="B2291" s="32" t="str">
        <f>IMAGE("https://gymvisual.com/7712-catalog_default/hyperextension-version-2.jpg",4,500,500)</f>
        <v/>
      </c>
      <c r="C2291" s="30">
        <v>2290.0</v>
      </c>
      <c r="D2291" s="16" t="s">
        <v>2962</v>
      </c>
      <c r="E2291" s="16" t="s">
        <v>184</v>
      </c>
      <c r="F2291" s="16" t="s">
        <v>185</v>
      </c>
      <c r="G2291" s="16" t="s">
        <v>255</v>
      </c>
      <c r="H2291" s="16" t="s">
        <v>275</v>
      </c>
      <c r="I2291" s="16" t="s">
        <v>2412</v>
      </c>
    </row>
    <row r="2292" ht="242.25" customHeight="1">
      <c r="B2292" s="32" t="str">
        <f>IMAGE("https://gymvisual.com/13515-catalog_default/impossible-dips.jpg",4,500,500)</f>
        <v/>
      </c>
      <c r="C2292" s="30">
        <v>2291.0</v>
      </c>
      <c r="D2292" s="16" t="s">
        <v>2963</v>
      </c>
      <c r="E2292" s="16" t="s">
        <v>184</v>
      </c>
      <c r="F2292" s="16" t="s">
        <v>2964</v>
      </c>
      <c r="G2292" s="16" t="s">
        <v>255</v>
      </c>
      <c r="H2292" s="16" t="s">
        <v>220</v>
      </c>
      <c r="I2292" s="16" t="s">
        <v>220</v>
      </c>
    </row>
    <row r="2293" ht="242.25" customHeight="1">
      <c r="B2293" s="32" t="str">
        <f>IMAGE("https://gymvisual.com/6409-catalog_default/inchworm.jpg",4,500,500)</f>
        <v/>
      </c>
      <c r="C2293" s="30">
        <v>2292.0</v>
      </c>
      <c r="D2293" s="16" t="s">
        <v>2965</v>
      </c>
      <c r="E2293" s="16" t="s">
        <v>184</v>
      </c>
      <c r="F2293" s="16" t="s">
        <v>254</v>
      </c>
      <c r="G2293" s="16" t="s">
        <v>255</v>
      </c>
      <c r="H2293" s="16" t="s">
        <v>2966</v>
      </c>
      <c r="I2293" s="16" t="s">
        <v>2967</v>
      </c>
    </row>
    <row r="2294" ht="242.25" customHeight="1">
      <c r="B2294" s="32" t="str">
        <f>IMAGE("https://gymvisual.com/15146-catalog_default/inchworm-version-2.jpg",4,500,500)</f>
        <v/>
      </c>
      <c r="C2294" s="30">
        <v>2293.0</v>
      </c>
      <c r="D2294" s="16" t="s">
        <v>2968</v>
      </c>
      <c r="E2294" s="16" t="s">
        <v>184</v>
      </c>
      <c r="F2294" s="16" t="s">
        <v>254</v>
      </c>
      <c r="G2294" s="16" t="s">
        <v>255</v>
      </c>
      <c r="H2294" s="16" t="s">
        <v>2969</v>
      </c>
      <c r="I2294" s="16" t="s">
        <v>2970</v>
      </c>
    </row>
    <row r="2295" ht="242.25" customHeight="1">
      <c r="B2295" s="32" t="str">
        <f>IMAGE("https://gymvisual.com/22281-catalog_default/incline-alternate-flutter-kicks.jpg",4,500,500)</f>
        <v/>
      </c>
      <c r="C2295" s="30">
        <v>2294.0</v>
      </c>
      <c r="D2295" s="16" t="s">
        <v>2971</v>
      </c>
      <c r="E2295" s="16" t="s">
        <v>184</v>
      </c>
      <c r="F2295" s="16" t="s">
        <v>185</v>
      </c>
      <c r="G2295" s="16" t="s">
        <v>255</v>
      </c>
      <c r="H2295" s="16" t="s">
        <v>220</v>
      </c>
      <c r="I2295" s="16" t="s">
        <v>220</v>
      </c>
    </row>
    <row r="2296" ht="242.25" customHeight="1">
      <c r="B2296" s="32" t="str">
        <f>IMAGE("https://gymvisual.com/23929-catalog_default/incline-close-grip-push-up.jpg",4,500,500)</f>
        <v/>
      </c>
      <c r="C2296" s="30">
        <v>2295.0</v>
      </c>
      <c r="D2296" s="16" t="s">
        <v>2972</v>
      </c>
      <c r="E2296" s="16" t="s">
        <v>184</v>
      </c>
      <c r="F2296" s="16" t="s">
        <v>219</v>
      </c>
      <c r="G2296" s="16" t="s">
        <v>255</v>
      </c>
      <c r="H2296" s="16" t="s">
        <v>2400</v>
      </c>
      <c r="I2296" s="16" t="s">
        <v>229</v>
      </c>
    </row>
    <row r="2297" ht="242.25" customHeight="1">
      <c r="B2297" s="32" t="str">
        <f>IMAGE("https://gymvisual.com/1485-catalog_default/3-4-sit-up.jpg",4,500,500)</f>
        <v/>
      </c>
      <c r="C2297" s="30">
        <v>2296.0</v>
      </c>
      <c r="D2297" s="16" t="s">
        <v>2973</v>
      </c>
      <c r="E2297" s="16" t="s">
        <v>184</v>
      </c>
      <c r="F2297" s="16" t="s">
        <v>228</v>
      </c>
      <c r="G2297" s="16" t="s">
        <v>255</v>
      </c>
      <c r="H2297" s="16" t="s">
        <v>223</v>
      </c>
      <c r="I2297" s="16" t="s">
        <v>472</v>
      </c>
    </row>
    <row r="2298" ht="242.25" customHeight="1">
      <c r="B2298" s="32" t="str">
        <f>IMAGE("https://gymvisual.com/2604-catalog_default/3-4-sit-up.jpg",4,500,500)</f>
        <v/>
      </c>
      <c r="C2298" s="30">
        <v>2297.0</v>
      </c>
      <c r="D2298" s="16" t="s">
        <v>2974</v>
      </c>
      <c r="E2298" s="16" t="s">
        <v>184</v>
      </c>
      <c r="F2298" s="16" t="s">
        <v>254</v>
      </c>
      <c r="G2298" s="16" t="s">
        <v>255</v>
      </c>
      <c r="H2298" s="16" t="s">
        <v>305</v>
      </c>
      <c r="I2298" s="16" t="s">
        <v>317</v>
      </c>
    </row>
    <row r="2299" ht="242.25" customHeight="1">
      <c r="B2299" s="32" t="str">
        <f>IMAGE("https://gymvisual.com/11610-catalog_default/incline-leg-hip-raise-leg-straight-female.jpg",4,500,500)</f>
        <v/>
      </c>
      <c r="C2299" s="30">
        <v>2298.0</v>
      </c>
      <c r="D2299" s="16" t="s">
        <v>2975</v>
      </c>
      <c r="E2299" s="16" t="s">
        <v>184</v>
      </c>
      <c r="F2299" s="16" t="s">
        <v>254</v>
      </c>
      <c r="G2299" s="16" t="s">
        <v>255</v>
      </c>
      <c r="H2299" s="16" t="s">
        <v>305</v>
      </c>
      <c r="I2299" s="16" t="s">
        <v>319</v>
      </c>
    </row>
    <row r="2300" ht="242.25" customHeight="1">
      <c r="B2300" s="32" t="str">
        <f>IMAGE("https://gymvisual.com/7684-catalog_default/incline-push-press.jpg",4,500,500)</f>
        <v/>
      </c>
      <c r="C2300" s="30">
        <v>2299.0</v>
      </c>
      <c r="D2300" s="16" t="s">
        <v>2976</v>
      </c>
      <c r="E2300" s="16" t="s">
        <v>184</v>
      </c>
      <c r="F2300" s="16" t="s">
        <v>234</v>
      </c>
      <c r="G2300" s="16" t="s">
        <v>255</v>
      </c>
      <c r="H2300" s="16" t="s">
        <v>347</v>
      </c>
      <c r="I2300" s="16" t="s">
        <v>382</v>
      </c>
    </row>
    <row r="2301" ht="242.25" customHeight="1">
      <c r="B2301" s="32" t="str">
        <f>IMAGE("https://gymvisual.com/1493-catalog_default/3-4-sit-up.jpg",4,500,500)</f>
        <v/>
      </c>
      <c r="C2301" s="30">
        <v>2300.0</v>
      </c>
      <c r="D2301" s="16" t="s">
        <v>2977</v>
      </c>
      <c r="E2301" s="16" t="s">
        <v>184</v>
      </c>
      <c r="F2301" s="16" t="s">
        <v>234</v>
      </c>
      <c r="G2301" s="16" t="s">
        <v>255</v>
      </c>
      <c r="H2301" s="16" t="s">
        <v>347</v>
      </c>
      <c r="I2301" s="16" t="s">
        <v>382</v>
      </c>
    </row>
    <row r="2302" ht="242.25" customHeight="1">
      <c r="B2302" s="32" t="str">
        <f>IMAGE("https://gymvisual.com/24836-catalog_default/incline-push-up-on-bench-male.jpg",4,500,500)</f>
        <v/>
      </c>
      <c r="C2302" s="30">
        <v>2301.0</v>
      </c>
      <c r="D2302" s="16" t="s">
        <v>2978</v>
      </c>
      <c r="E2302" s="16" t="s">
        <v>184</v>
      </c>
      <c r="F2302" s="16" t="s">
        <v>234</v>
      </c>
      <c r="G2302" s="16" t="s">
        <v>255</v>
      </c>
      <c r="H2302" s="16" t="s">
        <v>235</v>
      </c>
      <c r="I2302" s="16" t="s">
        <v>243</v>
      </c>
    </row>
    <row r="2303" ht="242.25" customHeight="1">
      <c r="B2303" s="32" t="str">
        <f>IMAGE("https://gymvisual.com/16777-catalog_default/incline-push-up-on-box.jpg",4,500,500)</f>
        <v/>
      </c>
      <c r="C2303" s="30">
        <v>2302.0</v>
      </c>
      <c r="D2303" s="16" t="s">
        <v>2979</v>
      </c>
      <c r="E2303" s="16" t="s">
        <v>184</v>
      </c>
      <c r="F2303" s="16" t="s">
        <v>234</v>
      </c>
      <c r="G2303" s="16" t="s">
        <v>255</v>
      </c>
      <c r="H2303" s="16" t="s">
        <v>235</v>
      </c>
      <c r="I2303" s="16" t="s">
        <v>243</v>
      </c>
    </row>
    <row r="2304" ht="242.25" customHeight="1">
      <c r="B2304" s="32" t="str">
        <f>IMAGE("https://gymvisual.com/1496-catalog_default/3-4-sit-up.jpg",4,500,500)</f>
        <v/>
      </c>
      <c r="C2304" s="30">
        <v>2303.0</v>
      </c>
      <c r="D2304" s="16" t="s">
        <v>2980</v>
      </c>
      <c r="E2304" s="16" t="s">
        <v>184</v>
      </c>
      <c r="F2304" s="16" t="s">
        <v>234</v>
      </c>
      <c r="G2304" s="16" t="s">
        <v>255</v>
      </c>
      <c r="H2304" s="16" t="s">
        <v>347</v>
      </c>
      <c r="I2304" s="16" t="s">
        <v>2981</v>
      </c>
    </row>
    <row r="2305" ht="242.25" customHeight="1">
      <c r="B2305" s="32" t="str">
        <f>IMAGE("https://gymvisual.com/12753-catalog_default/incline-reverse-hyperextension.jpg",4,500,500)</f>
        <v/>
      </c>
      <c r="C2305" s="30">
        <v>2304.0</v>
      </c>
      <c r="D2305" s="16" t="s">
        <v>2982</v>
      </c>
      <c r="E2305" s="16" t="s">
        <v>184</v>
      </c>
      <c r="F2305" s="16" t="s">
        <v>185</v>
      </c>
      <c r="G2305" s="16" t="s">
        <v>255</v>
      </c>
      <c r="H2305" s="16" t="s">
        <v>267</v>
      </c>
      <c r="I2305" s="16" t="s">
        <v>188</v>
      </c>
    </row>
    <row r="2306" ht="242.25" customHeight="1">
      <c r="B2306" s="32" t="str">
        <f>IMAGE("https://gymvisual.com/12400-catalog_default/incline-scapula-push-up.jpg",4,500,500)</f>
        <v/>
      </c>
      <c r="C2306" s="30">
        <v>2305.0</v>
      </c>
      <c r="D2306" s="16" t="s">
        <v>2983</v>
      </c>
      <c r="E2306" s="16" t="s">
        <v>184</v>
      </c>
      <c r="F2306" s="16" t="s">
        <v>234</v>
      </c>
      <c r="G2306" s="16" t="s">
        <v>255</v>
      </c>
      <c r="H2306" s="16" t="s">
        <v>885</v>
      </c>
      <c r="I2306" s="16" t="s">
        <v>220</v>
      </c>
    </row>
    <row r="2307" ht="242.25" customHeight="1">
      <c r="B2307" s="32" t="str">
        <f>IMAGE("https://gymvisual.com/23555-catalog_default/incline-shoulder-tap.jpg",4,500,500)</f>
        <v/>
      </c>
      <c r="C2307" s="30">
        <v>2306.0</v>
      </c>
      <c r="D2307" s="16" t="s">
        <v>2984</v>
      </c>
      <c r="E2307" s="16" t="s">
        <v>184</v>
      </c>
      <c r="F2307" s="16" t="s">
        <v>234</v>
      </c>
      <c r="G2307" s="16" t="s">
        <v>255</v>
      </c>
      <c r="H2307" s="16" t="s">
        <v>235</v>
      </c>
      <c r="I2307" s="16" t="s">
        <v>2985</v>
      </c>
    </row>
    <row r="2308" ht="242.25" customHeight="1">
      <c r="B2308" s="32" t="str">
        <f>IMAGE("https://gymvisual.com/2607-catalog_default/3-4-sit-up.jpg",4,500,500)</f>
        <v/>
      </c>
      <c r="C2308" s="30">
        <v>2307.0</v>
      </c>
      <c r="D2308" s="16" t="s">
        <v>2986</v>
      </c>
      <c r="E2308" s="16" t="s">
        <v>184</v>
      </c>
      <c r="F2308" s="16" t="s">
        <v>254</v>
      </c>
      <c r="G2308" s="16" t="s">
        <v>255</v>
      </c>
      <c r="H2308" s="16" t="s">
        <v>424</v>
      </c>
      <c r="I2308" s="16" t="s">
        <v>425</v>
      </c>
    </row>
    <row r="2309" ht="242.25" customHeight="1">
      <c r="B2309" s="32" t="str">
        <f>IMAGE("https://gymvisual.com/24305-catalog_default/incline-twisting-sit-up-version-2.jpg",4,500,500)</f>
        <v/>
      </c>
      <c r="C2309" s="30">
        <v>2308.0</v>
      </c>
      <c r="D2309" s="16" t="s">
        <v>2987</v>
      </c>
      <c r="E2309" s="16" t="s">
        <v>184</v>
      </c>
      <c r="F2309" s="16" t="s">
        <v>254</v>
      </c>
      <c r="G2309" s="16" t="s">
        <v>255</v>
      </c>
      <c r="H2309" s="16" t="s">
        <v>424</v>
      </c>
      <c r="I2309" s="16" t="s">
        <v>2988</v>
      </c>
    </row>
    <row r="2310" ht="242.25" customHeight="1">
      <c r="B2310" s="32" t="str">
        <f>IMAGE("https://gymvisual.com/1502-catalog_default/3-4-sit-up.jpg",4,500,500)</f>
        <v/>
      </c>
      <c r="C2310" s="30">
        <v>2309.0</v>
      </c>
      <c r="D2310" s="16" t="s">
        <v>2989</v>
      </c>
      <c r="E2310" s="16" t="s">
        <v>184</v>
      </c>
      <c r="F2310" s="16" t="s">
        <v>285</v>
      </c>
      <c r="G2310" s="16" t="s">
        <v>255</v>
      </c>
      <c r="H2310" s="16" t="s">
        <v>188</v>
      </c>
      <c r="I2310" s="16" t="s">
        <v>561</v>
      </c>
    </row>
    <row r="2311" ht="242.25" customHeight="1">
      <c r="B2311" s="32" t="str">
        <f>IMAGE("https://gymvisual.com/10448-catalog_default/inverse-leg-curl-on-pull-up-cable-machine.jpg",4,500,500)</f>
        <v/>
      </c>
      <c r="C2311" s="30">
        <v>2310.0</v>
      </c>
      <c r="D2311" s="16" t="s">
        <v>2990</v>
      </c>
      <c r="E2311" s="16" t="s">
        <v>184</v>
      </c>
      <c r="F2311" s="16" t="s">
        <v>285</v>
      </c>
      <c r="G2311" s="16" t="s">
        <v>255</v>
      </c>
      <c r="H2311" s="16" t="s">
        <v>188</v>
      </c>
      <c r="I2311" s="16" t="s">
        <v>2991</v>
      </c>
    </row>
    <row r="2312" ht="242.25" customHeight="1">
      <c r="B2312" s="32" t="str">
        <f>IMAGE("https://gymvisual.com/22526-catalog_default/inverse-leg-curl-with-bench-pads.jpg",4,500,500)</f>
        <v/>
      </c>
      <c r="C2312" s="30">
        <v>2311.0</v>
      </c>
      <c r="D2312" s="16" t="s">
        <v>2992</v>
      </c>
      <c r="E2312" s="16" t="s">
        <v>184</v>
      </c>
      <c r="F2312" s="16" t="s">
        <v>285</v>
      </c>
      <c r="G2312" s="16" t="s">
        <v>255</v>
      </c>
      <c r="H2312" s="16" t="s">
        <v>220</v>
      </c>
      <c r="I2312" s="16" t="s">
        <v>220</v>
      </c>
    </row>
    <row r="2313" ht="242.25" customHeight="1">
      <c r="B2313" s="32" t="str">
        <f>IMAGE("https://gymvisual.com/13988-catalog_default/inverted-chin-curl-with-bent-knee-between-chairs.jpg",4,500,500)</f>
        <v/>
      </c>
      <c r="C2313" s="30">
        <v>2312.0</v>
      </c>
      <c r="D2313" s="16" t="s">
        <v>2993</v>
      </c>
      <c r="E2313" s="16" t="s">
        <v>184</v>
      </c>
      <c r="F2313" s="16" t="s">
        <v>219</v>
      </c>
      <c r="G2313" s="16" t="s">
        <v>255</v>
      </c>
      <c r="H2313" s="16" t="s">
        <v>241</v>
      </c>
      <c r="I2313" s="16" t="s">
        <v>292</v>
      </c>
    </row>
    <row r="2314" ht="242.25" customHeight="1">
      <c r="B2314" s="32" t="str">
        <f>IMAGE("https://gymvisual.com/9763-catalog_default/3-4-sit-up.jpg",4,500,500)</f>
        <v/>
      </c>
      <c r="C2314" s="30">
        <v>2313.0</v>
      </c>
      <c r="D2314" s="16" t="s">
        <v>2994</v>
      </c>
      <c r="E2314" s="16" t="s">
        <v>184</v>
      </c>
      <c r="F2314" s="16" t="s">
        <v>192</v>
      </c>
      <c r="G2314" s="16" t="s">
        <v>255</v>
      </c>
      <c r="H2314" s="16" t="s">
        <v>329</v>
      </c>
      <c r="I2314" s="16" t="s">
        <v>457</v>
      </c>
    </row>
    <row r="2315" ht="242.25" customHeight="1">
      <c r="B2315" s="32" t="str">
        <f>IMAGE("https://gymvisual.com/20654-catalog_default/inverted-row-female.jpg",4,500,500)</f>
        <v/>
      </c>
      <c r="C2315" s="30">
        <v>2314.0</v>
      </c>
      <c r="D2315" s="16" t="s">
        <v>2995</v>
      </c>
      <c r="E2315" s="16" t="s">
        <v>184</v>
      </c>
      <c r="F2315" s="16" t="s">
        <v>192</v>
      </c>
      <c r="G2315" s="16" t="s">
        <v>255</v>
      </c>
      <c r="H2315" s="16" t="s">
        <v>329</v>
      </c>
      <c r="I2315" s="16" t="s">
        <v>457</v>
      </c>
    </row>
    <row r="2316" ht="242.25" customHeight="1">
      <c r="B2316" s="32" t="str">
        <f>IMAGE("https://gymvisual.com/1505-catalog_default/3-4-sit-up.jpg",4,500,500)</f>
        <v/>
      </c>
      <c r="C2316" s="30">
        <v>2315.0</v>
      </c>
      <c r="D2316" s="16" t="s">
        <v>2996</v>
      </c>
      <c r="E2316" s="16" t="s">
        <v>184</v>
      </c>
      <c r="F2316" s="16" t="s">
        <v>192</v>
      </c>
      <c r="G2316" s="16" t="s">
        <v>255</v>
      </c>
      <c r="H2316" s="16" t="s">
        <v>329</v>
      </c>
      <c r="I2316" s="16" t="s">
        <v>457</v>
      </c>
    </row>
    <row r="2317" ht="242.25" customHeight="1">
      <c r="B2317" s="32" t="str">
        <f>IMAGE("https://gymvisual.com/13727-catalog_default/inverted-row-bent-knee-under-table-female.jpg",4,500,500)</f>
        <v/>
      </c>
      <c r="C2317" s="30">
        <v>2316.0</v>
      </c>
      <c r="D2317" s="16" t="s">
        <v>2997</v>
      </c>
      <c r="E2317" s="16" t="s">
        <v>184</v>
      </c>
      <c r="F2317" s="16" t="s">
        <v>192</v>
      </c>
      <c r="G2317" s="16" t="s">
        <v>255</v>
      </c>
      <c r="H2317" s="16" t="s">
        <v>329</v>
      </c>
      <c r="I2317" s="16" t="s">
        <v>357</v>
      </c>
    </row>
    <row r="2318" ht="242.25" customHeight="1">
      <c r="B2318" s="32" t="str">
        <f>IMAGE("https://gymvisual.com/9766-catalog_default/inverted-row-bent-knees.jpg",4,500,500)</f>
        <v/>
      </c>
      <c r="C2318" s="30">
        <v>2317.0</v>
      </c>
      <c r="D2318" s="16" t="s">
        <v>2998</v>
      </c>
      <c r="E2318" s="16" t="s">
        <v>184</v>
      </c>
      <c r="F2318" s="16" t="s">
        <v>192</v>
      </c>
      <c r="G2318" s="16" t="s">
        <v>255</v>
      </c>
      <c r="H2318" s="16" t="s">
        <v>329</v>
      </c>
      <c r="I2318" s="16" t="s">
        <v>457</v>
      </c>
    </row>
    <row r="2319" ht="242.25" customHeight="1">
      <c r="B2319" s="32" t="str">
        <f>IMAGE("https://gymvisual.com/13739-catalog_default/inverted-row-between-chairs.jpg",4,500,500)</f>
        <v/>
      </c>
      <c r="C2319" s="30">
        <v>2318.0</v>
      </c>
      <c r="D2319" s="16" t="s">
        <v>2999</v>
      </c>
      <c r="E2319" s="16" t="s">
        <v>184</v>
      </c>
      <c r="F2319" s="16" t="s">
        <v>192</v>
      </c>
      <c r="G2319" s="16" t="s">
        <v>255</v>
      </c>
      <c r="H2319" s="16" t="s">
        <v>329</v>
      </c>
      <c r="I2319" s="16" t="s">
        <v>357</v>
      </c>
    </row>
    <row r="2320" ht="242.25" customHeight="1">
      <c r="B2320" s="32" t="str">
        <f>IMAGE("https://gymvisual.com/14050-catalog_default/inverted-row-between-chairs-female.jpg",4,500,500)</f>
        <v/>
      </c>
      <c r="C2320" s="30">
        <v>2319.0</v>
      </c>
      <c r="D2320" s="16" t="s">
        <v>3000</v>
      </c>
      <c r="E2320" s="16" t="s">
        <v>184</v>
      </c>
      <c r="F2320" s="16" t="s">
        <v>192</v>
      </c>
      <c r="G2320" s="16" t="s">
        <v>255</v>
      </c>
      <c r="H2320" s="16" t="s">
        <v>329</v>
      </c>
      <c r="I2320" s="16" t="s">
        <v>357</v>
      </c>
    </row>
    <row r="2321" ht="242.25" customHeight="1">
      <c r="B2321" s="32" t="str">
        <f>IMAGE("https://gymvisual.com/9764-catalog_default/inverted-row-on-bench.jpg",4,500,500)</f>
        <v/>
      </c>
      <c r="C2321" s="30">
        <v>2320.0</v>
      </c>
      <c r="D2321" s="16" t="s">
        <v>3001</v>
      </c>
      <c r="E2321" s="16" t="s">
        <v>184</v>
      </c>
      <c r="F2321" s="16" t="s">
        <v>192</v>
      </c>
      <c r="G2321" s="16" t="s">
        <v>255</v>
      </c>
      <c r="H2321" s="16" t="s">
        <v>329</v>
      </c>
      <c r="I2321" s="16" t="s">
        <v>457</v>
      </c>
    </row>
    <row r="2322" ht="242.25" customHeight="1">
      <c r="B2322" s="32" t="str">
        <f>IMAGE("https://gymvisual.com/22283-catalog_default/inverted-row-slide.jpg",4,500,500)</f>
        <v/>
      </c>
      <c r="C2322" s="30">
        <v>2321.0</v>
      </c>
      <c r="D2322" s="16" t="s">
        <v>3002</v>
      </c>
      <c r="E2322" s="16" t="s">
        <v>184</v>
      </c>
      <c r="F2322" s="16" t="s">
        <v>192</v>
      </c>
      <c r="G2322" s="16" t="s">
        <v>255</v>
      </c>
      <c r="H2322" s="16" t="s">
        <v>220</v>
      </c>
      <c r="I2322" s="16" t="s">
        <v>220</v>
      </c>
    </row>
    <row r="2323" ht="242.25" customHeight="1">
      <c r="B2323" s="32" t="str">
        <f>IMAGE("https://gymvisual.com/22502-catalog_default/inverted-row-slide-on-floor.jpg",4,500,500)</f>
        <v/>
      </c>
      <c r="C2323" s="30">
        <v>2322.0</v>
      </c>
      <c r="D2323" s="16" t="s">
        <v>3003</v>
      </c>
      <c r="E2323" s="16" t="s">
        <v>184</v>
      </c>
      <c r="F2323" s="16" t="s">
        <v>192</v>
      </c>
      <c r="G2323" s="16" t="s">
        <v>255</v>
      </c>
      <c r="H2323" s="16" t="s">
        <v>220</v>
      </c>
      <c r="I2323" s="16" t="s">
        <v>220</v>
      </c>
    </row>
    <row r="2324" ht="242.25" customHeight="1">
      <c r="B2324" s="32" t="str">
        <f>IMAGE("https://gymvisual.com/13725-catalog_default/inverted-row-under-table-female.jpg",4,500,500)</f>
        <v/>
      </c>
      <c r="C2324" s="30">
        <v>2323.0</v>
      </c>
      <c r="D2324" s="16" t="s">
        <v>3004</v>
      </c>
      <c r="E2324" s="16" t="s">
        <v>184</v>
      </c>
      <c r="F2324" s="16" t="s">
        <v>192</v>
      </c>
      <c r="G2324" s="16" t="s">
        <v>255</v>
      </c>
      <c r="H2324" s="16" t="s">
        <v>329</v>
      </c>
      <c r="I2324" s="16" t="s">
        <v>357</v>
      </c>
    </row>
    <row r="2325" ht="242.25" customHeight="1">
      <c r="B2325" s="32" t="str">
        <f>IMAGE("https://gymvisual.com/16540-catalog_default/inverted-row-with-bed-sheet.jpg",4,500,500)</f>
        <v/>
      </c>
      <c r="C2325" s="30">
        <v>2324.0</v>
      </c>
      <c r="D2325" s="16" t="s">
        <v>3005</v>
      </c>
      <c r="E2325" s="16" t="s">
        <v>184</v>
      </c>
      <c r="F2325" s="16" t="s">
        <v>192</v>
      </c>
      <c r="G2325" s="16" t="s">
        <v>255</v>
      </c>
      <c r="H2325" s="16" t="s">
        <v>329</v>
      </c>
      <c r="I2325" s="16" t="s">
        <v>447</v>
      </c>
    </row>
    <row r="2326" ht="242.25" customHeight="1">
      <c r="B2326" s="32" t="str">
        <f>IMAGE("https://gymvisual.com/13986-catalog_default/inverted-row-with-bent-knee-between-chairs.jpg",4,500,500)</f>
        <v/>
      </c>
      <c r="C2326" s="30">
        <v>2325.0</v>
      </c>
      <c r="D2326" s="16" t="s">
        <v>3006</v>
      </c>
      <c r="E2326" s="16" t="s">
        <v>184</v>
      </c>
      <c r="F2326" s="16" t="s">
        <v>192</v>
      </c>
      <c r="G2326" s="16" t="s">
        <v>255</v>
      </c>
      <c r="H2326" s="16" t="s">
        <v>329</v>
      </c>
      <c r="I2326" s="16" t="s">
        <v>357</v>
      </c>
    </row>
    <row r="2327" ht="242.25" customHeight="1">
      <c r="B2327" s="32" t="str">
        <f>IMAGE("https://gymvisual.com/1508-catalog_default/3-4-sit-up.jpg",4,500,500)</f>
        <v/>
      </c>
      <c r="C2327" s="30">
        <v>2326.0</v>
      </c>
      <c r="D2327" s="16" t="s">
        <v>3007</v>
      </c>
      <c r="E2327" s="16" t="s">
        <v>184</v>
      </c>
      <c r="F2327" s="16" t="s">
        <v>192</v>
      </c>
      <c r="G2327" s="16" t="s">
        <v>255</v>
      </c>
      <c r="H2327" s="16" t="s">
        <v>329</v>
      </c>
      <c r="I2327" s="16" t="s">
        <v>447</v>
      </c>
    </row>
    <row r="2328" ht="242.25" customHeight="1">
      <c r="B2328" s="32" t="str">
        <f>IMAGE("https://gymvisual.com/17138-catalog_default/inverted-row-with-straps-female.jpg",4,500,500)</f>
        <v/>
      </c>
      <c r="C2328" s="30">
        <v>2327.0</v>
      </c>
      <c r="D2328" s="16" t="s">
        <v>3008</v>
      </c>
      <c r="E2328" s="16" t="s">
        <v>184</v>
      </c>
      <c r="F2328" s="16" t="s">
        <v>192</v>
      </c>
      <c r="G2328" s="16" t="s">
        <v>3009</v>
      </c>
      <c r="H2328" s="16" t="s">
        <v>329</v>
      </c>
      <c r="I2328" s="16" t="s">
        <v>447</v>
      </c>
    </row>
    <row r="2329" ht="242.25" customHeight="1">
      <c r="B2329" s="32" t="str">
        <f>IMAGE("https://gymvisual.com/17831-catalog_default/inverted-shrug.jpg",4,500,500)</f>
        <v/>
      </c>
      <c r="C2329" s="30">
        <v>2328.0</v>
      </c>
      <c r="D2329" s="16" t="s">
        <v>3010</v>
      </c>
      <c r="E2329" s="16" t="s">
        <v>184</v>
      </c>
      <c r="F2329" s="16" t="s">
        <v>192</v>
      </c>
      <c r="G2329" s="16" t="s">
        <v>255</v>
      </c>
      <c r="H2329" s="16" t="s">
        <v>220</v>
      </c>
      <c r="I2329" s="16" t="s">
        <v>220</v>
      </c>
    </row>
    <row r="2330" ht="242.25" customHeight="1">
      <c r="B2330" s="32" t="str">
        <f>IMAGE("https://gymvisual.com/17819-catalog_default/inverted-shrug-on-parallel-bars.jpg",4,500,500)</f>
        <v/>
      </c>
      <c r="C2330" s="30">
        <v>2329.0</v>
      </c>
      <c r="D2330" s="16" t="s">
        <v>3011</v>
      </c>
      <c r="E2330" s="16" t="s">
        <v>184</v>
      </c>
      <c r="F2330" s="16" t="s">
        <v>192</v>
      </c>
      <c r="G2330" s="16" t="s">
        <v>255</v>
      </c>
      <c r="H2330" s="16" t="s">
        <v>220</v>
      </c>
      <c r="I2330" s="16" t="s">
        <v>220</v>
      </c>
    </row>
    <row r="2331" ht="242.25" customHeight="1">
      <c r="B2331" s="32" t="str">
        <f>IMAGE("https://gymvisual.com/14088-catalog_default/inverted-underhand-grip-row-between-chairs.jpg",4,500,500)</f>
        <v/>
      </c>
      <c r="C2331" s="30">
        <v>2330.0</v>
      </c>
      <c r="D2331" s="16" t="s">
        <v>3012</v>
      </c>
      <c r="E2331" s="16" t="s">
        <v>184</v>
      </c>
      <c r="F2331" s="16" t="s">
        <v>192</v>
      </c>
      <c r="G2331" s="16" t="s">
        <v>255</v>
      </c>
      <c r="H2331" s="16" t="s">
        <v>329</v>
      </c>
      <c r="I2331" s="16" t="s">
        <v>357</v>
      </c>
    </row>
    <row r="2332" ht="242.25" customHeight="1">
      <c r="B2332" s="32" t="str">
        <f>IMAGE("https://gymvisual.com/20704-catalog_default/inverted-wide-row.jpg",4,500,500)</f>
        <v/>
      </c>
      <c r="C2332" s="30">
        <v>2331.0</v>
      </c>
      <c r="D2332" s="16" t="s">
        <v>3013</v>
      </c>
      <c r="E2332" s="16" t="s">
        <v>184</v>
      </c>
      <c r="F2332" s="16" t="s">
        <v>192</v>
      </c>
      <c r="G2332" s="16" t="s">
        <v>255</v>
      </c>
      <c r="H2332" s="16" t="s">
        <v>3014</v>
      </c>
      <c r="I2332" s="16" t="s">
        <v>447</v>
      </c>
    </row>
    <row r="2333" ht="242.25" customHeight="1">
      <c r="B2333" s="32" t="str">
        <f>IMAGE("https://gymvisual.com/22468-catalog_default/inverted-wide-to-narrow-row.jpg",4,500,500)</f>
        <v/>
      </c>
      <c r="C2333" s="30">
        <v>2332.0</v>
      </c>
      <c r="D2333" s="16" t="s">
        <v>3015</v>
      </c>
      <c r="E2333" s="16" t="s">
        <v>184</v>
      </c>
      <c r="F2333" s="16" t="s">
        <v>192</v>
      </c>
      <c r="G2333" s="16" t="s">
        <v>255</v>
      </c>
      <c r="H2333" s="16" t="s">
        <v>220</v>
      </c>
      <c r="I2333" s="16" t="s">
        <v>220</v>
      </c>
    </row>
    <row r="2334" ht="242.25" customHeight="1">
      <c r="B2334" s="32" t="str">
        <f>IMAGE("https://gymvisual.com/4505-catalog_default/iron-cross-plank.jpg",4,500,500)</f>
        <v/>
      </c>
      <c r="C2334" s="30">
        <v>2333.0</v>
      </c>
      <c r="D2334" s="16" t="s">
        <v>3016</v>
      </c>
      <c r="E2334" s="16" t="s">
        <v>184</v>
      </c>
      <c r="F2334" s="16" t="s">
        <v>192</v>
      </c>
      <c r="G2334" s="16" t="s">
        <v>255</v>
      </c>
      <c r="H2334" s="16" t="s">
        <v>3017</v>
      </c>
      <c r="I2334" s="16" t="s">
        <v>220</v>
      </c>
    </row>
    <row r="2335" ht="242.25" customHeight="1">
      <c r="B2335" s="32" t="str">
        <f>IMAGE("https://gymvisual.com/5986-catalog_default/isometric-chest-squeeze.jpg",4,500,500)</f>
        <v/>
      </c>
      <c r="C2335" s="30">
        <v>2334.0</v>
      </c>
      <c r="D2335" s="16" t="s">
        <v>3018</v>
      </c>
      <c r="E2335" s="16" t="s">
        <v>184</v>
      </c>
      <c r="F2335" s="16" t="s">
        <v>234</v>
      </c>
      <c r="G2335" s="16" t="s">
        <v>255</v>
      </c>
      <c r="H2335" s="16" t="s">
        <v>347</v>
      </c>
      <c r="I2335" s="16" t="s">
        <v>382</v>
      </c>
    </row>
    <row r="2336" ht="242.25" customHeight="1">
      <c r="B2336" s="32" t="str">
        <f>IMAGE("https://gymvisual.com/1514-catalog_default/3-4-sit-up.jpg",4,500,500)</f>
        <v/>
      </c>
      <c r="C2336" s="30">
        <v>2335.0</v>
      </c>
      <c r="D2336" s="16" t="s">
        <v>3019</v>
      </c>
      <c r="E2336" s="16" t="s">
        <v>184</v>
      </c>
      <c r="F2336" s="16" t="s">
        <v>234</v>
      </c>
      <c r="G2336" s="16" t="s">
        <v>255</v>
      </c>
      <c r="H2336" s="16" t="s">
        <v>347</v>
      </c>
      <c r="I2336" s="16" t="s">
        <v>3020</v>
      </c>
    </row>
    <row r="2337" ht="242.25" customHeight="1">
      <c r="B2337" s="32" t="str">
        <f>IMAGE("https://gymvisual.com/1519-catalog_default/3-4-sit-up.jpg",4,500,500)</f>
        <v/>
      </c>
      <c r="C2337" s="30">
        <v>2336.0</v>
      </c>
      <c r="D2337" s="16" t="s">
        <v>3021</v>
      </c>
      <c r="E2337" s="16" t="s">
        <v>184</v>
      </c>
      <c r="F2337" s="16" t="s">
        <v>254</v>
      </c>
      <c r="G2337" s="16" t="s">
        <v>255</v>
      </c>
      <c r="H2337" s="16" t="s">
        <v>256</v>
      </c>
      <c r="I2337" s="16" t="s">
        <v>1308</v>
      </c>
    </row>
    <row r="2338" ht="242.25" customHeight="1">
      <c r="B2338" s="32" t="str">
        <f>IMAGE("https://gymvisual.com/1522-catalog_default/3-4-sit-up.jpg",4,500,500)</f>
        <v/>
      </c>
      <c r="C2338" s="30">
        <v>2337.0</v>
      </c>
      <c r="D2338" s="16" t="s">
        <v>3022</v>
      </c>
      <c r="E2338" s="16" t="s">
        <v>184</v>
      </c>
      <c r="F2338" s="16" t="s">
        <v>254</v>
      </c>
      <c r="G2338" s="16" t="s">
        <v>399</v>
      </c>
      <c r="H2338" s="16" t="s">
        <v>256</v>
      </c>
      <c r="I2338" s="16" t="s">
        <v>1308</v>
      </c>
    </row>
    <row r="2339" ht="242.25" customHeight="1">
      <c r="B2339" s="32" t="str">
        <f>IMAGE("https://gymvisual.com/17767-catalog_default/jack-knife-sit-up-female.jpg",4,500,500)</f>
        <v/>
      </c>
      <c r="C2339" s="30">
        <v>2338.0</v>
      </c>
      <c r="D2339" s="16" t="s">
        <v>3023</v>
      </c>
      <c r="E2339" s="16" t="s">
        <v>184</v>
      </c>
      <c r="F2339" s="16" t="s">
        <v>254</v>
      </c>
      <c r="G2339" s="16" t="s">
        <v>255</v>
      </c>
      <c r="H2339" s="16" t="s">
        <v>220</v>
      </c>
      <c r="I2339" s="16" t="s">
        <v>220</v>
      </c>
    </row>
    <row r="2340" ht="242.25" customHeight="1">
      <c r="B2340" s="32" t="str">
        <f>IMAGE("https://gymvisual.com/6423-catalog_default/jack-plank.jpg",4,500,500)</f>
        <v/>
      </c>
      <c r="C2340" s="30">
        <v>2339.0</v>
      </c>
      <c r="D2340" s="16" t="s">
        <v>3024</v>
      </c>
      <c r="E2340" s="16" t="s">
        <v>184</v>
      </c>
      <c r="F2340" s="16" t="s">
        <v>254</v>
      </c>
      <c r="G2340" s="16" t="s">
        <v>255</v>
      </c>
      <c r="H2340" s="16" t="s">
        <v>1213</v>
      </c>
      <c r="I2340" s="16" t="s">
        <v>3025</v>
      </c>
    </row>
    <row r="2341" ht="242.25" customHeight="1">
      <c r="B2341" s="32" t="str">
        <f>IMAGE("https://gymvisual.com/11251-catalog_default/jack-plank-on-medicine-ball-female.jpg",4,500,500)</f>
        <v/>
      </c>
      <c r="C2341" s="30">
        <v>2340.0</v>
      </c>
      <c r="D2341" s="16" t="s">
        <v>3026</v>
      </c>
      <c r="E2341" s="16" t="s">
        <v>184</v>
      </c>
      <c r="F2341" s="16" t="s">
        <v>254</v>
      </c>
      <c r="G2341" s="16" t="s">
        <v>373</v>
      </c>
      <c r="H2341" s="16" t="s">
        <v>220</v>
      </c>
      <c r="I2341" s="16" t="s">
        <v>220</v>
      </c>
    </row>
    <row r="2342" ht="242.25" customHeight="1">
      <c r="B2342" s="32" t="str">
        <f>IMAGE("https://gymvisual.com/1528-catalog_default/3-4-sit-up.jpg",4,500,500)</f>
        <v/>
      </c>
      <c r="C2342" s="30">
        <v>2341.0</v>
      </c>
      <c r="D2342" s="16" t="s">
        <v>3027</v>
      </c>
      <c r="E2342" s="16" t="s">
        <v>184</v>
      </c>
      <c r="F2342" s="16" t="s">
        <v>254</v>
      </c>
      <c r="G2342" s="16" t="s">
        <v>255</v>
      </c>
      <c r="H2342" s="16" t="s">
        <v>305</v>
      </c>
      <c r="I2342" s="16" t="s">
        <v>3028</v>
      </c>
    </row>
    <row r="2343" ht="242.25" customHeight="1">
      <c r="B2343" s="32" t="str">
        <f>IMAGE("https://gymvisual.com/23609-catalog_default/jack-step-male.jpg",4,500,500)</f>
        <v/>
      </c>
      <c r="C2343" s="30">
        <v>2342.0</v>
      </c>
      <c r="D2343" s="16" t="s">
        <v>3029</v>
      </c>
      <c r="E2343" s="16" t="s">
        <v>184</v>
      </c>
      <c r="F2343" s="16" t="s">
        <v>321</v>
      </c>
      <c r="G2343" s="16" t="s">
        <v>255</v>
      </c>
      <c r="H2343" s="16" t="s">
        <v>220</v>
      </c>
      <c r="I2343" s="16" t="s">
        <v>220</v>
      </c>
    </row>
    <row r="2344" ht="242.25" customHeight="1">
      <c r="B2344" s="32" t="str">
        <f>IMAGE("https://gymvisual.com/1534-catalog_default/3-4-sit-up.jpg",4,500,500)</f>
        <v/>
      </c>
      <c r="C2344" s="30">
        <v>2343.0</v>
      </c>
      <c r="D2344" s="16" t="s">
        <v>3030</v>
      </c>
      <c r="E2344" s="16" t="s">
        <v>184</v>
      </c>
      <c r="F2344" s="16" t="s">
        <v>254</v>
      </c>
      <c r="G2344" s="16" t="s">
        <v>255</v>
      </c>
      <c r="H2344" s="16" t="s">
        <v>305</v>
      </c>
      <c r="I2344" s="16" t="s">
        <v>317</v>
      </c>
    </row>
    <row r="2345" ht="242.25" customHeight="1">
      <c r="B2345" s="32" t="str">
        <f>IMAGE("https://gymvisual.com/13455-catalog_default/janda-sit-up-female.jpg",4,500,500)</f>
        <v/>
      </c>
      <c r="C2345" s="30">
        <v>2344.0</v>
      </c>
      <c r="D2345" s="16" t="s">
        <v>3031</v>
      </c>
      <c r="E2345" s="16" t="s">
        <v>184</v>
      </c>
      <c r="F2345" s="16" t="s">
        <v>254</v>
      </c>
      <c r="G2345" s="16" t="s">
        <v>255</v>
      </c>
      <c r="H2345" s="16" t="s">
        <v>256</v>
      </c>
      <c r="I2345" s="16" t="s">
        <v>257</v>
      </c>
    </row>
    <row r="2346" ht="242.25" customHeight="1">
      <c r="B2346" s="32" t="str">
        <f>IMAGE("https://gymvisual.com/1537-catalog_default/3-4-sit-up.jpg",4,500,500)</f>
        <v/>
      </c>
      <c r="C2346" s="30">
        <v>2345.0</v>
      </c>
      <c r="D2346" s="16" t="s">
        <v>3032</v>
      </c>
      <c r="E2346" s="16" t="s">
        <v>184</v>
      </c>
      <c r="F2346" s="16" t="s">
        <v>254</v>
      </c>
      <c r="G2346" s="16" t="s">
        <v>255</v>
      </c>
      <c r="H2346" s="16" t="s">
        <v>256</v>
      </c>
      <c r="I2346" s="16" t="s">
        <v>257</v>
      </c>
    </row>
    <row r="2347" ht="242.25" customHeight="1">
      <c r="B2347" s="32" t="str">
        <f>IMAGE("https://gymvisual.com/1564-catalog_default/3-4-sit-up.jpg",4,500,500)</f>
        <v/>
      </c>
      <c r="C2347" s="30">
        <v>2346.0</v>
      </c>
      <c r="D2347" s="16" t="s">
        <v>3033</v>
      </c>
      <c r="E2347" s="16" t="s">
        <v>184</v>
      </c>
      <c r="F2347" s="16" t="s">
        <v>254</v>
      </c>
      <c r="G2347" s="16" t="s">
        <v>3034</v>
      </c>
      <c r="H2347" s="16" t="s">
        <v>424</v>
      </c>
      <c r="I2347" s="16" t="s">
        <v>220</v>
      </c>
    </row>
    <row r="2348" ht="242.25" customHeight="1">
      <c r="B2348" s="32" t="str">
        <f>IMAGE("https://gymvisual.com/1567-catalog_default/3-4-sit-up.jpg",4,500,500)</f>
        <v/>
      </c>
      <c r="C2348" s="30">
        <v>2347.0</v>
      </c>
      <c r="D2348" s="16" t="s">
        <v>3035</v>
      </c>
      <c r="E2348" s="16" t="s">
        <v>184</v>
      </c>
      <c r="F2348" s="16" t="s">
        <v>214</v>
      </c>
      <c r="G2348" s="16" t="s">
        <v>3034</v>
      </c>
      <c r="H2348" s="16" t="s">
        <v>3036</v>
      </c>
      <c r="I2348" s="16" t="s">
        <v>882</v>
      </c>
    </row>
    <row r="2349" ht="242.25" customHeight="1">
      <c r="B2349" s="32" t="str">
        <f>IMAGE("https://gymvisual.com/1573-catalog_default/3-4-sit-up.jpg",4,500,500)</f>
        <v/>
      </c>
      <c r="C2349" s="30">
        <v>2348.0</v>
      </c>
      <c r="D2349" s="16" t="s">
        <v>3037</v>
      </c>
      <c r="E2349" s="16" t="s">
        <v>184</v>
      </c>
      <c r="F2349" s="16" t="s">
        <v>228</v>
      </c>
      <c r="G2349" s="16" t="s">
        <v>3034</v>
      </c>
      <c r="H2349" s="16" t="s">
        <v>229</v>
      </c>
      <c r="I2349" s="16" t="s">
        <v>230</v>
      </c>
    </row>
    <row r="2350" ht="242.25" customHeight="1">
      <c r="B2350" s="32" t="str">
        <f>IMAGE("https://gymvisual.com/1570-catalog_default/3-4-sit-up.jpg",4,500,500)</f>
        <v/>
      </c>
      <c r="C2350" s="30">
        <v>2349.0</v>
      </c>
      <c r="D2350" s="16" t="s">
        <v>3038</v>
      </c>
      <c r="E2350" s="16" t="s">
        <v>184</v>
      </c>
      <c r="F2350" s="16" t="s">
        <v>234</v>
      </c>
      <c r="G2350" s="16" t="s">
        <v>3034</v>
      </c>
      <c r="H2350" s="16" t="s">
        <v>235</v>
      </c>
      <c r="I2350" s="16" t="s">
        <v>243</v>
      </c>
    </row>
    <row r="2351" ht="242.25" customHeight="1">
      <c r="B2351" s="32" t="str">
        <f>IMAGE("https://gymvisual.com/18923-catalog_default/kettlebell-alternating-press-on-floor-female.jpg",4,500,500)</f>
        <v/>
      </c>
      <c r="C2351" s="30">
        <v>2350.0</v>
      </c>
      <c r="D2351" s="16" t="s">
        <v>3039</v>
      </c>
      <c r="E2351" s="16" t="s">
        <v>184</v>
      </c>
      <c r="F2351" s="16" t="s">
        <v>234</v>
      </c>
      <c r="G2351" s="16" t="s">
        <v>3034</v>
      </c>
      <c r="H2351" s="16" t="s">
        <v>220</v>
      </c>
      <c r="I2351" s="16" t="s">
        <v>220</v>
      </c>
    </row>
    <row r="2352" ht="242.25" customHeight="1">
      <c r="B2352" s="32" t="str">
        <f>IMAGE("https://gymvisual.com/1576-catalog_default/3-4-sit-up.jpg",4,500,500)</f>
        <v/>
      </c>
      <c r="C2352" s="30">
        <v>2351.0</v>
      </c>
      <c r="D2352" s="16" t="s">
        <v>3040</v>
      </c>
      <c r="E2352" s="16" t="s">
        <v>184</v>
      </c>
      <c r="F2352" s="16" t="s">
        <v>192</v>
      </c>
      <c r="G2352" s="16" t="s">
        <v>3034</v>
      </c>
      <c r="H2352" s="16" t="s">
        <v>3041</v>
      </c>
      <c r="I2352" s="16" t="s">
        <v>457</v>
      </c>
    </row>
    <row r="2353" ht="242.25" customHeight="1">
      <c r="B2353" s="32" t="str">
        <f>IMAGE("https://gymvisual.com/11158-catalog_default/kettlebell-alternating-renegade-row-female.jpg",4,500,500)</f>
        <v/>
      </c>
      <c r="C2353" s="30">
        <v>2352.0</v>
      </c>
      <c r="D2353" s="16" t="s">
        <v>3042</v>
      </c>
      <c r="E2353" s="16" t="s">
        <v>184</v>
      </c>
      <c r="F2353" s="16" t="s">
        <v>192</v>
      </c>
      <c r="G2353" s="16" t="s">
        <v>3034</v>
      </c>
      <c r="H2353" s="16" t="s">
        <v>220</v>
      </c>
      <c r="I2353" s="16" t="s">
        <v>220</v>
      </c>
    </row>
    <row r="2354" ht="242.25" customHeight="1">
      <c r="B2354" s="32" t="str">
        <f>IMAGE("https://gymvisual.com/18917-catalog_default/3-4-sit-up.jpg",4,500,500)</f>
        <v/>
      </c>
      <c r="C2354" s="30">
        <v>2353.0</v>
      </c>
      <c r="D2354" s="16" t="s">
        <v>3043</v>
      </c>
      <c r="E2354" s="16" t="s">
        <v>184</v>
      </c>
      <c r="F2354" s="16" t="s">
        <v>192</v>
      </c>
      <c r="G2354" s="16" t="s">
        <v>3034</v>
      </c>
      <c r="H2354" s="16" t="s">
        <v>3044</v>
      </c>
      <c r="I2354" s="16" t="s">
        <v>457</v>
      </c>
    </row>
    <row r="2355" ht="242.25" customHeight="1">
      <c r="B2355" s="32" t="str">
        <f>IMAGE("https://gymvisual.com/12207-catalog_default/kettlebell-angled-press.jpg",4,500,500)</f>
        <v/>
      </c>
      <c r="C2355" s="30">
        <v>2354.0</v>
      </c>
      <c r="D2355" s="16" t="s">
        <v>3045</v>
      </c>
      <c r="E2355" s="16" t="s">
        <v>184</v>
      </c>
      <c r="F2355" s="16" t="s">
        <v>192</v>
      </c>
      <c r="G2355" s="16" t="s">
        <v>3034</v>
      </c>
      <c r="H2355" s="16" t="s">
        <v>2135</v>
      </c>
      <c r="I2355" s="16" t="s">
        <v>2112</v>
      </c>
    </row>
    <row r="2356" ht="242.25" customHeight="1">
      <c r="B2356" s="32" t="str">
        <f>IMAGE("https://gymvisual.com/1582-catalog_default/3-4-sit-up.jpg",4,500,500)</f>
        <v/>
      </c>
      <c r="C2356" s="30">
        <v>2355.0</v>
      </c>
      <c r="D2356" s="16" t="s">
        <v>3046</v>
      </c>
      <c r="E2356" s="16" t="s">
        <v>184</v>
      </c>
      <c r="F2356" s="16" t="s">
        <v>228</v>
      </c>
      <c r="G2356" s="16" t="s">
        <v>3034</v>
      </c>
      <c r="H2356" s="16" t="s">
        <v>229</v>
      </c>
      <c r="I2356" s="16" t="s">
        <v>230</v>
      </c>
    </row>
    <row r="2357" ht="242.25" customHeight="1">
      <c r="B2357" s="32" t="str">
        <f>IMAGE("https://gymvisual.com/12204-catalog_default/kettlebell-around-head-rotation.jpg",4,500,500)</f>
        <v/>
      </c>
      <c r="C2357" s="30">
        <v>2356.0</v>
      </c>
      <c r="D2357" s="16" t="s">
        <v>3047</v>
      </c>
      <c r="E2357" s="16" t="s">
        <v>184</v>
      </c>
      <c r="F2357" s="16" t="s">
        <v>228</v>
      </c>
      <c r="G2357" s="16" t="s">
        <v>3034</v>
      </c>
      <c r="H2357" s="16" t="s">
        <v>333</v>
      </c>
      <c r="I2357" s="16" t="s">
        <v>3048</v>
      </c>
    </row>
    <row r="2358" ht="242.25" customHeight="1">
      <c r="B2358" s="32" t="str">
        <f>IMAGE("https://gymvisual.com/19509-catalog_default/kettlebell-assisted-bulgarian-split-squat.jpg",4,500,500)</f>
        <v/>
      </c>
      <c r="C2358" s="30">
        <v>2357.0</v>
      </c>
      <c r="D2358" s="16" t="s">
        <v>3049</v>
      </c>
      <c r="E2358" s="16" t="s">
        <v>184</v>
      </c>
      <c r="F2358" s="16" t="s">
        <v>285</v>
      </c>
      <c r="G2358" s="16" t="s">
        <v>3034</v>
      </c>
      <c r="H2358" s="16" t="s">
        <v>220</v>
      </c>
      <c r="I2358" s="16" t="s">
        <v>220</v>
      </c>
    </row>
    <row r="2359" ht="242.25" customHeight="1">
      <c r="B2359" s="32" t="str">
        <f>IMAGE("https://gymvisual.com/14209-catalog_default/kettlebell-backward-lunge.jpg",4,500,500)</f>
        <v/>
      </c>
      <c r="C2359" s="30">
        <v>2358.0</v>
      </c>
      <c r="D2359" s="16" t="s">
        <v>3050</v>
      </c>
      <c r="E2359" s="16" t="s">
        <v>184</v>
      </c>
      <c r="F2359" s="16" t="s">
        <v>294</v>
      </c>
      <c r="G2359" s="16" t="s">
        <v>3034</v>
      </c>
      <c r="H2359" s="16" t="s">
        <v>189</v>
      </c>
      <c r="I2359" s="16" t="s">
        <v>190</v>
      </c>
    </row>
    <row r="2360" ht="242.25" customHeight="1">
      <c r="B2360" s="32" t="str">
        <f>IMAGE("https://gymvisual.com/17977-catalog_default/kettlebell-banded-swing.jpg",4,500,500)</f>
        <v/>
      </c>
      <c r="C2360" s="30">
        <v>2359.0</v>
      </c>
      <c r="D2360" s="16" t="s">
        <v>3051</v>
      </c>
      <c r="E2360" s="16" t="s">
        <v>184</v>
      </c>
      <c r="F2360" s="16" t="s">
        <v>185</v>
      </c>
      <c r="G2360" s="16" t="s">
        <v>3034</v>
      </c>
      <c r="H2360" s="16" t="s">
        <v>220</v>
      </c>
      <c r="I2360" s="16" t="s">
        <v>220</v>
      </c>
    </row>
    <row r="2361" ht="242.25" customHeight="1">
      <c r="B2361" s="32" t="str">
        <f>IMAGE("https://gymvisual.com/19563-catalog_default/kettlebell-bent-arm-pullover-with-knees-bent-female.jpg",4,500,500)</f>
        <v/>
      </c>
      <c r="C2361" s="30">
        <v>2360.0</v>
      </c>
      <c r="D2361" s="16" t="s">
        <v>3052</v>
      </c>
      <c r="E2361" s="16" t="s">
        <v>184</v>
      </c>
      <c r="F2361" s="16" t="s">
        <v>192</v>
      </c>
      <c r="G2361" s="16" t="s">
        <v>3034</v>
      </c>
      <c r="H2361" s="16" t="s">
        <v>220</v>
      </c>
      <c r="I2361" s="16" t="s">
        <v>220</v>
      </c>
    </row>
    <row r="2362" ht="242.25" customHeight="1">
      <c r="B2362" s="32" t="str">
        <f>IMAGE("https://gymvisual.com/26108-catalog_default/kettlebell-bent-over-alternate-twist-row.jpg",4,500,500)</f>
        <v/>
      </c>
      <c r="C2362" s="30">
        <v>2361.0</v>
      </c>
      <c r="D2362" s="16" t="s">
        <v>3053</v>
      </c>
      <c r="E2362" s="16" t="s">
        <v>184</v>
      </c>
      <c r="F2362" s="16" t="s">
        <v>192</v>
      </c>
      <c r="G2362" s="16" t="s">
        <v>3034</v>
      </c>
      <c r="H2362" s="16" t="s">
        <v>220</v>
      </c>
      <c r="I2362" s="16" t="s">
        <v>220</v>
      </c>
    </row>
    <row r="2363" ht="242.25" customHeight="1">
      <c r="B2363" s="32" t="str">
        <f>IMAGE("https://gymvisual.com/1585-catalog_default/3-4-sit-up.jpg",4,500,500)</f>
        <v/>
      </c>
      <c r="C2363" s="30">
        <v>2362.0</v>
      </c>
      <c r="D2363" s="16" t="s">
        <v>3054</v>
      </c>
      <c r="E2363" s="16" t="s">
        <v>184</v>
      </c>
      <c r="F2363" s="16" t="s">
        <v>254</v>
      </c>
      <c r="G2363" s="16" t="s">
        <v>3034</v>
      </c>
      <c r="H2363" s="16" t="s">
        <v>741</v>
      </c>
      <c r="I2363" s="16" t="s">
        <v>3055</v>
      </c>
    </row>
    <row r="2364" ht="242.25" customHeight="1">
      <c r="B2364" s="32" t="str">
        <f>IMAGE("https://gymvisual.com/11492-catalog_default/kettlebell-bent-press-female.jpg",4,500,500)</f>
        <v/>
      </c>
      <c r="C2364" s="30">
        <v>2363.0</v>
      </c>
      <c r="D2364" s="16" t="s">
        <v>3056</v>
      </c>
      <c r="E2364" s="16" t="s">
        <v>184</v>
      </c>
      <c r="F2364" s="16" t="s">
        <v>254</v>
      </c>
      <c r="G2364" s="16" t="s">
        <v>3034</v>
      </c>
      <c r="H2364" s="16" t="s">
        <v>741</v>
      </c>
      <c r="I2364" s="16" t="s">
        <v>3057</v>
      </c>
    </row>
    <row r="2365" ht="242.25" customHeight="1">
      <c r="B2365" s="32" t="str">
        <f>IMAGE("https://gymvisual.com/19561-catalog_default/kettlebell-bent-over-row-female.jpg",4,500,500)</f>
        <v/>
      </c>
      <c r="C2365" s="30">
        <v>2364.0</v>
      </c>
      <c r="D2365" s="16" t="s">
        <v>3058</v>
      </c>
      <c r="E2365" s="16" t="s">
        <v>184</v>
      </c>
      <c r="F2365" s="16" t="s">
        <v>192</v>
      </c>
      <c r="G2365" s="16" t="s">
        <v>3034</v>
      </c>
      <c r="H2365" s="16" t="s">
        <v>220</v>
      </c>
      <c r="I2365" s="16" t="s">
        <v>220</v>
      </c>
    </row>
    <row r="2366" ht="242.25" customHeight="1">
      <c r="B2366" s="32" t="str">
        <f>IMAGE("https://gymvisual.com/26088-catalog_default/kettlebell-biceps-curl.jpg",4,500,500)</f>
        <v/>
      </c>
      <c r="C2366" s="30">
        <v>2365.0</v>
      </c>
      <c r="D2366" s="16" t="s">
        <v>3059</v>
      </c>
      <c r="E2366" s="16" t="s">
        <v>184</v>
      </c>
      <c r="F2366" s="16" t="s">
        <v>219</v>
      </c>
      <c r="G2366" s="16" t="s">
        <v>3034</v>
      </c>
      <c r="H2366" s="16" t="s">
        <v>220</v>
      </c>
      <c r="I2366" s="16" t="s">
        <v>220</v>
      </c>
    </row>
    <row r="2367" ht="242.25" customHeight="1">
      <c r="B2367" s="32" t="str">
        <f>IMAGE("https://gymvisual.com/16410-catalog_default/kettlebell-bottom-up-one-arm-bench-press.jpg",4,500,500)</f>
        <v/>
      </c>
      <c r="C2367" s="30">
        <v>2366.0</v>
      </c>
      <c r="D2367" s="16" t="s">
        <v>3060</v>
      </c>
      <c r="E2367" s="16" t="s">
        <v>184</v>
      </c>
      <c r="F2367" s="16" t="s">
        <v>234</v>
      </c>
      <c r="G2367" s="16" t="s">
        <v>3034</v>
      </c>
      <c r="H2367" s="16" t="s">
        <v>235</v>
      </c>
      <c r="I2367" s="16" t="s">
        <v>243</v>
      </c>
    </row>
    <row r="2368" ht="242.25" customHeight="1">
      <c r="B2368" s="32" t="str">
        <f>IMAGE("https://gymvisual.com/1588-catalog_default/3-4-sit-up.jpg",4,500,500)</f>
        <v/>
      </c>
      <c r="C2368" s="30">
        <v>2367.0</v>
      </c>
      <c r="D2368" s="16" t="s">
        <v>3061</v>
      </c>
      <c r="E2368" s="16" t="s">
        <v>184</v>
      </c>
      <c r="F2368" s="16" t="s">
        <v>214</v>
      </c>
      <c r="G2368" s="16" t="s">
        <v>3034</v>
      </c>
      <c r="H2368" s="16" t="s">
        <v>292</v>
      </c>
      <c r="I2368" s="16" t="s">
        <v>236</v>
      </c>
    </row>
    <row r="2369" ht="242.25" customHeight="1">
      <c r="B2369" s="32" t="str">
        <f>IMAGE("https://gymvisual.com/18093-catalog_default/kettlebell-bottoms-up-to-knee-turkish-get-up.jpg",4,500,500)</f>
        <v/>
      </c>
      <c r="C2369" s="30">
        <v>2368.0</v>
      </c>
      <c r="D2369" s="16" t="s">
        <v>3062</v>
      </c>
      <c r="E2369" s="16" t="s">
        <v>184</v>
      </c>
      <c r="F2369" s="16" t="s">
        <v>285</v>
      </c>
      <c r="G2369" s="16" t="s">
        <v>3034</v>
      </c>
      <c r="H2369" s="16" t="s">
        <v>220</v>
      </c>
      <c r="I2369" s="16" t="s">
        <v>220</v>
      </c>
    </row>
    <row r="2370" ht="242.25" customHeight="1">
      <c r="B2370" s="32" t="str">
        <f>IMAGE("https://gymvisual.com/23693-catalog_default/kettlebell-box-squat.jpg",4,500,500)</f>
        <v/>
      </c>
      <c r="C2370" s="30">
        <v>2369.0</v>
      </c>
      <c r="D2370" s="16" t="s">
        <v>3063</v>
      </c>
      <c r="E2370" s="16" t="s">
        <v>184</v>
      </c>
      <c r="F2370" s="16" t="s">
        <v>185</v>
      </c>
      <c r="G2370" s="16" t="s">
        <v>3034</v>
      </c>
      <c r="H2370" s="16" t="s">
        <v>189</v>
      </c>
      <c r="I2370" s="16" t="s">
        <v>190</v>
      </c>
    </row>
    <row r="2371" ht="242.25" customHeight="1">
      <c r="B2371" s="32" t="str">
        <f>IMAGE("https://gymvisual.com/26112-catalog_default/kettlebell-calf-raise-and-front-squat-male.jpg",4,500,500)</f>
        <v/>
      </c>
      <c r="C2371" s="30">
        <v>2370.0</v>
      </c>
      <c r="D2371" s="16" t="s">
        <v>3064</v>
      </c>
      <c r="E2371" s="16" t="s">
        <v>184</v>
      </c>
      <c r="F2371" s="16" t="s">
        <v>285</v>
      </c>
      <c r="G2371" s="16" t="s">
        <v>3034</v>
      </c>
      <c r="H2371" s="16" t="s">
        <v>220</v>
      </c>
      <c r="I2371" s="16" t="s">
        <v>220</v>
      </c>
    </row>
    <row r="2372" ht="242.25" customHeight="1">
      <c r="B2372" s="32" t="str">
        <f>IMAGE("https://gymvisual.com/19183-catalog_default/kettlebell-clean-and-jerk.jpg",4,500,500)</f>
        <v/>
      </c>
      <c r="C2372" s="30">
        <v>2371.0</v>
      </c>
      <c r="D2372" s="16" t="s">
        <v>3065</v>
      </c>
      <c r="E2372" s="16" t="s">
        <v>184</v>
      </c>
      <c r="F2372" s="16" t="s">
        <v>691</v>
      </c>
      <c r="G2372" s="16" t="s">
        <v>3034</v>
      </c>
      <c r="H2372" s="16" t="s">
        <v>220</v>
      </c>
      <c r="I2372" s="16" t="s">
        <v>220</v>
      </c>
    </row>
    <row r="2373" ht="242.25" customHeight="1">
      <c r="B2373" s="32" t="str">
        <f>IMAGE("https://gymvisual.com/26084-catalog_default/kettlebell-clean-and-press.jpg",4,500,500)</f>
        <v/>
      </c>
      <c r="C2373" s="30">
        <v>2372.0</v>
      </c>
      <c r="D2373" s="16" t="s">
        <v>3066</v>
      </c>
      <c r="E2373" s="16" t="s">
        <v>184</v>
      </c>
      <c r="F2373" s="16" t="s">
        <v>764</v>
      </c>
      <c r="G2373" s="16" t="s">
        <v>3034</v>
      </c>
      <c r="H2373" s="16" t="s">
        <v>220</v>
      </c>
      <c r="I2373" s="16" t="s">
        <v>220</v>
      </c>
    </row>
    <row r="2374" ht="242.25" customHeight="1">
      <c r="B2374" s="32" t="str">
        <f>IMAGE("https://gymvisual.com/26086-catalog_default/kettlebell-concentration-curl.jpg",4,500,500)</f>
        <v/>
      </c>
      <c r="C2374" s="30">
        <v>2373.0</v>
      </c>
      <c r="D2374" s="16" t="s">
        <v>3067</v>
      </c>
      <c r="E2374" s="16" t="s">
        <v>184</v>
      </c>
      <c r="F2374" s="16" t="s">
        <v>219</v>
      </c>
      <c r="G2374" s="16" t="s">
        <v>3034</v>
      </c>
      <c r="H2374" s="16" t="s">
        <v>220</v>
      </c>
      <c r="I2374" s="16" t="s">
        <v>220</v>
      </c>
    </row>
    <row r="2375" ht="242.25" customHeight="1">
      <c r="B2375" s="32" t="str">
        <f>IMAGE("https://gymvisual.com/17827-catalog_default/kettlebell-dead-bug.jpg",4,500,500)</f>
        <v/>
      </c>
      <c r="C2375" s="30">
        <v>2374.0</v>
      </c>
      <c r="D2375" s="16" t="s">
        <v>3068</v>
      </c>
      <c r="E2375" s="16" t="s">
        <v>184</v>
      </c>
      <c r="F2375" s="16" t="s">
        <v>254</v>
      </c>
      <c r="G2375" s="16" t="s">
        <v>3034</v>
      </c>
      <c r="H2375" s="16" t="s">
        <v>220</v>
      </c>
      <c r="I2375" s="16" t="s">
        <v>220</v>
      </c>
    </row>
    <row r="2376" ht="242.25" customHeight="1">
      <c r="B2376" s="32" t="str">
        <f>IMAGE("https://gymvisual.com/6812-catalog_default/kettlebell-dead-clean.jpg",4,500,500)</f>
        <v/>
      </c>
      <c r="C2376" s="30">
        <v>2375.0</v>
      </c>
      <c r="D2376" s="16" t="s">
        <v>3069</v>
      </c>
      <c r="E2376" s="16" t="s">
        <v>184</v>
      </c>
      <c r="F2376" s="16" t="s">
        <v>764</v>
      </c>
      <c r="G2376" s="16" t="s">
        <v>3034</v>
      </c>
      <c r="H2376" s="16" t="s">
        <v>220</v>
      </c>
      <c r="I2376" s="16" t="s">
        <v>220</v>
      </c>
    </row>
    <row r="2377" ht="242.25" customHeight="1">
      <c r="B2377" s="32" t="str">
        <f>IMAGE("https://gymvisual.com/13567-catalog_default/kettlebell-deadlift.jpg",4,500,500)</f>
        <v/>
      </c>
      <c r="C2377" s="30">
        <v>2376.0</v>
      </c>
      <c r="D2377" s="16" t="s">
        <v>3070</v>
      </c>
      <c r="E2377" s="16" t="s">
        <v>184</v>
      </c>
      <c r="F2377" s="16" t="s">
        <v>294</v>
      </c>
      <c r="G2377" s="16" t="s">
        <v>3034</v>
      </c>
      <c r="H2377" s="16" t="s">
        <v>189</v>
      </c>
      <c r="I2377" s="16" t="s">
        <v>314</v>
      </c>
    </row>
    <row r="2378" ht="242.25" customHeight="1">
      <c r="B2378" s="32" t="str">
        <f>IMAGE("https://gymvisual.com/17148-catalog_default/kettlebell-deadlift-female.jpg",4,500,500)</f>
        <v/>
      </c>
      <c r="C2378" s="30">
        <v>2377.0</v>
      </c>
      <c r="D2378" s="16" t="s">
        <v>3071</v>
      </c>
      <c r="E2378" s="16" t="s">
        <v>184</v>
      </c>
      <c r="F2378" s="16" t="s">
        <v>294</v>
      </c>
      <c r="G2378" s="16" t="s">
        <v>3034</v>
      </c>
      <c r="H2378" s="16" t="s">
        <v>2010</v>
      </c>
      <c r="I2378" s="16" t="s">
        <v>2076</v>
      </c>
    </row>
    <row r="2379" ht="242.25" customHeight="1">
      <c r="B2379" s="32" t="str">
        <f>IMAGE("https://gymvisual.com/14217-catalog_default/kettlebell-deck-squat.jpg",4,500,500)</f>
        <v/>
      </c>
      <c r="C2379" s="30">
        <v>2378.0</v>
      </c>
      <c r="D2379" s="16" t="s">
        <v>3072</v>
      </c>
      <c r="E2379" s="16" t="s">
        <v>184</v>
      </c>
      <c r="F2379" s="16" t="s">
        <v>2396</v>
      </c>
      <c r="G2379" s="16" t="s">
        <v>3034</v>
      </c>
      <c r="H2379" s="16" t="s">
        <v>220</v>
      </c>
      <c r="I2379" s="16" t="s">
        <v>220</v>
      </c>
    </row>
    <row r="2380" ht="242.25" customHeight="1">
      <c r="B2380" s="32" t="str">
        <f>IMAGE("https://gymvisual.com/14219-catalog_default/kettlebell-deep-push-up.jpg",4,500,500)</f>
        <v/>
      </c>
      <c r="C2380" s="30">
        <v>2379.0</v>
      </c>
      <c r="D2380" s="16" t="s">
        <v>3073</v>
      </c>
      <c r="E2380" s="16" t="s">
        <v>184</v>
      </c>
      <c r="F2380" s="16" t="s">
        <v>234</v>
      </c>
      <c r="G2380" s="16" t="s">
        <v>3034</v>
      </c>
      <c r="H2380" s="16" t="s">
        <v>235</v>
      </c>
      <c r="I2380" s="16" t="s">
        <v>243</v>
      </c>
    </row>
    <row r="2381" ht="242.25" customHeight="1">
      <c r="B2381" s="32" t="str">
        <f>IMAGE("https://gymvisual.com/1591-catalog_default/3-4-sit-up.jpg",4,500,500)</f>
        <v/>
      </c>
      <c r="C2381" s="30">
        <v>2380.0</v>
      </c>
      <c r="D2381" s="16" t="s">
        <v>3074</v>
      </c>
      <c r="E2381" s="16" t="s">
        <v>184</v>
      </c>
      <c r="F2381" s="16" t="s">
        <v>214</v>
      </c>
      <c r="G2381" s="16" t="s">
        <v>3034</v>
      </c>
      <c r="H2381" s="16" t="s">
        <v>292</v>
      </c>
      <c r="I2381" s="16" t="s">
        <v>420</v>
      </c>
    </row>
    <row r="2382" ht="242.25" customHeight="1">
      <c r="B2382" s="32" t="str">
        <f>IMAGE("https://gymvisual.com/1594-catalog_default/3-4-sit-up.jpg",4,500,500)</f>
        <v/>
      </c>
      <c r="C2382" s="30">
        <v>2381.0</v>
      </c>
      <c r="D2382" s="16" t="s">
        <v>3075</v>
      </c>
      <c r="E2382" s="16" t="s">
        <v>184</v>
      </c>
      <c r="F2382" s="16" t="s">
        <v>228</v>
      </c>
      <c r="G2382" s="16" t="s">
        <v>3034</v>
      </c>
      <c r="H2382" s="16" t="s">
        <v>220</v>
      </c>
      <c r="I2382" s="16" t="s">
        <v>220</v>
      </c>
    </row>
    <row r="2383" ht="242.25" customHeight="1">
      <c r="B2383" s="32" t="str">
        <f>IMAGE("https://gymvisual.com/1597-catalog_default/3-4-sit-up.jpg",4,500,500)</f>
        <v/>
      </c>
      <c r="C2383" s="30">
        <v>2382.0</v>
      </c>
      <c r="D2383" s="16" t="s">
        <v>3076</v>
      </c>
      <c r="E2383" s="16" t="s">
        <v>184</v>
      </c>
      <c r="F2383" s="16" t="s">
        <v>228</v>
      </c>
      <c r="G2383" s="16" t="s">
        <v>3034</v>
      </c>
      <c r="H2383" s="16" t="s">
        <v>220</v>
      </c>
      <c r="I2383" s="16" t="s">
        <v>220</v>
      </c>
    </row>
    <row r="2384" ht="242.25" customHeight="1">
      <c r="B2384" s="32" t="str">
        <f>IMAGE("https://gymvisual.com/11161-catalog_default/kettlebell-double-push-press-female.jpg",4,500,500)</f>
        <v/>
      </c>
      <c r="C2384" s="30">
        <v>2383.0</v>
      </c>
      <c r="D2384" s="16" t="s">
        <v>3077</v>
      </c>
      <c r="E2384" s="16" t="s">
        <v>184</v>
      </c>
      <c r="F2384" s="16" t="s">
        <v>1129</v>
      </c>
      <c r="G2384" s="16" t="s">
        <v>3034</v>
      </c>
      <c r="H2384" s="16" t="s">
        <v>220</v>
      </c>
      <c r="I2384" s="16" t="s">
        <v>220</v>
      </c>
    </row>
    <row r="2385" ht="242.25" customHeight="1">
      <c r="B2385" s="32" t="str">
        <f>IMAGE("https://gymvisual.com/1599-catalog_default/3-4-sit-up.jpg",4,500,500)</f>
        <v/>
      </c>
      <c r="C2385" s="30">
        <v>2384.0</v>
      </c>
      <c r="D2385" s="16" t="s">
        <v>3078</v>
      </c>
      <c r="E2385" s="16" t="s">
        <v>184</v>
      </c>
      <c r="F2385" s="16" t="s">
        <v>228</v>
      </c>
      <c r="G2385" s="16" t="s">
        <v>3034</v>
      </c>
      <c r="H2385" s="16" t="s">
        <v>220</v>
      </c>
      <c r="I2385" s="16" t="s">
        <v>220</v>
      </c>
    </row>
    <row r="2386" ht="242.25" customHeight="1">
      <c r="B2386" s="32" t="str">
        <f>IMAGE("https://gymvisual.com/1601-catalog_default/3-4-sit-up.jpg",4,500,500)</f>
        <v/>
      </c>
      <c r="C2386" s="30">
        <v>2385.0</v>
      </c>
      <c r="D2386" s="16" t="s">
        <v>3079</v>
      </c>
      <c r="E2386" s="16" t="s">
        <v>184</v>
      </c>
      <c r="F2386" s="16" t="s">
        <v>254</v>
      </c>
      <c r="G2386" s="16" t="s">
        <v>3034</v>
      </c>
      <c r="H2386" s="16" t="s">
        <v>257</v>
      </c>
      <c r="I2386" s="16" t="s">
        <v>3080</v>
      </c>
    </row>
    <row r="2387" ht="242.25" customHeight="1">
      <c r="B2387" s="32" t="str">
        <f>IMAGE("https://gymvisual.com/19527-catalog_default/kettlebell-double-windmill-female.jpg",4,500,500)</f>
        <v/>
      </c>
      <c r="C2387" s="30">
        <v>2386.0</v>
      </c>
      <c r="D2387" s="16" t="s">
        <v>3081</v>
      </c>
      <c r="E2387" s="16" t="s">
        <v>184</v>
      </c>
      <c r="F2387" s="16" t="s">
        <v>254</v>
      </c>
      <c r="G2387" s="16" t="s">
        <v>3034</v>
      </c>
      <c r="H2387" s="16" t="s">
        <v>220</v>
      </c>
      <c r="I2387" s="16" t="s">
        <v>220</v>
      </c>
    </row>
    <row r="2388" ht="242.25" customHeight="1">
      <c r="B2388" s="32" t="str">
        <f>IMAGE("https://gymvisual.com/11828-catalog_default/kettlebell-dumbbell-sumo-squat-off-stepbox-female.jpg",4,500,500)</f>
        <v/>
      </c>
      <c r="C2388" s="30">
        <v>2387.0</v>
      </c>
      <c r="D2388" s="16" t="s">
        <v>3082</v>
      </c>
      <c r="E2388" s="16" t="s">
        <v>184</v>
      </c>
      <c r="F2388" s="16" t="s">
        <v>185</v>
      </c>
      <c r="G2388" s="16" t="s">
        <v>3034</v>
      </c>
      <c r="H2388" s="16" t="s">
        <v>220</v>
      </c>
      <c r="I2388" s="16" t="s">
        <v>220</v>
      </c>
    </row>
    <row r="2389" ht="242.25" customHeight="1">
      <c r="B2389" s="32" t="str">
        <f>IMAGE("https://gymvisual.com/24250-catalog_default/kettlebell-elevanted-goblet-squat.jpg",4,500,500)</f>
        <v/>
      </c>
      <c r="C2389" s="30">
        <v>2388.0</v>
      </c>
      <c r="D2389" s="16" t="s">
        <v>3083</v>
      </c>
      <c r="E2389" s="16" t="s">
        <v>184</v>
      </c>
      <c r="F2389" s="16" t="s">
        <v>285</v>
      </c>
      <c r="G2389" s="16" t="s">
        <v>3034</v>
      </c>
      <c r="H2389" s="16" t="s">
        <v>189</v>
      </c>
      <c r="I2389" s="16" t="s">
        <v>190</v>
      </c>
    </row>
    <row r="2390" ht="242.25" customHeight="1">
      <c r="B2390" s="32" t="str">
        <f>IMAGE("https://gymvisual.com/1604-catalog_default/3-4-sit-up.jpg",4,500,500)</f>
        <v/>
      </c>
      <c r="C2390" s="30">
        <v>2389.0</v>
      </c>
      <c r="D2390" s="16" t="s">
        <v>3084</v>
      </c>
      <c r="E2390" s="16" t="s">
        <v>184</v>
      </c>
      <c r="F2390" s="16" t="s">
        <v>234</v>
      </c>
      <c r="G2390" s="16" t="s">
        <v>3034</v>
      </c>
      <c r="H2390" s="16" t="s">
        <v>235</v>
      </c>
      <c r="I2390" s="16" t="s">
        <v>243</v>
      </c>
    </row>
    <row r="2391" ht="242.25" customHeight="1">
      <c r="B2391" s="32" t="str">
        <f>IMAGE("https://gymvisual.com/14211-catalog_default/kettlebell-farmers-carry.jpg",4,500,500)</f>
        <v/>
      </c>
      <c r="C2391" s="30">
        <v>2390.0</v>
      </c>
      <c r="D2391" s="16" t="s">
        <v>3085</v>
      </c>
      <c r="E2391" s="16" t="s">
        <v>184</v>
      </c>
      <c r="F2391" s="16" t="s">
        <v>294</v>
      </c>
      <c r="G2391" s="16" t="s">
        <v>3034</v>
      </c>
      <c r="H2391" s="16" t="s">
        <v>189</v>
      </c>
      <c r="I2391" s="16" t="s">
        <v>190</v>
      </c>
    </row>
    <row r="2392" ht="242.25" customHeight="1">
      <c r="B2392" s="32" t="str">
        <f>IMAGE("https://gymvisual.com/1607-catalog_default/3-4-sit-up.jpg",4,500,500)</f>
        <v/>
      </c>
      <c r="C2392" s="30">
        <v>2391.0</v>
      </c>
      <c r="D2392" s="16" t="s">
        <v>3086</v>
      </c>
      <c r="E2392" s="16" t="s">
        <v>184</v>
      </c>
      <c r="F2392" s="16" t="s">
        <v>254</v>
      </c>
      <c r="G2392" s="16" t="s">
        <v>3034</v>
      </c>
      <c r="H2392" s="16" t="s">
        <v>257</v>
      </c>
      <c r="I2392" s="16" t="s">
        <v>256</v>
      </c>
    </row>
    <row r="2393" ht="242.25" customHeight="1">
      <c r="B2393" s="32" t="str">
        <f>IMAGE("https://gymvisual.com/11164-catalog_default/kettlebell-figure-8-female.jpg",4,500,500)</f>
        <v/>
      </c>
      <c r="C2393" s="30">
        <v>2392.0</v>
      </c>
      <c r="D2393" s="16" t="s">
        <v>3087</v>
      </c>
      <c r="E2393" s="16" t="s">
        <v>184</v>
      </c>
      <c r="F2393" s="16" t="s">
        <v>254</v>
      </c>
      <c r="G2393" s="16" t="s">
        <v>3034</v>
      </c>
      <c r="H2393" s="16" t="s">
        <v>220</v>
      </c>
      <c r="I2393" s="16" t="s">
        <v>220</v>
      </c>
    </row>
    <row r="2394" ht="242.25" customHeight="1">
      <c r="B2394" s="32" t="str">
        <f>IMAGE("https://gymvisual.com/26090-catalog_default/kettlebell-floor-fly.jpg",4,500,500)</f>
        <v/>
      </c>
      <c r="C2394" s="30">
        <v>2393.0</v>
      </c>
      <c r="D2394" s="16" t="s">
        <v>3088</v>
      </c>
      <c r="E2394" s="16" t="s">
        <v>184</v>
      </c>
      <c r="F2394" s="16" t="s">
        <v>234</v>
      </c>
      <c r="G2394" s="16" t="s">
        <v>3034</v>
      </c>
      <c r="H2394" s="16" t="s">
        <v>220</v>
      </c>
      <c r="I2394" s="16" t="s">
        <v>220</v>
      </c>
    </row>
    <row r="2395" ht="242.25" customHeight="1">
      <c r="B2395" s="32" t="str">
        <f>IMAGE("https://gymvisual.com/14207-catalog_default/kettlebell-forward-lunge.jpg",4,500,500)</f>
        <v/>
      </c>
      <c r="C2395" s="30">
        <v>2394.0</v>
      </c>
      <c r="D2395" s="16" t="s">
        <v>3089</v>
      </c>
      <c r="E2395" s="16" t="s">
        <v>184</v>
      </c>
      <c r="F2395" s="16" t="s">
        <v>294</v>
      </c>
      <c r="G2395" s="16" t="s">
        <v>3034</v>
      </c>
      <c r="H2395" s="16" t="s">
        <v>220</v>
      </c>
      <c r="I2395" s="16" t="s">
        <v>220</v>
      </c>
    </row>
    <row r="2396" ht="242.25" customHeight="1">
      <c r="B2396" s="32" t="str">
        <f>IMAGE("https://gymvisual.com/19537-catalog_default/kettlebell-forward-lunge-female.jpg",4,500,500)</f>
        <v/>
      </c>
      <c r="C2396" s="30">
        <v>2395.0</v>
      </c>
      <c r="D2396" s="16" t="s">
        <v>3090</v>
      </c>
      <c r="E2396" s="16" t="s">
        <v>184</v>
      </c>
      <c r="F2396" s="16" t="s">
        <v>285</v>
      </c>
      <c r="G2396" s="16" t="s">
        <v>3034</v>
      </c>
      <c r="H2396" s="16" t="s">
        <v>220</v>
      </c>
      <c r="I2396" s="16" t="s">
        <v>220</v>
      </c>
    </row>
    <row r="2397" ht="242.25" customHeight="1">
      <c r="B2397" s="32" t="str">
        <f>IMAGE("https://gymvisual.com/23064-catalog_default/kettlebell-forward-lunge-version-2-female.jpg",4,500,500)</f>
        <v/>
      </c>
      <c r="C2397" s="30">
        <v>2396.0</v>
      </c>
      <c r="D2397" s="16" t="s">
        <v>3091</v>
      </c>
      <c r="E2397" s="16" t="s">
        <v>184</v>
      </c>
      <c r="F2397" s="16" t="s">
        <v>285</v>
      </c>
      <c r="G2397" s="16" t="s">
        <v>3034</v>
      </c>
      <c r="H2397" s="16" t="s">
        <v>220</v>
      </c>
      <c r="I2397" s="16" t="s">
        <v>220</v>
      </c>
    </row>
    <row r="2398" ht="242.25" customHeight="1">
      <c r="B2398" s="32" t="str">
        <f>IMAGE("https://gymvisual.com/19553-catalog_default/kettlebell-forward-lunge-and-press-female.jpg",4,500,500)</f>
        <v/>
      </c>
      <c r="C2398" s="30">
        <v>2397.0</v>
      </c>
      <c r="D2398" s="16" t="s">
        <v>3092</v>
      </c>
      <c r="E2398" s="16" t="s">
        <v>184</v>
      </c>
      <c r="F2398" s="16" t="s">
        <v>285</v>
      </c>
      <c r="G2398" s="16" t="s">
        <v>3034</v>
      </c>
      <c r="H2398" s="16" t="s">
        <v>220</v>
      </c>
      <c r="I2398" s="16" t="s">
        <v>220</v>
      </c>
    </row>
    <row r="2399" ht="242.25" customHeight="1">
      <c r="B2399" s="32" t="str">
        <f>IMAGE("https://gymvisual.com/26092-catalog_default/kettlebell-front-raise.jpg",4,500,500)</f>
        <v/>
      </c>
      <c r="C2399" s="30">
        <v>2398.0</v>
      </c>
      <c r="D2399" s="16" t="s">
        <v>3093</v>
      </c>
      <c r="E2399" s="16" t="s">
        <v>184</v>
      </c>
      <c r="F2399" s="16" t="s">
        <v>228</v>
      </c>
      <c r="G2399" s="16" t="s">
        <v>3034</v>
      </c>
      <c r="H2399" s="16" t="s">
        <v>220</v>
      </c>
      <c r="I2399" s="16" t="s">
        <v>220</v>
      </c>
    </row>
    <row r="2400" ht="242.25" customHeight="1">
      <c r="B2400" s="32" t="str">
        <f>IMAGE("https://gymvisual.com/1610-catalog_default/3-4-sit-up.jpg",4,500,500)</f>
        <v/>
      </c>
      <c r="C2400" s="30">
        <v>2399.0</v>
      </c>
      <c r="D2400" s="16" t="s">
        <v>3094</v>
      </c>
      <c r="E2400" s="16" t="s">
        <v>184</v>
      </c>
      <c r="F2400" s="16" t="s">
        <v>285</v>
      </c>
      <c r="G2400" s="16" t="s">
        <v>3034</v>
      </c>
      <c r="H2400" s="16" t="s">
        <v>189</v>
      </c>
      <c r="I2400" s="16" t="s">
        <v>190</v>
      </c>
    </row>
    <row r="2401" ht="242.25" customHeight="1">
      <c r="B2401" s="32" t="str">
        <f>IMAGE("https://gymvisual.com/11447-catalog_default/kettlebell-front-squat-female.jpg",4,500,500)</f>
        <v/>
      </c>
      <c r="C2401" s="30">
        <v>2400.0</v>
      </c>
      <c r="D2401" s="16" t="s">
        <v>3095</v>
      </c>
      <c r="E2401" s="16" t="s">
        <v>184</v>
      </c>
      <c r="F2401" s="16" t="s">
        <v>294</v>
      </c>
      <c r="G2401" s="16" t="s">
        <v>3034</v>
      </c>
      <c r="H2401" s="16" t="s">
        <v>189</v>
      </c>
      <c r="I2401" s="16" t="s">
        <v>190</v>
      </c>
    </row>
    <row r="2402" ht="242.25" customHeight="1">
      <c r="B2402" s="32" t="str">
        <f>IMAGE("https://gymvisual.com/20748-catalog_default/kettlebell-full-squat-from-deficit-female.jpg",4,500,500)</f>
        <v/>
      </c>
      <c r="C2402" s="30">
        <v>2401.0</v>
      </c>
      <c r="D2402" s="16" t="s">
        <v>3096</v>
      </c>
      <c r="E2402" s="16" t="s">
        <v>184</v>
      </c>
      <c r="F2402" s="16" t="s">
        <v>294</v>
      </c>
      <c r="G2402" s="16" t="s">
        <v>3034</v>
      </c>
      <c r="H2402" s="16" t="s">
        <v>189</v>
      </c>
      <c r="I2402" s="16" t="s">
        <v>190</v>
      </c>
    </row>
    <row r="2403" ht="242.25" customHeight="1">
      <c r="B2403" s="32" t="str">
        <f>IMAGE("https://gymvisual.com/14201-catalog_default/kettlebell-full-swing.jpg",4,500,500)</f>
        <v/>
      </c>
      <c r="C2403" s="30">
        <v>2402.0</v>
      </c>
      <c r="D2403" s="16" t="s">
        <v>3097</v>
      </c>
      <c r="E2403" s="16" t="s">
        <v>184</v>
      </c>
      <c r="F2403" s="16" t="s">
        <v>3098</v>
      </c>
      <c r="G2403" s="16" t="s">
        <v>3034</v>
      </c>
      <c r="H2403" s="16" t="s">
        <v>1224</v>
      </c>
      <c r="I2403" s="16" t="s">
        <v>3099</v>
      </c>
    </row>
    <row r="2404" ht="242.25" customHeight="1">
      <c r="B2404" s="32" t="str">
        <f>IMAGE("https://gymvisual.com/16396-catalog_default/kettlebell-gobelt-curtsey-lunge.jpg",4,500,500)</f>
        <v/>
      </c>
      <c r="C2404" s="30">
        <v>2403.0</v>
      </c>
      <c r="D2404" s="16" t="s">
        <v>3100</v>
      </c>
      <c r="E2404" s="16" t="s">
        <v>184</v>
      </c>
      <c r="F2404" s="16" t="s">
        <v>285</v>
      </c>
      <c r="G2404" s="16" t="s">
        <v>3034</v>
      </c>
      <c r="H2404" s="16" t="s">
        <v>295</v>
      </c>
      <c r="I2404" s="16" t="s">
        <v>3101</v>
      </c>
    </row>
    <row r="2405" ht="242.25" customHeight="1">
      <c r="B2405" s="32" t="str">
        <f>IMAGE("https://gymvisual.com/12178-catalog_default/kettlebell-goblet-carry.jpg",4,500,500)</f>
        <v/>
      </c>
      <c r="C2405" s="30">
        <v>2404.0</v>
      </c>
      <c r="D2405" s="16" t="s">
        <v>3102</v>
      </c>
      <c r="E2405" s="16" t="s">
        <v>184</v>
      </c>
      <c r="F2405" s="16" t="s">
        <v>285</v>
      </c>
      <c r="G2405" s="16" t="s">
        <v>3034</v>
      </c>
      <c r="H2405" s="16" t="s">
        <v>220</v>
      </c>
      <c r="I2405" s="16" t="s">
        <v>220</v>
      </c>
    </row>
    <row r="2406" ht="242.25" customHeight="1">
      <c r="B2406" s="32" t="str">
        <f>IMAGE("https://gymvisual.com/1613-catalog_default/3-4-sit-up.jpg",4,500,500)</f>
        <v/>
      </c>
      <c r="C2406" s="30">
        <v>2405.0</v>
      </c>
      <c r="D2406" s="16" t="s">
        <v>3103</v>
      </c>
      <c r="E2406" s="16" t="s">
        <v>184</v>
      </c>
      <c r="F2406" s="16" t="s">
        <v>285</v>
      </c>
      <c r="G2406" s="16" t="s">
        <v>3034</v>
      </c>
      <c r="H2406" s="16" t="s">
        <v>189</v>
      </c>
      <c r="I2406" s="16" t="s">
        <v>1121</v>
      </c>
    </row>
    <row r="2407" ht="242.25" customHeight="1">
      <c r="B2407" s="32" t="str">
        <f>IMAGE("https://gymvisual.com/10221-catalog_default/kettlebell-goblet-squat-female.jpg",4,500,500)</f>
        <v/>
      </c>
      <c r="C2407" s="30">
        <v>2406.0</v>
      </c>
      <c r="D2407" s="16" t="s">
        <v>3104</v>
      </c>
      <c r="E2407" s="16" t="s">
        <v>184</v>
      </c>
      <c r="F2407" s="16" t="s">
        <v>285</v>
      </c>
      <c r="G2407" s="16" t="s">
        <v>3034</v>
      </c>
      <c r="H2407" s="16" t="s">
        <v>552</v>
      </c>
      <c r="I2407" s="16" t="s">
        <v>3105</v>
      </c>
    </row>
    <row r="2408" ht="242.25" customHeight="1">
      <c r="B2408" s="32" t="str">
        <f>IMAGE("https://gymvisual.com/12338-catalog_default/kettlebell-goblet-squat-mobility.jpg",4,500,500)</f>
        <v/>
      </c>
      <c r="C2408" s="30">
        <v>2407.0</v>
      </c>
      <c r="D2408" s="16" t="s">
        <v>3106</v>
      </c>
      <c r="E2408" s="16" t="s">
        <v>184</v>
      </c>
      <c r="F2408" s="16" t="s">
        <v>285</v>
      </c>
      <c r="G2408" s="16" t="s">
        <v>3034</v>
      </c>
      <c r="H2408" s="16" t="s">
        <v>189</v>
      </c>
      <c r="I2408" s="16" t="s">
        <v>2046</v>
      </c>
    </row>
    <row r="2409" ht="242.25" customHeight="1">
      <c r="B2409" s="32" t="str">
        <f>IMAGE("https://gymvisual.com/23669-catalog_default/kettlebell-good-morning.jpg",4,500,500)</f>
        <v/>
      </c>
      <c r="C2409" s="30">
        <v>2408.0</v>
      </c>
      <c r="D2409" s="16" t="s">
        <v>3107</v>
      </c>
      <c r="E2409" s="16" t="s">
        <v>184</v>
      </c>
      <c r="F2409" s="16" t="s">
        <v>185</v>
      </c>
      <c r="G2409" s="16" t="s">
        <v>3034</v>
      </c>
      <c r="H2409" s="16" t="s">
        <v>188</v>
      </c>
      <c r="I2409" s="16" t="s">
        <v>857</v>
      </c>
    </row>
    <row r="2410" ht="242.25" customHeight="1">
      <c r="B2410" s="32" t="str">
        <f>IMAGE("https://gymvisual.com/19513-catalog_default/kettlebell-half-kneeling-one-arm-bottoms-up-press.jpg",4,500,500)</f>
        <v/>
      </c>
      <c r="C2410" s="30">
        <v>2409.0</v>
      </c>
      <c r="D2410" s="16" t="s">
        <v>3108</v>
      </c>
      <c r="E2410" s="16" t="s">
        <v>184</v>
      </c>
      <c r="F2410" s="16" t="s">
        <v>228</v>
      </c>
      <c r="G2410" s="16" t="s">
        <v>3034</v>
      </c>
      <c r="H2410" s="16" t="s">
        <v>220</v>
      </c>
      <c r="I2410" s="16" t="s">
        <v>220</v>
      </c>
    </row>
    <row r="2411" ht="242.25" customHeight="1">
      <c r="B2411" s="32" t="str">
        <f>IMAGE("https://gymvisual.com/12199-catalog_default/kettlebell-half-kneeling-shoulder-press.jpg",4,500,500)</f>
        <v/>
      </c>
      <c r="C2411" s="30">
        <v>2410.0</v>
      </c>
      <c r="D2411" s="16" t="s">
        <v>3109</v>
      </c>
      <c r="E2411" s="16" t="s">
        <v>184</v>
      </c>
      <c r="F2411" s="16" t="s">
        <v>228</v>
      </c>
      <c r="G2411" s="16" t="s">
        <v>3034</v>
      </c>
      <c r="H2411" s="16" t="s">
        <v>220</v>
      </c>
      <c r="I2411" s="16" t="s">
        <v>220</v>
      </c>
    </row>
    <row r="2412" ht="242.25" customHeight="1">
      <c r="B2412" s="32" t="str">
        <f>IMAGE("https://gymvisual.com/13569-catalog_default/kettlebell-half-turkish-get-up.jpg",4,500,500)</f>
        <v/>
      </c>
      <c r="C2412" s="30">
        <v>2411.0</v>
      </c>
      <c r="D2412" s="16" t="s">
        <v>3110</v>
      </c>
      <c r="E2412" s="16" t="s">
        <v>184</v>
      </c>
      <c r="F2412" s="16" t="s">
        <v>3111</v>
      </c>
      <c r="G2412" s="16" t="s">
        <v>3034</v>
      </c>
      <c r="H2412" s="16" t="s">
        <v>524</v>
      </c>
      <c r="I2412" s="16" t="s">
        <v>220</v>
      </c>
    </row>
    <row r="2413" ht="242.25" customHeight="1">
      <c r="B2413" s="32" t="str">
        <f>IMAGE("https://gymvisual.com/23537-catalog_default/3-4-sit-up.jpg",4,500,500)</f>
        <v/>
      </c>
      <c r="C2413" s="30">
        <v>2412.0</v>
      </c>
      <c r="D2413" s="16" t="s">
        <v>3112</v>
      </c>
      <c r="E2413" s="16" t="s">
        <v>184</v>
      </c>
      <c r="F2413" s="16" t="s">
        <v>285</v>
      </c>
      <c r="G2413" s="16" t="s">
        <v>3034</v>
      </c>
      <c r="H2413" s="16" t="s">
        <v>866</v>
      </c>
      <c r="I2413" s="16" t="s">
        <v>220</v>
      </c>
    </row>
    <row r="2414" ht="242.25" customHeight="1">
      <c r="B2414" s="32" t="str">
        <f>IMAGE("https://gymvisual.com/16400-catalog_default/kettlebell-kickstand-one-leg-deadlift.jpg",4,500,500)</f>
        <v/>
      </c>
      <c r="C2414" s="30">
        <v>2413.0</v>
      </c>
      <c r="D2414" s="16" t="s">
        <v>3113</v>
      </c>
      <c r="E2414" s="16" t="s">
        <v>184</v>
      </c>
      <c r="F2414" s="16" t="s">
        <v>294</v>
      </c>
      <c r="G2414" s="16" t="s">
        <v>3034</v>
      </c>
      <c r="H2414" s="16" t="s">
        <v>2010</v>
      </c>
      <c r="I2414" s="16" t="s">
        <v>314</v>
      </c>
    </row>
    <row r="2415" ht="242.25" customHeight="1">
      <c r="B2415" s="32" t="str">
        <f>IMAGE("https://gymvisual.com/12192-catalog_default/kettlebell-kneeling-one-arm-bottoms-up-press.jpg",4,500,500)</f>
        <v/>
      </c>
      <c r="C2415" s="30">
        <v>2414.0</v>
      </c>
      <c r="D2415" s="16" t="s">
        <v>3114</v>
      </c>
      <c r="E2415" s="16" t="s">
        <v>184</v>
      </c>
      <c r="F2415" s="16" t="s">
        <v>228</v>
      </c>
      <c r="G2415" s="16" t="s">
        <v>3034</v>
      </c>
      <c r="H2415" s="16" t="s">
        <v>220</v>
      </c>
      <c r="I2415" s="16" t="s">
        <v>220</v>
      </c>
    </row>
    <row r="2416" ht="242.25" customHeight="1">
      <c r="B2416" s="32" t="str">
        <f>IMAGE("https://gymvisual.com/12197-catalog_default/kettlebell-kneeling-one-arm-shoulder-press.jpg",4,500,500)</f>
        <v/>
      </c>
      <c r="C2416" s="30">
        <v>2415.0</v>
      </c>
      <c r="D2416" s="16" t="s">
        <v>3115</v>
      </c>
      <c r="E2416" s="16" t="s">
        <v>184</v>
      </c>
      <c r="F2416" s="16" t="s">
        <v>228</v>
      </c>
      <c r="G2416" s="16" t="s">
        <v>3034</v>
      </c>
      <c r="H2416" s="16" t="s">
        <v>220</v>
      </c>
      <c r="I2416" s="16" t="s">
        <v>220</v>
      </c>
    </row>
    <row r="2417" ht="242.25" customHeight="1">
      <c r="B2417" s="32" t="str">
        <f>IMAGE("https://gymvisual.com/17823-catalog_default/kettlebell-lateral-lunge.jpg",4,500,500)</f>
        <v/>
      </c>
      <c r="C2417" s="30">
        <v>2416.0</v>
      </c>
      <c r="D2417" s="16" t="s">
        <v>3116</v>
      </c>
      <c r="E2417" s="16" t="s">
        <v>184</v>
      </c>
      <c r="F2417" s="16" t="s">
        <v>285</v>
      </c>
      <c r="G2417" s="16" t="s">
        <v>3034</v>
      </c>
      <c r="H2417" s="16" t="s">
        <v>220</v>
      </c>
      <c r="I2417" s="16" t="s">
        <v>220</v>
      </c>
    </row>
    <row r="2418" ht="242.25" customHeight="1">
      <c r="B2418" s="32" t="str">
        <f>IMAGE("https://gymvisual.com/16412-catalog_default/kettlebell-lateral-raise.jpg",4,500,500)</f>
        <v/>
      </c>
      <c r="C2418" s="30">
        <v>2417.0</v>
      </c>
      <c r="D2418" s="16" t="s">
        <v>3117</v>
      </c>
      <c r="E2418" s="16" t="s">
        <v>184</v>
      </c>
      <c r="F2418" s="16" t="s">
        <v>228</v>
      </c>
      <c r="G2418" s="16" t="s">
        <v>3034</v>
      </c>
      <c r="H2418" s="16" t="s">
        <v>544</v>
      </c>
      <c r="I2418" s="16" t="s">
        <v>545</v>
      </c>
    </row>
    <row r="2419" ht="242.25" customHeight="1">
      <c r="B2419" s="32" t="str">
        <f>IMAGE("https://gymvisual.com/14213-catalog_default/kettlebell-lunge-clean-and-press.jpg",4,500,500)</f>
        <v/>
      </c>
      <c r="C2419" s="30">
        <v>2418.0</v>
      </c>
      <c r="D2419" s="16" t="s">
        <v>3118</v>
      </c>
      <c r="E2419" s="16" t="s">
        <v>184</v>
      </c>
      <c r="F2419" s="16" t="s">
        <v>691</v>
      </c>
      <c r="G2419" s="16" t="s">
        <v>3034</v>
      </c>
      <c r="H2419" s="16" t="s">
        <v>793</v>
      </c>
      <c r="I2419" s="16" t="s">
        <v>2392</v>
      </c>
    </row>
    <row r="2420" ht="242.25" customHeight="1">
      <c r="B2420" s="32" t="str">
        <f>IMAGE("https://gymvisual.com/1618-catalog_default/3-4-sit-up.jpg",4,500,500)</f>
        <v/>
      </c>
      <c r="C2420" s="30">
        <v>2419.0</v>
      </c>
      <c r="D2420" s="16" t="s">
        <v>3119</v>
      </c>
      <c r="E2420" s="16" t="s">
        <v>184</v>
      </c>
      <c r="F2420" s="16" t="s">
        <v>285</v>
      </c>
      <c r="G2420" s="16" t="s">
        <v>3034</v>
      </c>
      <c r="H2420" s="16" t="s">
        <v>189</v>
      </c>
      <c r="I2420" s="16" t="s">
        <v>3120</v>
      </c>
    </row>
    <row r="2421" ht="242.25" customHeight="1">
      <c r="B2421" s="32" t="str">
        <f>IMAGE("https://gymvisual.com/11167-catalog_default/kettlebell-lunge-pass-through-female.jpg",4,500,500)</f>
        <v/>
      </c>
      <c r="C2421" s="30">
        <v>2420.0</v>
      </c>
      <c r="D2421" s="16" t="s">
        <v>3121</v>
      </c>
      <c r="E2421" s="16" t="s">
        <v>184</v>
      </c>
      <c r="F2421" s="16" t="s">
        <v>294</v>
      </c>
      <c r="G2421" s="16" t="s">
        <v>3034</v>
      </c>
      <c r="H2421" s="16" t="s">
        <v>220</v>
      </c>
      <c r="I2421" s="16" t="s">
        <v>220</v>
      </c>
    </row>
    <row r="2422" ht="242.25" customHeight="1">
      <c r="B2422" s="32" t="str">
        <f>IMAGE("https://gymvisual.com/24103-catalog_default/kettlebell-lunge-with-twist.jpg",4,500,500)</f>
        <v/>
      </c>
      <c r="C2422" s="30">
        <v>2421.0</v>
      </c>
      <c r="D2422" s="16" t="s">
        <v>3122</v>
      </c>
      <c r="E2422" s="16" t="s">
        <v>184</v>
      </c>
      <c r="F2422" s="16" t="s">
        <v>285</v>
      </c>
      <c r="G2422" s="16" t="s">
        <v>3034</v>
      </c>
      <c r="H2422" s="16" t="s">
        <v>220</v>
      </c>
      <c r="I2422" s="16" t="s">
        <v>220</v>
      </c>
    </row>
    <row r="2423" ht="242.25" customHeight="1">
      <c r="B2423" s="32" t="str">
        <f>IMAGE("https://gymvisual.com/22375-catalog_default/kettlebell-lying-on-floor-chest-press.jpg",4,500,500)</f>
        <v/>
      </c>
      <c r="C2423" s="30">
        <v>2422.0</v>
      </c>
      <c r="D2423" s="16" t="s">
        <v>3123</v>
      </c>
      <c r="E2423" s="16" t="s">
        <v>184</v>
      </c>
      <c r="F2423" s="16" t="s">
        <v>234</v>
      </c>
      <c r="G2423" s="16" t="s">
        <v>3034</v>
      </c>
      <c r="H2423" s="16" t="s">
        <v>220</v>
      </c>
      <c r="I2423" s="16" t="s">
        <v>220</v>
      </c>
    </row>
    <row r="2424" ht="242.25" customHeight="1">
      <c r="B2424" s="32" t="str">
        <f>IMAGE("https://gymvisual.com/22377-catalog_default/kettlebell-lying-on-floor-single-arm-bottoms-up-chest-press.jpg",4,500,500)</f>
        <v/>
      </c>
      <c r="C2424" s="30">
        <v>2423.0</v>
      </c>
      <c r="D2424" s="16" t="s">
        <v>3124</v>
      </c>
      <c r="E2424" s="16" t="s">
        <v>184</v>
      </c>
      <c r="F2424" s="16" t="s">
        <v>234</v>
      </c>
      <c r="G2424" s="16" t="s">
        <v>3034</v>
      </c>
      <c r="H2424" s="16" t="s">
        <v>220</v>
      </c>
      <c r="I2424" s="16" t="s">
        <v>220</v>
      </c>
    </row>
    <row r="2425" ht="242.25" customHeight="1">
      <c r="B2425" s="32" t="str">
        <f>IMAGE("https://gymvisual.com/26096-catalog_default/kettlebell-lying-triceps-extension-skull-crusher.jpg",4,500,500)</f>
        <v/>
      </c>
      <c r="C2425" s="30">
        <v>2424.0</v>
      </c>
      <c r="D2425" s="16" t="s">
        <v>3125</v>
      </c>
      <c r="E2425" s="16" t="s">
        <v>184</v>
      </c>
      <c r="F2425" s="16" t="s">
        <v>219</v>
      </c>
      <c r="G2425" s="16" t="s">
        <v>3034</v>
      </c>
      <c r="H2425" s="16" t="s">
        <v>220</v>
      </c>
      <c r="I2425" s="16" t="s">
        <v>220</v>
      </c>
    </row>
    <row r="2426" ht="242.25" customHeight="1">
      <c r="B2426" s="32" t="str">
        <f>IMAGE("https://gymvisual.com/16408-catalog_default/kettlebell-one-arm-bench-press.jpg",4,500,500)</f>
        <v/>
      </c>
      <c r="C2426" s="30">
        <v>2425.0</v>
      </c>
      <c r="D2426" s="16" t="s">
        <v>3126</v>
      </c>
      <c r="E2426" s="16" t="s">
        <v>184</v>
      </c>
      <c r="F2426" s="16" t="s">
        <v>234</v>
      </c>
      <c r="G2426" s="16" t="s">
        <v>3034</v>
      </c>
      <c r="H2426" s="16" t="s">
        <v>235</v>
      </c>
      <c r="I2426" s="16" t="s">
        <v>243</v>
      </c>
    </row>
    <row r="2427" ht="242.25" customHeight="1">
      <c r="B2427" s="32" t="str">
        <f>IMAGE("https://gymvisual.com/19185-catalog_default/kettlebell-one-arm-clean.jpg",4,500,500)</f>
        <v/>
      </c>
      <c r="C2427" s="30">
        <v>2426.0</v>
      </c>
      <c r="D2427" s="16" t="s">
        <v>3127</v>
      </c>
      <c r="E2427" s="16" t="s">
        <v>184</v>
      </c>
      <c r="F2427" s="16" t="s">
        <v>691</v>
      </c>
      <c r="G2427" s="16" t="s">
        <v>3034</v>
      </c>
      <c r="H2427" s="16" t="s">
        <v>220</v>
      </c>
      <c r="I2427" s="16" t="s">
        <v>220</v>
      </c>
    </row>
    <row r="2428" ht="242.25" customHeight="1">
      <c r="B2428" s="32" t="str">
        <f>IMAGE("https://gymvisual.com/1621-catalog_default/3-4-sit-up.jpg",4,500,500)</f>
        <v/>
      </c>
      <c r="C2428" s="30">
        <v>2427.0</v>
      </c>
      <c r="D2428" s="16" t="s">
        <v>3128</v>
      </c>
      <c r="E2428" s="16" t="s">
        <v>184</v>
      </c>
      <c r="F2428" s="16" t="s">
        <v>228</v>
      </c>
      <c r="G2428" s="16" t="s">
        <v>3034</v>
      </c>
      <c r="H2428" s="16" t="s">
        <v>3129</v>
      </c>
      <c r="I2428" s="16" t="s">
        <v>220</v>
      </c>
    </row>
    <row r="2429" ht="242.25" customHeight="1">
      <c r="B2429" s="32" t="str">
        <f>IMAGE("https://gymvisual.com/5987-catalog_default/kettlebell-one-arm-floor-press.jpg",4,500,500)</f>
        <v/>
      </c>
      <c r="C2429" s="30">
        <v>2428.0</v>
      </c>
      <c r="D2429" s="16" t="s">
        <v>3130</v>
      </c>
      <c r="E2429" s="16" t="s">
        <v>184</v>
      </c>
      <c r="F2429" s="16" t="s">
        <v>234</v>
      </c>
      <c r="G2429" s="16" t="s">
        <v>3034</v>
      </c>
      <c r="H2429" s="16" t="s">
        <v>347</v>
      </c>
      <c r="I2429" s="16" t="s">
        <v>382</v>
      </c>
    </row>
    <row r="2430" ht="242.25" customHeight="1">
      <c r="B2430" s="32" t="str">
        <f>IMAGE("https://gymvisual.com/1623-catalog_default/3-4-sit-up.jpg",4,500,500)</f>
        <v/>
      </c>
      <c r="C2430" s="30">
        <v>2429.0</v>
      </c>
      <c r="D2430" s="16" t="s">
        <v>3131</v>
      </c>
      <c r="E2430" s="16" t="s">
        <v>184</v>
      </c>
      <c r="F2430" s="16" t="s">
        <v>228</v>
      </c>
      <c r="G2430" s="16" t="s">
        <v>3034</v>
      </c>
      <c r="H2430" s="16" t="s">
        <v>3132</v>
      </c>
      <c r="I2430" s="16" t="s">
        <v>220</v>
      </c>
    </row>
    <row r="2431" ht="242.25" customHeight="1">
      <c r="B2431" s="32" t="str">
        <f>IMAGE("https://gymvisual.com/1626-catalog_default/3-4-sit-up.jpg",4,500,500)</f>
        <v/>
      </c>
      <c r="C2431" s="30">
        <v>2430.0</v>
      </c>
      <c r="D2431" s="16" t="s">
        <v>3133</v>
      </c>
      <c r="E2431" s="16" t="s">
        <v>184</v>
      </c>
      <c r="F2431" s="16" t="s">
        <v>228</v>
      </c>
      <c r="G2431" s="16" t="s">
        <v>3034</v>
      </c>
      <c r="H2431" s="16" t="s">
        <v>229</v>
      </c>
      <c r="I2431" s="16" t="s">
        <v>3134</v>
      </c>
    </row>
    <row r="2432" ht="242.25" customHeight="1">
      <c r="B2432" s="32" t="str">
        <f>IMAGE("https://gymvisual.com/6813-catalog_default/kettlebell-one-arm-overhead-squat.jpg",4,500,500)</f>
        <v/>
      </c>
      <c r="C2432" s="30">
        <v>2431.0</v>
      </c>
      <c r="D2432" s="16" t="s">
        <v>3135</v>
      </c>
      <c r="E2432" s="16" t="s">
        <v>184</v>
      </c>
      <c r="F2432" s="16" t="s">
        <v>285</v>
      </c>
      <c r="G2432" s="16" t="s">
        <v>3034</v>
      </c>
      <c r="H2432" s="16" t="s">
        <v>189</v>
      </c>
      <c r="I2432" s="16" t="s">
        <v>190</v>
      </c>
    </row>
    <row r="2433" ht="242.25" customHeight="1">
      <c r="B2433" s="32" t="str">
        <f>IMAGE("https://gymvisual.com/1629-catalog_default/3-4-sit-up.jpg",4,500,500)</f>
        <v/>
      </c>
      <c r="C2433" s="30">
        <v>2432.0</v>
      </c>
      <c r="D2433" s="16" t="s">
        <v>3136</v>
      </c>
      <c r="E2433" s="16" t="s">
        <v>184</v>
      </c>
      <c r="F2433" s="16" t="s">
        <v>228</v>
      </c>
      <c r="G2433" s="16" t="s">
        <v>3034</v>
      </c>
      <c r="H2433" s="16" t="s">
        <v>229</v>
      </c>
      <c r="I2433" s="16" t="s">
        <v>3137</v>
      </c>
    </row>
    <row r="2434" ht="242.25" customHeight="1">
      <c r="B2434" s="32" t="str">
        <f>IMAGE("https://gymvisual.com/1631-catalog_default/3-4-sit-up.jpg",4,500,500)</f>
        <v/>
      </c>
      <c r="C2434" s="30">
        <v>2433.0</v>
      </c>
      <c r="D2434" s="16" t="s">
        <v>3138</v>
      </c>
      <c r="E2434" s="16" t="s">
        <v>184</v>
      </c>
      <c r="F2434" s="16" t="s">
        <v>192</v>
      </c>
      <c r="G2434" s="16" t="s">
        <v>3034</v>
      </c>
      <c r="H2434" s="16" t="s">
        <v>3139</v>
      </c>
      <c r="I2434" s="16" t="s">
        <v>330</v>
      </c>
    </row>
    <row r="2435" ht="242.25" customHeight="1">
      <c r="B2435" s="32" t="str">
        <f>IMAGE("https://gymvisual.com/1634-catalog_default/3-4-sit-up.jpg",4,500,500)</f>
        <v/>
      </c>
      <c r="C2435" s="30">
        <v>2434.0</v>
      </c>
      <c r="D2435" s="16" t="s">
        <v>3140</v>
      </c>
      <c r="E2435" s="16" t="s">
        <v>184</v>
      </c>
      <c r="F2435" s="16" t="s">
        <v>228</v>
      </c>
      <c r="G2435" s="16" t="s">
        <v>3034</v>
      </c>
      <c r="H2435" s="16" t="s">
        <v>3141</v>
      </c>
      <c r="I2435" s="16" t="s">
        <v>220</v>
      </c>
    </row>
    <row r="2436" ht="242.25" customHeight="1">
      <c r="B2436" s="32" t="str">
        <f>IMAGE("https://gymvisual.com/6815-catalog_default/kettlebell-one-arm-swing.jpg",4,500,500)</f>
        <v/>
      </c>
      <c r="C2436" s="30">
        <v>2435.0</v>
      </c>
      <c r="D2436" s="16" t="s">
        <v>3142</v>
      </c>
      <c r="E2436" s="16" t="s">
        <v>184</v>
      </c>
      <c r="F2436" s="16" t="s">
        <v>764</v>
      </c>
      <c r="G2436" s="16" t="s">
        <v>3034</v>
      </c>
      <c r="H2436" s="16" t="s">
        <v>2060</v>
      </c>
      <c r="I2436" s="16" t="s">
        <v>2061</v>
      </c>
    </row>
    <row r="2437" ht="242.25" customHeight="1">
      <c r="B2437" s="32" t="str">
        <f>IMAGE("https://gymvisual.com/19181-catalog_default/kettlebell-one-arm-thruster.jpg",4,500,500)</f>
        <v/>
      </c>
      <c r="C2437" s="30">
        <v>2436.0</v>
      </c>
      <c r="D2437" s="16" t="s">
        <v>3143</v>
      </c>
      <c r="E2437" s="16" t="s">
        <v>184</v>
      </c>
      <c r="F2437" s="16" t="s">
        <v>691</v>
      </c>
      <c r="G2437" s="16" t="s">
        <v>3034</v>
      </c>
      <c r="H2437" s="16" t="s">
        <v>220</v>
      </c>
      <c r="I2437" s="16" t="s">
        <v>220</v>
      </c>
    </row>
    <row r="2438" ht="242.25" customHeight="1">
      <c r="B2438" s="32" t="str">
        <f>IMAGE("https://gymvisual.com/6816-catalog_default/kettlebell-one-legged-deadlift.jpg",4,500,500)</f>
        <v/>
      </c>
      <c r="C2438" s="30">
        <v>2437.0</v>
      </c>
      <c r="D2438" s="16" t="s">
        <v>3144</v>
      </c>
      <c r="E2438" s="16" t="s">
        <v>184</v>
      </c>
      <c r="F2438" s="16" t="s">
        <v>185</v>
      </c>
      <c r="G2438" s="16" t="s">
        <v>3034</v>
      </c>
      <c r="H2438" s="16" t="s">
        <v>187</v>
      </c>
      <c r="I2438" s="16" t="s">
        <v>482</v>
      </c>
    </row>
    <row r="2439" ht="242.25" customHeight="1">
      <c r="B2439" s="32" t="str">
        <f>IMAGE("https://gymvisual.com/6814-catalog_default/kettlebell-open-palm-clean.jpg",4,500,500)</f>
        <v/>
      </c>
      <c r="C2439" s="30">
        <v>2438.0</v>
      </c>
      <c r="D2439" s="16" t="s">
        <v>3145</v>
      </c>
      <c r="E2439" s="16" t="s">
        <v>184</v>
      </c>
      <c r="F2439" s="16" t="s">
        <v>764</v>
      </c>
      <c r="G2439" s="16" t="s">
        <v>3034</v>
      </c>
      <c r="H2439" s="16" t="s">
        <v>220</v>
      </c>
      <c r="I2439" s="16" t="s">
        <v>220</v>
      </c>
    </row>
    <row r="2440" ht="242.25" customHeight="1">
      <c r="B2440" s="32" t="str">
        <f>IMAGE("https://gymvisual.com/14645-catalog_default/kettlebell-overhand-grip-swing-female.jpg",4,500,500)</f>
        <v/>
      </c>
      <c r="C2440" s="30">
        <v>2439.0</v>
      </c>
      <c r="D2440" s="16" t="s">
        <v>3146</v>
      </c>
      <c r="E2440" s="16" t="s">
        <v>184</v>
      </c>
      <c r="F2440" s="16" t="s">
        <v>185</v>
      </c>
      <c r="G2440" s="16" t="s">
        <v>3034</v>
      </c>
      <c r="H2440" s="16" t="s">
        <v>2060</v>
      </c>
      <c r="I2440" s="16" t="s">
        <v>3147</v>
      </c>
    </row>
    <row r="2441" ht="242.25" customHeight="1">
      <c r="B2441" s="32" t="str">
        <f>IMAGE("https://gymvisual.com/18103-catalog_default/kettlebell-overhead-carry.jpg",4,500,500)</f>
        <v/>
      </c>
      <c r="C2441" s="30">
        <v>2440.0</v>
      </c>
      <c r="D2441" s="16" t="s">
        <v>3148</v>
      </c>
      <c r="E2441" s="16" t="s">
        <v>184</v>
      </c>
      <c r="F2441" s="16" t="s">
        <v>285</v>
      </c>
      <c r="G2441" s="16" t="s">
        <v>3034</v>
      </c>
      <c r="H2441" s="16" t="s">
        <v>220</v>
      </c>
      <c r="I2441" s="16" t="s">
        <v>220</v>
      </c>
    </row>
    <row r="2442" ht="242.25" customHeight="1">
      <c r="B2442" s="32" t="str">
        <f>IMAGE("https://gymvisual.com/26094-catalog_default/kettlebell-overhead-triceps-extension.jpg",4,500,500)</f>
        <v/>
      </c>
      <c r="C2442" s="30">
        <v>2441.0</v>
      </c>
      <c r="D2442" s="16" t="s">
        <v>3149</v>
      </c>
      <c r="E2442" s="16" t="s">
        <v>184</v>
      </c>
      <c r="F2442" s="16" t="s">
        <v>219</v>
      </c>
      <c r="G2442" s="16" t="s">
        <v>3034</v>
      </c>
      <c r="H2442" s="16" t="s">
        <v>220</v>
      </c>
      <c r="I2442" s="16" t="s">
        <v>220</v>
      </c>
    </row>
    <row r="2443" ht="242.25" customHeight="1">
      <c r="B2443" s="32" t="str">
        <f>IMAGE("https://gymvisual.com/1636-catalog_default/3-4-sit-up.jpg",4,500,500)</f>
        <v/>
      </c>
      <c r="C2443" s="30">
        <v>2442.0</v>
      </c>
      <c r="D2443" s="16" t="s">
        <v>3150</v>
      </c>
      <c r="E2443" s="16" t="s">
        <v>184</v>
      </c>
      <c r="F2443" s="16" t="s">
        <v>228</v>
      </c>
      <c r="G2443" s="16" t="s">
        <v>3034</v>
      </c>
      <c r="H2443" s="16" t="s">
        <v>408</v>
      </c>
      <c r="I2443" s="16" t="s">
        <v>3151</v>
      </c>
    </row>
    <row r="2444" ht="242.25" customHeight="1">
      <c r="B2444" s="32" t="str">
        <f>IMAGE("https://gymvisual.com/1639-catalog_default/3-4-sit-up.jpg",4,500,500)</f>
        <v/>
      </c>
      <c r="C2444" s="30">
        <v>2443.0</v>
      </c>
      <c r="D2444" s="16" t="s">
        <v>3152</v>
      </c>
      <c r="E2444" s="16" t="s">
        <v>184</v>
      </c>
      <c r="F2444" s="16" t="s">
        <v>285</v>
      </c>
      <c r="G2444" s="16" t="s">
        <v>3034</v>
      </c>
      <c r="H2444" s="16" t="s">
        <v>189</v>
      </c>
      <c r="I2444" s="16" t="s">
        <v>190</v>
      </c>
    </row>
    <row r="2445" ht="242.25" customHeight="1">
      <c r="B2445" s="32" t="str">
        <f>IMAGE("https://gymvisual.com/1642-catalog_default/3-4-sit-up.jpg",4,500,500)</f>
        <v/>
      </c>
      <c r="C2445" s="30">
        <v>2444.0</v>
      </c>
      <c r="D2445" s="16" t="s">
        <v>3153</v>
      </c>
      <c r="E2445" s="16" t="s">
        <v>184</v>
      </c>
      <c r="F2445" s="16" t="s">
        <v>234</v>
      </c>
      <c r="G2445" s="16" t="s">
        <v>3034</v>
      </c>
      <c r="H2445" s="16" t="s">
        <v>347</v>
      </c>
      <c r="I2445" s="16" t="s">
        <v>382</v>
      </c>
    </row>
    <row r="2446" ht="242.25" customHeight="1">
      <c r="B2446" s="32" t="str">
        <f>IMAGE("https://gymvisual.com/19529-catalog_default/kettlebell-press-up-female.jpg",4,500,500)</f>
        <v/>
      </c>
      <c r="C2446" s="30">
        <v>2445.0</v>
      </c>
      <c r="D2446" s="16" t="s">
        <v>3154</v>
      </c>
      <c r="E2446" s="16" t="s">
        <v>184</v>
      </c>
      <c r="F2446" s="16" t="s">
        <v>234</v>
      </c>
      <c r="G2446" s="16" t="s">
        <v>3034</v>
      </c>
      <c r="H2446" s="16" t="s">
        <v>220</v>
      </c>
      <c r="I2446" s="16" t="s">
        <v>220</v>
      </c>
    </row>
    <row r="2447" ht="242.25" customHeight="1">
      <c r="B2447" s="32" t="str">
        <f>IMAGE("https://gymvisual.com/16402-catalog_default/kettlebell-pullover-3-month-position.jpg",4,500,500)</f>
        <v/>
      </c>
      <c r="C2447" s="30">
        <v>2446.0</v>
      </c>
      <c r="D2447" s="16" t="s">
        <v>3155</v>
      </c>
      <c r="E2447" s="16" t="s">
        <v>184</v>
      </c>
      <c r="F2447" s="16" t="s">
        <v>192</v>
      </c>
      <c r="G2447" s="16" t="s">
        <v>3034</v>
      </c>
      <c r="H2447" s="16" t="s">
        <v>300</v>
      </c>
      <c r="I2447" s="16" t="s">
        <v>3156</v>
      </c>
    </row>
    <row r="2448" ht="242.25" customHeight="1">
      <c r="B2448" s="32" t="str">
        <f>IMAGE("https://gymvisual.com/19559-catalog_default/kettlebell-rear-delt-row-female.jpg",4,500,500)</f>
        <v/>
      </c>
      <c r="C2448" s="30">
        <v>2447.0</v>
      </c>
      <c r="D2448" s="16" t="s">
        <v>3157</v>
      </c>
      <c r="E2448" s="16" t="s">
        <v>184</v>
      </c>
      <c r="F2448" s="16" t="s">
        <v>192</v>
      </c>
      <c r="G2448" s="16" t="s">
        <v>3034</v>
      </c>
      <c r="H2448" s="16" t="s">
        <v>220</v>
      </c>
      <c r="I2448" s="16" t="s">
        <v>220</v>
      </c>
    </row>
    <row r="2449" ht="242.25" customHeight="1">
      <c r="B2449" s="32" t="str">
        <f>IMAGE("https://gymvisual.com/24105-catalog_default/kettlebell-rear-lunge.jpg",4,500,500)</f>
        <v/>
      </c>
      <c r="C2449" s="30">
        <v>2448.0</v>
      </c>
      <c r="D2449" s="16" t="s">
        <v>3158</v>
      </c>
      <c r="E2449" s="16" t="s">
        <v>184</v>
      </c>
      <c r="F2449" s="16" t="s">
        <v>285</v>
      </c>
      <c r="G2449" s="16" t="s">
        <v>3034</v>
      </c>
      <c r="H2449" s="16" t="s">
        <v>220</v>
      </c>
      <c r="I2449" s="16" t="s">
        <v>220</v>
      </c>
    </row>
    <row r="2450" ht="242.25" customHeight="1">
      <c r="B2450" s="32" t="str">
        <f>IMAGE("https://gymvisual.com/11830-catalog_default/kettlebell-resistance-band-full-squat-from-deficit-female.jpg",4,500,500)</f>
        <v/>
      </c>
      <c r="C2450" s="30">
        <v>2449.0</v>
      </c>
      <c r="D2450" s="16" t="s">
        <v>3159</v>
      </c>
      <c r="E2450" s="16" t="s">
        <v>184</v>
      </c>
      <c r="F2450" s="16" t="s">
        <v>185</v>
      </c>
      <c r="G2450" s="16" t="s">
        <v>3160</v>
      </c>
      <c r="H2450" s="16" t="s">
        <v>220</v>
      </c>
      <c r="I2450" s="16" t="s">
        <v>220</v>
      </c>
    </row>
    <row r="2451" ht="242.25" customHeight="1">
      <c r="B2451" s="32" t="str">
        <f>IMAGE("https://gymvisual.com/22406-catalog_default/kettlebell-romanian-deadlift.jpg",4,500,500)</f>
        <v/>
      </c>
      <c r="C2451" s="30">
        <v>2450.0</v>
      </c>
      <c r="D2451" s="16" t="s">
        <v>3161</v>
      </c>
      <c r="E2451" s="16" t="s">
        <v>184</v>
      </c>
      <c r="F2451" s="16" t="s">
        <v>185</v>
      </c>
      <c r="G2451" s="16" t="s">
        <v>3034</v>
      </c>
      <c r="H2451" s="16" t="s">
        <v>220</v>
      </c>
      <c r="I2451" s="16" t="s">
        <v>220</v>
      </c>
    </row>
    <row r="2452" ht="242.25" customHeight="1">
      <c r="B2452" s="32" t="str">
        <f>IMAGE("https://gymvisual.com/26122-catalog_default/kettlebell-rotational-deadlift-male.jpg",4,500,500)</f>
        <v/>
      </c>
      <c r="C2452" s="30">
        <v>2451.0</v>
      </c>
      <c r="D2452" s="16" t="s">
        <v>3162</v>
      </c>
      <c r="E2452" s="16" t="s">
        <v>184</v>
      </c>
      <c r="F2452" s="16" t="s">
        <v>185</v>
      </c>
      <c r="G2452" s="16" t="s">
        <v>3034</v>
      </c>
      <c r="H2452" s="16" t="s">
        <v>220</v>
      </c>
      <c r="I2452" s="16" t="s">
        <v>220</v>
      </c>
    </row>
    <row r="2453" ht="242.25" customHeight="1">
      <c r="B2453" s="32" t="str">
        <f>IMAGE("https://gymvisual.com/19455-catalog_default/kettlebell-russian-twist.jpg",4,500,500)</f>
        <v/>
      </c>
      <c r="C2453" s="30">
        <v>2452.0</v>
      </c>
      <c r="D2453" s="16" t="s">
        <v>3163</v>
      </c>
      <c r="E2453" s="16" t="s">
        <v>184</v>
      </c>
      <c r="F2453" s="16" t="s">
        <v>254</v>
      </c>
      <c r="G2453" s="16" t="s">
        <v>3034</v>
      </c>
      <c r="H2453" s="16" t="s">
        <v>220</v>
      </c>
      <c r="I2453" s="16" t="s">
        <v>220</v>
      </c>
    </row>
    <row r="2454" ht="242.25" customHeight="1">
      <c r="B2454" s="32" t="str">
        <f>IMAGE("https://gymvisual.com/16406-catalog_default/kettlebell-seated-one-arm-military-press.jpg",4,500,500)</f>
        <v/>
      </c>
      <c r="C2454" s="30">
        <v>2453.0</v>
      </c>
      <c r="D2454" s="16" t="s">
        <v>3164</v>
      </c>
      <c r="E2454" s="16" t="s">
        <v>184</v>
      </c>
      <c r="F2454" s="16" t="s">
        <v>228</v>
      </c>
      <c r="G2454" s="16" t="s">
        <v>3034</v>
      </c>
      <c r="H2454" s="16" t="s">
        <v>229</v>
      </c>
      <c r="I2454" s="16" t="s">
        <v>626</v>
      </c>
    </row>
    <row r="2455" ht="242.25" customHeight="1">
      <c r="B2455" s="32" t="str">
        <f>IMAGE("https://gymvisual.com/1645-catalog_default/3-4-sit-up.jpg",4,500,500)</f>
        <v/>
      </c>
      <c r="C2455" s="30">
        <v>2454.0</v>
      </c>
      <c r="D2455" s="16" t="s">
        <v>3165</v>
      </c>
      <c r="E2455" s="16" t="s">
        <v>184</v>
      </c>
      <c r="F2455" s="16" t="s">
        <v>228</v>
      </c>
      <c r="G2455" s="16" t="s">
        <v>3034</v>
      </c>
      <c r="H2455" s="16" t="s">
        <v>229</v>
      </c>
      <c r="I2455" s="16" t="s">
        <v>626</v>
      </c>
    </row>
    <row r="2456" ht="242.25" customHeight="1">
      <c r="B2456" s="32" t="str">
        <f>IMAGE("https://gymvisual.com/6452-catalog_default/kettlebell-seated-two-arm-military-press.jpg",4,500,500)</f>
        <v/>
      </c>
      <c r="C2456" s="30">
        <v>2455.0</v>
      </c>
      <c r="D2456" s="16" t="s">
        <v>3166</v>
      </c>
      <c r="E2456" s="16" t="s">
        <v>184</v>
      </c>
      <c r="F2456" s="16" t="s">
        <v>228</v>
      </c>
      <c r="G2456" s="16" t="s">
        <v>3034</v>
      </c>
      <c r="H2456" s="16" t="s">
        <v>229</v>
      </c>
      <c r="I2456" s="16" t="s">
        <v>230</v>
      </c>
    </row>
    <row r="2457" ht="242.25" customHeight="1">
      <c r="B2457" s="32" t="str">
        <f>IMAGE("https://gymvisual.com/1648-catalog_default/3-4-sit-up.jpg",4,500,500)</f>
        <v/>
      </c>
      <c r="C2457" s="30">
        <v>2456.0</v>
      </c>
      <c r="D2457" s="16" t="s">
        <v>3167</v>
      </c>
      <c r="E2457" s="16" t="s">
        <v>184</v>
      </c>
      <c r="F2457" s="16" t="s">
        <v>228</v>
      </c>
      <c r="G2457" s="16" t="s">
        <v>3034</v>
      </c>
      <c r="H2457" s="16" t="s">
        <v>229</v>
      </c>
      <c r="I2457" s="16" t="s">
        <v>3168</v>
      </c>
    </row>
    <row r="2458" ht="242.25" customHeight="1">
      <c r="B2458" s="32" t="str">
        <f>IMAGE("https://gymvisual.com/19461-catalog_default/kettlebell-side-bend-version-2.jpg",4,500,500)</f>
        <v/>
      </c>
      <c r="C2458" s="30">
        <v>2457.0</v>
      </c>
      <c r="D2458" s="16" t="s">
        <v>3169</v>
      </c>
      <c r="E2458" s="16" t="s">
        <v>184</v>
      </c>
      <c r="F2458" s="16" t="s">
        <v>254</v>
      </c>
      <c r="G2458" s="16" t="s">
        <v>3034</v>
      </c>
      <c r="H2458" s="16" t="s">
        <v>220</v>
      </c>
      <c r="I2458" s="16" t="s">
        <v>220</v>
      </c>
    </row>
    <row r="2459" ht="242.25" customHeight="1">
      <c r="B2459" s="32" t="str">
        <f>IMAGE("https://gymvisual.com/19539-catalog_default/kettlebell-side-lunge-female.jpg",4,500,500)</f>
        <v/>
      </c>
      <c r="C2459" s="30">
        <v>2458.0</v>
      </c>
      <c r="D2459" s="16" t="s">
        <v>3170</v>
      </c>
      <c r="E2459" s="16" t="s">
        <v>184</v>
      </c>
      <c r="F2459" s="16" t="s">
        <v>285</v>
      </c>
      <c r="G2459" s="16" t="s">
        <v>3034</v>
      </c>
      <c r="H2459" s="16" t="s">
        <v>220</v>
      </c>
      <c r="I2459" s="16" t="s">
        <v>220</v>
      </c>
    </row>
    <row r="2460" ht="242.25" customHeight="1">
      <c r="B2460" s="32" t="str">
        <f>IMAGE("https://gymvisual.com/17897-catalog_default/kettlebell-side-lunge-male.jpg",4,500,500)</f>
        <v/>
      </c>
      <c r="C2460" s="30">
        <v>2459.0</v>
      </c>
      <c r="D2460" s="16" t="s">
        <v>3171</v>
      </c>
      <c r="E2460" s="16" t="s">
        <v>184</v>
      </c>
      <c r="F2460" s="16" t="s">
        <v>285</v>
      </c>
      <c r="G2460" s="16" t="s">
        <v>3034</v>
      </c>
      <c r="H2460" s="16" t="s">
        <v>220</v>
      </c>
      <c r="I2460" s="16" t="s">
        <v>220</v>
      </c>
    </row>
    <row r="2461" ht="242.25" customHeight="1">
      <c r="B2461" s="32" t="str">
        <f>IMAGE("https://gymvisual.com/26110-catalog_default/kettlebell-side-plank-male.jpg",4,500,500)</f>
        <v/>
      </c>
      <c r="C2461" s="30">
        <v>2460.0</v>
      </c>
      <c r="D2461" s="16" t="s">
        <v>3172</v>
      </c>
      <c r="E2461" s="16" t="s">
        <v>184</v>
      </c>
      <c r="F2461" s="16" t="s">
        <v>254</v>
      </c>
      <c r="G2461" s="16" t="s">
        <v>3034</v>
      </c>
      <c r="H2461" s="16" t="s">
        <v>220</v>
      </c>
      <c r="I2461" s="16" t="s">
        <v>220</v>
      </c>
    </row>
    <row r="2462" ht="242.25" customHeight="1">
      <c r="B2462" s="32" t="str">
        <f>IMAGE("https://gymvisual.com/19535-catalog_default/kettlebell-side-squat-step-female.jpg",4,500,500)</f>
        <v/>
      </c>
      <c r="C2462" s="30">
        <v>2461.0</v>
      </c>
      <c r="D2462" s="16" t="s">
        <v>3173</v>
      </c>
      <c r="E2462" s="16" t="s">
        <v>184</v>
      </c>
      <c r="F2462" s="16" t="s">
        <v>285</v>
      </c>
      <c r="G2462" s="16" t="s">
        <v>3034</v>
      </c>
      <c r="H2462" s="16" t="s">
        <v>220</v>
      </c>
      <c r="I2462" s="16" t="s">
        <v>220</v>
      </c>
    </row>
    <row r="2463" ht="242.25" customHeight="1">
      <c r="B2463" s="32" t="str">
        <f>IMAGE("https://gymvisual.com/19547-catalog_default/kettlebell-single-arm-clean-female.jpg",4,500,500)</f>
        <v/>
      </c>
      <c r="C2463" s="30">
        <v>2462.0</v>
      </c>
      <c r="D2463" s="16" t="s">
        <v>3174</v>
      </c>
      <c r="E2463" s="16" t="s">
        <v>184</v>
      </c>
      <c r="F2463" s="16" t="s">
        <v>764</v>
      </c>
      <c r="G2463" s="16" t="s">
        <v>3034</v>
      </c>
      <c r="H2463" s="16" t="s">
        <v>220</v>
      </c>
      <c r="I2463" s="16" t="s">
        <v>220</v>
      </c>
    </row>
    <row r="2464" ht="242.25" customHeight="1">
      <c r="B2464" s="32" t="str">
        <f>IMAGE("https://gymvisual.com/19549-catalog_default/kettlebell-single-arm-clean-and-press-female.jpg",4,500,500)</f>
        <v/>
      </c>
      <c r="C2464" s="30">
        <v>2463.0</v>
      </c>
      <c r="D2464" s="16" t="s">
        <v>3175</v>
      </c>
      <c r="E2464" s="16" t="s">
        <v>184</v>
      </c>
      <c r="F2464" s="16" t="s">
        <v>764</v>
      </c>
      <c r="G2464" s="16" t="s">
        <v>3034</v>
      </c>
      <c r="H2464" s="16" t="s">
        <v>220</v>
      </c>
      <c r="I2464" s="16" t="s">
        <v>220</v>
      </c>
    </row>
    <row r="2465" ht="242.25" customHeight="1">
      <c r="B2465" s="32" t="str">
        <f>IMAGE("https://gymvisual.com/24107-catalog_default/kettlebell-single-arm-overhead-lunge.jpg",4,500,500)</f>
        <v/>
      </c>
      <c r="C2465" s="30">
        <v>2464.0</v>
      </c>
      <c r="D2465" s="16" t="s">
        <v>3176</v>
      </c>
      <c r="E2465" s="16" t="s">
        <v>184</v>
      </c>
      <c r="F2465" s="16" t="s">
        <v>285</v>
      </c>
      <c r="G2465" s="16" t="s">
        <v>3034</v>
      </c>
      <c r="H2465" s="16" t="s">
        <v>220</v>
      </c>
      <c r="I2465" s="16" t="s">
        <v>220</v>
      </c>
    </row>
    <row r="2466" ht="242.25" customHeight="1">
      <c r="B2466" s="32" t="str">
        <f>IMAGE("https://gymvisual.com/19557-catalog_default/kettlebell-single-arm-sit-up-female.jpg",4,500,500)</f>
        <v/>
      </c>
      <c r="C2466" s="30">
        <v>2465.0</v>
      </c>
      <c r="D2466" s="16" t="s">
        <v>3177</v>
      </c>
      <c r="E2466" s="16" t="s">
        <v>184</v>
      </c>
      <c r="F2466" s="16" t="s">
        <v>234</v>
      </c>
      <c r="G2466" s="16" t="s">
        <v>3034</v>
      </c>
      <c r="H2466" s="16" t="s">
        <v>220</v>
      </c>
      <c r="I2466" s="16" t="s">
        <v>220</v>
      </c>
    </row>
    <row r="2467" ht="242.25" customHeight="1">
      <c r="B2467" s="32" t="str">
        <f>IMAGE("https://gymvisual.com/19541-catalog_default/kettlebell-single-arm-swing-female.jpg",4,500,500)</f>
        <v/>
      </c>
      <c r="C2467" s="30">
        <v>2466.0</v>
      </c>
      <c r="D2467" s="16" t="s">
        <v>3178</v>
      </c>
      <c r="E2467" s="16" t="s">
        <v>184</v>
      </c>
      <c r="F2467" s="16" t="s">
        <v>185</v>
      </c>
      <c r="G2467" s="16" t="s">
        <v>3034</v>
      </c>
      <c r="H2467" s="16" t="s">
        <v>220</v>
      </c>
      <c r="I2467" s="16" t="s">
        <v>220</v>
      </c>
    </row>
    <row r="2468" ht="242.25" customHeight="1">
      <c r="B2468" s="32" t="str">
        <f>IMAGE("https://gymvisual.com/19523-catalog_default/kettlebell-single-arm-thruster-female.jpg",4,500,500)</f>
        <v/>
      </c>
      <c r="C2468" s="30">
        <v>2467.0</v>
      </c>
      <c r="D2468" s="16" t="s">
        <v>3179</v>
      </c>
      <c r="E2468" s="16" t="s">
        <v>184</v>
      </c>
      <c r="F2468" s="16" t="s">
        <v>764</v>
      </c>
      <c r="G2468" s="16" t="s">
        <v>3034</v>
      </c>
      <c r="H2468" s="16" t="s">
        <v>220</v>
      </c>
      <c r="I2468" s="16" t="s">
        <v>220</v>
      </c>
    </row>
    <row r="2469" ht="242.25" customHeight="1">
      <c r="B2469" s="32" t="str">
        <f>IMAGE("https://gymvisual.com/17947-catalog_default/kettlebell-single-front-squat-male.jpg",4,500,500)</f>
        <v/>
      </c>
      <c r="C2469" s="30">
        <v>2468.0</v>
      </c>
      <c r="D2469" s="16" t="s">
        <v>3180</v>
      </c>
      <c r="E2469" s="16" t="s">
        <v>184</v>
      </c>
      <c r="F2469" s="16" t="s">
        <v>285</v>
      </c>
      <c r="G2469" s="16" t="s">
        <v>3034</v>
      </c>
      <c r="H2469" s="16" t="s">
        <v>220</v>
      </c>
      <c r="I2469" s="16" t="s">
        <v>220</v>
      </c>
    </row>
    <row r="2470" ht="242.25" customHeight="1">
      <c r="B2470" s="32" t="str">
        <f>IMAGE("https://gymvisual.com/19533-catalog_default/kettlebell-single-leg-deadlift-female.jpg",4,500,500)</f>
        <v/>
      </c>
      <c r="C2470" s="30">
        <v>2469.0</v>
      </c>
      <c r="D2470" s="16" t="s">
        <v>3181</v>
      </c>
      <c r="E2470" s="16" t="s">
        <v>184</v>
      </c>
      <c r="F2470" s="16" t="s">
        <v>185</v>
      </c>
      <c r="G2470" s="16" t="s">
        <v>3034</v>
      </c>
      <c r="H2470" s="16" t="s">
        <v>220</v>
      </c>
      <c r="I2470" s="16" t="s">
        <v>220</v>
      </c>
    </row>
    <row r="2471" ht="242.25" customHeight="1">
      <c r="B2471" s="32" t="str">
        <f>IMAGE("https://gymvisual.com/14054-catalog_default/kettlebell-single-leg-glute-bridge-pullover.jpg",4,500,500)</f>
        <v/>
      </c>
      <c r="C2471" s="30">
        <v>2470.0</v>
      </c>
      <c r="D2471" s="16" t="s">
        <v>3182</v>
      </c>
      <c r="E2471" s="16" t="s">
        <v>184</v>
      </c>
      <c r="F2471" s="16" t="s">
        <v>3183</v>
      </c>
      <c r="G2471" s="16" t="s">
        <v>3034</v>
      </c>
      <c r="H2471" s="16" t="s">
        <v>3184</v>
      </c>
      <c r="I2471" s="16" t="s">
        <v>220</v>
      </c>
    </row>
    <row r="2472" ht="242.25" customHeight="1">
      <c r="B2472" s="32" t="str">
        <f>IMAGE("https://gymvisual.com/17969-catalog_default/kettlebell-single-leg-step-up-male.jpg",4,500,500)</f>
        <v/>
      </c>
      <c r="C2472" s="30">
        <v>2471.0</v>
      </c>
      <c r="D2472" s="16" t="s">
        <v>3185</v>
      </c>
      <c r="E2472" s="16" t="s">
        <v>184</v>
      </c>
      <c r="F2472" s="16" t="s">
        <v>285</v>
      </c>
      <c r="G2472" s="16" t="s">
        <v>3034</v>
      </c>
      <c r="H2472" s="16" t="s">
        <v>220</v>
      </c>
      <c r="I2472" s="16" t="s">
        <v>220</v>
      </c>
    </row>
    <row r="2473" ht="242.25" customHeight="1">
      <c r="B2473" s="32" t="str">
        <f>IMAGE("https://gymvisual.com/4461-catalog_default/kettlebell-sit-up.jpg",4,500,500)</f>
        <v/>
      </c>
      <c r="C2473" s="30">
        <v>2472.0</v>
      </c>
      <c r="D2473" s="16" t="s">
        <v>3186</v>
      </c>
      <c r="E2473" s="16" t="s">
        <v>184</v>
      </c>
      <c r="F2473" s="16" t="s">
        <v>254</v>
      </c>
      <c r="G2473" s="16" t="s">
        <v>3034</v>
      </c>
      <c r="H2473" s="16" t="s">
        <v>256</v>
      </c>
      <c r="I2473" s="16" t="s">
        <v>257</v>
      </c>
    </row>
    <row r="2474" ht="242.25" customHeight="1">
      <c r="B2474" s="32" t="str">
        <f>IMAGE("https://gymvisual.com/19531-catalog_default/kettlebell-sit-up-female.jpg",4,500,500)</f>
        <v/>
      </c>
      <c r="C2474" s="30">
        <v>2473.0</v>
      </c>
      <c r="D2474" s="16" t="s">
        <v>3187</v>
      </c>
      <c r="E2474" s="16" t="s">
        <v>184</v>
      </c>
      <c r="F2474" s="16" t="s">
        <v>234</v>
      </c>
      <c r="G2474" s="16" t="s">
        <v>3034</v>
      </c>
      <c r="H2474" s="16" t="s">
        <v>220</v>
      </c>
      <c r="I2474" s="16" t="s">
        <v>220</v>
      </c>
    </row>
    <row r="2475" ht="242.25" customHeight="1">
      <c r="B2475" s="32" t="str">
        <f>IMAGE("https://gymvisual.com/24109-catalog_default/kettlebell-sit-up-press.jpg",4,500,500)</f>
        <v/>
      </c>
      <c r="C2475" s="30">
        <v>2474.0</v>
      </c>
      <c r="D2475" s="16" t="s">
        <v>3188</v>
      </c>
      <c r="E2475" s="16" t="s">
        <v>184</v>
      </c>
      <c r="F2475" s="16" t="s">
        <v>254</v>
      </c>
      <c r="G2475" s="16" t="s">
        <v>3034</v>
      </c>
      <c r="H2475" s="16" t="s">
        <v>220</v>
      </c>
      <c r="I2475" s="16" t="s">
        <v>220</v>
      </c>
    </row>
    <row r="2476" ht="242.25" customHeight="1">
      <c r="B2476" s="32" t="str">
        <f>IMAGE("https://gymvisual.com/14215-catalog_default/kettlebell-slingshot.jpg",4,500,500)</f>
        <v/>
      </c>
      <c r="C2476" s="30">
        <v>2475.0</v>
      </c>
      <c r="D2476" s="16" t="s">
        <v>3189</v>
      </c>
      <c r="E2476" s="16" t="s">
        <v>184</v>
      </c>
      <c r="F2476" s="16" t="s">
        <v>228</v>
      </c>
      <c r="G2476" s="16" t="s">
        <v>3034</v>
      </c>
      <c r="H2476" s="16" t="s">
        <v>333</v>
      </c>
      <c r="I2476" s="16" t="s">
        <v>220</v>
      </c>
    </row>
    <row r="2477" ht="242.25" customHeight="1">
      <c r="B2477" s="32" t="str">
        <f>IMAGE("https://gymvisual.com/19551-catalog_default/kettlebell-snatch-female.jpg",4,500,500)</f>
        <v/>
      </c>
      <c r="C2477" s="30">
        <v>2476.0</v>
      </c>
      <c r="D2477" s="16" t="s">
        <v>3190</v>
      </c>
      <c r="E2477" s="16" t="s">
        <v>184</v>
      </c>
      <c r="F2477" s="16" t="s">
        <v>764</v>
      </c>
      <c r="G2477" s="16" t="s">
        <v>3034</v>
      </c>
      <c r="H2477" s="16" t="s">
        <v>220</v>
      </c>
      <c r="I2477" s="16" t="s">
        <v>220</v>
      </c>
    </row>
    <row r="2478" ht="242.25" customHeight="1">
      <c r="B2478" s="32" t="str">
        <f>IMAGE("https://gymvisual.com/14205-catalog_default/kettlebell-sots-press.jpg",4,500,500)</f>
        <v/>
      </c>
      <c r="C2478" s="30">
        <v>2477.0</v>
      </c>
      <c r="D2478" s="16" t="s">
        <v>3191</v>
      </c>
      <c r="E2478" s="16" t="s">
        <v>184</v>
      </c>
      <c r="F2478" s="16" t="s">
        <v>691</v>
      </c>
      <c r="G2478" s="16" t="s">
        <v>3034</v>
      </c>
      <c r="H2478" s="16" t="s">
        <v>793</v>
      </c>
      <c r="I2478" s="16" t="s">
        <v>1130</v>
      </c>
    </row>
    <row r="2479" ht="242.25" customHeight="1">
      <c r="B2479" s="32" t="str">
        <f>IMAGE("https://gymvisual.com/18055-catalog_default/kettlebell-split-snatch.jpg",4,500,500)</f>
        <v/>
      </c>
      <c r="C2479" s="30">
        <v>2478.0</v>
      </c>
      <c r="D2479" s="16" t="s">
        <v>3192</v>
      </c>
      <c r="E2479" s="16" t="s">
        <v>184</v>
      </c>
      <c r="F2479" s="16" t="s">
        <v>185</v>
      </c>
      <c r="G2479" s="16" t="s">
        <v>3034</v>
      </c>
      <c r="H2479" s="16" t="s">
        <v>220</v>
      </c>
      <c r="I2479" s="16" t="s">
        <v>220</v>
      </c>
    </row>
    <row r="2480" ht="242.25" customHeight="1">
      <c r="B2480" s="32" t="str">
        <f>IMAGE("https://gymvisual.com/17851-catalog_default/kettlebell-split-squat.jpg",4,500,500)</f>
        <v/>
      </c>
      <c r="C2480" s="30">
        <v>2479.0</v>
      </c>
      <c r="D2480" s="16" t="s">
        <v>3193</v>
      </c>
      <c r="E2480" s="16" t="s">
        <v>184</v>
      </c>
      <c r="F2480" s="16" t="s">
        <v>285</v>
      </c>
      <c r="G2480" s="16" t="s">
        <v>3034</v>
      </c>
      <c r="H2480" s="16" t="s">
        <v>220</v>
      </c>
      <c r="I2480" s="16" t="s">
        <v>220</v>
      </c>
    </row>
    <row r="2481" ht="242.25" customHeight="1">
      <c r="B2481" s="32" t="str">
        <f>IMAGE("https://gymvisual.com/16404-catalog_default/kettlebell-standing-bottoms-up-one-arm-shoulder-press.jpg",4,500,500)</f>
        <v/>
      </c>
      <c r="C2481" s="30">
        <v>2480.0</v>
      </c>
      <c r="D2481" s="16" t="s">
        <v>3194</v>
      </c>
      <c r="E2481" s="16" t="s">
        <v>184</v>
      </c>
      <c r="F2481" s="16" t="s">
        <v>228</v>
      </c>
      <c r="G2481" s="16" t="s">
        <v>3034</v>
      </c>
      <c r="H2481" s="16" t="s">
        <v>229</v>
      </c>
      <c r="I2481" s="16" t="s">
        <v>626</v>
      </c>
    </row>
    <row r="2482" ht="242.25" customHeight="1">
      <c r="B2482" s="32" t="str">
        <f>IMAGE("https://gymvisual.com/26082-catalog_default/kettlebell-standing-calf-raise.jpg",4,500,500)</f>
        <v/>
      </c>
      <c r="C2482" s="30">
        <v>2481.0</v>
      </c>
      <c r="D2482" s="16" t="s">
        <v>3195</v>
      </c>
      <c r="E2482" s="16" t="s">
        <v>184</v>
      </c>
      <c r="F2482" s="16" t="s">
        <v>325</v>
      </c>
      <c r="G2482" s="16" t="s">
        <v>3034</v>
      </c>
      <c r="H2482" s="16" t="s">
        <v>220</v>
      </c>
      <c r="I2482" s="16" t="s">
        <v>220</v>
      </c>
    </row>
    <row r="2483" ht="242.25" customHeight="1">
      <c r="B2483" s="32" t="str">
        <f>IMAGE("https://gymvisual.com/26100-catalog_default/kettlebell-standing-one-arm-extension.jpg",4,500,500)</f>
        <v/>
      </c>
      <c r="C2483" s="30">
        <v>2482.0</v>
      </c>
      <c r="D2483" s="16" t="s">
        <v>3196</v>
      </c>
      <c r="E2483" s="16" t="s">
        <v>184</v>
      </c>
      <c r="F2483" s="16" t="s">
        <v>219</v>
      </c>
      <c r="G2483" s="16" t="s">
        <v>3034</v>
      </c>
      <c r="H2483" s="16" t="s">
        <v>220</v>
      </c>
      <c r="I2483" s="16" t="s">
        <v>220</v>
      </c>
    </row>
    <row r="2484" ht="242.25" customHeight="1">
      <c r="B2484" s="32" t="str">
        <f>IMAGE("https://gymvisual.com/19555-catalog_default/kettlebell-standing-slingshots-female.jpg",4,500,500)</f>
        <v/>
      </c>
      <c r="C2484" s="30">
        <v>2483.0</v>
      </c>
      <c r="D2484" s="16" t="s">
        <v>3197</v>
      </c>
      <c r="E2484" s="16" t="s">
        <v>184</v>
      </c>
      <c r="F2484" s="16" t="s">
        <v>228</v>
      </c>
      <c r="G2484" s="16" t="s">
        <v>3034</v>
      </c>
      <c r="H2484" s="16" t="s">
        <v>220</v>
      </c>
      <c r="I2484" s="16" t="s">
        <v>220</v>
      </c>
    </row>
    <row r="2485" ht="242.25" customHeight="1">
      <c r="B2485" s="32" t="str">
        <f>IMAGE("https://gymvisual.com/19469-catalog_default/kettlebell-step-up.jpg",4,500,500)</f>
        <v/>
      </c>
      <c r="C2485" s="30">
        <v>2484.0</v>
      </c>
      <c r="D2485" s="16" t="s">
        <v>3198</v>
      </c>
      <c r="E2485" s="16" t="s">
        <v>184</v>
      </c>
      <c r="F2485" s="16" t="s">
        <v>285</v>
      </c>
      <c r="G2485" s="16" t="s">
        <v>3034</v>
      </c>
      <c r="H2485" s="16" t="s">
        <v>220</v>
      </c>
      <c r="I2485" s="16" t="s">
        <v>220</v>
      </c>
    </row>
    <row r="2486" ht="242.25" customHeight="1">
      <c r="B2486" s="32" t="str">
        <f>IMAGE("https://gymvisual.com/19501-catalog_default/kettlebell-step-up-version-2.jpg",4,500,500)</f>
        <v/>
      </c>
      <c r="C2486" s="30">
        <v>2485.0</v>
      </c>
      <c r="D2486" s="16" t="s">
        <v>3199</v>
      </c>
      <c r="E2486" s="16" t="s">
        <v>184</v>
      </c>
      <c r="F2486" s="16" t="s">
        <v>285</v>
      </c>
      <c r="G2486" s="16" t="s">
        <v>3034</v>
      </c>
      <c r="H2486" s="16" t="s">
        <v>189</v>
      </c>
      <c r="I2486" s="16" t="s">
        <v>190</v>
      </c>
    </row>
    <row r="2487" ht="242.25" customHeight="1">
      <c r="B2487" s="32" t="str">
        <f>IMAGE("https://gymvisual.com/16398-catalog_default/kettlebell-straight-leg-deadlift.jpg",4,500,500)</f>
        <v/>
      </c>
      <c r="C2487" s="30">
        <v>2486.0</v>
      </c>
      <c r="D2487" s="16" t="s">
        <v>3200</v>
      </c>
      <c r="E2487" s="16" t="s">
        <v>184</v>
      </c>
      <c r="F2487" s="16" t="s">
        <v>185</v>
      </c>
      <c r="G2487" s="16" t="s">
        <v>3034</v>
      </c>
      <c r="H2487" s="16" t="s">
        <v>267</v>
      </c>
      <c r="I2487" s="16" t="s">
        <v>3201</v>
      </c>
    </row>
    <row r="2488" ht="242.25" customHeight="1">
      <c r="B2488" s="32" t="str">
        <f>IMAGE("https://gymvisual.com/14203-catalog_default/kettlebell-strict-press.jpg",4,500,500)</f>
        <v/>
      </c>
      <c r="C2488" s="30">
        <v>2487.0</v>
      </c>
      <c r="D2488" s="16" t="s">
        <v>3202</v>
      </c>
      <c r="E2488" s="16" t="s">
        <v>184</v>
      </c>
      <c r="F2488" s="16" t="s">
        <v>228</v>
      </c>
      <c r="G2488" s="16" t="s">
        <v>3034</v>
      </c>
      <c r="H2488" s="16" t="s">
        <v>229</v>
      </c>
      <c r="I2488" s="16" t="s">
        <v>626</v>
      </c>
    </row>
    <row r="2489" ht="242.25" customHeight="1">
      <c r="B2489" s="32" t="str">
        <f>IMAGE("https://gymvisual.com/17967-catalog_default/kettlebell-suitcase-deadlift-male.jpg",4,500,500)</f>
        <v/>
      </c>
      <c r="C2489" s="30">
        <v>2488.0</v>
      </c>
      <c r="D2489" s="16" t="s">
        <v>3203</v>
      </c>
      <c r="E2489" s="16" t="s">
        <v>184</v>
      </c>
      <c r="F2489" s="16" t="s">
        <v>185</v>
      </c>
      <c r="G2489" s="16" t="s">
        <v>3034</v>
      </c>
      <c r="H2489" s="16" t="s">
        <v>187</v>
      </c>
      <c r="I2489" s="16" t="s">
        <v>482</v>
      </c>
    </row>
    <row r="2490" ht="242.25" customHeight="1">
      <c r="B2490" s="32" t="str">
        <f>IMAGE("https://gymvisual.com/17825-catalog_default/kettlebell-sumo-deadlift.jpg",4,500,500)</f>
        <v/>
      </c>
      <c r="C2490" s="30">
        <v>2489.0</v>
      </c>
      <c r="D2490" s="16" t="s">
        <v>3204</v>
      </c>
      <c r="E2490" s="16" t="s">
        <v>184</v>
      </c>
      <c r="F2490" s="16" t="s">
        <v>185</v>
      </c>
      <c r="G2490" s="16" t="s">
        <v>3034</v>
      </c>
      <c r="H2490" s="16" t="s">
        <v>220</v>
      </c>
      <c r="I2490" s="16" t="s">
        <v>220</v>
      </c>
    </row>
    <row r="2491" ht="242.25" customHeight="1">
      <c r="B2491" s="32" t="str">
        <f>IMAGE("https://gymvisual.com/17965-catalog_default/kettlebell-sumo-deadlift-with-high-pull-male.jpg",4,500,500)</f>
        <v/>
      </c>
      <c r="C2491" s="30">
        <v>2490.0</v>
      </c>
      <c r="D2491" s="16" t="s">
        <v>3205</v>
      </c>
      <c r="E2491" s="16" t="s">
        <v>184</v>
      </c>
      <c r="F2491" s="16" t="s">
        <v>185</v>
      </c>
      <c r="G2491" s="16" t="s">
        <v>3034</v>
      </c>
      <c r="H2491" s="16" t="s">
        <v>189</v>
      </c>
      <c r="I2491" s="16" t="s">
        <v>1121</v>
      </c>
    </row>
    <row r="2492" ht="242.25" customHeight="1">
      <c r="B2492" s="32" t="str">
        <f>IMAGE("https://gymvisual.com/1651-catalog_default/3-4-sit-up.jpg",4,500,500)</f>
        <v/>
      </c>
      <c r="C2492" s="30">
        <v>2491.0</v>
      </c>
      <c r="D2492" s="16" t="s">
        <v>3206</v>
      </c>
      <c r="E2492" s="16" t="s">
        <v>184</v>
      </c>
      <c r="F2492" s="16" t="s">
        <v>192</v>
      </c>
      <c r="G2492" s="16" t="s">
        <v>3034</v>
      </c>
      <c r="H2492" s="16" t="s">
        <v>3207</v>
      </c>
      <c r="I2492" s="16" t="s">
        <v>220</v>
      </c>
    </row>
    <row r="2493" ht="242.25" customHeight="1">
      <c r="B2493" s="32" t="str">
        <f>IMAGE("https://gymvisual.com/17879-catalog_default/kettlebell-sumo-squat-male.jpg",4,500,500)</f>
        <v/>
      </c>
      <c r="C2493" s="30">
        <v>2492.0</v>
      </c>
      <c r="D2493" s="16" t="s">
        <v>3208</v>
      </c>
      <c r="E2493" s="16" t="s">
        <v>184</v>
      </c>
      <c r="F2493" s="16" t="s">
        <v>185</v>
      </c>
      <c r="G2493" s="16" t="s">
        <v>3034</v>
      </c>
      <c r="H2493" s="16" t="s">
        <v>220</v>
      </c>
      <c r="I2493" s="16" t="s">
        <v>220</v>
      </c>
    </row>
    <row r="2494" ht="242.25" customHeight="1">
      <c r="B2494" s="32" t="str">
        <f>IMAGE("https://gymvisual.com/24111-catalog_default/kettlebell-sumo-squat-version-2.jpg",4,500,500)</f>
        <v/>
      </c>
      <c r="C2494" s="30">
        <v>2493.0</v>
      </c>
      <c r="D2494" s="16" t="s">
        <v>3209</v>
      </c>
      <c r="E2494" s="16" t="s">
        <v>184</v>
      </c>
      <c r="F2494" s="16" t="s">
        <v>185</v>
      </c>
      <c r="G2494" s="16" t="s">
        <v>3034</v>
      </c>
      <c r="H2494" s="16" t="s">
        <v>220</v>
      </c>
      <c r="I2494" s="16" t="s">
        <v>220</v>
      </c>
    </row>
    <row r="2495" ht="242.25" customHeight="1">
      <c r="B2495" s="32" t="str">
        <f>IMAGE("https://gymvisual.com/1654-catalog_default/3-4-sit-up.jpg",4,500,500)</f>
        <v/>
      </c>
      <c r="C2495" s="30">
        <v>2494.0</v>
      </c>
      <c r="D2495" s="16" t="s">
        <v>3210</v>
      </c>
      <c r="E2495" s="16" t="s">
        <v>184</v>
      </c>
      <c r="F2495" s="16" t="s">
        <v>285</v>
      </c>
      <c r="G2495" s="16" t="s">
        <v>3034</v>
      </c>
      <c r="H2495" s="16" t="s">
        <v>2060</v>
      </c>
      <c r="I2495" s="16" t="s">
        <v>2061</v>
      </c>
    </row>
    <row r="2496" ht="242.25" customHeight="1">
      <c r="B2496" s="32" t="str">
        <f>IMAGE("https://gymvisual.com/11170-catalog_default/kettlebell-swing-female.jpg",4,500,500)</f>
        <v/>
      </c>
      <c r="C2496" s="30">
        <v>2495.0</v>
      </c>
      <c r="D2496" s="16" t="s">
        <v>3211</v>
      </c>
      <c r="E2496" s="16" t="s">
        <v>184</v>
      </c>
      <c r="F2496" s="16" t="s">
        <v>691</v>
      </c>
      <c r="G2496" s="16" t="s">
        <v>3034</v>
      </c>
      <c r="H2496" s="16" t="s">
        <v>2060</v>
      </c>
      <c r="I2496" s="16" t="s">
        <v>2061</v>
      </c>
    </row>
    <row r="2497" ht="242.25" customHeight="1">
      <c r="B2497" s="32" t="str">
        <f>IMAGE("https://gymvisual.com/23062-catalog_default/kettlebell-swing-clean-grip-front-squat-overhead-press.jpg",4,500,500)</f>
        <v/>
      </c>
      <c r="C2497" s="30">
        <v>2496.0</v>
      </c>
      <c r="D2497" s="16" t="s">
        <v>3212</v>
      </c>
      <c r="E2497" s="16" t="s">
        <v>184</v>
      </c>
      <c r="F2497" s="16" t="s">
        <v>185</v>
      </c>
      <c r="G2497" s="16" t="s">
        <v>3034</v>
      </c>
      <c r="H2497" s="16" t="s">
        <v>220</v>
      </c>
      <c r="I2497" s="16" t="s">
        <v>220</v>
      </c>
    </row>
    <row r="2498" ht="242.25" customHeight="1">
      <c r="B2498" s="32" t="str">
        <f>IMAGE("https://gymvisual.com/1657-catalog_default/3-4-sit-up.jpg",4,500,500)</f>
        <v/>
      </c>
      <c r="C2498" s="30">
        <v>2497.0</v>
      </c>
      <c r="D2498" s="16" t="s">
        <v>3213</v>
      </c>
      <c r="E2498" s="16" t="s">
        <v>184</v>
      </c>
      <c r="F2498" s="16" t="s">
        <v>228</v>
      </c>
      <c r="G2498" s="16" t="s">
        <v>3034</v>
      </c>
      <c r="H2498" s="16" t="s">
        <v>3214</v>
      </c>
      <c r="I2498" s="16" t="s">
        <v>220</v>
      </c>
    </row>
    <row r="2499" ht="242.25" customHeight="1">
      <c r="B2499" s="32" t="str">
        <f>IMAGE("https://gymvisual.com/19521-catalog_default/kettlebell-thruster-female.jpg",4,500,500)</f>
        <v/>
      </c>
      <c r="C2499" s="30">
        <v>2498.0</v>
      </c>
      <c r="D2499" s="16" t="s">
        <v>3215</v>
      </c>
      <c r="E2499" s="16" t="s">
        <v>184</v>
      </c>
      <c r="F2499" s="16" t="s">
        <v>764</v>
      </c>
      <c r="G2499" s="16" t="s">
        <v>3034</v>
      </c>
      <c r="H2499" s="16" t="s">
        <v>220</v>
      </c>
      <c r="I2499" s="16" t="s">
        <v>220</v>
      </c>
    </row>
    <row r="2500" ht="242.25" customHeight="1">
      <c r="B2500" s="32" t="str">
        <f>IMAGE("https://gymvisual.com/13261-catalog_default/3-4-sit-up.jpg",4,500,500)</f>
        <v/>
      </c>
      <c r="C2500" s="30">
        <v>2499.0</v>
      </c>
      <c r="D2500" s="16" t="s">
        <v>3216</v>
      </c>
      <c r="E2500" s="16" t="s">
        <v>184</v>
      </c>
      <c r="F2500" s="16" t="s">
        <v>285</v>
      </c>
      <c r="G2500" s="16" t="s">
        <v>3034</v>
      </c>
      <c r="H2500" s="16" t="s">
        <v>3217</v>
      </c>
      <c r="I2500" s="16" t="s">
        <v>220</v>
      </c>
    </row>
    <row r="2501" ht="242.25" customHeight="1">
      <c r="B2501" s="32" t="str">
        <f>IMAGE("https://gymvisual.com/17847-catalog_default/kettlebell-turkish-get-up-to-hand.jpg",4,500,500)</f>
        <v/>
      </c>
      <c r="C2501" s="30">
        <v>2500.0</v>
      </c>
      <c r="D2501" s="16" t="s">
        <v>3218</v>
      </c>
      <c r="E2501" s="16" t="s">
        <v>184</v>
      </c>
      <c r="F2501" s="16" t="s">
        <v>285</v>
      </c>
      <c r="G2501" s="16" t="s">
        <v>3034</v>
      </c>
      <c r="H2501" s="16" t="s">
        <v>220</v>
      </c>
      <c r="I2501" s="16" t="s">
        <v>220</v>
      </c>
    </row>
    <row r="2502" ht="242.25" customHeight="1">
      <c r="B2502" s="32" t="str">
        <f>IMAGE("https://gymvisual.com/1662-catalog_default/3-4-sit-up.jpg",4,500,500)</f>
        <v/>
      </c>
      <c r="C2502" s="30">
        <v>2501.0</v>
      </c>
      <c r="D2502" s="16" t="s">
        <v>3219</v>
      </c>
      <c r="E2502" s="16" t="s">
        <v>184</v>
      </c>
      <c r="F2502" s="16" t="s">
        <v>228</v>
      </c>
      <c r="G2502" s="16" t="s">
        <v>3034</v>
      </c>
      <c r="H2502" s="16" t="s">
        <v>220</v>
      </c>
      <c r="I2502" s="16" t="s">
        <v>220</v>
      </c>
    </row>
    <row r="2503" ht="242.25" customHeight="1">
      <c r="B2503" s="32" t="str">
        <f>IMAGE("https://gymvisual.com/1665-catalog_default/3-4-sit-up.jpg",4,500,500)</f>
        <v/>
      </c>
      <c r="C2503" s="30">
        <v>2502.0</v>
      </c>
      <c r="D2503" s="16" t="s">
        <v>3220</v>
      </c>
      <c r="E2503" s="16" t="s">
        <v>184</v>
      </c>
      <c r="F2503" s="16" t="s">
        <v>228</v>
      </c>
      <c r="G2503" s="16" t="s">
        <v>3034</v>
      </c>
      <c r="H2503" s="16" t="s">
        <v>229</v>
      </c>
      <c r="I2503" s="16" t="s">
        <v>230</v>
      </c>
    </row>
    <row r="2504" ht="242.25" customHeight="1">
      <c r="B2504" s="32" t="str">
        <f>IMAGE("https://gymvisual.com/14181-catalog_default/kettlebell-two-arm-row.jpg",4,500,500)</f>
        <v/>
      </c>
      <c r="C2504" s="30">
        <v>2503.0</v>
      </c>
      <c r="D2504" s="16" t="s">
        <v>3221</v>
      </c>
      <c r="E2504" s="16" t="s">
        <v>184</v>
      </c>
      <c r="F2504" s="16" t="s">
        <v>192</v>
      </c>
      <c r="G2504" s="16" t="s">
        <v>3034</v>
      </c>
      <c r="H2504" s="16" t="s">
        <v>329</v>
      </c>
      <c r="I2504" s="16" t="s">
        <v>457</v>
      </c>
    </row>
    <row r="2505" ht="242.25" customHeight="1">
      <c r="B2505" s="32" t="str">
        <f>IMAGE("https://gymvisual.com/19485-catalog_default/kettlebell-upright-row.jpg",4,500,500)</f>
        <v/>
      </c>
      <c r="C2505" s="30">
        <v>2504.0</v>
      </c>
      <c r="D2505" s="16" t="s">
        <v>3222</v>
      </c>
      <c r="E2505" s="16" t="s">
        <v>184</v>
      </c>
      <c r="F2505" s="16" t="s">
        <v>228</v>
      </c>
      <c r="G2505" s="16" t="s">
        <v>3034</v>
      </c>
      <c r="H2505" s="16" t="s">
        <v>544</v>
      </c>
      <c r="I2505" s="16" t="s">
        <v>713</v>
      </c>
    </row>
    <row r="2506" ht="242.25" customHeight="1">
      <c r="B2506" s="32" t="str">
        <f>IMAGE("https://gymvisual.com/1668-catalog_default/3-4-sit-up.jpg",4,500,500)</f>
        <v/>
      </c>
      <c r="C2506" s="30">
        <v>2505.0</v>
      </c>
      <c r="D2506" s="16" t="s">
        <v>3223</v>
      </c>
      <c r="E2506" s="16" t="s">
        <v>184</v>
      </c>
      <c r="F2506" s="16" t="s">
        <v>254</v>
      </c>
      <c r="G2506" s="16" t="s">
        <v>3034</v>
      </c>
      <c r="H2506" s="16" t="s">
        <v>424</v>
      </c>
      <c r="I2506" s="16" t="s">
        <v>476</v>
      </c>
    </row>
    <row r="2507" ht="242.25" customHeight="1">
      <c r="B2507" s="32" t="str">
        <f>IMAGE("https://gymvisual.com/19525-catalog_default/kettlebell-windmill-female.jpg",4,500,500)</f>
        <v/>
      </c>
      <c r="C2507" s="30">
        <v>2506.0</v>
      </c>
      <c r="D2507" s="16" t="s">
        <v>3224</v>
      </c>
      <c r="E2507" s="16" t="s">
        <v>184</v>
      </c>
      <c r="F2507" s="16" t="s">
        <v>254</v>
      </c>
      <c r="G2507" s="16" t="s">
        <v>3034</v>
      </c>
      <c r="H2507" s="16" t="s">
        <v>220</v>
      </c>
      <c r="I2507" s="16" t="s">
        <v>220</v>
      </c>
    </row>
    <row r="2508" ht="242.25" customHeight="1">
      <c r="B2508" s="32" t="str">
        <f>IMAGE("https://gymvisual.com/26098-catalog_default/kettlebell-wrist-curl.jpg",4,500,500)</f>
        <v/>
      </c>
      <c r="C2508" s="30">
        <v>2507.0</v>
      </c>
      <c r="D2508" s="16" t="s">
        <v>3225</v>
      </c>
      <c r="E2508" s="16" t="s">
        <v>184</v>
      </c>
      <c r="F2508" s="16" t="s">
        <v>214</v>
      </c>
      <c r="G2508" s="16" t="s">
        <v>3034</v>
      </c>
      <c r="H2508" s="16" t="s">
        <v>220</v>
      </c>
      <c r="I2508" s="16" t="s">
        <v>220</v>
      </c>
    </row>
    <row r="2509" ht="242.25" customHeight="1">
      <c r="B2509" s="32" t="str">
        <f>IMAGE("https://gymvisual.com/19475-catalog_default/kettlebells-sumo-deadlift.jpg",4,500,500)</f>
        <v/>
      </c>
      <c r="C2509" s="30">
        <v>2508.0</v>
      </c>
      <c r="D2509" s="16" t="s">
        <v>3226</v>
      </c>
      <c r="E2509" s="16" t="s">
        <v>184</v>
      </c>
      <c r="F2509" s="16" t="s">
        <v>185</v>
      </c>
      <c r="G2509" s="16" t="s">
        <v>3034</v>
      </c>
      <c r="H2509" s="16" t="s">
        <v>220</v>
      </c>
      <c r="I2509" s="16" t="s">
        <v>220</v>
      </c>
    </row>
    <row r="2510" ht="242.25" customHeight="1">
      <c r="B2510" s="32" t="str">
        <f>IMAGE("https://gymvisual.com/1671-catalog_default/3-4-sit-up.jpg",4,500,500)</f>
        <v/>
      </c>
      <c r="C2510" s="30">
        <v>2509.0</v>
      </c>
      <c r="D2510" s="16" t="s">
        <v>3227</v>
      </c>
      <c r="E2510" s="16" t="s">
        <v>184</v>
      </c>
      <c r="F2510" s="16" t="s">
        <v>285</v>
      </c>
      <c r="G2510" s="16" t="s">
        <v>255</v>
      </c>
      <c r="H2510" s="16" t="s">
        <v>854</v>
      </c>
      <c r="I2510" s="16" t="s">
        <v>190</v>
      </c>
    </row>
    <row r="2511" ht="242.25" customHeight="1">
      <c r="B2511" s="32" t="str">
        <f>IMAGE("https://gymvisual.com/1676-catalog_default/3-4-sit-up.jpg",4,500,500)</f>
        <v/>
      </c>
      <c r="C2511" s="30">
        <v>2510.0</v>
      </c>
      <c r="D2511" s="16" t="s">
        <v>3228</v>
      </c>
      <c r="E2511" s="16" t="s">
        <v>184</v>
      </c>
      <c r="F2511" s="16" t="s">
        <v>185</v>
      </c>
      <c r="G2511" s="16" t="s">
        <v>255</v>
      </c>
      <c r="H2511" s="16" t="s">
        <v>187</v>
      </c>
      <c r="I2511" s="16" t="s">
        <v>3229</v>
      </c>
    </row>
    <row r="2512" ht="242.25" customHeight="1">
      <c r="B2512" s="32" t="str">
        <f>IMAGE("https://gymvisual.com/1673-catalog_default/3-4-sit-up.jpg",4,500,500)</f>
        <v/>
      </c>
      <c r="C2512" s="30">
        <v>2511.0</v>
      </c>
      <c r="D2512" s="16" t="s">
        <v>3230</v>
      </c>
      <c r="E2512" s="16" t="s">
        <v>184</v>
      </c>
      <c r="F2512" s="16" t="s">
        <v>185</v>
      </c>
      <c r="G2512" s="16" t="s">
        <v>255</v>
      </c>
      <c r="H2512" s="16" t="s">
        <v>187</v>
      </c>
      <c r="I2512" s="16" t="s">
        <v>3229</v>
      </c>
    </row>
    <row r="2513" ht="242.25" customHeight="1">
      <c r="B2513" s="32" t="str">
        <f>IMAGE("https://gymvisual.com/24330-catalog_default/kipping-handstand-push-up.jpg",4,500,500)</f>
        <v/>
      </c>
      <c r="C2513" s="30">
        <v>2512.0</v>
      </c>
      <c r="D2513" s="16" t="s">
        <v>3231</v>
      </c>
      <c r="E2513" s="16" t="s">
        <v>184</v>
      </c>
      <c r="F2513" s="16" t="s">
        <v>228</v>
      </c>
      <c r="G2513" s="16" t="s">
        <v>255</v>
      </c>
      <c r="H2513" s="16" t="s">
        <v>220</v>
      </c>
      <c r="I2513" s="16" t="s">
        <v>220</v>
      </c>
    </row>
    <row r="2514" ht="242.25" customHeight="1">
      <c r="B2514" s="32" t="str">
        <f>IMAGE("https://gymvisual.com/1679-catalog_default/3-4-sit-up.jpg",4,500,500)</f>
        <v/>
      </c>
      <c r="C2514" s="30">
        <v>2513.0</v>
      </c>
      <c r="D2514" s="16" t="s">
        <v>3232</v>
      </c>
      <c r="E2514" s="16" t="s">
        <v>184</v>
      </c>
      <c r="F2514" s="16" t="s">
        <v>192</v>
      </c>
      <c r="G2514" s="16" t="s">
        <v>255</v>
      </c>
      <c r="H2514" s="16" t="s">
        <v>1230</v>
      </c>
      <c r="I2514" s="16" t="s">
        <v>3233</v>
      </c>
    </row>
    <row r="2515" ht="242.25" customHeight="1">
      <c r="B2515" s="32" t="str">
        <f>IMAGE("https://gymvisual.com/18802-catalog_default/knee-raise-male.jpg",4,500,500)</f>
        <v/>
      </c>
      <c r="C2515" s="30">
        <v>2514.0</v>
      </c>
      <c r="D2515" s="16" t="s">
        <v>3234</v>
      </c>
      <c r="E2515" s="16" t="s">
        <v>184</v>
      </c>
      <c r="F2515" s="16" t="s">
        <v>285</v>
      </c>
      <c r="G2515" s="16" t="s">
        <v>255</v>
      </c>
      <c r="H2515" s="16" t="s">
        <v>189</v>
      </c>
      <c r="I2515" s="16" t="s">
        <v>220</v>
      </c>
    </row>
    <row r="2516" ht="242.25" customHeight="1">
      <c r="B2516" s="32" t="str">
        <f>IMAGE("https://gymvisual.com/14370-catalog_default/knee-touch-crunch.jpg",4,500,500)</f>
        <v/>
      </c>
      <c r="C2516" s="30">
        <v>2515.0</v>
      </c>
      <c r="D2516" s="16" t="s">
        <v>3235</v>
      </c>
      <c r="E2516" s="16" t="s">
        <v>184</v>
      </c>
      <c r="F2516" s="16" t="s">
        <v>254</v>
      </c>
      <c r="G2516" s="16" t="s">
        <v>255</v>
      </c>
      <c r="H2516" s="16" t="s">
        <v>256</v>
      </c>
      <c r="I2516" s="16" t="s">
        <v>257</v>
      </c>
    </row>
    <row r="2517" ht="242.25" customHeight="1">
      <c r="B2517" s="32" t="str">
        <f>IMAGE("https://gymvisual.com/22141-catalog_default/knee-touch-crunch-female.jpg",4,500,500)</f>
        <v/>
      </c>
      <c r="C2517" s="30">
        <v>2516.0</v>
      </c>
      <c r="D2517" s="16" t="s">
        <v>3236</v>
      </c>
      <c r="E2517" s="16" t="s">
        <v>184</v>
      </c>
      <c r="F2517" s="16" t="s">
        <v>254</v>
      </c>
      <c r="G2517" s="16" t="s">
        <v>255</v>
      </c>
      <c r="H2517" s="16" t="s">
        <v>220</v>
      </c>
      <c r="I2517" s="16" t="s">
        <v>220</v>
      </c>
    </row>
    <row r="2518" ht="242.25" customHeight="1">
      <c r="B2518" s="32" t="str">
        <f>IMAGE("https://gymvisual.com/24057-catalog_default/knee-tuck-oblique-crunch.jpg",4,500,500)</f>
        <v/>
      </c>
      <c r="C2518" s="30">
        <v>2517.0</v>
      </c>
      <c r="D2518" s="16" t="s">
        <v>3237</v>
      </c>
      <c r="E2518" s="16" t="s">
        <v>184</v>
      </c>
      <c r="F2518" s="16" t="s">
        <v>254</v>
      </c>
      <c r="G2518" s="16" t="s">
        <v>255</v>
      </c>
      <c r="H2518" s="16" t="s">
        <v>220</v>
      </c>
      <c r="I2518" s="16" t="s">
        <v>220</v>
      </c>
    </row>
    <row r="2519" ht="242.25" customHeight="1">
      <c r="B2519" s="32" t="str">
        <f>IMAGE("https://gymvisual.com/20479-catalog_default/kneeling-abdominal-draw-in.jpg",4,500,500)</f>
        <v/>
      </c>
      <c r="C2519" s="30">
        <v>2518.0</v>
      </c>
      <c r="D2519" s="16" t="s">
        <v>3238</v>
      </c>
      <c r="E2519" s="16" t="s">
        <v>184</v>
      </c>
      <c r="F2519" s="16" t="s">
        <v>254</v>
      </c>
      <c r="G2519" s="16" t="s">
        <v>255</v>
      </c>
      <c r="H2519" s="16" t="s">
        <v>256</v>
      </c>
      <c r="I2519" s="16" t="s">
        <v>220</v>
      </c>
    </row>
    <row r="2520" ht="242.25" customHeight="1">
      <c r="B2520" s="32" t="str">
        <f>IMAGE("https://gymvisual.com/20730-catalog_default/kneeling-assisted-sliding-chin-up.jpg",4,500,500)</f>
        <v/>
      </c>
      <c r="C2520" s="30">
        <v>2519.0</v>
      </c>
      <c r="D2520" s="16" t="s">
        <v>3239</v>
      </c>
      <c r="E2520" s="16" t="s">
        <v>184</v>
      </c>
      <c r="F2520" s="16" t="s">
        <v>192</v>
      </c>
      <c r="G2520" s="16" t="s">
        <v>255</v>
      </c>
      <c r="H2520" s="16" t="s">
        <v>329</v>
      </c>
      <c r="I2520" s="16" t="s">
        <v>3240</v>
      </c>
    </row>
    <row r="2521" ht="242.25" customHeight="1">
      <c r="B2521" s="32" t="str">
        <f>IMAGE("https://gymvisual.com/12194-catalog_default/kneeling-battling-ropes.jpg",4,500,500)</f>
        <v/>
      </c>
      <c r="C2521" s="30">
        <v>2520.0</v>
      </c>
      <c r="D2521" s="16" t="s">
        <v>3241</v>
      </c>
      <c r="E2521" s="16" t="s">
        <v>184</v>
      </c>
      <c r="F2521" s="16" t="s">
        <v>321</v>
      </c>
      <c r="G2521" s="16" t="s">
        <v>1160</v>
      </c>
      <c r="H2521" s="16" t="s">
        <v>220</v>
      </c>
      <c r="I2521" s="16" t="s">
        <v>220</v>
      </c>
    </row>
    <row r="2522" ht="242.25" customHeight="1">
      <c r="B2522" s="32" t="str">
        <f>IMAGE("https://gymvisual.com/13994-catalog_default/kneeling-cobra-push-up.jpg",4,500,500)</f>
        <v/>
      </c>
      <c r="C2522" s="30">
        <v>2521.0</v>
      </c>
      <c r="D2522" s="16" t="s">
        <v>3242</v>
      </c>
      <c r="E2522" s="16" t="s">
        <v>184</v>
      </c>
      <c r="F2522" s="16" t="s">
        <v>1798</v>
      </c>
      <c r="G2522" s="16" t="s">
        <v>255</v>
      </c>
      <c r="H2522" s="16" t="s">
        <v>1799</v>
      </c>
      <c r="I2522" s="16" t="s">
        <v>382</v>
      </c>
    </row>
    <row r="2523" ht="242.25" customHeight="1">
      <c r="B2523" s="32" t="str">
        <f>IMAGE("https://gymvisual.com/24673-catalog_default/kneeling-forward-hip-circles.jpg",4,500,500)</f>
        <v/>
      </c>
      <c r="C2523" s="30">
        <v>2522.0</v>
      </c>
      <c r="D2523" s="16" t="s">
        <v>3243</v>
      </c>
      <c r="E2523" s="16" t="s">
        <v>184</v>
      </c>
      <c r="F2523" s="16" t="s">
        <v>185</v>
      </c>
      <c r="G2523" s="16" t="s">
        <v>255</v>
      </c>
      <c r="H2523" s="16" t="s">
        <v>220</v>
      </c>
      <c r="I2523" s="16" t="s">
        <v>220</v>
      </c>
    </row>
    <row r="2524" ht="242.25" customHeight="1">
      <c r="B2524" s="32" t="str">
        <f>IMAGE("https://gymvisual.com/22434-catalog_default/kneeling-half-triceps-extension.jpg",4,500,500)</f>
        <v/>
      </c>
      <c r="C2524" s="30">
        <v>2523.0</v>
      </c>
      <c r="D2524" s="16" t="s">
        <v>3244</v>
      </c>
      <c r="E2524" s="16" t="s">
        <v>184</v>
      </c>
      <c r="F2524" s="16" t="s">
        <v>219</v>
      </c>
      <c r="G2524" s="16" t="s">
        <v>255</v>
      </c>
      <c r="H2524" s="16" t="s">
        <v>220</v>
      </c>
      <c r="I2524" s="16" t="s">
        <v>220</v>
      </c>
    </row>
    <row r="2525" ht="242.25" customHeight="1">
      <c r="B2525" s="32" t="str">
        <f>IMAGE("https://gymvisual.com/1685-catalog_default/3-4-sit-up.jpg",4,500,500)</f>
        <v/>
      </c>
      <c r="C2525" s="30">
        <v>2524.0</v>
      </c>
      <c r="D2525" s="16" t="s">
        <v>3245</v>
      </c>
      <c r="E2525" s="16" t="s">
        <v>184</v>
      </c>
      <c r="F2525" s="16" t="s">
        <v>285</v>
      </c>
      <c r="G2525" s="16" t="s">
        <v>255</v>
      </c>
      <c r="H2525" s="16" t="s">
        <v>189</v>
      </c>
      <c r="I2525" s="16" t="s">
        <v>220</v>
      </c>
    </row>
    <row r="2526" ht="242.25" customHeight="1">
      <c r="B2526" s="32" t="str">
        <f>IMAGE("https://gymvisual.com/22785-catalog_default/kneeling-hip-thrust-female.jpg",4,500,500)</f>
        <v/>
      </c>
      <c r="C2526" s="30">
        <v>2525.0</v>
      </c>
      <c r="D2526" s="16" t="s">
        <v>3246</v>
      </c>
      <c r="E2526" s="16" t="s">
        <v>184</v>
      </c>
      <c r="F2526" s="16" t="s">
        <v>185</v>
      </c>
      <c r="G2526" s="16" t="s">
        <v>255</v>
      </c>
      <c r="H2526" s="16" t="s">
        <v>187</v>
      </c>
      <c r="I2526" s="16" t="s">
        <v>854</v>
      </c>
    </row>
    <row r="2527" ht="242.25" customHeight="1">
      <c r="B2527" s="32" t="str">
        <f>IMAGE("https://gymvisual.com/22797-catalog_default/kneeling-leg-half-circle-female.jpg",4,500,500)</f>
        <v/>
      </c>
      <c r="C2527" s="30">
        <v>2526.0</v>
      </c>
      <c r="D2527" s="16" t="s">
        <v>3247</v>
      </c>
      <c r="E2527" s="16" t="s">
        <v>184</v>
      </c>
      <c r="F2527" s="16" t="s">
        <v>185</v>
      </c>
      <c r="G2527" s="16" t="s">
        <v>255</v>
      </c>
      <c r="H2527" s="16" t="s">
        <v>3248</v>
      </c>
      <c r="I2527" s="16" t="s">
        <v>1323</v>
      </c>
    </row>
    <row r="2528" ht="242.25" customHeight="1">
      <c r="B2528" s="32" t="str">
        <f>IMAGE("https://gymvisual.com/23661-catalog_default/kneeling-leg-half-circle-male.jpg",4,500,500)</f>
        <v/>
      </c>
      <c r="C2528" s="30">
        <v>2527.0</v>
      </c>
      <c r="D2528" s="16" t="s">
        <v>3249</v>
      </c>
      <c r="E2528" s="16" t="s">
        <v>184</v>
      </c>
      <c r="F2528" s="16" t="s">
        <v>185</v>
      </c>
      <c r="G2528" s="16" t="s">
        <v>255</v>
      </c>
      <c r="H2528" s="16" t="s">
        <v>3248</v>
      </c>
      <c r="I2528" s="16" t="s">
        <v>1323</v>
      </c>
    </row>
    <row r="2529" ht="242.25" customHeight="1">
      <c r="B2529" s="32" t="str">
        <f>IMAGE("https://gymvisual.com/22518-catalog_default/kneeling-modified-hindu-push-up-male.jpg",4,500,500)</f>
        <v/>
      </c>
      <c r="C2529" s="30">
        <v>2528.0</v>
      </c>
      <c r="D2529" s="16" t="s">
        <v>3250</v>
      </c>
      <c r="E2529" s="16" t="s">
        <v>184</v>
      </c>
      <c r="F2529" s="16" t="s">
        <v>254</v>
      </c>
      <c r="G2529" s="16" t="s">
        <v>255</v>
      </c>
      <c r="H2529" s="16" t="s">
        <v>220</v>
      </c>
      <c r="I2529" s="16" t="s">
        <v>220</v>
      </c>
    </row>
    <row r="2530" ht="242.25" customHeight="1">
      <c r="B2530" s="32" t="str">
        <f>IMAGE("https://gymvisual.com/22831-catalog_default/kneeling-plank-female.jpg",4,500,500)</f>
        <v/>
      </c>
      <c r="C2530" s="30">
        <v>2529.0</v>
      </c>
      <c r="D2530" s="16" t="s">
        <v>3251</v>
      </c>
      <c r="E2530" s="16" t="s">
        <v>184</v>
      </c>
      <c r="F2530" s="16" t="s">
        <v>254</v>
      </c>
      <c r="G2530" s="16" t="s">
        <v>255</v>
      </c>
      <c r="H2530" s="16" t="s">
        <v>305</v>
      </c>
      <c r="I2530" s="16" t="s">
        <v>3252</v>
      </c>
    </row>
    <row r="2531" ht="242.25" customHeight="1">
      <c r="B2531" s="32" t="str">
        <f>IMAGE("https://gymvisual.com/13501-catalog_default/kneeling-plank-male.jpg",4,500,500)</f>
        <v/>
      </c>
      <c r="C2531" s="30">
        <v>2530.0</v>
      </c>
      <c r="D2531" s="16" t="s">
        <v>3253</v>
      </c>
      <c r="E2531" s="16" t="s">
        <v>184</v>
      </c>
      <c r="F2531" s="16" t="s">
        <v>254</v>
      </c>
      <c r="G2531" s="16" t="s">
        <v>255</v>
      </c>
      <c r="H2531" s="16" t="s">
        <v>256</v>
      </c>
      <c r="I2531" s="16" t="s">
        <v>3254</v>
      </c>
    </row>
    <row r="2532" ht="242.25" customHeight="1">
      <c r="B2532" s="32" t="str">
        <f>IMAGE("https://gymvisual.com/13503-catalog_default/kneeling-plank-tap-shoulder-male.jpg",4,500,500)</f>
        <v/>
      </c>
      <c r="C2532" s="30">
        <v>2531.0</v>
      </c>
      <c r="D2532" s="16" t="s">
        <v>3255</v>
      </c>
      <c r="E2532" s="16" t="s">
        <v>184</v>
      </c>
      <c r="F2532" s="16" t="s">
        <v>254</v>
      </c>
      <c r="G2532" s="16" t="s">
        <v>255</v>
      </c>
      <c r="H2532" s="16" t="s">
        <v>220</v>
      </c>
      <c r="I2532" s="16" t="s">
        <v>220</v>
      </c>
    </row>
    <row r="2533" ht="242.25" customHeight="1">
      <c r="B2533" s="32" t="str">
        <f>IMAGE("https://gymvisual.com/23633-catalog_default/kneeling-pulse.jpg",4,500,500)</f>
        <v/>
      </c>
      <c r="C2533" s="30">
        <v>2532.0</v>
      </c>
      <c r="D2533" s="16" t="s">
        <v>3256</v>
      </c>
      <c r="E2533" s="16" t="s">
        <v>184</v>
      </c>
      <c r="F2533" s="16" t="s">
        <v>185</v>
      </c>
      <c r="G2533" s="16" t="s">
        <v>255</v>
      </c>
      <c r="H2533" s="16" t="s">
        <v>267</v>
      </c>
      <c r="I2533" s="16" t="s">
        <v>188</v>
      </c>
    </row>
    <row r="2534" ht="242.25" customHeight="1">
      <c r="B2534" s="32" t="str">
        <f>IMAGE("https://gymvisual.com/23937-catalog_default/kneeling-pulse-male.jpg",4,500,500)</f>
        <v/>
      </c>
      <c r="C2534" s="30">
        <v>2533.0</v>
      </c>
      <c r="D2534" s="16" t="s">
        <v>3257</v>
      </c>
      <c r="E2534" s="16" t="s">
        <v>184</v>
      </c>
      <c r="F2534" s="16" t="s">
        <v>185</v>
      </c>
      <c r="G2534" s="16" t="s">
        <v>255</v>
      </c>
      <c r="H2534" s="16" t="s">
        <v>267</v>
      </c>
      <c r="I2534" s="16" t="s">
        <v>188</v>
      </c>
    </row>
    <row r="2535" ht="242.25" customHeight="1">
      <c r="B2535" s="32" t="str">
        <f>IMAGE("https://gymvisual.com/12897-catalog_default/kneeling-push-up-male.jpg",4,500,500)</f>
        <v/>
      </c>
      <c r="C2535" s="30">
        <v>2534.0</v>
      </c>
      <c r="D2535" s="16" t="s">
        <v>3258</v>
      </c>
      <c r="E2535" s="16" t="s">
        <v>184</v>
      </c>
      <c r="F2535" s="16" t="s">
        <v>234</v>
      </c>
      <c r="G2535" s="16" t="s">
        <v>255</v>
      </c>
      <c r="H2535" s="16" t="s">
        <v>235</v>
      </c>
      <c r="I2535" s="16" t="s">
        <v>243</v>
      </c>
    </row>
    <row r="2536" ht="242.25" customHeight="1">
      <c r="B2536" s="32" t="str">
        <f>IMAGE("https://gymvisual.com/14000-catalog_default/kneeling-rotational-push-up.jpg",4,500,500)</f>
        <v/>
      </c>
      <c r="C2536" s="30">
        <v>2535.0</v>
      </c>
      <c r="D2536" s="16" t="s">
        <v>3259</v>
      </c>
      <c r="E2536" s="16" t="s">
        <v>184</v>
      </c>
      <c r="F2536" s="16" t="s">
        <v>3260</v>
      </c>
      <c r="G2536" s="16" t="s">
        <v>255</v>
      </c>
      <c r="H2536" s="16" t="s">
        <v>1874</v>
      </c>
      <c r="I2536" s="16" t="s">
        <v>3261</v>
      </c>
    </row>
    <row r="2537" ht="242.25" customHeight="1">
      <c r="B2537" s="32" t="str">
        <f>IMAGE("https://gymvisual.com/17935-catalog_default/kneeling-scapular-push-up-male.jpg",4,500,500)</f>
        <v/>
      </c>
      <c r="C2537" s="30">
        <v>2536.0</v>
      </c>
      <c r="D2537" s="16" t="s">
        <v>3262</v>
      </c>
      <c r="E2537" s="16" t="s">
        <v>184</v>
      </c>
      <c r="F2537" s="16" t="s">
        <v>192</v>
      </c>
      <c r="G2537" s="16" t="s">
        <v>255</v>
      </c>
      <c r="H2537" s="16" t="s">
        <v>220</v>
      </c>
      <c r="I2537" s="16" t="s">
        <v>220</v>
      </c>
    </row>
    <row r="2538" ht="242.25" customHeight="1">
      <c r="B2538" s="32" t="str">
        <f>IMAGE("https://gymvisual.com/22157-catalog_default/kneeling-shoulder-tap.jpg",4,500,500)</f>
        <v/>
      </c>
      <c r="C2538" s="30">
        <v>2537.0</v>
      </c>
      <c r="D2538" s="16" t="s">
        <v>3263</v>
      </c>
      <c r="E2538" s="16" t="s">
        <v>184</v>
      </c>
      <c r="F2538" s="16" t="s">
        <v>234</v>
      </c>
      <c r="G2538" s="16" t="s">
        <v>255</v>
      </c>
      <c r="H2538" s="16" t="s">
        <v>235</v>
      </c>
      <c r="I2538" s="16" t="s">
        <v>2985</v>
      </c>
    </row>
    <row r="2539" ht="242.25" customHeight="1">
      <c r="B2539" s="32" t="str">
        <f>IMAGE("https://gymvisual.com/23641-catalog_default/kneeling-shoulder-tap-female.jpg",4,500,500)</f>
        <v/>
      </c>
      <c r="C2539" s="30">
        <v>2538.0</v>
      </c>
      <c r="D2539" s="16" t="s">
        <v>3264</v>
      </c>
      <c r="E2539" s="16" t="s">
        <v>184</v>
      </c>
      <c r="F2539" s="16" t="s">
        <v>254</v>
      </c>
      <c r="G2539" s="16" t="s">
        <v>255</v>
      </c>
      <c r="H2539" s="16" t="s">
        <v>235</v>
      </c>
      <c r="I2539" s="16" t="s">
        <v>3265</v>
      </c>
    </row>
    <row r="2540" ht="242.25" customHeight="1">
      <c r="B2540" s="32" t="str">
        <f>IMAGE("https://gymvisual.com/23637-catalog_default/kneeling-shoulder-tap-push-up-female.jpg",4,500,500)</f>
        <v/>
      </c>
      <c r="C2540" s="30">
        <v>2539.0</v>
      </c>
      <c r="D2540" s="16" t="s">
        <v>3266</v>
      </c>
      <c r="E2540" s="16" t="s">
        <v>184</v>
      </c>
      <c r="F2540" s="16" t="s">
        <v>321</v>
      </c>
      <c r="G2540" s="16" t="s">
        <v>255</v>
      </c>
      <c r="H2540" s="16" t="s">
        <v>235</v>
      </c>
      <c r="I2540" s="16" t="s">
        <v>3267</v>
      </c>
    </row>
    <row r="2541" ht="242.25" customHeight="1">
      <c r="B2541" s="32" t="str">
        <f>IMAGE("https://gymvisual.com/22795-catalog_default/kneeling-side-leg-to-kick-female.jpg",4,500,500)</f>
        <v/>
      </c>
      <c r="C2541" s="30">
        <v>2540.0</v>
      </c>
      <c r="D2541" s="16" t="s">
        <v>3268</v>
      </c>
      <c r="E2541" s="16" t="s">
        <v>184</v>
      </c>
      <c r="F2541" s="16" t="s">
        <v>185</v>
      </c>
      <c r="G2541" s="16" t="s">
        <v>255</v>
      </c>
      <c r="H2541" s="16" t="s">
        <v>3269</v>
      </c>
      <c r="I2541" s="16" t="s">
        <v>3270</v>
      </c>
    </row>
    <row r="2542" ht="242.25" customHeight="1">
      <c r="B2542" s="32" t="str">
        <f>IMAGE("https://gymvisual.com/23657-catalog_default/kneeling-side-leg-to-kick-male.jpg",4,500,500)</f>
        <v/>
      </c>
      <c r="C2542" s="30">
        <v>2541.0</v>
      </c>
      <c r="D2542" s="16" t="s">
        <v>3271</v>
      </c>
      <c r="E2542" s="16" t="s">
        <v>184</v>
      </c>
      <c r="F2542" s="16" t="s">
        <v>185</v>
      </c>
      <c r="G2542" s="16" t="s">
        <v>255</v>
      </c>
      <c r="H2542" s="16" t="s">
        <v>295</v>
      </c>
      <c r="I2542" s="16" t="s">
        <v>476</v>
      </c>
    </row>
    <row r="2543" ht="242.25" customHeight="1">
      <c r="B2543" s="32" t="str">
        <f>IMAGE("https://gymvisual.com/24685-catalog_default/kneeling-staggered-push-up-female.jpg",4,500,500)</f>
        <v/>
      </c>
      <c r="C2543" s="30">
        <v>2542.0</v>
      </c>
      <c r="D2543" s="16" t="s">
        <v>3272</v>
      </c>
      <c r="E2543" s="16" t="s">
        <v>184</v>
      </c>
      <c r="F2543" s="16" t="s">
        <v>234</v>
      </c>
      <c r="G2543" s="16" t="s">
        <v>255</v>
      </c>
      <c r="H2543" s="16" t="s">
        <v>220</v>
      </c>
      <c r="I2543" s="16" t="s">
        <v>220</v>
      </c>
    </row>
    <row r="2544" ht="242.25" customHeight="1">
      <c r="B2544" s="32" t="str">
        <f>IMAGE("https://gymvisual.com/22287-catalog_default/kneeling-straight-leg-kickback-version-2-female.jpg",4,500,500)</f>
        <v/>
      </c>
      <c r="C2544" s="30">
        <v>2543.0</v>
      </c>
      <c r="D2544" s="16" t="s">
        <v>3273</v>
      </c>
      <c r="E2544" s="16" t="s">
        <v>184</v>
      </c>
      <c r="F2544" s="16" t="s">
        <v>185</v>
      </c>
      <c r="G2544" s="16" t="s">
        <v>255</v>
      </c>
      <c r="H2544" s="16" t="s">
        <v>220</v>
      </c>
      <c r="I2544" s="16" t="s">
        <v>220</v>
      </c>
    </row>
    <row r="2545" ht="242.25" customHeight="1">
      <c r="B2545" s="32" t="str">
        <f>IMAGE("https://gymvisual.com/22440-catalog_default/kneeling-straight-leg-side-kick-female.jpg",4,500,500)</f>
        <v/>
      </c>
      <c r="C2545" s="30">
        <v>2544.0</v>
      </c>
      <c r="D2545" s="16" t="s">
        <v>3274</v>
      </c>
      <c r="E2545" s="16" t="s">
        <v>184</v>
      </c>
      <c r="F2545" s="16" t="s">
        <v>185</v>
      </c>
      <c r="G2545" s="16" t="s">
        <v>255</v>
      </c>
      <c r="H2545" s="16" t="s">
        <v>220</v>
      </c>
      <c r="I2545" s="16" t="s">
        <v>220</v>
      </c>
    </row>
    <row r="2546" ht="242.25" customHeight="1">
      <c r="B2546" s="32" t="str">
        <f>IMAGE("https://gymvisual.com/14141-catalog_default/kneeling-wide-hand-push-up.jpg",4,500,500)</f>
        <v/>
      </c>
      <c r="C2546" s="30">
        <v>2545.0</v>
      </c>
      <c r="D2546" s="16" t="s">
        <v>3275</v>
      </c>
      <c r="E2546" s="16" t="s">
        <v>184</v>
      </c>
      <c r="F2546" s="16" t="s">
        <v>234</v>
      </c>
      <c r="G2546" s="16" t="s">
        <v>255</v>
      </c>
      <c r="H2546" s="16" t="s">
        <v>347</v>
      </c>
      <c r="I2546" s="16" t="s">
        <v>382</v>
      </c>
    </row>
    <row r="2547" ht="242.25" customHeight="1">
      <c r="B2547" s="32" t="str">
        <f>IMAGE("https://gymvisual.com/18019-catalog_default/knuckle-push-up.jpg",4,500,500)</f>
        <v/>
      </c>
      <c r="C2547" s="30">
        <v>2546.0</v>
      </c>
      <c r="D2547" s="16" t="s">
        <v>3276</v>
      </c>
      <c r="E2547" s="16" t="s">
        <v>184</v>
      </c>
      <c r="F2547" s="16" t="s">
        <v>234</v>
      </c>
      <c r="G2547" s="16" t="s">
        <v>255</v>
      </c>
      <c r="H2547" s="16" t="s">
        <v>220</v>
      </c>
      <c r="I2547" s="16" t="s">
        <v>220</v>
      </c>
    </row>
    <row r="2548" ht="242.25" customHeight="1">
      <c r="B2548" s="32" t="str">
        <f>IMAGE("https://gymvisual.com/13513-catalog_default/korean-dips.jpg",4,500,500)</f>
        <v/>
      </c>
      <c r="C2548" s="30">
        <v>2547.0</v>
      </c>
      <c r="D2548" s="16" t="s">
        <v>3277</v>
      </c>
      <c r="E2548" s="16" t="s">
        <v>184</v>
      </c>
      <c r="F2548" s="16" t="s">
        <v>234</v>
      </c>
      <c r="G2548" s="16" t="s">
        <v>255</v>
      </c>
      <c r="H2548" s="16" t="s">
        <v>235</v>
      </c>
      <c r="I2548" s="16" t="s">
        <v>3278</v>
      </c>
    </row>
    <row r="2549" ht="242.25" customHeight="1">
      <c r="B2549" s="32" t="str">
        <f>IMAGE("https://gymvisual.com/13876-catalog_default/l-pull-up.jpg",4,500,500)</f>
        <v/>
      </c>
      <c r="C2549" s="30">
        <v>2548.0</v>
      </c>
      <c r="D2549" s="16" t="s">
        <v>3279</v>
      </c>
      <c r="E2549" s="16" t="s">
        <v>184</v>
      </c>
      <c r="F2549" s="16" t="s">
        <v>361</v>
      </c>
      <c r="G2549" s="16" t="s">
        <v>255</v>
      </c>
      <c r="H2549" s="16" t="s">
        <v>220</v>
      </c>
      <c r="I2549" s="16" t="s">
        <v>220</v>
      </c>
    </row>
    <row r="2550" ht="242.25" customHeight="1">
      <c r="B2550" s="32" t="str">
        <f>IMAGE("https://gymvisual.com/6243-catalog_default/l-sit.jpg",4,500,500)</f>
        <v/>
      </c>
      <c r="C2550" s="30">
        <v>2549.0</v>
      </c>
      <c r="D2550" s="16" t="s">
        <v>3280</v>
      </c>
      <c r="E2550" s="16" t="s">
        <v>184</v>
      </c>
      <c r="F2550" s="16" t="s">
        <v>254</v>
      </c>
      <c r="G2550" s="16" t="s">
        <v>255</v>
      </c>
      <c r="H2550" s="16" t="s">
        <v>3281</v>
      </c>
      <c r="I2550" s="16" t="s">
        <v>220</v>
      </c>
    </row>
    <row r="2551" ht="242.25" customHeight="1">
      <c r="A2551" s="32" t="b">
        <v>0</v>
      </c>
      <c r="B2551" s="32" t="str">
        <f>IMAGE("https://gymvisual.com/1691-catalog_default/3-4-sit-up.jpg",4,500,500)</f>
        <v/>
      </c>
      <c r="C2551" s="30">
        <v>2550.0</v>
      </c>
      <c r="D2551" s="16" t="s">
        <v>3282</v>
      </c>
      <c r="E2551" s="16" t="s">
        <v>184</v>
      </c>
      <c r="F2551" s="16" t="s">
        <v>254</v>
      </c>
      <c r="G2551" s="16" t="s">
        <v>186</v>
      </c>
      <c r="H2551" s="16" t="s">
        <v>257</v>
      </c>
      <c r="I2551" s="16" t="s">
        <v>256</v>
      </c>
    </row>
    <row r="2552" ht="242.25" customHeight="1">
      <c r="B2552" s="32" t="str">
        <f>IMAGE("https://gymvisual.com/14274-catalog_default/landmine-180-female.jpg",4,500,500)</f>
        <v/>
      </c>
      <c r="C2552" s="30">
        <v>2551.0</v>
      </c>
      <c r="D2552" s="16" t="s">
        <v>3283</v>
      </c>
      <c r="E2552" s="16" t="s">
        <v>184</v>
      </c>
      <c r="F2552" s="16" t="s">
        <v>254</v>
      </c>
      <c r="G2552" s="16" t="s">
        <v>346</v>
      </c>
      <c r="H2552" s="16" t="s">
        <v>257</v>
      </c>
      <c r="I2552" s="16" t="s">
        <v>256</v>
      </c>
    </row>
    <row r="2553" ht="242.25" customHeight="1">
      <c r="B2553" s="32" t="str">
        <f>IMAGE("https://gymvisual.com/17193-catalog_default/landmine-floor-one-arm-chest-fly.jpg",4,500,500)</f>
        <v/>
      </c>
      <c r="C2553" s="30">
        <v>2552.0</v>
      </c>
      <c r="D2553" s="16" t="s">
        <v>3284</v>
      </c>
      <c r="E2553" s="16" t="s">
        <v>184</v>
      </c>
      <c r="F2553" s="16" t="s">
        <v>234</v>
      </c>
      <c r="G2553" s="16" t="s">
        <v>346</v>
      </c>
      <c r="H2553" s="16" t="s">
        <v>235</v>
      </c>
      <c r="I2553" s="16" t="s">
        <v>236</v>
      </c>
    </row>
    <row r="2554" ht="242.25" customHeight="1">
      <c r="A2554" s="32" t="b">
        <v>0</v>
      </c>
      <c r="B2554" s="32" t="str">
        <f>IMAGE("https://gymvisual.com/17650-catalog_default/landmine-front-squat.jpg",4,500,500)</f>
        <v/>
      </c>
      <c r="C2554" s="30">
        <v>2553.0</v>
      </c>
      <c r="D2554" s="16" t="s">
        <v>3285</v>
      </c>
      <c r="E2554" s="16" t="s">
        <v>184</v>
      </c>
      <c r="F2554" s="16" t="s">
        <v>294</v>
      </c>
      <c r="G2554" s="16" t="s">
        <v>186</v>
      </c>
      <c r="H2554" s="16" t="s">
        <v>189</v>
      </c>
      <c r="I2554" s="16" t="s">
        <v>190</v>
      </c>
    </row>
    <row r="2555" ht="242.25" customHeight="1">
      <c r="A2555" s="32" t="b">
        <v>0</v>
      </c>
      <c r="B2555" s="32" t="str">
        <f>IMAGE("https://gymvisual.com/24826-catalog_default/landmine-hack-squat.jpg",4,500,500)</f>
        <v/>
      </c>
      <c r="C2555" s="30">
        <v>2554.0</v>
      </c>
      <c r="D2555" s="16" t="s">
        <v>3286</v>
      </c>
      <c r="E2555" s="16" t="s">
        <v>184</v>
      </c>
      <c r="F2555" s="16" t="s">
        <v>285</v>
      </c>
      <c r="G2555" s="16" t="s">
        <v>186</v>
      </c>
      <c r="H2555" s="16" t="s">
        <v>189</v>
      </c>
      <c r="I2555" s="16" t="s">
        <v>190</v>
      </c>
    </row>
    <row r="2556" ht="242.25" customHeight="1">
      <c r="B2556" s="32" t="str">
        <f>IMAGE("https://gymvisual.com/14062-catalog_default/landmine-kneeling-one-arm-shoulder-press.jpg",4,500,500)</f>
        <v/>
      </c>
      <c r="C2556" s="30">
        <v>2555.0</v>
      </c>
      <c r="D2556" s="16" t="s">
        <v>3287</v>
      </c>
      <c r="E2556" s="16" t="s">
        <v>184</v>
      </c>
      <c r="F2556" s="16" t="s">
        <v>228</v>
      </c>
      <c r="G2556" s="16" t="s">
        <v>346</v>
      </c>
      <c r="H2556" s="16" t="s">
        <v>229</v>
      </c>
      <c r="I2556" s="16" t="s">
        <v>626</v>
      </c>
    </row>
    <row r="2557" ht="242.25" customHeight="1">
      <c r="A2557" s="32" t="b">
        <v>0</v>
      </c>
      <c r="B2557" s="32" t="str">
        <f>IMAGE("https://gymvisual.com/24834-catalog_default/landmine-kneeling-one-arm-shoulder-press-version-2.jpg",4,500,500)</f>
        <v/>
      </c>
      <c r="C2557" s="30">
        <v>2556.0</v>
      </c>
      <c r="D2557" s="16" t="s">
        <v>3288</v>
      </c>
      <c r="E2557" s="16" t="s">
        <v>184</v>
      </c>
      <c r="F2557" s="16" t="s">
        <v>228</v>
      </c>
      <c r="G2557" s="16" t="s">
        <v>222</v>
      </c>
      <c r="H2557" s="16" t="s">
        <v>229</v>
      </c>
      <c r="I2557" s="16" t="s">
        <v>626</v>
      </c>
    </row>
    <row r="2558" ht="242.25" customHeight="1">
      <c r="B2558" s="32" t="str">
        <f>IMAGE("https://gymvisual.com/17189-catalog_default/landmine-kneeling-squeeze-press.jpg",4,500,500)</f>
        <v/>
      </c>
      <c r="C2558" s="30">
        <v>2557.0</v>
      </c>
      <c r="D2558" s="16" t="s">
        <v>3289</v>
      </c>
      <c r="E2558" s="16" t="s">
        <v>184</v>
      </c>
      <c r="F2558" s="16" t="s">
        <v>234</v>
      </c>
      <c r="G2558" s="16" t="s">
        <v>346</v>
      </c>
      <c r="H2558" s="16" t="s">
        <v>415</v>
      </c>
      <c r="I2558" s="16" t="s">
        <v>2329</v>
      </c>
    </row>
    <row r="2559" ht="242.25" customHeight="1">
      <c r="A2559" s="32" t="b">
        <v>0</v>
      </c>
      <c r="B2559" s="32" t="str">
        <f>IMAGE("https://gymvisual.com/20551-catalog_default/landmine-kneeling-thruster-press.jpg",4,500,500)</f>
        <v/>
      </c>
      <c r="C2559" s="30">
        <v>2558.0</v>
      </c>
      <c r="D2559" s="16" t="s">
        <v>3290</v>
      </c>
      <c r="E2559" s="16" t="s">
        <v>184</v>
      </c>
      <c r="F2559" s="16" t="s">
        <v>691</v>
      </c>
      <c r="G2559" s="16" t="s">
        <v>186</v>
      </c>
      <c r="H2559" s="16" t="s">
        <v>793</v>
      </c>
      <c r="I2559" s="16" t="s">
        <v>3291</v>
      </c>
    </row>
    <row r="2560" ht="242.25" customHeight="1">
      <c r="A2560" s="32" t="b">
        <v>0</v>
      </c>
      <c r="B2560" s="32" t="str">
        <f>IMAGE("https://gymvisual.com/12992-catalog_default/landmine-lateral-raise.jpg",4,500,500)</f>
        <v/>
      </c>
      <c r="C2560" s="30">
        <v>2559.0</v>
      </c>
      <c r="D2560" s="16" t="s">
        <v>3292</v>
      </c>
      <c r="E2560" s="16" t="s">
        <v>184</v>
      </c>
      <c r="F2560" s="16" t="s">
        <v>228</v>
      </c>
      <c r="G2560" s="16" t="s">
        <v>186</v>
      </c>
      <c r="H2560" s="16" t="s">
        <v>544</v>
      </c>
      <c r="I2560" s="16" t="s">
        <v>3293</v>
      </c>
    </row>
    <row r="2561" ht="242.25" customHeight="1">
      <c r="A2561" s="32" t="b">
        <v>0</v>
      </c>
      <c r="B2561" s="32" t="str">
        <f>IMAGE("https://gymvisual.com/22843-catalog_default/landmine-one-arm-bent-over-row-version-2.jpg",4,500,500)</f>
        <v/>
      </c>
      <c r="C2561" s="30">
        <v>2560.0</v>
      </c>
      <c r="D2561" s="16" t="s">
        <v>3294</v>
      </c>
      <c r="E2561" s="16" t="s">
        <v>184</v>
      </c>
      <c r="F2561" s="16" t="s">
        <v>192</v>
      </c>
      <c r="G2561" s="16" t="s">
        <v>186</v>
      </c>
      <c r="H2561" s="16" t="s">
        <v>570</v>
      </c>
      <c r="I2561" s="16" t="s">
        <v>447</v>
      </c>
    </row>
    <row r="2562" ht="242.25" customHeight="1">
      <c r="B2562" s="32" t="str">
        <f>IMAGE("https://gymvisual.com/17529-catalog_default/landmine-one-arm-bent-over-bench-row.jpg",4,500,500)</f>
        <v/>
      </c>
      <c r="C2562" s="30">
        <v>2561.0</v>
      </c>
      <c r="D2562" s="16" t="s">
        <v>3295</v>
      </c>
      <c r="E2562" s="16" t="s">
        <v>184</v>
      </c>
      <c r="F2562" s="16" t="s">
        <v>192</v>
      </c>
      <c r="G2562" s="16" t="s">
        <v>346</v>
      </c>
      <c r="H2562" s="16" t="s">
        <v>329</v>
      </c>
      <c r="I2562" s="16" t="s">
        <v>447</v>
      </c>
    </row>
    <row r="2563" ht="242.25" customHeight="1">
      <c r="B2563" s="32" t="str">
        <f>IMAGE("https://gymvisual.com/17527-catalog_default/landmine-one-arm-bent-over-row.jpg",4,500,500)</f>
        <v/>
      </c>
      <c r="C2563" s="30">
        <v>2562.0</v>
      </c>
      <c r="D2563" s="16" t="s">
        <v>3296</v>
      </c>
      <c r="E2563" s="16" t="s">
        <v>184</v>
      </c>
      <c r="F2563" s="16" t="s">
        <v>192</v>
      </c>
      <c r="G2563" s="16" t="s">
        <v>346</v>
      </c>
      <c r="H2563" s="16" t="s">
        <v>329</v>
      </c>
      <c r="I2563" s="16" t="s">
        <v>447</v>
      </c>
    </row>
    <row r="2564" ht="242.25" customHeight="1">
      <c r="B2564" s="32" t="str">
        <f>IMAGE("https://gymvisual.com/24687-catalog_default/landmine-one-leg-stiff-leg-deadlift.jpg",4,500,500)</f>
        <v/>
      </c>
      <c r="C2564" s="30">
        <v>2563.0</v>
      </c>
      <c r="D2564" s="16" t="s">
        <v>3297</v>
      </c>
      <c r="E2564" s="16" t="s">
        <v>184</v>
      </c>
      <c r="F2564" s="16" t="s">
        <v>185</v>
      </c>
      <c r="G2564" s="16" t="s">
        <v>255</v>
      </c>
      <c r="H2564" s="16" t="s">
        <v>220</v>
      </c>
      <c r="I2564" s="16" t="s">
        <v>220</v>
      </c>
    </row>
    <row r="2565" ht="242.25" customHeight="1">
      <c r="B2565" s="32" t="str">
        <f>IMAGE("https://gymvisual.com/24113-catalog_default/landmine-press.jpg",4,500,500)</f>
        <v/>
      </c>
      <c r="C2565" s="30">
        <v>2564.0</v>
      </c>
      <c r="D2565" s="16" t="s">
        <v>3298</v>
      </c>
      <c r="E2565" s="16" t="s">
        <v>184</v>
      </c>
      <c r="F2565" s="16" t="s">
        <v>228</v>
      </c>
      <c r="G2565" s="16" t="s">
        <v>255</v>
      </c>
      <c r="H2565" s="16" t="s">
        <v>220</v>
      </c>
      <c r="I2565" s="16" t="s">
        <v>220</v>
      </c>
    </row>
    <row r="2566" ht="242.25" customHeight="1">
      <c r="B2566" s="32" t="str">
        <f>IMAGE("https://gymvisual.com/17185-catalog_default/landmine-rear-lunge.jpg",4,500,500)</f>
        <v/>
      </c>
      <c r="C2566" s="30">
        <v>2565.0</v>
      </c>
      <c r="D2566" s="16" t="s">
        <v>3299</v>
      </c>
      <c r="E2566" s="16" t="s">
        <v>184</v>
      </c>
      <c r="F2566" s="16" t="s">
        <v>294</v>
      </c>
      <c r="G2566" s="16" t="s">
        <v>346</v>
      </c>
      <c r="H2566" s="16" t="s">
        <v>189</v>
      </c>
      <c r="I2566" s="16" t="s">
        <v>190</v>
      </c>
    </row>
    <row r="2567" ht="242.25" customHeight="1">
      <c r="B2567" s="32" t="str">
        <f>IMAGE("https://gymvisual.com/17531-catalog_default/landmine-rear-lunge-version-2.jpg",4,500,500)</f>
        <v/>
      </c>
      <c r="C2567" s="30">
        <v>2566.0</v>
      </c>
      <c r="D2567" s="16" t="s">
        <v>3300</v>
      </c>
      <c r="E2567" s="16" t="s">
        <v>184</v>
      </c>
      <c r="F2567" s="16" t="s">
        <v>294</v>
      </c>
      <c r="G2567" s="16" t="s">
        <v>346</v>
      </c>
      <c r="H2567" s="16" t="s">
        <v>189</v>
      </c>
      <c r="I2567" s="16" t="s">
        <v>190</v>
      </c>
    </row>
    <row r="2568" ht="242.25" customHeight="1">
      <c r="B2568" s="32" t="str">
        <f>IMAGE("https://gymvisual.com/18039-catalog_default/landmine-resistance-band-one-arm-shoulder-press.jpg",4,500,500)</f>
        <v/>
      </c>
      <c r="C2568" s="30">
        <v>2567.0</v>
      </c>
      <c r="D2568" s="16" t="s">
        <v>3301</v>
      </c>
      <c r="E2568" s="16" t="s">
        <v>184</v>
      </c>
      <c r="F2568" s="16" t="s">
        <v>228</v>
      </c>
      <c r="G2568" s="16" t="s">
        <v>523</v>
      </c>
      <c r="H2568" s="16" t="s">
        <v>220</v>
      </c>
      <c r="I2568" s="16" t="s">
        <v>220</v>
      </c>
    </row>
    <row r="2569" ht="242.25" customHeight="1">
      <c r="A2569" s="32" t="b">
        <v>0</v>
      </c>
      <c r="B2569" s="32" t="str">
        <f>IMAGE("https://gymvisual.com/17927-catalog_default/landmine-romanian-deadlift-male.jpg",4,500,500)</f>
        <v/>
      </c>
      <c r="C2569" s="30">
        <v>2568.0</v>
      </c>
      <c r="D2569" s="16" t="s">
        <v>3302</v>
      </c>
      <c r="E2569" s="16" t="s">
        <v>184</v>
      </c>
      <c r="F2569" s="16" t="s">
        <v>185</v>
      </c>
      <c r="G2569" s="16" t="s">
        <v>186</v>
      </c>
      <c r="H2569" s="16" t="s">
        <v>267</v>
      </c>
      <c r="I2569" s="16" t="s">
        <v>975</v>
      </c>
    </row>
    <row r="2570" ht="242.25" customHeight="1">
      <c r="A2570" s="32" t="b">
        <v>0</v>
      </c>
      <c r="B2570" s="32" t="str">
        <f>IMAGE("https://gymvisual.com/17652-catalog_default/landmine-romanian-deadlift-version-2.jpg",4,500,500)</f>
        <v/>
      </c>
      <c r="C2570" s="30">
        <v>2569.0</v>
      </c>
      <c r="D2570" s="16" t="s">
        <v>3303</v>
      </c>
      <c r="E2570" s="16" t="s">
        <v>184</v>
      </c>
      <c r="F2570" s="16" t="s">
        <v>185</v>
      </c>
      <c r="G2570" s="16" t="s">
        <v>186</v>
      </c>
      <c r="H2570" s="16" t="s">
        <v>267</v>
      </c>
      <c r="I2570" s="16" t="s">
        <v>3201</v>
      </c>
    </row>
    <row r="2571" ht="242.25" customHeight="1">
      <c r="B2571" s="32" t="str">
        <f>IMAGE("https://gymvisual.com/23897-catalog_default/landmine-single-arm-press.jpg",4,500,500)</f>
        <v/>
      </c>
      <c r="C2571" s="30">
        <v>2570.0</v>
      </c>
      <c r="D2571" s="16" t="s">
        <v>3304</v>
      </c>
      <c r="E2571" s="16" t="s">
        <v>184</v>
      </c>
      <c r="F2571" s="16" t="s">
        <v>228</v>
      </c>
      <c r="G2571" s="16" t="s">
        <v>255</v>
      </c>
      <c r="H2571" s="16" t="s">
        <v>347</v>
      </c>
      <c r="I2571" s="16" t="s">
        <v>382</v>
      </c>
    </row>
    <row r="2572" ht="242.25" customHeight="1">
      <c r="B2572" s="32" t="str">
        <f>IMAGE("https://gymvisual.com/17183-catalog_default/landmine-single-leg-landmine-rdl.jpg",4,500,500)</f>
        <v/>
      </c>
      <c r="C2572" s="30">
        <v>2571.0</v>
      </c>
      <c r="D2572" s="16" t="s">
        <v>3305</v>
      </c>
      <c r="E2572" s="16" t="s">
        <v>184</v>
      </c>
      <c r="F2572" s="16" t="s">
        <v>185</v>
      </c>
      <c r="G2572" s="16" t="s">
        <v>346</v>
      </c>
      <c r="H2572" s="16" t="s">
        <v>267</v>
      </c>
      <c r="I2572" s="16" t="s">
        <v>188</v>
      </c>
    </row>
    <row r="2573" ht="242.25" customHeight="1">
      <c r="B2573" s="32" t="str">
        <f>IMAGE("https://gymvisual.com/13195-catalog_default/landmine-squat-and-press.jpg",4,500,500)</f>
        <v/>
      </c>
      <c r="C2573" s="30">
        <v>2572.0</v>
      </c>
      <c r="D2573" s="16" t="s">
        <v>3306</v>
      </c>
      <c r="E2573" s="16" t="s">
        <v>184</v>
      </c>
      <c r="F2573" s="16" t="s">
        <v>1129</v>
      </c>
      <c r="G2573" s="16" t="s">
        <v>346</v>
      </c>
      <c r="H2573" s="16" t="s">
        <v>793</v>
      </c>
      <c r="I2573" s="16" t="s">
        <v>220</v>
      </c>
    </row>
    <row r="2574" ht="242.25" customHeight="1">
      <c r="B2574" s="32" t="str">
        <f>IMAGE("https://gymvisual.com/13295-catalog_default/landmine-squat-and-press-female.jpg",4,500,500)</f>
        <v/>
      </c>
      <c r="C2574" s="30">
        <v>2573.0</v>
      </c>
      <c r="D2574" s="16" t="s">
        <v>3307</v>
      </c>
      <c r="E2574" s="16" t="s">
        <v>184</v>
      </c>
      <c r="F2574" s="16" t="s">
        <v>691</v>
      </c>
      <c r="G2574" s="16" t="s">
        <v>346</v>
      </c>
      <c r="H2574" s="16" t="s">
        <v>220</v>
      </c>
      <c r="I2574" s="16" t="s">
        <v>220</v>
      </c>
    </row>
    <row r="2575" ht="242.25" customHeight="1">
      <c r="A2575" s="32" t="b">
        <v>0</v>
      </c>
      <c r="B2575" s="32" t="str">
        <f>IMAGE("https://gymvisual.com/17881-catalog_default/landmine-sumo-squat-male.jpg",4,500,500)</f>
        <v/>
      </c>
      <c r="C2575" s="30">
        <v>2574.0</v>
      </c>
      <c r="D2575" s="16" t="s">
        <v>3308</v>
      </c>
      <c r="E2575" s="16" t="s">
        <v>184</v>
      </c>
      <c r="F2575" s="16" t="s">
        <v>185</v>
      </c>
      <c r="G2575" s="16" t="s">
        <v>186</v>
      </c>
      <c r="H2575" s="16" t="s">
        <v>189</v>
      </c>
      <c r="I2575" s="16" t="s">
        <v>902</v>
      </c>
    </row>
    <row r="2576" ht="242.25" customHeight="1">
      <c r="A2576" s="32" t="b">
        <v>0</v>
      </c>
      <c r="B2576" s="32" t="str">
        <f>IMAGE("https://gymvisual.com/20065-catalog_default/lateral-raise-arms-wrong-right.jpg",4,500,500)</f>
        <v/>
      </c>
      <c r="C2576" s="30">
        <v>2575.0</v>
      </c>
      <c r="D2576" s="16" t="s">
        <v>3309</v>
      </c>
      <c r="E2576" s="16" t="s">
        <v>184</v>
      </c>
      <c r="F2576" s="16" t="s">
        <v>228</v>
      </c>
      <c r="G2576" s="16" t="s">
        <v>222</v>
      </c>
      <c r="H2576" s="16" t="s">
        <v>220</v>
      </c>
      <c r="I2576" s="16" t="s">
        <v>220</v>
      </c>
    </row>
    <row r="2577" ht="242.25" customHeight="1">
      <c r="B2577" s="32" t="str">
        <f>IMAGE("https://gymvisual.com/16520-catalog_default/lateral-raise-with-towel.jpg",4,500,500)</f>
        <v/>
      </c>
      <c r="C2577" s="30">
        <v>2576.0</v>
      </c>
      <c r="D2577" s="16" t="s">
        <v>3310</v>
      </c>
      <c r="E2577" s="16" t="s">
        <v>184</v>
      </c>
      <c r="F2577" s="16" t="s">
        <v>228</v>
      </c>
      <c r="G2577" s="16" t="s">
        <v>255</v>
      </c>
      <c r="H2577" s="16" t="s">
        <v>544</v>
      </c>
      <c r="I2577" s="16" t="s">
        <v>545</v>
      </c>
    </row>
    <row r="2578" ht="242.25" customHeight="1">
      <c r="B2578" s="32" t="str">
        <f>IMAGE("https://gymvisual.com/6407-catalog_default/lateral-side-plank.jpg",4,500,500)</f>
        <v/>
      </c>
      <c r="C2578" s="30">
        <v>2577.0</v>
      </c>
      <c r="D2578" s="16" t="s">
        <v>3311</v>
      </c>
      <c r="E2578" s="16" t="s">
        <v>184</v>
      </c>
      <c r="F2578" s="16" t="s">
        <v>185</v>
      </c>
      <c r="G2578" s="16" t="s">
        <v>255</v>
      </c>
      <c r="H2578" s="16" t="s">
        <v>508</v>
      </c>
      <c r="I2578" s="16" t="s">
        <v>2802</v>
      </c>
    </row>
    <row r="2579" ht="242.25" customHeight="1">
      <c r="B2579" s="32" t="str">
        <f>IMAGE("https://gymvisual.com/6405-catalog_default/lateral-side-plank-bent-leg.jpg",4,500,500)</f>
        <v/>
      </c>
      <c r="C2579" s="30">
        <v>2578.0</v>
      </c>
      <c r="D2579" s="16" t="s">
        <v>3312</v>
      </c>
      <c r="E2579" s="16" t="s">
        <v>184</v>
      </c>
      <c r="F2579" s="16" t="s">
        <v>185</v>
      </c>
      <c r="G2579" s="16" t="s">
        <v>255</v>
      </c>
      <c r="H2579" s="16" t="s">
        <v>508</v>
      </c>
      <c r="I2579" s="16" t="s">
        <v>424</v>
      </c>
    </row>
    <row r="2580" ht="242.25" customHeight="1">
      <c r="B2580" s="32" t="str">
        <f>IMAGE("https://gymvisual.com/1702-catalog_default/3-4-sit-up.jpg",4,500,500)</f>
        <v/>
      </c>
      <c r="C2580" s="30">
        <v>2579.0</v>
      </c>
      <c r="D2580" s="16" t="s">
        <v>3313</v>
      </c>
      <c r="E2580" s="16" t="s">
        <v>184</v>
      </c>
      <c r="F2580" s="16" t="s">
        <v>185</v>
      </c>
      <c r="G2580" s="16" t="s">
        <v>255</v>
      </c>
      <c r="H2580" s="16" t="s">
        <v>189</v>
      </c>
      <c r="I2580" s="16" t="s">
        <v>2046</v>
      </c>
    </row>
    <row r="2581" ht="242.25" customHeight="1">
      <c r="B2581" s="32" t="str">
        <f>IMAGE("https://gymvisual.com/23921-catalog_default/lateral-step-up.jpg",4,500,500)</f>
        <v/>
      </c>
      <c r="C2581" s="30">
        <v>2580.0</v>
      </c>
      <c r="D2581" s="16" t="s">
        <v>3313</v>
      </c>
      <c r="E2581" s="16" t="s">
        <v>184</v>
      </c>
      <c r="F2581" s="16" t="s">
        <v>285</v>
      </c>
      <c r="G2581" s="16" t="s">
        <v>255</v>
      </c>
      <c r="H2581" s="16" t="s">
        <v>189</v>
      </c>
      <c r="I2581" s="16" t="s">
        <v>190</v>
      </c>
    </row>
    <row r="2582" ht="242.25" customHeight="1">
      <c r="B2582" s="32" t="str">
        <f>IMAGE("https://gymvisual.com/23923-catalog_default/lateral-step-up-with-knee-drive.jpg",4,500,500)</f>
        <v/>
      </c>
      <c r="C2582" s="30">
        <v>2581.0</v>
      </c>
      <c r="D2582" s="16" t="s">
        <v>3314</v>
      </c>
      <c r="E2582" s="16" t="s">
        <v>184</v>
      </c>
      <c r="F2582" s="16" t="s">
        <v>285</v>
      </c>
      <c r="G2582" s="16" t="s">
        <v>255</v>
      </c>
      <c r="H2582" s="16" t="s">
        <v>2952</v>
      </c>
      <c r="I2582" s="16" t="s">
        <v>3315</v>
      </c>
    </row>
    <row r="2583" ht="242.25" customHeight="1">
      <c r="B2583" s="32" t="str">
        <f>IMAGE("https://gymvisual.com/22478-catalog_default/leg-assisted-ring-pull-up.jpg",4,500,500)</f>
        <v/>
      </c>
      <c r="C2583" s="30">
        <v>2582.0</v>
      </c>
      <c r="D2583" s="16" t="s">
        <v>3316</v>
      </c>
      <c r="E2583" s="16" t="s">
        <v>184</v>
      </c>
      <c r="F2583" s="16" t="s">
        <v>192</v>
      </c>
      <c r="G2583" s="16" t="s">
        <v>255</v>
      </c>
      <c r="H2583" s="16" t="s">
        <v>220</v>
      </c>
      <c r="I2583" s="16" t="s">
        <v>220</v>
      </c>
    </row>
    <row r="2584" ht="242.25" customHeight="1">
      <c r="B2584" s="32" t="str">
        <f>IMAGE("https://gymvisual.com/1708-catalog_default/3-4-sit-up.jpg",4,500,500)</f>
        <v/>
      </c>
      <c r="C2584" s="30">
        <v>2583.0</v>
      </c>
      <c r="D2584" s="16" t="s">
        <v>3317</v>
      </c>
      <c r="E2584" s="16" t="s">
        <v>184</v>
      </c>
      <c r="F2584" s="16" t="s">
        <v>254</v>
      </c>
      <c r="G2584" s="16" t="s">
        <v>255</v>
      </c>
      <c r="H2584" s="16" t="s">
        <v>257</v>
      </c>
      <c r="I2584" s="16" t="s">
        <v>3318</v>
      </c>
    </row>
    <row r="2585" ht="242.25" customHeight="1">
      <c r="B2585" s="32" t="str">
        <f>IMAGE("https://gymvisual.com/1711-catalog_default/3-4-sit-up.jpg",4,500,500)</f>
        <v/>
      </c>
      <c r="C2585" s="30">
        <v>2584.0</v>
      </c>
      <c r="D2585" s="16" t="s">
        <v>3319</v>
      </c>
      <c r="E2585" s="16" t="s">
        <v>184</v>
      </c>
      <c r="F2585" s="16" t="s">
        <v>285</v>
      </c>
      <c r="G2585" s="16" t="s">
        <v>399</v>
      </c>
      <c r="H2585" s="16" t="s">
        <v>188</v>
      </c>
      <c r="I2585" s="16" t="s">
        <v>665</v>
      </c>
    </row>
    <row r="2586" ht="242.25" customHeight="1">
      <c r="B2586" s="32" t="str">
        <f>IMAGE("https://gymvisual.com/14276-catalog_default/leg-extension-crunch-with-stability-ball-male.jpg",4,500,500)</f>
        <v/>
      </c>
      <c r="C2586" s="30">
        <v>2585.0</v>
      </c>
      <c r="D2586" s="16" t="s">
        <v>3320</v>
      </c>
      <c r="E2586" s="16" t="s">
        <v>184</v>
      </c>
      <c r="F2586" s="16" t="s">
        <v>3321</v>
      </c>
      <c r="G2586" s="16" t="s">
        <v>399</v>
      </c>
      <c r="H2586" s="16" t="s">
        <v>3322</v>
      </c>
      <c r="I2586" s="16" t="s">
        <v>3323</v>
      </c>
    </row>
    <row r="2587" ht="242.25" customHeight="1">
      <c r="B2587" s="32" t="str">
        <f>IMAGE("https://gymvisual.com/19441-catalog_default/leg-extension-plank.jpg",4,500,500)</f>
        <v/>
      </c>
      <c r="C2587" s="30">
        <v>2586.0</v>
      </c>
      <c r="D2587" s="16" t="s">
        <v>3324</v>
      </c>
      <c r="E2587" s="16" t="s">
        <v>184</v>
      </c>
      <c r="F2587" s="16" t="s">
        <v>254</v>
      </c>
      <c r="G2587" s="16" t="s">
        <v>255</v>
      </c>
      <c r="H2587" s="16" t="s">
        <v>220</v>
      </c>
      <c r="I2587" s="16" t="s">
        <v>220</v>
      </c>
    </row>
    <row r="2588" ht="242.25" customHeight="1">
      <c r="B2588" s="32" t="str">
        <f>IMAGE("https://gymvisual.com/22787-catalog_default/leg-over-knee-glute-bridge-female.jpg",4,500,500)</f>
        <v/>
      </c>
      <c r="C2588" s="30">
        <v>2587.0</v>
      </c>
      <c r="D2588" s="16" t="s">
        <v>3325</v>
      </c>
      <c r="E2588" s="16" t="s">
        <v>184</v>
      </c>
      <c r="F2588" s="16" t="s">
        <v>185</v>
      </c>
      <c r="G2588" s="16" t="s">
        <v>255</v>
      </c>
      <c r="H2588" s="16" t="s">
        <v>187</v>
      </c>
      <c r="I2588" s="16" t="s">
        <v>854</v>
      </c>
    </row>
    <row r="2589" ht="242.25" customHeight="1">
      <c r="B2589" s="32" t="str">
        <f>IMAGE("https://gymvisual.com/23655-catalog_default/leg-over-knee-glute-bridge-male.jpg",4,500,500)</f>
        <v/>
      </c>
      <c r="C2589" s="30">
        <v>2588.0</v>
      </c>
      <c r="D2589" s="16" t="s">
        <v>3326</v>
      </c>
      <c r="E2589" s="16" t="s">
        <v>184</v>
      </c>
      <c r="F2589" s="16" t="s">
        <v>185</v>
      </c>
      <c r="G2589" s="16" t="s">
        <v>255</v>
      </c>
      <c r="H2589" s="16" t="s">
        <v>187</v>
      </c>
      <c r="I2589" s="16" t="s">
        <v>854</v>
      </c>
    </row>
    <row r="2590" ht="242.25" customHeight="1">
      <c r="B2590" s="32" t="str">
        <f>IMAGE("https://gymvisual.com/1714-catalog_default/3-4-sit-up.jpg",4,500,500)</f>
        <v/>
      </c>
      <c r="C2590" s="30">
        <v>2589.0</v>
      </c>
      <c r="D2590" s="16" t="s">
        <v>3327</v>
      </c>
      <c r="E2590" s="16" t="s">
        <v>184</v>
      </c>
      <c r="F2590" s="16" t="s">
        <v>254</v>
      </c>
      <c r="G2590" s="16" t="s">
        <v>255</v>
      </c>
      <c r="H2590" s="16" t="s">
        <v>256</v>
      </c>
      <c r="I2590" s="16" t="s">
        <v>1707</v>
      </c>
    </row>
    <row r="2591" ht="242.25" customHeight="1">
      <c r="B2591" s="32" t="str">
        <f>IMAGE("https://gymvisual.com/17849-catalog_default/leg-raise-dragon-flag.jpg",4,500,500)</f>
        <v/>
      </c>
      <c r="C2591" s="30">
        <v>2590.0</v>
      </c>
      <c r="D2591" s="16" t="s">
        <v>3328</v>
      </c>
      <c r="E2591" s="16" t="s">
        <v>184</v>
      </c>
      <c r="F2591" s="16" t="s">
        <v>254</v>
      </c>
      <c r="G2591" s="16" t="s">
        <v>255</v>
      </c>
      <c r="H2591" s="16" t="s">
        <v>220</v>
      </c>
      <c r="I2591" s="16" t="s">
        <v>220</v>
      </c>
    </row>
    <row r="2592" ht="242.25" customHeight="1">
      <c r="B2592" s="32" t="str">
        <f>IMAGE("https://gymvisual.com/7689-catalog_default/leg-raise-hip-lift.jpg",4,500,500)</f>
        <v/>
      </c>
      <c r="C2592" s="30">
        <v>2591.0</v>
      </c>
      <c r="D2592" s="16" t="s">
        <v>3329</v>
      </c>
      <c r="E2592" s="16" t="s">
        <v>184</v>
      </c>
      <c r="F2592" s="16" t="s">
        <v>254</v>
      </c>
      <c r="G2592" s="16" t="s">
        <v>255</v>
      </c>
      <c r="H2592" s="16" t="s">
        <v>305</v>
      </c>
      <c r="I2592" s="16" t="s">
        <v>311</v>
      </c>
    </row>
    <row r="2593" ht="242.25" customHeight="1">
      <c r="B2593" s="32" t="str">
        <f>IMAGE("https://gymvisual.com/7698-catalog_default/leg-raise-hip-lift-with-head-up.jpg",4,500,500)</f>
        <v/>
      </c>
      <c r="C2593" s="30">
        <v>2592.0</v>
      </c>
      <c r="D2593" s="16" t="s">
        <v>3330</v>
      </c>
      <c r="E2593" s="16" t="s">
        <v>184</v>
      </c>
      <c r="F2593" s="16" t="s">
        <v>254</v>
      </c>
      <c r="G2593" s="16" t="s">
        <v>255</v>
      </c>
      <c r="H2593" s="16" t="s">
        <v>305</v>
      </c>
      <c r="I2593" s="16" t="s">
        <v>600</v>
      </c>
    </row>
    <row r="2594" ht="242.25" customHeight="1">
      <c r="B2594" s="32" t="str">
        <f>IMAGE("https://gymvisual.com/22839-catalog_default/leg-raise-oblique-crunch.jpg",4,500,500)</f>
        <v/>
      </c>
      <c r="C2594" s="30">
        <v>2593.0</v>
      </c>
      <c r="D2594" s="16" t="s">
        <v>3331</v>
      </c>
      <c r="E2594" s="16" t="s">
        <v>184</v>
      </c>
      <c r="F2594" s="16" t="s">
        <v>254</v>
      </c>
      <c r="G2594" s="16" t="s">
        <v>255</v>
      </c>
      <c r="H2594" s="16" t="s">
        <v>3332</v>
      </c>
      <c r="I2594" s="16" t="s">
        <v>3333</v>
      </c>
    </row>
    <row r="2595" ht="242.25" customHeight="1">
      <c r="B2595" s="32" t="str">
        <f>IMAGE("https://gymvisual.com/7695-catalog_default/leg-raise-slightly-bent-knee.jpg",4,500,500)</f>
        <v/>
      </c>
      <c r="C2595" s="30">
        <v>2594.0</v>
      </c>
      <c r="D2595" s="16" t="s">
        <v>3334</v>
      </c>
      <c r="E2595" s="16" t="s">
        <v>184</v>
      </c>
      <c r="F2595" s="16" t="s">
        <v>254</v>
      </c>
      <c r="G2595" s="16" t="s">
        <v>255</v>
      </c>
      <c r="H2595" s="16" t="s">
        <v>220</v>
      </c>
      <c r="I2595" s="16" t="s">
        <v>220</v>
      </c>
    </row>
    <row r="2596" ht="242.25" customHeight="1">
      <c r="B2596" s="32" t="str">
        <f>IMAGE("https://gymvisual.com/24772-catalog_default/lever-ab-coaster-crunch-female.jpg",4,500,500)</f>
        <v/>
      </c>
      <c r="C2596" s="30">
        <v>2595.0</v>
      </c>
      <c r="D2596" s="16" t="s">
        <v>3335</v>
      </c>
      <c r="E2596" s="16" t="s">
        <v>184</v>
      </c>
      <c r="F2596" s="16" t="s">
        <v>254</v>
      </c>
      <c r="G2596" s="16" t="s">
        <v>346</v>
      </c>
      <c r="H2596" s="16" t="s">
        <v>220</v>
      </c>
      <c r="I2596" s="16" t="s">
        <v>220</v>
      </c>
    </row>
    <row r="2597" ht="242.25" customHeight="1">
      <c r="B2597" s="32" t="str">
        <f>IMAGE("https://gymvisual.com/11807-catalog_default/lever-abduction-squat-female.jpg",4,500,500)</f>
        <v/>
      </c>
      <c r="C2597" s="30">
        <v>2596.0</v>
      </c>
      <c r="D2597" s="16" t="s">
        <v>3336</v>
      </c>
      <c r="E2597" s="16" t="s">
        <v>184</v>
      </c>
      <c r="F2597" s="16" t="s">
        <v>185</v>
      </c>
      <c r="G2597" s="16" t="s">
        <v>346</v>
      </c>
      <c r="H2597" s="16" t="s">
        <v>220</v>
      </c>
      <c r="I2597" s="16" t="s">
        <v>220</v>
      </c>
    </row>
    <row r="2598" ht="242.25" customHeight="1">
      <c r="B2598" s="32" t="str">
        <f>IMAGE("https://gymvisual.com/11810-catalog_default/lever-adduction-thrust-female.jpg",4,500,500)</f>
        <v/>
      </c>
      <c r="C2598" s="30">
        <v>2597.0</v>
      </c>
      <c r="D2598" s="16" t="s">
        <v>3337</v>
      </c>
      <c r="E2598" s="16" t="s">
        <v>184</v>
      </c>
      <c r="F2598" s="16" t="s">
        <v>185</v>
      </c>
      <c r="G2598" s="16" t="s">
        <v>346</v>
      </c>
      <c r="H2598" s="16" t="s">
        <v>220</v>
      </c>
      <c r="I2598" s="16" t="s">
        <v>220</v>
      </c>
    </row>
    <row r="2599" ht="242.25" customHeight="1">
      <c r="B2599" s="32" t="str">
        <f>IMAGE("https://gymvisual.com/2930-catalog_default/lever-alternate-biceps-curl.jpg",4,500,500)</f>
        <v/>
      </c>
      <c r="C2599" s="30">
        <v>2598.0</v>
      </c>
      <c r="D2599" s="16" t="s">
        <v>3338</v>
      </c>
      <c r="E2599" s="16" t="s">
        <v>184</v>
      </c>
      <c r="F2599" s="16" t="s">
        <v>219</v>
      </c>
      <c r="G2599" s="16" t="s">
        <v>346</v>
      </c>
      <c r="H2599" s="16" t="s">
        <v>508</v>
      </c>
      <c r="I2599" s="16" t="s">
        <v>220</v>
      </c>
    </row>
    <row r="2600" ht="242.25" customHeight="1">
      <c r="B2600" s="32" t="str">
        <f>IMAGE("https://gymvisual.com/7726-catalog_default/lever-alternate-leg-extension-plate-loaded.jpg",4,500,500)</f>
        <v/>
      </c>
      <c r="C2600" s="30">
        <v>2599.0</v>
      </c>
      <c r="D2600" s="16" t="s">
        <v>3339</v>
      </c>
      <c r="E2600" s="16" t="s">
        <v>184</v>
      </c>
      <c r="F2600" s="16" t="s">
        <v>285</v>
      </c>
      <c r="G2600" s="16" t="s">
        <v>346</v>
      </c>
      <c r="H2600" s="16" t="s">
        <v>552</v>
      </c>
      <c r="I2600" s="16" t="s">
        <v>220</v>
      </c>
    </row>
    <row r="2601" ht="242.25" customHeight="1">
      <c r="B2601" s="32" t="str">
        <f>IMAGE("https://gymvisual.com/9720-catalog_default/lever-alternate-leg-press-plate-loaded.jpg",4,500,500)</f>
        <v/>
      </c>
      <c r="C2601" s="30">
        <v>2600.0</v>
      </c>
      <c r="D2601" s="16" t="s">
        <v>3340</v>
      </c>
      <c r="E2601" s="16" t="s">
        <v>184</v>
      </c>
      <c r="F2601" s="16" t="s">
        <v>294</v>
      </c>
      <c r="G2601" s="16" t="s">
        <v>346</v>
      </c>
      <c r="H2601" s="16" t="s">
        <v>220</v>
      </c>
      <c r="I2601" s="16" t="s">
        <v>220</v>
      </c>
    </row>
    <row r="2602" ht="242.25" customHeight="1">
      <c r="B2602" s="32" t="str">
        <f>IMAGE("https://gymvisual.com/13461-catalog_default/lever-alternating-narrow-grip-seated-row-plate-loaded-female.jpg",4,500,500)</f>
        <v/>
      </c>
      <c r="C2602" s="30">
        <v>2601.0</v>
      </c>
      <c r="D2602" s="16" t="s">
        <v>3341</v>
      </c>
      <c r="E2602" s="16" t="s">
        <v>184</v>
      </c>
      <c r="F2602" s="16" t="s">
        <v>192</v>
      </c>
      <c r="G2602" s="16" t="s">
        <v>346</v>
      </c>
      <c r="H2602" s="16" t="s">
        <v>220</v>
      </c>
      <c r="I2602" s="16" t="s">
        <v>220</v>
      </c>
    </row>
    <row r="2603" ht="242.25" customHeight="1">
      <c r="B2603" s="32" t="str">
        <f>IMAGE("https://gymvisual.com/16056-catalog_default/3-4-sit-up.jpg",4,500,500)</f>
        <v/>
      </c>
      <c r="C2603" s="30">
        <v>2602.0</v>
      </c>
      <c r="D2603" s="16" t="s">
        <v>3342</v>
      </c>
      <c r="E2603" s="16" t="s">
        <v>184</v>
      </c>
      <c r="F2603" s="16" t="s">
        <v>192</v>
      </c>
      <c r="G2603" s="16" t="s">
        <v>346</v>
      </c>
      <c r="H2603" s="16" t="s">
        <v>300</v>
      </c>
      <c r="I2603" s="16" t="s">
        <v>3343</v>
      </c>
    </row>
    <row r="2604" ht="242.25" customHeight="1">
      <c r="B2604" s="32" t="str">
        <f>IMAGE("https://gymvisual.com/11816-catalog_default/lever-assisted-leg-press-female.jpg",4,500,500)</f>
        <v/>
      </c>
      <c r="C2604" s="30">
        <v>2603.0</v>
      </c>
      <c r="D2604" s="16" t="s">
        <v>3344</v>
      </c>
      <c r="E2604" s="16" t="s">
        <v>184</v>
      </c>
      <c r="F2604" s="16" t="s">
        <v>185</v>
      </c>
      <c r="G2604" s="16" t="s">
        <v>346</v>
      </c>
      <c r="H2604" s="16" t="s">
        <v>220</v>
      </c>
      <c r="I2604" s="16" t="s">
        <v>220</v>
      </c>
    </row>
    <row r="2605" ht="242.25" customHeight="1">
      <c r="B2605" s="32" t="str">
        <f>IMAGE("https://gymvisual.com/1723-catalog_default/3-4-sit-up.jpg",4,500,500)</f>
        <v/>
      </c>
      <c r="C2605" s="30">
        <v>2604.0</v>
      </c>
      <c r="D2605" s="16" t="s">
        <v>3345</v>
      </c>
      <c r="E2605" s="16" t="s">
        <v>184</v>
      </c>
      <c r="F2605" s="16" t="s">
        <v>254</v>
      </c>
      <c r="G2605" s="16" t="s">
        <v>346</v>
      </c>
      <c r="H2605" s="16" t="s">
        <v>275</v>
      </c>
      <c r="I2605" s="16" t="s">
        <v>220</v>
      </c>
    </row>
    <row r="2606" ht="242.25" customHeight="1">
      <c r="B2606" s="32" t="str">
        <f>IMAGE("https://gymvisual.com/14278-catalog_default/lever-back-extension-female.jpg",4,500,500)</f>
        <v/>
      </c>
      <c r="C2606" s="30">
        <v>2605.0</v>
      </c>
      <c r="D2606" s="16" t="s">
        <v>3346</v>
      </c>
      <c r="E2606" s="16" t="s">
        <v>184</v>
      </c>
      <c r="F2606" s="16" t="s">
        <v>185</v>
      </c>
      <c r="G2606" s="16" t="s">
        <v>346</v>
      </c>
      <c r="H2606" s="16" t="s">
        <v>275</v>
      </c>
      <c r="I2606" s="16" t="s">
        <v>220</v>
      </c>
    </row>
    <row r="2607" ht="242.25" customHeight="1">
      <c r="B2607" s="32" t="str">
        <f>IMAGE("https://gymvisual.com/9685-catalog_default/lever-back-extension-version-2.jpg",4,500,500)</f>
        <v/>
      </c>
      <c r="C2607" s="30">
        <v>2606.0</v>
      </c>
      <c r="D2607" s="16" t="s">
        <v>3347</v>
      </c>
      <c r="E2607" s="16" t="s">
        <v>184</v>
      </c>
      <c r="F2607" s="16" t="s">
        <v>3183</v>
      </c>
      <c r="G2607" s="16" t="s">
        <v>346</v>
      </c>
      <c r="H2607" s="16" t="s">
        <v>220</v>
      </c>
      <c r="I2607" s="16" t="s">
        <v>220</v>
      </c>
    </row>
    <row r="2608" ht="242.25" customHeight="1">
      <c r="B2608" s="32" t="str">
        <f>IMAGE("https://gymvisual.com/18059-catalog_default/lever-banded-chest-press.jpg",4,500,500)</f>
        <v/>
      </c>
      <c r="C2608" s="30">
        <v>2607.0</v>
      </c>
      <c r="D2608" s="16" t="s">
        <v>3348</v>
      </c>
      <c r="E2608" s="16" t="s">
        <v>184</v>
      </c>
      <c r="F2608" s="16" t="s">
        <v>234</v>
      </c>
      <c r="G2608" s="16" t="s">
        <v>346</v>
      </c>
      <c r="H2608" s="16" t="s">
        <v>220</v>
      </c>
      <c r="I2608" s="16" t="s">
        <v>220</v>
      </c>
    </row>
    <row r="2609" ht="242.25" customHeight="1">
      <c r="B2609" s="32" t="str">
        <f>IMAGE("https://gymvisual.com/12230-catalog_default/lever-belt-squat.jpg",4,500,500)</f>
        <v/>
      </c>
      <c r="C2609" s="30">
        <v>2608.0</v>
      </c>
      <c r="D2609" s="16" t="s">
        <v>3349</v>
      </c>
      <c r="E2609" s="16" t="s">
        <v>184</v>
      </c>
      <c r="F2609" s="16" t="s">
        <v>285</v>
      </c>
      <c r="G2609" s="16" t="s">
        <v>346</v>
      </c>
      <c r="H2609" s="16" t="s">
        <v>220</v>
      </c>
      <c r="I2609" s="16" t="s">
        <v>220</v>
      </c>
    </row>
    <row r="2610" ht="242.25" customHeight="1">
      <c r="A2610" s="32" t="b">
        <v>0</v>
      </c>
      <c r="B2610" s="32" t="str">
        <f>IMAGE("https://gymvisual.com/1726-catalog_default/3-4-sit-up.jpg",4,500,500)</f>
        <v/>
      </c>
      <c r="C2610" s="30">
        <v>2609.0</v>
      </c>
      <c r="D2610" s="16" t="s">
        <v>3350</v>
      </c>
      <c r="E2610" s="16" t="s">
        <v>184</v>
      </c>
      <c r="F2610" s="16" t="s">
        <v>192</v>
      </c>
      <c r="G2610" s="16" t="s">
        <v>186</v>
      </c>
      <c r="H2610" s="16" t="s">
        <v>329</v>
      </c>
      <c r="I2610" s="16" t="s">
        <v>457</v>
      </c>
    </row>
    <row r="2611" ht="242.25" customHeight="1">
      <c r="B2611" s="32" t="str">
        <f>IMAGE("https://gymvisual.com/13463-catalog_default/lever-bent-over-row-plate-loaded-female.jpg",4,500,500)</f>
        <v/>
      </c>
      <c r="C2611" s="30">
        <v>2610.0</v>
      </c>
      <c r="D2611" s="16" t="s">
        <v>3351</v>
      </c>
      <c r="E2611" s="16" t="s">
        <v>184</v>
      </c>
      <c r="F2611" s="16" t="s">
        <v>192</v>
      </c>
      <c r="G2611" s="16" t="s">
        <v>346</v>
      </c>
      <c r="H2611" s="16" t="s">
        <v>220</v>
      </c>
      <c r="I2611" s="16" t="s">
        <v>220</v>
      </c>
    </row>
    <row r="2612" ht="242.25" customHeight="1">
      <c r="B2612" s="32" t="str">
        <f>IMAGE("https://gymvisual.com/22446-catalog_default/lever-bent-over-wide-row-plate-loaded.jpg",4,500,500)</f>
        <v/>
      </c>
      <c r="C2612" s="30">
        <v>2611.0</v>
      </c>
      <c r="D2612" s="16" t="s">
        <v>3352</v>
      </c>
      <c r="E2612" s="16" t="s">
        <v>184</v>
      </c>
      <c r="F2612" s="16" t="s">
        <v>192</v>
      </c>
      <c r="G2612" s="16" t="s">
        <v>346</v>
      </c>
      <c r="H2612" s="16" t="s">
        <v>220</v>
      </c>
      <c r="I2612" s="16" t="s">
        <v>220</v>
      </c>
    </row>
    <row r="2613" ht="242.25" customHeight="1">
      <c r="B2613" s="32" t="str">
        <f>IMAGE("https://gymvisual.com/12874-catalog_default/lever-bent-over-row-with-v-bar-plate-loaded.jpg",4,500,500)</f>
        <v/>
      </c>
      <c r="C2613" s="30">
        <v>2612.0</v>
      </c>
      <c r="D2613" s="16" t="s">
        <v>3353</v>
      </c>
      <c r="E2613" s="16" t="s">
        <v>184</v>
      </c>
      <c r="F2613" s="16" t="s">
        <v>192</v>
      </c>
      <c r="G2613" s="16" t="s">
        <v>346</v>
      </c>
      <c r="H2613" s="16" t="s">
        <v>329</v>
      </c>
      <c r="I2613" s="16" t="s">
        <v>447</v>
      </c>
    </row>
    <row r="2614" ht="242.25" customHeight="1">
      <c r="B2614" s="32" t="str">
        <f>IMAGE("https://gymvisual.com/1729-catalog_default/3-4-sit-up.jpg",4,500,500)</f>
        <v/>
      </c>
      <c r="C2614" s="30">
        <v>2613.0</v>
      </c>
      <c r="D2614" s="16" t="s">
        <v>3354</v>
      </c>
      <c r="E2614" s="16" t="s">
        <v>184</v>
      </c>
      <c r="F2614" s="16" t="s">
        <v>219</v>
      </c>
      <c r="G2614" s="16" t="s">
        <v>346</v>
      </c>
      <c r="H2614" s="16" t="s">
        <v>232</v>
      </c>
      <c r="I2614" s="16" t="s">
        <v>241</v>
      </c>
    </row>
    <row r="2615" ht="242.25" customHeight="1">
      <c r="B2615" s="32" t="str">
        <f>IMAGE("https://gymvisual.com/13465-catalog_default/lever-bicep-curl-female.jpg",4,500,500)</f>
        <v/>
      </c>
      <c r="C2615" s="30">
        <v>2614.0</v>
      </c>
      <c r="D2615" s="16" t="s">
        <v>3355</v>
      </c>
      <c r="E2615" s="16" t="s">
        <v>184</v>
      </c>
      <c r="F2615" s="16" t="s">
        <v>219</v>
      </c>
      <c r="G2615" s="16" t="s">
        <v>346</v>
      </c>
      <c r="H2615" s="16" t="s">
        <v>220</v>
      </c>
      <c r="I2615" s="16" t="s">
        <v>220</v>
      </c>
    </row>
    <row r="2616" ht="242.25" customHeight="1">
      <c r="B2616" s="32" t="str">
        <f>IMAGE("https://gymvisual.com/18744-catalog_default/lever-biceps-curl.jpg",4,500,500)</f>
        <v/>
      </c>
      <c r="C2616" s="30">
        <v>2615.0</v>
      </c>
      <c r="D2616" s="16" t="s">
        <v>3356</v>
      </c>
      <c r="E2616" s="16" t="s">
        <v>184</v>
      </c>
      <c r="F2616" s="16" t="s">
        <v>219</v>
      </c>
      <c r="G2616" s="16" t="s">
        <v>346</v>
      </c>
      <c r="H2616" s="16" t="s">
        <v>220</v>
      </c>
      <c r="I2616" s="16" t="s">
        <v>220</v>
      </c>
    </row>
    <row r="2617" ht="242.25" customHeight="1">
      <c r="B2617" s="32" t="str">
        <f>IMAGE("https://gymvisual.com/7715-catalog_default/lever-cable-rear-pulldown.jpg",4,500,500)</f>
        <v/>
      </c>
      <c r="C2617" s="30">
        <v>2616.0</v>
      </c>
      <c r="D2617" s="16" t="s">
        <v>3357</v>
      </c>
      <c r="E2617" s="16" t="s">
        <v>184</v>
      </c>
      <c r="F2617" s="16" t="s">
        <v>192</v>
      </c>
      <c r="G2617" s="16" t="s">
        <v>346</v>
      </c>
      <c r="H2617" s="16" t="s">
        <v>220</v>
      </c>
      <c r="I2617" s="16" t="s">
        <v>220</v>
      </c>
    </row>
    <row r="2618" ht="242.25" customHeight="1">
      <c r="B2618" s="32" t="str">
        <f>IMAGE("https://gymvisual.com/7714-catalog_default/lever-cable-shoulder-press.jpg",4,500,500)</f>
        <v/>
      </c>
      <c r="C2618" s="30">
        <v>2617.0</v>
      </c>
      <c r="D2618" s="16" t="s">
        <v>3358</v>
      </c>
      <c r="E2618" s="16" t="s">
        <v>184</v>
      </c>
      <c r="F2618" s="16" t="s">
        <v>228</v>
      </c>
      <c r="G2618" s="16" t="s">
        <v>346</v>
      </c>
      <c r="H2618" s="16" t="s">
        <v>220</v>
      </c>
      <c r="I2618" s="16" t="s">
        <v>220</v>
      </c>
    </row>
    <row r="2619" ht="242.25" customHeight="1">
      <c r="B2619" s="32" t="str">
        <f>IMAGE("https://gymvisual.com/9722-catalog_default/lever-calf-press-plate-loaded.jpg",4,500,500)</f>
        <v/>
      </c>
      <c r="C2619" s="30">
        <v>2618.0</v>
      </c>
      <c r="D2619" s="16" t="s">
        <v>3359</v>
      </c>
      <c r="E2619" s="16" t="s">
        <v>184</v>
      </c>
      <c r="F2619" s="16" t="s">
        <v>325</v>
      </c>
      <c r="G2619" s="16" t="s">
        <v>346</v>
      </c>
      <c r="H2619" s="16" t="s">
        <v>220</v>
      </c>
      <c r="I2619" s="16" t="s">
        <v>220</v>
      </c>
    </row>
    <row r="2620" ht="242.25" customHeight="1">
      <c r="B2620" s="32" t="str">
        <f>IMAGE("https://gymvisual.com/4591-catalog_default/lever-calf-raise-bench-press-machine.jpg",4,500,500)</f>
        <v/>
      </c>
      <c r="C2620" s="30">
        <v>2619.0</v>
      </c>
      <c r="D2620" s="16" t="s">
        <v>3360</v>
      </c>
      <c r="E2620" s="16" t="s">
        <v>184</v>
      </c>
      <c r="F2620" s="16" t="s">
        <v>325</v>
      </c>
      <c r="G2620" s="16" t="s">
        <v>346</v>
      </c>
      <c r="H2620" s="16" t="s">
        <v>368</v>
      </c>
      <c r="I2620" s="16" t="s">
        <v>463</v>
      </c>
    </row>
    <row r="2621" ht="242.25" customHeight="1">
      <c r="B2621" s="32" t="str">
        <f>IMAGE("https://gymvisual.com/2936-catalog_default/lever-chair-squat.jpg",4,500,500)</f>
        <v/>
      </c>
      <c r="C2621" s="30">
        <v>2620.0</v>
      </c>
      <c r="D2621" s="16" t="s">
        <v>3361</v>
      </c>
      <c r="E2621" s="16" t="s">
        <v>184</v>
      </c>
      <c r="F2621" s="16" t="s">
        <v>285</v>
      </c>
      <c r="G2621" s="16" t="s">
        <v>346</v>
      </c>
      <c r="H2621" s="16" t="s">
        <v>189</v>
      </c>
      <c r="I2621" s="16" t="s">
        <v>190</v>
      </c>
    </row>
    <row r="2622" ht="242.25" customHeight="1">
      <c r="B2622" s="32" t="str">
        <f>IMAGE("https://gymvisual.com/1735-catalog_default/3-4-sit-up.jpg",4,500,500)</f>
        <v/>
      </c>
      <c r="C2622" s="30">
        <v>2621.0</v>
      </c>
      <c r="D2622" s="16" t="s">
        <v>3362</v>
      </c>
      <c r="E2622" s="16" t="s">
        <v>184</v>
      </c>
      <c r="F2622" s="16" t="s">
        <v>234</v>
      </c>
      <c r="G2622" s="16" t="s">
        <v>346</v>
      </c>
      <c r="H2622" s="16" t="s">
        <v>347</v>
      </c>
      <c r="I2622" s="16" t="s">
        <v>382</v>
      </c>
    </row>
    <row r="2623" ht="242.25" customHeight="1">
      <c r="B2623" s="32" t="str">
        <f>IMAGE("https://gymvisual.com/10996-catalog_default/lever-chest-press-female.jpg",4,500,500)</f>
        <v/>
      </c>
      <c r="C2623" s="30">
        <v>2622.0</v>
      </c>
      <c r="D2623" s="16" t="s">
        <v>3363</v>
      </c>
      <c r="E2623" s="16" t="s">
        <v>184</v>
      </c>
      <c r="F2623" s="16" t="s">
        <v>234</v>
      </c>
      <c r="G2623" s="16" t="s">
        <v>346</v>
      </c>
      <c r="H2623" s="16" t="s">
        <v>220</v>
      </c>
      <c r="I2623" s="16" t="s">
        <v>220</v>
      </c>
    </row>
    <row r="2624" ht="242.25" customHeight="1">
      <c r="B2624" s="32" t="str">
        <f>IMAGE("https://gymvisual.com/1732-catalog_default/3-4-sit-up.jpg",4,500,500)</f>
        <v/>
      </c>
      <c r="C2624" s="30">
        <v>2623.0</v>
      </c>
      <c r="D2624" s="16" t="s">
        <v>3364</v>
      </c>
      <c r="E2624" s="16" t="s">
        <v>184</v>
      </c>
      <c r="F2624" s="16" t="s">
        <v>234</v>
      </c>
      <c r="G2624" s="16" t="s">
        <v>346</v>
      </c>
      <c r="H2624" s="16" t="s">
        <v>347</v>
      </c>
      <c r="I2624" s="16" t="s">
        <v>382</v>
      </c>
    </row>
    <row r="2625" ht="242.25" customHeight="1">
      <c r="B2625" s="32" t="str">
        <f>IMAGE("https://gymvisual.com/10993-catalog_default/lever-chest-press-plate-loaded-female.jpg",4,500,500)</f>
        <v/>
      </c>
      <c r="C2625" s="30">
        <v>2624.0</v>
      </c>
      <c r="D2625" s="16" t="s">
        <v>3365</v>
      </c>
      <c r="E2625" s="16" t="s">
        <v>184</v>
      </c>
      <c r="F2625" s="16" t="s">
        <v>234</v>
      </c>
      <c r="G2625" s="16" t="s">
        <v>346</v>
      </c>
      <c r="H2625" s="16" t="s">
        <v>347</v>
      </c>
      <c r="I2625" s="16" t="s">
        <v>382</v>
      </c>
    </row>
    <row r="2626" ht="242.25" customHeight="1">
      <c r="B2626" s="32" t="str">
        <f>IMAGE("https://gymvisual.com/6468-catalog_default/lever-chest-press-version-2.jpg",4,500,500)</f>
        <v/>
      </c>
      <c r="C2626" s="30">
        <v>2625.0</v>
      </c>
      <c r="D2626" s="16" t="s">
        <v>3366</v>
      </c>
      <c r="E2626" s="16" t="s">
        <v>184</v>
      </c>
      <c r="F2626" s="16" t="s">
        <v>234</v>
      </c>
      <c r="G2626" s="16" t="s">
        <v>346</v>
      </c>
      <c r="H2626" s="16" t="s">
        <v>347</v>
      </c>
      <c r="I2626" s="16" t="s">
        <v>382</v>
      </c>
    </row>
    <row r="2627" ht="242.25" customHeight="1">
      <c r="B2627" s="32" t="str">
        <f>IMAGE("https://gymvisual.com/9700-catalog_default/lever-chest-press-version-4.jpg",4,500,500)</f>
        <v/>
      </c>
      <c r="C2627" s="30">
        <v>2626.0</v>
      </c>
      <c r="D2627" s="16" t="s">
        <v>3367</v>
      </c>
      <c r="E2627" s="16" t="s">
        <v>184</v>
      </c>
      <c r="F2627" s="16" t="s">
        <v>234</v>
      </c>
      <c r="G2627" s="16" t="s">
        <v>346</v>
      </c>
      <c r="H2627" s="16" t="s">
        <v>347</v>
      </c>
      <c r="I2627" s="16" t="s">
        <v>382</v>
      </c>
    </row>
    <row r="2628" ht="242.25" customHeight="1">
      <c r="B2628" s="32" t="str">
        <f>IMAGE("https://gymvisual.com/13641-catalog_default/lever-crossovers.jpg",4,500,500)</f>
        <v/>
      </c>
      <c r="C2628" s="30">
        <v>2627.0</v>
      </c>
      <c r="D2628" s="16" t="s">
        <v>3368</v>
      </c>
      <c r="E2628" s="16" t="s">
        <v>184</v>
      </c>
      <c r="F2628" s="16" t="s">
        <v>234</v>
      </c>
      <c r="G2628" s="16" t="s">
        <v>346</v>
      </c>
      <c r="H2628" s="16" t="s">
        <v>347</v>
      </c>
      <c r="I2628" s="16" t="s">
        <v>220</v>
      </c>
    </row>
    <row r="2629" ht="242.25" customHeight="1">
      <c r="B2629" s="32" t="str">
        <f>IMAGE("https://gymvisual.com/1738-catalog_default/3-4-sit-up.jpg",4,500,500)</f>
        <v/>
      </c>
      <c r="C2629" s="30">
        <v>2628.0</v>
      </c>
      <c r="D2629" s="16" t="s">
        <v>3369</v>
      </c>
      <c r="E2629" s="16" t="s">
        <v>184</v>
      </c>
      <c r="F2629" s="16" t="s">
        <v>285</v>
      </c>
      <c r="G2629" s="16" t="s">
        <v>346</v>
      </c>
      <c r="H2629" s="16" t="s">
        <v>189</v>
      </c>
      <c r="I2629" s="16" t="s">
        <v>190</v>
      </c>
    </row>
    <row r="2630" ht="242.25" customHeight="1">
      <c r="B2630" s="32" t="str">
        <f>IMAGE("https://gymvisual.com/13467-catalog_default/lever-deadlift-plate-loaded-female.jpg",4,500,500)</f>
        <v/>
      </c>
      <c r="C2630" s="30">
        <v>2629.0</v>
      </c>
      <c r="D2630" s="16" t="s">
        <v>3370</v>
      </c>
      <c r="E2630" s="16" t="s">
        <v>184</v>
      </c>
      <c r="F2630" s="16" t="s">
        <v>294</v>
      </c>
      <c r="G2630" s="16" t="s">
        <v>346</v>
      </c>
      <c r="H2630" s="16" t="s">
        <v>220</v>
      </c>
      <c r="I2630" s="16" t="s">
        <v>220</v>
      </c>
    </row>
    <row r="2631" ht="242.25" customHeight="1">
      <c r="B2631" s="32" t="str">
        <f>IMAGE("https://gymvisual.com/5989-catalog_default/lever-decline-chest-press.jpg",4,500,500)</f>
        <v/>
      </c>
      <c r="C2631" s="30">
        <v>2630.0</v>
      </c>
      <c r="D2631" s="16" t="s">
        <v>3371</v>
      </c>
      <c r="E2631" s="16" t="s">
        <v>184</v>
      </c>
      <c r="F2631" s="16" t="s">
        <v>234</v>
      </c>
      <c r="G2631" s="16" t="s">
        <v>346</v>
      </c>
      <c r="H2631" s="16" t="s">
        <v>347</v>
      </c>
      <c r="I2631" s="16" t="s">
        <v>382</v>
      </c>
    </row>
    <row r="2632" ht="242.25" customHeight="1">
      <c r="B2632" s="32" t="str">
        <f>IMAGE("https://gymvisual.com/10987-catalog_default/lever-decline-chest-press-female.jpg",4,500,500)</f>
        <v/>
      </c>
      <c r="C2632" s="30">
        <v>2631.0</v>
      </c>
      <c r="D2632" s="16" t="s">
        <v>3372</v>
      </c>
      <c r="E2632" s="16" t="s">
        <v>184</v>
      </c>
      <c r="F2632" s="16" t="s">
        <v>234</v>
      </c>
      <c r="G2632" s="16" t="s">
        <v>346</v>
      </c>
      <c r="H2632" s="16" t="s">
        <v>220</v>
      </c>
      <c r="I2632" s="16" t="s">
        <v>220</v>
      </c>
    </row>
    <row r="2633" ht="242.25" customHeight="1">
      <c r="B2633" s="32" t="str">
        <f>IMAGE("https://gymvisual.com/9703-catalog_default/lever-decline-chest-press-version-2.jpg",4,500,500)</f>
        <v/>
      </c>
      <c r="C2633" s="30">
        <v>2632.0</v>
      </c>
      <c r="D2633" s="16" t="s">
        <v>3373</v>
      </c>
      <c r="E2633" s="16" t="s">
        <v>184</v>
      </c>
      <c r="F2633" s="16" t="s">
        <v>234</v>
      </c>
      <c r="G2633" s="16" t="s">
        <v>346</v>
      </c>
      <c r="H2633" s="16" t="s">
        <v>347</v>
      </c>
      <c r="I2633" s="16" t="s">
        <v>382</v>
      </c>
    </row>
    <row r="2634" ht="242.25" customHeight="1">
      <c r="B2634" s="32" t="str">
        <f>IMAGE("https://gymvisual.com/7710-catalog_default/lever-decline-sit-up.jpg",4,500,500)</f>
        <v/>
      </c>
      <c r="C2634" s="30">
        <v>2633.0</v>
      </c>
      <c r="D2634" s="16" t="s">
        <v>3374</v>
      </c>
      <c r="E2634" s="16" t="s">
        <v>184</v>
      </c>
      <c r="F2634" s="16" t="s">
        <v>254</v>
      </c>
      <c r="G2634" s="16" t="s">
        <v>346</v>
      </c>
      <c r="H2634" s="16" t="s">
        <v>220</v>
      </c>
      <c r="I2634" s="16" t="s">
        <v>220</v>
      </c>
    </row>
    <row r="2635" ht="242.25" customHeight="1">
      <c r="B2635" s="32" t="str">
        <f>IMAGE("https://gymvisual.com/5939-catalog_default/lever-donkey-calf-raise.jpg",4,500,500)</f>
        <v/>
      </c>
      <c r="C2635" s="30">
        <v>2634.0</v>
      </c>
      <c r="D2635" s="16" t="s">
        <v>3375</v>
      </c>
      <c r="E2635" s="16" t="s">
        <v>184</v>
      </c>
      <c r="F2635" s="16" t="s">
        <v>325</v>
      </c>
      <c r="G2635" s="16" t="s">
        <v>346</v>
      </c>
      <c r="H2635" s="16" t="s">
        <v>368</v>
      </c>
      <c r="I2635" s="16" t="s">
        <v>463</v>
      </c>
    </row>
    <row r="2636" ht="242.25" customHeight="1">
      <c r="B2636" s="32" t="str">
        <f>IMAGE("https://gymvisual.com/1741-catalog_default/3-4-sit-up.jpg",4,500,500)</f>
        <v/>
      </c>
      <c r="C2636" s="30">
        <v>2635.0</v>
      </c>
      <c r="D2636" s="16" t="s">
        <v>3376</v>
      </c>
      <c r="E2636" s="16" t="s">
        <v>184</v>
      </c>
      <c r="F2636" s="16" t="s">
        <v>192</v>
      </c>
      <c r="G2636" s="16" t="s">
        <v>346</v>
      </c>
      <c r="H2636" s="16" t="s">
        <v>300</v>
      </c>
      <c r="I2636" s="16" t="s">
        <v>387</v>
      </c>
    </row>
    <row r="2637" ht="242.25" customHeight="1">
      <c r="B2637" s="32" t="str">
        <f>IMAGE("https://gymvisual.com/2937-catalog_default/lever-full-squat.jpg",4,500,500)</f>
        <v/>
      </c>
      <c r="C2637" s="30">
        <v>2636.0</v>
      </c>
      <c r="D2637" s="16" t="s">
        <v>3377</v>
      </c>
      <c r="E2637" s="16" t="s">
        <v>184</v>
      </c>
      <c r="F2637" s="16" t="s">
        <v>285</v>
      </c>
      <c r="G2637" s="16" t="s">
        <v>346</v>
      </c>
      <c r="H2637" s="16" t="s">
        <v>347</v>
      </c>
      <c r="I2637" s="16" t="s">
        <v>382</v>
      </c>
    </row>
    <row r="2638" ht="242.25" customHeight="1">
      <c r="B2638" s="32" t="str">
        <f>IMAGE("https://gymvisual.com/1744-catalog_default/3-4-sit-up.jpg",4,500,500)</f>
        <v/>
      </c>
      <c r="C2638" s="30">
        <v>2637.0</v>
      </c>
      <c r="D2638" s="16" t="s">
        <v>3378</v>
      </c>
      <c r="E2638" s="16" t="s">
        <v>184</v>
      </c>
      <c r="F2638" s="16" t="s">
        <v>192</v>
      </c>
      <c r="G2638" s="16" t="s">
        <v>346</v>
      </c>
      <c r="H2638" s="16" t="s">
        <v>238</v>
      </c>
      <c r="I2638" s="16" t="s">
        <v>1621</v>
      </c>
    </row>
    <row r="2639" ht="242.25" customHeight="1">
      <c r="B2639" s="32" t="str">
        <f>IMAGE("https://gymvisual.com/6454-catalog_default/lever-gripless-shrug-version-2.jpg",4,500,500)</f>
        <v/>
      </c>
      <c r="C2639" s="30">
        <v>2638.0</v>
      </c>
      <c r="D2639" s="16" t="s">
        <v>3379</v>
      </c>
      <c r="E2639" s="16" t="s">
        <v>184</v>
      </c>
      <c r="F2639" s="16" t="s">
        <v>192</v>
      </c>
      <c r="G2639" s="16" t="s">
        <v>346</v>
      </c>
      <c r="H2639" s="16" t="s">
        <v>238</v>
      </c>
      <c r="I2639" s="16" t="s">
        <v>618</v>
      </c>
    </row>
    <row r="2640" ht="242.25" customHeight="1">
      <c r="B2640" s="32" t="str">
        <f>IMAGE("https://gymvisual.com/9721-catalog_default/lever-gripper-hands-plate-loaded.jpg",4,500,500)</f>
        <v/>
      </c>
      <c r="C2640" s="30">
        <v>2639.0</v>
      </c>
      <c r="D2640" s="16" t="s">
        <v>3380</v>
      </c>
      <c r="E2640" s="16" t="s">
        <v>184</v>
      </c>
      <c r="F2640" s="16" t="s">
        <v>214</v>
      </c>
      <c r="G2640" s="16" t="s">
        <v>346</v>
      </c>
      <c r="H2640" s="16" t="s">
        <v>220</v>
      </c>
      <c r="I2640" s="16" t="s">
        <v>220</v>
      </c>
    </row>
    <row r="2641" ht="242.25" customHeight="1">
      <c r="B2641" s="32" t="str">
        <f>IMAGE("https://gymvisual.com/7087-catalog_default/lever-hammer-grip-preacher-curl.jpg",4,500,500)</f>
        <v/>
      </c>
      <c r="C2641" s="30">
        <v>2640.0</v>
      </c>
      <c r="D2641" s="16" t="s">
        <v>3381</v>
      </c>
      <c r="E2641" s="16" t="s">
        <v>184</v>
      </c>
      <c r="F2641" s="16" t="s">
        <v>219</v>
      </c>
      <c r="G2641" s="16" t="s">
        <v>346</v>
      </c>
      <c r="H2641" s="16" t="s">
        <v>220</v>
      </c>
      <c r="I2641" s="16" t="s">
        <v>220</v>
      </c>
    </row>
    <row r="2642" ht="242.25" customHeight="1">
      <c r="B2642" s="32" t="str">
        <f>IMAGE("https://gymvisual.com/1747-catalog_default/3-4-sit-up.jpg",4,500,500)</f>
        <v/>
      </c>
      <c r="C2642" s="30">
        <v>2641.0</v>
      </c>
      <c r="D2642" s="16" t="s">
        <v>3382</v>
      </c>
      <c r="E2642" s="16" t="s">
        <v>184</v>
      </c>
      <c r="F2642" s="16" t="s">
        <v>192</v>
      </c>
      <c r="G2642" s="16" t="s">
        <v>346</v>
      </c>
      <c r="H2642" s="16" t="s">
        <v>329</v>
      </c>
      <c r="I2642" s="16" t="s">
        <v>457</v>
      </c>
    </row>
    <row r="2643" ht="242.25" customHeight="1">
      <c r="B2643" s="32" t="str">
        <f>IMAGE("https://gymvisual.com/12225-catalog_default/lever-high-row-plate-loaded.jpg",4,500,500)</f>
        <v/>
      </c>
      <c r="C2643" s="30">
        <v>2642.0</v>
      </c>
      <c r="D2643" s="16" t="s">
        <v>3382</v>
      </c>
      <c r="E2643" s="16" t="s">
        <v>184</v>
      </c>
      <c r="F2643" s="16" t="s">
        <v>192</v>
      </c>
      <c r="G2643" s="16" t="s">
        <v>346</v>
      </c>
      <c r="H2643" s="16" t="s">
        <v>570</v>
      </c>
      <c r="I2643" s="16" t="s">
        <v>447</v>
      </c>
    </row>
    <row r="2644" ht="242.25" customHeight="1">
      <c r="B2644" s="32" t="str">
        <f>IMAGE("https://gymvisual.com/13469-catalog_default/lever-high-row-plate-loaded-female.jpg",4,500,500)</f>
        <v/>
      </c>
      <c r="C2644" s="30">
        <v>2643.0</v>
      </c>
      <c r="D2644" s="16" t="s">
        <v>3383</v>
      </c>
      <c r="E2644" s="16" t="s">
        <v>184</v>
      </c>
      <c r="F2644" s="16" t="s">
        <v>192</v>
      </c>
      <c r="G2644" s="16" t="s">
        <v>346</v>
      </c>
      <c r="H2644" s="16" t="s">
        <v>570</v>
      </c>
      <c r="I2644" s="16" t="s">
        <v>447</v>
      </c>
    </row>
    <row r="2645" ht="242.25" customHeight="1">
      <c r="B2645" s="32" t="str">
        <f>IMAGE("https://gymvisual.com/12226-catalog_default/lever-high-row-plate-loaded-version-3.jpg",4,500,500)</f>
        <v/>
      </c>
      <c r="C2645" s="30">
        <v>2644.0</v>
      </c>
      <c r="D2645" s="16" t="s">
        <v>3384</v>
      </c>
      <c r="E2645" s="16" t="s">
        <v>184</v>
      </c>
      <c r="F2645" s="16" t="s">
        <v>192</v>
      </c>
      <c r="G2645" s="16" t="s">
        <v>346</v>
      </c>
      <c r="H2645" s="16" t="s">
        <v>570</v>
      </c>
      <c r="I2645" s="16" t="s">
        <v>447</v>
      </c>
    </row>
    <row r="2646" ht="242.25" customHeight="1">
      <c r="B2646" s="32" t="str">
        <f>IMAGE("https://gymvisual.com/9719-catalog_default/lever-hip-extension-version-2.jpg",4,500,500)</f>
        <v/>
      </c>
      <c r="C2646" s="30">
        <v>2645.0</v>
      </c>
      <c r="D2646" s="16" t="s">
        <v>3385</v>
      </c>
      <c r="E2646" s="16" t="s">
        <v>184</v>
      </c>
      <c r="F2646" s="16" t="s">
        <v>185</v>
      </c>
      <c r="G2646" s="16" t="s">
        <v>346</v>
      </c>
      <c r="H2646" s="16" t="s">
        <v>220</v>
      </c>
      <c r="I2646" s="16" t="s">
        <v>220</v>
      </c>
    </row>
    <row r="2647" ht="242.25" customHeight="1">
      <c r="B2647" s="32" t="str">
        <f>IMAGE("https://gymvisual.com/8778-catalog_default/lever-hip-thrust.jpg",4,500,500)</f>
        <v/>
      </c>
      <c r="C2647" s="30">
        <v>2646.0</v>
      </c>
      <c r="D2647" s="16" t="s">
        <v>3386</v>
      </c>
      <c r="E2647" s="16" t="s">
        <v>184</v>
      </c>
      <c r="F2647" s="16" t="s">
        <v>185</v>
      </c>
      <c r="G2647" s="16" t="s">
        <v>346</v>
      </c>
      <c r="H2647" s="16" t="s">
        <v>187</v>
      </c>
      <c r="I2647" s="16" t="s">
        <v>2646</v>
      </c>
    </row>
    <row r="2648" ht="242.25" customHeight="1">
      <c r="B2648" s="32" t="str">
        <f>IMAGE("https://gymvisual.com/14125-catalog_default/lever-hip-thrust-plate-loaded-female.jpg",4,500,500)</f>
        <v/>
      </c>
      <c r="C2648" s="30">
        <v>2647.0</v>
      </c>
      <c r="D2648" s="16" t="s">
        <v>3387</v>
      </c>
      <c r="E2648" s="16" t="s">
        <v>184</v>
      </c>
      <c r="F2648" s="16" t="s">
        <v>185</v>
      </c>
      <c r="G2648" s="16" t="s">
        <v>346</v>
      </c>
      <c r="H2648" s="16" t="s">
        <v>187</v>
      </c>
      <c r="I2648" s="16" t="s">
        <v>188</v>
      </c>
    </row>
    <row r="2649" ht="242.25" customHeight="1">
      <c r="B2649" s="32" t="str">
        <f>IMAGE("https://gymvisual.com/11798-catalog_default/lever-hip-thrust-version-2-female.jpg",4,500,500)</f>
        <v/>
      </c>
      <c r="C2649" s="30">
        <v>2648.0</v>
      </c>
      <c r="D2649" s="16" t="s">
        <v>3388</v>
      </c>
      <c r="E2649" s="16" t="s">
        <v>184</v>
      </c>
      <c r="F2649" s="16" t="s">
        <v>185</v>
      </c>
      <c r="G2649" s="16" t="s">
        <v>346</v>
      </c>
      <c r="H2649" s="16" t="s">
        <v>187</v>
      </c>
      <c r="I2649" s="16" t="s">
        <v>188</v>
      </c>
    </row>
    <row r="2650" ht="242.25" customHeight="1">
      <c r="B2650" s="32" t="str">
        <f>IMAGE("https://gymvisual.com/11795-catalog_default/lever-hip-thrust-with-stepbox-version-2-female.jpg",4,500,500)</f>
        <v/>
      </c>
      <c r="C2650" s="30">
        <v>2649.0</v>
      </c>
      <c r="D2650" s="16" t="s">
        <v>3389</v>
      </c>
      <c r="E2650" s="16" t="s">
        <v>184</v>
      </c>
      <c r="F2650" s="16" t="s">
        <v>185</v>
      </c>
      <c r="G2650" s="16" t="s">
        <v>346</v>
      </c>
      <c r="H2650" s="16" t="s">
        <v>187</v>
      </c>
      <c r="I2650" s="16" t="s">
        <v>188</v>
      </c>
    </row>
    <row r="2651" ht="242.25" customHeight="1">
      <c r="B2651" s="32" t="str">
        <f>IMAGE("https://gymvisual.com/8783-catalog_default/lever-hip-thrust-with-resistance-band.jpg",4,500,500)</f>
        <v/>
      </c>
      <c r="C2651" s="30">
        <v>2650.0</v>
      </c>
      <c r="D2651" s="16" t="s">
        <v>3390</v>
      </c>
      <c r="E2651" s="16" t="s">
        <v>184</v>
      </c>
      <c r="F2651" s="16" t="s">
        <v>185</v>
      </c>
      <c r="G2651" s="16" t="s">
        <v>3391</v>
      </c>
      <c r="H2651" s="16" t="s">
        <v>187</v>
      </c>
      <c r="I2651" s="16" t="s">
        <v>854</v>
      </c>
    </row>
    <row r="2652" ht="242.25" customHeight="1">
      <c r="B2652" s="32" t="str">
        <f>IMAGE("https://gymvisual.com/12231-catalog_default/lever-horizontal-leg-press.jpg",4,500,500)</f>
        <v/>
      </c>
      <c r="C2652" s="30">
        <v>2651.0</v>
      </c>
      <c r="D2652" s="16" t="s">
        <v>3392</v>
      </c>
      <c r="E2652" s="16" t="s">
        <v>184</v>
      </c>
      <c r="F2652" s="16" t="s">
        <v>285</v>
      </c>
      <c r="G2652" s="16" t="s">
        <v>346</v>
      </c>
      <c r="H2652" s="16" t="s">
        <v>220</v>
      </c>
      <c r="I2652" s="16" t="s">
        <v>220</v>
      </c>
    </row>
    <row r="2653" ht="242.25" customHeight="1">
      <c r="B2653" s="32" t="str">
        <f>IMAGE("https://gymvisual.com/10304-catalog_default/lever-horizontal-leg-press-female.jpg",4,500,500)</f>
        <v/>
      </c>
      <c r="C2653" s="30">
        <v>2652.0</v>
      </c>
      <c r="D2653" s="16" t="s">
        <v>3393</v>
      </c>
      <c r="E2653" s="16" t="s">
        <v>184</v>
      </c>
      <c r="F2653" s="16" t="s">
        <v>285</v>
      </c>
      <c r="G2653" s="16" t="s">
        <v>346</v>
      </c>
      <c r="H2653" s="16" t="s">
        <v>189</v>
      </c>
      <c r="I2653" s="16" t="s">
        <v>190</v>
      </c>
    </row>
    <row r="2654" ht="242.25" customHeight="1">
      <c r="B2654" s="32" t="str">
        <f>IMAGE("https://gymvisual.com/2773-catalog_default/lever-horizontal-one-leg-press.jpg",4,500,500)</f>
        <v/>
      </c>
      <c r="C2654" s="30">
        <v>2653.0</v>
      </c>
      <c r="D2654" s="16" t="s">
        <v>3394</v>
      </c>
      <c r="E2654" s="16" t="s">
        <v>184</v>
      </c>
      <c r="F2654" s="16" t="s">
        <v>185</v>
      </c>
      <c r="G2654" s="16" t="s">
        <v>346</v>
      </c>
      <c r="H2654" s="16" t="s">
        <v>1878</v>
      </c>
      <c r="I2654" s="16" t="s">
        <v>857</v>
      </c>
    </row>
    <row r="2655" ht="242.25" customHeight="1">
      <c r="B2655" s="32" t="str">
        <f>IMAGE("https://gymvisual.com/10753-catalog_default/lever-horizontal-one-leg-press.jpg",4,500,500)</f>
        <v/>
      </c>
      <c r="C2655" s="30">
        <v>2654.0</v>
      </c>
      <c r="D2655" s="16" t="s">
        <v>3394</v>
      </c>
      <c r="E2655" s="16" t="s">
        <v>184</v>
      </c>
      <c r="F2655" s="16" t="s">
        <v>285</v>
      </c>
      <c r="G2655" s="16" t="s">
        <v>346</v>
      </c>
      <c r="H2655" s="16" t="s">
        <v>189</v>
      </c>
      <c r="I2655" s="16" t="s">
        <v>1939</v>
      </c>
    </row>
    <row r="2656" ht="242.25" customHeight="1">
      <c r="B2656" s="32" t="str">
        <f>IMAGE("https://gymvisual.com/5988-catalog_default/lever-incline-chest-press.jpg",4,500,500)</f>
        <v/>
      </c>
      <c r="C2656" s="30">
        <v>2655.0</v>
      </c>
      <c r="D2656" s="16" t="s">
        <v>3395</v>
      </c>
      <c r="E2656" s="16" t="s">
        <v>184</v>
      </c>
      <c r="F2656" s="16" t="s">
        <v>234</v>
      </c>
      <c r="G2656" s="16" t="s">
        <v>346</v>
      </c>
      <c r="H2656" s="16" t="s">
        <v>415</v>
      </c>
      <c r="I2656" s="16" t="s">
        <v>243</v>
      </c>
    </row>
    <row r="2657" ht="242.25" customHeight="1">
      <c r="B2657" s="32" t="str">
        <f>IMAGE("https://gymvisual.com/10990-catalog_default/lever-incline-chest-press-female.jpg",4,500,500)</f>
        <v/>
      </c>
      <c r="C2657" s="30">
        <v>2656.0</v>
      </c>
      <c r="D2657" s="16" t="s">
        <v>3396</v>
      </c>
      <c r="E2657" s="16" t="s">
        <v>184</v>
      </c>
      <c r="F2657" s="16" t="s">
        <v>234</v>
      </c>
      <c r="G2657" s="16" t="s">
        <v>346</v>
      </c>
      <c r="H2657" s="16" t="s">
        <v>220</v>
      </c>
      <c r="I2657" s="16" t="s">
        <v>220</v>
      </c>
    </row>
    <row r="2658" ht="242.25" customHeight="1">
      <c r="B2658" s="32" t="str">
        <f>IMAGE("https://gymvisual.com/24824-catalog_default/lever-incline-chest-press-plate-loaded.jpg",4,500,500)</f>
        <v/>
      </c>
      <c r="C2658" s="30">
        <v>2657.0</v>
      </c>
      <c r="D2658" s="16" t="s">
        <v>3397</v>
      </c>
      <c r="E2658" s="16" t="s">
        <v>184</v>
      </c>
      <c r="F2658" s="16" t="s">
        <v>234</v>
      </c>
      <c r="G2658" s="16" t="s">
        <v>346</v>
      </c>
      <c r="H2658" s="16" t="s">
        <v>415</v>
      </c>
      <c r="I2658" s="16" t="s">
        <v>243</v>
      </c>
    </row>
    <row r="2659" ht="242.25" customHeight="1">
      <c r="B2659" s="32" t="str">
        <f>IMAGE("https://gymvisual.com/6425-catalog_default/lever-incline-chest-press-versions-2.jpg",4,500,500)</f>
        <v/>
      </c>
      <c r="C2659" s="30">
        <v>2658.0</v>
      </c>
      <c r="D2659" s="16" t="s">
        <v>3398</v>
      </c>
      <c r="E2659" s="16" t="s">
        <v>184</v>
      </c>
      <c r="F2659" s="16" t="s">
        <v>234</v>
      </c>
      <c r="G2659" s="16" t="s">
        <v>346</v>
      </c>
      <c r="H2659" s="16" t="s">
        <v>415</v>
      </c>
      <c r="I2659" s="16" t="s">
        <v>243</v>
      </c>
    </row>
    <row r="2660" ht="242.25" customHeight="1">
      <c r="B2660" s="32" t="str">
        <f>IMAGE("https://gymvisual.com/25894-catalog_default/lever-incline-fly-male.jpg",4,500,500)</f>
        <v/>
      </c>
      <c r="C2660" s="30">
        <v>2659.0</v>
      </c>
      <c r="D2660" s="16" t="s">
        <v>3399</v>
      </c>
      <c r="E2660" s="16" t="s">
        <v>184</v>
      </c>
      <c r="F2660" s="16" t="s">
        <v>234</v>
      </c>
      <c r="G2660" s="16" t="s">
        <v>346</v>
      </c>
      <c r="H2660" s="16" t="s">
        <v>235</v>
      </c>
      <c r="I2660" s="16" t="s">
        <v>229</v>
      </c>
    </row>
    <row r="2661" ht="242.25" customHeight="1">
      <c r="B2661" s="32" t="str">
        <f>IMAGE("https://gymvisual.com/4523-catalog_default/lever-incline-hammer-chest-press.jpg",4,500,500)</f>
        <v/>
      </c>
      <c r="C2661" s="30">
        <v>2660.0</v>
      </c>
      <c r="D2661" s="16" t="s">
        <v>3400</v>
      </c>
      <c r="E2661" s="16" t="s">
        <v>184</v>
      </c>
      <c r="F2661" s="16" t="s">
        <v>234</v>
      </c>
      <c r="G2661" s="16" t="s">
        <v>346</v>
      </c>
      <c r="H2661" s="16" t="s">
        <v>415</v>
      </c>
      <c r="I2661" s="16" t="s">
        <v>2329</v>
      </c>
    </row>
    <row r="2662" ht="242.25" customHeight="1">
      <c r="B2662" s="32" t="str">
        <f>IMAGE("https://gymvisual.com/14280-catalog_default/lever-incline-hammer-chest-press-female.jpg",4,500,500)</f>
        <v/>
      </c>
      <c r="C2662" s="30">
        <v>2661.0</v>
      </c>
      <c r="D2662" s="16" t="s">
        <v>3401</v>
      </c>
      <c r="E2662" s="16" t="s">
        <v>184</v>
      </c>
      <c r="F2662" s="16" t="s">
        <v>234</v>
      </c>
      <c r="G2662" s="16" t="s">
        <v>346</v>
      </c>
      <c r="H2662" s="16" t="s">
        <v>415</v>
      </c>
      <c r="I2662" s="16" t="s">
        <v>243</v>
      </c>
    </row>
    <row r="2663" ht="242.25" customHeight="1">
      <c r="B2663" s="32" t="str">
        <f>IMAGE("https://gymvisual.com/19411-catalog_default/lever-incline-one-arm-chest-press-plate-loaded.jpg",4,500,500)</f>
        <v/>
      </c>
      <c r="C2663" s="30">
        <v>2662.0</v>
      </c>
      <c r="D2663" s="16" t="s">
        <v>3402</v>
      </c>
      <c r="E2663" s="16" t="s">
        <v>184</v>
      </c>
      <c r="F2663" s="16" t="s">
        <v>234</v>
      </c>
      <c r="G2663" s="16" t="s">
        <v>346</v>
      </c>
      <c r="H2663" s="16" t="s">
        <v>220</v>
      </c>
      <c r="I2663" s="16" t="s">
        <v>220</v>
      </c>
    </row>
    <row r="2664" ht="242.25" customHeight="1">
      <c r="B2664" s="32" t="str">
        <f>IMAGE("https://gymvisual.com/10076-catalog_default/3-4-sit-up.jpg",4,500,500)</f>
        <v/>
      </c>
      <c r="C2664" s="30">
        <v>2663.0</v>
      </c>
      <c r="D2664" s="16" t="s">
        <v>3403</v>
      </c>
      <c r="E2664" s="16" t="s">
        <v>184</v>
      </c>
      <c r="F2664" s="16" t="s">
        <v>285</v>
      </c>
      <c r="G2664" s="16" t="s">
        <v>346</v>
      </c>
      <c r="H2664" s="16" t="s">
        <v>188</v>
      </c>
      <c r="I2664" s="16" t="s">
        <v>561</v>
      </c>
    </row>
    <row r="2665" ht="242.25" customHeight="1">
      <c r="B2665" s="32" t="str">
        <f>IMAGE("https://gymvisual.com/14282-catalog_default/lever-kneeling-leg-curl-plate-loaded-female.jpg",4,500,500)</f>
        <v/>
      </c>
      <c r="C2665" s="30">
        <v>2664.0</v>
      </c>
      <c r="D2665" s="16" t="s">
        <v>3404</v>
      </c>
      <c r="E2665" s="16" t="s">
        <v>184</v>
      </c>
      <c r="F2665" s="16" t="s">
        <v>285</v>
      </c>
      <c r="G2665" s="16" t="s">
        <v>346</v>
      </c>
      <c r="H2665" s="16" t="s">
        <v>188</v>
      </c>
      <c r="I2665" s="16" t="s">
        <v>368</v>
      </c>
    </row>
    <row r="2666" ht="242.25" customHeight="1">
      <c r="B2666" s="32" t="str">
        <f>IMAGE("https://gymvisual.com/11813-catalog_default/lever-kneeling-reverse-hyperextension-female.jpg",4,500,500)</f>
        <v/>
      </c>
      <c r="C2666" s="30">
        <v>2665.0</v>
      </c>
      <c r="D2666" s="16" t="s">
        <v>3405</v>
      </c>
      <c r="E2666" s="16" t="s">
        <v>184</v>
      </c>
      <c r="F2666" s="16" t="s">
        <v>185</v>
      </c>
      <c r="G2666" s="16" t="s">
        <v>346</v>
      </c>
      <c r="H2666" s="16" t="s">
        <v>220</v>
      </c>
      <c r="I2666" s="16" t="s">
        <v>220</v>
      </c>
    </row>
    <row r="2667" ht="242.25" customHeight="1">
      <c r="B2667" s="32" t="str">
        <f>IMAGE("https://gymvisual.com/1753-catalog_default/3-4-sit-up.jpg",4,500,500)</f>
        <v/>
      </c>
      <c r="C2667" s="30">
        <v>2666.0</v>
      </c>
      <c r="D2667" s="16" t="s">
        <v>3406</v>
      </c>
      <c r="E2667" s="16" t="s">
        <v>184</v>
      </c>
      <c r="F2667" s="16" t="s">
        <v>254</v>
      </c>
      <c r="G2667" s="16" t="s">
        <v>346</v>
      </c>
      <c r="H2667" s="16" t="s">
        <v>257</v>
      </c>
      <c r="I2667" s="16" t="s">
        <v>220</v>
      </c>
    </row>
    <row r="2668" ht="242.25" customHeight="1">
      <c r="B2668" s="32" t="str">
        <f>IMAGE("https://gymvisual.com/7722-catalog_default/lever-lateral-pulldown-plate-loaded.jpg",4,500,500)</f>
        <v/>
      </c>
      <c r="C2668" s="30">
        <v>2667.0</v>
      </c>
      <c r="D2668" s="16" t="s">
        <v>3407</v>
      </c>
      <c r="E2668" s="16" t="s">
        <v>184</v>
      </c>
      <c r="F2668" s="16" t="s">
        <v>192</v>
      </c>
      <c r="G2668" s="16" t="s">
        <v>346</v>
      </c>
      <c r="H2668" s="16" t="s">
        <v>300</v>
      </c>
      <c r="I2668" s="16" t="s">
        <v>387</v>
      </c>
    </row>
    <row r="2669" ht="242.25" customHeight="1">
      <c r="B2669" s="32" t="str">
        <f>IMAGE("https://gymvisual.com/1756-catalog_default/3-4-sit-up.jpg",4,500,500)</f>
        <v/>
      </c>
      <c r="C2669" s="30">
        <v>2668.0</v>
      </c>
      <c r="D2669" s="16" t="s">
        <v>3408</v>
      </c>
      <c r="E2669" s="16" t="s">
        <v>184</v>
      </c>
      <c r="F2669" s="16" t="s">
        <v>228</v>
      </c>
      <c r="G2669" s="16" t="s">
        <v>346</v>
      </c>
      <c r="H2669" s="16" t="s">
        <v>544</v>
      </c>
      <c r="I2669" s="16" t="s">
        <v>545</v>
      </c>
    </row>
    <row r="2670" ht="242.25" customHeight="1">
      <c r="B2670" s="32" t="str">
        <f>IMAGE("https://gymvisual.com/14322-catalog_default/lever-lateral-raise-female.jpg",4,500,500)</f>
        <v/>
      </c>
      <c r="C2670" s="30">
        <v>2669.0</v>
      </c>
      <c r="D2670" s="16" t="s">
        <v>3409</v>
      </c>
      <c r="E2670" s="16" t="s">
        <v>184</v>
      </c>
      <c r="F2670" s="16" t="s">
        <v>228</v>
      </c>
      <c r="G2670" s="16" t="s">
        <v>346</v>
      </c>
      <c r="H2670" s="16" t="s">
        <v>544</v>
      </c>
      <c r="I2670" s="16" t="s">
        <v>545</v>
      </c>
    </row>
    <row r="2671" ht="242.25" customHeight="1">
      <c r="B2671" s="32" t="str">
        <f>IMAGE("https://gymvisual.com/7728-catalog_default/lever-lateral-raise-plate-loaded.jpg",4,500,500)</f>
        <v/>
      </c>
      <c r="C2671" s="30">
        <v>2670.0</v>
      </c>
      <c r="D2671" s="16" t="s">
        <v>3410</v>
      </c>
      <c r="E2671" s="16" t="s">
        <v>184</v>
      </c>
      <c r="F2671" s="16" t="s">
        <v>228</v>
      </c>
      <c r="G2671" s="16" t="s">
        <v>346</v>
      </c>
      <c r="H2671" s="16" t="s">
        <v>544</v>
      </c>
      <c r="I2671" s="16" t="s">
        <v>545</v>
      </c>
    </row>
    <row r="2672" ht="242.25" customHeight="1">
      <c r="B2672" s="32" t="str">
        <f>IMAGE("https://gymvisual.com/13639-catalog_default/lever-lateral-raise-version-2.jpg",4,500,500)</f>
        <v/>
      </c>
      <c r="C2672" s="30">
        <v>2671.0</v>
      </c>
      <c r="D2672" s="16" t="s">
        <v>3411</v>
      </c>
      <c r="E2672" s="16" t="s">
        <v>184</v>
      </c>
      <c r="F2672" s="16" t="s">
        <v>228</v>
      </c>
      <c r="G2672" s="16" t="s">
        <v>346</v>
      </c>
      <c r="H2672" s="16" t="s">
        <v>544</v>
      </c>
      <c r="I2672" s="16" t="s">
        <v>220</v>
      </c>
    </row>
    <row r="2673" ht="242.25" customHeight="1">
      <c r="B2673" s="32" t="str">
        <f>IMAGE("https://gymvisual.com/12228-catalog_default/lever-lateral-wide-pulldown.jpg",4,500,500)</f>
        <v/>
      </c>
      <c r="C2673" s="30">
        <v>2672.0</v>
      </c>
      <c r="D2673" s="16" t="s">
        <v>3412</v>
      </c>
      <c r="E2673" s="16" t="s">
        <v>184</v>
      </c>
      <c r="F2673" s="16" t="s">
        <v>192</v>
      </c>
      <c r="G2673" s="16" t="s">
        <v>346</v>
      </c>
      <c r="H2673" s="16" t="s">
        <v>300</v>
      </c>
      <c r="I2673" s="16" t="s">
        <v>3413</v>
      </c>
    </row>
    <row r="2674" ht="242.25" customHeight="1">
      <c r="B2674" s="32" t="str">
        <f>IMAGE("https://gymvisual.com/1759-catalog_default/3-4-sit-up.jpg",4,500,500)</f>
        <v/>
      </c>
      <c r="C2674" s="30">
        <v>2673.0</v>
      </c>
      <c r="D2674" s="16" t="s">
        <v>3414</v>
      </c>
      <c r="E2674" s="16" t="s">
        <v>184</v>
      </c>
      <c r="F2674" s="16" t="s">
        <v>285</v>
      </c>
      <c r="G2674" s="16" t="s">
        <v>346</v>
      </c>
      <c r="H2674" s="16" t="s">
        <v>552</v>
      </c>
      <c r="I2674" s="16" t="s">
        <v>220</v>
      </c>
    </row>
    <row r="2675" ht="242.25" customHeight="1">
      <c r="B2675" s="32" t="str">
        <f>IMAGE("https://gymvisual.com/8953-catalog_default/lever-leg-extension-female.jpg",4,500,500)</f>
        <v/>
      </c>
      <c r="C2675" s="30">
        <v>2674.0</v>
      </c>
      <c r="D2675" s="16" t="s">
        <v>3415</v>
      </c>
      <c r="E2675" s="16" t="s">
        <v>184</v>
      </c>
      <c r="F2675" s="16" t="s">
        <v>285</v>
      </c>
      <c r="G2675" s="16" t="s">
        <v>346</v>
      </c>
      <c r="H2675" s="16" t="s">
        <v>552</v>
      </c>
      <c r="I2675" s="16" t="s">
        <v>220</v>
      </c>
    </row>
    <row r="2676" ht="242.25" customHeight="1">
      <c r="B2676" s="32" t="str">
        <f>IMAGE("https://gymvisual.com/7725-catalog_default/lever-leg-extension-plate-loaded.jpg",4,500,500)</f>
        <v/>
      </c>
      <c r="C2676" s="30">
        <v>2675.0</v>
      </c>
      <c r="D2676" s="16" t="s">
        <v>3416</v>
      </c>
      <c r="E2676" s="16" t="s">
        <v>184</v>
      </c>
      <c r="F2676" s="16" t="s">
        <v>285</v>
      </c>
      <c r="G2676" s="16" t="s">
        <v>346</v>
      </c>
      <c r="H2676" s="16" t="s">
        <v>220</v>
      </c>
      <c r="I2676" s="16" t="s">
        <v>220</v>
      </c>
    </row>
    <row r="2677" ht="242.25" customHeight="1">
      <c r="B2677" s="32" t="str">
        <f>IMAGE("https://gymvisual.com/18061-catalog_default/lever-low-row-plate-loaded.jpg",4,500,500)</f>
        <v/>
      </c>
      <c r="C2677" s="30">
        <v>2676.0</v>
      </c>
      <c r="D2677" s="16" t="s">
        <v>3417</v>
      </c>
      <c r="E2677" s="16" t="s">
        <v>184</v>
      </c>
      <c r="F2677" s="16" t="s">
        <v>192</v>
      </c>
      <c r="G2677" s="16" t="s">
        <v>346</v>
      </c>
      <c r="H2677" s="16" t="s">
        <v>570</v>
      </c>
      <c r="I2677" s="16" t="s">
        <v>447</v>
      </c>
    </row>
    <row r="2678" ht="242.25" customHeight="1">
      <c r="B2678" s="32" t="str">
        <f>IMAGE("https://gymvisual.com/17857-catalog_default/lever-lying-banded-t-bar-row.jpg",4,500,500)</f>
        <v/>
      </c>
      <c r="C2678" s="30">
        <v>2677.0</v>
      </c>
      <c r="D2678" s="16" t="s">
        <v>3418</v>
      </c>
      <c r="E2678" s="16" t="s">
        <v>184</v>
      </c>
      <c r="F2678" s="16" t="s">
        <v>192</v>
      </c>
      <c r="G2678" s="16" t="s">
        <v>346</v>
      </c>
      <c r="H2678" s="16" t="s">
        <v>220</v>
      </c>
      <c r="I2678" s="16" t="s">
        <v>220</v>
      </c>
    </row>
    <row r="2679" ht="242.25" customHeight="1">
      <c r="B2679" s="32" t="str">
        <f>IMAGE("https://gymvisual.com/2939-catalog_default/lever-lying-chest-press-plate-loaded.jpg",4,500,500)</f>
        <v/>
      </c>
      <c r="C2679" s="30">
        <v>2678.0</v>
      </c>
      <c r="D2679" s="16" t="s">
        <v>3419</v>
      </c>
      <c r="E2679" s="16" t="s">
        <v>184</v>
      </c>
      <c r="F2679" s="16" t="s">
        <v>234</v>
      </c>
      <c r="G2679" s="16" t="s">
        <v>346</v>
      </c>
      <c r="H2679" s="16" t="s">
        <v>347</v>
      </c>
      <c r="I2679" s="16" t="s">
        <v>382</v>
      </c>
    </row>
    <row r="2680" ht="242.25" customHeight="1">
      <c r="B2680" s="32" t="str">
        <f>IMAGE("https://gymvisual.com/14284-catalog_default/lever-lying-chest-press-plate-loaded-female.jpg",4,500,500)</f>
        <v/>
      </c>
      <c r="C2680" s="30">
        <v>2679.0</v>
      </c>
      <c r="D2680" s="16" t="s">
        <v>3420</v>
      </c>
      <c r="E2680" s="16" t="s">
        <v>184</v>
      </c>
      <c r="F2680" s="16" t="s">
        <v>234</v>
      </c>
      <c r="G2680" s="16" t="s">
        <v>346</v>
      </c>
      <c r="H2680" s="16" t="s">
        <v>235</v>
      </c>
      <c r="I2680" s="16" t="s">
        <v>243</v>
      </c>
    </row>
    <row r="2681" ht="242.25" customHeight="1">
      <c r="B2681" s="32" t="str">
        <f>IMAGE("https://gymvisual.com/9697-catalog_default/lever-lying-crunch.jpg",4,500,500)</f>
        <v/>
      </c>
      <c r="C2681" s="30">
        <v>2680.0</v>
      </c>
      <c r="D2681" s="16" t="s">
        <v>3421</v>
      </c>
      <c r="E2681" s="16" t="s">
        <v>184</v>
      </c>
      <c r="F2681" s="16" t="s">
        <v>254</v>
      </c>
      <c r="G2681" s="16" t="s">
        <v>346</v>
      </c>
      <c r="H2681" s="16" t="s">
        <v>256</v>
      </c>
      <c r="I2681" s="16" t="s">
        <v>257</v>
      </c>
    </row>
    <row r="2682" ht="242.25" customHeight="1">
      <c r="B2682" s="32" t="str">
        <f>IMAGE("https://gymvisual.com/10139-catalog_default/lever-lying-crunch-version-2-female.jpg",4,500,500)</f>
        <v/>
      </c>
      <c r="C2682" s="30">
        <v>2681.0</v>
      </c>
      <c r="D2682" s="16" t="s">
        <v>3422</v>
      </c>
      <c r="E2682" s="16" t="s">
        <v>184</v>
      </c>
      <c r="F2682" s="16" t="s">
        <v>254</v>
      </c>
      <c r="G2682" s="16" t="s">
        <v>346</v>
      </c>
      <c r="H2682" s="16" t="s">
        <v>256</v>
      </c>
      <c r="I2682" s="16" t="s">
        <v>257</v>
      </c>
    </row>
    <row r="2683" ht="242.25" customHeight="1">
      <c r="B2683" s="32" t="str">
        <f>IMAGE("https://gymvisual.com/1762-catalog_default/3-4-sit-up.jpg",4,500,500)</f>
        <v/>
      </c>
      <c r="C2683" s="30">
        <v>2682.0</v>
      </c>
      <c r="D2683" s="16" t="s">
        <v>3423</v>
      </c>
      <c r="E2683" s="16" t="s">
        <v>184</v>
      </c>
      <c r="F2683" s="16" t="s">
        <v>285</v>
      </c>
      <c r="G2683" s="16" t="s">
        <v>346</v>
      </c>
      <c r="H2683" s="16" t="s">
        <v>188</v>
      </c>
      <c r="I2683" s="16" t="s">
        <v>561</v>
      </c>
    </row>
    <row r="2684" ht="242.25" customHeight="1">
      <c r="B2684" s="32" t="str">
        <f>IMAGE("https://gymvisual.com/9583-catalog_default/lever-lying-leg-curl-female.jpg",4,500,500)</f>
        <v/>
      </c>
      <c r="C2684" s="30">
        <v>2683.0</v>
      </c>
      <c r="D2684" s="16" t="s">
        <v>3424</v>
      </c>
      <c r="E2684" s="16" t="s">
        <v>184</v>
      </c>
      <c r="F2684" s="16" t="s">
        <v>285</v>
      </c>
      <c r="G2684" s="16" t="s">
        <v>346</v>
      </c>
      <c r="H2684" s="16" t="s">
        <v>188</v>
      </c>
      <c r="I2684" s="16" t="s">
        <v>665</v>
      </c>
    </row>
    <row r="2685" ht="242.25" customHeight="1">
      <c r="B2685" s="32" t="str">
        <f>IMAGE("https://gymvisual.com/7706-catalog_default/lever-lying-leg-raise-bent-knee.jpg",4,500,500)</f>
        <v/>
      </c>
      <c r="C2685" s="30">
        <v>2684.0</v>
      </c>
      <c r="D2685" s="16" t="s">
        <v>3425</v>
      </c>
      <c r="E2685" s="16" t="s">
        <v>184</v>
      </c>
      <c r="F2685" s="16" t="s">
        <v>254</v>
      </c>
      <c r="G2685" s="16" t="s">
        <v>346</v>
      </c>
      <c r="H2685" s="16" t="s">
        <v>305</v>
      </c>
      <c r="I2685" s="16" t="s">
        <v>289</v>
      </c>
    </row>
    <row r="2686" ht="242.25" customHeight="1">
      <c r="B2686" s="32" t="str">
        <f>IMAGE("https://gymvisual.com/6837-catalog_default/lever-lying-single-leg-curl.jpg",4,500,500)</f>
        <v/>
      </c>
      <c r="C2686" s="30">
        <v>2685.0</v>
      </c>
      <c r="D2686" s="16" t="s">
        <v>3426</v>
      </c>
      <c r="E2686" s="16" t="s">
        <v>184</v>
      </c>
      <c r="F2686" s="16" t="s">
        <v>285</v>
      </c>
      <c r="G2686" s="16" t="s">
        <v>346</v>
      </c>
      <c r="H2686" s="16" t="s">
        <v>188</v>
      </c>
      <c r="I2686" s="16" t="s">
        <v>665</v>
      </c>
    </row>
    <row r="2687" ht="242.25" customHeight="1">
      <c r="B2687" s="32" t="str">
        <f>IMAGE("https://gymvisual.com/22155-catalog_default/lever-lying-single-leg-curl-female.jpg",4,500,500)</f>
        <v/>
      </c>
      <c r="C2687" s="30">
        <v>2686.0</v>
      </c>
      <c r="D2687" s="16" t="s">
        <v>3427</v>
      </c>
      <c r="E2687" s="16" t="s">
        <v>184</v>
      </c>
      <c r="F2687" s="16" t="s">
        <v>285</v>
      </c>
      <c r="G2687" s="16" t="s">
        <v>346</v>
      </c>
      <c r="H2687" s="16" t="s">
        <v>188</v>
      </c>
      <c r="I2687" s="16" t="s">
        <v>665</v>
      </c>
    </row>
    <row r="2688" ht="242.25" customHeight="1">
      <c r="B2688" s="32" t="str">
        <f>IMAGE("https://gymvisual.com/4520-catalog_default/lever-lying-t-bar-row.jpg",4,500,500)</f>
        <v/>
      </c>
      <c r="C2688" s="30">
        <v>2687.0</v>
      </c>
      <c r="D2688" s="16" t="s">
        <v>3428</v>
      </c>
      <c r="E2688" s="16" t="s">
        <v>184</v>
      </c>
      <c r="F2688" s="16" t="s">
        <v>192</v>
      </c>
      <c r="G2688" s="16" t="s">
        <v>346</v>
      </c>
      <c r="H2688" s="16" t="s">
        <v>329</v>
      </c>
      <c r="I2688" s="16" t="s">
        <v>3429</v>
      </c>
    </row>
    <row r="2689" ht="242.25" customHeight="1">
      <c r="B2689" s="32" t="str">
        <f>IMAGE("https://gymvisual.com/12857-catalog_default/lever-lying-two-one-leg-curl.jpg",4,500,500)</f>
        <v/>
      </c>
      <c r="C2689" s="30">
        <v>2688.0</v>
      </c>
      <c r="D2689" s="16" t="s">
        <v>3430</v>
      </c>
      <c r="E2689" s="16" t="s">
        <v>184</v>
      </c>
      <c r="F2689" s="16" t="s">
        <v>285</v>
      </c>
      <c r="G2689" s="16" t="s">
        <v>346</v>
      </c>
      <c r="H2689" s="16" t="s">
        <v>188</v>
      </c>
      <c r="I2689" s="16" t="s">
        <v>368</v>
      </c>
    </row>
    <row r="2690" ht="242.25" customHeight="1">
      <c r="B2690" s="32" t="str">
        <f>IMAGE("https://gymvisual.com/1765-catalog_default/3-4-sit-up.jpg",4,500,500)</f>
        <v/>
      </c>
      <c r="C2690" s="30">
        <v>2689.0</v>
      </c>
      <c r="D2690" s="16" t="s">
        <v>3431</v>
      </c>
      <c r="E2690" s="16" t="s">
        <v>184</v>
      </c>
      <c r="F2690" s="16" t="s">
        <v>228</v>
      </c>
      <c r="G2690" s="16" t="s">
        <v>346</v>
      </c>
      <c r="H2690" s="16" t="s">
        <v>229</v>
      </c>
      <c r="I2690" s="16" t="s">
        <v>626</v>
      </c>
    </row>
    <row r="2691" ht="242.25" customHeight="1">
      <c r="B2691" s="32" t="str">
        <f>IMAGE("https://gymvisual.com/13471-catalog_default/lever-military-press-plate-loaded-female.jpg",4,500,500)</f>
        <v/>
      </c>
      <c r="C2691" s="30">
        <v>2690.0</v>
      </c>
      <c r="D2691" s="16" t="s">
        <v>3432</v>
      </c>
      <c r="E2691" s="16" t="s">
        <v>184</v>
      </c>
      <c r="F2691" s="16" t="s">
        <v>228</v>
      </c>
      <c r="G2691" s="16" t="s">
        <v>346</v>
      </c>
      <c r="H2691" s="16" t="s">
        <v>229</v>
      </c>
      <c r="I2691" s="16" t="s">
        <v>230</v>
      </c>
    </row>
    <row r="2692" ht="242.25" customHeight="1">
      <c r="B2692" s="32" t="str">
        <f>IMAGE("https://gymvisual.com/13473-catalog_default/lever-narrow-grip-seated-row-plate-loaded-female.jpg",4,500,500)</f>
        <v/>
      </c>
      <c r="C2692" s="30">
        <v>2691.0</v>
      </c>
      <c r="D2692" s="16" t="s">
        <v>3433</v>
      </c>
      <c r="E2692" s="16" t="s">
        <v>184</v>
      </c>
      <c r="F2692" s="16" t="s">
        <v>192</v>
      </c>
      <c r="G2692" s="16" t="s">
        <v>346</v>
      </c>
      <c r="H2692" s="16" t="s">
        <v>220</v>
      </c>
      <c r="I2692" s="16" t="s">
        <v>220</v>
      </c>
    </row>
    <row r="2693" ht="242.25" customHeight="1">
      <c r="B2693" s="32" t="str">
        <f>IMAGE("https://gymvisual.com/9715-catalog_default/lever-neck-extension-plate-loaded.jpg",4,500,500)</f>
        <v/>
      </c>
      <c r="C2693" s="30">
        <v>2692.0</v>
      </c>
      <c r="D2693" s="16" t="s">
        <v>3434</v>
      </c>
      <c r="E2693" s="16" t="s">
        <v>184</v>
      </c>
      <c r="F2693" s="16" t="s">
        <v>351</v>
      </c>
      <c r="G2693" s="16" t="s">
        <v>346</v>
      </c>
      <c r="H2693" s="16" t="s">
        <v>220</v>
      </c>
      <c r="I2693" s="16" t="s">
        <v>220</v>
      </c>
    </row>
    <row r="2694" ht="242.25" customHeight="1">
      <c r="B2694" s="32" t="str">
        <f>IMAGE("https://gymvisual.com/9716-catalog_default/lever-neck-left-side-flexion-plate-loaded.jpg",4,500,500)</f>
        <v/>
      </c>
      <c r="C2694" s="30">
        <v>2693.0</v>
      </c>
      <c r="D2694" s="16" t="s">
        <v>3435</v>
      </c>
      <c r="E2694" s="16" t="s">
        <v>184</v>
      </c>
      <c r="F2694" s="16" t="s">
        <v>351</v>
      </c>
      <c r="G2694" s="16" t="s">
        <v>346</v>
      </c>
      <c r="H2694" s="16" t="s">
        <v>220</v>
      </c>
      <c r="I2694" s="16" t="s">
        <v>220</v>
      </c>
    </row>
    <row r="2695" ht="242.25" customHeight="1">
      <c r="B2695" s="32" t="str">
        <f>IMAGE("https://gymvisual.com/9717-catalog_default/lever-neck-right-side-flexion-plate-loaded.jpg",4,500,500)</f>
        <v/>
      </c>
      <c r="C2695" s="30">
        <v>2694.0</v>
      </c>
      <c r="D2695" s="16" t="s">
        <v>3436</v>
      </c>
      <c r="E2695" s="16" t="s">
        <v>184</v>
      </c>
      <c r="F2695" s="16" t="s">
        <v>351</v>
      </c>
      <c r="G2695" s="16" t="s">
        <v>346</v>
      </c>
      <c r="H2695" s="16" t="s">
        <v>220</v>
      </c>
      <c r="I2695" s="16" t="s">
        <v>220</v>
      </c>
    </row>
    <row r="2696" ht="242.25" customHeight="1">
      <c r="B2696" s="32" t="str">
        <f>IMAGE("https://gymvisual.com/23441-catalog_default/lever-neutral-grip-seated-row-plate-loaded.jpg",4,500,500)</f>
        <v/>
      </c>
      <c r="C2696" s="30">
        <v>2695.0</v>
      </c>
      <c r="D2696" s="16" t="s">
        <v>3437</v>
      </c>
      <c r="E2696" s="16" t="s">
        <v>184</v>
      </c>
      <c r="F2696" s="16" t="s">
        <v>192</v>
      </c>
      <c r="G2696" s="16" t="s">
        <v>346</v>
      </c>
      <c r="H2696" s="16" t="s">
        <v>329</v>
      </c>
      <c r="I2696" s="16" t="s">
        <v>457</v>
      </c>
    </row>
    <row r="2697" ht="242.25" customHeight="1">
      <c r="A2697" s="32" t="b">
        <v>0</v>
      </c>
      <c r="B2697" s="32" t="str">
        <f>IMAGE("https://gymvisual.com/1771-catalog_default/3-4-sit-up.jpg",4,500,500)</f>
        <v/>
      </c>
      <c r="C2697" s="30">
        <v>2696.0</v>
      </c>
      <c r="D2697" s="16" t="s">
        <v>3438</v>
      </c>
      <c r="E2697" s="16" t="s">
        <v>184</v>
      </c>
      <c r="F2697" s="16" t="s">
        <v>192</v>
      </c>
      <c r="G2697" s="16" t="s">
        <v>186</v>
      </c>
      <c r="H2697" s="16" t="s">
        <v>329</v>
      </c>
      <c r="I2697" s="16" t="s">
        <v>457</v>
      </c>
    </row>
    <row r="2698" ht="242.25" customHeight="1">
      <c r="B2698" s="32" t="str">
        <f>IMAGE("https://gymvisual.com/13291-catalog_default/lever-one-arm-chest-press-plate-loaded.jpg",4,500,500)</f>
        <v/>
      </c>
      <c r="C2698" s="30">
        <v>2697.0</v>
      </c>
      <c r="D2698" s="16" t="s">
        <v>3439</v>
      </c>
      <c r="E2698" s="16" t="s">
        <v>184</v>
      </c>
      <c r="F2698" s="16" t="s">
        <v>234</v>
      </c>
      <c r="G2698" s="16" t="s">
        <v>346</v>
      </c>
      <c r="H2698" s="16" t="s">
        <v>220</v>
      </c>
      <c r="I2698" s="16" t="s">
        <v>220</v>
      </c>
    </row>
    <row r="2699" ht="242.25" customHeight="1">
      <c r="B2699" s="32" t="str">
        <f>IMAGE("https://gymvisual.com/13293-catalog_default/lever-one-arm-chest-press-plate-loaded-female.jpg",4,500,500)</f>
        <v/>
      </c>
      <c r="C2699" s="30">
        <v>2698.0</v>
      </c>
      <c r="D2699" s="16" t="s">
        <v>3440</v>
      </c>
      <c r="E2699" s="16" t="s">
        <v>184</v>
      </c>
      <c r="F2699" s="16" t="s">
        <v>234</v>
      </c>
      <c r="G2699" s="16" t="s">
        <v>346</v>
      </c>
      <c r="H2699" s="16" t="s">
        <v>220</v>
      </c>
      <c r="I2699" s="16" t="s">
        <v>220</v>
      </c>
    </row>
    <row r="2700" ht="242.25" customHeight="1">
      <c r="B2700" s="32" t="str">
        <f>IMAGE("https://gymvisual.com/24766-catalog_default/lever-one-arm-incline-chest-press-plate-loaded.jpg",4,500,500)</f>
        <v/>
      </c>
      <c r="C2700" s="30">
        <v>2699.0</v>
      </c>
      <c r="D2700" s="16" t="s">
        <v>3441</v>
      </c>
      <c r="E2700" s="16" t="s">
        <v>184</v>
      </c>
      <c r="F2700" s="16" t="s">
        <v>234</v>
      </c>
      <c r="G2700" s="16" t="s">
        <v>346</v>
      </c>
      <c r="H2700" s="16" t="s">
        <v>220</v>
      </c>
      <c r="I2700" s="16" t="s">
        <v>220</v>
      </c>
    </row>
    <row r="2701" ht="242.25" customHeight="1">
      <c r="B2701" s="32" t="str">
        <f>IMAGE("https://gymvisual.com/6047-catalog_default/lever-one-arm-lateral-high-row.jpg",4,500,500)</f>
        <v/>
      </c>
      <c r="C2701" s="30">
        <v>2700.0</v>
      </c>
      <c r="D2701" s="16" t="s">
        <v>3442</v>
      </c>
      <c r="E2701" s="16" t="s">
        <v>184</v>
      </c>
      <c r="F2701" s="16" t="s">
        <v>192</v>
      </c>
      <c r="G2701" s="16" t="s">
        <v>346</v>
      </c>
      <c r="H2701" s="16" t="s">
        <v>329</v>
      </c>
      <c r="I2701" s="16" t="s">
        <v>457</v>
      </c>
    </row>
    <row r="2702" ht="242.25" customHeight="1">
      <c r="B2702" s="32" t="str">
        <f>IMAGE("https://gymvisual.com/6038-catalog_default/lever-one-arm-lateral-wide-pulldown-plate-loaded.jpg",4,500,500)</f>
        <v/>
      </c>
      <c r="C2702" s="30">
        <v>2701.0</v>
      </c>
      <c r="D2702" s="16" t="s">
        <v>3443</v>
      </c>
      <c r="E2702" s="16" t="s">
        <v>184</v>
      </c>
      <c r="F2702" s="16" t="s">
        <v>192</v>
      </c>
      <c r="G2702" s="16" t="s">
        <v>346</v>
      </c>
      <c r="H2702" s="16" t="s">
        <v>300</v>
      </c>
      <c r="I2702" s="16" t="s">
        <v>3444</v>
      </c>
    </row>
    <row r="2703" ht="242.25" customHeight="1">
      <c r="B2703" s="32" t="str">
        <f>IMAGE("https://gymvisual.com/18063-catalog_default/lever-one-arm-low-row-plate-loaded.jpg",4,500,500)</f>
        <v/>
      </c>
      <c r="C2703" s="30">
        <v>2702.0</v>
      </c>
      <c r="D2703" s="16" t="s">
        <v>3445</v>
      </c>
      <c r="E2703" s="16" t="s">
        <v>184</v>
      </c>
      <c r="F2703" s="16" t="s">
        <v>192</v>
      </c>
      <c r="G2703" s="16" t="s">
        <v>346</v>
      </c>
      <c r="H2703" s="16" t="s">
        <v>220</v>
      </c>
      <c r="I2703" s="16" t="s">
        <v>220</v>
      </c>
    </row>
    <row r="2704" ht="242.25" customHeight="1">
      <c r="B2704" s="32" t="str">
        <f>IMAGE("https://gymvisual.com/4606-catalog_default/lever-one-arm-seated-row-seated-row-machine.jpg",4,500,500)</f>
        <v/>
      </c>
      <c r="C2704" s="30">
        <v>2703.0</v>
      </c>
      <c r="D2704" s="16" t="s">
        <v>3446</v>
      </c>
      <c r="E2704" s="16" t="s">
        <v>184</v>
      </c>
      <c r="F2704" s="16" t="s">
        <v>192</v>
      </c>
      <c r="G2704" s="16" t="s">
        <v>346</v>
      </c>
      <c r="H2704" s="16" t="s">
        <v>329</v>
      </c>
      <c r="I2704" s="16" t="s">
        <v>457</v>
      </c>
    </row>
    <row r="2705" ht="242.25" customHeight="1">
      <c r="B2705" s="32" t="str">
        <f>IMAGE("https://gymvisual.com/1774-catalog_default/3-4-sit-up.jpg",4,500,500)</f>
        <v/>
      </c>
      <c r="C2705" s="30">
        <v>2704.0</v>
      </c>
      <c r="D2705" s="16" t="s">
        <v>3447</v>
      </c>
      <c r="E2705" s="16" t="s">
        <v>184</v>
      </c>
      <c r="F2705" s="16" t="s">
        <v>228</v>
      </c>
      <c r="G2705" s="16" t="s">
        <v>346</v>
      </c>
      <c r="H2705" s="16" t="s">
        <v>229</v>
      </c>
      <c r="I2705" s="16" t="s">
        <v>3448</v>
      </c>
    </row>
    <row r="2706" ht="242.25" customHeight="1">
      <c r="B2706" s="32" t="str">
        <f>IMAGE("https://gymvisual.com/25657-catalog_default/lever-one-arm-side-chest-press-male.jpg",4,500,500)</f>
        <v/>
      </c>
      <c r="C2706" s="30">
        <v>2705.0</v>
      </c>
      <c r="D2706" s="16" t="s">
        <v>3449</v>
      </c>
      <c r="E2706" s="16" t="s">
        <v>184</v>
      </c>
      <c r="F2706" s="16" t="s">
        <v>234</v>
      </c>
      <c r="G2706" s="16" t="s">
        <v>346</v>
      </c>
      <c r="H2706" s="16" t="s">
        <v>220</v>
      </c>
      <c r="I2706" s="16" t="s">
        <v>220</v>
      </c>
    </row>
    <row r="2707" ht="242.25" customHeight="1">
      <c r="B2707" s="32" t="str">
        <f>IMAGE("https://gymvisual.com/6818-catalog_default/lever-one-leg-extension.jpg",4,500,500)</f>
        <v/>
      </c>
      <c r="C2707" s="30">
        <v>2706.0</v>
      </c>
      <c r="D2707" s="16" t="s">
        <v>3450</v>
      </c>
      <c r="E2707" s="16" t="s">
        <v>184</v>
      </c>
      <c r="F2707" s="16" t="s">
        <v>285</v>
      </c>
      <c r="G2707" s="16" t="s">
        <v>346</v>
      </c>
      <c r="H2707" s="16" t="s">
        <v>552</v>
      </c>
      <c r="I2707" s="16" t="s">
        <v>220</v>
      </c>
    </row>
    <row r="2708" ht="242.25" customHeight="1">
      <c r="B2708" s="32" t="str">
        <f>IMAGE("https://gymvisual.com/1777-catalog_default/3-4-sit-up.jpg",4,500,500)</f>
        <v/>
      </c>
      <c r="C2708" s="30">
        <v>2707.0</v>
      </c>
      <c r="D2708" s="16" t="s">
        <v>3451</v>
      </c>
      <c r="E2708" s="16" t="s">
        <v>184</v>
      </c>
      <c r="F2708" s="16" t="s">
        <v>219</v>
      </c>
      <c r="G2708" s="16" t="s">
        <v>346</v>
      </c>
      <c r="H2708" s="16" t="s">
        <v>223</v>
      </c>
      <c r="I2708" s="16" t="s">
        <v>394</v>
      </c>
    </row>
    <row r="2709" ht="242.25" customHeight="1">
      <c r="B2709" s="32" t="str">
        <f>IMAGE("https://gymvisual.com/2927-catalog_default/lever-parallel-chest-press.jpg",4,500,500)</f>
        <v/>
      </c>
      <c r="C2709" s="30">
        <v>2708.0</v>
      </c>
      <c r="D2709" s="16" t="s">
        <v>3452</v>
      </c>
      <c r="E2709" s="16" t="s">
        <v>184</v>
      </c>
      <c r="F2709" s="16" t="s">
        <v>234</v>
      </c>
      <c r="G2709" s="16" t="s">
        <v>346</v>
      </c>
      <c r="H2709" s="16" t="s">
        <v>187</v>
      </c>
      <c r="I2709" s="16" t="s">
        <v>188</v>
      </c>
    </row>
    <row r="2710" ht="242.25" customHeight="1">
      <c r="B2710" s="32" t="str">
        <f>IMAGE("https://gymvisual.com/2928-catalog_default/lever-pec-deck-fly.jpg",4,500,500)</f>
        <v/>
      </c>
      <c r="C2710" s="30">
        <v>2709.0</v>
      </c>
      <c r="D2710" s="16" t="s">
        <v>3453</v>
      </c>
      <c r="E2710" s="16" t="s">
        <v>184</v>
      </c>
      <c r="F2710" s="16" t="s">
        <v>234</v>
      </c>
      <c r="G2710" s="16" t="s">
        <v>346</v>
      </c>
      <c r="H2710" s="16" t="s">
        <v>241</v>
      </c>
      <c r="I2710" s="16" t="s">
        <v>292</v>
      </c>
    </row>
    <row r="2711" ht="242.25" customHeight="1">
      <c r="B2711" s="32" t="str">
        <f>IMAGE("https://gymvisual.com/10522-catalog_default/lever-pec-deck-fly-female.jpg",4,500,500)</f>
        <v/>
      </c>
      <c r="C2711" s="30">
        <v>2710.0</v>
      </c>
      <c r="D2711" s="16" t="s">
        <v>3454</v>
      </c>
      <c r="E2711" s="16" t="s">
        <v>184</v>
      </c>
      <c r="F2711" s="16" t="s">
        <v>234</v>
      </c>
      <c r="G2711" s="16" t="s">
        <v>346</v>
      </c>
      <c r="H2711" s="16" t="s">
        <v>347</v>
      </c>
      <c r="I2711" s="16" t="s">
        <v>389</v>
      </c>
    </row>
    <row r="2712" ht="242.25" customHeight="1">
      <c r="B2712" s="32" t="str">
        <f>IMAGE("https://gymvisual.com/20033-catalog_default/lever-pendulum-squat-plate-loaded.jpg",4,500,500)</f>
        <v/>
      </c>
      <c r="C2712" s="30">
        <v>2711.0</v>
      </c>
      <c r="D2712" s="16" t="s">
        <v>3455</v>
      </c>
      <c r="E2712" s="16" t="s">
        <v>184</v>
      </c>
      <c r="F2712" s="16" t="s">
        <v>294</v>
      </c>
      <c r="G2712" s="16" t="s">
        <v>346</v>
      </c>
      <c r="H2712" s="16" t="s">
        <v>189</v>
      </c>
      <c r="I2712" s="16" t="s">
        <v>190</v>
      </c>
    </row>
    <row r="2713" ht="242.25" customHeight="1">
      <c r="B2713" s="32" t="str">
        <f>IMAGE("https://gymvisual.com/2938-catalog_default/lever-pistol-squat.jpg",4,500,500)</f>
        <v/>
      </c>
      <c r="C2713" s="30">
        <v>2712.0</v>
      </c>
      <c r="D2713" s="16" t="s">
        <v>3456</v>
      </c>
      <c r="E2713" s="16" t="s">
        <v>184</v>
      </c>
      <c r="F2713" s="16" t="s">
        <v>285</v>
      </c>
      <c r="G2713" s="16" t="s">
        <v>346</v>
      </c>
      <c r="H2713" s="16" t="s">
        <v>3457</v>
      </c>
      <c r="I2713" s="16" t="s">
        <v>3458</v>
      </c>
    </row>
    <row r="2714" ht="242.25" customHeight="1">
      <c r="B2714" s="32" t="str">
        <f>IMAGE("https://gymvisual.com/20601-catalog_default/3-4-sit-up.jpg",4,500,500)</f>
        <v/>
      </c>
      <c r="C2714" s="30">
        <v>2713.0</v>
      </c>
      <c r="D2714" s="16" t="s">
        <v>3459</v>
      </c>
      <c r="E2714" s="16" t="s">
        <v>184</v>
      </c>
      <c r="F2714" s="16" t="s">
        <v>219</v>
      </c>
      <c r="G2714" s="16" t="s">
        <v>346</v>
      </c>
      <c r="H2714" s="16" t="s">
        <v>232</v>
      </c>
      <c r="I2714" s="16" t="s">
        <v>233</v>
      </c>
    </row>
    <row r="2715" ht="242.25" customHeight="1">
      <c r="B2715" s="32" t="str">
        <f>IMAGE("https://gymvisual.com/7724-catalog_default/lever-preacher-curl-plate-loaded.jpg",4,500,500)</f>
        <v/>
      </c>
      <c r="C2715" s="30">
        <v>2714.0</v>
      </c>
      <c r="D2715" s="16" t="s">
        <v>3460</v>
      </c>
      <c r="E2715" s="16" t="s">
        <v>184</v>
      </c>
      <c r="F2715" s="16" t="s">
        <v>219</v>
      </c>
      <c r="G2715" s="16" t="s">
        <v>346</v>
      </c>
      <c r="H2715" s="16" t="s">
        <v>232</v>
      </c>
      <c r="I2715" s="16" t="s">
        <v>233</v>
      </c>
    </row>
    <row r="2716" ht="242.25" customHeight="1">
      <c r="B2716" s="32" t="str">
        <f>IMAGE("https://gymvisual.com/12223-catalog_default/lever-preacher-curl-plate-loaded.jpg",4,500,500)</f>
        <v/>
      </c>
      <c r="C2716" s="30">
        <v>2715.0</v>
      </c>
      <c r="D2716" s="16" t="s">
        <v>3460</v>
      </c>
      <c r="E2716" s="16" t="s">
        <v>184</v>
      </c>
      <c r="F2716" s="16" t="s">
        <v>219</v>
      </c>
      <c r="G2716" s="16" t="s">
        <v>346</v>
      </c>
      <c r="H2716" s="16" t="s">
        <v>232</v>
      </c>
      <c r="I2716" s="16" t="s">
        <v>233</v>
      </c>
    </row>
    <row r="2717" ht="242.25" customHeight="1">
      <c r="B2717" s="32" t="str">
        <f>IMAGE("https://gymvisual.com/13475-catalog_default/lever-preacher-curl-plate-loaded-female.jpg",4,500,500)</f>
        <v/>
      </c>
      <c r="C2717" s="30">
        <v>2716.0</v>
      </c>
      <c r="D2717" s="16" t="s">
        <v>3461</v>
      </c>
      <c r="E2717" s="16" t="s">
        <v>184</v>
      </c>
      <c r="F2717" s="16" t="s">
        <v>219</v>
      </c>
      <c r="G2717" s="16" t="s">
        <v>346</v>
      </c>
      <c r="H2717" s="16" t="s">
        <v>220</v>
      </c>
      <c r="I2717" s="16" t="s">
        <v>220</v>
      </c>
    </row>
    <row r="2718" ht="242.25" customHeight="1">
      <c r="B2718" s="32" t="str">
        <f>IMAGE("https://gymvisual.com/20594-catalog_default/lever-preacher-curl-turned-torso.jpg",4,500,500)</f>
        <v/>
      </c>
      <c r="C2718" s="30">
        <v>2717.0</v>
      </c>
      <c r="D2718" s="16" t="s">
        <v>3462</v>
      </c>
      <c r="E2718" s="16" t="s">
        <v>184</v>
      </c>
      <c r="F2718" s="16" t="s">
        <v>219</v>
      </c>
      <c r="G2718" s="16" t="s">
        <v>346</v>
      </c>
      <c r="H2718" s="16" t="s">
        <v>232</v>
      </c>
      <c r="I2718" s="16" t="s">
        <v>233</v>
      </c>
    </row>
    <row r="2719" ht="242.25" customHeight="1">
      <c r="B2719" s="32" t="str">
        <f>IMAGE("https://gymvisual.com/7085-catalog_default/lever-preacher-curl-version-2.jpg",4,500,500)</f>
        <v/>
      </c>
      <c r="C2719" s="30">
        <v>2718.0</v>
      </c>
      <c r="D2719" s="16" t="s">
        <v>3463</v>
      </c>
      <c r="E2719" s="16" t="s">
        <v>184</v>
      </c>
      <c r="F2719" s="16" t="s">
        <v>219</v>
      </c>
      <c r="G2719" s="16" t="s">
        <v>346</v>
      </c>
      <c r="H2719" s="16" t="s">
        <v>232</v>
      </c>
      <c r="I2719" s="16" t="s">
        <v>233</v>
      </c>
    </row>
    <row r="2720" ht="242.25" customHeight="1">
      <c r="B2720" s="32" t="str">
        <f>IMAGE("https://gymvisual.com/12058-catalog_default/lever-preacher-curl-version-2-female.jpg",4,500,500)</f>
        <v/>
      </c>
      <c r="C2720" s="30">
        <v>2719.0</v>
      </c>
      <c r="D2720" s="16" t="s">
        <v>3464</v>
      </c>
      <c r="E2720" s="16" t="s">
        <v>184</v>
      </c>
      <c r="F2720" s="16" t="s">
        <v>219</v>
      </c>
      <c r="G2720" s="16" t="s">
        <v>346</v>
      </c>
      <c r="H2720" s="16" t="s">
        <v>232</v>
      </c>
      <c r="I2720" s="16" t="s">
        <v>233</v>
      </c>
    </row>
    <row r="2721" ht="242.25" customHeight="1">
      <c r="B2721" s="32" t="str">
        <f>IMAGE("https://gymvisual.com/23447-catalog_default/lever-pronated-grip-seated-row-plate-loaded.jpg",4,500,500)</f>
        <v/>
      </c>
      <c r="C2721" s="30">
        <v>2720.0</v>
      </c>
      <c r="D2721" s="16" t="s">
        <v>3465</v>
      </c>
      <c r="E2721" s="16" t="s">
        <v>184</v>
      </c>
      <c r="F2721" s="16" t="s">
        <v>192</v>
      </c>
      <c r="G2721" s="16" t="s">
        <v>346</v>
      </c>
      <c r="H2721" s="16" t="s">
        <v>570</v>
      </c>
      <c r="I2721" s="16" t="s">
        <v>447</v>
      </c>
    </row>
    <row r="2722" ht="242.25" customHeight="1">
      <c r="B2722" s="32" t="str">
        <f>IMAGE("https://gymvisual.com/23451-catalog_default/lever-pronated-grip-seated-scapular-retraction-shrug-plate-loaded.jpg",4,500,500)</f>
        <v/>
      </c>
      <c r="C2722" s="30">
        <v>2721.0</v>
      </c>
      <c r="D2722" s="16" t="s">
        <v>3466</v>
      </c>
      <c r="E2722" s="16" t="s">
        <v>184</v>
      </c>
      <c r="F2722" s="16" t="s">
        <v>192</v>
      </c>
      <c r="G2722" s="16" t="s">
        <v>346</v>
      </c>
      <c r="H2722" s="16" t="s">
        <v>3467</v>
      </c>
      <c r="I2722" s="16" t="s">
        <v>3468</v>
      </c>
    </row>
    <row r="2723" ht="242.25" customHeight="1">
      <c r="B2723" s="32" t="str">
        <f>IMAGE("https://gymvisual.com/9718-catalog_default/lever-pullover-plate-loaded.jpg",4,500,500)</f>
        <v/>
      </c>
      <c r="C2723" s="30">
        <v>2722.0</v>
      </c>
      <c r="D2723" s="16" t="s">
        <v>3469</v>
      </c>
      <c r="E2723" s="16" t="s">
        <v>184</v>
      </c>
      <c r="F2723" s="16" t="s">
        <v>192</v>
      </c>
      <c r="G2723" s="16" t="s">
        <v>346</v>
      </c>
      <c r="H2723" s="16" t="s">
        <v>347</v>
      </c>
      <c r="I2723" s="16" t="s">
        <v>2362</v>
      </c>
    </row>
    <row r="2724" ht="242.25" customHeight="1">
      <c r="B2724" s="32" t="str">
        <f>IMAGE("https://gymvisual.com/19425-catalog_default/lever-reverse-grip-high-row-plate-loaded.jpg",4,500,500)</f>
        <v/>
      </c>
      <c r="C2724" s="30">
        <v>2723.0</v>
      </c>
      <c r="D2724" s="16" t="s">
        <v>3470</v>
      </c>
      <c r="E2724" s="16" t="s">
        <v>184</v>
      </c>
      <c r="F2724" s="16" t="s">
        <v>192</v>
      </c>
      <c r="G2724" s="16" t="s">
        <v>346</v>
      </c>
      <c r="H2724" s="16" t="s">
        <v>220</v>
      </c>
      <c r="I2724" s="16" t="s">
        <v>220</v>
      </c>
    </row>
    <row r="2725" ht="242.25" customHeight="1">
      <c r="B2725" s="32" t="str">
        <f>IMAGE("https://gymvisual.com/10897-catalog_default/lever-reverse-grip-lateral-pulldown-plate-loaded.jpg",4,500,500)</f>
        <v/>
      </c>
      <c r="C2725" s="30">
        <v>2724.0</v>
      </c>
      <c r="D2725" s="16" t="s">
        <v>3471</v>
      </c>
      <c r="E2725" s="16" t="s">
        <v>184</v>
      </c>
      <c r="F2725" s="16" t="s">
        <v>192</v>
      </c>
      <c r="G2725" s="16" t="s">
        <v>346</v>
      </c>
      <c r="H2725" s="16" t="s">
        <v>300</v>
      </c>
      <c r="I2725" s="16" t="s">
        <v>708</v>
      </c>
    </row>
    <row r="2726" ht="242.25" customHeight="1">
      <c r="B2726" s="32" t="str">
        <f>IMAGE("https://gymvisual.com/7089-catalog_default/lever-reverse-grip-preacher-curl.jpg",4,500,500)</f>
        <v/>
      </c>
      <c r="C2726" s="30">
        <v>2725.0</v>
      </c>
      <c r="D2726" s="16" t="s">
        <v>3472</v>
      </c>
      <c r="E2726" s="16" t="s">
        <v>184</v>
      </c>
      <c r="F2726" s="16" t="s">
        <v>219</v>
      </c>
      <c r="G2726" s="16" t="s">
        <v>346</v>
      </c>
      <c r="H2726" s="16" t="s">
        <v>220</v>
      </c>
      <c r="I2726" s="16" t="s">
        <v>220</v>
      </c>
    </row>
    <row r="2727" ht="242.25" customHeight="1">
      <c r="B2727" s="32" t="str">
        <f>IMAGE("https://gymvisual.com/6039-catalog_default/lever-reverse-grip-vertical-row.jpg",4,500,500)</f>
        <v/>
      </c>
      <c r="C2727" s="30">
        <v>2726.0</v>
      </c>
      <c r="D2727" s="16" t="s">
        <v>3473</v>
      </c>
      <c r="E2727" s="16" t="s">
        <v>184</v>
      </c>
      <c r="F2727" s="16" t="s">
        <v>192</v>
      </c>
      <c r="G2727" s="16" t="s">
        <v>346</v>
      </c>
      <c r="H2727" s="16" t="s">
        <v>329</v>
      </c>
      <c r="I2727" s="16" t="s">
        <v>457</v>
      </c>
    </row>
    <row r="2728" ht="242.25" customHeight="1">
      <c r="B2728" s="32" t="str">
        <f>IMAGE("https://gymvisual.com/11387-catalog_default/lever-reverse-grip-vertical-row-female.jpg",4,500,500)</f>
        <v/>
      </c>
      <c r="C2728" s="30">
        <v>2727.0</v>
      </c>
      <c r="D2728" s="16" t="s">
        <v>3474</v>
      </c>
      <c r="E2728" s="16" t="s">
        <v>184</v>
      </c>
      <c r="F2728" s="16" t="s">
        <v>192</v>
      </c>
      <c r="G2728" s="16" t="s">
        <v>346</v>
      </c>
      <c r="H2728" s="16" t="s">
        <v>220</v>
      </c>
      <c r="I2728" s="16" t="s">
        <v>220</v>
      </c>
    </row>
    <row r="2729" ht="242.25" customHeight="1">
      <c r="B2729" s="32" t="str">
        <f>IMAGE("https://gymvisual.com/1783-catalog_default/3-4-sit-up.jpg",4,500,500)</f>
        <v/>
      </c>
      <c r="C2729" s="30">
        <v>2728.0</v>
      </c>
      <c r="D2729" s="16" t="s">
        <v>3475</v>
      </c>
      <c r="E2729" s="16" t="s">
        <v>184</v>
      </c>
      <c r="F2729" s="16" t="s">
        <v>185</v>
      </c>
      <c r="G2729" s="16" t="s">
        <v>346</v>
      </c>
      <c r="H2729" s="16" t="s">
        <v>187</v>
      </c>
      <c r="I2729" s="16" t="s">
        <v>188</v>
      </c>
    </row>
    <row r="2730" ht="242.25" customHeight="1">
      <c r="B2730" s="32" t="str">
        <f>IMAGE("https://gymvisual.com/12749-catalog_default/lever-reverse-hyperextension-plate-loaded-female.jpg",4,500,500)</f>
        <v/>
      </c>
      <c r="C2730" s="30">
        <v>2729.0</v>
      </c>
      <c r="D2730" s="16" t="s">
        <v>3476</v>
      </c>
      <c r="E2730" s="16" t="s">
        <v>184</v>
      </c>
      <c r="F2730" s="16" t="s">
        <v>185</v>
      </c>
      <c r="G2730" s="16" t="s">
        <v>346</v>
      </c>
      <c r="H2730" s="16" t="s">
        <v>267</v>
      </c>
      <c r="I2730" s="16" t="s">
        <v>188</v>
      </c>
    </row>
    <row r="2731" ht="242.25" customHeight="1">
      <c r="B2731" s="32" t="str">
        <f>IMAGE("https://gymvisual.com/17991-catalog_default/lever-reverse-shoulder-press-plate-loaded.jpg",4,500,500)</f>
        <v/>
      </c>
      <c r="C2731" s="30">
        <v>2730.0</v>
      </c>
      <c r="D2731" s="16" t="s">
        <v>3477</v>
      </c>
      <c r="E2731" s="16" t="s">
        <v>184</v>
      </c>
      <c r="F2731" s="16" t="s">
        <v>228</v>
      </c>
      <c r="G2731" s="16" t="s">
        <v>346</v>
      </c>
      <c r="H2731" s="16" t="s">
        <v>220</v>
      </c>
      <c r="I2731" s="16" t="s">
        <v>220</v>
      </c>
    </row>
    <row r="2732" ht="242.25" customHeight="1">
      <c r="B2732" s="32" t="str">
        <f>IMAGE("https://gymvisual.com/6040-catalog_default/lever-reverse-t-bar-row.jpg",4,500,500)</f>
        <v/>
      </c>
      <c r="C2732" s="30">
        <v>2731.0</v>
      </c>
      <c r="D2732" s="16" t="s">
        <v>3478</v>
      </c>
      <c r="E2732" s="16" t="s">
        <v>184</v>
      </c>
      <c r="F2732" s="16" t="s">
        <v>192</v>
      </c>
      <c r="G2732" s="16" t="s">
        <v>346</v>
      </c>
      <c r="H2732" s="16" t="s">
        <v>329</v>
      </c>
      <c r="I2732" s="16" t="s">
        <v>457</v>
      </c>
    </row>
    <row r="2733" ht="242.25" customHeight="1">
      <c r="B2733" s="32" t="str">
        <f>IMAGE("https://gymvisual.com/13477-catalog_default/lever-reverse-t-bar-row-female.jpg",4,500,500)</f>
        <v/>
      </c>
      <c r="C2733" s="30">
        <v>2732.0</v>
      </c>
      <c r="D2733" s="16" t="s">
        <v>3479</v>
      </c>
      <c r="E2733" s="16" t="s">
        <v>184</v>
      </c>
      <c r="F2733" s="16" t="s">
        <v>192</v>
      </c>
      <c r="G2733" s="16" t="s">
        <v>346</v>
      </c>
      <c r="H2733" s="16" t="s">
        <v>570</v>
      </c>
      <c r="I2733" s="16" t="s">
        <v>447</v>
      </c>
    </row>
    <row r="2734" ht="242.25" customHeight="1">
      <c r="B2734" s="32" t="str">
        <f>IMAGE("https://gymvisual.com/24324-catalog_default/lever-reverse-vertical-hack-squat.jpg",4,500,500)</f>
        <v/>
      </c>
      <c r="C2734" s="30">
        <v>2733.0</v>
      </c>
      <c r="D2734" s="16" t="s">
        <v>3480</v>
      </c>
      <c r="E2734" s="16" t="s">
        <v>184</v>
      </c>
      <c r="F2734" s="16" t="s">
        <v>185</v>
      </c>
      <c r="G2734" s="16" t="s">
        <v>346</v>
      </c>
      <c r="H2734" s="16" t="s">
        <v>189</v>
      </c>
      <c r="I2734" s="16" t="s">
        <v>190</v>
      </c>
    </row>
    <row r="2735" ht="242.25" customHeight="1">
      <c r="B2735" s="32" t="str">
        <f>IMAGE("https://gymvisual.com/10143-catalog_default/lever-rotary-calf.jpg",4,500,500)</f>
        <v/>
      </c>
      <c r="C2735" s="30">
        <v>2734.0</v>
      </c>
      <c r="D2735" s="16" t="s">
        <v>3481</v>
      </c>
      <c r="E2735" s="16" t="s">
        <v>184</v>
      </c>
      <c r="F2735" s="16" t="s">
        <v>325</v>
      </c>
      <c r="G2735" s="16" t="s">
        <v>346</v>
      </c>
      <c r="H2735" s="16" t="s">
        <v>368</v>
      </c>
      <c r="I2735" s="16" t="s">
        <v>463</v>
      </c>
    </row>
    <row r="2736" ht="242.25" customHeight="1">
      <c r="B2736" s="32" t="str">
        <f>IMAGE("https://gymvisual.com/13479-catalog_default/lever-rotary-calf-female.jpg",4,500,500)</f>
        <v/>
      </c>
      <c r="C2736" s="30">
        <v>2735.0</v>
      </c>
      <c r="D2736" s="16" t="s">
        <v>3482</v>
      </c>
      <c r="E2736" s="16" t="s">
        <v>184</v>
      </c>
      <c r="F2736" s="16" t="s">
        <v>325</v>
      </c>
      <c r="G2736" s="16" t="s">
        <v>346</v>
      </c>
      <c r="H2736" s="16" t="s">
        <v>368</v>
      </c>
      <c r="I2736" s="16" t="s">
        <v>463</v>
      </c>
    </row>
    <row r="2737" ht="242.25" customHeight="1">
      <c r="B2737" s="32" t="str">
        <f>IMAGE("https://gymvisual.com/4608-catalog_default/lever-row-plate-loaded.jpg",4,500,500)</f>
        <v/>
      </c>
      <c r="C2737" s="30">
        <v>2736.0</v>
      </c>
      <c r="D2737" s="16" t="s">
        <v>3483</v>
      </c>
      <c r="E2737" s="16" t="s">
        <v>184</v>
      </c>
      <c r="F2737" s="16" t="s">
        <v>192</v>
      </c>
      <c r="G2737" s="16" t="s">
        <v>346</v>
      </c>
      <c r="H2737" s="16" t="s">
        <v>329</v>
      </c>
      <c r="I2737" s="16" t="s">
        <v>457</v>
      </c>
    </row>
    <row r="2738" ht="242.25" customHeight="1">
      <c r="B2738" s="32" t="str">
        <f>IMAGE("https://gymvisual.com/10055-catalog_default/lever-seated-calf-press.jpg",4,500,500)</f>
        <v/>
      </c>
      <c r="C2738" s="30">
        <v>2737.0</v>
      </c>
      <c r="D2738" s="16" t="s">
        <v>3484</v>
      </c>
      <c r="E2738" s="16" t="s">
        <v>184</v>
      </c>
      <c r="F2738" s="16" t="s">
        <v>325</v>
      </c>
      <c r="G2738" s="16" t="s">
        <v>346</v>
      </c>
      <c r="H2738" s="16" t="s">
        <v>368</v>
      </c>
      <c r="I2738" s="16" t="s">
        <v>463</v>
      </c>
    </row>
    <row r="2739" ht="242.25" customHeight="1">
      <c r="B2739" s="32" t="str">
        <f>IMAGE("https://gymvisual.com/11233-catalog_default/lever-seated-calf-press-female.jpg",4,500,500)</f>
        <v/>
      </c>
      <c r="C2739" s="30">
        <v>2738.0</v>
      </c>
      <c r="D2739" s="16" t="s">
        <v>3485</v>
      </c>
      <c r="E2739" s="16" t="s">
        <v>184</v>
      </c>
      <c r="F2739" s="16" t="s">
        <v>325</v>
      </c>
      <c r="G2739" s="16" t="s">
        <v>346</v>
      </c>
      <c r="H2739" s="16" t="s">
        <v>368</v>
      </c>
      <c r="I2739" s="16" t="s">
        <v>463</v>
      </c>
    </row>
    <row r="2740" ht="242.25" customHeight="1">
      <c r="B2740" s="32" t="str">
        <f>IMAGE("https://gymvisual.com/1786-catalog_default/3-4-sit-up.jpg",4,500,500)</f>
        <v/>
      </c>
      <c r="C2740" s="30">
        <v>2739.0</v>
      </c>
      <c r="D2740" s="16" t="s">
        <v>3486</v>
      </c>
      <c r="E2740" s="16" t="s">
        <v>184</v>
      </c>
      <c r="F2740" s="16" t="s">
        <v>325</v>
      </c>
      <c r="G2740" s="16" t="s">
        <v>346</v>
      </c>
      <c r="H2740" s="16" t="s">
        <v>463</v>
      </c>
      <c r="I2740" s="16" t="s">
        <v>368</v>
      </c>
    </row>
    <row r="2741" ht="242.25" customHeight="1">
      <c r="B2741" s="32" t="str">
        <f>IMAGE("https://gymvisual.com/13481-catalog_default/lever-seated-calf-raise-plate-loaded-female.jpg",4,500,500)</f>
        <v/>
      </c>
      <c r="C2741" s="30">
        <v>2740.0</v>
      </c>
      <c r="D2741" s="16" t="s">
        <v>3487</v>
      </c>
      <c r="E2741" s="16" t="s">
        <v>184</v>
      </c>
      <c r="F2741" s="16" t="s">
        <v>325</v>
      </c>
      <c r="G2741" s="16" t="s">
        <v>346</v>
      </c>
      <c r="H2741" s="16" t="s">
        <v>368</v>
      </c>
      <c r="I2741" s="16" t="s">
        <v>463</v>
      </c>
    </row>
    <row r="2742" ht="242.25" customHeight="1">
      <c r="B2742" s="32" t="str">
        <f>IMAGE("https://gymvisual.com/12229-catalog_default/lever-seated-calf-raise-plate-loaded-version-2.jpg",4,500,500)</f>
        <v/>
      </c>
      <c r="C2742" s="30">
        <v>2741.0</v>
      </c>
      <c r="D2742" s="16" t="s">
        <v>3488</v>
      </c>
      <c r="E2742" s="16" t="s">
        <v>184</v>
      </c>
      <c r="F2742" s="16" t="s">
        <v>325</v>
      </c>
      <c r="G2742" s="16" t="s">
        <v>346</v>
      </c>
      <c r="H2742" s="16" t="s">
        <v>368</v>
      </c>
      <c r="I2742" s="16" t="s">
        <v>463</v>
      </c>
    </row>
    <row r="2743" ht="242.25" customHeight="1">
      <c r="B2743" s="32" t="str">
        <f>IMAGE("https://gymvisual.com/6462-catalog_default/lever-seated-crunch.jpg",4,500,500)</f>
        <v/>
      </c>
      <c r="C2743" s="30">
        <v>2742.0</v>
      </c>
      <c r="D2743" s="16" t="s">
        <v>3489</v>
      </c>
      <c r="E2743" s="16" t="s">
        <v>184</v>
      </c>
      <c r="F2743" s="16" t="s">
        <v>254</v>
      </c>
      <c r="G2743" s="16" t="s">
        <v>346</v>
      </c>
      <c r="H2743" s="16" t="s">
        <v>256</v>
      </c>
      <c r="I2743" s="16" t="s">
        <v>257</v>
      </c>
    </row>
    <row r="2744" ht="242.25" customHeight="1">
      <c r="B2744" s="32" t="str">
        <f>IMAGE("https://gymvisual.com/1789-catalog_default/3-4-sit-up.jpg",4,500,500)</f>
        <v/>
      </c>
      <c r="C2744" s="30">
        <v>2743.0</v>
      </c>
      <c r="D2744" s="16" t="s">
        <v>3490</v>
      </c>
      <c r="E2744" s="16" t="s">
        <v>184</v>
      </c>
      <c r="F2744" s="16" t="s">
        <v>254</v>
      </c>
      <c r="G2744" s="16" t="s">
        <v>346</v>
      </c>
      <c r="H2744" s="16" t="s">
        <v>256</v>
      </c>
      <c r="I2744" s="16" t="s">
        <v>257</v>
      </c>
    </row>
    <row r="2745" ht="242.25" customHeight="1">
      <c r="B2745" s="32" t="str">
        <f>IMAGE("https://gymvisual.com/16616-catalog_default/lever-seated-crunch-chest-pad-female.jpg",4,500,500)</f>
        <v/>
      </c>
      <c r="C2745" s="30">
        <v>2744.0</v>
      </c>
      <c r="D2745" s="16" t="s">
        <v>3491</v>
      </c>
      <c r="E2745" s="16" t="s">
        <v>184</v>
      </c>
      <c r="F2745" s="16" t="s">
        <v>254</v>
      </c>
      <c r="G2745" s="16" t="s">
        <v>346</v>
      </c>
      <c r="H2745" s="16" t="s">
        <v>256</v>
      </c>
      <c r="I2745" s="16" t="s">
        <v>257</v>
      </c>
    </row>
    <row r="2746" ht="242.25" customHeight="1">
      <c r="B2746" s="32" t="str">
        <f>IMAGE("https://gymvisual.com/10960-catalog_default/lever-seated-crunch-female.jpg",4,500,500)</f>
        <v/>
      </c>
      <c r="C2746" s="30">
        <v>2745.0</v>
      </c>
      <c r="D2746" s="16" t="s">
        <v>3492</v>
      </c>
      <c r="E2746" s="16" t="s">
        <v>184</v>
      </c>
      <c r="F2746" s="16" t="s">
        <v>254</v>
      </c>
      <c r="G2746" s="16" t="s">
        <v>346</v>
      </c>
      <c r="H2746" s="16" t="s">
        <v>256</v>
      </c>
      <c r="I2746" s="16" t="s">
        <v>257</v>
      </c>
    </row>
    <row r="2747" ht="242.25" customHeight="1">
      <c r="B2747" s="32" t="str">
        <f>IMAGE("https://gymvisual.com/9691-catalog_default/lever-seated-crunch-hands-pad.jpg",4,500,500)</f>
        <v/>
      </c>
      <c r="C2747" s="30">
        <v>2746.0</v>
      </c>
      <c r="D2747" s="16" t="s">
        <v>3493</v>
      </c>
      <c r="E2747" s="16" t="s">
        <v>184</v>
      </c>
      <c r="F2747" s="16" t="s">
        <v>254</v>
      </c>
      <c r="G2747" s="16" t="s">
        <v>346</v>
      </c>
      <c r="H2747" s="16" t="s">
        <v>256</v>
      </c>
      <c r="I2747" s="16" t="s">
        <v>257</v>
      </c>
    </row>
    <row r="2748" ht="242.25" customHeight="1">
      <c r="B2748" s="32" t="str">
        <f>IMAGE("https://gymvisual.com/16676-catalog_default/lever-seated-crunch-version-2.jpg",4,500,500)</f>
        <v/>
      </c>
      <c r="C2748" s="30">
        <v>2747.0</v>
      </c>
      <c r="D2748" s="16" t="s">
        <v>3494</v>
      </c>
      <c r="E2748" s="16" t="s">
        <v>184</v>
      </c>
      <c r="F2748" s="16" t="s">
        <v>254</v>
      </c>
      <c r="G2748" s="16" t="s">
        <v>346</v>
      </c>
      <c r="H2748" s="16" t="s">
        <v>256</v>
      </c>
      <c r="I2748" s="16" t="s">
        <v>257</v>
      </c>
    </row>
    <row r="2749" ht="242.25" customHeight="1">
      <c r="B2749" s="32" t="str">
        <f>IMAGE("https://gymvisual.com/6460-catalog_default/lever-seated-dip.jpg",4,500,500)</f>
        <v/>
      </c>
      <c r="C2749" s="30">
        <v>2748.0</v>
      </c>
      <c r="D2749" s="16" t="s">
        <v>3495</v>
      </c>
      <c r="E2749" s="16" t="s">
        <v>184</v>
      </c>
      <c r="F2749" s="16" t="s">
        <v>219</v>
      </c>
      <c r="G2749" s="16" t="s">
        <v>346</v>
      </c>
      <c r="H2749" s="16" t="s">
        <v>223</v>
      </c>
      <c r="I2749" s="16" t="s">
        <v>394</v>
      </c>
    </row>
    <row r="2750" ht="242.25" customHeight="1">
      <c r="B2750" s="32" t="str">
        <f>IMAGE("https://gymvisual.com/9664-catalog_default/lever-seated-dip-female.jpg",4,500,500)</f>
        <v/>
      </c>
      <c r="C2750" s="30">
        <v>2749.0</v>
      </c>
      <c r="D2750" s="16" t="s">
        <v>3496</v>
      </c>
      <c r="E2750" s="16" t="s">
        <v>184</v>
      </c>
      <c r="F2750" s="16" t="s">
        <v>219</v>
      </c>
      <c r="G2750" s="16" t="s">
        <v>346</v>
      </c>
      <c r="H2750" s="16" t="s">
        <v>223</v>
      </c>
      <c r="I2750" s="16" t="s">
        <v>394</v>
      </c>
    </row>
    <row r="2751" ht="242.25" customHeight="1">
      <c r="B2751" s="32" t="str">
        <f>IMAGE("https://gymvisual.com/1792-catalog_default/3-4-sit-up.jpg",4,500,500)</f>
        <v/>
      </c>
      <c r="C2751" s="30">
        <v>2750.0</v>
      </c>
      <c r="D2751" s="16" t="s">
        <v>3497</v>
      </c>
      <c r="E2751" s="16" t="s">
        <v>184</v>
      </c>
      <c r="F2751" s="16" t="s">
        <v>234</v>
      </c>
      <c r="G2751" s="16" t="s">
        <v>346</v>
      </c>
      <c r="H2751" s="16" t="s">
        <v>347</v>
      </c>
      <c r="I2751" s="16" t="s">
        <v>2466</v>
      </c>
    </row>
    <row r="2752" ht="242.25" customHeight="1">
      <c r="B2752" s="32" t="str">
        <f>IMAGE("https://gymvisual.com/9679-catalog_default/lever-seated-fly-female.jpg",4,500,500)</f>
        <v/>
      </c>
      <c r="C2752" s="30">
        <v>2751.0</v>
      </c>
      <c r="D2752" s="16" t="s">
        <v>3498</v>
      </c>
      <c r="E2752" s="16" t="s">
        <v>184</v>
      </c>
      <c r="F2752" s="16" t="s">
        <v>234</v>
      </c>
      <c r="G2752" s="16" t="s">
        <v>346</v>
      </c>
      <c r="H2752" s="16" t="s">
        <v>235</v>
      </c>
      <c r="I2752" s="16" t="s">
        <v>236</v>
      </c>
    </row>
    <row r="2753" ht="242.25" customHeight="1">
      <c r="B2753" s="32" t="str">
        <f>IMAGE("https://gymvisual.com/17761-catalog_default/lever-seated-full-crunch.jpg",4,500,500)</f>
        <v/>
      </c>
      <c r="C2753" s="30">
        <v>2752.0</v>
      </c>
      <c r="D2753" s="16" t="s">
        <v>3499</v>
      </c>
      <c r="E2753" s="16" t="s">
        <v>184</v>
      </c>
      <c r="F2753" s="16" t="s">
        <v>254</v>
      </c>
      <c r="G2753" s="16" t="s">
        <v>346</v>
      </c>
      <c r="H2753" s="16" t="s">
        <v>220</v>
      </c>
      <c r="I2753" s="16" t="s">
        <v>220</v>
      </c>
    </row>
    <row r="2754" ht="242.25" customHeight="1">
      <c r="B2754" s="32" t="str">
        <f>IMAGE("https://gymvisual.com/16674-catalog_default/lever-seated-good-morning.jpg",4,500,500)</f>
        <v/>
      </c>
      <c r="C2754" s="30">
        <v>2753.0</v>
      </c>
      <c r="D2754" s="16" t="s">
        <v>3500</v>
      </c>
      <c r="E2754" s="16" t="s">
        <v>184</v>
      </c>
      <c r="F2754" s="16" t="s">
        <v>185</v>
      </c>
      <c r="G2754" s="16" t="s">
        <v>346</v>
      </c>
      <c r="H2754" s="16" t="s">
        <v>267</v>
      </c>
      <c r="I2754" s="16" t="s">
        <v>220</v>
      </c>
    </row>
    <row r="2755" ht="242.25" customHeight="1">
      <c r="B2755" s="32" t="str">
        <f>IMAGE("https://gymvisual.com/12283-catalog_default/lever-seated-hammer-grip-shoulder-press.jpg",4,500,500)</f>
        <v/>
      </c>
      <c r="C2755" s="30">
        <v>2754.0</v>
      </c>
      <c r="D2755" s="16" t="s">
        <v>3501</v>
      </c>
      <c r="E2755" s="16" t="s">
        <v>184</v>
      </c>
      <c r="F2755" s="16" t="s">
        <v>228</v>
      </c>
      <c r="G2755" s="16" t="s">
        <v>346</v>
      </c>
      <c r="H2755" s="16" t="s">
        <v>229</v>
      </c>
      <c r="I2755" s="16" t="s">
        <v>3502</v>
      </c>
    </row>
    <row r="2756" ht="242.25" customHeight="1">
      <c r="B2756" s="32" t="str">
        <f>IMAGE("https://gymvisual.com/12715-catalog_default/3-4-sit-up.jpg",4,500,500)</f>
        <v/>
      </c>
      <c r="C2756" s="30">
        <v>2755.0</v>
      </c>
      <c r="D2756" s="16" t="s">
        <v>3503</v>
      </c>
      <c r="E2756" s="16" t="s">
        <v>184</v>
      </c>
      <c r="F2756" s="16" t="s">
        <v>185</v>
      </c>
      <c r="G2756" s="16" t="s">
        <v>346</v>
      </c>
      <c r="H2756" s="16" t="s">
        <v>1240</v>
      </c>
      <c r="I2756" s="16" t="s">
        <v>476</v>
      </c>
    </row>
    <row r="2757" ht="242.25" customHeight="1">
      <c r="B2757" s="32" t="str">
        <f>IMAGE("https://gymvisual.com/14286-catalog_default/lever-seated-hip-abduction-female.jpg",4,500,500)</f>
        <v/>
      </c>
      <c r="C2757" s="30">
        <v>2756.0</v>
      </c>
      <c r="D2757" s="16" t="s">
        <v>3504</v>
      </c>
      <c r="E2757" s="16" t="s">
        <v>184</v>
      </c>
      <c r="F2757" s="16" t="s">
        <v>185</v>
      </c>
      <c r="G2757" s="16" t="s">
        <v>346</v>
      </c>
      <c r="H2757" s="16" t="s">
        <v>475</v>
      </c>
      <c r="I2757" s="16" t="s">
        <v>476</v>
      </c>
    </row>
    <row r="2758" ht="242.25" customHeight="1">
      <c r="B2758" s="32" t="str">
        <f>IMAGE("https://gymvisual.com/7721-catalog_default/lever-seated-hip-abduction-version-2.jpg",4,500,500)</f>
        <v/>
      </c>
      <c r="C2758" s="30">
        <v>2757.0</v>
      </c>
      <c r="D2758" s="16" t="s">
        <v>3505</v>
      </c>
      <c r="E2758" s="16" t="s">
        <v>184</v>
      </c>
      <c r="F2758" s="16" t="s">
        <v>185</v>
      </c>
      <c r="G2758" s="16" t="s">
        <v>346</v>
      </c>
      <c r="H2758" s="16" t="s">
        <v>220</v>
      </c>
      <c r="I2758" s="16" t="s">
        <v>220</v>
      </c>
    </row>
    <row r="2759" ht="242.25" customHeight="1">
      <c r="B2759" s="32" t="str">
        <f>IMAGE("https://gymvisual.com/11218-catalog_default/lever-seated-hip-abduction-version-2-female.jpg",4,500,500)</f>
        <v/>
      </c>
      <c r="C2759" s="30">
        <v>2758.0</v>
      </c>
      <c r="D2759" s="16" t="s">
        <v>3506</v>
      </c>
      <c r="E2759" s="16" t="s">
        <v>184</v>
      </c>
      <c r="F2759" s="16" t="s">
        <v>185</v>
      </c>
      <c r="G2759" s="16" t="s">
        <v>346</v>
      </c>
      <c r="H2759" s="16" t="s">
        <v>220</v>
      </c>
      <c r="I2759" s="16" t="s">
        <v>220</v>
      </c>
    </row>
    <row r="2760" ht="242.25" customHeight="1">
      <c r="B2760" s="32" t="str">
        <f>IMAGE("https://gymvisual.com/24924-catalog_default/3-4-sit-up.jpg",4,500,500)</f>
        <v/>
      </c>
      <c r="C2760" s="30">
        <v>2759.0</v>
      </c>
      <c r="D2760" s="16" t="s">
        <v>3507</v>
      </c>
      <c r="E2760" s="16" t="s">
        <v>184</v>
      </c>
      <c r="F2760" s="16" t="s">
        <v>285</v>
      </c>
      <c r="G2760" s="16" t="s">
        <v>346</v>
      </c>
      <c r="H2760" s="16" t="s">
        <v>511</v>
      </c>
      <c r="I2760" s="16" t="s">
        <v>3508</v>
      </c>
    </row>
    <row r="2761" ht="242.25" customHeight="1">
      <c r="B2761" s="32" t="str">
        <f>IMAGE("https://gymvisual.com/14288-catalog_default/lever-seated-hip-adduction-female.jpg",4,500,500)</f>
        <v/>
      </c>
      <c r="C2761" s="30">
        <v>2760.0</v>
      </c>
      <c r="D2761" s="16" t="s">
        <v>3509</v>
      </c>
      <c r="E2761" s="16" t="s">
        <v>184</v>
      </c>
      <c r="F2761" s="16" t="s">
        <v>185</v>
      </c>
      <c r="G2761" s="16" t="s">
        <v>346</v>
      </c>
      <c r="H2761" s="16" t="s">
        <v>514</v>
      </c>
      <c r="I2761" s="16" t="s">
        <v>515</v>
      </c>
    </row>
    <row r="2762" ht="242.25" customHeight="1">
      <c r="B2762" s="32" t="str">
        <f>IMAGE("https://gymvisual.com/7719-catalog_default/lever-seated-hip-adduction-version-2.jpg",4,500,500)</f>
        <v/>
      </c>
      <c r="C2762" s="30">
        <v>2761.0</v>
      </c>
      <c r="D2762" s="16" t="s">
        <v>3510</v>
      </c>
      <c r="E2762" s="16" t="s">
        <v>184</v>
      </c>
      <c r="F2762" s="16" t="s">
        <v>185</v>
      </c>
      <c r="G2762" s="16" t="s">
        <v>346</v>
      </c>
      <c r="H2762" s="16" t="s">
        <v>220</v>
      </c>
      <c r="I2762" s="16" t="s">
        <v>220</v>
      </c>
    </row>
    <row r="2763" ht="242.25" customHeight="1">
      <c r="B2763" s="32" t="str">
        <f>IMAGE("https://gymvisual.com/11215-catalog_default/lever-seated-hip-adduction-version-2-female.jpg",4,500,500)</f>
        <v/>
      </c>
      <c r="C2763" s="30">
        <v>2762.0</v>
      </c>
      <c r="D2763" s="16" t="s">
        <v>3511</v>
      </c>
      <c r="E2763" s="16" t="s">
        <v>184</v>
      </c>
      <c r="F2763" s="16" t="s">
        <v>185</v>
      </c>
      <c r="G2763" s="16" t="s">
        <v>346</v>
      </c>
      <c r="H2763" s="16" t="s">
        <v>220</v>
      </c>
      <c r="I2763" s="16" t="s">
        <v>220</v>
      </c>
    </row>
    <row r="2764" ht="242.25" customHeight="1">
      <c r="B2764" s="32" t="str">
        <f>IMAGE("https://gymvisual.com/16735-catalog_default/lever-seated-horizontal-leg-press.jpg",4,500,500)</f>
        <v/>
      </c>
      <c r="C2764" s="30">
        <v>2763.0</v>
      </c>
      <c r="D2764" s="16" t="s">
        <v>3512</v>
      </c>
      <c r="E2764" s="16" t="s">
        <v>184</v>
      </c>
      <c r="F2764" s="16" t="s">
        <v>294</v>
      </c>
      <c r="G2764" s="16" t="s">
        <v>346</v>
      </c>
      <c r="H2764" s="16" t="s">
        <v>189</v>
      </c>
      <c r="I2764" s="16" t="s">
        <v>190</v>
      </c>
    </row>
    <row r="2765" ht="242.25" customHeight="1">
      <c r="B2765" s="32" t="str">
        <f>IMAGE("https://gymvisual.com/17763-catalog_default/lever-seated-left-side-crunch.jpg",4,500,500)</f>
        <v/>
      </c>
      <c r="C2765" s="30">
        <v>2764.0</v>
      </c>
      <c r="D2765" s="16" t="s">
        <v>3513</v>
      </c>
      <c r="E2765" s="16" t="s">
        <v>184</v>
      </c>
      <c r="F2765" s="16" t="s">
        <v>254</v>
      </c>
      <c r="G2765" s="16" t="s">
        <v>346</v>
      </c>
      <c r="H2765" s="16" t="s">
        <v>220</v>
      </c>
      <c r="I2765" s="16" t="s">
        <v>220</v>
      </c>
    </row>
    <row r="2766" ht="242.25" customHeight="1">
      <c r="B2766" s="32" t="str">
        <f>IMAGE("https://gymvisual.com/10481-catalog_default/3-4-sit-up.jpg",4,500,500)</f>
        <v/>
      </c>
      <c r="C2766" s="30">
        <v>2765.0</v>
      </c>
      <c r="D2766" s="16" t="s">
        <v>3514</v>
      </c>
      <c r="E2766" s="16" t="s">
        <v>184</v>
      </c>
      <c r="F2766" s="16" t="s">
        <v>285</v>
      </c>
      <c r="G2766" s="16" t="s">
        <v>346</v>
      </c>
      <c r="H2766" s="16" t="s">
        <v>188</v>
      </c>
      <c r="I2766" s="16" t="s">
        <v>2733</v>
      </c>
    </row>
    <row r="2767" ht="242.25" customHeight="1">
      <c r="B2767" s="32" t="str">
        <f>IMAGE("https://gymvisual.com/10483-catalog_default/lever-seated-leg-curl-female.jpg",4,500,500)</f>
        <v/>
      </c>
      <c r="C2767" s="30">
        <v>2766.0</v>
      </c>
      <c r="D2767" s="16" t="s">
        <v>3515</v>
      </c>
      <c r="E2767" s="16" t="s">
        <v>184</v>
      </c>
      <c r="F2767" s="16" t="s">
        <v>285</v>
      </c>
      <c r="G2767" s="16" t="s">
        <v>346</v>
      </c>
      <c r="H2767" s="16" t="s">
        <v>188</v>
      </c>
      <c r="I2767" s="16" t="s">
        <v>2733</v>
      </c>
    </row>
    <row r="2768" ht="242.25" customHeight="1">
      <c r="B2768" s="32" t="str">
        <f>IMAGE("https://gymvisual.com/13735-catalog_default/lever-seated-leg-extension-version-2.jpg",4,500,500)</f>
        <v/>
      </c>
      <c r="C2768" s="30">
        <v>2767.0</v>
      </c>
      <c r="D2768" s="16" t="s">
        <v>3516</v>
      </c>
      <c r="E2768" s="16" t="s">
        <v>184</v>
      </c>
      <c r="F2768" s="16" t="s">
        <v>285</v>
      </c>
      <c r="G2768" s="16" t="s">
        <v>346</v>
      </c>
      <c r="H2768" s="16" t="s">
        <v>552</v>
      </c>
      <c r="I2768" s="16" t="s">
        <v>220</v>
      </c>
    </row>
    <row r="2769" ht="242.25" customHeight="1">
      <c r="B2769" s="32" t="str">
        <f>IMAGE("https://gymvisual.com/9688-catalog_default/lever-seated-leg-press.jpg",4,500,500)</f>
        <v/>
      </c>
      <c r="C2769" s="30">
        <v>2768.0</v>
      </c>
      <c r="D2769" s="16" t="s">
        <v>3517</v>
      </c>
      <c r="E2769" s="16" t="s">
        <v>184</v>
      </c>
      <c r="F2769" s="16" t="s">
        <v>294</v>
      </c>
      <c r="G2769" s="16" t="s">
        <v>346</v>
      </c>
      <c r="H2769" s="16" t="s">
        <v>189</v>
      </c>
      <c r="I2769" s="16" t="s">
        <v>190</v>
      </c>
    </row>
    <row r="2770" ht="242.25" customHeight="1">
      <c r="B2770" s="32" t="str">
        <f>IMAGE("https://gymvisual.com/11372-catalog_default/lever-seated-leg-press-female.jpg",4,500,500)</f>
        <v/>
      </c>
      <c r="C2770" s="30">
        <v>2769.0</v>
      </c>
      <c r="D2770" s="16" t="s">
        <v>3518</v>
      </c>
      <c r="E2770" s="16" t="s">
        <v>184</v>
      </c>
      <c r="F2770" s="16" t="s">
        <v>294</v>
      </c>
      <c r="G2770" s="16" t="s">
        <v>346</v>
      </c>
      <c r="H2770" s="16" t="s">
        <v>220</v>
      </c>
      <c r="I2770" s="16" t="s">
        <v>220</v>
      </c>
    </row>
    <row r="2771" ht="242.25" customHeight="1">
      <c r="B2771" s="32" t="str">
        <f>IMAGE("https://gymvisual.com/13733-catalog_default/lever-seated-leg-press-version-2.jpg",4,500,500)</f>
        <v/>
      </c>
      <c r="C2771" s="30">
        <v>2770.0</v>
      </c>
      <c r="D2771" s="16" t="s">
        <v>3519</v>
      </c>
      <c r="E2771" s="16" t="s">
        <v>184</v>
      </c>
      <c r="F2771" s="16" t="s">
        <v>294</v>
      </c>
      <c r="G2771" s="16" t="s">
        <v>346</v>
      </c>
      <c r="H2771" s="16" t="s">
        <v>189</v>
      </c>
      <c r="I2771" s="16" t="s">
        <v>190</v>
      </c>
    </row>
    <row r="2772" ht="242.25" customHeight="1">
      <c r="B2772" s="32" t="str">
        <f>IMAGE("https://gymvisual.com/1804-catalog_default/3-4-sit-up.jpg",4,500,500)</f>
        <v/>
      </c>
      <c r="C2772" s="30">
        <v>2771.0</v>
      </c>
      <c r="D2772" s="16" t="s">
        <v>3520</v>
      </c>
      <c r="E2772" s="16" t="s">
        <v>184</v>
      </c>
      <c r="F2772" s="16" t="s">
        <v>254</v>
      </c>
      <c r="G2772" s="16" t="s">
        <v>346</v>
      </c>
      <c r="H2772" s="16" t="s">
        <v>256</v>
      </c>
      <c r="I2772" s="16" t="s">
        <v>257</v>
      </c>
    </row>
    <row r="2773" ht="242.25" customHeight="1">
      <c r="B2773" s="32" t="str">
        <f>IMAGE("https://gymvisual.com/14384-catalog_default/lever-seated-leg-raise-crunch-plate-loaded-female.jpg",4,500,500)</f>
        <v/>
      </c>
      <c r="C2773" s="30">
        <v>2772.0</v>
      </c>
      <c r="D2773" s="16" t="s">
        <v>3521</v>
      </c>
      <c r="E2773" s="16" t="s">
        <v>184</v>
      </c>
      <c r="F2773" s="16" t="s">
        <v>254</v>
      </c>
      <c r="G2773" s="16" t="s">
        <v>346</v>
      </c>
      <c r="H2773" s="16" t="s">
        <v>256</v>
      </c>
      <c r="I2773" s="16" t="s">
        <v>257</v>
      </c>
    </row>
    <row r="2774" ht="242.25" customHeight="1">
      <c r="B2774" s="32" t="str">
        <f>IMAGE("https://gymvisual.com/4584-catalog_default/lever-seated-one-leg-calf-raise.jpg",4,500,500)</f>
        <v/>
      </c>
      <c r="C2774" s="30">
        <v>2773.0</v>
      </c>
      <c r="D2774" s="16" t="s">
        <v>3522</v>
      </c>
      <c r="E2774" s="16" t="s">
        <v>184</v>
      </c>
      <c r="F2774" s="16" t="s">
        <v>325</v>
      </c>
      <c r="G2774" s="16" t="s">
        <v>346</v>
      </c>
      <c r="H2774" s="16" t="s">
        <v>463</v>
      </c>
      <c r="I2774" s="16" t="s">
        <v>368</v>
      </c>
    </row>
    <row r="2775" ht="242.25" customHeight="1">
      <c r="B2775" s="32" t="str">
        <f>IMAGE("https://gymvisual.com/26070-catalog_default/lever-seated-one-leg-curl.jpg",4,500,500)</f>
        <v/>
      </c>
      <c r="C2775" s="30">
        <v>2774.0</v>
      </c>
      <c r="D2775" s="16" t="s">
        <v>3523</v>
      </c>
      <c r="E2775" s="16" t="s">
        <v>184</v>
      </c>
      <c r="F2775" s="16" t="s">
        <v>285</v>
      </c>
      <c r="G2775" s="16" t="s">
        <v>346</v>
      </c>
      <c r="H2775" s="16" t="s">
        <v>188</v>
      </c>
      <c r="I2775" s="16" t="s">
        <v>665</v>
      </c>
    </row>
    <row r="2776" ht="242.25" customHeight="1">
      <c r="B2776" s="32" t="str">
        <f>IMAGE("https://gymvisual.com/6820-catalog_default/lever-seated-one-leg-squat.jpg",4,500,500)</f>
        <v/>
      </c>
      <c r="C2776" s="30">
        <v>2775.0</v>
      </c>
      <c r="D2776" s="16" t="s">
        <v>3524</v>
      </c>
      <c r="E2776" s="16" t="s">
        <v>184</v>
      </c>
      <c r="F2776" s="16" t="s">
        <v>285</v>
      </c>
      <c r="G2776" s="16" t="s">
        <v>346</v>
      </c>
      <c r="H2776" s="16" t="s">
        <v>220</v>
      </c>
      <c r="I2776" s="16" t="s">
        <v>220</v>
      </c>
    </row>
    <row r="2777" ht="242.25" customHeight="1">
      <c r="B2777" s="32" t="str">
        <f>IMAGE("https://gymvisual.com/6819-catalog_default/lever-seated-one-leg-wide-squat.jpg",4,500,500)</f>
        <v/>
      </c>
      <c r="C2777" s="30">
        <v>2776.0</v>
      </c>
      <c r="D2777" s="16" t="s">
        <v>3525</v>
      </c>
      <c r="E2777" s="16" t="s">
        <v>184</v>
      </c>
      <c r="F2777" s="16" t="s">
        <v>285</v>
      </c>
      <c r="G2777" s="16" t="s">
        <v>346</v>
      </c>
      <c r="H2777" s="16" t="s">
        <v>220</v>
      </c>
      <c r="I2777" s="16" t="s">
        <v>220</v>
      </c>
    </row>
    <row r="2778" ht="242.25" customHeight="1">
      <c r="B2778" s="32" t="str">
        <f>IMAGE("https://gymvisual.com/1810-catalog_default/3-4-sit-up.jpg",4,500,500)</f>
        <v/>
      </c>
      <c r="C2778" s="30">
        <v>2777.0</v>
      </c>
      <c r="D2778" s="16" t="s">
        <v>3526</v>
      </c>
      <c r="E2778" s="16" t="s">
        <v>184</v>
      </c>
      <c r="F2778" s="16" t="s">
        <v>228</v>
      </c>
      <c r="G2778" s="16" t="s">
        <v>346</v>
      </c>
      <c r="H2778" s="16" t="s">
        <v>408</v>
      </c>
      <c r="I2778" s="16" t="s">
        <v>452</v>
      </c>
    </row>
    <row r="2779" ht="242.25" customHeight="1">
      <c r="B2779" s="32" t="str">
        <f>IMAGE("https://gymvisual.com/12061-catalog_default/lever-seated-reverse-fly-female.jpg",4,500,500)</f>
        <v/>
      </c>
      <c r="C2779" s="30">
        <v>2778.0</v>
      </c>
      <c r="D2779" s="16" t="s">
        <v>3527</v>
      </c>
      <c r="E2779" s="16" t="s">
        <v>184</v>
      </c>
      <c r="F2779" s="16" t="s">
        <v>228</v>
      </c>
      <c r="G2779" s="16" t="s">
        <v>346</v>
      </c>
      <c r="H2779" s="16" t="s">
        <v>408</v>
      </c>
      <c r="I2779" s="16" t="s">
        <v>452</v>
      </c>
    </row>
    <row r="2780" ht="242.25" customHeight="1">
      <c r="B2780" s="32" t="str">
        <f>IMAGE("https://gymvisual.com/1807-catalog_default/3-4-sit-up.jpg",4,500,500)</f>
        <v/>
      </c>
      <c r="C2780" s="30">
        <v>2779.0</v>
      </c>
      <c r="D2780" s="16" t="s">
        <v>3528</v>
      </c>
      <c r="E2780" s="16" t="s">
        <v>184</v>
      </c>
      <c r="F2780" s="16" t="s">
        <v>228</v>
      </c>
      <c r="G2780" s="16" t="s">
        <v>346</v>
      </c>
      <c r="H2780" s="16" t="s">
        <v>408</v>
      </c>
      <c r="I2780" s="16" t="s">
        <v>731</v>
      </c>
    </row>
    <row r="2781" ht="242.25" customHeight="1">
      <c r="B2781" s="32" t="str">
        <f>IMAGE("https://gymvisual.com/17765-catalog_default/lever-seated-right-side-crunch.jpg",4,500,500)</f>
        <v/>
      </c>
      <c r="C2781" s="30">
        <v>2780.0</v>
      </c>
      <c r="D2781" s="16" t="s">
        <v>3529</v>
      </c>
      <c r="E2781" s="16" t="s">
        <v>184</v>
      </c>
      <c r="F2781" s="16" t="s">
        <v>254</v>
      </c>
      <c r="G2781" s="16" t="s">
        <v>346</v>
      </c>
      <c r="H2781" s="16" t="s">
        <v>220</v>
      </c>
      <c r="I2781" s="16" t="s">
        <v>220</v>
      </c>
    </row>
    <row r="2782" ht="242.25" customHeight="1">
      <c r="B2782" s="32" t="str">
        <f>IMAGE("https://gymvisual.com/6041-catalog_default/lever-seated-row.jpg",4,500,500)</f>
        <v/>
      </c>
      <c r="C2782" s="30">
        <v>2781.0</v>
      </c>
      <c r="D2782" s="16" t="s">
        <v>3530</v>
      </c>
      <c r="E2782" s="16" t="s">
        <v>184</v>
      </c>
      <c r="F2782" s="16" t="s">
        <v>192</v>
      </c>
      <c r="G2782" s="16" t="s">
        <v>346</v>
      </c>
      <c r="H2782" s="16" t="s">
        <v>329</v>
      </c>
      <c r="I2782" s="16" t="s">
        <v>457</v>
      </c>
    </row>
    <row r="2783" ht="242.25" customHeight="1">
      <c r="B2783" s="32" t="str">
        <f>IMAGE("https://gymvisual.com/9652-catalog_default/lever-seated-row-female.jpg",4,500,500)</f>
        <v/>
      </c>
      <c r="C2783" s="30">
        <v>2782.0</v>
      </c>
      <c r="D2783" s="16" t="s">
        <v>3531</v>
      </c>
      <c r="E2783" s="16" t="s">
        <v>184</v>
      </c>
      <c r="F2783" s="16" t="s">
        <v>192</v>
      </c>
      <c r="G2783" s="16" t="s">
        <v>346</v>
      </c>
      <c r="H2783" s="16" t="s">
        <v>570</v>
      </c>
      <c r="I2783" s="16" t="s">
        <v>447</v>
      </c>
    </row>
    <row r="2784" ht="242.25" customHeight="1">
      <c r="B2784" s="32" t="str">
        <f>IMAGE("https://gymvisual.com/12227-catalog_default/lever-seated-row-plate-loaded.jpg",4,500,500)</f>
        <v/>
      </c>
      <c r="C2784" s="30">
        <v>2783.0</v>
      </c>
      <c r="D2784" s="16" t="s">
        <v>3532</v>
      </c>
      <c r="E2784" s="16" t="s">
        <v>184</v>
      </c>
      <c r="F2784" s="16" t="s">
        <v>192</v>
      </c>
      <c r="G2784" s="16" t="s">
        <v>346</v>
      </c>
      <c r="H2784" s="16" t="s">
        <v>570</v>
      </c>
      <c r="I2784" s="16" t="s">
        <v>447</v>
      </c>
    </row>
    <row r="2785" ht="242.25" customHeight="1">
      <c r="B2785" s="32" t="str">
        <f>IMAGE("https://gymvisual.com/9682-catalog_default/lever-seated-row-version-2.jpg",4,500,500)</f>
        <v/>
      </c>
      <c r="C2785" s="30">
        <v>2784.0</v>
      </c>
      <c r="D2785" s="16" t="s">
        <v>3533</v>
      </c>
      <c r="E2785" s="16" t="s">
        <v>184</v>
      </c>
      <c r="F2785" s="16" t="s">
        <v>192</v>
      </c>
      <c r="G2785" s="16" t="s">
        <v>346</v>
      </c>
      <c r="H2785" s="16" t="s">
        <v>570</v>
      </c>
      <c r="I2785" s="16" t="s">
        <v>447</v>
      </c>
    </row>
    <row r="2786" ht="242.25" customHeight="1">
      <c r="B2786" s="32" t="str">
        <f>IMAGE("https://gymvisual.com/6466-catalog_default/lever-seated-shoulder-press.jpg",4,500,500)</f>
        <v/>
      </c>
      <c r="C2786" s="30">
        <v>2785.0</v>
      </c>
      <c r="D2786" s="16" t="s">
        <v>3534</v>
      </c>
      <c r="E2786" s="16" t="s">
        <v>184</v>
      </c>
      <c r="F2786" s="16" t="s">
        <v>228</v>
      </c>
      <c r="G2786" s="16" t="s">
        <v>346</v>
      </c>
      <c r="H2786" s="16" t="s">
        <v>229</v>
      </c>
      <c r="I2786" s="16" t="s">
        <v>626</v>
      </c>
    </row>
    <row r="2787" ht="242.25" customHeight="1">
      <c r="B2787" s="32" t="str">
        <f>IMAGE("https://gymvisual.com/12053-catalog_default/lever-seated-shoulder-press-female.jpg",4,500,500)</f>
        <v/>
      </c>
      <c r="C2787" s="30">
        <v>2786.0</v>
      </c>
      <c r="D2787" s="16" t="s">
        <v>3535</v>
      </c>
      <c r="E2787" s="16" t="s">
        <v>184</v>
      </c>
      <c r="F2787" s="16" t="s">
        <v>228</v>
      </c>
      <c r="G2787" s="16" t="s">
        <v>346</v>
      </c>
      <c r="H2787" s="16" t="s">
        <v>229</v>
      </c>
      <c r="I2787" s="16" t="s">
        <v>230</v>
      </c>
    </row>
    <row r="2788" ht="242.25" customHeight="1">
      <c r="B2788" s="32" t="str">
        <f>IMAGE("https://gymvisual.com/4603-catalog_default/lever-seated-squat.jpg",4,500,500)</f>
        <v/>
      </c>
      <c r="C2788" s="30">
        <v>2787.0</v>
      </c>
      <c r="D2788" s="16" t="s">
        <v>3536</v>
      </c>
      <c r="E2788" s="16" t="s">
        <v>184</v>
      </c>
      <c r="F2788" s="16" t="s">
        <v>285</v>
      </c>
      <c r="G2788" s="16" t="s">
        <v>346</v>
      </c>
      <c r="H2788" s="16" t="s">
        <v>189</v>
      </c>
      <c r="I2788" s="16" t="s">
        <v>190</v>
      </c>
    </row>
    <row r="2789" ht="242.25" customHeight="1">
      <c r="B2789" s="32" t="str">
        <f>IMAGE("https://gymvisual.com/11378-catalog_default/lever-seated-squat-calf-raise-on-leg-press-female.jpg",4,500,500)</f>
        <v/>
      </c>
      <c r="C2789" s="30">
        <v>2788.0</v>
      </c>
      <c r="D2789" s="16" t="s">
        <v>3537</v>
      </c>
      <c r="E2789" s="16" t="s">
        <v>184</v>
      </c>
      <c r="F2789" s="16" t="s">
        <v>294</v>
      </c>
      <c r="G2789" s="16" t="s">
        <v>346</v>
      </c>
      <c r="H2789" s="16" t="s">
        <v>220</v>
      </c>
      <c r="I2789" s="16" t="s">
        <v>220</v>
      </c>
    </row>
    <row r="2790" ht="242.25" customHeight="1">
      <c r="B2790" s="32" t="str">
        <f>IMAGE("https://gymvisual.com/6082-catalog_default/lever-seated-squat-calf-raise-on-leg-press-machine.jpg",4,500,500)</f>
        <v/>
      </c>
      <c r="C2790" s="30">
        <v>2789.0</v>
      </c>
      <c r="D2790" s="16" t="s">
        <v>3538</v>
      </c>
      <c r="E2790" s="16" t="s">
        <v>184</v>
      </c>
      <c r="F2790" s="16" t="s">
        <v>325</v>
      </c>
      <c r="G2790" s="16" t="s">
        <v>346</v>
      </c>
      <c r="H2790" s="16" t="s">
        <v>3539</v>
      </c>
      <c r="I2790" s="16" t="s">
        <v>3540</v>
      </c>
    </row>
    <row r="2791" ht="242.25" customHeight="1">
      <c r="B2791" s="32" t="str">
        <f>IMAGE("https://gymvisual.com/6464-catalog_default/lever-seated-twist.jpg",4,500,500)</f>
        <v/>
      </c>
      <c r="C2791" s="30">
        <v>2790.0</v>
      </c>
      <c r="D2791" s="16" t="s">
        <v>3541</v>
      </c>
      <c r="E2791" s="16" t="s">
        <v>184</v>
      </c>
      <c r="F2791" s="16" t="s">
        <v>254</v>
      </c>
      <c r="G2791" s="16" t="s">
        <v>346</v>
      </c>
      <c r="H2791" s="16" t="s">
        <v>257</v>
      </c>
      <c r="I2791" s="16" t="s">
        <v>220</v>
      </c>
    </row>
    <row r="2792" ht="242.25" customHeight="1">
      <c r="B2792" s="32" t="str">
        <f>IMAGE("https://gymvisual.com/10957-catalog_default/lever-seated-twist-female.jpg",4,500,500)</f>
        <v/>
      </c>
      <c r="C2792" s="30">
        <v>2791.0</v>
      </c>
      <c r="D2792" s="16" t="s">
        <v>3542</v>
      </c>
      <c r="E2792" s="16" t="s">
        <v>184</v>
      </c>
      <c r="F2792" s="16" t="s">
        <v>254</v>
      </c>
      <c r="G2792" s="16" t="s">
        <v>346</v>
      </c>
      <c r="H2792" s="16" t="s">
        <v>220</v>
      </c>
      <c r="I2792" s="16" t="s">
        <v>220</v>
      </c>
    </row>
    <row r="2793" ht="242.25" customHeight="1">
      <c r="B2793" s="32" t="str">
        <f>IMAGE("https://gymvisual.com/6821-catalog_default/lever-seated-wide-squat.jpg",4,500,500)</f>
        <v/>
      </c>
      <c r="C2793" s="30">
        <v>2792.0</v>
      </c>
      <c r="D2793" s="16" t="s">
        <v>3543</v>
      </c>
      <c r="E2793" s="16" t="s">
        <v>184</v>
      </c>
      <c r="F2793" s="16" t="s">
        <v>285</v>
      </c>
      <c r="G2793" s="16" t="s">
        <v>346</v>
      </c>
      <c r="H2793" s="16" t="s">
        <v>220</v>
      </c>
      <c r="I2793" s="16" t="s">
        <v>220</v>
      </c>
    </row>
    <row r="2794" ht="242.25" customHeight="1">
      <c r="B2794" s="32" t="str">
        <f>IMAGE("https://gymvisual.com/1813-catalog_default/3-4-sit-up.jpg",4,500,500)</f>
        <v/>
      </c>
      <c r="C2794" s="30">
        <v>2793.0</v>
      </c>
      <c r="D2794" s="16" t="s">
        <v>3544</v>
      </c>
      <c r="E2794" s="16" t="s">
        <v>184</v>
      </c>
      <c r="F2794" s="16" t="s">
        <v>228</v>
      </c>
      <c r="G2794" s="16" t="s">
        <v>346</v>
      </c>
      <c r="H2794" s="16" t="s">
        <v>1224</v>
      </c>
      <c r="I2794" s="16" t="s">
        <v>3545</v>
      </c>
    </row>
    <row r="2795" ht="242.25" customHeight="1">
      <c r="B2795" s="32" t="str">
        <f>IMAGE("https://gymvisual.com/9817-catalog_default/lever-shoulder-press-plate-loaded-version-3.jpg",4,500,500)</f>
        <v/>
      </c>
      <c r="C2795" s="30">
        <v>2794.0</v>
      </c>
      <c r="D2795" s="16" t="s">
        <v>3546</v>
      </c>
      <c r="E2795" s="16" t="s">
        <v>184</v>
      </c>
      <c r="F2795" s="16" t="s">
        <v>228</v>
      </c>
      <c r="G2795" s="16" t="s">
        <v>346</v>
      </c>
      <c r="H2795" s="16" t="s">
        <v>229</v>
      </c>
      <c r="I2795" s="16" t="s">
        <v>626</v>
      </c>
    </row>
    <row r="2796" ht="242.25" customHeight="1">
      <c r="B2796" s="32" t="str">
        <f>IMAGE("https://gymvisual.com/2645-catalog_default/lever-shoulder-press-plate-loaded-version-2.jpg",4,500,500)</f>
        <v/>
      </c>
      <c r="C2796" s="30">
        <v>2795.0</v>
      </c>
      <c r="D2796" s="16" t="s">
        <v>3547</v>
      </c>
      <c r="E2796" s="16" t="s">
        <v>184</v>
      </c>
      <c r="F2796" s="16" t="s">
        <v>228</v>
      </c>
      <c r="G2796" s="16" t="s">
        <v>346</v>
      </c>
      <c r="H2796" s="16" t="s">
        <v>229</v>
      </c>
      <c r="I2796" s="16" t="s">
        <v>626</v>
      </c>
    </row>
    <row r="2797" ht="242.25" customHeight="1">
      <c r="B2797" s="32" t="str">
        <f>IMAGE("https://gymvisual.com/4592-catalog_default/lever-shrug-bench-press-machine.jpg",4,500,500)</f>
        <v/>
      </c>
      <c r="C2797" s="30">
        <v>2796.0</v>
      </c>
      <c r="D2797" s="16" t="s">
        <v>3548</v>
      </c>
      <c r="E2797" s="16" t="s">
        <v>184</v>
      </c>
      <c r="F2797" s="16" t="s">
        <v>192</v>
      </c>
      <c r="G2797" s="16" t="s">
        <v>346</v>
      </c>
      <c r="H2797" s="16" t="s">
        <v>238</v>
      </c>
      <c r="I2797" s="16" t="s">
        <v>618</v>
      </c>
    </row>
    <row r="2798" ht="242.25" customHeight="1">
      <c r="B2798" s="32" t="str">
        <f>IMAGE("https://gymvisual.com/1816-catalog_default/3-4-sit-up.jpg",4,500,500)</f>
        <v/>
      </c>
      <c r="C2798" s="30">
        <v>2797.0</v>
      </c>
      <c r="D2798" s="16" t="s">
        <v>3549</v>
      </c>
      <c r="E2798" s="16" t="s">
        <v>184</v>
      </c>
      <c r="F2798" s="16" t="s">
        <v>192</v>
      </c>
      <c r="G2798" s="16" t="s">
        <v>346</v>
      </c>
      <c r="H2798" s="16" t="s">
        <v>238</v>
      </c>
      <c r="I2798" s="16" t="s">
        <v>618</v>
      </c>
    </row>
    <row r="2799" ht="242.25" customHeight="1">
      <c r="B2799" s="32" t="str">
        <f>IMAGE("https://gymvisual.com/13483-catalog_default/lever-shrug-plate-loaded-female.jpg",4,500,500)</f>
        <v/>
      </c>
      <c r="C2799" s="30">
        <v>2798.0</v>
      </c>
      <c r="D2799" s="16" t="s">
        <v>3550</v>
      </c>
      <c r="E2799" s="16" t="s">
        <v>184</v>
      </c>
      <c r="F2799" s="16" t="s">
        <v>192</v>
      </c>
      <c r="G2799" s="16" t="s">
        <v>346</v>
      </c>
      <c r="H2799" s="16" t="s">
        <v>238</v>
      </c>
      <c r="I2799" s="16" t="s">
        <v>618</v>
      </c>
    </row>
    <row r="2800" ht="242.25" customHeight="1">
      <c r="B2800" s="32" t="str">
        <f>IMAGE("https://gymvisual.com/2932-catalog_default/lever-side-hip-abduction.jpg",4,500,500)</f>
        <v/>
      </c>
      <c r="C2800" s="30">
        <v>2799.0</v>
      </c>
      <c r="D2800" s="16" t="s">
        <v>3551</v>
      </c>
      <c r="E2800" s="16" t="s">
        <v>184</v>
      </c>
      <c r="F2800" s="16" t="s">
        <v>185</v>
      </c>
      <c r="G2800" s="16" t="s">
        <v>346</v>
      </c>
      <c r="H2800" s="16" t="s">
        <v>271</v>
      </c>
      <c r="I2800" s="16" t="s">
        <v>3552</v>
      </c>
    </row>
    <row r="2801" ht="242.25" customHeight="1">
      <c r="B2801" s="32" t="str">
        <f>IMAGE("https://gymvisual.com/11836-catalog_default/lever-side-hip-abduction-female.jpg",4,500,500)</f>
        <v/>
      </c>
      <c r="C2801" s="30">
        <v>2800.0</v>
      </c>
      <c r="D2801" s="16" t="s">
        <v>3553</v>
      </c>
      <c r="E2801" s="16" t="s">
        <v>184</v>
      </c>
      <c r="F2801" s="16" t="s">
        <v>185</v>
      </c>
      <c r="G2801" s="16" t="s">
        <v>346</v>
      </c>
      <c r="H2801" s="16" t="s">
        <v>508</v>
      </c>
      <c r="I2801" s="16" t="s">
        <v>220</v>
      </c>
    </row>
    <row r="2802" ht="242.25" customHeight="1">
      <c r="B2802" s="32" t="str">
        <f>IMAGE("https://gymvisual.com/2933-catalog_default/lever-side-hip-adduction.jpg",4,500,500)</f>
        <v/>
      </c>
      <c r="C2802" s="30">
        <v>2801.0</v>
      </c>
      <c r="D2802" s="16" t="s">
        <v>3554</v>
      </c>
      <c r="E2802" s="16" t="s">
        <v>184</v>
      </c>
      <c r="F2802" s="16" t="s">
        <v>185</v>
      </c>
      <c r="G2802" s="16" t="s">
        <v>346</v>
      </c>
      <c r="H2802" s="16" t="s">
        <v>187</v>
      </c>
      <c r="I2802" s="16" t="s">
        <v>220</v>
      </c>
    </row>
    <row r="2803" ht="242.25" customHeight="1">
      <c r="B2803" s="32" t="str">
        <f>IMAGE("https://gymvisual.com/23436-catalog_default/lever-single-arm-neutral-grip-seated-row-plate-loaded.jpg",4,500,500)</f>
        <v/>
      </c>
      <c r="C2803" s="30">
        <v>2802.0</v>
      </c>
      <c r="D2803" s="16" t="s">
        <v>3555</v>
      </c>
      <c r="E2803" s="16" t="s">
        <v>184</v>
      </c>
      <c r="F2803" s="16" t="s">
        <v>192</v>
      </c>
      <c r="G2803" s="16" t="s">
        <v>346</v>
      </c>
      <c r="H2803" s="16" t="s">
        <v>329</v>
      </c>
      <c r="I2803" s="16" t="s">
        <v>457</v>
      </c>
    </row>
    <row r="2804" ht="242.25" customHeight="1">
      <c r="B2804" s="32" t="str">
        <f>IMAGE("https://gymvisual.com/23945-catalog_default/lever-single-leg-extension-plate-loaded.jpg",4,500,500)</f>
        <v/>
      </c>
      <c r="C2804" s="30">
        <v>2803.0</v>
      </c>
      <c r="D2804" s="16" t="s">
        <v>3556</v>
      </c>
      <c r="E2804" s="16" t="s">
        <v>184</v>
      </c>
      <c r="F2804" s="16" t="s">
        <v>285</v>
      </c>
      <c r="G2804" s="16" t="s">
        <v>346</v>
      </c>
      <c r="H2804" s="16" t="s">
        <v>552</v>
      </c>
      <c r="I2804" s="16" t="s">
        <v>220</v>
      </c>
    </row>
    <row r="2805" ht="242.25" customHeight="1">
      <c r="B2805" s="32" t="str">
        <f>IMAGE("https://gymvisual.com/8784-catalog_default/lever-single-leg-hip-thrust.jpg",4,500,500)</f>
        <v/>
      </c>
      <c r="C2805" s="30">
        <v>2804.0</v>
      </c>
      <c r="D2805" s="16" t="s">
        <v>3557</v>
      </c>
      <c r="E2805" s="16" t="s">
        <v>184</v>
      </c>
      <c r="F2805" s="16" t="s">
        <v>185</v>
      </c>
      <c r="G2805" s="16" t="s">
        <v>346</v>
      </c>
      <c r="H2805" s="16" t="s">
        <v>187</v>
      </c>
      <c r="I2805" s="16" t="s">
        <v>854</v>
      </c>
    </row>
    <row r="2806" ht="242.25" customHeight="1">
      <c r="B2806" s="32" t="str">
        <f>IMAGE("https://gymvisual.com/7727-catalog_default/lever-squat-plate-loaded.jpg",4,500,500)</f>
        <v/>
      </c>
      <c r="C2806" s="30">
        <v>2805.0</v>
      </c>
      <c r="D2806" s="16" t="s">
        <v>3558</v>
      </c>
      <c r="E2806" s="16" t="s">
        <v>184</v>
      </c>
      <c r="F2806" s="16" t="s">
        <v>285</v>
      </c>
      <c r="G2806" s="16" t="s">
        <v>346</v>
      </c>
      <c r="H2806" s="16" t="s">
        <v>189</v>
      </c>
      <c r="I2806" s="16" t="s">
        <v>190</v>
      </c>
    </row>
    <row r="2807" ht="242.25" customHeight="1">
      <c r="B2807" s="32" t="str">
        <f>IMAGE("https://gymvisual.com/1819-catalog_default/3-4-sit-up.jpg",4,500,500)</f>
        <v/>
      </c>
      <c r="C2807" s="30">
        <v>2806.0</v>
      </c>
      <c r="D2807" s="16" t="s">
        <v>3559</v>
      </c>
      <c r="E2807" s="16" t="s">
        <v>184</v>
      </c>
      <c r="F2807" s="16" t="s">
        <v>325</v>
      </c>
      <c r="G2807" s="16" t="s">
        <v>346</v>
      </c>
      <c r="H2807" s="16" t="s">
        <v>368</v>
      </c>
      <c r="I2807" s="16" t="s">
        <v>463</v>
      </c>
    </row>
    <row r="2808" ht="242.25" customHeight="1">
      <c r="B2808" s="32" t="str">
        <f>IMAGE("https://gymvisual.com/9547-catalog_default/lever-standing-calf-raise-female.jpg",4,500,500)</f>
        <v/>
      </c>
      <c r="C2808" s="30">
        <v>2807.0</v>
      </c>
      <c r="D2808" s="16" t="s">
        <v>3560</v>
      </c>
      <c r="E2808" s="16" t="s">
        <v>184</v>
      </c>
      <c r="F2808" s="16" t="s">
        <v>325</v>
      </c>
      <c r="G2808" s="16" t="s">
        <v>346</v>
      </c>
      <c r="H2808" s="16" t="s">
        <v>368</v>
      </c>
      <c r="I2808" s="16" t="s">
        <v>463</v>
      </c>
    </row>
    <row r="2809" ht="242.25" customHeight="1">
      <c r="B2809" s="32" t="str">
        <f>IMAGE("https://gymvisual.com/16672-catalog_default/lever-standing-chest-press.jpg",4,500,500)</f>
        <v/>
      </c>
      <c r="C2809" s="30">
        <v>2808.0</v>
      </c>
      <c r="D2809" s="16" t="s">
        <v>3561</v>
      </c>
      <c r="E2809" s="16" t="s">
        <v>184</v>
      </c>
      <c r="F2809" s="16" t="s">
        <v>234</v>
      </c>
      <c r="G2809" s="16" t="s">
        <v>346</v>
      </c>
      <c r="H2809" s="16" t="s">
        <v>235</v>
      </c>
      <c r="I2809" s="16" t="s">
        <v>243</v>
      </c>
    </row>
    <row r="2810" ht="242.25" customHeight="1">
      <c r="B2810" s="32" t="str">
        <f>IMAGE("https://gymvisual.com/2929-catalog_default/lever-standing-hip-extension.jpg",4,500,500)</f>
        <v/>
      </c>
      <c r="C2810" s="30">
        <v>2809.0</v>
      </c>
      <c r="D2810" s="16" t="s">
        <v>3562</v>
      </c>
      <c r="E2810" s="16" t="s">
        <v>184</v>
      </c>
      <c r="F2810" s="16" t="s">
        <v>185</v>
      </c>
      <c r="G2810" s="16" t="s">
        <v>346</v>
      </c>
      <c r="H2810" s="16" t="s">
        <v>223</v>
      </c>
      <c r="I2810" s="16" t="s">
        <v>220</v>
      </c>
    </row>
    <row r="2811" ht="242.25" customHeight="1">
      <c r="B2811" s="32" t="str">
        <f>IMAGE("https://gymvisual.com/14388-catalog_default/lever-standing-hip-extension-female.jpg",4,500,500)</f>
        <v/>
      </c>
      <c r="C2811" s="30">
        <v>2810.0</v>
      </c>
      <c r="D2811" s="16" t="s">
        <v>3563</v>
      </c>
      <c r="E2811" s="16" t="s">
        <v>184</v>
      </c>
      <c r="F2811" s="16" t="s">
        <v>185</v>
      </c>
      <c r="G2811" s="16" t="s">
        <v>346</v>
      </c>
      <c r="H2811" s="16" t="s">
        <v>187</v>
      </c>
      <c r="I2811" s="16" t="s">
        <v>188</v>
      </c>
    </row>
    <row r="2812" ht="242.25" customHeight="1">
      <c r="B2812" s="32" t="str">
        <f>IMAGE("https://gymvisual.com/18766-catalog_default/lever-standing-leg-curl.jpg",4,500,500)</f>
        <v/>
      </c>
      <c r="C2812" s="30">
        <v>2811.0</v>
      </c>
      <c r="D2812" s="16" t="s">
        <v>3564</v>
      </c>
      <c r="E2812" s="16" t="s">
        <v>184</v>
      </c>
      <c r="F2812" s="16" t="s">
        <v>285</v>
      </c>
      <c r="G2812" s="16" t="s">
        <v>346</v>
      </c>
      <c r="H2812" s="16" t="s">
        <v>220</v>
      </c>
      <c r="I2812" s="16" t="s">
        <v>220</v>
      </c>
    </row>
    <row r="2813" ht="242.25" customHeight="1">
      <c r="B2813" s="32" t="str">
        <f>IMAGE("https://gymvisual.com/2934-catalog_default/lever-standing-leg-raise.jpg",4,500,500)</f>
        <v/>
      </c>
      <c r="C2813" s="30">
        <v>2812.0</v>
      </c>
      <c r="D2813" s="16" t="s">
        <v>3565</v>
      </c>
      <c r="E2813" s="16" t="s">
        <v>184</v>
      </c>
      <c r="F2813" s="16" t="s">
        <v>185</v>
      </c>
      <c r="G2813" s="16" t="s">
        <v>346</v>
      </c>
      <c r="H2813" s="16" t="s">
        <v>189</v>
      </c>
      <c r="I2813" s="16" t="s">
        <v>190</v>
      </c>
    </row>
    <row r="2814" ht="242.25" customHeight="1">
      <c r="B2814" s="32" t="str">
        <f>IMAGE("https://gymvisual.com/2935-catalog_default/lever-standing-rear-kick.jpg",4,500,500)</f>
        <v/>
      </c>
      <c r="C2814" s="30">
        <v>2813.0</v>
      </c>
      <c r="D2814" s="16" t="s">
        <v>3566</v>
      </c>
      <c r="E2814" s="16" t="s">
        <v>184</v>
      </c>
      <c r="F2814" s="16" t="s">
        <v>185</v>
      </c>
      <c r="G2814" s="16" t="s">
        <v>346</v>
      </c>
      <c r="H2814" s="16" t="s">
        <v>189</v>
      </c>
      <c r="I2814" s="16" t="s">
        <v>190</v>
      </c>
    </row>
    <row r="2815" ht="242.25" customHeight="1">
      <c r="B2815" s="32" t="str">
        <f>IMAGE("https://gymvisual.com/14290-catalog_default/lever-standing-rear-kick-female.jpg",4,500,500)</f>
        <v/>
      </c>
      <c r="C2815" s="30">
        <v>2814.0</v>
      </c>
      <c r="D2815" s="16" t="s">
        <v>3567</v>
      </c>
      <c r="E2815" s="16" t="s">
        <v>184</v>
      </c>
      <c r="F2815" s="16" t="s">
        <v>185</v>
      </c>
      <c r="G2815" s="16" t="s">
        <v>346</v>
      </c>
      <c r="H2815" s="16" t="s">
        <v>187</v>
      </c>
      <c r="I2815" s="16" t="s">
        <v>220</v>
      </c>
    </row>
    <row r="2816" ht="242.25" customHeight="1">
      <c r="B2816" s="32" t="str">
        <f>IMAGE("https://gymvisual.com/15656-catalog_default/3-4-sit-up.jpg",4,500,500)</f>
        <v/>
      </c>
      <c r="C2816" s="30">
        <v>2815.0</v>
      </c>
      <c r="D2816" s="16" t="s">
        <v>3568</v>
      </c>
      <c r="E2816" s="16" t="s">
        <v>184</v>
      </c>
      <c r="F2816" s="16" t="s">
        <v>192</v>
      </c>
      <c r="G2816" s="16" t="s">
        <v>346</v>
      </c>
      <c r="H2816" s="16" t="s">
        <v>329</v>
      </c>
      <c r="I2816" s="16" t="s">
        <v>457</v>
      </c>
    </row>
    <row r="2817" ht="242.25" customHeight="1">
      <c r="B2817" s="32" t="str">
        <f>IMAGE("https://gymvisual.com/6042-catalog_default/lever-t-bar-reverse-grip-row.jpg",4,500,500)</f>
        <v/>
      </c>
      <c r="C2817" s="30">
        <v>2816.0</v>
      </c>
      <c r="D2817" s="16" t="s">
        <v>3569</v>
      </c>
      <c r="E2817" s="16" t="s">
        <v>184</v>
      </c>
      <c r="F2817" s="16" t="s">
        <v>192</v>
      </c>
      <c r="G2817" s="16" t="s">
        <v>346</v>
      </c>
      <c r="H2817" s="16" t="s">
        <v>329</v>
      </c>
      <c r="I2817" s="16" t="s">
        <v>457</v>
      </c>
    </row>
    <row r="2818" ht="242.25" customHeight="1">
      <c r="B2818" s="32" t="str">
        <f>IMAGE("https://gymvisual.com/22554-catalog_default/lever-t-bar-romanian-deadlift.jpg",4,500,500)</f>
        <v/>
      </c>
      <c r="C2818" s="30">
        <v>2817.0</v>
      </c>
      <c r="D2818" s="16" t="s">
        <v>3570</v>
      </c>
      <c r="E2818" s="16" t="s">
        <v>184</v>
      </c>
      <c r="F2818" s="16" t="s">
        <v>185</v>
      </c>
      <c r="G2818" s="16" t="s">
        <v>346</v>
      </c>
      <c r="H2818" s="16" t="s">
        <v>220</v>
      </c>
      <c r="I2818" s="16" t="s">
        <v>220</v>
      </c>
    </row>
    <row r="2819" ht="242.25" customHeight="1">
      <c r="B2819" s="32" t="str">
        <f>IMAGE("https://gymvisual.com/19373-catalog_default/lever-t-bar-row-plate-loaded-female.jpg",4,500,500)</f>
        <v/>
      </c>
      <c r="C2819" s="30">
        <v>2818.0</v>
      </c>
      <c r="D2819" s="16" t="s">
        <v>3571</v>
      </c>
      <c r="E2819" s="16" t="s">
        <v>184</v>
      </c>
      <c r="F2819" s="16" t="s">
        <v>192</v>
      </c>
      <c r="G2819" s="16" t="s">
        <v>346</v>
      </c>
      <c r="H2819" s="16" t="s">
        <v>570</v>
      </c>
      <c r="I2819" s="16" t="s">
        <v>447</v>
      </c>
    </row>
    <row r="2820" ht="242.25" customHeight="1">
      <c r="B2820" s="32" t="str">
        <f>IMAGE("https://gymvisual.com/24053-catalog_default/lever-total-abdominal-crunch.jpg",4,500,500)</f>
        <v/>
      </c>
      <c r="C2820" s="30">
        <v>2819.0</v>
      </c>
      <c r="D2820" s="16" t="s">
        <v>3572</v>
      </c>
      <c r="E2820" s="16" t="s">
        <v>184</v>
      </c>
      <c r="F2820" s="16" t="s">
        <v>254</v>
      </c>
      <c r="G2820" s="16" t="s">
        <v>346</v>
      </c>
      <c r="H2820" s="16" t="s">
        <v>256</v>
      </c>
      <c r="I2820" s="16" t="s">
        <v>257</v>
      </c>
    </row>
    <row r="2821" ht="242.25" customHeight="1">
      <c r="B2821" s="32" t="str">
        <f>IMAGE("https://gymvisual.com/7723-catalog_default/lever-triceps-dip-plate-loaded.jpg",4,500,500)</f>
        <v/>
      </c>
      <c r="C2821" s="30">
        <v>2820.0</v>
      </c>
      <c r="D2821" s="16" t="s">
        <v>3573</v>
      </c>
      <c r="E2821" s="16" t="s">
        <v>184</v>
      </c>
      <c r="F2821" s="16" t="s">
        <v>219</v>
      </c>
      <c r="G2821" s="16" t="s">
        <v>346</v>
      </c>
      <c r="H2821" s="16" t="s">
        <v>223</v>
      </c>
      <c r="I2821" s="16" t="s">
        <v>394</v>
      </c>
    </row>
    <row r="2822" ht="242.25" customHeight="1">
      <c r="B2822" s="32" t="str">
        <f>IMAGE("https://gymvisual.com/1825-catalog_default/3-4-sit-up.jpg",4,500,500)</f>
        <v/>
      </c>
      <c r="C2822" s="30">
        <v>2821.0</v>
      </c>
      <c r="D2822" s="16" t="s">
        <v>3574</v>
      </c>
      <c r="E2822" s="16" t="s">
        <v>184</v>
      </c>
      <c r="F2822" s="16" t="s">
        <v>219</v>
      </c>
      <c r="G2822" s="16" t="s">
        <v>346</v>
      </c>
      <c r="H2822" s="16" t="s">
        <v>223</v>
      </c>
      <c r="I2822" s="16" t="s">
        <v>220</v>
      </c>
    </row>
    <row r="2823" ht="242.25" customHeight="1">
      <c r="B2823" s="32" t="str">
        <f>IMAGE("https://gymvisual.com/2931-catalog_default/lever-triceps-extension.jpg",4,500,500)</f>
        <v/>
      </c>
      <c r="C2823" s="30">
        <v>2822.0</v>
      </c>
      <c r="D2823" s="16" t="s">
        <v>3574</v>
      </c>
      <c r="E2823" s="16" t="s">
        <v>184</v>
      </c>
      <c r="F2823" s="16" t="s">
        <v>219</v>
      </c>
      <c r="G2823" s="16" t="s">
        <v>346</v>
      </c>
      <c r="H2823" s="16" t="s">
        <v>511</v>
      </c>
      <c r="I2823" s="16" t="s">
        <v>3575</v>
      </c>
    </row>
    <row r="2824" ht="242.25" customHeight="1">
      <c r="B2824" s="32" t="str">
        <f>IMAGE("https://gymvisual.com/14292-catalog_default/lever-triceps-extension-female.jpg",4,500,500)</f>
        <v/>
      </c>
      <c r="C2824" s="30">
        <v>2823.0</v>
      </c>
      <c r="D2824" s="16" t="s">
        <v>3576</v>
      </c>
      <c r="E2824" s="16" t="s">
        <v>184</v>
      </c>
      <c r="F2824" s="16" t="s">
        <v>219</v>
      </c>
      <c r="G2824" s="16" t="s">
        <v>346</v>
      </c>
      <c r="H2824" s="16" t="s">
        <v>223</v>
      </c>
      <c r="I2824" s="16" t="s">
        <v>220</v>
      </c>
    </row>
    <row r="2825" ht="242.25" customHeight="1">
      <c r="B2825" s="32" t="str">
        <f>IMAGE("https://gymvisual.com/12059-catalog_default/lever-triceps-extension-version-2-female.jpg",4,500,500)</f>
        <v/>
      </c>
      <c r="C2825" s="30">
        <v>2824.0</v>
      </c>
      <c r="D2825" s="16" t="s">
        <v>3577</v>
      </c>
      <c r="E2825" s="16" t="s">
        <v>184</v>
      </c>
      <c r="F2825" s="16" t="s">
        <v>219</v>
      </c>
      <c r="G2825" s="16" t="s">
        <v>346</v>
      </c>
      <c r="H2825" s="16" t="s">
        <v>223</v>
      </c>
      <c r="I2825" s="16" t="s">
        <v>220</v>
      </c>
    </row>
    <row r="2826" ht="242.25" customHeight="1">
      <c r="B2826" s="32" t="str">
        <f>IMAGE("https://gymvisual.com/22656-catalog_default/lever-trunk-rotation.jpg",4,500,500)</f>
        <v/>
      </c>
      <c r="C2826" s="30">
        <v>2825.0</v>
      </c>
      <c r="D2826" s="16" t="s">
        <v>3578</v>
      </c>
      <c r="E2826" s="16" t="s">
        <v>184</v>
      </c>
      <c r="F2826" s="16" t="s">
        <v>254</v>
      </c>
      <c r="G2826" s="16" t="s">
        <v>346</v>
      </c>
      <c r="H2826" s="16" t="s">
        <v>257</v>
      </c>
      <c r="I2826" s="16" t="s">
        <v>256</v>
      </c>
    </row>
    <row r="2827" ht="242.25" customHeight="1">
      <c r="B2827" s="32" t="str">
        <f>IMAGE("https://gymvisual.com/1828-catalog_default/3-4-sit-up.jpg",4,500,500)</f>
        <v/>
      </c>
      <c r="C2827" s="30">
        <v>2826.0</v>
      </c>
      <c r="D2827" s="16" t="s">
        <v>3579</v>
      </c>
      <c r="E2827" s="16" t="s">
        <v>184</v>
      </c>
      <c r="F2827" s="16" t="s">
        <v>254</v>
      </c>
      <c r="G2827" s="16" t="s">
        <v>346</v>
      </c>
      <c r="H2827" s="16" t="s">
        <v>257</v>
      </c>
      <c r="I2827" s="16" t="s">
        <v>271</v>
      </c>
    </row>
    <row r="2828" ht="242.25" customHeight="1">
      <c r="B2828" s="32" t="str">
        <f>IMAGE("https://gymvisual.com/6004-catalog_default/lever-unilateral-row.jpg",4,500,500)</f>
        <v/>
      </c>
      <c r="C2828" s="30">
        <v>2827.0</v>
      </c>
      <c r="D2828" s="16" t="s">
        <v>3580</v>
      </c>
      <c r="E2828" s="16" t="s">
        <v>184</v>
      </c>
      <c r="F2828" s="16" t="s">
        <v>192</v>
      </c>
      <c r="G2828" s="16" t="s">
        <v>346</v>
      </c>
      <c r="H2828" s="16" t="s">
        <v>329</v>
      </c>
      <c r="I2828" s="16" t="s">
        <v>457</v>
      </c>
    </row>
    <row r="2829" ht="242.25" customHeight="1">
      <c r="B2829" s="32" t="str">
        <f>IMAGE("https://gymvisual.com/21008-catalog_default/lever-vmx-multy-mode-rope-lat-pulldown.jpg",4,500,500)</f>
        <v/>
      </c>
      <c r="C2829" s="30">
        <v>2828.0</v>
      </c>
      <c r="D2829" s="16" t="s">
        <v>3581</v>
      </c>
      <c r="E2829" s="16" t="s">
        <v>184</v>
      </c>
      <c r="F2829" s="16" t="s">
        <v>192</v>
      </c>
      <c r="G2829" s="16" t="s">
        <v>346</v>
      </c>
      <c r="H2829" s="16" t="s">
        <v>300</v>
      </c>
      <c r="I2829" s="16" t="s">
        <v>3582</v>
      </c>
    </row>
    <row r="2830" ht="242.25" customHeight="1">
      <c r="B2830" s="32" t="str">
        <f>IMAGE("https://gymvisual.com/1831-catalog_default/3-4-sit-up.jpg",4,500,500)</f>
        <v/>
      </c>
      <c r="C2830" s="30">
        <v>2829.0</v>
      </c>
      <c r="D2830" s="16" t="s">
        <v>3583</v>
      </c>
      <c r="E2830" s="16" t="s">
        <v>184</v>
      </c>
      <c r="F2830" s="16" t="s">
        <v>192</v>
      </c>
      <c r="G2830" s="16" t="s">
        <v>1160</v>
      </c>
      <c r="H2830" s="16" t="s">
        <v>329</v>
      </c>
      <c r="I2830" s="16" t="s">
        <v>457</v>
      </c>
    </row>
    <row r="2831" ht="242.25" customHeight="1">
      <c r="B2831" s="32" t="str">
        <f>IMAGE("https://gymvisual.com/22109-catalog_default/long-arm-crunch.jpg",4,500,500)</f>
        <v/>
      </c>
      <c r="C2831" s="30">
        <v>2830.0</v>
      </c>
      <c r="D2831" s="16" t="s">
        <v>3584</v>
      </c>
      <c r="E2831" s="16" t="s">
        <v>184</v>
      </c>
      <c r="F2831" s="16" t="s">
        <v>254</v>
      </c>
      <c r="G2831" s="16" t="s">
        <v>255</v>
      </c>
      <c r="H2831" s="16" t="s">
        <v>256</v>
      </c>
      <c r="I2831" s="16" t="s">
        <v>257</v>
      </c>
    </row>
    <row r="2832" ht="242.25" customHeight="1">
      <c r="B2832" s="32" t="str">
        <f>IMAGE("https://gymvisual.com/22758-catalog_default/long-arm-crunch-female.jpg",4,500,500)</f>
        <v/>
      </c>
      <c r="C2832" s="30">
        <v>2831.0</v>
      </c>
      <c r="D2832" s="16" t="s">
        <v>3585</v>
      </c>
      <c r="E2832" s="16" t="s">
        <v>184</v>
      </c>
      <c r="F2832" s="16" t="s">
        <v>254</v>
      </c>
      <c r="G2832" s="16" t="s">
        <v>255</v>
      </c>
      <c r="H2832" s="16" t="s">
        <v>220</v>
      </c>
      <c r="I2832" s="16" t="s">
        <v>220</v>
      </c>
    </row>
    <row r="2833" ht="242.25" customHeight="1">
      <c r="B2833" s="32" t="str">
        <f>IMAGE("https://gymvisual.com/22458-catalog_default/long-lever-decline-sit-up-female.jpg",4,500,500)</f>
        <v/>
      </c>
      <c r="C2833" s="30">
        <v>2832.0</v>
      </c>
      <c r="D2833" s="16" t="s">
        <v>3586</v>
      </c>
      <c r="E2833" s="16" t="s">
        <v>184</v>
      </c>
      <c r="F2833" s="16" t="s">
        <v>254</v>
      </c>
      <c r="G2833" s="16" t="s">
        <v>346</v>
      </c>
      <c r="H2833" s="16" t="s">
        <v>220</v>
      </c>
      <c r="I2833" s="16" t="s">
        <v>220</v>
      </c>
    </row>
    <row r="2834" ht="242.25" customHeight="1">
      <c r="B2834" s="32" t="str">
        <f>IMAGE("https://gymvisual.com/22484-catalog_default/long-lever-lying-back-extension.jpg",4,500,500)</f>
        <v/>
      </c>
      <c r="C2834" s="30">
        <v>2833.0</v>
      </c>
      <c r="D2834" s="16" t="s">
        <v>3587</v>
      </c>
      <c r="E2834" s="16" t="s">
        <v>184</v>
      </c>
      <c r="F2834" s="16" t="s">
        <v>185</v>
      </c>
      <c r="G2834" s="16" t="s">
        <v>346</v>
      </c>
      <c r="H2834" s="16" t="s">
        <v>220</v>
      </c>
      <c r="I2834" s="16" t="s">
        <v>220</v>
      </c>
    </row>
    <row r="2835" ht="242.25" customHeight="1">
      <c r="B2835" s="32" t="str">
        <f>IMAGE("https://gymvisual.com/12406-catalog_default/low-glute-bridge-on-floor.jpg",4,500,500)</f>
        <v/>
      </c>
      <c r="C2835" s="30">
        <v>2834.0</v>
      </c>
      <c r="D2835" s="16" t="s">
        <v>3588</v>
      </c>
      <c r="E2835" s="16" t="s">
        <v>184</v>
      </c>
      <c r="F2835" s="16" t="s">
        <v>185</v>
      </c>
      <c r="G2835" s="16" t="s">
        <v>255</v>
      </c>
      <c r="H2835" s="16" t="s">
        <v>187</v>
      </c>
      <c r="I2835" s="16" t="s">
        <v>220</v>
      </c>
    </row>
    <row r="2836" ht="242.25" customHeight="1">
      <c r="B2836" s="32" t="str">
        <f>IMAGE("https://gymvisual.com/12409-catalog_default/low-glute-bridge-on-floor-female.jpg",4,500,500)</f>
        <v/>
      </c>
      <c r="C2836" s="30">
        <v>2835.0</v>
      </c>
      <c r="D2836" s="16" t="s">
        <v>3589</v>
      </c>
      <c r="E2836" s="16" t="s">
        <v>184</v>
      </c>
      <c r="F2836" s="16" t="s">
        <v>185</v>
      </c>
      <c r="G2836" s="16" t="s">
        <v>255</v>
      </c>
      <c r="H2836" s="16" t="s">
        <v>187</v>
      </c>
      <c r="I2836" s="16" t="s">
        <v>220</v>
      </c>
    </row>
    <row r="2837" ht="242.25" customHeight="1">
      <c r="B2837" s="32" t="str">
        <f>IMAGE("https://gymvisual.com/6043-catalog_default/lower-back-curl.jpg",4,500,500)</f>
        <v/>
      </c>
      <c r="C2837" s="30">
        <v>2836.0</v>
      </c>
      <c r="D2837" s="16" t="s">
        <v>3590</v>
      </c>
      <c r="E2837" s="16" t="s">
        <v>184</v>
      </c>
      <c r="F2837" s="16" t="s">
        <v>192</v>
      </c>
      <c r="G2837" s="16" t="s">
        <v>255</v>
      </c>
      <c r="H2837" s="16" t="s">
        <v>275</v>
      </c>
      <c r="I2837" s="16" t="s">
        <v>220</v>
      </c>
    </row>
    <row r="2838" ht="242.25" customHeight="1">
      <c r="B2838" s="32" t="str">
        <f>IMAGE("https://gymvisual.com/1839-catalog_default/3-4-sit-up.jpg",4,500,500)</f>
        <v/>
      </c>
      <c r="C2838" s="30">
        <v>2837.0</v>
      </c>
      <c r="D2838" s="16" t="s">
        <v>3591</v>
      </c>
      <c r="E2838" s="16" t="s">
        <v>184</v>
      </c>
      <c r="F2838" s="16" t="s">
        <v>185</v>
      </c>
      <c r="G2838" s="16" t="s">
        <v>255</v>
      </c>
      <c r="H2838" s="16" t="s">
        <v>189</v>
      </c>
      <c r="I2838" s="16" t="s">
        <v>190</v>
      </c>
    </row>
    <row r="2839" ht="242.25" customHeight="1">
      <c r="B2839" s="32" t="str">
        <f>IMAGE("https://gymvisual.com/20060-catalog_default/lunge-thighs-wrong-right.jpg",4,500,500)</f>
        <v/>
      </c>
      <c r="C2839" s="30">
        <v>2838.0</v>
      </c>
      <c r="D2839" s="16" t="s">
        <v>3592</v>
      </c>
      <c r="E2839" s="16" t="s">
        <v>184</v>
      </c>
      <c r="F2839" s="16" t="s">
        <v>285</v>
      </c>
      <c r="G2839" s="16" t="s">
        <v>255</v>
      </c>
      <c r="H2839" s="16" t="s">
        <v>220</v>
      </c>
      <c r="I2839" s="16" t="s">
        <v>220</v>
      </c>
    </row>
    <row r="2840" ht="242.25" customHeight="1">
      <c r="B2840" s="32" t="str">
        <f>IMAGE("https://gymvisual.com/1837-catalog_default/3-4-sit-up.jpg",4,500,500)</f>
        <v/>
      </c>
      <c r="C2840" s="30">
        <v>2839.0</v>
      </c>
      <c r="D2840" s="16" t="s">
        <v>3593</v>
      </c>
      <c r="E2840" s="16" t="s">
        <v>184</v>
      </c>
      <c r="F2840" s="16" t="s">
        <v>285</v>
      </c>
      <c r="G2840" s="16" t="s">
        <v>255</v>
      </c>
      <c r="H2840" s="16" t="s">
        <v>3594</v>
      </c>
      <c r="I2840" s="16" t="s">
        <v>3595</v>
      </c>
    </row>
    <row r="2841" ht="242.25" customHeight="1">
      <c r="B2841" s="32" t="str">
        <f>IMAGE("https://gymvisual.com/14226-catalog_default/lunge-with-leg-lift.jpg",4,500,500)</f>
        <v/>
      </c>
      <c r="C2841" s="30">
        <v>2840.0</v>
      </c>
      <c r="D2841" s="16" t="s">
        <v>3596</v>
      </c>
      <c r="E2841" s="16" t="s">
        <v>184</v>
      </c>
      <c r="F2841" s="16" t="s">
        <v>285</v>
      </c>
      <c r="G2841" s="16" t="s">
        <v>255</v>
      </c>
      <c r="H2841" s="16" t="s">
        <v>189</v>
      </c>
      <c r="I2841" s="16" t="s">
        <v>190</v>
      </c>
    </row>
    <row r="2842" ht="242.25" customHeight="1">
      <c r="B2842" s="32" t="str">
        <f>IMAGE("https://gymvisual.com/7310-catalog_default/lunge-with-twist.jpg",4,500,500)</f>
        <v/>
      </c>
      <c r="C2842" s="30">
        <v>2841.0</v>
      </c>
      <c r="D2842" s="16" t="s">
        <v>3597</v>
      </c>
      <c r="E2842" s="16" t="s">
        <v>184</v>
      </c>
      <c r="F2842" s="16" t="s">
        <v>254</v>
      </c>
      <c r="G2842" s="16" t="s">
        <v>255</v>
      </c>
      <c r="H2842" s="16" t="s">
        <v>524</v>
      </c>
      <c r="I2842" s="16" t="s">
        <v>190</v>
      </c>
    </row>
    <row r="2843" ht="242.25" customHeight="1">
      <c r="B2843" s="32" t="str">
        <f>IMAGE("https://gymvisual.com/19033-catalog_default/lying-ab-press-female.jpg",4,500,500)</f>
        <v/>
      </c>
      <c r="C2843" s="30">
        <v>2842.0</v>
      </c>
      <c r="D2843" s="16" t="s">
        <v>3598</v>
      </c>
      <c r="E2843" s="16" t="s">
        <v>184</v>
      </c>
      <c r="F2843" s="16" t="s">
        <v>254</v>
      </c>
      <c r="G2843" s="16" t="s">
        <v>255</v>
      </c>
      <c r="H2843" s="16" t="s">
        <v>256</v>
      </c>
      <c r="I2843" s="16" t="s">
        <v>271</v>
      </c>
    </row>
    <row r="2844" ht="242.25" customHeight="1">
      <c r="B2844" s="32" t="str">
        <f>IMAGE("https://gymvisual.com/19029-catalog_default/lying-ab-press-male.jpg",4,500,500)</f>
        <v/>
      </c>
      <c r="C2844" s="30">
        <v>2843.0</v>
      </c>
      <c r="D2844" s="16" t="s">
        <v>3599</v>
      </c>
      <c r="E2844" s="16" t="s">
        <v>184</v>
      </c>
      <c r="F2844" s="16" t="s">
        <v>254</v>
      </c>
      <c r="G2844" s="16" t="s">
        <v>255</v>
      </c>
      <c r="H2844" s="16" t="s">
        <v>256</v>
      </c>
      <c r="I2844" s="16" t="s">
        <v>271</v>
      </c>
    </row>
    <row r="2845" ht="242.25" customHeight="1">
      <c r="B2845" s="32" t="str">
        <f>IMAGE("https://gymvisual.com/23679-catalog_default/lying-air-cycles.jpg",4,500,500)</f>
        <v/>
      </c>
      <c r="C2845" s="30">
        <v>2844.0</v>
      </c>
      <c r="D2845" s="16" t="s">
        <v>3600</v>
      </c>
      <c r="E2845" s="16" t="s">
        <v>184</v>
      </c>
      <c r="F2845" s="16" t="s">
        <v>321</v>
      </c>
      <c r="G2845" s="16" t="s">
        <v>255</v>
      </c>
      <c r="H2845" s="16" t="s">
        <v>220</v>
      </c>
      <c r="I2845" s="16" t="s">
        <v>220</v>
      </c>
    </row>
    <row r="2846" ht="242.25" customHeight="1">
      <c r="B2846" s="32" t="str">
        <f>IMAGE("https://gymvisual.com/23681-catalog_default/lying-air-cycles-female.jpg",4,500,500)</f>
        <v/>
      </c>
      <c r="C2846" s="30">
        <v>2845.0</v>
      </c>
      <c r="D2846" s="16" t="s">
        <v>3601</v>
      </c>
      <c r="E2846" s="16" t="s">
        <v>184</v>
      </c>
      <c r="F2846" s="16" t="s">
        <v>321</v>
      </c>
      <c r="G2846" s="16" t="s">
        <v>255</v>
      </c>
      <c r="H2846" s="16" t="s">
        <v>220</v>
      </c>
      <c r="I2846" s="16" t="s">
        <v>220</v>
      </c>
    </row>
    <row r="2847" ht="242.25" customHeight="1">
      <c r="B2847" s="32" t="str">
        <f>IMAGE("https://gymvisual.com/1845-catalog_default/3-4-sit-up.jpg",4,500,500)</f>
        <v/>
      </c>
      <c r="C2847" s="30">
        <v>2846.0</v>
      </c>
      <c r="D2847" s="16" t="s">
        <v>3602</v>
      </c>
      <c r="E2847" s="16" t="s">
        <v>184</v>
      </c>
      <c r="F2847" s="16" t="s">
        <v>185</v>
      </c>
      <c r="G2847" s="16" t="s">
        <v>255</v>
      </c>
      <c r="H2847" s="16" t="s">
        <v>187</v>
      </c>
      <c r="I2847" s="16" t="s">
        <v>188</v>
      </c>
    </row>
    <row r="2848" ht="242.25" customHeight="1">
      <c r="B2848" s="32" t="str">
        <f>IMAGE("https://gymvisual.com/24081-catalog_default/lying-alternate-toe-touch-floor.jpg",4,500,500)</f>
        <v/>
      </c>
      <c r="C2848" s="30">
        <v>2847.0</v>
      </c>
      <c r="D2848" s="16" t="s">
        <v>3603</v>
      </c>
      <c r="E2848" s="16" t="s">
        <v>184</v>
      </c>
      <c r="F2848" s="16" t="s">
        <v>185</v>
      </c>
      <c r="G2848" s="16" t="s">
        <v>255</v>
      </c>
      <c r="H2848" s="16" t="s">
        <v>220</v>
      </c>
      <c r="I2848" s="16" t="s">
        <v>220</v>
      </c>
    </row>
    <row r="2849" ht="242.25" customHeight="1">
      <c r="B2849" s="32" t="str">
        <f>IMAGE("https://gymvisual.com/23567-catalog_default/lying-around-the-world.jpg",4,500,500)</f>
        <v/>
      </c>
      <c r="C2849" s="30">
        <v>2848.0</v>
      </c>
      <c r="D2849" s="16" t="s">
        <v>3604</v>
      </c>
      <c r="E2849" s="16" t="s">
        <v>184</v>
      </c>
      <c r="F2849" s="16" t="s">
        <v>228</v>
      </c>
      <c r="G2849" s="16" t="s">
        <v>255</v>
      </c>
      <c r="H2849" s="16" t="s">
        <v>1997</v>
      </c>
      <c r="I2849" s="16" t="s">
        <v>3605</v>
      </c>
    </row>
    <row r="2850" ht="242.25" customHeight="1">
      <c r="B2850" s="32" t="str">
        <f>IMAGE("https://gymvisual.com/23685-catalog_default/lying-around-the-world-female.jpg",4,500,500)</f>
        <v/>
      </c>
      <c r="C2850" s="30">
        <v>2849.0</v>
      </c>
      <c r="D2850" s="16" t="s">
        <v>3606</v>
      </c>
      <c r="E2850" s="16" t="s">
        <v>184</v>
      </c>
      <c r="F2850" s="16" t="s">
        <v>228</v>
      </c>
      <c r="G2850" s="16" t="s">
        <v>255</v>
      </c>
      <c r="H2850" s="16" t="s">
        <v>408</v>
      </c>
      <c r="I2850" s="16" t="s">
        <v>3607</v>
      </c>
    </row>
    <row r="2851" ht="242.25" customHeight="1">
      <c r="B2851" s="32" t="str">
        <f>IMAGE("https://gymvisual.com/23875-catalog_default/lying-bent-knee-figure-8.jpg",4,500,500)</f>
        <v/>
      </c>
      <c r="C2851" s="30">
        <v>2850.0</v>
      </c>
      <c r="D2851" s="16" t="s">
        <v>3608</v>
      </c>
      <c r="E2851" s="16" t="s">
        <v>184</v>
      </c>
      <c r="F2851" s="16" t="s">
        <v>185</v>
      </c>
      <c r="G2851" s="16" t="s">
        <v>255</v>
      </c>
      <c r="H2851" s="16" t="s">
        <v>3609</v>
      </c>
      <c r="I2851" s="16" t="s">
        <v>3610</v>
      </c>
    </row>
    <row r="2852" ht="242.25" customHeight="1">
      <c r="B2852" s="32" t="str">
        <f>IMAGE("https://gymvisual.com/23853-catalog_default/lying-bent-legs-raise.jpg",4,500,500)</f>
        <v/>
      </c>
      <c r="C2852" s="30">
        <v>2851.0</v>
      </c>
      <c r="D2852" s="16" t="s">
        <v>3611</v>
      </c>
      <c r="E2852" s="16" t="s">
        <v>184</v>
      </c>
      <c r="F2852" s="16" t="s">
        <v>254</v>
      </c>
      <c r="G2852" s="16" t="s">
        <v>255</v>
      </c>
      <c r="H2852" s="16" t="s">
        <v>220</v>
      </c>
      <c r="I2852" s="16" t="s">
        <v>220</v>
      </c>
    </row>
    <row r="2853" ht="242.25" customHeight="1">
      <c r="B2853" s="32" t="str">
        <f>IMAGE("https://gymvisual.com/14143-catalog_default/lying-biceps-curl-with-towel.jpg",4,500,500)</f>
        <v/>
      </c>
      <c r="C2853" s="30">
        <v>2852.0</v>
      </c>
      <c r="D2853" s="16" t="s">
        <v>3612</v>
      </c>
      <c r="E2853" s="16" t="s">
        <v>184</v>
      </c>
      <c r="F2853" s="16" t="s">
        <v>219</v>
      </c>
      <c r="G2853" s="16" t="s">
        <v>396</v>
      </c>
      <c r="H2853" s="16" t="s">
        <v>217</v>
      </c>
      <c r="I2853" s="16" t="s">
        <v>216</v>
      </c>
    </row>
    <row r="2854" ht="242.25" customHeight="1">
      <c r="B2854" s="32" t="str">
        <f>IMAGE("https://gymvisual.com/25831-catalog_default/lying-bicycle-crunch.jpg",4,500,500)</f>
        <v/>
      </c>
      <c r="C2854" s="30">
        <v>2853.0</v>
      </c>
      <c r="D2854" s="16" t="s">
        <v>3613</v>
      </c>
      <c r="E2854" s="16" t="s">
        <v>184</v>
      </c>
      <c r="F2854" s="16" t="s">
        <v>254</v>
      </c>
      <c r="G2854" s="16" t="s">
        <v>255</v>
      </c>
      <c r="H2854" s="16" t="s">
        <v>2868</v>
      </c>
      <c r="I2854" s="16" t="s">
        <v>1306</v>
      </c>
    </row>
    <row r="2855" ht="242.25" customHeight="1">
      <c r="B2855" s="32" t="str">
        <f>IMAGE("https://gymvisual.com/24093-catalog_default/lying-chin-tucks.jpg",4,500,500)</f>
        <v/>
      </c>
      <c r="C2855" s="30">
        <v>2854.0</v>
      </c>
      <c r="D2855" s="16" t="s">
        <v>3614</v>
      </c>
      <c r="E2855" s="16" t="s">
        <v>184</v>
      </c>
      <c r="F2855" s="16" t="s">
        <v>351</v>
      </c>
      <c r="G2855" s="16" t="s">
        <v>255</v>
      </c>
      <c r="H2855" s="16" t="s">
        <v>220</v>
      </c>
      <c r="I2855" s="16" t="s">
        <v>220</v>
      </c>
    </row>
    <row r="2856" ht="242.25" customHeight="1">
      <c r="B2856" s="32" t="str">
        <f>IMAGE("https://gymvisual.com/22803-catalog_default/lying-criss-cross-legs.jpg",4,500,500)</f>
        <v/>
      </c>
      <c r="C2856" s="30">
        <v>2855.0</v>
      </c>
      <c r="D2856" s="16" t="s">
        <v>3615</v>
      </c>
      <c r="E2856" s="16" t="s">
        <v>184</v>
      </c>
      <c r="F2856" s="16" t="s">
        <v>185</v>
      </c>
      <c r="G2856" s="16" t="s">
        <v>255</v>
      </c>
      <c r="H2856" s="16" t="s">
        <v>3616</v>
      </c>
      <c r="I2856" s="16" t="s">
        <v>3617</v>
      </c>
    </row>
    <row r="2857" ht="242.25" customHeight="1">
      <c r="B2857" s="32" t="str">
        <f>IMAGE("https://gymvisual.com/16609-catalog_default/lying-double-legs-biceps-curl-with-towel.jpg",4,500,500)</f>
        <v/>
      </c>
      <c r="C2857" s="30">
        <v>2856.0</v>
      </c>
      <c r="D2857" s="16" t="s">
        <v>3618</v>
      </c>
      <c r="E2857" s="16" t="s">
        <v>184</v>
      </c>
      <c r="F2857" s="16" t="s">
        <v>219</v>
      </c>
      <c r="G2857" s="16" t="s">
        <v>255</v>
      </c>
      <c r="H2857" s="16" t="s">
        <v>241</v>
      </c>
      <c r="I2857" s="16" t="s">
        <v>292</v>
      </c>
    </row>
    <row r="2858" ht="242.25" customHeight="1">
      <c r="B2858" s="32" t="str">
        <f>IMAGE("https://gymvisual.com/22097-catalog_default/lying-double-legs-hammer-curl-with-towel.jpg",4,500,500)</f>
        <v/>
      </c>
      <c r="C2858" s="30">
        <v>2857.0</v>
      </c>
      <c r="D2858" s="16" t="s">
        <v>3619</v>
      </c>
      <c r="E2858" s="16" t="s">
        <v>184</v>
      </c>
      <c r="F2858" s="16" t="s">
        <v>219</v>
      </c>
      <c r="G2858" s="16" t="s">
        <v>255</v>
      </c>
      <c r="H2858" s="16" t="s">
        <v>216</v>
      </c>
      <c r="I2858" s="16" t="s">
        <v>217</v>
      </c>
    </row>
    <row r="2859" ht="242.25" customHeight="1">
      <c r="B2859" s="32" t="str">
        <f>IMAGE("https://gymvisual.com/9798-catalog_default/lying-elbow-to-knee.jpg",4,500,500)</f>
        <v/>
      </c>
      <c r="C2859" s="30">
        <v>2858.0</v>
      </c>
      <c r="D2859" s="16" t="s">
        <v>3620</v>
      </c>
      <c r="E2859" s="16" t="s">
        <v>184</v>
      </c>
      <c r="F2859" s="16" t="s">
        <v>254</v>
      </c>
      <c r="G2859" s="16" t="s">
        <v>255</v>
      </c>
      <c r="H2859" s="16" t="s">
        <v>257</v>
      </c>
      <c r="I2859" s="16" t="s">
        <v>256</v>
      </c>
    </row>
    <row r="2860" ht="242.25" customHeight="1">
      <c r="B2860" s="32" t="str">
        <f>IMAGE("https://gymvisual.com/22422-catalog_default/lying-flat-hip-raise-female.jpg",4,500,500)</f>
        <v/>
      </c>
      <c r="C2860" s="30">
        <v>2859.0</v>
      </c>
      <c r="D2860" s="16" t="s">
        <v>3621</v>
      </c>
      <c r="E2860" s="16" t="s">
        <v>184</v>
      </c>
      <c r="F2860" s="16" t="s">
        <v>254</v>
      </c>
      <c r="G2860" s="16" t="s">
        <v>255</v>
      </c>
      <c r="H2860" s="16" t="s">
        <v>220</v>
      </c>
      <c r="I2860" s="16" t="s">
        <v>220</v>
      </c>
    </row>
    <row r="2861" ht="242.25" customHeight="1">
      <c r="B2861" s="32" t="str">
        <f>IMAGE("https://gymvisual.com/24121-catalog_default/lying-floor-fly.jpg",4,500,500)</f>
        <v/>
      </c>
      <c r="C2861" s="30">
        <v>2860.0</v>
      </c>
      <c r="D2861" s="16" t="s">
        <v>3622</v>
      </c>
      <c r="E2861" s="16" t="s">
        <v>184</v>
      </c>
      <c r="F2861" s="16" t="s">
        <v>234</v>
      </c>
      <c r="G2861" s="16" t="s">
        <v>255</v>
      </c>
      <c r="H2861" s="16" t="s">
        <v>220</v>
      </c>
      <c r="I2861" s="16" t="s">
        <v>220</v>
      </c>
    </row>
    <row r="2862" ht="242.25" customHeight="1">
      <c r="B2862" s="32" t="str">
        <f>IMAGE("https://gymvisual.com/22095-catalog_default/lying-floor-hyperextension.jpg",4,500,500)</f>
        <v/>
      </c>
      <c r="C2862" s="30">
        <v>2861.0</v>
      </c>
      <c r="D2862" s="16" t="s">
        <v>3623</v>
      </c>
      <c r="E2862" s="16" t="s">
        <v>184</v>
      </c>
      <c r="F2862" s="16" t="s">
        <v>185</v>
      </c>
      <c r="G2862" s="16" t="s">
        <v>255</v>
      </c>
      <c r="H2862" s="16" t="s">
        <v>275</v>
      </c>
      <c r="I2862" s="16" t="s">
        <v>2412</v>
      </c>
    </row>
    <row r="2863" ht="242.25" customHeight="1">
      <c r="B2863" s="32" t="str">
        <f>IMAGE("https://gymvisual.com/22712-catalog_default/lying-floor-hyperextension-with-towel.jpg",4,500,500)</f>
        <v/>
      </c>
      <c r="C2863" s="30">
        <v>2862.0</v>
      </c>
      <c r="D2863" s="16" t="s">
        <v>3624</v>
      </c>
      <c r="E2863" s="16" t="s">
        <v>184</v>
      </c>
      <c r="F2863" s="16" t="s">
        <v>185</v>
      </c>
      <c r="G2863" s="16" t="s">
        <v>255</v>
      </c>
      <c r="H2863" s="16" t="s">
        <v>275</v>
      </c>
      <c r="I2863" s="16" t="s">
        <v>2412</v>
      </c>
    </row>
    <row r="2864" ht="242.25" customHeight="1">
      <c r="B2864" s="32" t="str">
        <f>IMAGE("https://gymvisual.com/14006-catalog_default/lying-floor-row-with-bent-knee.jpg",4,500,500)</f>
        <v/>
      </c>
      <c r="C2864" s="30">
        <v>2863.0</v>
      </c>
      <c r="D2864" s="16" t="s">
        <v>3625</v>
      </c>
      <c r="E2864" s="16" t="s">
        <v>184</v>
      </c>
      <c r="F2864" s="16" t="s">
        <v>192</v>
      </c>
      <c r="G2864" s="16" t="s">
        <v>255</v>
      </c>
      <c r="H2864" s="16" t="s">
        <v>3626</v>
      </c>
      <c r="I2864" s="16" t="s">
        <v>408</v>
      </c>
    </row>
    <row r="2865" ht="242.25" customHeight="1">
      <c r="B2865" s="32" t="str">
        <f>IMAGE("https://gymvisual.com/1854-catalog_default/3-4-sit-up.jpg",4,500,500)</f>
        <v/>
      </c>
      <c r="C2865" s="30">
        <v>2864.0</v>
      </c>
      <c r="D2865" s="16" t="s">
        <v>3627</v>
      </c>
      <c r="E2865" s="16" t="s">
        <v>184</v>
      </c>
      <c r="F2865" s="16" t="s">
        <v>185</v>
      </c>
      <c r="G2865" s="16" t="s">
        <v>255</v>
      </c>
      <c r="H2865" s="16" t="s">
        <v>271</v>
      </c>
      <c r="I2865" s="16" t="s">
        <v>3552</v>
      </c>
    </row>
    <row r="2866" ht="242.25" customHeight="1">
      <c r="B2866" s="32" t="str">
        <f>IMAGE("https://gymvisual.com/1857-catalog_default/3-4-sit-up.jpg",4,500,500)</f>
        <v/>
      </c>
      <c r="C2866" s="30">
        <v>2865.0</v>
      </c>
      <c r="D2866" s="16" t="s">
        <v>3628</v>
      </c>
      <c r="E2866" s="16" t="s">
        <v>184</v>
      </c>
      <c r="F2866" s="16" t="s">
        <v>185</v>
      </c>
      <c r="G2866" s="16" t="s">
        <v>399</v>
      </c>
      <c r="H2866" s="16" t="s">
        <v>187</v>
      </c>
      <c r="I2866" s="16" t="s">
        <v>188</v>
      </c>
    </row>
    <row r="2867" ht="242.25" customHeight="1">
      <c r="B2867" s="32" t="str">
        <f>IMAGE("https://gymvisual.com/26068-catalog_default/lying-hip-lift-on-stability-ball-ii.jpg",4,500,500)</f>
        <v/>
      </c>
      <c r="C2867" s="30">
        <v>2866.0</v>
      </c>
      <c r="D2867" s="16" t="s">
        <v>3629</v>
      </c>
      <c r="E2867" s="16" t="s">
        <v>184</v>
      </c>
      <c r="F2867" s="16" t="s">
        <v>185</v>
      </c>
      <c r="G2867" s="16" t="s">
        <v>399</v>
      </c>
      <c r="H2867" s="16" t="s">
        <v>187</v>
      </c>
      <c r="I2867" s="16" t="s">
        <v>188</v>
      </c>
    </row>
    <row r="2868" ht="242.25" customHeight="1">
      <c r="B2868" s="32" t="str">
        <f>IMAGE("https://gymvisual.com/19017-catalog_default/3-4-sit-up.jpg",4,500,500)</f>
        <v/>
      </c>
      <c r="C2868" s="30">
        <v>2867.0</v>
      </c>
      <c r="D2868" s="16" t="s">
        <v>3630</v>
      </c>
      <c r="E2868" s="16" t="s">
        <v>184</v>
      </c>
      <c r="F2868" s="16" t="s">
        <v>185</v>
      </c>
      <c r="G2868" s="16" t="s">
        <v>255</v>
      </c>
      <c r="H2868" s="16" t="s">
        <v>271</v>
      </c>
      <c r="I2868" s="16" t="s">
        <v>566</v>
      </c>
    </row>
    <row r="2869" ht="242.25" customHeight="1">
      <c r="B2869" s="32" t="str">
        <f>IMAGE("https://gymvisual.com/22420-catalog_default/lying-incline-hip-raise-female.jpg",4,500,500)</f>
        <v/>
      </c>
      <c r="C2869" s="30">
        <v>2868.0</v>
      </c>
      <c r="D2869" s="16" t="s">
        <v>3631</v>
      </c>
      <c r="E2869" s="16" t="s">
        <v>184</v>
      </c>
      <c r="F2869" s="16" t="s">
        <v>254</v>
      </c>
      <c r="G2869" s="16" t="s">
        <v>255</v>
      </c>
      <c r="H2869" s="16" t="s">
        <v>220</v>
      </c>
      <c r="I2869" s="16" t="s">
        <v>220</v>
      </c>
    </row>
    <row r="2870" ht="242.25" customHeight="1">
      <c r="B2870" s="32" t="str">
        <f>IMAGE("https://gymvisual.com/22821-catalog_default/lying-lat-pulldown.jpg",4,500,500)</f>
        <v/>
      </c>
      <c r="C2870" s="30">
        <v>2869.0</v>
      </c>
      <c r="D2870" s="16" t="s">
        <v>3632</v>
      </c>
      <c r="E2870" s="16" t="s">
        <v>184</v>
      </c>
      <c r="F2870" s="16" t="s">
        <v>192</v>
      </c>
      <c r="G2870" s="16" t="s">
        <v>255</v>
      </c>
      <c r="H2870" s="16" t="s">
        <v>404</v>
      </c>
      <c r="I2870" s="16" t="s">
        <v>447</v>
      </c>
    </row>
    <row r="2871" ht="242.25" customHeight="1">
      <c r="B2871" s="32" t="str">
        <f>IMAGE("https://gymvisual.com/22829-catalog_default/lying-leg-cross.jpg",4,500,500)</f>
        <v/>
      </c>
      <c r="C2871" s="30">
        <v>2870.0</v>
      </c>
      <c r="D2871" s="16" t="s">
        <v>3633</v>
      </c>
      <c r="E2871" s="16" t="s">
        <v>184</v>
      </c>
      <c r="F2871" s="16" t="s">
        <v>254</v>
      </c>
      <c r="G2871" s="16" t="s">
        <v>255</v>
      </c>
      <c r="H2871" s="16" t="s">
        <v>3634</v>
      </c>
      <c r="I2871" s="16" t="s">
        <v>3635</v>
      </c>
    </row>
    <row r="2872" ht="242.25" customHeight="1">
      <c r="B2872" s="32" t="str">
        <f>IMAGE("https://gymvisual.com/22524-catalog_default/lying-leg-figure-eight.jpg",4,500,500)</f>
        <v/>
      </c>
      <c r="C2872" s="30">
        <v>2871.0</v>
      </c>
      <c r="D2872" s="16" t="s">
        <v>3636</v>
      </c>
      <c r="E2872" s="16" t="s">
        <v>184</v>
      </c>
      <c r="F2872" s="16" t="s">
        <v>254</v>
      </c>
      <c r="G2872" s="16" t="s">
        <v>255</v>
      </c>
      <c r="H2872" s="16" t="s">
        <v>220</v>
      </c>
      <c r="I2872" s="16" t="s">
        <v>220</v>
      </c>
    </row>
    <row r="2873" ht="242.25" customHeight="1">
      <c r="B2873" s="32" t="str">
        <f>IMAGE("https://gymvisual.com/10966-catalog_default/lying-leg-hip-raise-female.jpg",4,500,500)</f>
        <v/>
      </c>
      <c r="C2873" s="30">
        <v>2872.0</v>
      </c>
      <c r="D2873" s="16" t="s">
        <v>3637</v>
      </c>
      <c r="E2873" s="16" t="s">
        <v>184</v>
      </c>
      <c r="F2873" s="16" t="s">
        <v>254</v>
      </c>
      <c r="G2873" s="16" t="s">
        <v>255</v>
      </c>
      <c r="H2873" s="16" t="s">
        <v>305</v>
      </c>
      <c r="I2873" s="16" t="s">
        <v>600</v>
      </c>
    </row>
    <row r="2874" ht="242.25" customHeight="1">
      <c r="B2874" s="32" t="str">
        <f>IMAGE("https://gymvisual.com/13758-catalog_default/lying-leg-hip-raise-on-floor.jpg",4,500,500)</f>
        <v/>
      </c>
      <c r="C2874" s="30">
        <v>2873.0</v>
      </c>
      <c r="D2874" s="16" t="s">
        <v>3638</v>
      </c>
      <c r="E2874" s="16" t="s">
        <v>184</v>
      </c>
      <c r="F2874" s="16" t="s">
        <v>254</v>
      </c>
      <c r="G2874" s="16" t="s">
        <v>255</v>
      </c>
      <c r="H2874" s="16" t="s">
        <v>305</v>
      </c>
      <c r="I2874" s="16" t="s">
        <v>220</v>
      </c>
    </row>
    <row r="2875" ht="242.25" customHeight="1">
      <c r="B2875" s="32" t="str">
        <f>IMAGE("https://gymvisual.com/22736-catalog_default/lying-leg-hip-raise-on-floor-version-2.jpg",4,500,500)</f>
        <v/>
      </c>
      <c r="C2875" s="30">
        <v>2874.0</v>
      </c>
      <c r="D2875" s="16" t="s">
        <v>3639</v>
      </c>
      <c r="E2875" s="16" t="s">
        <v>184</v>
      </c>
      <c r="F2875" s="16" t="s">
        <v>254</v>
      </c>
      <c r="G2875" s="16" t="s">
        <v>255</v>
      </c>
      <c r="H2875" s="16" t="s">
        <v>305</v>
      </c>
      <c r="I2875" s="16" t="s">
        <v>600</v>
      </c>
    </row>
    <row r="2876" ht="242.25" customHeight="1">
      <c r="B2876" s="32" t="str">
        <f>IMAGE("https://gymvisual.com/17573-catalog_default/lying-leg-hip-side-raise-on-floor.jpg",4,500,500)</f>
        <v/>
      </c>
      <c r="C2876" s="30">
        <v>2875.0</v>
      </c>
      <c r="D2876" s="16" t="s">
        <v>3640</v>
      </c>
      <c r="E2876" s="16" t="s">
        <v>184</v>
      </c>
      <c r="F2876" s="16" t="s">
        <v>310</v>
      </c>
      <c r="G2876" s="16" t="s">
        <v>255</v>
      </c>
      <c r="H2876" s="16" t="s">
        <v>263</v>
      </c>
      <c r="I2876" s="16" t="s">
        <v>3641</v>
      </c>
    </row>
    <row r="2877" ht="242.25" customHeight="1">
      <c r="B2877" s="32" t="str">
        <f>IMAGE("https://gymvisual.com/4376-catalog_default/lying-leg-raise.jpg",4,500,500)</f>
        <v/>
      </c>
      <c r="C2877" s="30">
        <v>2876.0</v>
      </c>
      <c r="D2877" s="16" t="s">
        <v>3642</v>
      </c>
      <c r="E2877" s="16" t="s">
        <v>184</v>
      </c>
      <c r="F2877" s="16" t="s">
        <v>254</v>
      </c>
      <c r="G2877" s="16" t="s">
        <v>255</v>
      </c>
      <c r="H2877" s="16" t="s">
        <v>256</v>
      </c>
      <c r="I2877" s="16" t="s">
        <v>3643</v>
      </c>
    </row>
    <row r="2878" ht="242.25" customHeight="1">
      <c r="B2878" s="32" t="str">
        <f>IMAGE("https://gymvisual.com/22341-catalog_default/lying-leg-raise-female.jpg",4,500,500)</f>
        <v/>
      </c>
      <c r="C2878" s="30">
        <v>2877.0</v>
      </c>
      <c r="D2878" s="16" t="s">
        <v>3644</v>
      </c>
      <c r="E2878" s="16" t="s">
        <v>184</v>
      </c>
      <c r="F2878" s="16" t="s">
        <v>254</v>
      </c>
      <c r="G2878" s="16" t="s">
        <v>255</v>
      </c>
      <c r="H2878" s="16" t="s">
        <v>220</v>
      </c>
      <c r="I2878" s="16" t="s">
        <v>220</v>
      </c>
    </row>
    <row r="2879" ht="242.25" customHeight="1">
      <c r="B2879" s="32" t="str">
        <f>IMAGE("https://gymvisual.com/22504-catalog_default/lying-leg-raise-female.jpg",4,500,500)</f>
        <v/>
      </c>
      <c r="C2879" s="30">
        <v>2878.0</v>
      </c>
      <c r="D2879" s="16" t="s">
        <v>3644</v>
      </c>
      <c r="E2879" s="16" t="s">
        <v>184</v>
      </c>
      <c r="F2879" s="16" t="s">
        <v>254</v>
      </c>
      <c r="G2879" s="16" t="s">
        <v>255</v>
      </c>
      <c r="H2879" s="16" t="s">
        <v>220</v>
      </c>
      <c r="I2879" s="16" t="s">
        <v>220</v>
      </c>
    </row>
    <row r="2880" ht="242.25" customHeight="1">
      <c r="B2880" s="32" t="str">
        <f>IMAGE("https://gymvisual.com/23599-catalog_default/lying-leg-raise-modified.jpg",4,500,500)</f>
        <v/>
      </c>
      <c r="C2880" s="30">
        <v>2879.0</v>
      </c>
      <c r="D2880" s="16" t="s">
        <v>3645</v>
      </c>
      <c r="E2880" s="16" t="s">
        <v>184</v>
      </c>
      <c r="F2880" s="16" t="s">
        <v>185</v>
      </c>
      <c r="G2880" s="16" t="s">
        <v>255</v>
      </c>
      <c r="H2880" s="16" t="s">
        <v>305</v>
      </c>
      <c r="I2880" s="16" t="s">
        <v>289</v>
      </c>
    </row>
    <row r="2881" ht="242.25" customHeight="1">
      <c r="B2881" s="32" t="str">
        <f>IMAGE("https://gymvisual.com/4621-catalog_default/lying-leg-raise-and-hold.jpg",4,500,500)</f>
        <v/>
      </c>
      <c r="C2881" s="30">
        <v>2880.0</v>
      </c>
      <c r="D2881" s="16" t="s">
        <v>3646</v>
      </c>
      <c r="E2881" s="16" t="s">
        <v>184</v>
      </c>
      <c r="F2881" s="16" t="s">
        <v>185</v>
      </c>
      <c r="G2881" s="16" t="s">
        <v>255</v>
      </c>
      <c r="H2881" s="16" t="s">
        <v>271</v>
      </c>
      <c r="I2881" s="16" t="s">
        <v>3322</v>
      </c>
    </row>
    <row r="2882" ht="242.25" customHeight="1">
      <c r="B2882" s="32" t="str">
        <f>IMAGE("https://gymvisual.com/1863-catalog_default/3-4-sit-up.jpg",4,500,500)</f>
        <v/>
      </c>
      <c r="C2882" s="30">
        <v>2881.0</v>
      </c>
      <c r="D2882" s="16" t="s">
        <v>3647</v>
      </c>
      <c r="E2882" s="16" t="s">
        <v>184</v>
      </c>
      <c r="F2882" s="16" t="s">
        <v>254</v>
      </c>
      <c r="G2882" s="16" t="s">
        <v>255</v>
      </c>
      <c r="H2882" s="16" t="s">
        <v>305</v>
      </c>
      <c r="I2882" s="16" t="s">
        <v>3648</v>
      </c>
    </row>
    <row r="2883" ht="242.25" customHeight="1">
      <c r="B2883" s="32" t="str">
        <f>IMAGE("https://gymvisual.com/2634-catalog_default/lying-leg-hip-raise.jpg",4,500,500)</f>
        <v/>
      </c>
      <c r="C2883" s="30">
        <v>2882.0</v>
      </c>
      <c r="D2883" s="16" t="s">
        <v>3649</v>
      </c>
      <c r="E2883" s="16" t="s">
        <v>184</v>
      </c>
      <c r="F2883" s="16" t="s">
        <v>254</v>
      </c>
      <c r="G2883" s="16" t="s">
        <v>255</v>
      </c>
      <c r="H2883" s="16" t="s">
        <v>305</v>
      </c>
      <c r="I2883" s="16" t="s">
        <v>371</v>
      </c>
    </row>
    <row r="2884" ht="242.25" customHeight="1">
      <c r="B2884" s="32" t="str">
        <f>IMAGE("https://gymvisual.com/24061-catalog_default/lying-prone-a.jpg",4,500,500)</f>
        <v/>
      </c>
      <c r="C2884" s="30">
        <v>2883.0</v>
      </c>
      <c r="D2884" s="16" t="s">
        <v>3650</v>
      </c>
      <c r="E2884" s="16" t="s">
        <v>184</v>
      </c>
      <c r="F2884" s="16" t="s">
        <v>192</v>
      </c>
      <c r="G2884" s="16" t="s">
        <v>255</v>
      </c>
      <c r="H2884" s="16" t="s">
        <v>220</v>
      </c>
      <c r="I2884" s="16" t="s">
        <v>220</v>
      </c>
    </row>
    <row r="2885" ht="242.25" customHeight="1">
      <c r="B2885" s="32" t="str">
        <f>IMAGE("https://gymvisual.com/24063-catalog_default/lying-prone-t.jpg",4,500,500)</f>
        <v/>
      </c>
      <c r="C2885" s="30">
        <v>2884.0</v>
      </c>
      <c r="D2885" s="16" t="s">
        <v>3651</v>
      </c>
      <c r="E2885" s="16" t="s">
        <v>184</v>
      </c>
      <c r="F2885" s="16" t="s">
        <v>192</v>
      </c>
      <c r="G2885" s="16" t="s">
        <v>255</v>
      </c>
      <c r="H2885" s="16" t="s">
        <v>220</v>
      </c>
      <c r="I2885" s="16" t="s">
        <v>220</v>
      </c>
    </row>
    <row r="2886" ht="242.25" customHeight="1">
      <c r="B2886" s="32" t="str">
        <f>IMAGE("https://gymvisual.com/24065-catalog_default/lying-prone-w.jpg",4,500,500)</f>
        <v/>
      </c>
      <c r="C2886" s="30">
        <v>2885.0</v>
      </c>
      <c r="D2886" s="16" t="s">
        <v>3652</v>
      </c>
      <c r="E2886" s="16" t="s">
        <v>184</v>
      </c>
      <c r="F2886" s="16" t="s">
        <v>192</v>
      </c>
      <c r="G2886" s="16" t="s">
        <v>255</v>
      </c>
      <c r="H2886" s="16" t="s">
        <v>220</v>
      </c>
      <c r="I2886" s="16" t="s">
        <v>220</v>
      </c>
    </row>
    <row r="2887" ht="242.25" customHeight="1">
      <c r="B2887" s="32" t="str">
        <f>IMAGE("https://gymvisual.com/24067-catalog_default/lying-prone-w-to-t.jpg",4,500,500)</f>
        <v/>
      </c>
      <c r="C2887" s="30">
        <v>2886.0</v>
      </c>
      <c r="D2887" s="16" t="s">
        <v>3653</v>
      </c>
      <c r="E2887" s="16" t="s">
        <v>184</v>
      </c>
      <c r="F2887" s="16" t="s">
        <v>192</v>
      </c>
      <c r="G2887" s="16" t="s">
        <v>255</v>
      </c>
      <c r="H2887" s="16" t="s">
        <v>220</v>
      </c>
      <c r="I2887" s="16" t="s">
        <v>220</v>
      </c>
    </row>
    <row r="2888" ht="242.25" customHeight="1">
      <c r="B2888" s="32" t="str">
        <f>IMAGE("https://gymvisual.com/24069-catalog_default/lying-prone-w-to-y.jpg",4,500,500)</f>
        <v/>
      </c>
      <c r="C2888" s="30">
        <v>2887.0</v>
      </c>
      <c r="D2888" s="16" t="s">
        <v>3654</v>
      </c>
      <c r="E2888" s="16" t="s">
        <v>184</v>
      </c>
      <c r="F2888" s="16" t="s">
        <v>192</v>
      </c>
      <c r="G2888" s="16" t="s">
        <v>255</v>
      </c>
      <c r="H2888" s="16" t="s">
        <v>220</v>
      </c>
      <c r="I2888" s="16" t="s">
        <v>220</v>
      </c>
    </row>
    <row r="2889" ht="242.25" customHeight="1">
      <c r="B2889" s="32" t="str">
        <f>IMAGE("https://gymvisual.com/19908-catalog_default/lying-rear-lateral-raise.jpg",4,500,500)</f>
        <v/>
      </c>
      <c r="C2889" s="30">
        <v>2888.0</v>
      </c>
      <c r="D2889" s="16" t="s">
        <v>3655</v>
      </c>
      <c r="E2889" s="16" t="s">
        <v>184</v>
      </c>
      <c r="F2889" s="16" t="s">
        <v>228</v>
      </c>
      <c r="G2889" s="16" t="s">
        <v>255</v>
      </c>
      <c r="H2889" s="16" t="s">
        <v>408</v>
      </c>
      <c r="I2889" s="16" t="s">
        <v>731</v>
      </c>
    </row>
    <row r="2890" ht="242.25" customHeight="1">
      <c r="B2890" s="32" t="str">
        <f>IMAGE("https://gymvisual.com/1866-catalog_default/3-4-sit-up.jpg",4,500,500)</f>
        <v/>
      </c>
      <c r="C2890" s="30">
        <v>2889.0</v>
      </c>
      <c r="D2890" s="16" t="s">
        <v>3656</v>
      </c>
      <c r="E2890" s="16" t="s">
        <v>184</v>
      </c>
      <c r="F2890" s="16" t="s">
        <v>254</v>
      </c>
      <c r="G2890" s="16" t="s">
        <v>255</v>
      </c>
      <c r="H2890" s="16" t="s">
        <v>305</v>
      </c>
      <c r="I2890" s="16" t="s">
        <v>2482</v>
      </c>
    </row>
    <row r="2891" ht="242.25" customHeight="1">
      <c r="B2891" s="32" t="str">
        <f>IMAGE("https://gymvisual.com/1869-catalog_default/3-4-sit-up.jpg",4,500,500)</f>
        <v/>
      </c>
      <c r="C2891" s="30">
        <v>2890.0</v>
      </c>
      <c r="D2891" s="16" t="s">
        <v>3657</v>
      </c>
      <c r="E2891" s="16" t="s">
        <v>184</v>
      </c>
      <c r="F2891" s="16" t="s">
        <v>185</v>
      </c>
      <c r="G2891" s="16" t="s">
        <v>255</v>
      </c>
      <c r="H2891" s="16" t="s">
        <v>271</v>
      </c>
      <c r="I2891" s="16" t="s">
        <v>303</v>
      </c>
    </row>
    <row r="2892" ht="242.25" customHeight="1">
      <c r="B2892" s="32" t="str">
        <f>IMAGE("https://gymvisual.com/23625-catalog_default/lying-side-to-side-knee.jpg",4,500,500)</f>
        <v/>
      </c>
      <c r="C2892" s="30">
        <v>2891.0</v>
      </c>
      <c r="D2892" s="16" t="s">
        <v>3658</v>
      </c>
      <c r="E2892" s="16" t="s">
        <v>184</v>
      </c>
      <c r="F2892" s="16" t="s">
        <v>185</v>
      </c>
      <c r="G2892" s="16" t="s">
        <v>255</v>
      </c>
      <c r="H2892" s="16" t="s">
        <v>3634</v>
      </c>
      <c r="I2892" s="16" t="s">
        <v>3659</v>
      </c>
    </row>
    <row r="2893" ht="242.25" customHeight="1">
      <c r="B2893" s="32" t="str">
        <f>IMAGE("https://gymvisual.com/2613-catalog_default/3-4-sit-up.jpg",4,500,500)</f>
        <v/>
      </c>
      <c r="C2893" s="30">
        <v>2892.0</v>
      </c>
      <c r="D2893" s="16" t="s">
        <v>3660</v>
      </c>
      <c r="E2893" s="16" t="s">
        <v>184</v>
      </c>
      <c r="F2893" s="16" t="s">
        <v>185</v>
      </c>
      <c r="G2893" s="16" t="s">
        <v>255</v>
      </c>
      <c r="H2893" s="16" t="s">
        <v>271</v>
      </c>
      <c r="I2893" s="16" t="s">
        <v>563</v>
      </c>
    </row>
    <row r="2894" ht="242.25" customHeight="1">
      <c r="B2894" s="32" t="str">
        <f>IMAGE("https://gymvisual.com/4440-catalog_default/lying-simultaneous-alternating-straight-leg-raise.jpg",4,500,500)</f>
        <v/>
      </c>
      <c r="C2894" s="30">
        <v>2893.0</v>
      </c>
      <c r="D2894" s="16" t="s">
        <v>3661</v>
      </c>
      <c r="E2894" s="16" t="s">
        <v>184</v>
      </c>
      <c r="F2894" s="16" t="s">
        <v>185</v>
      </c>
      <c r="G2894" s="16" t="s">
        <v>255</v>
      </c>
      <c r="H2894" s="16" t="s">
        <v>271</v>
      </c>
      <c r="I2894" s="16" t="s">
        <v>566</v>
      </c>
    </row>
    <row r="2895" ht="242.25" customHeight="1">
      <c r="B2895" s="32" t="str">
        <f>IMAGE("https://gymvisual.com/22099-catalog_default/lying-single-legs-reverse-biceps-curl-with-towel.jpg",4,500,500)</f>
        <v/>
      </c>
      <c r="C2895" s="30">
        <v>2894.0</v>
      </c>
      <c r="D2895" s="16" t="s">
        <v>3662</v>
      </c>
      <c r="E2895" s="16" t="s">
        <v>184</v>
      </c>
      <c r="F2895" s="16" t="s">
        <v>214</v>
      </c>
      <c r="G2895" s="16" t="s">
        <v>255</v>
      </c>
      <c r="H2895" s="16" t="s">
        <v>216</v>
      </c>
      <c r="I2895" s="16" t="s">
        <v>217</v>
      </c>
    </row>
    <row r="2896" ht="242.25" customHeight="1">
      <c r="B2896" s="32" t="str">
        <f>IMAGE("https://gymvisual.com/7607-catalog_default/lying-single-straight-leg-hip-extension.jpg",4,500,500)</f>
        <v/>
      </c>
      <c r="C2896" s="30">
        <v>2895.0</v>
      </c>
      <c r="D2896" s="16" t="s">
        <v>3663</v>
      </c>
      <c r="E2896" s="16" t="s">
        <v>184</v>
      </c>
      <c r="F2896" s="16" t="s">
        <v>285</v>
      </c>
      <c r="G2896" s="16" t="s">
        <v>255</v>
      </c>
      <c r="H2896" s="16" t="s">
        <v>220</v>
      </c>
      <c r="I2896" s="16" t="s">
        <v>220</v>
      </c>
    </row>
    <row r="2897" ht="242.25" customHeight="1">
      <c r="B2897" s="32" t="str">
        <f>IMAGE("https://gymvisual.com/14008-catalog_default/lying-straight-leg-marches.jpg",4,500,500)</f>
        <v/>
      </c>
      <c r="C2897" s="30">
        <v>2896.0</v>
      </c>
      <c r="D2897" s="16" t="s">
        <v>3664</v>
      </c>
      <c r="E2897" s="16" t="s">
        <v>184</v>
      </c>
      <c r="F2897" s="16" t="s">
        <v>310</v>
      </c>
      <c r="G2897" s="16" t="s">
        <v>255</v>
      </c>
      <c r="H2897" s="16" t="s">
        <v>2868</v>
      </c>
      <c r="I2897" s="16" t="s">
        <v>1204</v>
      </c>
    </row>
    <row r="2898" ht="242.25" customHeight="1">
      <c r="B2898" s="32" t="str">
        <f>IMAGE("https://gymvisual.com/4443-catalog_default/lying-straight-leg-raise-version-2.jpg",4,500,500)</f>
        <v/>
      </c>
      <c r="C2898" s="30">
        <v>2897.0</v>
      </c>
      <c r="D2898" s="16" t="s">
        <v>3665</v>
      </c>
      <c r="E2898" s="16" t="s">
        <v>184</v>
      </c>
      <c r="F2898" s="16" t="s">
        <v>185</v>
      </c>
      <c r="G2898" s="16" t="s">
        <v>255</v>
      </c>
      <c r="H2898" s="16" t="s">
        <v>271</v>
      </c>
      <c r="I2898" s="16" t="s">
        <v>566</v>
      </c>
    </row>
    <row r="2899" ht="242.25" customHeight="1">
      <c r="B2899" s="32" t="str">
        <f>IMAGE("https://gymvisual.com/5990-catalog_default/machine-inner-chest-press.jpg",4,500,500)</f>
        <v/>
      </c>
      <c r="C2899" s="30">
        <v>2898.0</v>
      </c>
      <c r="D2899" s="16" t="s">
        <v>3666</v>
      </c>
      <c r="E2899" s="16" t="s">
        <v>184</v>
      </c>
      <c r="F2899" s="16" t="s">
        <v>234</v>
      </c>
      <c r="G2899" s="16" t="s">
        <v>346</v>
      </c>
      <c r="H2899" s="16" t="s">
        <v>347</v>
      </c>
      <c r="I2899" s="16" t="s">
        <v>382</v>
      </c>
    </row>
    <row r="2900" ht="242.25" customHeight="1">
      <c r="B2900" s="32" t="str">
        <f>IMAGE("https://gymvisual.com/1875-catalog_default/3-4-sit-up.jpg",4,500,500)</f>
        <v/>
      </c>
      <c r="C2900" s="30">
        <v>2899.0</v>
      </c>
      <c r="D2900" s="16" t="s">
        <v>3667</v>
      </c>
      <c r="E2900" s="16" t="s">
        <v>184</v>
      </c>
      <c r="F2900" s="16" t="s">
        <v>285</v>
      </c>
      <c r="G2900" s="16" t="s">
        <v>255</v>
      </c>
      <c r="H2900" s="16" t="s">
        <v>189</v>
      </c>
      <c r="I2900" s="16" t="s">
        <v>190</v>
      </c>
    </row>
    <row r="2901" ht="242.25" customHeight="1">
      <c r="B2901" s="32" t="str">
        <f>IMAGE("https://gymvisual.com/23601-catalog_default/marching-on-spot.jpg",4,500,500)</f>
        <v/>
      </c>
      <c r="C2901" s="30">
        <v>2900.0</v>
      </c>
      <c r="D2901" s="16" t="s">
        <v>3668</v>
      </c>
      <c r="E2901" s="16" t="s">
        <v>184</v>
      </c>
      <c r="F2901" s="16" t="s">
        <v>1162</v>
      </c>
      <c r="G2901" s="16" t="s">
        <v>255</v>
      </c>
      <c r="H2901" s="16" t="s">
        <v>220</v>
      </c>
      <c r="I2901" s="16" t="s">
        <v>220</v>
      </c>
    </row>
    <row r="2902" ht="242.25" customHeight="1">
      <c r="B2902" s="32" t="str">
        <f>IMAGE("https://gymvisual.com/19419-catalog_default/medicine-ball-around-head-rotation.jpg",4,500,500)</f>
        <v/>
      </c>
      <c r="C2902" s="30">
        <v>2901.0</v>
      </c>
      <c r="D2902" s="16" t="s">
        <v>3669</v>
      </c>
      <c r="E2902" s="16" t="s">
        <v>184</v>
      </c>
      <c r="F2902" s="16" t="s">
        <v>228</v>
      </c>
      <c r="G2902" s="16" t="s">
        <v>373</v>
      </c>
      <c r="H2902" s="16" t="s">
        <v>220</v>
      </c>
      <c r="I2902" s="16" t="s">
        <v>220</v>
      </c>
    </row>
    <row r="2903" ht="242.25" customHeight="1">
      <c r="B2903" s="32" t="str">
        <f>IMAGE("https://gymvisual.com/13840-catalog_default/medicine-ball-backward-throw.jpg",4,500,500)</f>
        <v/>
      </c>
      <c r="C2903" s="30">
        <v>2902.0</v>
      </c>
      <c r="D2903" s="16" t="s">
        <v>3670</v>
      </c>
      <c r="E2903" s="16" t="s">
        <v>184</v>
      </c>
      <c r="F2903" s="16" t="s">
        <v>185</v>
      </c>
      <c r="G2903" s="16" t="s">
        <v>373</v>
      </c>
      <c r="H2903" s="16" t="s">
        <v>1114</v>
      </c>
      <c r="I2903" s="16" t="s">
        <v>220</v>
      </c>
    </row>
    <row r="2904" ht="242.25" customHeight="1">
      <c r="B2904" s="32" t="str">
        <f>IMAGE("https://gymvisual.com/6044-catalog_default/medicine-ball-catch-and-overhead-throw.jpg",4,500,500)</f>
        <v/>
      </c>
      <c r="C2904" s="30">
        <v>2903.0</v>
      </c>
      <c r="D2904" s="16" t="s">
        <v>3671</v>
      </c>
      <c r="E2904" s="16" t="s">
        <v>184</v>
      </c>
      <c r="F2904" s="16" t="s">
        <v>192</v>
      </c>
      <c r="G2904" s="16" t="s">
        <v>373</v>
      </c>
      <c r="H2904" s="16" t="s">
        <v>3672</v>
      </c>
      <c r="I2904" s="16" t="s">
        <v>3673</v>
      </c>
    </row>
    <row r="2905" ht="242.25" customHeight="1">
      <c r="B2905" s="32" t="str">
        <f>IMAGE("https://gymvisual.com/5991-catalog_default/medicine-ball-chest-pass.jpg",4,500,500)</f>
        <v/>
      </c>
      <c r="C2905" s="30">
        <v>2904.0</v>
      </c>
      <c r="D2905" s="16" t="s">
        <v>3674</v>
      </c>
      <c r="E2905" s="16" t="s">
        <v>184</v>
      </c>
      <c r="F2905" s="16" t="s">
        <v>234</v>
      </c>
      <c r="G2905" s="16" t="s">
        <v>373</v>
      </c>
      <c r="H2905" s="16" t="s">
        <v>347</v>
      </c>
      <c r="I2905" s="16" t="s">
        <v>382</v>
      </c>
    </row>
    <row r="2906" ht="242.25" customHeight="1">
      <c r="B2906" s="32" t="str">
        <f>IMAGE("https://gymvisual.com/24486-catalog_default/medicine-ball-chest-pass-against-wall.jpg",4,500,500)</f>
        <v/>
      </c>
      <c r="C2906" s="30">
        <v>2905.0</v>
      </c>
      <c r="D2906" s="16" t="s">
        <v>3675</v>
      </c>
      <c r="E2906" s="16" t="s">
        <v>184</v>
      </c>
      <c r="F2906" s="16" t="s">
        <v>234</v>
      </c>
      <c r="G2906" s="16" t="s">
        <v>373</v>
      </c>
      <c r="H2906" s="16" t="s">
        <v>220</v>
      </c>
      <c r="I2906" s="16" t="s">
        <v>220</v>
      </c>
    </row>
    <row r="2907" ht="242.25" customHeight="1">
      <c r="B2907" s="32" t="str">
        <f>IMAGE("https://gymvisual.com/6001-catalog_default/medicine-ball-chest-push-from-3-point-stance.jpg",4,500,500)</f>
        <v/>
      </c>
      <c r="C2907" s="30">
        <v>2906.0</v>
      </c>
      <c r="D2907" s="16" t="s">
        <v>3676</v>
      </c>
      <c r="E2907" s="16" t="s">
        <v>184</v>
      </c>
      <c r="F2907" s="16" t="s">
        <v>234</v>
      </c>
      <c r="G2907" s="16" t="s">
        <v>373</v>
      </c>
      <c r="H2907" s="16" t="s">
        <v>347</v>
      </c>
      <c r="I2907" s="16" t="s">
        <v>3677</v>
      </c>
    </row>
    <row r="2908" ht="242.25" customHeight="1">
      <c r="B2908" s="32" t="str">
        <f>IMAGE("https://gymvisual.com/5993-catalog_default/medicine-ball-chest-push-multiple-response.jpg",4,500,500)</f>
        <v/>
      </c>
      <c r="C2908" s="30">
        <v>2907.0</v>
      </c>
      <c r="D2908" s="16" t="s">
        <v>3678</v>
      </c>
      <c r="E2908" s="16" t="s">
        <v>184</v>
      </c>
      <c r="F2908" s="16" t="s">
        <v>234</v>
      </c>
      <c r="G2908" s="16" t="s">
        <v>373</v>
      </c>
      <c r="H2908" s="16" t="s">
        <v>347</v>
      </c>
      <c r="I2908" s="16" t="s">
        <v>3679</v>
      </c>
    </row>
    <row r="2909" ht="242.25" customHeight="1">
      <c r="B2909" s="32" t="str">
        <f>IMAGE("https://gymvisual.com/5994-catalog_default/medicine-ball-chest-push-single-response.jpg",4,500,500)</f>
        <v/>
      </c>
      <c r="C2909" s="30">
        <v>2908.0</v>
      </c>
      <c r="D2909" s="16" t="s">
        <v>823</v>
      </c>
      <c r="E2909" s="16" t="s">
        <v>184</v>
      </c>
      <c r="F2909" s="16" t="s">
        <v>234</v>
      </c>
      <c r="G2909" s="16" t="s">
        <v>373</v>
      </c>
      <c r="H2909" s="16" t="s">
        <v>347</v>
      </c>
      <c r="I2909" s="16" t="s">
        <v>3680</v>
      </c>
    </row>
    <row r="2910" ht="242.25" customHeight="1">
      <c r="B2910" s="32" t="str">
        <f>IMAGE("https://gymvisual.com/6003-catalog_default/medicine-ball-chest-push-with-run-release.jpg",4,500,500)</f>
        <v/>
      </c>
      <c r="C2910" s="30">
        <v>2909.0</v>
      </c>
      <c r="D2910" s="16" t="s">
        <v>3681</v>
      </c>
      <c r="E2910" s="16" t="s">
        <v>184</v>
      </c>
      <c r="F2910" s="16" t="s">
        <v>234</v>
      </c>
      <c r="G2910" s="16" t="s">
        <v>373</v>
      </c>
      <c r="H2910" s="16" t="s">
        <v>347</v>
      </c>
      <c r="I2910" s="16" t="s">
        <v>3673</v>
      </c>
    </row>
    <row r="2911" ht="242.25" customHeight="1">
      <c r="B2911" s="32" t="str">
        <f>IMAGE("https://gymvisual.com/7355-catalog_default/medicine-ball-close-grip-push-up.jpg",4,500,500)</f>
        <v/>
      </c>
      <c r="C2911" s="30">
        <v>2910.0</v>
      </c>
      <c r="D2911" s="16" t="s">
        <v>3682</v>
      </c>
      <c r="E2911" s="16" t="s">
        <v>184</v>
      </c>
      <c r="F2911" s="16" t="s">
        <v>219</v>
      </c>
      <c r="G2911" s="16" t="s">
        <v>373</v>
      </c>
      <c r="H2911" s="16" t="s">
        <v>223</v>
      </c>
      <c r="I2911" s="16" t="s">
        <v>472</v>
      </c>
    </row>
    <row r="2912" ht="242.25" customHeight="1">
      <c r="B2912" s="32" t="str">
        <f>IMAGE("https://gymvisual.com/18720-catalog_default/medicine-ball-crunch.jpg",4,500,500)</f>
        <v/>
      </c>
      <c r="C2912" s="30">
        <v>2911.0</v>
      </c>
      <c r="D2912" s="16" t="s">
        <v>3683</v>
      </c>
      <c r="E2912" s="16" t="s">
        <v>184</v>
      </c>
      <c r="F2912" s="16" t="s">
        <v>254</v>
      </c>
      <c r="G2912" s="16" t="s">
        <v>373</v>
      </c>
      <c r="H2912" s="16" t="s">
        <v>220</v>
      </c>
      <c r="I2912" s="16" t="s">
        <v>220</v>
      </c>
    </row>
    <row r="2913" ht="242.25" customHeight="1">
      <c r="B2913" s="32" t="str">
        <f>IMAGE("https://gymvisual.com/17899-catalog_default/medicine-ball-half-kneeling-chest-push-male.jpg",4,500,500)</f>
        <v/>
      </c>
      <c r="C2913" s="30">
        <v>2912.0</v>
      </c>
      <c r="D2913" s="16" t="s">
        <v>3684</v>
      </c>
      <c r="E2913" s="16" t="s">
        <v>184</v>
      </c>
      <c r="F2913" s="16" t="s">
        <v>234</v>
      </c>
      <c r="G2913" s="16" t="s">
        <v>373</v>
      </c>
      <c r="H2913" s="16" t="s">
        <v>220</v>
      </c>
      <c r="I2913" s="16" t="s">
        <v>220</v>
      </c>
    </row>
    <row r="2914" ht="242.25" customHeight="1">
      <c r="B2914" s="32" t="str">
        <f>IMAGE("https://gymvisual.com/20471-catalog_default/medicine-ball-lunge-with-biceps-curl.jpg",4,500,500)</f>
        <v/>
      </c>
      <c r="C2914" s="30">
        <v>2913.0</v>
      </c>
      <c r="D2914" s="16" t="s">
        <v>3685</v>
      </c>
      <c r="E2914" s="16" t="s">
        <v>184</v>
      </c>
      <c r="F2914" s="16" t="s">
        <v>3686</v>
      </c>
      <c r="G2914" s="16" t="s">
        <v>373</v>
      </c>
      <c r="H2914" s="16" t="s">
        <v>2779</v>
      </c>
      <c r="I2914" s="16" t="s">
        <v>3687</v>
      </c>
    </row>
    <row r="2915" ht="242.25" customHeight="1">
      <c r="B2915" s="32" t="str">
        <f>IMAGE("https://gymvisual.com/22837-catalog_default/medicine-ball-lying-leg-raise.jpg",4,500,500)</f>
        <v/>
      </c>
      <c r="C2915" s="30">
        <v>2914.0</v>
      </c>
      <c r="D2915" s="16" t="s">
        <v>3688</v>
      </c>
      <c r="E2915" s="16" t="s">
        <v>184</v>
      </c>
      <c r="F2915" s="16" t="s">
        <v>254</v>
      </c>
      <c r="G2915" s="16" t="s">
        <v>373</v>
      </c>
      <c r="H2915" s="16" t="s">
        <v>305</v>
      </c>
      <c r="I2915" s="16" t="s">
        <v>1306</v>
      </c>
    </row>
    <row r="2916" ht="242.25" customHeight="1">
      <c r="B2916" s="32" t="str">
        <f>IMAGE("https://gymvisual.com/6045-catalog_default/medicine-ball-overhead-slam.jpg",4,500,500)</f>
        <v/>
      </c>
      <c r="C2916" s="30">
        <v>2915.0</v>
      </c>
      <c r="D2916" s="16" t="s">
        <v>3689</v>
      </c>
      <c r="E2916" s="16" t="s">
        <v>184</v>
      </c>
      <c r="F2916" s="16" t="s">
        <v>192</v>
      </c>
      <c r="G2916" s="16" t="s">
        <v>373</v>
      </c>
      <c r="H2916" s="16" t="s">
        <v>329</v>
      </c>
      <c r="I2916" s="16" t="s">
        <v>3690</v>
      </c>
    </row>
    <row r="2917" ht="242.25" customHeight="1">
      <c r="B2917" s="32" t="str">
        <f>IMAGE("https://gymvisual.com/11194-catalog_default/medicine-ball-overhead-slam-female.jpg",4,500,500)</f>
        <v/>
      </c>
      <c r="C2917" s="30">
        <v>2916.0</v>
      </c>
      <c r="D2917" s="16" t="s">
        <v>3691</v>
      </c>
      <c r="E2917" s="16" t="s">
        <v>184</v>
      </c>
      <c r="F2917" s="16" t="s">
        <v>310</v>
      </c>
      <c r="G2917" s="16" t="s">
        <v>373</v>
      </c>
      <c r="H2917" s="16" t="s">
        <v>1230</v>
      </c>
      <c r="I2917" s="16" t="s">
        <v>3692</v>
      </c>
    </row>
    <row r="2918" ht="242.25" customHeight="1">
      <c r="B2918" s="32" t="str">
        <f>IMAGE("https://gymvisual.com/7343-catalog_default/medicine-ball-reverse-wood-chop-squat.jpg",4,500,500)</f>
        <v/>
      </c>
      <c r="C2918" s="30">
        <v>2917.0</v>
      </c>
      <c r="D2918" s="16" t="s">
        <v>3693</v>
      </c>
      <c r="E2918" s="16" t="s">
        <v>184</v>
      </c>
      <c r="F2918" s="16" t="s">
        <v>254</v>
      </c>
      <c r="G2918" s="16" t="s">
        <v>373</v>
      </c>
      <c r="H2918" s="16" t="s">
        <v>220</v>
      </c>
      <c r="I2918" s="16" t="s">
        <v>220</v>
      </c>
    </row>
    <row r="2919" ht="242.25" customHeight="1">
      <c r="B2919" s="32" t="str">
        <f>IMAGE("https://gymvisual.com/7349-catalog_default/medicine-ball-rotational-throw.jpg",4,500,500)</f>
        <v/>
      </c>
      <c r="C2919" s="30">
        <v>2918.0</v>
      </c>
      <c r="D2919" s="16" t="s">
        <v>3694</v>
      </c>
      <c r="E2919" s="16" t="s">
        <v>184</v>
      </c>
      <c r="F2919" s="16" t="s">
        <v>254</v>
      </c>
      <c r="G2919" s="16" t="s">
        <v>373</v>
      </c>
      <c r="H2919" s="16" t="s">
        <v>220</v>
      </c>
      <c r="I2919" s="16" t="s">
        <v>220</v>
      </c>
    </row>
    <row r="2920" ht="242.25" customHeight="1">
      <c r="B2920" s="32" t="str">
        <f>IMAGE("https://gymvisual.com/7331-catalog_default/medicine-ball-single-leg-deadlift.jpg",4,500,500)</f>
        <v/>
      </c>
      <c r="C2920" s="30">
        <v>2919.0</v>
      </c>
      <c r="D2920" s="16" t="s">
        <v>3695</v>
      </c>
      <c r="E2920" s="16" t="s">
        <v>184</v>
      </c>
      <c r="F2920" s="16" t="s">
        <v>185</v>
      </c>
      <c r="G2920" s="16" t="s">
        <v>373</v>
      </c>
      <c r="H2920" s="16" t="s">
        <v>220</v>
      </c>
      <c r="I2920" s="16" t="s">
        <v>220</v>
      </c>
    </row>
    <row r="2921" ht="242.25" customHeight="1">
      <c r="B2921" s="32" t="str">
        <f>IMAGE("https://gymvisual.com/1878-catalog_default/3-4-sit-up.jpg",4,500,500)</f>
        <v/>
      </c>
      <c r="C2921" s="30">
        <v>2920.0</v>
      </c>
      <c r="D2921" s="16" t="s">
        <v>3696</v>
      </c>
      <c r="E2921" s="16" t="s">
        <v>184</v>
      </c>
      <c r="F2921" s="16" t="s">
        <v>254</v>
      </c>
      <c r="G2921" s="16" t="s">
        <v>373</v>
      </c>
      <c r="H2921" s="16" t="s">
        <v>305</v>
      </c>
      <c r="I2921" s="16" t="s">
        <v>3697</v>
      </c>
    </row>
    <row r="2922" ht="242.25" customHeight="1">
      <c r="B2922" s="32" t="str">
        <f>IMAGE("https://gymvisual.com/13842-catalog_default/medicine-ball-standing-overhead-throw.jpg",4,500,500)</f>
        <v/>
      </c>
      <c r="C2922" s="30">
        <v>2921.0</v>
      </c>
      <c r="D2922" s="16" t="s">
        <v>3698</v>
      </c>
      <c r="E2922" s="16" t="s">
        <v>184</v>
      </c>
      <c r="F2922" s="16" t="s">
        <v>1894</v>
      </c>
      <c r="G2922" s="16" t="s">
        <v>373</v>
      </c>
      <c r="H2922" s="16" t="s">
        <v>2400</v>
      </c>
      <c r="I2922" s="16" t="s">
        <v>545</v>
      </c>
    </row>
    <row r="2923" ht="242.25" customHeight="1">
      <c r="B2923" s="32" t="str">
        <f>IMAGE("https://gymvisual.com/7469-catalog_default/medicine-ball-supine-chest-throw.jpg",4,500,500)</f>
        <v/>
      </c>
      <c r="C2923" s="30">
        <v>2922.0</v>
      </c>
      <c r="D2923" s="16" t="s">
        <v>3699</v>
      </c>
      <c r="E2923" s="16" t="s">
        <v>184</v>
      </c>
      <c r="F2923" s="16" t="s">
        <v>219</v>
      </c>
      <c r="G2923" s="16" t="s">
        <v>373</v>
      </c>
      <c r="H2923" s="16" t="s">
        <v>220</v>
      </c>
      <c r="I2923" s="16" t="s">
        <v>220</v>
      </c>
    </row>
    <row r="2924" ht="242.25" customHeight="1">
      <c r="B2924" s="32" t="str">
        <f>IMAGE("https://gymvisual.com/24488-catalog_default/medicine-ball-throw-squat-with-wall.jpg",4,500,500)</f>
        <v/>
      </c>
      <c r="C2924" s="30">
        <v>2923.0</v>
      </c>
      <c r="D2924" s="16" t="s">
        <v>3700</v>
      </c>
      <c r="E2924" s="16" t="s">
        <v>184</v>
      </c>
      <c r="F2924" s="16" t="s">
        <v>228</v>
      </c>
      <c r="G2924" s="16" t="s">
        <v>373</v>
      </c>
      <c r="H2924" s="16" t="s">
        <v>220</v>
      </c>
      <c r="I2924" s="16" t="s">
        <v>220</v>
      </c>
    </row>
    <row r="2925" ht="242.25" customHeight="1">
      <c r="B2925" s="32" t="str">
        <f>IMAGE("https://gymvisual.com/23565-catalog_default/mid-air-lateral-raises-with-switching-palms.jpg",4,500,500)</f>
        <v/>
      </c>
      <c r="C2925" s="30">
        <v>2924.0</v>
      </c>
      <c r="D2925" s="16" t="s">
        <v>3701</v>
      </c>
      <c r="E2925" s="16" t="s">
        <v>184</v>
      </c>
      <c r="F2925" s="16" t="s">
        <v>228</v>
      </c>
      <c r="G2925" s="16" t="s">
        <v>255</v>
      </c>
      <c r="H2925" s="16" t="s">
        <v>544</v>
      </c>
      <c r="I2925" s="16" t="s">
        <v>545</v>
      </c>
    </row>
    <row r="2926" ht="242.25" customHeight="1">
      <c r="B2926" s="32" t="str">
        <f>IMAGE("https://gymvisual.com/1883-catalog_default/3-4-sit-up.jpg",4,500,500)</f>
        <v/>
      </c>
      <c r="C2926" s="30">
        <v>2925.0</v>
      </c>
      <c r="D2926" s="16" t="s">
        <v>3702</v>
      </c>
      <c r="E2926" s="16" t="s">
        <v>184</v>
      </c>
      <c r="F2926" s="16" t="s">
        <v>192</v>
      </c>
      <c r="G2926" s="16" t="s">
        <v>255</v>
      </c>
      <c r="H2926" s="16" t="s">
        <v>300</v>
      </c>
      <c r="I2926" s="16" t="s">
        <v>3703</v>
      </c>
    </row>
    <row r="2927" ht="242.25" customHeight="1">
      <c r="B2927" s="32" t="str">
        <f>IMAGE("https://gymvisual.com/6273-catalog_default/modified-push-up-to-forearms.jpg",4,500,500)</f>
        <v/>
      </c>
      <c r="C2927" s="30">
        <v>2926.0</v>
      </c>
      <c r="D2927" s="16" t="s">
        <v>3704</v>
      </c>
      <c r="E2927" s="16" t="s">
        <v>184</v>
      </c>
      <c r="F2927" s="16" t="s">
        <v>214</v>
      </c>
      <c r="G2927" s="16" t="s">
        <v>255</v>
      </c>
      <c r="H2927" s="16" t="s">
        <v>3705</v>
      </c>
      <c r="I2927" s="16" t="s">
        <v>804</v>
      </c>
    </row>
    <row r="2928" ht="242.25" customHeight="1">
      <c r="B2928" s="32" t="str">
        <f>IMAGE("https://gymvisual.com/1895-catalog_default/3-4-sit-up.jpg",4,500,500)</f>
        <v/>
      </c>
      <c r="C2928" s="30">
        <v>2927.0</v>
      </c>
      <c r="D2928" s="16" t="s">
        <v>3706</v>
      </c>
      <c r="E2928" s="16" t="s">
        <v>184</v>
      </c>
      <c r="F2928" s="16" t="s">
        <v>192</v>
      </c>
      <c r="G2928" s="16" t="s">
        <v>255</v>
      </c>
      <c r="H2928" s="16" t="s">
        <v>300</v>
      </c>
      <c r="I2928" s="16" t="s">
        <v>3707</v>
      </c>
    </row>
    <row r="2929" ht="242.25" customHeight="1">
      <c r="B2929" s="32" t="str">
        <f>IMAGE("https://gymvisual.com/6242-catalog_default/muscle-up-on-vertical-bar.jpg",4,500,500)</f>
        <v/>
      </c>
      <c r="C2929" s="30">
        <v>2928.0</v>
      </c>
      <c r="D2929" s="16" t="s">
        <v>3708</v>
      </c>
      <c r="E2929" s="16" t="s">
        <v>184</v>
      </c>
      <c r="F2929" s="16" t="s">
        <v>192</v>
      </c>
      <c r="G2929" s="16" t="s">
        <v>255</v>
      </c>
      <c r="H2929" s="16" t="s">
        <v>3709</v>
      </c>
      <c r="I2929" s="16" t="s">
        <v>220</v>
      </c>
    </row>
    <row r="2930" ht="242.25" customHeight="1">
      <c r="B2930" s="32" t="str">
        <f>IMAGE("https://gymvisual.com/21026-catalog_default/myotatic-crunch-on-bosu-ball.jpg",4,500,500)</f>
        <v/>
      </c>
      <c r="C2930" s="30">
        <v>2929.0</v>
      </c>
      <c r="D2930" s="16" t="s">
        <v>3710</v>
      </c>
      <c r="E2930" s="16" t="s">
        <v>184</v>
      </c>
      <c r="F2930" s="16" t="s">
        <v>254</v>
      </c>
      <c r="G2930" s="16" t="s">
        <v>316</v>
      </c>
      <c r="H2930" s="16" t="s">
        <v>256</v>
      </c>
      <c r="I2930" s="16" t="s">
        <v>257</v>
      </c>
    </row>
    <row r="2931" ht="242.25" customHeight="1">
      <c r="B2931" s="32" t="str">
        <f>IMAGE("https://gymvisual.com/1898-catalog_default/3-4-sit-up.jpg",4,500,500)</f>
        <v/>
      </c>
      <c r="C2931" s="30">
        <v>2930.0</v>
      </c>
      <c r="D2931" s="16" t="s">
        <v>3711</v>
      </c>
      <c r="E2931" s="16" t="s">
        <v>184</v>
      </c>
      <c r="F2931" s="16" t="s">
        <v>254</v>
      </c>
      <c r="G2931" s="16" t="s">
        <v>255</v>
      </c>
      <c r="H2931" s="16" t="s">
        <v>256</v>
      </c>
      <c r="I2931" s="16" t="s">
        <v>1316</v>
      </c>
    </row>
    <row r="2932" ht="242.25" customHeight="1">
      <c r="B2932" s="32" t="str">
        <f>IMAGE("https://gymvisual.com/10031-catalog_default/narrow-push-up-on-exercise-ball.jpg",4,500,500)</f>
        <v/>
      </c>
      <c r="C2932" s="30">
        <v>2931.0</v>
      </c>
      <c r="D2932" s="16" t="s">
        <v>3712</v>
      </c>
      <c r="E2932" s="16" t="s">
        <v>184</v>
      </c>
      <c r="F2932" s="16" t="s">
        <v>219</v>
      </c>
      <c r="G2932" s="16" t="s">
        <v>399</v>
      </c>
      <c r="H2932" s="16" t="s">
        <v>223</v>
      </c>
      <c r="I2932" s="16" t="s">
        <v>472</v>
      </c>
    </row>
    <row r="2933" ht="242.25" customHeight="1">
      <c r="B2933" s="32" t="str">
        <f>IMAGE("https://gymvisual.com/20706-catalog_default/narrow-seated-chin-up.jpg",4,500,500)</f>
        <v/>
      </c>
      <c r="C2933" s="30">
        <v>2932.0</v>
      </c>
      <c r="D2933" s="16" t="s">
        <v>3713</v>
      </c>
      <c r="E2933" s="16" t="s">
        <v>184</v>
      </c>
      <c r="F2933" s="16" t="s">
        <v>192</v>
      </c>
      <c r="G2933" s="16" t="s">
        <v>255</v>
      </c>
      <c r="H2933" s="16" t="s">
        <v>329</v>
      </c>
      <c r="I2933" s="16" t="s">
        <v>357</v>
      </c>
    </row>
    <row r="2934" ht="242.25" customHeight="1">
      <c r="B2934" s="32" t="str">
        <f>IMAGE("https://gymvisual.com/13747-catalog_default/narrow-squat-from-deficit.jpg",4,500,500)</f>
        <v/>
      </c>
      <c r="C2934" s="30">
        <v>2933.0</v>
      </c>
      <c r="D2934" s="16" t="s">
        <v>3714</v>
      </c>
      <c r="E2934" s="16" t="s">
        <v>184</v>
      </c>
      <c r="F2934" s="16" t="s">
        <v>294</v>
      </c>
      <c r="G2934" s="16" t="s">
        <v>255</v>
      </c>
      <c r="H2934" s="16" t="s">
        <v>189</v>
      </c>
      <c r="I2934" s="16" t="s">
        <v>190</v>
      </c>
    </row>
    <row r="2935" ht="242.25" customHeight="1">
      <c r="B2935" s="32" t="str">
        <f>IMAGE("https://gymvisual.com/22472-catalog_default/narrow-top-half-pull-up-female.jpg",4,500,500)</f>
        <v/>
      </c>
      <c r="C2935" s="30">
        <v>2934.0</v>
      </c>
      <c r="D2935" s="16" t="s">
        <v>3715</v>
      </c>
      <c r="E2935" s="16" t="s">
        <v>184</v>
      </c>
      <c r="F2935" s="16" t="s">
        <v>192</v>
      </c>
      <c r="G2935" s="16" t="s">
        <v>255</v>
      </c>
      <c r="H2935" s="16" t="s">
        <v>220</v>
      </c>
      <c r="I2935" s="16" t="s">
        <v>220</v>
      </c>
    </row>
    <row r="2936" ht="242.25" customHeight="1">
      <c r="B2936" s="32" t="str">
        <f>IMAGE("https://gymvisual.com/1901-catalog_default/3-4-sit-up.jpg",4,500,500)</f>
        <v/>
      </c>
      <c r="C2936" s="30">
        <v>2935.0</v>
      </c>
      <c r="D2936" s="16" t="s">
        <v>3716</v>
      </c>
      <c r="E2936" s="16" t="s">
        <v>184</v>
      </c>
      <c r="F2936" s="16" t="s">
        <v>351</v>
      </c>
      <c r="G2936" s="16" t="s">
        <v>255</v>
      </c>
      <c r="H2936" s="16" t="s">
        <v>3717</v>
      </c>
      <c r="I2936" s="16" t="s">
        <v>238</v>
      </c>
    </row>
    <row r="2937" ht="242.25" customHeight="1">
      <c r="B2937" s="32" t="str">
        <f>IMAGE("https://gymvisual.com/1904-catalog_default/3-4-sit-up.jpg",4,500,500)</f>
        <v/>
      </c>
      <c r="C2937" s="30">
        <v>2936.0</v>
      </c>
      <c r="D2937" s="16" t="s">
        <v>3718</v>
      </c>
      <c r="E2937" s="16" t="s">
        <v>184</v>
      </c>
      <c r="F2937" s="16" t="s">
        <v>254</v>
      </c>
      <c r="G2937" s="16" t="s">
        <v>255</v>
      </c>
      <c r="H2937" s="16" t="s">
        <v>256</v>
      </c>
      <c r="I2937" s="16" t="s">
        <v>257</v>
      </c>
    </row>
    <row r="2938" ht="242.25" customHeight="1">
      <c r="B2938" s="32" t="str">
        <f>IMAGE("https://gymvisual.com/22514-catalog_default/negative-dragon-flag.jpg",4,500,500)</f>
        <v/>
      </c>
      <c r="C2938" s="30">
        <v>2937.0</v>
      </c>
      <c r="D2938" s="16" t="s">
        <v>3719</v>
      </c>
      <c r="E2938" s="16" t="s">
        <v>184</v>
      </c>
      <c r="F2938" s="16" t="s">
        <v>254</v>
      </c>
      <c r="G2938" s="16" t="s">
        <v>255</v>
      </c>
      <c r="H2938" s="16" t="s">
        <v>305</v>
      </c>
      <c r="I2938" s="16" t="s">
        <v>600</v>
      </c>
    </row>
    <row r="2939" ht="242.25" customHeight="1">
      <c r="B2939" s="32" t="str">
        <f>IMAGE("https://gymvisual.com/20540-catalog_default/negative-dragon-flag-female.jpg",4,500,500)</f>
        <v/>
      </c>
      <c r="C2939" s="30">
        <v>2938.0</v>
      </c>
      <c r="D2939" s="16" t="s">
        <v>3720</v>
      </c>
      <c r="E2939" s="16" t="s">
        <v>184</v>
      </c>
      <c r="F2939" s="16" t="s">
        <v>254</v>
      </c>
      <c r="G2939" s="16" t="s">
        <v>255</v>
      </c>
      <c r="H2939" s="16" t="s">
        <v>3721</v>
      </c>
      <c r="I2939" s="16" t="s">
        <v>3722</v>
      </c>
    </row>
    <row r="2940" ht="242.25" customHeight="1">
      <c r="B2940" s="32" t="str">
        <f>IMAGE("https://gymvisual.com/24691-catalog_default/negative-push-up.jpg",4,500,500)</f>
        <v/>
      </c>
      <c r="C2940" s="30">
        <v>2939.0</v>
      </c>
      <c r="D2940" s="16" t="s">
        <v>3723</v>
      </c>
      <c r="E2940" s="16" t="s">
        <v>184</v>
      </c>
      <c r="F2940" s="16" t="s">
        <v>234</v>
      </c>
      <c r="G2940" s="16" t="s">
        <v>255</v>
      </c>
      <c r="H2940" s="16" t="s">
        <v>220</v>
      </c>
      <c r="I2940" s="16" t="s">
        <v>220</v>
      </c>
    </row>
    <row r="2941" ht="242.25" customHeight="1">
      <c r="B2941" s="32" t="str">
        <f>IMAGE("https://gymvisual.com/6719-catalog_default/oblique-crunch-version-2.jpg",4,500,500)</f>
        <v/>
      </c>
      <c r="C2941" s="30">
        <v>2940.0</v>
      </c>
      <c r="D2941" s="16" t="s">
        <v>3724</v>
      </c>
      <c r="E2941" s="16" t="s">
        <v>184</v>
      </c>
      <c r="F2941" s="16" t="s">
        <v>254</v>
      </c>
      <c r="G2941" s="16" t="s">
        <v>255</v>
      </c>
      <c r="H2941" s="16" t="s">
        <v>257</v>
      </c>
      <c r="I2941" s="16" t="s">
        <v>256</v>
      </c>
    </row>
    <row r="2942" ht="242.25" customHeight="1">
      <c r="B2942" s="32" t="str">
        <f>IMAGE("https://gymvisual.com/10954-catalog_default/oblique-crunch-version-2-female.jpg",4,500,500)</f>
        <v/>
      </c>
      <c r="C2942" s="30">
        <v>2941.0</v>
      </c>
      <c r="D2942" s="16" t="s">
        <v>3725</v>
      </c>
      <c r="E2942" s="16" t="s">
        <v>184</v>
      </c>
      <c r="F2942" s="16" t="s">
        <v>254</v>
      </c>
      <c r="G2942" s="16" t="s">
        <v>255</v>
      </c>
      <c r="H2942" s="16" t="s">
        <v>220</v>
      </c>
      <c r="I2942" s="16" t="s">
        <v>220</v>
      </c>
    </row>
    <row r="2943" ht="242.25" customHeight="1">
      <c r="B2943" s="32" t="str">
        <f>IMAGE("https://gymvisual.com/1907-catalog_default/3-4-sit-up.jpg",4,500,500)</f>
        <v/>
      </c>
      <c r="C2943" s="30">
        <v>2942.0</v>
      </c>
      <c r="D2943" s="16" t="s">
        <v>3726</v>
      </c>
      <c r="E2943" s="16" t="s">
        <v>184</v>
      </c>
      <c r="F2943" s="16" t="s">
        <v>254</v>
      </c>
      <c r="G2943" s="16" t="s">
        <v>255</v>
      </c>
      <c r="H2943" s="16" t="s">
        <v>257</v>
      </c>
      <c r="I2943" s="16" t="s">
        <v>256</v>
      </c>
    </row>
    <row r="2944" ht="242.25" customHeight="1">
      <c r="B2944" s="32" t="str">
        <f>IMAGE("https://gymvisual.com/13608-catalog_default/oblique-crunches-with-bent-knee-leg-lift.jpg",4,500,500)</f>
        <v/>
      </c>
      <c r="C2944" s="30">
        <v>2943.0</v>
      </c>
      <c r="D2944" s="16" t="s">
        <v>3727</v>
      </c>
      <c r="E2944" s="16" t="s">
        <v>184</v>
      </c>
      <c r="F2944" s="16" t="s">
        <v>254</v>
      </c>
      <c r="G2944" s="16" t="s">
        <v>255</v>
      </c>
      <c r="H2944" s="16" t="s">
        <v>3728</v>
      </c>
      <c r="I2944" s="16" t="s">
        <v>3729</v>
      </c>
    </row>
    <row r="2945" ht="242.25" customHeight="1">
      <c r="B2945" s="32" t="str">
        <f>IMAGE("https://gymvisual.com/13610-catalog_default/oblique-crunches-with-straight-leg-lift.jpg",4,500,500)</f>
        <v/>
      </c>
      <c r="C2945" s="30">
        <v>2944.0</v>
      </c>
      <c r="D2945" s="16" t="s">
        <v>3730</v>
      </c>
      <c r="E2945" s="16" t="s">
        <v>184</v>
      </c>
      <c r="F2945" s="16" t="s">
        <v>254</v>
      </c>
      <c r="G2945" s="16" t="s">
        <v>255</v>
      </c>
      <c r="H2945" s="16" t="s">
        <v>3731</v>
      </c>
      <c r="I2945" s="16" t="s">
        <v>256</v>
      </c>
    </row>
    <row r="2946" ht="242.25" customHeight="1">
      <c r="B2946" s="32" t="str">
        <f>IMAGE("https://gymvisual.com/14040-catalog_default/oblique-v-up-on-floor.jpg",4,500,500)</f>
        <v/>
      </c>
      <c r="C2946" s="30">
        <v>2945.0</v>
      </c>
      <c r="D2946" s="16" t="s">
        <v>3732</v>
      </c>
      <c r="E2946" s="16" t="s">
        <v>184</v>
      </c>
      <c r="F2946" s="16" t="s">
        <v>310</v>
      </c>
      <c r="G2946" s="16" t="s">
        <v>255</v>
      </c>
      <c r="H2946" s="16" t="s">
        <v>3733</v>
      </c>
      <c r="I2946" s="16" t="s">
        <v>3734</v>
      </c>
    </row>
    <row r="2947" ht="242.25" customHeight="1">
      <c r="A2947" s="32" t="b">
        <v>0</v>
      </c>
      <c r="B2947" s="32" t="str">
        <f>IMAGE("https://gymvisual.com/20477-catalog_default/old-school-reverse-extensions.jpg",4,500,500)</f>
        <v/>
      </c>
      <c r="C2947" s="30">
        <v>2946.0</v>
      </c>
      <c r="D2947" s="16" t="s">
        <v>3735</v>
      </c>
      <c r="E2947" s="16" t="s">
        <v>184</v>
      </c>
      <c r="F2947" s="16" t="s">
        <v>3736</v>
      </c>
      <c r="G2947" s="16" t="s">
        <v>186</v>
      </c>
      <c r="H2947" s="16" t="s">
        <v>3737</v>
      </c>
      <c r="I2947" s="16" t="s">
        <v>3738</v>
      </c>
    </row>
    <row r="2948" ht="242.25" customHeight="1">
      <c r="A2948" s="32" t="b">
        <v>0</v>
      </c>
      <c r="B2948" s="32" t="str">
        <f>IMAGE("https://gymvisual.com/20511-catalog_default/old-school-reverse-extensions-female.jpg",4,500,500)</f>
        <v/>
      </c>
      <c r="C2948" s="30">
        <v>2947.0</v>
      </c>
      <c r="D2948" s="16" t="s">
        <v>3739</v>
      </c>
      <c r="E2948" s="16" t="s">
        <v>184</v>
      </c>
      <c r="F2948" s="16" t="s">
        <v>3736</v>
      </c>
      <c r="G2948" s="16" t="s">
        <v>186</v>
      </c>
      <c r="H2948" s="16" t="s">
        <v>3737</v>
      </c>
      <c r="I2948" s="16" t="s">
        <v>3740</v>
      </c>
    </row>
    <row r="2949" ht="242.25" customHeight="1">
      <c r="B2949" s="32" t="str">
        <f>IMAGE("https://gymvisual.com/1910-catalog_default/3-4-sit-up.jpg",4,500,500)</f>
        <v/>
      </c>
      <c r="C2949" s="30">
        <v>2948.0</v>
      </c>
      <c r="D2949" s="16" t="s">
        <v>3741</v>
      </c>
      <c r="E2949" s="16" t="s">
        <v>184</v>
      </c>
      <c r="F2949" s="16" t="s">
        <v>214</v>
      </c>
      <c r="G2949" s="16" t="s">
        <v>3742</v>
      </c>
      <c r="H2949" s="16" t="s">
        <v>216</v>
      </c>
      <c r="I2949" s="16" t="s">
        <v>217</v>
      </c>
    </row>
    <row r="2950" ht="242.25" customHeight="1">
      <c r="B2950" s="32" t="str">
        <f>IMAGE("https://gymvisual.com/1913-catalog_default/3-4-sit-up.jpg",4,500,500)</f>
        <v/>
      </c>
      <c r="C2950" s="30">
        <v>2949.0</v>
      </c>
      <c r="D2950" s="16" t="s">
        <v>3743</v>
      </c>
      <c r="E2950" s="16" t="s">
        <v>184</v>
      </c>
      <c r="F2950" s="16" t="s">
        <v>219</v>
      </c>
      <c r="G2950" s="16" t="s">
        <v>3742</v>
      </c>
      <c r="H2950" s="16" t="s">
        <v>223</v>
      </c>
      <c r="I2950" s="16" t="s">
        <v>220</v>
      </c>
    </row>
    <row r="2951" ht="242.25" customHeight="1">
      <c r="B2951" s="32" t="str">
        <f>IMAGE("https://gymvisual.com/6046-catalog_default/one-arm-against-wall.jpg",4,500,500)</f>
        <v/>
      </c>
      <c r="C2951" s="30">
        <v>2950.0</v>
      </c>
      <c r="D2951" s="16" t="s">
        <v>3744</v>
      </c>
      <c r="E2951" s="16" t="s">
        <v>184</v>
      </c>
      <c r="F2951" s="16" t="s">
        <v>192</v>
      </c>
      <c r="G2951" s="16" t="s">
        <v>255</v>
      </c>
      <c r="H2951" s="16" t="s">
        <v>1934</v>
      </c>
      <c r="I2951" s="16" t="s">
        <v>220</v>
      </c>
    </row>
    <row r="2952" ht="242.25" customHeight="1">
      <c r="B2952" s="32" t="str">
        <f>IMAGE("https://gymvisual.com/1916-catalog_default/3-4-sit-up.jpg",4,500,500)</f>
        <v/>
      </c>
      <c r="C2952" s="30">
        <v>2951.0</v>
      </c>
      <c r="D2952" s="16" t="s">
        <v>3745</v>
      </c>
      <c r="E2952" s="16" t="s">
        <v>184</v>
      </c>
      <c r="F2952" s="16" t="s">
        <v>192</v>
      </c>
      <c r="G2952" s="16" t="s">
        <v>255</v>
      </c>
      <c r="H2952" s="16" t="s">
        <v>300</v>
      </c>
      <c r="I2952" s="16" t="s">
        <v>535</v>
      </c>
    </row>
    <row r="2953" ht="242.25" customHeight="1">
      <c r="B2953" s="32" t="str">
        <f>IMAGE("https://gymvisual.com/1919-catalog_default/3-4-sit-up.jpg",4,500,500)</f>
        <v/>
      </c>
      <c r="C2953" s="30">
        <v>2952.0</v>
      </c>
      <c r="D2953" s="16" t="s">
        <v>3746</v>
      </c>
      <c r="E2953" s="16" t="s">
        <v>184</v>
      </c>
      <c r="F2953" s="16" t="s">
        <v>219</v>
      </c>
      <c r="G2953" s="16" t="s">
        <v>255</v>
      </c>
      <c r="H2953" s="16" t="s">
        <v>223</v>
      </c>
      <c r="I2953" s="16" t="s">
        <v>3747</v>
      </c>
    </row>
    <row r="2954" ht="242.25" customHeight="1">
      <c r="B2954" s="32" t="str">
        <f>IMAGE("https://gymvisual.com/17389-catalog_default/one-arm-front-plank.jpg",4,500,500)</f>
        <v/>
      </c>
      <c r="C2954" s="30">
        <v>2953.0</v>
      </c>
      <c r="D2954" s="16" t="s">
        <v>3748</v>
      </c>
      <c r="E2954" s="16" t="s">
        <v>184</v>
      </c>
      <c r="F2954" s="16" t="s">
        <v>254</v>
      </c>
      <c r="G2954" s="16" t="s">
        <v>255</v>
      </c>
      <c r="H2954" s="16" t="s">
        <v>260</v>
      </c>
      <c r="I2954" s="16" t="s">
        <v>3749</v>
      </c>
    </row>
    <row r="2955" ht="242.25" customHeight="1">
      <c r="B2955" s="32" t="str">
        <f>IMAGE("https://gymvisual.com/1922-catalog_default/3-4-sit-up.jpg",4,500,500)</f>
        <v/>
      </c>
      <c r="C2955" s="30">
        <v>2954.0</v>
      </c>
      <c r="D2955" s="16" t="s">
        <v>3750</v>
      </c>
      <c r="E2955" s="16" t="s">
        <v>184</v>
      </c>
      <c r="F2955" s="16" t="s">
        <v>254</v>
      </c>
      <c r="G2955" s="16" t="s">
        <v>373</v>
      </c>
      <c r="H2955" s="16" t="s">
        <v>260</v>
      </c>
      <c r="I2955" s="16" t="s">
        <v>220</v>
      </c>
    </row>
    <row r="2956" ht="242.25" customHeight="1">
      <c r="B2956" s="32" t="str">
        <f>IMAGE("https://gymvisual.com/7613-catalog_default/one-arm-towel-row.jpg",4,500,500)</f>
        <v/>
      </c>
      <c r="C2956" s="30">
        <v>2955.0</v>
      </c>
      <c r="D2956" s="16" t="s">
        <v>3751</v>
      </c>
      <c r="E2956" s="16" t="s">
        <v>184</v>
      </c>
      <c r="F2956" s="16" t="s">
        <v>192</v>
      </c>
      <c r="G2956" s="16" t="s">
        <v>255</v>
      </c>
      <c r="H2956" s="16" t="s">
        <v>220</v>
      </c>
      <c r="I2956" s="16" t="s">
        <v>220</v>
      </c>
    </row>
    <row r="2957" ht="242.25" customHeight="1">
      <c r="A2957" s="32" t="b">
        <v>0</v>
      </c>
      <c r="B2957" s="32" t="str">
        <f>IMAGE("https://gymvisual.com/24717-catalog_default/one-arm-twisted-clean-and-press.jpg",4,500,500)</f>
        <v/>
      </c>
      <c r="C2957" s="30">
        <v>2956.0</v>
      </c>
      <c r="D2957" s="16" t="s">
        <v>3752</v>
      </c>
      <c r="E2957" s="16" t="s">
        <v>184</v>
      </c>
      <c r="F2957" s="16" t="s">
        <v>764</v>
      </c>
      <c r="G2957" s="16" t="s">
        <v>186</v>
      </c>
      <c r="H2957" s="16" t="s">
        <v>220</v>
      </c>
      <c r="I2957" s="16" t="s">
        <v>220</v>
      </c>
    </row>
    <row r="2958" ht="242.25" customHeight="1">
      <c r="B2958" s="32" t="str">
        <f>IMAGE("https://gymvisual.com/6048-catalog_default/one-handed-hang.jpg",4,500,500)</f>
        <v/>
      </c>
      <c r="C2958" s="30">
        <v>2957.0</v>
      </c>
      <c r="D2958" s="16" t="s">
        <v>3753</v>
      </c>
      <c r="E2958" s="16" t="s">
        <v>184</v>
      </c>
      <c r="F2958" s="16" t="s">
        <v>192</v>
      </c>
      <c r="G2958" s="16" t="s">
        <v>255</v>
      </c>
      <c r="H2958" s="16" t="s">
        <v>1934</v>
      </c>
      <c r="I2958" s="16" t="s">
        <v>220</v>
      </c>
    </row>
    <row r="2959" ht="242.25" customHeight="1">
      <c r="B2959" s="32" t="str">
        <f>IMAGE("https://gymvisual.com/6083-catalog_default/one-leg-donkey-calf-raise.jpg",4,500,500)</f>
        <v/>
      </c>
      <c r="C2959" s="30">
        <v>2958.0</v>
      </c>
      <c r="D2959" s="16" t="s">
        <v>3754</v>
      </c>
      <c r="E2959" s="16" t="s">
        <v>184</v>
      </c>
      <c r="F2959" s="16" t="s">
        <v>325</v>
      </c>
      <c r="G2959" s="16" t="s">
        <v>255</v>
      </c>
      <c r="H2959" s="16" t="s">
        <v>368</v>
      </c>
      <c r="I2959" s="16" t="s">
        <v>463</v>
      </c>
    </row>
    <row r="2960" ht="242.25" customHeight="1">
      <c r="B2960" s="32" t="str">
        <f>IMAGE("https://gymvisual.com/6084-catalog_default/one-leg-floor-calf-raise.jpg",4,500,500)</f>
        <v/>
      </c>
      <c r="C2960" s="30">
        <v>2959.0</v>
      </c>
      <c r="D2960" s="16" t="s">
        <v>3755</v>
      </c>
      <c r="E2960" s="16" t="s">
        <v>184</v>
      </c>
      <c r="F2960" s="16" t="s">
        <v>325</v>
      </c>
      <c r="G2960" s="16" t="s">
        <v>255</v>
      </c>
      <c r="H2960" s="16" t="s">
        <v>368</v>
      </c>
      <c r="I2960" s="16" t="s">
        <v>463</v>
      </c>
    </row>
    <row r="2961" ht="242.25" customHeight="1">
      <c r="B2961" s="32" t="str">
        <f>IMAGE("https://gymvisual.com/11405-catalog_default/one-leg-floor-calf-raise-female.jpg",4,500,500)</f>
        <v/>
      </c>
      <c r="C2961" s="30">
        <v>2960.0</v>
      </c>
      <c r="D2961" s="16" t="s">
        <v>3756</v>
      </c>
      <c r="E2961" s="16" t="s">
        <v>184</v>
      </c>
      <c r="F2961" s="16" t="s">
        <v>325</v>
      </c>
      <c r="G2961" s="16" t="s">
        <v>255</v>
      </c>
      <c r="H2961" s="16" t="s">
        <v>368</v>
      </c>
      <c r="I2961" s="16" t="s">
        <v>463</v>
      </c>
    </row>
    <row r="2962" ht="242.25" customHeight="1">
      <c r="B2962" s="32" t="str">
        <f>IMAGE("https://gymvisual.com/2960-catalog_default/one-leg-kickback-with-bench-support.jpg",4,500,500)</f>
        <v/>
      </c>
      <c r="C2962" s="30">
        <v>2961.0</v>
      </c>
      <c r="D2962" s="16" t="s">
        <v>3757</v>
      </c>
      <c r="E2962" s="16" t="s">
        <v>184</v>
      </c>
      <c r="F2962" s="16" t="s">
        <v>185</v>
      </c>
      <c r="G2962" s="16" t="s">
        <v>255</v>
      </c>
      <c r="H2962" s="16" t="s">
        <v>187</v>
      </c>
      <c r="I2962" s="16" t="s">
        <v>188</v>
      </c>
    </row>
    <row r="2963" ht="242.25" customHeight="1">
      <c r="B2963" s="32" t="str">
        <f>IMAGE("https://gymvisual.com/6825-catalog_default/one-leg-quarter-squat.jpg",4,500,500)</f>
        <v/>
      </c>
      <c r="C2963" s="30">
        <v>2962.0</v>
      </c>
      <c r="D2963" s="16" t="s">
        <v>3758</v>
      </c>
      <c r="E2963" s="16" t="s">
        <v>184</v>
      </c>
      <c r="F2963" s="16" t="s">
        <v>285</v>
      </c>
      <c r="G2963" s="16" t="s">
        <v>255</v>
      </c>
      <c r="H2963" s="16" t="s">
        <v>189</v>
      </c>
      <c r="I2963" s="16" t="s">
        <v>190</v>
      </c>
    </row>
    <row r="2964" ht="242.25" customHeight="1">
      <c r="B2964" s="32" t="str">
        <f>IMAGE("https://gymvisual.com/6419-catalog_default/one-leg-squat.jpg",4,500,500)</f>
        <v/>
      </c>
      <c r="C2964" s="30">
        <v>2963.0</v>
      </c>
      <c r="D2964" s="16" t="s">
        <v>3759</v>
      </c>
      <c r="E2964" s="16" t="s">
        <v>184</v>
      </c>
      <c r="F2964" s="16" t="s">
        <v>185</v>
      </c>
      <c r="G2964" s="16" t="s">
        <v>255</v>
      </c>
      <c r="H2964" s="16" t="s">
        <v>189</v>
      </c>
      <c r="I2964" s="16" t="s">
        <v>190</v>
      </c>
    </row>
    <row r="2965" ht="242.25" customHeight="1">
      <c r="B2965" s="32" t="str">
        <f>IMAGE("https://gymvisual.com/18718-catalog_default/one-side-archer-push-up.jpg",4,500,500)</f>
        <v/>
      </c>
      <c r="C2965" s="30">
        <v>2964.0</v>
      </c>
      <c r="D2965" s="16" t="s">
        <v>3760</v>
      </c>
      <c r="E2965" s="16" t="s">
        <v>184</v>
      </c>
      <c r="F2965" s="16" t="s">
        <v>234</v>
      </c>
      <c r="G2965" s="16" t="s">
        <v>255</v>
      </c>
      <c r="H2965" s="16" t="s">
        <v>235</v>
      </c>
      <c r="I2965" s="16" t="s">
        <v>3267</v>
      </c>
    </row>
    <row r="2966" ht="242.25" customHeight="1">
      <c r="B2966" s="32" t="str">
        <f>IMAGE("https://gymvisual.com/22827-catalog_default/opposite-crunch.jpg",4,500,500)</f>
        <v/>
      </c>
      <c r="C2966" s="30">
        <v>2965.0</v>
      </c>
      <c r="D2966" s="16" t="s">
        <v>3761</v>
      </c>
      <c r="E2966" s="16" t="s">
        <v>184</v>
      </c>
      <c r="F2966" s="16" t="s">
        <v>254</v>
      </c>
      <c r="G2966" s="16" t="s">
        <v>255</v>
      </c>
      <c r="H2966" s="16" t="s">
        <v>263</v>
      </c>
      <c r="I2966" s="16" t="s">
        <v>1306</v>
      </c>
    </row>
    <row r="2967" ht="242.25" customHeight="1">
      <c r="B2967" s="32" t="str">
        <f>IMAGE("https://gymvisual.com/1925-catalog_default/3-4-sit-up.jpg",4,500,500)</f>
        <v/>
      </c>
      <c r="C2967" s="30">
        <v>2966.0</v>
      </c>
      <c r="D2967" s="16" t="s">
        <v>3762</v>
      </c>
      <c r="E2967" s="16" t="s">
        <v>184</v>
      </c>
      <c r="F2967" s="16" t="s">
        <v>254</v>
      </c>
      <c r="G2967" s="16" t="s">
        <v>396</v>
      </c>
      <c r="H2967" s="16" t="s">
        <v>305</v>
      </c>
      <c r="I2967" s="16" t="s">
        <v>3763</v>
      </c>
    </row>
    <row r="2968" ht="242.25" customHeight="1">
      <c r="B2968" s="32" t="str">
        <f>IMAGE("https://gymvisual.com/17067-catalog_default/otis-up-female.jpg",4,500,500)</f>
        <v/>
      </c>
      <c r="C2968" s="30">
        <v>2967.0</v>
      </c>
      <c r="D2968" s="16" t="s">
        <v>3764</v>
      </c>
      <c r="E2968" s="16" t="s">
        <v>184</v>
      </c>
      <c r="F2968" s="16" t="s">
        <v>3765</v>
      </c>
      <c r="G2968" s="16" t="s">
        <v>396</v>
      </c>
      <c r="H2968" s="16" t="s">
        <v>3766</v>
      </c>
      <c r="I2968" s="16" t="s">
        <v>3767</v>
      </c>
    </row>
    <row r="2969" ht="242.25" customHeight="1">
      <c r="B2969" s="32" t="str">
        <f>IMAGE("https://gymvisual.com/1928-catalog_default/3-4-sit-up.jpg",4,500,500)</f>
        <v/>
      </c>
      <c r="C2969" s="30">
        <v>2968.0</v>
      </c>
      <c r="D2969" s="16" t="s">
        <v>3768</v>
      </c>
      <c r="E2969" s="16" t="s">
        <v>184</v>
      </c>
      <c r="F2969" s="16" t="s">
        <v>185</v>
      </c>
      <c r="G2969" s="16" t="s">
        <v>255</v>
      </c>
      <c r="H2969" s="16" t="s">
        <v>2364</v>
      </c>
      <c r="I2969" s="16" t="s">
        <v>3769</v>
      </c>
    </row>
    <row r="2970" ht="242.25" customHeight="1">
      <c r="B2970" s="32" t="str">
        <f>IMAGE("https://gymvisual.com/23647-catalog_default/overhead-clap-female.jpg",4,500,500)</f>
        <v/>
      </c>
      <c r="C2970" s="30">
        <v>2969.0</v>
      </c>
      <c r="D2970" s="16" t="s">
        <v>3770</v>
      </c>
      <c r="E2970" s="16" t="s">
        <v>184</v>
      </c>
      <c r="F2970" s="16" t="s">
        <v>228</v>
      </c>
      <c r="G2970" s="16" t="s">
        <v>255</v>
      </c>
      <c r="H2970" s="16" t="s">
        <v>454</v>
      </c>
      <c r="I2970" s="16" t="s">
        <v>389</v>
      </c>
    </row>
    <row r="2971" ht="242.25" customHeight="1">
      <c r="B2971" s="32" t="str">
        <f>IMAGE("https://gymvisual.com/16532-catalog_default/overhead-triceps-extension-with-bed-sheet.jpg",4,500,500)</f>
        <v/>
      </c>
      <c r="C2971" s="30">
        <v>2970.0</v>
      </c>
      <c r="D2971" s="16" t="s">
        <v>3771</v>
      </c>
      <c r="E2971" s="16" t="s">
        <v>184</v>
      </c>
      <c r="F2971" s="16" t="s">
        <v>219</v>
      </c>
      <c r="G2971" s="16" t="s">
        <v>255</v>
      </c>
      <c r="H2971" s="16" t="s">
        <v>223</v>
      </c>
      <c r="I2971" s="16" t="s">
        <v>220</v>
      </c>
    </row>
    <row r="2972" ht="242.25" customHeight="1">
      <c r="B2972" s="32" t="str">
        <f>IMAGE("https://gymvisual.com/23649-catalog_default/palm-up-palm-down-rotation-female.jpg",4,500,500)</f>
        <v/>
      </c>
      <c r="C2972" s="30">
        <v>2971.0</v>
      </c>
      <c r="D2972" s="16" t="s">
        <v>3772</v>
      </c>
      <c r="E2972" s="16" t="s">
        <v>184</v>
      </c>
      <c r="F2972" s="16" t="s">
        <v>228</v>
      </c>
      <c r="G2972" s="16" t="s">
        <v>255</v>
      </c>
      <c r="H2972" s="16" t="s">
        <v>3773</v>
      </c>
      <c r="I2972" s="16" t="s">
        <v>220</v>
      </c>
    </row>
    <row r="2973" ht="242.25" customHeight="1">
      <c r="B2973" s="32" t="str">
        <f>IMAGE("https://gymvisual.com/24123-catalog_default/palm-up-palm-down-rotation-male.jpg",4,500,500)</f>
        <v/>
      </c>
      <c r="C2973" s="30">
        <v>2972.0</v>
      </c>
      <c r="D2973" s="16" t="s">
        <v>3774</v>
      </c>
      <c r="E2973" s="16" t="s">
        <v>184</v>
      </c>
      <c r="F2973" s="16" t="s">
        <v>228</v>
      </c>
      <c r="G2973" s="16" t="s">
        <v>255</v>
      </c>
      <c r="H2973" s="16" t="s">
        <v>220</v>
      </c>
      <c r="I2973" s="16" t="s">
        <v>220</v>
      </c>
    </row>
    <row r="2974" ht="242.25" customHeight="1">
      <c r="B2974" s="32" t="str">
        <f>IMAGE("https://gymvisual.com/12553-catalog_default/pelvic-tilt.jpg",4,500,500)</f>
        <v/>
      </c>
      <c r="C2974" s="30">
        <v>2973.0</v>
      </c>
      <c r="D2974" s="16" t="s">
        <v>3775</v>
      </c>
      <c r="E2974" s="16" t="s">
        <v>184</v>
      </c>
      <c r="F2974" s="16" t="s">
        <v>254</v>
      </c>
      <c r="G2974" s="16" t="s">
        <v>255</v>
      </c>
      <c r="H2974" s="16" t="s">
        <v>2848</v>
      </c>
      <c r="I2974" s="16" t="s">
        <v>3776</v>
      </c>
    </row>
    <row r="2975" ht="242.25" customHeight="1">
      <c r="B2975" s="32" t="str">
        <f>IMAGE("https://gymvisual.com/12554-catalog_default/pelvic-tilt-female.jpg",4,500,500)</f>
        <v/>
      </c>
      <c r="C2975" s="30">
        <v>2974.0</v>
      </c>
      <c r="D2975" s="16" t="s">
        <v>3777</v>
      </c>
      <c r="E2975" s="16" t="s">
        <v>184</v>
      </c>
      <c r="F2975" s="16" t="s">
        <v>310</v>
      </c>
      <c r="G2975" s="16" t="s">
        <v>255</v>
      </c>
      <c r="H2975" s="16" t="s">
        <v>2848</v>
      </c>
      <c r="I2975" s="16" t="s">
        <v>3776</v>
      </c>
    </row>
    <row r="2976" ht="242.25" customHeight="1">
      <c r="B2976" s="32" t="str">
        <f>IMAGE("https://gymvisual.com/17152-catalog_default/pike-press-between-benches.jpg",4,500,500)</f>
        <v/>
      </c>
      <c r="C2976" s="30">
        <v>2975.0</v>
      </c>
      <c r="D2976" s="16" t="s">
        <v>3778</v>
      </c>
      <c r="E2976" s="16" t="s">
        <v>184</v>
      </c>
      <c r="F2976" s="16" t="s">
        <v>228</v>
      </c>
      <c r="G2976" s="16" t="s">
        <v>255</v>
      </c>
      <c r="H2976" s="16" t="s">
        <v>229</v>
      </c>
      <c r="I2976" s="16" t="s">
        <v>3779</v>
      </c>
    </row>
    <row r="2977" ht="242.25" customHeight="1">
      <c r="B2977" s="32" t="str">
        <f>IMAGE("https://gymvisual.com/12186-catalog_default/pike-push-up.jpg",4,500,500)</f>
        <v/>
      </c>
      <c r="C2977" s="30">
        <v>2976.0</v>
      </c>
      <c r="D2977" s="16" t="s">
        <v>3780</v>
      </c>
      <c r="E2977" s="16" t="s">
        <v>184</v>
      </c>
      <c r="F2977" s="16" t="s">
        <v>234</v>
      </c>
      <c r="G2977" s="16" t="s">
        <v>255</v>
      </c>
      <c r="H2977" s="16" t="s">
        <v>229</v>
      </c>
      <c r="I2977" s="16" t="s">
        <v>3781</v>
      </c>
    </row>
    <row r="2978" ht="242.25" customHeight="1">
      <c r="B2978" s="32" t="str">
        <f>IMAGE("https://gymvisual.com/13729-catalog_default/pike-push-up-on-bench-version-2.jpg",4,500,500)</f>
        <v/>
      </c>
      <c r="C2978" s="30">
        <v>2977.0</v>
      </c>
      <c r="D2978" s="16" t="s">
        <v>3782</v>
      </c>
      <c r="E2978" s="16" t="s">
        <v>184</v>
      </c>
      <c r="F2978" s="16" t="s">
        <v>234</v>
      </c>
      <c r="G2978" s="16" t="s">
        <v>255</v>
      </c>
      <c r="H2978" s="16" t="s">
        <v>235</v>
      </c>
      <c r="I2978" s="16" t="s">
        <v>3783</v>
      </c>
    </row>
    <row r="2979" ht="242.25" customHeight="1">
      <c r="B2979" s="32" t="str">
        <f>IMAGE("https://gymvisual.com/13765-catalog_default/pike-push-up-between-benches.jpg",4,500,500)</f>
        <v/>
      </c>
      <c r="C2979" s="30">
        <v>2978.0</v>
      </c>
      <c r="D2979" s="16" t="s">
        <v>3784</v>
      </c>
      <c r="E2979" s="16" t="s">
        <v>184</v>
      </c>
      <c r="F2979" s="16" t="s">
        <v>228</v>
      </c>
      <c r="G2979" s="16" t="s">
        <v>255</v>
      </c>
      <c r="H2979" s="16" t="s">
        <v>229</v>
      </c>
      <c r="I2979" s="16" t="s">
        <v>3785</v>
      </c>
    </row>
    <row r="2980" ht="242.25" customHeight="1">
      <c r="B2980" s="32" t="str">
        <f>IMAGE("https://gymvisual.com/13767-catalog_default/pike-push-up-between-chairs.jpg",4,500,500)</f>
        <v/>
      </c>
      <c r="C2980" s="30">
        <v>2979.0</v>
      </c>
      <c r="D2980" s="16" t="s">
        <v>3786</v>
      </c>
      <c r="E2980" s="16" t="s">
        <v>184</v>
      </c>
      <c r="F2980" s="16" t="s">
        <v>228</v>
      </c>
      <c r="G2980" s="16" t="s">
        <v>255</v>
      </c>
      <c r="H2980" s="16" t="s">
        <v>229</v>
      </c>
      <c r="I2980" s="16" t="s">
        <v>3787</v>
      </c>
    </row>
    <row r="2981" ht="242.25" customHeight="1">
      <c r="B2981" s="32" t="str">
        <f>IMAGE("https://gymvisual.com/22631-catalog_default/pike-push-up-female.jpg",4,500,500)</f>
        <v/>
      </c>
      <c r="C2981" s="30">
        <v>2980.0</v>
      </c>
      <c r="D2981" s="16" t="s">
        <v>3788</v>
      </c>
      <c r="E2981" s="16" t="s">
        <v>184</v>
      </c>
      <c r="F2981" s="16" t="s">
        <v>234</v>
      </c>
      <c r="G2981" s="16" t="s">
        <v>255</v>
      </c>
      <c r="H2981" s="16" t="s">
        <v>472</v>
      </c>
      <c r="I2981" s="16" t="s">
        <v>3789</v>
      </c>
    </row>
    <row r="2982" ht="242.25" customHeight="1">
      <c r="B2982" s="32" t="str">
        <f>IMAGE("https://gymvisual.com/11988-catalog_default/pike-push-up-on-bench.jpg",4,500,500)</f>
        <v/>
      </c>
      <c r="C2982" s="30">
        <v>2981.0</v>
      </c>
      <c r="D2982" s="16" t="s">
        <v>3790</v>
      </c>
      <c r="E2982" s="16" t="s">
        <v>184</v>
      </c>
      <c r="F2982" s="16" t="s">
        <v>234</v>
      </c>
      <c r="G2982" s="16" t="s">
        <v>255</v>
      </c>
      <c r="H2982" s="16" t="s">
        <v>220</v>
      </c>
      <c r="I2982" s="16" t="s">
        <v>220</v>
      </c>
    </row>
    <row r="2983" ht="242.25" customHeight="1">
      <c r="B2983" s="32" t="str">
        <f>IMAGE("https://gymvisual.com/11989-catalog_default/pike-push-up-on-bench-female.jpg",4,500,500)</f>
        <v/>
      </c>
      <c r="C2983" s="30">
        <v>2982.0</v>
      </c>
      <c r="D2983" s="16" t="s">
        <v>3791</v>
      </c>
      <c r="E2983" s="16" t="s">
        <v>184</v>
      </c>
      <c r="F2983" s="16" t="s">
        <v>234</v>
      </c>
      <c r="G2983" s="16" t="s">
        <v>255</v>
      </c>
      <c r="H2983" s="16" t="s">
        <v>220</v>
      </c>
      <c r="I2983" s="16" t="s">
        <v>220</v>
      </c>
    </row>
    <row r="2984" ht="242.25" customHeight="1">
      <c r="B2984" s="32" t="str">
        <f>IMAGE("https://gymvisual.com/13309-catalog_default/pistol-squat-to-box.jpg",4,500,500)</f>
        <v/>
      </c>
      <c r="C2984" s="30">
        <v>2983.0</v>
      </c>
      <c r="D2984" s="16" t="s">
        <v>3792</v>
      </c>
      <c r="E2984" s="16" t="s">
        <v>184</v>
      </c>
      <c r="F2984" s="16" t="s">
        <v>285</v>
      </c>
      <c r="G2984" s="16" t="s">
        <v>255</v>
      </c>
      <c r="H2984" s="16" t="s">
        <v>220</v>
      </c>
      <c r="I2984" s="16" t="s">
        <v>220</v>
      </c>
    </row>
    <row r="2985" ht="242.25" customHeight="1">
      <c r="B2985" s="32" t="str">
        <f>IMAGE("https://gymvisual.com/13311-catalog_default/pistol-squat-to-box-female.jpg",4,500,500)</f>
        <v/>
      </c>
      <c r="C2985" s="30">
        <v>2984.0</v>
      </c>
      <c r="D2985" s="16" t="s">
        <v>3793</v>
      </c>
      <c r="E2985" s="16" t="s">
        <v>184</v>
      </c>
      <c r="F2985" s="16" t="s">
        <v>285</v>
      </c>
      <c r="G2985" s="16" t="s">
        <v>255</v>
      </c>
      <c r="H2985" s="16" t="s">
        <v>220</v>
      </c>
      <c r="I2985" s="16" t="s">
        <v>220</v>
      </c>
    </row>
    <row r="2986" ht="242.25" customHeight="1">
      <c r="B2986" s="32" t="str">
        <f>IMAGE("https://gymvisual.com/10227-catalog_default/plank-butt-wrong-right.jpg",4,500,500)</f>
        <v/>
      </c>
      <c r="C2986" s="30">
        <v>2985.0</v>
      </c>
      <c r="D2986" s="16" t="s">
        <v>3794</v>
      </c>
      <c r="E2986" s="16" t="s">
        <v>184</v>
      </c>
      <c r="F2986" s="16" t="s">
        <v>254</v>
      </c>
      <c r="G2986" s="16" t="s">
        <v>255</v>
      </c>
      <c r="H2986" s="16" t="s">
        <v>220</v>
      </c>
      <c r="I2986" s="16" t="s">
        <v>220</v>
      </c>
    </row>
    <row r="2987" ht="242.25" customHeight="1">
      <c r="B2987" s="32" t="str">
        <f>IMAGE("https://gymvisual.com/6456-catalog_default/plank-arm-lifts.jpg",4,500,500)</f>
        <v/>
      </c>
      <c r="C2987" s="30">
        <v>2986.0</v>
      </c>
      <c r="D2987" s="16" t="s">
        <v>3795</v>
      </c>
      <c r="E2987" s="16" t="s">
        <v>184</v>
      </c>
      <c r="F2987" s="16" t="s">
        <v>192</v>
      </c>
      <c r="G2987" s="16" t="s">
        <v>255</v>
      </c>
      <c r="H2987" s="16" t="s">
        <v>256</v>
      </c>
      <c r="I2987" s="16" t="s">
        <v>300</v>
      </c>
    </row>
    <row r="2988" ht="242.25" customHeight="1">
      <c r="B2988" s="32" t="str">
        <f>IMAGE("https://gymvisual.com/24665-catalog_default/plank-jack-female.jpg",4,500,500)</f>
        <v/>
      </c>
      <c r="C2988" s="30">
        <v>2987.0</v>
      </c>
      <c r="D2988" s="16" t="s">
        <v>3796</v>
      </c>
      <c r="E2988" s="16" t="s">
        <v>184</v>
      </c>
      <c r="F2988" s="16" t="s">
        <v>254</v>
      </c>
      <c r="G2988" s="16" t="s">
        <v>255</v>
      </c>
      <c r="H2988" s="16" t="s">
        <v>220</v>
      </c>
      <c r="I2988" s="16" t="s">
        <v>220</v>
      </c>
    </row>
    <row r="2989" ht="242.25" customHeight="1">
      <c r="B2989" s="32" t="str">
        <f>IMAGE("https://gymvisual.com/23575-catalog_default/plank-jack-male.jpg",4,500,500)</f>
        <v/>
      </c>
      <c r="C2989" s="30">
        <v>2988.0</v>
      </c>
      <c r="D2989" s="16" t="s">
        <v>3797</v>
      </c>
      <c r="E2989" s="16" t="s">
        <v>184</v>
      </c>
      <c r="F2989" s="16" t="s">
        <v>254</v>
      </c>
      <c r="G2989" s="16" t="s">
        <v>255</v>
      </c>
      <c r="H2989" s="16" t="s">
        <v>3798</v>
      </c>
      <c r="I2989" s="16" t="s">
        <v>3799</v>
      </c>
    </row>
    <row r="2990" ht="242.25" customHeight="1">
      <c r="B2990" s="32" t="str">
        <f>IMAGE("https://gymvisual.com/23925-catalog_default/plank-jack-slide-with-towel.jpg",4,500,500)</f>
        <v/>
      </c>
      <c r="C2990" s="30">
        <v>2989.0</v>
      </c>
      <c r="D2990" s="16" t="s">
        <v>3800</v>
      </c>
      <c r="E2990" s="16" t="s">
        <v>184</v>
      </c>
      <c r="F2990" s="16" t="s">
        <v>254</v>
      </c>
      <c r="G2990" s="16" t="s">
        <v>255</v>
      </c>
      <c r="H2990" s="16" t="s">
        <v>2845</v>
      </c>
      <c r="I2990" s="16" t="s">
        <v>3801</v>
      </c>
    </row>
    <row r="2991" ht="242.25" customHeight="1">
      <c r="B2991" s="32" t="str">
        <f>IMAGE("https://gymvisual.com/26072-catalog_default/plank-lateral-raise.jpg",4,500,500)</f>
        <v/>
      </c>
      <c r="C2991" s="30">
        <v>2990.0</v>
      </c>
      <c r="D2991" s="16" t="s">
        <v>3802</v>
      </c>
      <c r="E2991" s="16" t="s">
        <v>184</v>
      </c>
      <c r="F2991" s="16" t="s">
        <v>254</v>
      </c>
      <c r="G2991" s="16" t="s">
        <v>255</v>
      </c>
      <c r="H2991" s="16" t="s">
        <v>220</v>
      </c>
      <c r="I2991" s="16" t="s">
        <v>220</v>
      </c>
    </row>
    <row r="2992" ht="242.25" customHeight="1">
      <c r="B2992" s="32" t="str">
        <f>IMAGE("https://gymvisual.com/23927-catalog_default/plank-on-hands.jpg",4,500,500)</f>
        <v/>
      </c>
      <c r="C2992" s="30">
        <v>2991.0</v>
      </c>
      <c r="D2992" s="16" t="s">
        <v>3803</v>
      </c>
      <c r="E2992" s="16" t="s">
        <v>184</v>
      </c>
      <c r="F2992" s="16" t="s">
        <v>254</v>
      </c>
      <c r="G2992" s="16" t="s">
        <v>255</v>
      </c>
      <c r="H2992" s="16" t="s">
        <v>256</v>
      </c>
      <c r="I2992" s="16" t="s">
        <v>3801</v>
      </c>
    </row>
    <row r="2993" ht="242.25" customHeight="1">
      <c r="B2993" s="32" t="str">
        <f>IMAGE("https://gymvisual.com/4605-catalog_default/plate-hyperextension.jpg",4,500,500)</f>
        <v/>
      </c>
      <c r="C2993" s="30">
        <v>2992.0</v>
      </c>
      <c r="D2993" s="16" t="s">
        <v>3804</v>
      </c>
      <c r="E2993" s="16" t="s">
        <v>184</v>
      </c>
      <c r="F2993" s="16" t="s">
        <v>185</v>
      </c>
      <c r="G2993" s="16" t="s">
        <v>396</v>
      </c>
      <c r="H2993" s="16" t="s">
        <v>275</v>
      </c>
      <c r="I2993" s="16" t="s">
        <v>2412</v>
      </c>
    </row>
    <row r="2994" ht="242.25" customHeight="1">
      <c r="B2994" s="32" t="str">
        <f>IMAGE("https://gymvisual.com/2955-catalog_default/plate-pinch.jpg",4,500,500)</f>
        <v/>
      </c>
      <c r="C2994" s="30">
        <v>2993.0</v>
      </c>
      <c r="D2994" s="16" t="s">
        <v>3805</v>
      </c>
      <c r="E2994" s="16" t="s">
        <v>184</v>
      </c>
      <c r="F2994" s="16" t="s">
        <v>214</v>
      </c>
      <c r="G2994" s="16" t="s">
        <v>396</v>
      </c>
      <c r="H2994" s="16" t="s">
        <v>604</v>
      </c>
      <c r="I2994" s="16" t="s">
        <v>3806</v>
      </c>
    </row>
    <row r="2995" ht="242.25" customHeight="1">
      <c r="B2995" s="32" t="str">
        <f>IMAGE("https://gymvisual.com/5995-catalog_default/plyo-push-up.jpg",4,500,500)</f>
        <v/>
      </c>
      <c r="C2995" s="30">
        <v>2994.0</v>
      </c>
      <c r="D2995" s="16" t="s">
        <v>3807</v>
      </c>
      <c r="E2995" s="16" t="s">
        <v>184</v>
      </c>
      <c r="F2995" s="16" t="s">
        <v>234</v>
      </c>
      <c r="G2995" s="16" t="s">
        <v>255</v>
      </c>
      <c r="H2995" s="16" t="s">
        <v>347</v>
      </c>
      <c r="I2995" s="16" t="s">
        <v>3808</v>
      </c>
    </row>
    <row r="2996" ht="242.25" customHeight="1">
      <c r="B2996" s="32" t="str">
        <f>IMAGE("https://gymvisual.com/1943-catalog_default/3-4-sit-up.jpg",4,500,500)</f>
        <v/>
      </c>
      <c r="C2996" s="30">
        <v>2995.0</v>
      </c>
      <c r="D2996" s="16" t="s">
        <v>3809</v>
      </c>
      <c r="E2996" s="16" t="s">
        <v>184</v>
      </c>
      <c r="F2996" s="16" t="s">
        <v>285</v>
      </c>
      <c r="G2996" s="16" t="s">
        <v>255</v>
      </c>
      <c r="H2996" s="16" t="s">
        <v>3810</v>
      </c>
      <c r="I2996" s="16" t="s">
        <v>1115</v>
      </c>
    </row>
    <row r="2997" ht="242.25" customHeight="1">
      <c r="B2997" s="32" t="str">
        <f>IMAGE("https://gymvisual.com/23911-catalog_default/posterior-neck-isometric.jpg",4,500,500)</f>
        <v/>
      </c>
      <c r="C2997" s="30">
        <v>2996.0</v>
      </c>
      <c r="D2997" s="16" t="s">
        <v>3811</v>
      </c>
      <c r="E2997" s="16" t="s">
        <v>184</v>
      </c>
      <c r="F2997" s="16" t="s">
        <v>351</v>
      </c>
      <c r="G2997" s="16" t="s">
        <v>255</v>
      </c>
      <c r="H2997" s="16" t="s">
        <v>3717</v>
      </c>
      <c r="I2997" s="16" t="s">
        <v>220</v>
      </c>
    </row>
    <row r="2998" ht="242.25" customHeight="1">
      <c r="B2998" s="32" t="str">
        <f>IMAGE("https://gymvisual.com/12492-catalog_default/potty-squat.jpg",4,500,500)</f>
        <v/>
      </c>
      <c r="C2998" s="30">
        <v>2997.0</v>
      </c>
      <c r="D2998" s="16" t="s">
        <v>3812</v>
      </c>
      <c r="E2998" s="16" t="s">
        <v>184</v>
      </c>
      <c r="F2998" s="16" t="s">
        <v>254</v>
      </c>
      <c r="G2998" s="16" t="s">
        <v>255</v>
      </c>
      <c r="H2998" s="16" t="s">
        <v>256</v>
      </c>
      <c r="I2998" s="16" t="s">
        <v>257</v>
      </c>
    </row>
    <row r="2999" ht="242.25" customHeight="1">
      <c r="B2999" s="32" t="str">
        <f>IMAGE("https://gymvisual.com/12489-catalog_default/potty-squat-female.jpg",4,500,500)</f>
        <v/>
      </c>
      <c r="C2999" s="30">
        <v>2998.0</v>
      </c>
      <c r="D2999" s="16" t="s">
        <v>3813</v>
      </c>
      <c r="E2999" s="16" t="s">
        <v>184</v>
      </c>
      <c r="F2999" s="16" t="s">
        <v>254</v>
      </c>
      <c r="G2999" s="16" t="s">
        <v>255</v>
      </c>
      <c r="H2999" s="16" t="s">
        <v>256</v>
      </c>
      <c r="I2999" s="16" t="s">
        <v>257</v>
      </c>
    </row>
    <row r="3000" ht="242.25" customHeight="1">
      <c r="B3000" s="32" t="str">
        <f>IMAGE("https://gymvisual.com/12527-catalog_default/potty-squat-with-support.jpg",4,500,500)</f>
        <v/>
      </c>
      <c r="C3000" s="30">
        <v>2999.0</v>
      </c>
      <c r="D3000" s="16" t="s">
        <v>3814</v>
      </c>
      <c r="E3000" s="16" t="s">
        <v>184</v>
      </c>
      <c r="F3000" s="16" t="s">
        <v>185</v>
      </c>
      <c r="G3000" s="16" t="s">
        <v>255</v>
      </c>
      <c r="H3000" s="16" t="s">
        <v>189</v>
      </c>
      <c r="I3000" s="16" t="s">
        <v>190</v>
      </c>
    </row>
    <row r="3001" ht="242.25" customHeight="1">
      <c r="B3001" s="32" t="str">
        <f>IMAGE("https://gymvisual.com/12526-catalog_default/potty-squat-with-support-female.jpg",4,500,500)</f>
        <v/>
      </c>
      <c r="C3001" s="30">
        <v>3000.0</v>
      </c>
      <c r="D3001" s="16" t="s">
        <v>3815</v>
      </c>
      <c r="E3001" s="16" t="s">
        <v>184</v>
      </c>
      <c r="F3001" s="16" t="s">
        <v>185</v>
      </c>
      <c r="G3001" s="16" t="s">
        <v>255</v>
      </c>
      <c r="H3001" s="16" t="s">
        <v>189</v>
      </c>
      <c r="I3001" s="16" t="s">
        <v>190</v>
      </c>
    </row>
    <row r="3002" ht="242.25" customHeight="1">
      <c r="A3002" s="32" t="b">
        <v>0</v>
      </c>
      <c r="B3002" s="32" t="str">
        <f>IMAGE("https://gymvisual.com/20636-catalog_default/3-4-sit-up.jpg",4,500,500)</f>
        <v/>
      </c>
      <c r="C3002" s="30">
        <v>3001.0</v>
      </c>
      <c r="D3002" s="16" t="s">
        <v>3816</v>
      </c>
      <c r="E3002" s="16" t="s">
        <v>184</v>
      </c>
      <c r="F3002" s="16" t="s">
        <v>285</v>
      </c>
      <c r="G3002" s="16" t="s">
        <v>186</v>
      </c>
      <c r="H3002" s="16" t="s">
        <v>795</v>
      </c>
      <c r="I3002" s="16" t="s">
        <v>220</v>
      </c>
    </row>
    <row r="3003" ht="242.25" customHeight="1">
      <c r="B3003" s="32" t="str">
        <f>IMAGE("https://gymvisual.com/14450-catalog_default/power-point-plank.jpg",4,500,500)</f>
        <v/>
      </c>
      <c r="C3003" s="30">
        <v>3002.0</v>
      </c>
      <c r="D3003" s="16" t="s">
        <v>3817</v>
      </c>
      <c r="E3003" s="16" t="s">
        <v>184</v>
      </c>
      <c r="F3003" s="16" t="s">
        <v>285</v>
      </c>
      <c r="G3003" s="16" t="s">
        <v>255</v>
      </c>
      <c r="H3003" s="16" t="s">
        <v>3818</v>
      </c>
      <c r="I3003" s="16" t="s">
        <v>220</v>
      </c>
    </row>
    <row r="3004" ht="242.25" customHeight="1">
      <c r="B3004" s="32" t="str">
        <f>IMAGE("https://gymvisual.com/14137-catalog_default/power-push-aways.jpg",4,500,500)</f>
        <v/>
      </c>
      <c r="C3004" s="30">
        <v>3003.0</v>
      </c>
      <c r="D3004" s="16" t="s">
        <v>3819</v>
      </c>
      <c r="E3004" s="16" t="s">
        <v>184</v>
      </c>
      <c r="F3004" s="16" t="s">
        <v>1888</v>
      </c>
      <c r="G3004" s="16" t="s">
        <v>255</v>
      </c>
      <c r="H3004" s="16" t="s">
        <v>3820</v>
      </c>
      <c r="I3004" s="16" t="s">
        <v>3821</v>
      </c>
    </row>
    <row r="3005" ht="242.25" customHeight="1">
      <c r="B3005" s="32" t="str">
        <f>IMAGE("https://gymvisual.com/12169-catalog_default/power-sled-backward-push.jpg",4,500,500)</f>
        <v/>
      </c>
      <c r="C3005" s="30">
        <v>3004.0</v>
      </c>
      <c r="D3005" s="16" t="s">
        <v>3822</v>
      </c>
      <c r="E3005" s="16" t="s">
        <v>184</v>
      </c>
      <c r="F3005" s="16" t="s">
        <v>285</v>
      </c>
      <c r="G3005" s="16" t="s">
        <v>3823</v>
      </c>
      <c r="H3005" s="16" t="s">
        <v>220</v>
      </c>
      <c r="I3005" s="16" t="s">
        <v>220</v>
      </c>
    </row>
    <row r="3006" ht="242.25" customHeight="1">
      <c r="B3006" s="32" t="str">
        <f>IMAGE("https://gymvisual.com/12163-catalog_default/power-sled-biceps-curl.jpg",4,500,500)</f>
        <v/>
      </c>
      <c r="C3006" s="30">
        <v>3005.0</v>
      </c>
      <c r="D3006" s="16" t="s">
        <v>3824</v>
      </c>
      <c r="E3006" s="16" t="s">
        <v>184</v>
      </c>
      <c r="F3006" s="16" t="s">
        <v>219</v>
      </c>
      <c r="G3006" s="16" t="s">
        <v>3823</v>
      </c>
      <c r="H3006" s="16" t="s">
        <v>220</v>
      </c>
      <c r="I3006" s="16" t="s">
        <v>220</v>
      </c>
    </row>
    <row r="3007" ht="242.25" customHeight="1">
      <c r="B3007" s="32" t="str">
        <f>IMAGE("https://gymvisual.com/24675-catalog_default/power-sled-drag.jpg",4,500,500)</f>
        <v/>
      </c>
      <c r="C3007" s="30">
        <v>3006.0</v>
      </c>
      <c r="D3007" s="16" t="s">
        <v>3825</v>
      </c>
      <c r="E3007" s="16" t="s">
        <v>184</v>
      </c>
      <c r="F3007" s="16" t="s">
        <v>764</v>
      </c>
      <c r="G3007" s="16" t="s">
        <v>3823</v>
      </c>
      <c r="H3007" s="16" t="s">
        <v>220</v>
      </c>
      <c r="I3007" s="16" t="s">
        <v>220</v>
      </c>
    </row>
    <row r="3008" ht="242.25" customHeight="1">
      <c r="B3008" s="32" t="str">
        <f>IMAGE("https://gymvisual.com/12171-catalog_default/power-sled-high-pull.jpg",4,500,500)</f>
        <v/>
      </c>
      <c r="C3008" s="30">
        <v>3007.0</v>
      </c>
      <c r="D3008" s="16" t="s">
        <v>3826</v>
      </c>
      <c r="E3008" s="16" t="s">
        <v>184</v>
      </c>
      <c r="F3008" s="16" t="s">
        <v>228</v>
      </c>
      <c r="G3008" s="16" t="s">
        <v>3823</v>
      </c>
      <c r="H3008" s="16" t="s">
        <v>220</v>
      </c>
      <c r="I3008" s="16" t="s">
        <v>220</v>
      </c>
    </row>
    <row r="3009" ht="242.25" customHeight="1">
      <c r="B3009" s="32" t="str">
        <f>IMAGE("https://gymvisual.com/11248-catalog_default/power-sled-pull-row-female.jpg",4,500,500)</f>
        <v/>
      </c>
      <c r="C3009" s="30">
        <v>3008.0</v>
      </c>
      <c r="D3009" s="16" t="s">
        <v>3827</v>
      </c>
      <c r="E3009" s="16" t="s">
        <v>184</v>
      </c>
      <c r="F3009" s="16" t="s">
        <v>484</v>
      </c>
      <c r="G3009" s="16" t="s">
        <v>3823</v>
      </c>
      <c r="H3009" s="16" t="s">
        <v>220</v>
      </c>
      <c r="I3009" s="16" t="s">
        <v>220</v>
      </c>
    </row>
    <row r="3010" ht="242.25" customHeight="1">
      <c r="B3010" s="32" t="str">
        <f>IMAGE("https://gymvisual.com/10677-catalog_default/power-sled-push-female.jpg",4,500,500)</f>
        <v/>
      </c>
      <c r="C3010" s="30">
        <v>3009.0</v>
      </c>
      <c r="D3010" s="16" t="s">
        <v>3828</v>
      </c>
      <c r="E3010" s="16" t="s">
        <v>184</v>
      </c>
      <c r="F3010" s="16" t="s">
        <v>285</v>
      </c>
      <c r="G3010" s="16" t="s">
        <v>3823</v>
      </c>
      <c r="H3010" s="16" t="s">
        <v>3829</v>
      </c>
      <c r="I3010" s="16" t="s">
        <v>220</v>
      </c>
    </row>
    <row r="3011" ht="242.25" customHeight="1">
      <c r="B3011" s="32" t="str">
        <f>IMAGE("https://gymvisual.com/12166-catalog_default/power-sled-rear-batwing.jpg",4,500,500)</f>
        <v/>
      </c>
      <c r="C3011" s="30">
        <v>3010.0</v>
      </c>
      <c r="D3011" s="16" t="s">
        <v>3830</v>
      </c>
      <c r="E3011" s="16" t="s">
        <v>184</v>
      </c>
      <c r="F3011" s="16" t="s">
        <v>285</v>
      </c>
      <c r="G3011" s="16" t="s">
        <v>3823</v>
      </c>
      <c r="H3011" s="16" t="s">
        <v>220</v>
      </c>
      <c r="I3011" s="16" t="s">
        <v>220</v>
      </c>
    </row>
    <row r="3012" ht="242.25" customHeight="1">
      <c r="B3012" s="32" t="str">
        <f>IMAGE("https://gymvisual.com/12168-catalog_default/power-sled-rear-drag.jpg",4,500,500)</f>
        <v/>
      </c>
      <c r="C3012" s="30">
        <v>3011.0</v>
      </c>
      <c r="D3012" s="16" t="s">
        <v>3831</v>
      </c>
      <c r="E3012" s="16" t="s">
        <v>184</v>
      </c>
      <c r="F3012" s="16" t="s">
        <v>285</v>
      </c>
      <c r="G3012" s="16" t="s">
        <v>3823</v>
      </c>
      <c r="H3012" s="16" t="s">
        <v>220</v>
      </c>
      <c r="I3012" s="16" t="s">
        <v>220</v>
      </c>
    </row>
    <row r="3013" ht="242.25" customHeight="1">
      <c r="B3013" s="32" t="str">
        <f>IMAGE("https://gymvisual.com/12167-catalog_default/power-sled-rear-fly.jpg",4,500,500)</f>
        <v/>
      </c>
      <c r="C3013" s="30">
        <v>3012.0</v>
      </c>
      <c r="D3013" s="16" t="s">
        <v>3832</v>
      </c>
      <c r="E3013" s="16" t="s">
        <v>184</v>
      </c>
      <c r="F3013" s="16" t="s">
        <v>228</v>
      </c>
      <c r="G3013" s="16" t="s">
        <v>3823</v>
      </c>
      <c r="H3013" s="16" t="s">
        <v>220</v>
      </c>
      <c r="I3013" s="16" t="s">
        <v>220</v>
      </c>
    </row>
    <row r="3014" ht="242.25" customHeight="1">
      <c r="B3014" s="32" t="str">
        <f>IMAGE("https://gymvisual.com/11984-catalog_default/power-sled-rear-lunge.jpg",4,500,500)</f>
        <v/>
      </c>
      <c r="C3014" s="30">
        <v>3013.0</v>
      </c>
      <c r="D3014" s="16" t="s">
        <v>3833</v>
      </c>
      <c r="E3014" s="16" t="s">
        <v>184</v>
      </c>
      <c r="F3014" s="16" t="s">
        <v>285</v>
      </c>
      <c r="G3014" s="16" t="s">
        <v>3823</v>
      </c>
      <c r="H3014" s="16" t="s">
        <v>220</v>
      </c>
      <c r="I3014" s="16" t="s">
        <v>220</v>
      </c>
    </row>
    <row r="3015" ht="242.25" customHeight="1">
      <c r="B3015" s="32" t="str">
        <f>IMAGE("https://gymvisual.com/12165-catalog_default/power-sled-rear-lunge.jpg",4,500,500)</f>
        <v/>
      </c>
      <c r="C3015" s="30">
        <v>3014.0</v>
      </c>
      <c r="D3015" s="16" t="s">
        <v>3833</v>
      </c>
      <c r="E3015" s="16" t="s">
        <v>184</v>
      </c>
      <c r="F3015" s="16" t="s">
        <v>185</v>
      </c>
      <c r="G3015" s="16" t="s">
        <v>3823</v>
      </c>
      <c r="H3015" s="16" t="s">
        <v>220</v>
      </c>
      <c r="I3015" s="16" t="s">
        <v>220</v>
      </c>
    </row>
    <row r="3016" ht="242.25" customHeight="1">
      <c r="B3016" s="32" t="str">
        <f>IMAGE("https://gymvisual.com/11983-catalog_default/power-sled-rear-lunge-female.jpg",4,500,500)</f>
        <v/>
      </c>
      <c r="C3016" s="30">
        <v>3015.0</v>
      </c>
      <c r="D3016" s="16" t="s">
        <v>3834</v>
      </c>
      <c r="E3016" s="16" t="s">
        <v>184</v>
      </c>
      <c r="F3016" s="16" t="s">
        <v>285</v>
      </c>
      <c r="G3016" s="16" t="s">
        <v>3823</v>
      </c>
      <c r="H3016" s="16" t="s">
        <v>220</v>
      </c>
      <c r="I3016" s="16" t="s">
        <v>220</v>
      </c>
    </row>
    <row r="3017" ht="242.25" customHeight="1">
      <c r="B3017" s="32" t="str">
        <f>IMAGE("https://gymvisual.com/12164-catalog_default/power-sled-rear-lunge-row.jpg",4,500,500)</f>
        <v/>
      </c>
      <c r="C3017" s="30">
        <v>3016.0</v>
      </c>
      <c r="D3017" s="16" t="s">
        <v>3835</v>
      </c>
      <c r="E3017" s="16" t="s">
        <v>184</v>
      </c>
      <c r="F3017" s="16" t="s">
        <v>192</v>
      </c>
      <c r="G3017" s="16" t="s">
        <v>3823</v>
      </c>
      <c r="H3017" s="16" t="s">
        <v>220</v>
      </c>
      <c r="I3017" s="16" t="s">
        <v>220</v>
      </c>
    </row>
    <row r="3018" ht="242.25" customHeight="1">
      <c r="B3018" s="32" t="str">
        <f>IMAGE("https://gymvisual.com/17939-catalog_default/power-sled-triceps-extension-male.jpg",4,500,500)</f>
        <v/>
      </c>
      <c r="C3018" s="30">
        <v>3017.0</v>
      </c>
      <c r="D3018" s="16" t="s">
        <v>3836</v>
      </c>
      <c r="E3018" s="16" t="s">
        <v>184</v>
      </c>
      <c r="F3018" s="16" t="s">
        <v>219</v>
      </c>
      <c r="G3018" s="16" t="s">
        <v>3823</v>
      </c>
      <c r="H3018" s="16" t="s">
        <v>220</v>
      </c>
      <c r="I3018" s="16" t="s">
        <v>220</v>
      </c>
    </row>
    <row r="3019" ht="242.25" customHeight="1">
      <c r="B3019" s="32" t="str">
        <f>IMAGE("https://gymvisual.com/23677-catalog_default/prayer-push-female.jpg",4,500,500)</f>
        <v/>
      </c>
      <c r="C3019" s="30">
        <v>3018.0</v>
      </c>
      <c r="D3019" s="16" t="s">
        <v>3837</v>
      </c>
      <c r="E3019" s="16" t="s">
        <v>184</v>
      </c>
      <c r="F3019" s="16" t="s">
        <v>228</v>
      </c>
      <c r="G3019" s="16" t="s">
        <v>255</v>
      </c>
      <c r="H3019" s="16" t="s">
        <v>454</v>
      </c>
      <c r="I3019" s="16" t="s">
        <v>3448</v>
      </c>
    </row>
    <row r="3020" ht="242.25" customHeight="1">
      <c r="B3020" s="32" t="str">
        <f>IMAGE("https://gymvisual.com/10196-catalog_default/preacher-curl-wrists-wrong-right.jpg",4,500,500)</f>
        <v/>
      </c>
      <c r="C3020" s="30">
        <v>3019.0</v>
      </c>
      <c r="D3020" s="16" t="s">
        <v>3838</v>
      </c>
      <c r="E3020" s="16" t="s">
        <v>184</v>
      </c>
      <c r="F3020" s="16" t="s">
        <v>219</v>
      </c>
      <c r="G3020" s="16" t="s">
        <v>2745</v>
      </c>
      <c r="H3020" s="16" t="s">
        <v>220</v>
      </c>
      <c r="I3020" s="16" t="s">
        <v>220</v>
      </c>
    </row>
    <row r="3021" ht="242.25" customHeight="1">
      <c r="B3021" s="32" t="str">
        <f>IMAGE("https://gymvisual.com/24055-catalog_default/press-under.jpg",4,500,500)</f>
        <v/>
      </c>
      <c r="C3021" s="30">
        <v>3020.0</v>
      </c>
      <c r="D3021" s="16" t="s">
        <v>3839</v>
      </c>
      <c r="E3021" s="16" t="s">
        <v>184</v>
      </c>
      <c r="F3021" s="16" t="s">
        <v>764</v>
      </c>
      <c r="G3021" s="16" t="s">
        <v>255</v>
      </c>
      <c r="H3021" s="16" t="s">
        <v>220</v>
      </c>
      <c r="I3021" s="16" t="s">
        <v>220</v>
      </c>
    </row>
    <row r="3022" ht="242.25" customHeight="1">
      <c r="B3022" s="32" t="str">
        <f>IMAGE("https://gymvisual.com/19445-catalog_default/prisoner-get-up.jpg",4,500,500)</f>
        <v/>
      </c>
      <c r="C3022" s="30">
        <v>3021.0</v>
      </c>
      <c r="D3022" s="16" t="s">
        <v>3840</v>
      </c>
      <c r="E3022" s="16" t="s">
        <v>184</v>
      </c>
      <c r="F3022" s="16" t="s">
        <v>285</v>
      </c>
      <c r="G3022" s="16" t="s">
        <v>255</v>
      </c>
      <c r="H3022" s="16" t="s">
        <v>220</v>
      </c>
      <c r="I3022" s="16" t="s">
        <v>220</v>
      </c>
    </row>
    <row r="3023" ht="242.25" customHeight="1">
      <c r="B3023" s="32" t="str">
        <f>IMAGE("https://gymvisual.com/12881-catalog_default/prisoner-half-sit-up-male.jpg",4,500,500)</f>
        <v/>
      </c>
      <c r="C3023" s="30">
        <v>3022.0</v>
      </c>
      <c r="D3023" s="16" t="s">
        <v>3841</v>
      </c>
      <c r="E3023" s="16" t="s">
        <v>184</v>
      </c>
      <c r="F3023" s="16" t="s">
        <v>254</v>
      </c>
      <c r="G3023" s="16" t="s">
        <v>255</v>
      </c>
      <c r="H3023" s="16" t="s">
        <v>305</v>
      </c>
      <c r="I3023" s="16" t="s">
        <v>3842</v>
      </c>
    </row>
    <row r="3024" ht="242.25" customHeight="1">
      <c r="B3024" s="32" t="str">
        <f>IMAGE("https://gymvisual.com/6827-catalog_default/prisoner-squat.jpg",4,500,500)</f>
        <v/>
      </c>
      <c r="C3024" s="30">
        <v>3023.0</v>
      </c>
      <c r="D3024" s="16" t="s">
        <v>3843</v>
      </c>
      <c r="E3024" s="16" t="s">
        <v>184</v>
      </c>
      <c r="F3024" s="16" t="s">
        <v>285</v>
      </c>
      <c r="G3024" s="16" t="s">
        <v>255</v>
      </c>
      <c r="H3024" s="16" t="s">
        <v>220</v>
      </c>
      <c r="I3024" s="16" t="s">
        <v>220</v>
      </c>
    </row>
    <row r="3025" ht="242.25" customHeight="1">
      <c r="B3025" s="32" t="str">
        <f>IMAGE("https://gymvisual.com/24089-catalog_default/prone-cervical-extension.jpg",4,500,500)</f>
        <v/>
      </c>
      <c r="C3025" s="30">
        <v>3024.0</v>
      </c>
      <c r="D3025" s="16" t="s">
        <v>3844</v>
      </c>
      <c r="E3025" s="16" t="s">
        <v>184</v>
      </c>
      <c r="F3025" s="16" t="s">
        <v>351</v>
      </c>
      <c r="G3025" s="16" t="s">
        <v>255</v>
      </c>
      <c r="H3025" s="16" t="s">
        <v>220</v>
      </c>
      <c r="I3025" s="16" t="s">
        <v>220</v>
      </c>
    </row>
    <row r="3026" ht="242.25" customHeight="1">
      <c r="B3026" s="32" t="str">
        <f>IMAGE("https://gymvisual.com/24091-catalog_default/prone-cervical-extension-isometric-hold.jpg",4,500,500)</f>
        <v/>
      </c>
      <c r="C3026" s="30">
        <v>3025.0</v>
      </c>
      <c r="D3026" s="16" t="s">
        <v>3845</v>
      </c>
      <c r="E3026" s="16" t="s">
        <v>184</v>
      </c>
      <c r="F3026" s="16" t="s">
        <v>351</v>
      </c>
      <c r="G3026" s="16" t="s">
        <v>255</v>
      </c>
      <c r="H3026" s="16" t="s">
        <v>220</v>
      </c>
      <c r="I3026" s="16" t="s">
        <v>220</v>
      </c>
    </row>
    <row r="3027" ht="242.25" customHeight="1">
      <c r="B3027" s="32" t="str">
        <f>IMAGE("https://gymvisual.com/12205-catalog_default/prone-single-arm-trap-raise.jpg",4,500,500)</f>
        <v/>
      </c>
      <c r="C3027" s="30">
        <v>3026.0</v>
      </c>
      <c r="D3027" s="16" t="s">
        <v>3846</v>
      </c>
      <c r="E3027" s="16" t="s">
        <v>184</v>
      </c>
      <c r="F3027" s="16" t="s">
        <v>192</v>
      </c>
      <c r="G3027" s="16" t="s">
        <v>255</v>
      </c>
      <c r="H3027" s="16" t="s">
        <v>220</v>
      </c>
      <c r="I3027" s="16" t="s">
        <v>220</v>
      </c>
    </row>
    <row r="3028" ht="242.25" customHeight="1">
      <c r="B3028" s="32" t="str">
        <f>IMAGE("https://gymvisual.com/7373-catalog_default/prone-twist-on-stability-ball.jpg",4,500,500)</f>
        <v/>
      </c>
      <c r="C3028" s="30">
        <v>3027.0</v>
      </c>
      <c r="D3028" s="16" t="s">
        <v>3847</v>
      </c>
      <c r="E3028" s="16" t="s">
        <v>184</v>
      </c>
      <c r="F3028" s="16" t="s">
        <v>254</v>
      </c>
      <c r="G3028" s="16" t="s">
        <v>399</v>
      </c>
      <c r="H3028" s="16" t="s">
        <v>220</v>
      </c>
      <c r="I3028" s="16" t="s">
        <v>220</v>
      </c>
    </row>
    <row r="3029" ht="242.25" customHeight="1">
      <c r="B3029" s="32" t="str">
        <f>IMAGE("https://gymvisual.com/25671-catalog_default/prone-y-raise-male.jpg",4,500,500)</f>
        <v/>
      </c>
      <c r="C3029" s="30">
        <v>3028.0</v>
      </c>
      <c r="D3029" s="16" t="s">
        <v>3848</v>
      </c>
      <c r="E3029" s="16" t="s">
        <v>184</v>
      </c>
      <c r="F3029" s="16" t="s">
        <v>192</v>
      </c>
      <c r="G3029" s="16" t="s">
        <v>255</v>
      </c>
      <c r="H3029" s="16" t="s">
        <v>220</v>
      </c>
      <c r="I3029" s="16" t="s">
        <v>220</v>
      </c>
    </row>
    <row r="3030" ht="242.25" customHeight="1">
      <c r="B3030" s="32" t="str">
        <f>IMAGE("https://gymvisual.com/22710-catalog_default/pseudo-planche-push-up.jpg",4,500,500)</f>
        <v/>
      </c>
      <c r="C3030" s="30">
        <v>3029.0</v>
      </c>
      <c r="D3030" s="16" t="s">
        <v>3849</v>
      </c>
      <c r="E3030" s="16" t="s">
        <v>184</v>
      </c>
      <c r="F3030" s="16" t="s">
        <v>234</v>
      </c>
      <c r="G3030" s="16" t="s">
        <v>255</v>
      </c>
      <c r="H3030" s="16" t="s">
        <v>3850</v>
      </c>
      <c r="I3030" s="16" t="s">
        <v>3851</v>
      </c>
    </row>
    <row r="3031" ht="242.25" customHeight="1">
      <c r="B3031" s="32" t="str">
        <f>IMAGE("https://gymvisual.com/1953-catalog_default/3-4-sit-up.jpg",4,500,500)</f>
        <v/>
      </c>
      <c r="C3031" s="30">
        <v>3030.0</v>
      </c>
      <c r="D3031" s="16" t="s">
        <v>3852</v>
      </c>
      <c r="E3031" s="16" t="s">
        <v>184</v>
      </c>
      <c r="F3031" s="16" t="s">
        <v>192</v>
      </c>
      <c r="G3031" s="16" t="s">
        <v>255</v>
      </c>
      <c r="H3031" s="16" t="s">
        <v>300</v>
      </c>
      <c r="I3031" s="16" t="s">
        <v>3853</v>
      </c>
    </row>
    <row r="3032" ht="242.25" customHeight="1">
      <c r="B3032" s="32" t="str">
        <f>IMAGE("https://gymvisual.com/1950-catalog_default/3-4-sit-up.jpg",4,500,500)</f>
        <v/>
      </c>
      <c r="C3032" s="30">
        <v>3031.0</v>
      </c>
      <c r="D3032" s="16" t="s">
        <v>3854</v>
      </c>
      <c r="E3032" s="16" t="s">
        <v>184</v>
      </c>
      <c r="F3032" s="16" t="s">
        <v>254</v>
      </c>
      <c r="G3032" s="16" t="s">
        <v>399</v>
      </c>
      <c r="H3032" s="16" t="s">
        <v>305</v>
      </c>
      <c r="I3032" s="16" t="s">
        <v>3855</v>
      </c>
    </row>
    <row r="3033" ht="242.25" customHeight="1">
      <c r="B3033" s="32" t="str">
        <f>IMAGE("https://gymvisual.com/1956-catalog_default/3-4-sit-up.jpg",4,500,500)</f>
        <v/>
      </c>
      <c r="C3033" s="30">
        <v>3032.0</v>
      </c>
      <c r="D3033" s="16" t="s">
        <v>3856</v>
      </c>
      <c r="E3033" s="16" t="s">
        <v>184</v>
      </c>
      <c r="F3033" s="16" t="s">
        <v>192</v>
      </c>
      <c r="G3033" s="16" t="s">
        <v>255</v>
      </c>
      <c r="H3033" s="16" t="s">
        <v>300</v>
      </c>
      <c r="I3033" s="16" t="s">
        <v>387</v>
      </c>
    </row>
    <row r="3034" ht="242.25" customHeight="1">
      <c r="B3034" s="32" t="str">
        <f>IMAGE("https://gymvisual.com/22289-catalog_default/pull-up-negative-female.jpg",4,500,500)</f>
        <v/>
      </c>
      <c r="C3034" s="30">
        <v>3033.0</v>
      </c>
      <c r="D3034" s="16" t="s">
        <v>3857</v>
      </c>
      <c r="E3034" s="16" t="s">
        <v>184</v>
      </c>
      <c r="F3034" s="16" t="s">
        <v>192</v>
      </c>
      <c r="G3034" s="16" t="s">
        <v>255</v>
      </c>
      <c r="H3034" s="16" t="s">
        <v>220</v>
      </c>
      <c r="I3034" s="16" t="s">
        <v>220</v>
      </c>
    </row>
    <row r="3035" ht="242.25" customHeight="1">
      <c r="B3035" s="32" t="str">
        <f>IMAGE("https://gymvisual.com/13990-catalog_default/pull-up-with-bent-knee-between-chairs.jpg",4,500,500)</f>
        <v/>
      </c>
      <c r="C3035" s="30">
        <v>3034.0</v>
      </c>
      <c r="D3035" s="16" t="s">
        <v>3858</v>
      </c>
      <c r="E3035" s="16" t="s">
        <v>184</v>
      </c>
      <c r="F3035" s="16" t="s">
        <v>192</v>
      </c>
      <c r="G3035" s="16" t="s">
        <v>255</v>
      </c>
      <c r="H3035" s="16" t="s">
        <v>300</v>
      </c>
      <c r="I3035" s="16" t="s">
        <v>445</v>
      </c>
    </row>
    <row r="3036" ht="242.25" customHeight="1">
      <c r="B3036" s="32" t="str">
        <f>IMAGE("https://gymvisual.com/12188-catalog_default/pulse-row-female.jpg",4,500,500)</f>
        <v/>
      </c>
      <c r="C3036" s="30">
        <v>3035.0</v>
      </c>
      <c r="D3036" s="16" t="s">
        <v>3859</v>
      </c>
      <c r="E3036" s="16" t="s">
        <v>184</v>
      </c>
      <c r="F3036" s="16" t="s">
        <v>192</v>
      </c>
      <c r="G3036" s="16" t="s">
        <v>255</v>
      </c>
      <c r="H3036" s="16" t="s">
        <v>570</v>
      </c>
      <c r="I3036" s="16" t="s">
        <v>447</v>
      </c>
    </row>
    <row r="3037" ht="242.25" customHeight="1">
      <c r="B3037" s="32" t="str">
        <f>IMAGE("https://gymvisual.com/22576-catalog_default/pulse-row-male.jpg",4,500,500)</f>
        <v/>
      </c>
      <c r="C3037" s="30">
        <v>3036.0</v>
      </c>
      <c r="D3037" s="16" t="s">
        <v>3860</v>
      </c>
      <c r="E3037" s="16" t="s">
        <v>184</v>
      </c>
      <c r="F3037" s="16" t="s">
        <v>192</v>
      </c>
      <c r="G3037" s="16" t="s">
        <v>255</v>
      </c>
      <c r="H3037" s="16" t="s">
        <v>731</v>
      </c>
      <c r="I3037" s="16" t="s">
        <v>408</v>
      </c>
    </row>
    <row r="3038" ht="242.25" customHeight="1">
      <c r="B3038" s="32" t="str">
        <f>IMAGE("https://gymvisual.com/13936-catalog_default/pulse-up.jpg",4,500,500)</f>
        <v/>
      </c>
      <c r="C3038" s="30">
        <v>3037.0</v>
      </c>
      <c r="D3038" s="16" t="s">
        <v>3861</v>
      </c>
      <c r="E3038" s="16" t="s">
        <v>184</v>
      </c>
      <c r="F3038" s="16" t="s">
        <v>254</v>
      </c>
      <c r="G3038" s="16" t="s">
        <v>255</v>
      </c>
      <c r="H3038" s="16" t="s">
        <v>256</v>
      </c>
      <c r="I3038" s="16" t="s">
        <v>3862</v>
      </c>
    </row>
    <row r="3039" ht="242.25" customHeight="1">
      <c r="A3039" s="32" t="b">
        <v>0</v>
      </c>
      <c r="B3039" s="32" t="str">
        <f>IMAGE("https://gymvisual.com/4568-catalog_default/push-press.jpg",4,500,500)</f>
        <v/>
      </c>
      <c r="C3039" s="30">
        <v>3038.0</v>
      </c>
      <c r="D3039" s="16" t="s">
        <v>3863</v>
      </c>
      <c r="E3039" s="16" t="s">
        <v>184</v>
      </c>
      <c r="F3039" s="16" t="s">
        <v>228</v>
      </c>
      <c r="G3039" s="16" t="s">
        <v>186</v>
      </c>
      <c r="H3039" s="16" t="s">
        <v>3864</v>
      </c>
      <c r="I3039" s="16" t="s">
        <v>220</v>
      </c>
    </row>
    <row r="3040" ht="242.25" customHeight="1">
      <c r="B3040" s="32" t="str">
        <f>IMAGE("https://gymvisual.com/11534-catalog_default/push-up-on-stability-ball-female.jpg",4,500,500)</f>
        <v/>
      </c>
      <c r="C3040" s="30">
        <v>3039.0</v>
      </c>
      <c r="D3040" s="16" t="s">
        <v>3865</v>
      </c>
      <c r="E3040" s="16" t="s">
        <v>184</v>
      </c>
      <c r="F3040" s="16" t="s">
        <v>234</v>
      </c>
      <c r="G3040" s="16" t="s">
        <v>399</v>
      </c>
      <c r="H3040" s="16" t="s">
        <v>220</v>
      </c>
      <c r="I3040" s="16" t="s">
        <v>220</v>
      </c>
    </row>
    <row r="3041" ht="242.25" customHeight="1">
      <c r="B3041" s="32" t="str">
        <f>IMAGE("https://gymvisual.com/5996-catalog_default/push-up-on-bosu-ball.jpg",4,500,500)</f>
        <v/>
      </c>
      <c r="C3041" s="30">
        <v>3040.0</v>
      </c>
      <c r="D3041" s="16" t="s">
        <v>3866</v>
      </c>
      <c r="E3041" s="16" t="s">
        <v>184</v>
      </c>
      <c r="F3041" s="16" t="s">
        <v>234</v>
      </c>
      <c r="G3041" s="16" t="s">
        <v>316</v>
      </c>
      <c r="H3041" s="16" t="s">
        <v>347</v>
      </c>
      <c r="I3041" s="16" t="s">
        <v>3020</v>
      </c>
    </row>
    <row r="3042" ht="242.25" customHeight="1">
      <c r="B3042" s="32" t="str">
        <f>IMAGE("https://gymvisual.com/18740-catalog_default/push-with-chair.jpg",4,500,500)</f>
        <v/>
      </c>
      <c r="C3042" s="30">
        <v>3041.0</v>
      </c>
      <c r="D3042" s="16" t="s">
        <v>3867</v>
      </c>
      <c r="E3042" s="16" t="s">
        <v>184</v>
      </c>
      <c r="F3042" s="16" t="s">
        <v>234</v>
      </c>
      <c r="G3042" s="16" t="s">
        <v>255</v>
      </c>
      <c r="H3042" s="16" t="s">
        <v>220</v>
      </c>
      <c r="I3042" s="16" t="s">
        <v>220</v>
      </c>
    </row>
    <row r="3043" ht="242.25" customHeight="1">
      <c r="B3043" s="32" t="str">
        <f>IMAGE("https://gymvisual.com/10080-catalog_default/3-4-sit-up.jpg",4,500,500)</f>
        <v/>
      </c>
      <c r="C3043" s="30">
        <v>3042.0</v>
      </c>
      <c r="D3043" s="16" t="s">
        <v>3868</v>
      </c>
      <c r="E3043" s="16" t="s">
        <v>184</v>
      </c>
      <c r="F3043" s="16" t="s">
        <v>234</v>
      </c>
      <c r="G3043" s="16" t="s">
        <v>255</v>
      </c>
      <c r="H3043" s="16" t="s">
        <v>347</v>
      </c>
      <c r="I3043" s="16" t="s">
        <v>382</v>
      </c>
    </row>
    <row r="3044" ht="242.25" customHeight="1">
      <c r="B3044" s="32" t="str">
        <f>IMAGE("https://gymvisual.com/1995-catalog_default/3-4-sit-up.jpg",4,500,500)</f>
        <v/>
      </c>
      <c r="C3044" s="30">
        <v>3043.0</v>
      </c>
      <c r="D3044" s="16" t="s">
        <v>3868</v>
      </c>
      <c r="E3044" s="16" t="s">
        <v>184</v>
      </c>
      <c r="F3044" s="16" t="s">
        <v>234</v>
      </c>
      <c r="G3044" s="16" t="s">
        <v>255</v>
      </c>
      <c r="H3044" s="16" t="s">
        <v>347</v>
      </c>
      <c r="I3044" s="16" t="s">
        <v>382</v>
      </c>
    </row>
    <row r="3045" ht="242.25" customHeight="1">
      <c r="B3045" s="32" t="str">
        <f>IMAGE("https://gymvisual.com/20755-catalog_default/3-4-sit-up.jpg",4,500,500)</f>
        <v/>
      </c>
      <c r="C3045" s="30">
        <v>3044.0</v>
      </c>
      <c r="D3045" s="16" t="s">
        <v>3869</v>
      </c>
      <c r="E3045" s="16" t="s">
        <v>184</v>
      </c>
      <c r="F3045" s="16" t="s">
        <v>234</v>
      </c>
      <c r="G3045" s="16" t="s">
        <v>316</v>
      </c>
      <c r="H3045" s="16" t="s">
        <v>347</v>
      </c>
      <c r="I3045" s="16" t="s">
        <v>382</v>
      </c>
    </row>
    <row r="3046" ht="242.25" customHeight="1">
      <c r="B3046" s="32" t="str">
        <f>IMAGE("https://gymvisual.com/4446-catalog_default/push-up-on-knees.jpg",4,500,500)</f>
        <v/>
      </c>
      <c r="C3046" s="30">
        <v>3045.0</v>
      </c>
      <c r="D3046" s="16" t="s">
        <v>3870</v>
      </c>
      <c r="E3046" s="16" t="s">
        <v>184</v>
      </c>
      <c r="F3046" s="16" t="s">
        <v>234</v>
      </c>
      <c r="G3046" s="16" t="s">
        <v>255</v>
      </c>
      <c r="H3046" s="16" t="s">
        <v>347</v>
      </c>
      <c r="I3046" s="16" t="s">
        <v>382</v>
      </c>
    </row>
    <row r="3047" ht="242.25" customHeight="1">
      <c r="B3047" s="32" t="str">
        <f>IMAGE("https://gymvisual.com/1965-catalog_default/3-4-sit-up.jpg",4,500,500)</f>
        <v/>
      </c>
      <c r="C3047" s="30">
        <v>3046.0</v>
      </c>
      <c r="D3047" s="16" t="s">
        <v>3871</v>
      </c>
      <c r="E3047" s="16" t="s">
        <v>184</v>
      </c>
      <c r="F3047" s="16" t="s">
        <v>234</v>
      </c>
      <c r="G3047" s="16" t="s">
        <v>399</v>
      </c>
      <c r="H3047" s="16" t="s">
        <v>347</v>
      </c>
      <c r="I3047" s="16" t="s">
        <v>382</v>
      </c>
    </row>
    <row r="3048" ht="242.25" customHeight="1">
      <c r="B3048" s="32" t="str">
        <f>IMAGE("https://gymvisual.com/1968-catalog_default/3-4-sit-up.jpg",4,500,500)</f>
        <v/>
      </c>
      <c r="C3048" s="30">
        <v>3047.0</v>
      </c>
      <c r="D3048" s="16" t="s">
        <v>3872</v>
      </c>
      <c r="E3048" s="16" t="s">
        <v>184</v>
      </c>
      <c r="F3048" s="16" t="s">
        <v>234</v>
      </c>
      <c r="G3048" s="16" t="s">
        <v>399</v>
      </c>
      <c r="H3048" s="16" t="s">
        <v>235</v>
      </c>
      <c r="I3048" s="16" t="s">
        <v>243</v>
      </c>
    </row>
    <row r="3049" ht="242.25" customHeight="1">
      <c r="B3049" s="32" t="str">
        <f>IMAGE("https://gymvisual.com/1971-catalog_default/3-4-sit-up.jpg",4,500,500)</f>
        <v/>
      </c>
      <c r="C3049" s="30">
        <v>3048.0</v>
      </c>
      <c r="D3049" s="16" t="s">
        <v>3873</v>
      </c>
      <c r="E3049" s="16" t="s">
        <v>184</v>
      </c>
      <c r="F3049" s="16" t="s">
        <v>234</v>
      </c>
      <c r="G3049" s="16" t="s">
        <v>399</v>
      </c>
      <c r="H3049" s="16" t="s">
        <v>347</v>
      </c>
      <c r="I3049" s="16" t="s">
        <v>382</v>
      </c>
    </row>
    <row r="3050" ht="242.25" customHeight="1">
      <c r="B3050" s="32" t="str">
        <f>IMAGE("https://gymvisual.com/1977-catalog_default/3-4-sit-up.jpg",4,500,500)</f>
        <v/>
      </c>
      <c r="C3050" s="30">
        <v>3049.0</v>
      </c>
      <c r="D3050" s="16" t="s">
        <v>3874</v>
      </c>
      <c r="E3050" s="16" t="s">
        <v>184</v>
      </c>
      <c r="F3050" s="16" t="s">
        <v>234</v>
      </c>
      <c r="G3050" s="16" t="s">
        <v>255</v>
      </c>
      <c r="H3050" s="16" t="s">
        <v>347</v>
      </c>
      <c r="I3050" s="16" t="s">
        <v>382</v>
      </c>
    </row>
    <row r="3051" ht="242.25" customHeight="1">
      <c r="B3051" s="32" t="str">
        <f>IMAGE("https://gymvisual.com/10768-catalog_default/push-up-wall-female.jpg",4,500,500)</f>
        <v/>
      </c>
      <c r="C3051" s="30">
        <v>3050.0</v>
      </c>
      <c r="D3051" s="16" t="s">
        <v>3875</v>
      </c>
      <c r="E3051" s="16" t="s">
        <v>184</v>
      </c>
      <c r="F3051" s="16" t="s">
        <v>234</v>
      </c>
      <c r="G3051" s="16" t="s">
        <v>255</v>
      </c>
      <c r="H3051" s="16" t="s">
        <v>235</v>
      </c>
      <c r="I3051" s="16" t="s">
        <v>243</v>
      </c>
    </row>
    <row r="3052" ht="242.25" customHeight="1">
      <c r="B3052" s="32" t="str">
        <f>IMAGE("https://gymvisual.com/1974-catalog_default/3-4-sit-up.jpg",4,500,500)</f>
        <v/>
      </c>
      <c r="C3052" s="30">
        <v>3051.0</v>
      </c>
      <c r="D3052" s="16" t="s">
        <v>3876</v>
      </c>
      <c r="E3052" s="16" t="s">
        <v>184</v>
      </c>
      <c r="F3052" s="16" t="s">
        <v>234</v>
      </c>
      <c r="G3052" s="16" t="s">
        <v>255</v>
      </c>
      <c r="H3052" s="16" t="s">
        <v>347</v>
      </c>
      <c r="I3052" s="16" t="s">
        <v>382</v>
      </c>
    </row>
    <row r="3053" ht="242.25" customHeight="1">
      <c r="B3053" s="32" t="str">
        <f>IMAGE("https://gymvisual.com/6502-catalog_default/push-up-with-push-up-handles.jpg",4,500,500)</f>
        <v/>
      </c>
      <c r="C3053" s="30">
        <v>3052.0</v>
      </c>
      <c r="D3053" s="16" t="s">
        <v>3877</v>
      </c>
      <c r="E3053" s="16" t="s">
        <v>184</v>
      </c>
      <c r="F3053" s="16" t="s">
        <v>234</v>
      </c>
      <c r="G3053" s="16" t="s">
        <v>255</v>
      </c>
      <c r="H3053" s="16" t="s">
        <v>347</v>
      </c>
      <c r="I3053" s="16" t="s">
        <v>382</v>
      </c>
    </row>
    <row r="3054" ht="242.25" customHeight="1">
      <c r="B3054" s="32" t="str">
        <f>IMAGE("https://gymvisual.com/10202-catalog_default/push-up-end-position-wrong-right.jpg",4,500,500)</f>
        <v/>
      </c>
      <c r="C3054" s="30">
        <v>3053.0</v>
      </c>
      <c r="D3054" s="16" t="s">
        <v>3878</v>
      </c>
      <c r="E3054" s="16" t="s">
        <v>184</v>
      </c>
      <c r="F3054" s="16" t="s">
        <v>234</v>
      </c>
      <c r="G3054" s="16" t="s">
        <v>255</v>
      </c>
      <c r="H3054" s="16" t="s">
        <v>220</v>
      </c>
      <c r="I3054" s="16" t="s">
        <v>220</v>
      </c>
    </row>
    <row r="3055" ht="242.25" customHeight="1">
      <c r="B3055" s="32" t="str">
        <f>IMAGE("https://gymvisual.com/10200-catalog_default/push-up-start-position-wrong-right.jpg",4,500,500)</f>
        <v/>
      </c>
      <c r="C3055" s="30">
        <v>3054.0</v>
      </c>
      <c r="D3055" s="16" t="s">
        <v>3879</v>
      </c>
      <c r="E3055" s="16" t="s">
        <v>184</v>
      </c>
      <c r="F3055" s="16" t="s">
        <v>234</v>
      </c>
      <c r="G3055" s="16" t="s">
        <v>255</v>
      </c>
      <c r="H3055" s="16" t="s">
        <v>220</v>
      </c>
      <c r="I3055" s="16" t="s">
        <v>220</v>
      </c>
    </row>
    <row r="3056" ht="242.25" customHeight="1">
      <c r="B3056" s="32" t="str">
        <f>IMAGE("https://gymvisual.com/22291-catalog_default/push-up-and-triceps-dip-on-parallel-bars.jpg",4,500,500)</f>
        <v/>
      </c>
      <c r="C3056" s="30">
        <v>3055.0</v>
      </c>
      <c r="D3056" s="16" t="s">
        <v>3880</v>
      </c>
      <c r="E3056" s="16" t="s">
        <v>184</v>
      </c>
      <c r="F3056" s="16" t="s">
        <v>234</v>
      </c>
      <c r="G3056" s="16" t="s">
        <v>255</v>
      </c>
      <c r="H3056" s="16" t="s">
        <v>220</v>
      </c>
      <c r="I3056" s="16" t="s">
        <v>220</v>
      </c>
    </row>
    <row r="3057" ht="242.25" customHeight="1">
      <c r="A3057" s="32" t="b">
        <v>0</v>
      </c>
      <c r="B3057" s="32" t="str">
        <f>IMAGE("https://gymvisual.com/1980-catalog_default/3-4-sit-up.jpg",4,500,500)</f>
        <v/>
      </c>
      <c r="C3057" s="30">
        <v>3056.0</v>
      </c>
      <c r="D3057" s="16" t="s">
        <v>3881</v>
      </c>
      <c r="E3057" s="16" t="s">
        <v>184</v>
      </c>
      <c r="F3057" s="16" t="s">
        <v>228</v>
      </c>
      <c r="G3057" s="16" t="s">
        <v>222</v>
      </c>
      <c r="H3057" s="16" t="s">
        <v>223</v>
      </c>
      <c r="I3057" s="16" t="s">
        <v>472</v>
      </c>
    </row>
    <row r="3058" ht="242.25" customHeight="1">
      <c r="B3058" s="32" t="str">
        <f>IMAGE("https://gymvisual.com/20692-catalog_default/push-up-hand-by-hand.jpg",4,500,500)</f>
        <v/>
      </c>
      <c r="C3058" s="30">
        <v>3057.0</v>
      </c>
      <c r="D3058" s="16" t="s">
        <v>3882</v>
      </c>
      <c r="E3058" s="16" t="s">
        <v>184</v>
      </c>
      <c r="F3058" s="16" t="s">
        <v>1894</v>
      </c>
      <c r="G3058" s="16" t="s">
        <v>255</v>
      </c>
      <c r="H3058" s="16" t="s">
        <v>2400</v>
      </c>
      <c r="I3058" s="16" t="s">
        <v>229</v>
      </c>
    </row>
    <row r="3059" ht="242.25" customHeight="1">
      <c r="B3059" s="32" t="str">
        <f>IMAGE("https://gymvisual.com/24669-catalog_default/push-up-in-child-pose.jpg",4,500,500)</f>
        <v/>
      </c>
      <c r="C3059" s="30">
        <v>3058.0</v>
      </c>
      <c r="D3059" s="16" t="s">
        <v>3883</v>
      </c>
      <c r="E3059" s="16" t="s">
        <v>184</v>
      </c>
      <c r="F3059" s="16" t="s">
        <v>234</v>
      </c>
      <c r="G3059" s="16" t="s">
        <v>255</v>
      </c>
      <c r="H3059" s="16" t="s">
        <v>220</v>
      </c>
      <c r="I3059" s="16" t="s">
        <v>220</v>
      </c>
    </row>
    <row r="3060" ht="242.25" customHeight="1">
      <c r="B3060" s="32" t="str">
        <f>IMAGE("https://gymvisual.com/1983-catalog_default/3-4-sit-up.jpg",4,500,500)</f>
        <v/>
      </c>
      <c r="C3060" s="30">
        <v>3059.0</v>
      </c>
      <c r="D3060" s="16" t="s">
        <v>3884</v>
      </c>
      <c r="E3060" s="16" t="s">
        <v>184</v>
      </c>
      <c r="F3060" s="16" t="s">
        <v>185</v>
      </c>
      <c r="G3060" s="16" t="s">
        <v>255</v>
      </c>
      <c r="H3060" s="16" t="s">
        <v>3885</v>
      </c>
      <c r="I3060" s="16" t="s">
        <v>382</v>
      </c>
    </row>
    <row r="3061" ht="242.25" customHeight="1">
      <c r="B3061" s="32" t="str">
        <f>IMAGE("https://gymvisual.com/24671-catalog_default/push-up-jack.jpg",4,500,500)</f>
        <v/>
      </c>
      <c r="C3061" s="30">
        <v>3060.0</v>
      </c>
      <c r="D3061" s="16" t="s">
        <v>3886</v>
      </c>
      <c r="E3061" s="16" t="s">
        <v>184</v>
      </c>
      <c r="F3061" s="16" t="s">
        <v>234</v>
      </c>
      <c r="G3061" s="16" t="s">
        <v>255</v>
      </c>
      <c r="H3061" s="16" t="s">
        <v>220</v>
      </c>
      <c r="I3061" s="16" t="s">
        <v>220</v>
      </c>
    </row>
    <row r="3062" ht="242.25" customHeight="1">
      <c r="B3062" s="32" t="str">
        <f>IMAGE("https://gymvisual.com/1989-catalog_default/3-4-sit-up.jpg",4,500,500)</f>
        <v/>
      </c>
      <c r="C3062" s="30">
        <v>3061.0</v>
      </c>
      <c r="D3062" s="16" t="s">
        <v>3887</v>
      </c>
      <c r="E3062" s="16" t="s">
        <v>184</v>
      </c>
      <c r="F3062" s="16" t="s">
        <v>234</v>
      </c>
      <c r="G3062" s="16" t="s">
        <v>373</v>
      </c>
      <c r="H3062" s="16" t="s">
        <v>347</v>
      </c>
      <c r="I3062" s="16" t="s">
        <v>382</v>
      </c>
    </row>
    <row r="3063" ht="242.25" customHeight="1">
      <c r="B3063" s="32" t="str">
        <f>IMAGE("https://gymvisual.com/6401-catalog_default/push-up-on-forearms.jpg",4,500,500)</f>
        <v/>
      </c>
      <c r="C3063" s="30">
        <v>3062.0</v>
      </c>
      <c r="D3063" s="16" t="s">
        <v>3888</v>
      </c>
      <c r="E3063" s="16" t="s">
        <v>184</v>
      </c>
      <c r="F3063" s="16" t="s">
        <v>219</v>
      </c>
      <c r="G3063" s="16" t="s">
        <v>255</v>
      </c>
      <c r="H3063" s="16" t="s">
        <v>223</v>
      </c>
      <c r="I3063" s="16" t="s">
        <v>472</v>
      </c>
    </row>
    <row r="3064" ht="242.25" customHeight="1">
      <c r="B3064" s="32" t="str">
        <f>IMAGE("https://gymvisual.com/12551-catalog_default/push-up-plus.jpg",4,500,500)</f>
        <v/>
      </c>
      <c r="C3064" s="30">
        <v>3063.0</v>
      </c>
      <c r="D3064" s="16" t="s">
        <v>3889</v>
      </c>
      <c r="E3064" s="16" t="s">
        <v>184</v>
      </c>
      <c r="F3064" s="16" t="s">
        <v>234</v>
      </c>
      <c r="G3064" s="16" t="s">
        <v>255</v>
      </c>
      <c r="H3064" s="16" t="s">
        <v>3890</v>
      </c>
      <c r="I3064" s="16" t="s">
        <v>3891</v>
      </c>
    </row>
    <row r="3065" ht="242.25" customHeight="1">
      <c r="B3065" s="32" t="str">
        <f>IMAGE("https://gymvisual.com/12552-catalog_default/push-up-plus-female.jpg",4,500,500)</f>
        <v/>
      </c>
      <c r="C3065" s="30">
        <v>3064.0</v>
      </c>
      <c r="D3065" s="16" t="s">
        <v>3892</v>
      </c>
      <c r="E3065" s="16" t="s">
        <v>184</v>
      </c>
      <c r="F3065" s="16" t="s">
        <v>234</v>
      </c>
      <c r="G3065" s="16" t="s">
        <v>255</v>
      </c>
      <c r="H3065" s="16" t="s">
        <v>3890</v>
      </c>
      <c r="I3065" s="16" t="s">
        <v>3891</v>
      </c>
    </row>
    <row r="3066" ht="242.25" customHeight="1">
      <c r="B3066" s="32" t="str">
        <f>IMAGE("https://gymvisual.com/14177-catalog_default/3-4-sit-up.jpg",4,500,500)</f>
        <v/>
      </c>
      <c r="C3066" s="30">
        <v>3065.0</v>
      </c>
      <c r="D3066" s="16" t="s">
        <v>3893</v>
      </c>
      <c r="E3066" s="16" t="s">
        <v>184</v>
      </c>
      <c r="F3066" s="16" t="s">
        <v>234</v>
      </c>
      <c r="G3066" s="16" t="s">
        <v>255</v>
      </c>
      <c r="H3066" s="16" t="s">
        <v>1874</v>
      </c>
      <c r="I3066" s="16" t="s">
        <v>3894</v>
      </c>
    </row>
    <row r="3067" ht="242.25" customHeight="1">
      <c r="B3067" s="32" t="str">
        <f>IMAGE("https://gymvisual.com/22402-catalog_default/push-up-to-side-plank-version-2.jpg",4,500,500)</f>
        <v/>
      </c>
      <c r="C3067" s="30">
        <v>3066.0</v>
      </c>
      <c r="D3067" s="16" t="s">
        <v>3895</v>
      </c>
      <c r="E3067" s="16" t="s">
        <v>184</v>
      </c>
      <c r="F3067" s="16" t="s">
        <v>234</v>
      </c>
      <c r="G3067" s="16" t="s">
        <v>255</v>
      </c>
      <c r="H3067" s="16" t="s">
        <v>220</v>
      </c>
      <c r="I3067" s="16" t="s">
        <v>220</v>
      </c>
    </row>
    <row r="3068" ht="242.25" customHeight="1">
      <c r="B3068" s="32" t="str">
        <f>IMAGE("https://gymvisual.com/22404-catalog_default/push-up-with-knee-drive.jpg",4,500,500)</f>
        <v/>
      </c>
      <c r="C3068" s="30">
        <v>3067.0</v>
      </c>
      <c r="D3068" s="16" t="s">
        <v>3896</v>
      </c>
      <c r="E3068" s="16" t="s">
        <v>184</v>
      </c>
      <c r="F3068" s="16" t="s">
        <v>254</v>
      </c>
      <c r="G3068" s="16" t="s">
        <v>255</v>
      </c>
      <c r="H3068" s="16" t="s">
        <v>220</v>
      </c>
      <c r="I3068" s="16" t="s">
        <v>220</v>
      </c>
    </row>
    <row r="3069" ht="242.25" customHeight="1">
      <c r="B3069" s="32" t="str">
        <f>IMAGE("https://gymvisual.com/23617-catalog_default/pvc-external-rotation.jpg",4,500,500)</f>
        <v/>
      </c>
      <c r="C3069" s="30">
        <v>3068.0</v>
      </c>
      <c r="D3069" s="16" t="s">
        <v>3897</v>
      </c>
      <c r="E3069" s="16" t="s">
        <v>184</v>
      </c>
      <c r="F3069" s="16" t="s">
        <v>192</v>
      </c>
      <c r="G3069" s="16" t="s">
        <v>255</v>
      </c>
      <c r="H3069" s="16" t="s">
        <v>3898</v>
      </c>
      <c r="I3069" s="16" t="s">
        <v>220</v>
      </c>
    </row>
    <row r="3070" ht="242.25" customHeight="1">
      <c r="B3070" s="32" t="str">
        <f>IMAGE("https://gymvisual.com/22608-catalog_default/pvc-good-morning.jpg",4,500,500)</f>
        <v/>
      </c>
      <c r="C3070" s="30">
        <v>3069.0</v>
      </c>
      <c r="D3070" s="16" t="s">
        <v>3899</v>
      </c>
      <c r="E3070" s="16" t="s">
        <v>184</v>
      </c>
      <c r="F3070" s="16" t="s">
        <v>185</v>
      </c>
      <c r="G3070" s="16" t="s">
        <v>727</v>
      </c>
      <c r="H3070" s="16" t="s">
        <v>188</v>
      </c>
      <c r="I3070" s="16" t="s">
        <v>857</v>
      </c>
    </row>
    <row r="3071" ht="242.25" customHeight="1">
      <c r="B3071" s="32" t="str">
        <f>IMAGE("https://gymvisual.com/22612-catalog_default/pvc-hip-hinge.jpg",4,500,500)</f>
        <v/>
      </c>
      <c r="C3071" s="30">
        <v>3070.0</v>
      </c>
      <c r="D3071" s="16" t="s">
        <v>3900</v>
      </c>
      <c r="E3071" s="16" t="s">
        <v>184</v>
      </c>
      <c r="F3071" s="16" t="s">
        <v>185</v>
      </c>
      <c r="G3071" s="16" t="s">
        <v>727</v>
      </c>
      <c r="H3071" s="16" t="s">
        <v>187</v>
      </c>
      <c r="I3071" s="16" t="s">
        <v>188</v>
      </c>
    </row>
    <row r="3072" ht="242.25" customHeight="1">
      <c r="B3072" s="32" t="str">
        <f>IMAGE("https://gymvisual.com/23621-catalog_default/pvc-overhead-squat.jpg",4,500,500)</f>
        <v/>
      </c>
      <c r="C3072" s="30">
        <v>3071.0</v>
      </c>
      <c r="D3072" s="16" t="s">
        <v>3901</v>
      </c>
      <c r="E3072" s="16" t="s">
        <v>184</v>
      </c>
      <c r="F3072" s="16" t="s">
        <v>285</v>
      </c>
      <c r="G3072" s="16" t="s">
        <v>255</v>
      </c>
      <c r="H3072" s="16" t="s">
        <v>189</v>
      </c>
      <c r="I3072" s="16" t="s">
        <v>190</v>
      </c>
    </row>
    <row r="3073" ht="242.25" customHeight="1">
      <c r="B3073" s="32" t="str">
        <f>IMAGE("https://gymvisual.com/23623-catalog_default/pvc-pass-through.jpg",4,500,500)</f>
        <v/>
      </c>
      <c r="C3073" s="30">
        <v>3072.0</v>
      </c>
      <c r="D3073" s="16" t="s">
        <v>3902</v>
      </c>
      <c r="E3073" s="16" t="s">
        <v>184</v>
      </c>
      <c r="F3073" s="16" t="s">
        <v>228</v>
      </c>
      <c r="G3073" s="16" t="s">
        <v>255</v>
      </c>
      <c r="H3073" s="16" t="s">
        <v>333</v>
      </c>
      <c r="I3073" s="16" t="s">
        <v>3903</v>
      </c>
    </row>
    <row r="3074" ht="242.25" customHeight="1">
      <c r="B3074" s="32" t="str">
        <f>IMAGE("https://gymvisual.com/22823-catalog_default/quadruped-leg-curl.jpg",4,500,500)</f>
        <v/>
      </c>
      <c r="C3074" s="30">
        <v>3073.0</v>
      </c>
      <c r="D3074" s="16" t="s">
        <v>3904</v>
      </c>
      <c r="E3074" s="16" t="s">
        <v>184</v>
      </c>
      <c r="F3074" s="16" t="s">
        <v>285</v>
      </c>
      <c r="G3074" s="16" t="s">
        <v>255</v>
      </c>
      <c r="H3074" s="16" t="s">
        <v>188</v>
      </c>
      <c r="I3074" s="16" t="s">
        <v>665</v>
      </c>
    </row>
    <row r="3075" ht="242.25" customHeight="1">
      <c r="B3075" s="32" t="str">
        <f>IMAGE("https://gymvisual.com/12877-catalog_default/quarter-sit-up.jpg",4,500,500)</f>
        <v/>
      </c>
      <c r="C3075" s="30">
        <v>3074.0</v>
      </c>
      <c r="D3075" s="16" t="s">
        <v>3905</v>
      </c>
      <c r="E3075" s="16" t="s">
        <v>184</v>
      </c>
      <c r="F3075" s="16" t="s">
        <v>254</v>
      </c>
      <c r="G3075" s="16" t="s">
        <v>255</v>
      </c>
      <c r="H3075" s="16" t="s">
        <v>256</v>
      </c>
      <c r="I3075" s="16" t="s">
        <v>257</v>
      </c>
    </row>
    <row r="3076" ht="242.25" customHeight="1">
      <c r="B3076" s="32" t="str">
        <f>IMAGE("https://gymvisual.com/1998-catalog_default/3-4-sit-up.jpg",4,500,500)</f>
        <v/>
      </c>
      <c r="C3076" s="30">
        <v>3075.0</v>
      </c>
      <c r="D3076" s="16" t="s">
        <v>3906</v>
      </c>
      <c r="E3076" s="16" t="s">
        <v>184</v>
      </c>
      <c r="F3076" s="16" t="s">
        <v>234</v>
      </c>
      <c r="G3076" s="16" t="s">
        <v>255</v>
      </c>
      <c r="H3076" s="16" t="s">
        <v>347</v>
      </c>
      <c r="I3076" s="16" t="s">
        <v>3907</v>
      </c>
    </row>
    <row r="3077" ht="242.25" customHeight="1">
      <c r="B3077" s="32" t="str">
        <f>IMAGE("https://gymvisual.com/2001-catalog_default/3-4-sit-up.jpg",4,500,500)</f>
        <v/>
      </c>
      <c r="C3077" s="30">
        <v>3076.0</v>
      </c>
      <c r="D3077" s="16" t="s">
        <v>3908</v>
      </c>
      <c r="E3077" s="16" t="s">
        <v>184</v>
      </c>
      <c r="F3077" s="16" t="s">
        <v>234</v>
      </c>
      <c r="G3077" s="16" t="s">
        <v>255</v>
      </c>
      <c r="H3077" s="16" t="s">
        <v>347</v>
      </c>
      <c r="I3077" s="16" t="s">
        <v>3909</v>
      </c>
    </row>
    <row r="3078" ht="242.25" customHeight="1">
      <c r="B3078" s="32" t="str">
        <f>IMAGE("https://gymvisual.com/25118-catalog_default/3-4-sit-up.jpg",4,500,500)</f>
        <v/>
      </c>
      <c r="C3078" s="30">
        <v>3077.0</v>
      </c>
      <c r="D3078" s="16" t="s">
        <v>3910</v>
      </c>
      <c r="E3078" s="16" t="s">
        <v>184</v>
      </c>
      <c r="F3078" s="16" t="s">
        <v>254</v>
      </c>
      <c r="G3078" s="16" t="s">
        <v>255</v>
      </c>
      <c r="H3078" s="16" t="s">
        <v>187</v>
      </c>
      <c r="I3078" s="16" t="s">
        <v>854</v>
      </c>
    </row>
    <row r="3079" ht="242.25" customHeight="1">
      <c r="B3079" s="32" t="str">
        <f>IMAGE("https://gymvisual.com/16530-catalog_default/rear-delt-fly-with-bed-sheet.jpg",4,500,500)</f>
        <v/>
      </c>
      <c r="C3079" s="30">
        <v>3078.0</v>
      </c>
      <c r="D3079" s="16" t="s">
        <v>3911</v>
      </c>
      <c r="E3079" s="16" t="s">
        <v>184</v>
      </c>
      <c r="F3079" s="16" t="s">
        <v>228</v>
      </c>
      <c r="G3079" s="16" t="s">
        <v>255</v>
      </c>
      <c r="H3079" s="16" t="s">
        <v>408</v>
      </c>
      <c r="I3079" s="16" t="s">
        <v>452</v>
      </c>
    </row>
    <row r="3080" ht="242.25" customHeight="1">
      <c r="B3080" s="32" t="str">
        <f>IMAGE("https://gymvisual.com/16534-catalog_default/rear-delt-row-with-bed-sheet.jpg",4,500,500)</f>
        <v/>
      </c>
      <c r="C3080" s="30">
        <v>3079.0</v>
      </c>
      <c r="D3080" s="16" t="s">
        <v>3912</v>
      </c>
      <c r="E3080" s="16" t="s">
        <v>184</v>
      </c>
      <c r="F3080" s="16" t="s">
        <v>192</v>
      </c>
      <c r="G3080" s="16" t="s">
        <v>255</v>
      </c>
      <c r="H3080" s="16" t="s">
        <v>329</v>
      </c>
      <c r="I3080" s="16" t="s">
        <v>447</v>
      </c>
    </row>
    <row r="3081" ht="242.25" customHeight="1">
      <c r="B3081" s="32" t="str">
        <f>IMAGE("https://gymvisual.com/20986-catalog_default/rear-lunge-from-deficit.jpg",4,500,500)</f>
        <v/>
      </c>
      <c r="C3081" s="30">
        <v>3080.0</v>
      </c>
      <c r="D3081" s="16" t="s">
        <v>3913</v>
      </c>
      <c r="E3081" s="16" t="s">
        <v>184</v>
      </c>
      <c r="F3081" s="16" t="s">
        <v>294</v>
      </c>
      <c r="G3081" s="16" t="s">
        <v>255</v>
      </c>
      <c r="H3081" s="16" t="s">
        <v>189</v>
      </c>
      <c r="I3081" s="16" t="s">
        <v>190</v>
      </c>
    </row>
    <row r="3082" ht="242.25" customHeight="1">
      <c r="B3082" s="32" t="str">
        <f>IMAGE("https://gymvisual.com/12198-catalog_default/rear-lunge-with-battling-ropes.jpg",4,500,500)</f>
        <v/>
      </c>
      <c r="C3082" s="30">
        <v>3081.0</v>
      </c>
      <c r="D3082" s="16" t="s">
        <v>3914</v>
      </c>
      <c r="E3082" s="16" t="s">
        <v>184</v>
      </c>
      <c r="F3082" s="16" t="s">
        <v>321</v>
      </c>
      <c r="G3082" s="16" t="s">
        <v>1160</v>
      </c>
      <c r="H3082" s="16" t="s">
        <v>220</v>
      </c>
      <c r="I3082" s="16" t="s">
        <v>220</v>
      </c>
    </row>
    <row r="3083" ht="242.25" customHeight="1">
      <c r="B3083" s="32" t="str">
        <f>IMAGE("https://gymvisual.com/2010-catalog_default/3-4-sit-up.jpg",4,500,500)</f>
        <v/>
      </c>
      <c r="C3083" s="30">
        <v>3082.0</v>
      </c>
      <c r="D3083" s="16" t="s">
        <v>3915</v>
      </c>
      <c r="E3083" s="16" t="s">
        <v>184</v>
      </c>
      <c r="F3083" s="16" t="s">
        <v>192</v>
      </c>
      <c r="G3083" s="16" t="s">
        <v>255</v>
      </c>
      <c r="H3083" s="16" t="s">
        <v>300</v>
      </c>
      <c r="I3083" s="16" t="s">
        <v>3916</v>
      </c>
    </row>
    <row r="3084" ht="242.25" customHeight="1">
      <c r="B3084" s="32" t="str">
        <f>IMAGE("https://gymvisual.com/24770-catalog_default/rear-shift-lunge-from-deficit.jpg",4,500,500)</f>
        <v/>
      </c>
      <c r="C3084" s="30">
        <v>3083.0</v>
      </c>
      <c r="D3084" s="16" t="s">
        <v>3917</v>
      </c>
      <c r="E3084" s="16" t="s">
        <v>184</v>
      </c>
      <c r="F3084" s="16" t="s">
        <v>285</v>
      </c>
      <c r="G3084" s="16" t="s">
        <v>255</v>
      </c>
      <c r="H3084" s="16" t="s">
        <v>220</v>
      </c>
      <c r="I3084" s="16" t="s">
        <v>220</v>
      </c>
    </row>
    <row r="3085" ht="242.25" customHeight="1">
      <c r="B3085" s="32" t="str">
        <f>IMAGE("https://gymvisual.com/17749-catalog_default/resistance-band-45-degrees-hyperextension.jpg",4,500,500)</f>
        <v/>
      </c>
      <c r="C3085" s="30">
        <v>3084.0</v>
      </c>
      <c r="D3085" s="16" t="s">
        <v>3918</v>
      </c>
      <c r="E3085" s="16" t="s">
        <v>184</v>
      </c>
      <c r="F3085" s="16" t="s">
        <v>185</v>
      </c>
      <c r="G3085" s="16" t="s">
        <v>523</v>
      </c>
      <c r="H3085" s="16" t="s">
        <v>220</v>
      </c>
      <c r="I3085" s="16" t="s">
        <v>220</v>
      </c>
    </row>
    <row r="3086" ht="242.25" customHeight="1">
      <c r="B3086" s="32" t="str">
        <f>IMAGE("https://gymvisual.com/17919-catalog_default/resistance-band-adduction-split-squat-male.jpg",4,500,500)</f>
        <v/>
      </c>
      <c r="C3086" s="30">
        <v>3085.0</v>
      </c>
      <c r="D3086" s="16" t="s">
        <v>3919</v>
      </c>
      <c r="E3086" s="16" t="s">
        <v>184</v>
      </c>
      <c r="F3086" s="16" t="s">
        <v>285</v>
      </c>
      <c r="G3086" s="16" t="s">
        <v>523</v>
      </c>
      <c r="H3086" s="16" t="s">
        <v>220</v>
      </c>
      <c r="I3086" s="16" t="s">
        <v>220</v>
      </c>
    </row>
    <row r="3087" ht="242.25" customHeight="1">
      <c r="B3087" s="32" t="str">
        <f>IMAGE("https://gymvisual.com/10503-catalog_default/resistance-band-air-bike.jpg",4,500,500)</f>
        <v/>
      </c>
      <c r="C3087" s="30">
        <v>3086.0</v>
      </c>
      <c r="D3087" s="16" t="s">
        <v>3920</v>
      </c>
      <c r="E3087" s="16" t="s">
        <v>184</v>
      </c>
      <c r="F3087" s="16" t="s">
        <v>254</v>
      </c>
      <c r="G3087" s="16" t="s">
        <v>523</v>
      </c>
      <c r="H3087" s="16" t="s">
        <v>1328</v>
      </c>
      <c r="I3087" s="16" t="s">
        <v>3921</v>
      </c>
    </row>
    <row r="3088" ht="242.25" customHeight="1">
      <c r="B3088" s="32" t="str">
        <f>IMAGE("https://gymvisual.com/17731-catalog_default/resistance-band-anti-rotation-dead-bug.jpg",4,500,500)</f>
        <v/>
      </c>
      <c r="C3088" s="30">
        <v>3087.0</v>
      </c>
      <c r="D3088" s="16" t="s">
        <v>3922</v>
      </c>
      <c r="E3088" s="16" t="s">
        <v>184</v>
      </c>
      <c r="F3088" s="16" t="s">
        <v>254</v>
      </c>
      <c r="G3088" s="16" t="s">
        <v>523</v>
      </c>
      <c r="H3088" s="16" t="s">
        <v>220</v>
      </c>
      <c r="I3088" s="16" t="s">
        <v>220</v>
      </c>
    </row>
    <row r="3089" ht="242.25" customHeight="1">
      <c r="B3089" s="32" t="str">
        <f>IMAGE("https://gymvisual.com/18043-catalog_default/resistance-band-assisted-nordic-hamstring-curl.jpg",4,500,500)</f>
        <v/>
      </c>
      <c r="C3089" s="30">
        <v>3088.0</v>
      </c>
      <c r="D3089" s="16" t="s">
        <v>3923</v>
      </c>
      <c r="E3089" s="16" t="s">
        <v>184</v>
      </c>
      <c r="F3089" s="16" t="s">
        <v>285</v>
      </c>
      <c r="G3089" s="16" t="s">
        <v>523</v>
      </c>
      <c r="H3089" s="16" t="s">
        <v>220</v>
      </c>
      <c r="I3089" s="16" t="s">
        <v>220</v>
      </c>
    </row>
    <row r="3090" ht="242.25" customHeight="1">
      <c r="B3090" s="32" t="str">
        <f>IMAGE("https://gymvisual.com/8785-catalog_default/resistance-band-bent-leg-kickback-kneeling.jpg",4,500,500)</f>
        <v/>
      </c>
      <c r="C3090" s="30">
        <v>3089.0</v>
      </c>
      <c r="D3090" s="16" t="s">
        <v>3924</v>
      </c>
      <c r="E3090" s="16" t="s">
        <v>184</v>
      </c>
      <c r="F3090" s="16" t="s">
        <v>185</v>
      </c>
      <c r="G3090" s="16" t="s">
        <v>523</v>
      </c>
      <c r="H3090" s="16" t="s">
        <v>187</v>
      </c>
      <c r="I3090" s="16" t="s">
        <v>188</v>
      </c>
    </row>
    <row r="3091" ht="242.25" customHeight="1">
      <c r="B3091" s="32" t="str">
        <f>IMAGE("https://gymvisual.com/10501-catalog_default/resistance-band-bent-leg-side-kick-kneeling.jpg",4,500,500)</f>
        <v/>
      </c>
      <c r="C3091" s="30">
        <v>3090.0</v>
      </c>
      <c r="D3091" s="16" t="s">
        <v>3925</v>
      </c>
      <c r="E3091" s="16" t="s">
        <v>184</v>
      </c>
      <c r="F3091" s="16" t="s">
        <v>185</v>
      </c>
      <c r="G3091" s="16" t="s">
        <v>523</v>
      </c>
      <c r="H3091" s="16" t="s">
        <v>475</v>
      </c>
      <c r="I3091" s="16" t="s">
        <v>1206</v>
      </c>
    </row>
    <row r="3092" ht="242.25" customHeight="1">
      <c r="B3092" s="32" t="str">
        <f>IMAGE("https://gymvisual.com/19229-catalog_default/resistance-band-bent-over-neutral-grip-row.jpg",4,500,500)</f>
        <v/>
      </c>
      <c r="C3092" s="30">
        <v>3091.0</v>
      </c>
      <c r="D3092" s="16" t="s">
        <v>3926</v>
      </c>
      <c r="E3092" s="16" t="s">
        <v>184</v>
      </c>
      <c r="F3092" s="16" t="s">
        <v>192</v>
      </c>
      <c r="G3092" s="16" t="s">
        <v>523</v>
      </c>
      <c r="H3092" s="16" t="s">
        <v>329</v>
      </c>
      <c r="I3092" s="16" t="s">
        <v>357</v>
      </c>
    </row>
    <row r="3093" ht="242.25" customHeight="1">
      <c r="B3093" s="32" t="str">
        <f>IMAGE("https://gymvisual.com/17929-catalog_default/resistance-band-bent-over-rear-delt-fly-male.jpg",4,500,500)</f>
        <v/>
      </c>
      <c r="C3093" s="30">
        <v>3092.0</v>
      </c>
      <c r="D3093" s="16" t="s">
        <v>3927</v>
      </c>
      <c r="E3093" s="16" t="s">
        <v>184</v>
      </c>
      <c r="F3093" s="16" t="s">
        <v>228</v>
      </c>
      <c r="G3093" s="16" t="s">
        <v>523</v>
      </c>
      <c r="H3093" s="16" t="s">
        <v>220</v>
      </c>
      <c r="I3093" s="16" t="s">
        <v>220</v>
      </c>
    </row>
    <row r="3094" ht="242.25" customHeight="1">
      <c r="B3094" s="32" t="str">
        <f>IMAGE("https://gymvisual.com/17715-catalog_default/resistance-band-bent-over-row.jpg",4,500,500)</f>
        <v/>
      </c>
      <c r="C3094" s="30">
        <v>3093.0</v>
      </c>
      <c r="D3094" s="16" t="s">
        <v>3928</v>
      </c>
      <c r="E3094" s="16" t="s">
        <v>184</v>
      </c>
      <c r="F3094" s="16" t="s">
        <v>192</v>
      </c>
      <c r="G3094" s="16" t="s">
        <v>523</v>
      </c>
      <c r="H3094" s="16" t="s">
        <v>220</v>
      </c>
      <c r="I3094" s="16" t="s">
        <v>220</v>
      </c>
    </row>
    <row r="3095" ht="242.25" customHeight="1">
      <c r="B3095" s="32" t="str">
        <f>IMAGE("https://gymvisual.com/14032-catalog_default/resistance-band-bird-dog.jpg",4,500,500)</f>
        <v/>
      </c>
      <c r="C3095" s="30">
        <v>3094.0</v>
      </c>
      <c r="D3095" s="16" t="s">
        <v>3929</v>
      </c>
      <c r="E3095" s="16" t="s">
        <v>184</v>
      </c>
      <c r="F3095" s="16" t="s">
        <v>185</v>
      </c>
      <c r="G3095" s="16" t="s">
        <v>523</v>
      </c>
      <c r="H3095" s="16" t="s">
        <v>267</v>
      </c>
      <c r="I3095" s="16" t="s">
        <v>220</v>
      </c>
    </row>
    <row r="3096" ht="242.25" customHeight="1">
      <c r="B3096" s="32" t="str">
        <f>IMAGE("https://gymvisual.com/17713-catalog_default/resistance-band-cable-squat.jpg",4,500,500)</f>
        <v/>
      </c>
      <c r="C3096" s="30">
        <v>3095.0</v>
      </c>
      <c r="D3096" s="16" t="s">
        <v>3930</v>
      </c>
      <c r="E3096" s="16" t="s">
        <v>184</v>
      </c>
      <c r="F3096" s="16" t="s">
        <v>285</v>
      </c>
      <c r="G3096" s="16" t="s">
        <v>215</v>
      </c>
      <c r="H3096" s="16" t="s">
        <v>220</v>
      </c>
      <c r="I3096" s="16" t="s">
        <v>220</v>
      </c>
    </row>
    <row r="3097" ht="242.25" customHeight="1">
      <c r="B3097" s="32" t="str">
        <f>IMAGE("https://gymvisual.com/10508-catalog_default/resistance-band-calf-raise.jpg",4,500,500)</f>
        <v/>
      </c>
      <c r="C3097" s="30">
        <v>3096.0</v>
      </c>
      <c r="D3097" s="16" t="s">
        <v>3931</v>
      </c>
      <c r="E3097" s="16" t="s">
        <v>184</v>
      </c>
      <c r="F3097" s="16" t="s">
        <v>325</v>
      </c>
      <c r="G3097" s="16" t="s">
        <v>523</v>
      </c>
      <c r="H3097" s="16" t="s">
        <v>368</v>
      </c>
      <c r="I3097" s="16" t="s">
        <v>463</v>
      </c>
    </row>
    <row r="3098" ht="242.25" customHeight="1">
      <c r="B3098" s="32" t="str">
        <f>IMAGE("https://gymvisual.com/8786-catalog_default/resistance-band-clam.jpg",4,500,500)</f>
        <v/>
      </c>
      <c r="C3098" s="30">
        <v>3097.0</v>
      </c>
      <c r="D3098" s="16" t="s">
        <v>3932</v>
      </c>
      <c r="E3098" s="16" t="s">
        <v>184</v>
      </c>
      <c r="F3098" s="16" t="s">
        <v>185</v>
      </c>
      <c r="G3098" s="16" t="s">
        <v>523</v>
      </c>
      <c r="H3098" s="16" t="s">
        <v>475</v>
      </c>
      <c r="I3098" s="16" t="s">
        <v>476</v>
      </c>
    </row>
    <row r="3099" ht="242.25" customHeight="1">
      <c r="B3099" s="32" t="str">
        <f>IMAGE("https://gymvisual.com/17673-catalog_default/resistance-band-deadlift-with-single-arm-row.jpg",4,500,500)</f>
        <v/>
      </c>
      <c r="C3099" s="30">
        <v>3098.0</v>
      </c>
      <c r="D3099" s="16" t="s">
        <v>3933</v>
      </c>
      <c r="E3099" s="16" t="s">
        <v>184</v>
      </c>
      <c r="F3099" s="16" t="s">
        <v>192</v>
      </c>
      <c r="G3099" s="16" t="s">
        <v>523</v>
      </c>
      <c r="H3099" s="16" t="s">
        <v>220</v>
      </c>
      <c r="I3099" s="16" t="s">
        <v>220</v>
      </c>
    </row>
    <row r="3100" ht="242.25" customHeight="1">
      <c r="B3100" s="32" t="str">
        <f>IMAGE("https://gymvisual.com/19515-catalog_default/resistance-band-elevated-glute-bridge.jpg",4,500,500)</f>
        <v/>
      </c>
      <c r="C3100" s="30">
        <v>3099.0</v>
      </c>
      <c r="D3100" s="16" t="s">
        <v>3934</v>
      </c>
      <c r="E3100" s="16" t="s">
        <v>184</v>
      </c>
      <c r="F3100" s="16" t="s">
        <v>185</v>
      </c>
      <c r="G3100" s="16" t="s">
        <v>523</v>
      </c>
      <c r="H3100" s="16" t="s">
        <v>220</v>
      </c>
      <c r="I3100" s="16" t="s">
        <v>220</v>
      </c>
    </row>
    <row r="3101" ht="242.25" customHeight="1">
      <c r="B3101" s="32" t="str">
        <f>IMAGE("https://gymvisual.com/8787-catalog_default/resistance-band-external-rotation.jpg",4,500,500)</f>
        <v/>
      </c>
      <c r="C3101" s="30">
        <v>3100.0</v>
      </c>
      <c r="D3101" s="16" t="s">
        <v>3935</v>
      </c>
      <c r="E3101" s="16" t="s">
        <v>184</v>
      </c>
      <c r="F3101" s="16" t="s">
        <v>192</v>
      </c>
      <c r="G3101" s="16" t="s">
        <v>523</v>
      </c>
      <c r="H3101" s="16" t="s">
        <v>2197</v>
      </c>
      <c r="I3101" s="16" t="s">
        <v>1541</v>
      </c>
    </row>
    <row r="3102" ht="242.25" customHeight="1">
      <c r="B3102" s="32" t="str">
        <f>IMAGE("https://gymvisual.com/10506-catalog_default/resistance-band-floor-hyperextension.jpg",4,500,500)</f>
        <v/>
      </c>
      <c r="C3102" s="30">
        <v>3101.0</v>
      </c>
      <c r="D3102" s="16" t="s">
        <v>3936</v>
      </c>
      <c r="E3102" s="16" t="s">
        <v>184</v>
      </c>
      <c r="F3102" s="16" t="s">
        <v>192</v>
      </c>
      <c r="G3102" s="16" t="s">
        <v>523</v>
      </c>
      <c r="H3102" s="16" t="s">
        <v>275</v>
      </c>
      <c r="I3102" s="16" t="s">
        <v>2412</v>
      </c>
    </row>
    <row r="3103" ht="242.25" customHeight="1">
      <c r="B3103" s="32" t="str">
        <f>IMAGE("https://gymvisual.com/12513-catalog_default/resistance-band-foot-eversion.jpg",4,500,500)</f>
        <v/>
      </c>
      <c r="C3103" s="30">
        <v>3102.0</v>
      </c>
      <c r="D3103" s="16" t="s">
        <v>3937</v>
      </c>
      <c r="E3103" s="16" t="s">
        <v>184</v>
      </c>
      <c r="F3103" s="16" t="s">
        <v>325</v>
      </c>
      <c r="G3103" s="16" t="s">
        <v>523</v>
      </c>
      <c r="H3103" s="16" t="s">
        <v>220</v>
      </c>
      <c r="I3103" s="16" t="s">
        <v>220</v>
      </c>
    </row>
    <row r="3104" ht="242.25" customHeight="1">
      <c r="B3104" s="32" t="str">
        <f>IMAGE("https://gymvisual.com/12511-catalog_default/resistance-band-foot-external-rotation.jpg",4,500,500)</f>
        <v/>
      </c>
      <c r="C3104" s="30">
        <v>3103.0</v>
      </c>
      <c r="D3104" s="16" t="s">
        <v>3938</v>
      </c>
      <c r="E3104" s="16" t="s">
        <v>184</v>
      </c>
      <c r="F3104" s="16" t="s">
        <v>325</v>
      </c>
      <c r="G3104" s="16" t="s">
        <v>523</v>
      </c>
      <c r="H3104" s="16" t="s">
        <v>220</v>
      </c>
      <c r="I3104" s="16" t="s">
        <v>220</v>
      </c>
    </row>
    <row r="3105" ht="242.25" customHeight="1">
      <c r="B3105" s="32" t="str">
        <f>IMAGE("https://gymvisual.com/12514-catalog_default/resistance-band-foot-inversion.jpg",4,500,500)</f>
        <v/>
      </c>
      <c r="C3105" s="30">
        <v>3104.0</v>
      </c>
      <c r="D3105" s="16" t="s">
        <v>3939</v>
      </c>
      <c r="E3105" s="16" t="s">
        <v>184</v>
      </c>
      <c r="F3105" s="16" t="s">
        <v>325</v>
      </c>
      <c r="G3105" s="16" t="s">
        <v>523</v>
      </c>
      <c r="H3105" s="16" t="s">
        <v>220</v>
      </c>
      <c r="I3105" s="16" t="s">
        <v>220</v>
      </c>
    </row>
    <row r="3106" ht="242.25" customHeight="1">
      <c r="B3106" s="32" t="str">
        <f>IMAGE("https://gymvisual.com/12512-catalog_default/resistance-band-foot-plantar-flexion.jpg",4,500,500)</f>
        <v/>
      </c>
      <c r="C3106" s="30">
        <v>3105.0</v>
      </c>
      <c r="D3106" s="16" t="s">
        <v>3940</v>
      </c>
      <c r="E3106" s="16" t="s">
        <v>184</v>
      </c>
      <c r="F3106" s="16" t="s">
        <v>325</v>
      </c>
      <c r="G3106" s="16" t="s">
        <v>523</v>
      </c>
      <c r="H3106" s="16" t="s">
        <v>220</v>
      </c>
      <c r="I3106" s="16" t="s">
        <v>220</v>
      </c>
    </row>
    <row r="3107" ht="242.25" customHeight="1">
      <c r="B3107" s="32" t="str">
        <f>IMAGE("https://gymvisual.com/8788-catalog_default/resistance-band-front-plank-with-kicked-leg.jpg",4,500,500)</f>
        <v/>
      </c>
      <c r="C3107" s="30">
        <v>3106.0</v>
      </c>
      <c r="D3107" s="16" t="s">
        <v>3941</v>
      </c>
      <c r="E3107" s="16" t="s">
        <v>184</v>
      </c>
      <c r="F3107" s="16" t="s">
        <v>310</v>
      </c>
      <c r="G3107" s="16" t="s">
        <v>523</v>
      </c>
      <c r="H3107" s="16" t="s">
        <v>3942</v>
      </c>
      <c r="I3107" s="16" t="s">
        <v>3943</v>
      </c>
    </row>
    <row r="3108" ht="242.25" customHeight="1">
      <c r="B3108" s="32" t="str">
        <f>IMAGE("https://gymvisual.com/17681-catalog_default/resistance-band-front-plank-with-single-arm-pulldown.jpg",4,500,500)</f>
        <v/>
      </c>
      <c r="C3108" s="30">
        <v>3107.0</v>
      </c>
      <c r="D3108" s="16" t="s">
        <v>3944</v>
      </c>
      <c r="E3108" s="16" t="s">
        <v>184</v>
      </c>
      <c r="F3108" s="16" t="s">
        <v>192</v>
      </c>
      <c r="G3108" s="16" t="s">
        <v>523</v>
      </c>
      <c r="H3108" s="16" t="s">
        <v>220</v>
      </c>
      <c r="I3108" s="16" t="s">
        <v>220</v>
      </c>
    </row>
    <row r="3109" ht="242.25" customHeight="1">
      <c r="B3109" s="32" t="str">
        <f>IMAGE("https://gymvisual.com/8789-catalog_default/resistance-band-full-squat.jpg",4,500,500)</f>
        <v/>
      </c>
      <c r="C3109" s="30">
        <v>3108.0</v>
      </c>
      <c r="D3109" s="16" t="s">
        <v>3945</v>
      </c>
      <c r="E3109" s="16" t="s">
        <v>184</v>
      </c>
      <c r="F3109" s="16" t="s">
        <v>294</v>
      </c>
      <c r="G3109" s="16" t="s">
        <v>3946</v>
      </c>
      <c r="H3109" s="16" t="s">
        <v>189</v>
      </c>
      <c r="I3109" s="16" t="s">
        <v>190</v>
      </c>
    </row>
    <row r="3110" ht="242.25" customHeight="1">
      <c r="B3110" s="32" t="str">
        <f>IMAGE("https://gymvisual.com/8790-catalog_default/resistance-band-glute-bridge.jpg",4,500,500)</f>
        <v/>
      </c>
      <c r="C3110" s="30">
        <v>3109.0</v>
      </c>
      <c r="D3110" s="16" t="s">
        <v>3947</v>
      </c>
      <c r="E3110" s="16" t="s">
        <v>184</v>
      </c>
      <c r="F3110" s="16" t="s">
        <v>185</v>
      </c>
      <c r="G3110" s="16" t="s">
        <v>523</v>
      </c>
      <c r="H3110" s="16" t="s">
        <v>187</v>
      </c>
      <c r="I3110" s="16" t="s">
        <v>854</v>
      </c>
    </row>
    <row r="3111" ht="242.25" customHeight="1">
      <c r="B3111" s="32" t="str">
        <f>IMAGE("https://gymvisual.com/11224-catalog_default/resistance-band-glute-bridge-female.jpg",4,500,500)</f>
        <v/>
      </c>
      <c r="C3111" s="30">
        <v>3110.0</v>
      </c>
      <c r="D3111" s="16" t="s">
        <v>3948</v>
      </c>
      <c r="E3111" s="16" t="s">
        <v>184</v>
      </c>
      <c r="F3111" s="16" t="s">
        <v>185</v>
      </c>
      <c r="G3111" s="16" t="s">
        <v>523</v>
      </c>
      <c r="H3111" s="16" t="s">
        <v>220</v>
      </c>
      <c r="I3111" s="16" t="s">
        <v>220</v>
      </c>
    </row>
    <row r="3112" ht="242.25" customHeight="1">
      <c r="B3112" s="32" t="str">
        <f>IMAGE("https://gymvisual.com/18025-catalog_default/resistance-band-half-kneeling-face-pull.jpg",4,500,500)</f>
        <v/>
      </c>
      <c r="C3112" s="30">
        <v>3111.0</v>
      </c>
      <c r="D3112" s="16" t="s">
        <v>3949</v>
      </c>
      <c r="E3112" s="16" t="s">
        <v>184</v>
      </c>
      <c r="F3112" s="16" t="s">
        <v>228</v>
      </c>
      <c r="G3112" s="16" t="s">
        <v>523</v>
      </c>
      <c r="H3112" s="16" t="s">
        <v>408</v>
      </c>
      <c r="I3112" s="16" t="s">
        <v>3950</v>
      </c>
    </row>
    <row r="3113" ht="242.25" customHeight="1">
      <c r="B3113" s="32" t="str">
        <f>IMAGE("https://gymvisual.com/19727-catalog_default/resistance-band-hammer-curl.jpg",4,500,500)</f>
        <v/>
      </c>
      <c r="C3113" s="30">
        <v>3112.0</v>
      </c>
      <c r="D3113" s="16" t="s">
        <v>3951</v>
      </c>
      <c r="E3113" s="16" t="s">
        <v>184</v>
      </c>
      <c r="F3113" s="16" t="s">
        <v>214</v>
      </c>
      <c r="G3113" s="16" t="s">
        <v>523</v>
      </c>
      <c r="H3113" s="16" t="s">
        <v>216</v>
      </c>
      <c r="I3113" s="16" t="s">
        <v>217</v>
      </c>
    </row>
    <row r="3114" ht="242.25" customHeight="1">
      <c r="B3114" s="32" t="str">
        <f>IMAGE("https://gymvisual.com/11837-catalog_default/resistance-band-hip-thrust.jpg",4,500,500)</f>
        <v/>
      </c>
      <c r="C3114" s="30">
        <v>3113.0</v>
      </c>
      <c r="D3114" s="16" t="s">
        <v>3952</v>
      </c>
      <c r="E3114" s="16" t="s">
        <v>184</v>
      </c>
      <c r="F3114" s="16" t="s">
        <v>185</v>
      </c>
      <c r="G3114" s="16" t="s">
        <v>523</v>
      </c>
      <c r="H3114" s="16" t="s">
        <v>187</v>
      </c>
      <c r="I3114" s="16" t="s">
        <v>188</v>
      </c>
    </row>
    <row r="3115" ht="242.25" customHeight="1">
      <c r="B3115" s="32" t="str">
        <f>IMAGE("https://gymvisual.com/17833-catalog_default/resistance-band-hip-thrusts.jpg",4,500,500)</f>
        <v/>
      </c>
      <c r="C3115" s="30">
        <v>3114.0</v>
      </c>
      <c r="D3115" s="16" t="s">
        <v>3953</v>
      </c>
      <c r="E3115" s="16" t="s">
        <v>184</v>
      </c>
      <c r="F3115" s="16" t="s">
        <v>185</v>
      </c>
      <c r="G3115" s="16" t="s">
        <v>523</v>
      </c>
      <c r="H3115" s="16" t="s">
        <v>187</v>
      </c>
      <c r="I3115" s="16" t="s">
        <v>854</v>
      </c>
    </row>
    <row r="3116" ht="242.25" customHeight="1">
      <c r="B3116" s="32" t="str">
        <f>IMAGE("https://gymvisual.com/12988-catalog_default/resistance-band-hip-thrusts-on-knees-female.jpg",4,500,500)</f>
        <v/>
      </c>
      <c r="C3116" s="30">
        <v>3115.0</v>
      </c>
      <c r="D3116" s="16" t="s">
        <v>3954</v>
      </c>
      <c r="E3116" s="16" t="s">
        <v>184</v>
      </c>
      <c r="F3116" s="16" t="s">
        <v>185</v>
      </c>
      <c r="G3116" s="16" t="s">
        <v>523</v>
      </c>
      <c r="H3116" s="16" t="s">
        <v>187</v>
      </c>
      <c r="I3116" s="16" t="s">
        <v>188</v>
      </c>
    </row>
    <row r="3117" ht="242.25" customHeight="1">
      <c r="B3117" s="32" t="str">
        <f>IMAGE("https://gymvisual.com/18095-catalog_default/resistance-band-horizontal-pallof-press.jpg",4,500,500)</f>
        <v/>
      </c>
      <c r="C3117" s="30">
        <v>3116.0</v>
      </c>
      <c r="D3117" s="16" t="s">
        <v>3955</v>
      </c>
      <c r="E3117" s="16" t="s">
        <v>184</v>
      </c>
      <c r="F3117" s="16" t="s">
        <v>254</v>
      </c>
      <c r="G3117" s="16" t="s">
        <v>523</v>
      </c>
      <c r="H3117" s="16" t="s">
        <v>257</v>
      </c>
      <c r="I3117" s="16" t="s">
        <v>220</v>
      </c>
    </row>
    <row r="3118" ht="242.25" customHeight="1">
      <c r="B3118" s="32" t="str">
        <f>IMAGE("https://gymvisual.com/19427-catalog_default/resistance-band-inverted-row.jpg",4,500,500)</f>
        <v/>
      </c>
      <c r="C3118" s="30">
        <v>3117.0</v>
      </c>
      <c r="D3118" s="16" t="s">
        <v>3956</v>
      </c>
      <c r="E3118" s="16" t="s">
        <v>184</v>
      </c>
      <c r="F3118" s="16" t="s">
        <v>192</v>
      </c>
      <c r="G3118" s="16" t="s">
        <v>523</v>
      </c>
      <c r="H3118" s="16" t="s">
        <v>220</v>
      </c>
      <c r="I3118" s="16" t="s">
        <v>220</v>
      </c>
    </row>
    <row r="3119" ht="242.25" customHeight="1">
      <c r="B3119" s="32" t="str">
        <f>IMAGE("https://gymvisual.com/20397-catalog_default/resistance-band-kneeling-ab-crunch.jpg",4,500,500)</f>
        <v/>
      </c>
      <c r="C3119" s="30">
        <v>3118.0</v>
      </c>
      <c r="D3119" s="16" t="s">
        <v>3957</v>
      </c>
      <c r="E3119" s="16" t="s">
        <v>184</v>
      </c>
      <c r="F3119" s="16" t="s">
        <v>254</v>
      </c>
      <c r="G3119" s="16" t="s">
        <v>523</v>
      </c>
      <c r="H3119" s="16" t="s">
        <v>256</v>
      </c>
      <c r="I3119" s="16" t="s">
        <v>257</v>
      </c>
    </row>
    <row r="3120" ht="242.25" customHeight="1">
      <c r="B3120" s="32" t="str">
        <f>IMAGE("https://gymvisual.com/20407-catalog_default/resistance-band-kneeling-ab-crunch-version-2.jpg",4,500,500)</f>
        <v/>
      </c>
      <c r="C3120" s="30">
        <v>3119.0</v>
      </c>
      <c r="D3120" s="16" t="s">
        <v>3958</v>
      </c>
      <c r="E3120" s="16" t="s">
        <v>184</v>
      </c>
      <c r="F3120" s="16" t="s">
        <v>254</v>
      </c>
      <c r="G3120" s="16" t="s">
        <v>523</v>
      </c>
      <c r="H3120" s="16" t="s">
        <v>256</v>
      </c>
      <c r="I3120" s="16" t="s">
        <v>257</v>
      </c>
    </row>
    <row r="3121" ht="242.25" customHeight="1">
      <c r="B3121" s="32" t="str">
        <f>IMAGE("https://gymvisual.com/8791-catalog_default/resistance-band-kneeling-side-plank.jpg",4,500,500)</f>
        <v/>
      </c>
      <c r="C3121" s="30">
        <v>3120.0</v>
      </c>
      <c r="D3121" s="16" t="s">
        <v>3959</v>
      </c>
      <c r="E3121" s="16" t="s">
        <v>184</v>
      </c>
      <c r="F3121" s="16" t="s">
        <v>185</v>
      </c>
      <c r="G3121" s="16" t="s">
        <v>523</v>
      </c>
      <c r="H3121" s="16" t="s">
        <v>475</v>
      </c>
      <c r="I3121" s="16" t="s">
        <v>1206</v>
      </c>
    </row>
    <row r="3122" ht="242.25" customHeight="1">
      <c r="B3122" s="32" t="str">
        <f>IMAGE("https://gymvisual.com/20409-catalog_default/resistance-band-kneeling-woodchop.jpg",4,500,500)</f>
        <v/>
      </c>
      <c r="C3122" s="30">
        <v>3121.0</v>
      </c>
      <c r="D3122" s="16" t="s">
        <v>3960</v>
      </c>
      <c r="E3122" s="16" t="s">
        <v>184</v>
      </c>
      <c r="F3122" s="16" t="s">
        <v>254</v>
      </c>
      <c r="G3122" s="16" t="s">
        <v>523</v>
      </c>
      <c r="H3122" s="16" t="s">
        <v>1697</v>
      </c>
      <c r="I3122" s="16" t="s">
        <v>3961</v>
      </c>
    </row>
    <row r="3123" ht="242.25" customHeight="1">
      <c r="B3123" s="32" t="str">
        <f>IMAGE("https://gymvisual.com/10505-catalog_default/resistance-band-leg-curl.jpg",4,500,500)</f>
        <v/>
      </c>
      <c r="C3123" s="30">
        <v>3122.0</v>
      </c>
      <c r="D3123" s="16" t="s">
        <v>3962</v>
      </c>
      <c r="E3123" s="16" t="s">
        <v>184</v>
      </c>
      <c r="F3123" s="16" t="s">
        <v>285</v>
      </c>
      <c r="G3123" s="16" t="s">
        <v>523</v>
      </c>
      <c r="H3123" s="16" t="s">
        <v>188</v>
      </c>
      <c r="I3123" s="16" t="s">
        <v>552</v>
      </c>
    </row>
    <row r="3124" ht="242.25" customHeight="1">
      <c r="B3124" s="32" t="str">
        <f>IMAGE("https://gymvisual.com/17519-catalog_default/resistance-band-leg-curl-male.jpg",4,500,500)</f>
        <v/>
      </c>
      <c r="C3124" s="30">
        <v>3123.0</v>
      </c>
      <c r="D3124" s="16" t="s">
        <v>3963</v>
      </c>
      <c r="E3124" s="16" t="s">
        <v>184</v>
      </c>
      <c r="F3124" s="16" t="s">
        <v>285</v>
      </c>
      <c r="G3124" s="16" t="s">
        <v>523</v>
      </c>
      <c r="H3124" s="16" t="s">
        <v>188</v>
      </c>
      <c r="I3124" s="16" t="s">
        <v>561</v>
      </c>
    </row>
    <row r="3125" ht="242.25" customHeight="1">
      <c r="B3125" s="32" t="str">
        <f>IMAGE("https://gymvisual.com/12468-catalog_default/resistance-band-leg-extension.jpg",4,500,500)</f>
        <v/>
      </c>
      <c r="C3125" s="30">
        <v>3124.0</v>
      </c>
      <c r="D3125" s="16" t="s">
        <v>3964</v>
      </c>
      <c r="E3125" s="16" t="s">
        <v>184</v>
      </c>
      <c r="F3125" s="16" t="s">
        <v>285</v>
      </c>
      <c r="G3125" s="16" t="s">
        <v>523</v>
      </c>
      <c r="H3125" s="16" t="s">
        <v>552</v>
      </c>
      <c r="I3125" s="16" t="s">
        <v>3965</v>
      </c>
    </row>
    <row r="3126" ht="242.25" customHeight="1">
      <c r="B3126" s="32" t="str">
        <f>IMAGE("https://gymvisual.com/12471-catalog_default/resistance-band-leg-extension-female.jpg",4,500,500)</f>
        <v/>
      </c>
      <c r="C3126" s="30">
        <v>3125.0</v>
      </c>
      <c r="D3126" s="16" t="s">
        <v>3966</v>
      </c>
      <c r="E3126" s="16" t="s">
        <v>184</v>
      </c>
      <c r="F3126" s="16" t="s">
        <v>285</v>
      </c>
      <c r="G3126" s="16" t="s">
        <v>523</v>
      </c>
      <c r="H3126" s="16" t="s">
        <v>552</v>
      </c>
      <c r="I3126" s="16" t="s">
        <v>3965</v>
      </c>
    </row>
    <row r="3127" ht="242.25" customHeight="1">
      <c r="B3127" s="32" t="str">
        <f>IMAGE("https://gymvisual.com/8792-catalog_default/resistance-band-leg-kickback.jpg",4,500,500)</f>
        <v/>
      </c>
      <c r="C3127" s="30">
        <v>3126.0</v>
      </c>
      <c r="D3127" s="16" t="s">
        <v>3967</v>
      </c>
      <c r="E3127" s="16" t="s">
        <v>184</v>
      </c>
      <c r="F3127" s="16" t="s">
        <v>185</v>
      </c>
      <c r="G3127" s="16" t="s">
        <v>523</v>
      </c>
      <c r="H3127" s="16" t="s">
        <v>187</v>
      </c>
      <c r="I3127" s="16" t="s">
        <v>188</v>
      </c>
    </row>
    <row r="3128" ht="242.25" customHeight="1">
      <c r="B3128" s="32" t="str">
        <f>IMAGE("https://gymvisual.com/10502-catalog_default/resistance-band-leg-lift.jpg",4,500,500)</f>
        <v/>
      </c>
      <c r="C3128" s="30">
        <v>3127.0</v>
      </c>
      <c r="D3128" s="16" t="s">
        <v>3968</v>
      </c>
      <c r="E3128" s="16" t="s">
        <v>184</v>
      </c>
      <c r="F3128" s="16" t="s">
        <v>285</v>
      </c>
      <c r="G3128" s="16" t="s">
        <v>523</v>
      </c>
      <c r="H3128" s="16" t="s">
        <v>552</v>
      </c>
      <c r="I3128" s="16" t="s">
        <v>553</v>
      </c>
    </row>
    <row r="3129" ht="242.25" customHeight="1">
      <c r="B3129" s="32" t="str">
        <f>IMAGE("https://gymvisual.com/10507-catalog_default/resistance-band-lunge.jpg",4,500,500)</f>
        <v/>
      </c>
      <c r="C3129" s="30">
        <v>3128.0</v>
      </c>
      <c r="D3129" s="16" t="s">
        <v>3969</v>
      </c>
      <c r="E3129" s="16" t="s">
        <v>184</v>
      </c>
      <c r="F3129" s="16" t="s">
        <v>285</v>
      </c>
      <c r="G3129" s="16" t="s">
        <v>523</v>
      </c>
      <c r="H3129" s="16" t="s">
        <v>189</v>
      </c>
      <c r="I3129" s="16" t="s">
        <v>190</v>
      </c>
    </row>
    <row r="3130" ht="242.25" customHeight="1">
      <c r="B3130" s="32" t="str">
        <f>IMAGE("https://gymvisual.com/10504-catalog_default/resistance-band-lying-abduction.jpg",4,500,500)</f>
        <v/>
      </c>
      <c r="C3130" s="30">
        <v>3129.0</v>
      </c>
      <c r="D3130" s="16" t="s">
        <v>3970</v>
      </c>
      <c r="E3130" s="16" t="s">
        <v>184</v>
      </c>
      <c r="F3130" s="16" t="s">
        <v>185</v>
      </c>
      <c r="G3130" s="16" t="s">
        <v>523</v>
      </c>
      <c r="H3130" s="16" t="s">
        <v>475</v>
      </c>
      <c r="I3130" s="16" t="s">
        <v>476</v>
      </c>
    </row>
    <row r="3131" ht="242.25" customHeight="1">
      <c r="B3131" s="32" t="str">
        <f>IMAGE("https://gymvisual.com/8793-catalog_default/resistance-band-lying-leg-raise.jpg",4,500,500)</f>
        <v/>
      </c>
      <c r="C3131" s="30">
        <v>3130.0</v>
      </c>
      <c r="D3131" s="16" t="s">
        <v>3971</v>
      </c>
      <c r="E3131" s="16" t="s">
        <v>184</v>
      </c>
      <c r="F3131" s="16" t="s">
        <v>185</v>
      </c>
      <c r="G3131" s="16" t="s">
        <v>523</v>
      </c>
      <c r="H3131" s="16" t="s">
        <v>475</v>
      </c>
      <c r="I3131" s="16" t="s">
        <v>476</v>
      </c>
    </row>
    <row r="3132" ht="242.25" customHeight="1">
      <c r="B3132" s="32" t="str">
        <f>IMAGE("https://gymvisual.com/19227-catalog_default/resistance-band-one-arm-bent-over-row.jpg",4,500,500)</f>
        <v/>
      </c>
      <c r="C3132" s="30">
        <v>3131.0</v>
      </c>
      <c r="D3132" s="16" t="s">
        <v>3972</v>
      </c>
      <c r="E3132" s="16" t="s">
        <v>184</v>
      </c>
      <c r="F3132" s="16" t="s">
        <v>192</v>
      </c>
      <c r="G3132" s="16" t="s">
        <v>523</v>
      </c>
      <c r="H3132" s="16" t="s">
        <v>329</v>
      </c>
      <c r="I3132" s="16" t="s">
        <v>447</v>
      </c>
    </row>
    <row r="3133" ht="242.25" customHeight="1">
      <c r="B3133" s="32" t="str">
        <f>IMAGE("https://gymvisual.com/8795-catalog_default/resistance-band-one-leg-glute-bridge.jpg",4,500,500)</f>
        <v/>
      </c>
      <c r="C3133" s="30">
        <v>3132.0</v>
      </c>
      <c r="D3133" s="16" t="s">
        <v>3973</v>
      </c>
      <c r="E3133" s="16" t="s">
        <v>184</v>
      </c>
      <c r="F3133" s="16" t="s">
        <v>185</v>
      </c>
      <c r="G3133" s="16" t="s">
        <v>523</v>
      </c>
      <c r="H3133" s="16" t="s">
        <v>187</v>
      </c>
      <c r="I3133" s="16" t="s">
        <v>854</v>
      </c>
    </row>
    <row r="3134" ht="242.25" customHeight="1">
      <c r="B3134" s="32" t="str">
        <f>IMAGE("https://gymvisual.com/11227-catalog_default/resistance-band-one-leg-glute-bridge-female.jpg",4,500,500)</f>
        <v/>
      </c>
      <c r="C3134" s="30">
        <v>3133.0</v>
      </c>
      <c r="D3134" s="16" t="s">
        <v>3974</v>
      </c>
      <c r="E3134" s="16" t="s">
        <v>184</v>
      </c>
      <c r="F3134" s="16" t="s">
        <v>185</v>
      </c>
      <c r="G3134" s="16" t="s">
        <v>523</v>
      </c>
      <c r="H3134" s="16" t="s">
        <v>220</v>
      </c>
      <c r="I3134" s="16" t="s">
        <v>220</v>
      </c>
    </row>
    <row r="3135" ht="242.25" customHeight="1">
      <c r="B3135" s="32" t="str">
        <f>IMAGE("https://gymvisual.com/8794-catalog_default/resistance-band-one-leg-glute-bridge-with-straight-leg.jpg",4,500,500)</f>
        <v/>
      </c>
      <c r="C3135" s="30">
        <v>3134.0</v>
      </c>
      <c r="D3135" s="16" t="s">
        <v>3975</v>
      </c>
      <c r="E3135" s="16" t="s">
        <v>184</v>
      </c>
      <c r="F3135" s="16" t="s">
        <v>185</v>
      </c>
      <c r="G3135" s="16" t="s">
        <v>523</v>
      </c>
      <c r="H3135" s="16" t="s">
        <v>187</v>
      </c>
      <c r="I3135" s="16" t="s">
        <v>854</v>
      </c>
    </row>
    <row r="3136" ht="242.25" customHeight="1">
      <c r="B3136" s="32" t="str">
        <f>IMAGE("https://gymvisual.com/8797-catalog_default/resistance-band-one-leg-kickback.jpg",4,500,500)</f>
        <v/>
      </c>
      <c r="C3136" s="30">
        <v>3135.0</v>
      </c>
      <c r="D3136" s="16" t="s">
        <v>3976</v>
      </c>
      <c r="E3136" s="16" t="s">
        <v>184</v>
      </c>
      <c r="F3136" s="16" t="s">
        <v>185</v>
      </c>
      <c r="G3136" s="16" t="s">
        <v>523</v>
      </c>
      <c r="H3136" s="16" t="s">
        <v>187</v>
      </c>
      <c r="I3136" s="16" t="s">
        <v>188</v>
      </c>
    </row>
    <row r="3137" ht="242.25" customHeight="1">
      <c r="B3137" s="32" t="str">
        <f>IMAGE("https://gymvisual.com/8796-catalog_default/resistance-band-one-leg-kickback-bent-position.jpg",4,500,500)</f>
        <v/>
      </c>
      <c r="C3137" s="30">
        <v>3136.0</v>
      </c>
      <c r="D3137" s="16" t="s">
        <v>3977</v>
      </c>
      <c r="E3137" s="16" t="s">
        <v>184</v>
      </c>
      <c r="F3137" s="16" t="s">
        <v>185</v>
      </c>
      <c r="G3137" s="16" t="s">
        <v>523</v>
      </c>
      <c r="H3137" s="16" t="s">
        <v>187</v>
      </c>
      <c r="I3137" s="16" t="s">
        <v>188</v>
      </c>
    </row>
    <row r="3138" ht="242.25" customHeight="1">
      <c r="B3138" s="32" t="str">
        <f>IMAGE("https://gymvisual.com/17150-catalog_default/resistance-band-one-leg-kickback-bent-position-male.jpg",4,500,500)</f>
        <v/>
      </c>
      <c r="C3138" s="30">
        <v>3137.0</v>
      </c>
      <c r="D3138" s="16" t="s">
        <v>3978</v>
      </c>
      <c r="E3138" s="16" t="s">
        <v>184</v>
      </c>
      <c r="F3138" s="16" t="s">
        <v>185</v>
      </c>
      <c r="G3138" s="16" t="s">
        <v>523</v>
      </c>
      <c r="H3138" s="16" t="s">
        <v>187</v>
      </c>
      <c r="I3138" s="16" t="s">
        <v>188</v>
      </c>
    </row>
    <row r="3139" ht="242.25" customHeight="1">
      <c r="B3139" s="32" t="str">
        <f>IMAGE("https://gymvisual.com/20403-catalog_default/resistance-band-overhead-shoulder-press.jpg",4,500,500)</f>
        <v/>
      </c>
      <c r="C3139" s="30">
        <v>3138.0</v>
      </c>
      <c r="D3139" s="16" t="s">
        <v>3979</v>
      </c>
      <c r="E3139" s="16" t="s">
        <v>184</v>
      </c>
      <c r="F3139" s="16" t="s">
        <v>228</v>
      </c>
      <c r="G3139" s="16" t="s">
        <v>523</v>
      </c>
      <c r="H3139" s="16" t="s">
        <v>229</v>
      </c>
      <c r="I3139" s="16" t="s">
        <v>626</v>
      </c>
    </row>
    <row r="3140" ht="242.25" customHeight="1">
      <c r="B3140" s="32" t="str">
        <f>IMAGE("https://gymvisual.com/18015-catalog_default/resistance-band-overhead-squat.jpg",4,500,500)</f>
        <v/>
      </c>
      <c r="C3140" s="30">
        <v>3139.0</v>
      </c>
      <c r="D3140" s="16" t="s">
        <v>3980</v>
      </c>
      <c r="E3140" s="16" t="s">
        <v>184</v>
      </c>
      <c r="F3140" s="16" t="s">
        <v>185</v>
      </c>
      <c r="G3140" s="16" t="s">
        <v>523</v>
      </c>
      <c r="H3140" s="16" t="s">
        <v>220</v>
      </c>
      <c r="I3140" s="16" t="s">
        <v>220</v>
      </c>
    </row>
    <row r="3141" ht="242.25" customHeight="1">
      <c r="B3141" s="32" t="str">
        <f>IMAGE("https://gymvisual.com/8798-catalog_default/resistance-band-plank-march.jpg",4,500,500)</f>
        <v/>
      </c>
      <c r="C3141" s="30">
        <v>3140.0</v>
      </c>
      <c r="D3141" s="16" t="s">
        <v>3981</v>
      </c>
      <c r="E3141" s="16" t="s">
        <v>184</v>
      </c>
      <c r="F3141" s="16" t="s">
        <v>285</v>
      </c>
      <c r="G3141" s="16" t="s">
        <v>523</v>
      </c>
      <c r="H3141" s="16" t="s">
        <v>188</v>
      </c>
      <c r="I3141" s="16" t="s">
        <v>1332</v>
      </c>
    </row>
    <row r="3142" ht="242.25" customHeight="1">
      <c r="B3142" s="32" t="str">
        <f>IMAGE("https://gymvisual.com/11230-catalog_default/resistance-band-plank-march-female.jpg",4,500,500)</f>
        <v/>
      </c>
      <c r="C3142" s="30">
        <v>3141.0</v>
      </c>
      <c r="D3142" s="16" t="s">
        <v>3982</v>
      </c>
      <c r="E3142" s="16" t="s">
        <v>184</v>
      </c>
      <c r="F3142" s="16" t="s">
        <v>185</v>
      </c>
      <c r="G3142" s="16" t="s">
        <v>523</v>
      </c>
      <c r="H3142" s="16" t="s">
        <v>220</v>
      </c>
      <c r="I3142" s="16" t="s">
        <v>220</v>
      </c>
    </row>
    <row r="3143" ht="242.25" customHeight="1">
      <c r="B3143" s="32" t="str">
        <f>IMAGE("https://gymvisual.com/19225-catalog_default/resistance-band-pull-apart.jpg",4,500,500)</f>
        <v/>
      </c>
      <c r="C3143" s="30">
        <v>3142.0</v>
      </c>
      <c r="D3143" s="16" t="s">
        <v>3983</v>
      </c>
      <c r="E3143" s="16" t="s">
        <v>184</v>
      </c>
      <c r="F3143" s="16" t="s">
        <v>228</v>
      </c>
      <c r="G3143" s="16" t="s">
        <v>523</v>
      </c>
      <c r="H3143" s="16" t="s">
        <v>408</v>
      </c>
      <c r="I3143" s="16" t="s">
        <v>731</v>
      </c>
    </row>
    <row r="3144" ht="242.25" customHeight="1">
      <c r="B3144" s="32" t="str">
        <f>IMAGE("https://gymvisual.com/20996-catalog_default/resistance-band-pull-apart-45-degrees.jpg",4,500,500)</f>
        <v/>
      </c>
      <c r="C3144" s="30">
        <v>3143.0</v>
      </c>
      <c r="D3144" s="16" t="s">
        <v>3984</v>
      </c>
      <c r="E3144" s="16" t="s">
        <v>184</v>
      </c>
      <c r="F3144" s="16" t="s">
        <v>228</v>
      </c>
      <c r="G3144" s="16" t="s">
        <v>523</v>
      </c>
      <c r="H3144" s="16" t="s">
        <v>408</v>
      </c>
      <c r="I3144" s="16" t="s">
        <v>731</v>
      </c>
    </row>
    <row r="3145" ht="242.25" customHeight="1">
      <c r="B3145" s="32" t="str">
        <f>IMAGE("https://gymvisual.com/25725-catalog_default/resistance-band-pull-through-female.jpg",4,500,500)</f>
        <v/>
      </c>
      <c r="C3145" s="30">
        <v>3144.0</v>
      </c>
      <c r="D3145" s="16" t="s">
        <v>3985</v>
      </c>
      <c r="E3145" s="16" t="s">
        <v>184</v>
      </c>
      <c r="F3145" s="16" t="s">
        <v>185</v>
      </c>
      <c r="G3145" s="16" t="s">
        <v>523</v>
      </c>
      <c r="H3145" s="16" t="s">
        <v>187</v>
      </c>
      <c r="I3145" s="16" t="s">
        <v>188</v>
      </c>
    </row>
    <row r="3146" ht="242.25" customHeight="1">
      <c r="B3146" s="32" t="str">
        <f>IMAGE("https://gymvisual.com/19493-catalog_default/resistance-band-pullapart-pronated-at-90-degrees.jpg",4,500,500)</f>
        <v/>
      </c>
      <c r="C3146" s="30">
        <v>3145.0</v>
      </c>
      <c r="D3146" s="16" t="s">
        <v>3986</v>
      </c>
      <c r="E3146" s="16" t="s">
        <v>184</v>
      </c>
      <c r="F3146" s="16" t="s">
        <v>228</v>
      </c>
      <c r="G3146" s="16" t="s">
        <v>523</v>
      </c>
      <c r="H3146" s="16" t="s">
        <v>220</v>
      </c>
      <c r="I3146" s="16" t="s">
        <v>220</v>
      </c>
    </row>
    <row r="3147" ht="242.25" customHeight="1">
      <c r="B3147" s="32" t="str">
        <f>IMAGE("https://gymvisual.com/12195-catalog_default/resistance-band-pullapart-supination-at-90-degrees.jpg",4,500,500)</f>
        <v/>
      </c>
      <c r="C3147" s="30">
        <v>3146.0</v>
      </c>
      <c r="D3147" s="16" t="s">
        <v>3987</v>
      </c>
      <c r="E3147" s="16" t="s">
        <v>184</v>
      </c>
      <c r="F3147" s="16" t="s">
        <v>192</v>
      </c>
      <c r="G3147" s="16" t="s">
        <v>523</v>
      </c>
      <c r="H3147" s="16" t="s">
        <v>220</v>
      </c>
      <c r="I3147" s="16" t="s">
        <v>220</v>
      </c>
    </row>
    <row r="3148" ht="242.25" customHeight="1">
      <c r="B3148" s="32" t="str">
        <f>IMAGE("https://gymvisual.com/17695-catalog_default/resistance-band-punch.jpg",4,500,500)</f>
        <v/>
      </c>
      <c r="C3148" s="30">
        <v>3147.0</v>
      </c>
      <c r="D3148" s="16" t="s">
        <v>3988</v>
      </c>
      <c r="E3148" s="16" t="s">
        <v>184</v>
      </c>
      <c r="F3148" s="16" t="s">
        <v>234</v>
      </c>
      <c r="G3148" s="16" t="s">
        <v>523</v>
      </c>
      <c r="H3148" s="16" t="s">
        <v>220</v>
      </c>
      <c r="I3148" s="16" t="s">
        <v>220</v>
      </c>
    </row>
    <row r="3149" ht="242.25" customHeight="1">
      <c r="B3149" s="32" t="str">
        <f>IMAGE("https://gymvisual.com/19231-catalog_default/resistance-band-push-up.jpg",4,500,500)</f>
        <v/>
      </c>
      <c r="C3149" s="30">
        <v>3148.0</v>
      </c>
      <c r="D3149" s="16" t="s">
        <v>3989</v>
      </c>
      <c r="E3149" s="16" t="s">
        <v>184</v>
      </c>
      <c r="F3149" s="16" t="s">
        <v>234</v>
      </c>
      <c r="G3149" s="16" t="s">
        <v>523</v>
      </c>
      <c r="H3149" s="16" t="s">
        <v>235</v>
      </c>
      <c r="I3149" s="16" t="s">
        <v>1907</v>
      </c>
    </row>
    <row r="3150" ht="242.25" customHeight="1">
      <c r="B3150" s="32" t="str">
        <f>IMAGE("https://gymvisual.com/18007-catalog_default/resistance-band-rear-delt-row-male.jpg",4,500,500)</f>
        <v/>
      </c>
      <c r="C3150" s="30">
        <v>3149.0</v>
      </c>
      <c r="D3150" s="16" t="s">
        <v>3990</v>
      </c>
      <c r="E3150" s="16" t="s">
        <v>184</v>
      </c>
      <c r="F3150" s="16" t="s">
        <v>192</v>
      </c>
      <c r="G3150" s="16" t="s">
        <v>523</v>
      </c>
      <c r="H3150" s="16" t="s">
        <v>220</v>
      </c>
      <c r="I3150" s="16" t="s">
        <v>220</v>
      </c>
    </row>
    <row r="3151" ht="242.25" customHeight="1">
      <c r="B3151" s="32" t="str">
        <f>IMAGE("https://gymvisual.com/13211-catalog_default/resistance-band-rear-fly.jpg",4,500,500)</f>
        <v/>
      </c>
      <c r="C3151" s="30">
        <v>3150.0</v>
      </c>
      <c r="D3151" s="16" t="s">
        <v>3991</v>
      </c>
      <c r="E3151" s="16" t="s">
        <v>184</v>
      </c>
      <c r="F3151" s="16" t="s">
        <v>228</v>
      </c>
      <c r="G3151" s="16" t="s">
        <v>523</v>
      </c>
      <c r="H3151" s="16" t="s">
        <v>408</v>
      </c>
      <c r="I3151" s="16" t="s">
        <v>3992</v>
      </c>
    </row>
    <row r="3152" ht="242.25" customHeight="1">
      <c r="B3152" s="32" t="str">
        <f>IMAGE("https://gymvisual.com/8799-catalog_default/resistance-band-reverse-hyperextension.jpg",4,500,500)</f>
        <v/>
      </c>
      <c r="C3152" s="30">
        <v>3151.0</v>
      </c>
      <c r="D3152" s="16" t="s">
        <v>3993</v>
      </c>
      <c r="E3152" s="16" t="s">
        <v>184</v>
      </c>
      <c r="F3152" s="16" t="s">
        <v>185</v>
      </c>
      <c r="G3152" s="16" t="s">
        <v>523</v>
      </c>
      <c r="H3152" s="16" t="s">
        <v>187</v>
      </c>
      <c r="I3152" s="16" t="s">
        <v>188</v>
      </c>
    </row>
    <row r="3153" ht="242.25" customHeight="1">
      <c r="B3153" s="32" t="str">
        <f>IMAGE("https://gymvisual.com/12509-catalog_default/resistance-band-seated-biceps-curl.jpg",4,500,500)</f>
        <v/>
      </c>
      <c r="C3153" s="30">
        <v>3152.0</v>
      </c>
      <c r="D3153" s="16" t="s">
        <v>3994</v>
      </c>
      <c r="E3153" s="16" t="s">
        <v>184</v>
      </c>
      <c r="F3153" s="16" t="s">
        <v>219</v>
      </c>
      <c r="G3153" s="16" t="s">
        <v>523</v>
      </c>
      <c r="H3153" s="16" t="s">
        <v>220</v>
      </c>
      <c r="I3153" s="16" t="s">
        <v>220</v>
      </c>
    </row>
    <row r="3154" ht="242.25" customHeight="1">
      <c r="B3154" s="32" t="str">
        <f>IMAGE("https://gymvisual.com/12529-catalog_default/resistance-band-seated-biceps-curl-female.jpg",4,500,500)</f>
        <v/>
      </c>
      <c r="C3154" s="30">
        <v>3153.0</v>
      </c>
      <c r="D3154" s="16" t="s">
        <v>3995</v>
      </c>
      <c r="E3154" s="16" t="s">
        <v>184</v>
      </c>
      <c r="F3154" s="16" t="s">
        <v>219</v>
      </c>
      <c r="G3154" s="16" t="s">
        <v>523</v>
      </c>
      <c r="H3154" s="16" t="s">
        <v>241</v>
      </c>
      <c r="I3154" s="16" t="s">
        <v>292</v>
      </c>
    </row>
    <row r="3155" ht="242.25" customHeight="1">
      <c r="B3155" s="32" t="str">
        <f>IMAGE("https://gymvisual.com/12510-catalog_default/resistance-band-seated-chest-press.jpg",4,500,500)</f>
        <v/>
      </c>
      <c r="C3155" s="30">
        <v>3154.0</v>
      </c>
      <c r="D3155" s="16" t="s">
        <v>3996</v>
      </c>
      <c r="E3155" s="16" t="s">
        <v>184</v>
      </c>
      <c r="F3155" s="16" t="s">
        <v>234</v>
      </c>
      <c r="G3155" s="16" t="s">
        <v>523</v>
      </c>
      <c r="H3155" s="16" t="s">
        <v>220</v>
      </c>
      <c r="I3155" s="16" t="s">
        <v>220</v>
      </c>
    </row>
    <row r="3156" ht="242.25" customHeight="1">
      <c r="B3156" s="32" t="str">
        <f>IMAGE("https://gymvisual.com/12530-catalog_default/resistance-band-seated-chest-press-female.jpg",4,500,500)</f>
        <v/>
      </c>
      <c r="C3156" s="30">
        <v>3155.0</v>
      </c>
      <c r="D3156" s="16" t="s">
        <v>3997</v>
      </c>
      <c r="E3156" s="16" t="s">
        <v>184</v>
      </c>
      <c r="F3156" s="16" t="s">
        <v>234</v>
      </c>
      <c r="G3156" s="16" t="s">
        <v>523</v>
      </c>
      <c r="H3156" s="16" t="s">
        <v>235</v>
      </c>
      <c r="I3156" s="16" t="s">
        <v>243</v>
      </c>
    </row>
    <row r="3157" ht="242.25" customHeight="1">
      <c r="B3157" s="32" t="str">
        <f>IMAGE("https://gymvisual.com/19511-catalog_default/resistance-band-seated-face-pull.jpg",4,500,500)</f>
        <v/>
      </c>
      <c r="C3157" s="30">
        <v>3156.0</v>
      </c>
      <c r="D3157" s="16" t="s">
        <v>3998</v>
      </c>
      <c r="E3157" s="16" t="s">
        <v>184</v>
      </c>
      <c r="F3157" s="16" t="s">
        <v>228</v>
      </c>
      <c r="G3157" s="16" t="s">
        <v>523</v>
      </c>
      <c r="H3157" s="16" t="s">
        <v>220</v>
      </c>
      <c r="I3157" s="16" t="s">
        <v>220</v>
      </c>
    </row>
    <row r="3158" ht="242.25" customHeight="1">
      <c r="B3158" s="32" t="str">
        <f>IMAGE("https://gymvisual.com/12465-catalog_default/resistance-band-seated-hip-abduction.jpg",4,500,500)</f>
        <v/>
      </c>
      <c r="C3158" s="30">
        <v>3157.0</v>
      </c>
      <c r="D3158" s="16" t="s">
        <v>3999</v>
      </c>
      <c r="E3158" s="16" t="s">
        <v>184</v>
      </c>
      <c r="F3158" s="16" t="s">
        <v>185</v>
      </c>
      <c r="G3158" s="16" t="s">
        <v>523</v>
      </c>
      <c r="H3158" s="16" t="s">
        <v>475</v>
      </c>
      <c r="I3158" s="16" t="s">
        <v>476</v>
      </c>
    </row>
    <row r="3159" ht="242.25" customHeight="1">
      <c r="B3159" s="32" t="str">
        <f>IMAGE("https://gymvisual.com/12462-catalog_default/resistance-band-seated-hip-abduction-female.jpg",4,500,500)</f>
        <v/>
      </c>
      <c r="C3159" s="30">
        <v>3158.0</v>
      </c>
      <c r="D3159" s="16" t="s">
        <v>4000</v>
      </c>
      <c r="E3159" s="16" t="s">
        <v>184</v>
      </c>
      <c r="F3159" s="16" t="s">
        <v>185</v>
      </c>
      <c r="G3159" s="16" t="s">
        <v>523</v>
      </c>
      <c r="H3159" s="16" t="s">
        <v>475</v>
      </c>
      <c r="I3159" s="16" t="s">
        <v>476</v>
      </c>
    </row>
    <row r="3160" ht="242.25" customHeight="1">
      <c r="B3160" s="32" t="str">
        <f>IMAGE("https://gymvisual.com/20405-catalog_default/resistance-band-seated-leg-curl.jpg",4,500,500)</f>
        <v/>
      </c>
      <c r="C3160" s="30">
        <v>3159.0</v>
      </c>
      <c r="D3160" s="16" t="s">
        <v>4001</v>
      </c>
      <c r="E3160" s="16" t="s">
        <v>184</v>
      </c>
      <c r="F3160" s="16" t="s">
        <v>285</v>
      </c>
      <c r="G3160" s="16" t="s">
        <v>523</v>
      </c>
      <c r="H3160" s="16" t="s">
        <v>188</v>
      </c>
      <c r="I3160" s="16" t="s">
        <v>561</v>
      </c>
    </row>
    <row r="3161" ht="242.25" customHeight="1">
      <c r="B3161" s="32" t="str">
        <f>IMAGE("https://gymvisual.com/12508-catalog_default/resistance-band-seated-shoulder-press.jpg",4,500,500)</f>
        <v/>
      </c>
      <c r="C3161" s="30">
        <v>3160.0</v>
      </c>
      <c r="D3161" s="16" t="s">
        <v>4002</v>
      </c>
      <c r="E3161" s="16" t="s">
        <v>184</v>
      </c>
      <c r="F3161" s="16" t="s">
        <v>228</v>
      </c>
      <c r="G3161" s="16" t="s">
        <v>523</v>
      </c>
      <c r="H3161" s="16" t="s">
        <v>220</v>
      </c>
      <c r="I3161" s="16" t="s">
        <v>220</v>
      </c>
    </row>
    <row r="3162" ht="242.25" customHeight="1">
      <c r="B3162" s="32" t="str">
        <f>IMAGE("https://gymvisual.com/12528-catalog_default/resistance-band-seated-shoulder-press-female.jpg",4,500,500)</f>
        <v/>
      </c>
      <c r="C3162" s="30">
        <v>3161.0</v>
      </c>
      <c r="D3162" s="16" t="s">
        <v>4003</v>
      </c>
      <c r="E3162" s="16" t="s">
        <v>184</v>
      </c>
      <c r="F3162" s="16" t="s">
        <v>228</v>
      </c>
      <c r="G3162" s="16" t="s">
        <v>523</v>
      </c>
      <c r="H3162" s="16" t="s">
        <v>229</v>
      </c>
      <c r="I3162" s="16" t="s">
        <v>626</v>
      </c>
    </row>
    <row r="3163" ht="242.25" customHeight="1">
      <c r="B3163" s="32" t="str">
        <f>IMAGE("https://gymvisual.com/13795-catalog_default/resistance-band-seated-single-leg-curl.jpg",4,500,500)</f>
        <v/>
      </c>
      <c r="C3163" s="30">
        <v>3162.0</v>
      </c>
      <c r="D3163" s="16" t="s">
        <v>4004</v>
      </c>
      <c r="E3163" s="16" t="s">
        <v>184</v>
      </c>
      <c r="F3163" s="16" t="s">
        <v>285</v>
      </c>
      <c r="G3163" s="16" t="s">
        <v>523</v>
      </c>
      <c r="H3163" s="16" t="s">
        <v>188</v>
      </c>
      <c r="I3163" s="16" t="s">
        <v>3539</v>
      </c>
    </row>
    <row r="3164" ht="242.25" customHeight="1">
      <c r="B3164" s="32" t="str">
        <f>IMAGE("https://gymvisual.com/12550-catalog_default/resistance-band-seated-straight-back-row.jpg",4,500,500)</f>
        <v/>
      </c>
      <c r="C3164" s="30">
        <v>3163.0</v>
      </c>
      <c r="D3164" s="16" t="s">
        <v>4005</v>
      </c>
      <c r="E3164" s="16" t="s">
        <v>184</v>
      </c>
      <c r="F3164" s="16" t="s">
        <v>192</v>
      </c>
      <c r="G3164" s="16" t="s">
        <v>523</v>
      </c>
      <c r="H3164" s="16" t="s">
        <v>329</v>
      </c>
      <c r="I3164" s="16" t="s">
        <v>447</v>
      </c>
    </row>
    <row r="3165" ht="242.25" customHeight="1">
      <c r="B3165" s="32" t="str">
        <f>IMAGE("https://gymvisual.com/12549-catalog_default/resistance-band-seated-straight-back-row-female.jpg",4,500,500)</f>
        <v/>
      </c>
      <c r="C3165" s="30">
        <v>3164.0</v>
      </c>
      <c r="D3165" s="16" t="s">
        <v>4006</v>
      </c>
      <c r="E3165" s="16" t="s">
        <v>184</v>
      </c>
      <c r="F3165" s="16" t="s">
        <v>192</v>
      </c>
      <c r="G3165" s="16" t="s">
        <v>523</v>
      </c>
      <c r="H3165" s="16" t="s">
        <v>329</v>
      </c>
      <c r="I3165" s="16" t="s">
        <v>447</v>
      </c>
    </row>
    <row r="3166" ht="242.25" customHeight="1">
      <c r="B3166" s="32" t="str">
        <f>IMAGE("https://gymvisual.com/20167-catalog_default/resistance-band-serratus-wall-slide.jpg",4,500,500)</f>
        <v/>
      </c>
      <c r="C3166" s="30">
        <v>3165.0</v>
      </c>
      <c r="D3166" s="16" t="s">
        <v>4007</v>
      </c>
      <c r="E3166" s="16" t="s">
        <v>184</v>
      </c>
      <c r="F3166" s="16" t="s">
        <v>192</v>
      </c>
      <c r="G3166" s="16" t="s">
        <v>523</v>
      </c>
      <c r="H3166" s="16" t="s">
        <v>4008</v>
      </c>
      <c r="I3166" s="16" t="s">
        <v>1621</v>
      </c>
    </row>
    <row r="3167" ht="242.25" customHeight="1">
      <c r="B3167" s="32" t="str">
        <f>IMAGE("https://gymvisual.com/18097-catalog_default/resistance-band-shuttle.jpg",4,500,500)</f>
        <v/>
      </c>
      <c r="C3167" s="30">
        <v>3166.0</v>
      </c>
      <c r="D3167" s="16" t="s">
        <v>4009</v>
      </c>
      <c r="E3167" s="16" t="s">
        <v>184</v>
      </c>
      <c r="F3167" s="16" t="s">
        <v>185</v>
      </c>
      <c r="G3167" s="16" t="s">
        <v>523</v>
      </c>
      <c r="H3167" s="16" t="s">
        <v>220</v>
      </c>
      <c r="I3167" s="16" t="s">
        <v>220</v>
      </c>
    </row>
    <row r="3168" ht="242.25" customHeight="1">
      <c r="B3168" s="32" t="str">
        <f>IMAGE("https://gymvisual.com/8800-catalog_default/resistance-band-side-plank.jpg",4,500,500)</f>
        <v/>
      </c>
      <c r="C3168" s="30">
        <v>3167.0</v>
      </c>
      <c r="D3168" s="16" t="s">
        <v>4010</v>
      </c>
      <c r="E3168" s="16" t="s">
        <v>184</v>
      </c>
      <c r="F3168" s="16" t="s">
        <v>310</v>
      </c>
      <c r="G3168" s="16" t="s">
        <v>523</v>
      </c>
      <c r="H3168" s="16" t="s">
        <v>4011</v>
      </c>
      <c r="I3168" s="16" t="s">
        <v>476</v>
      </c>
    </row>
    <row r="3169" ht="242.25" customHeight="1">
      <c r="B3169" s="32" t="str">
        <f>IMAGE("https://gymvisual.com/17679-catalog_default/resistance-band-side-step-with-horizontal-pallof-hold.jpg",4,500,500)</f>
        <v/>
      </c>
      <c r="C3169" s="30">
        <v>3168.0</v>
      </c>
      <c r="D3169" s="16" t="s">
        <v>4012</v>
      </c>
      <c r="E3169" s="16" t="s">
        <v>184</v>
      </c>
      <c r="F3169" s="16" t="s">
        <v>254</v>
      </c>
      <c r="G3169" s="16" t="s">
        <v>523</v>
      </c>
      <c r="H3169" s="16" t="s">
        <v>220</v>
      </c>
      <c r="I3169" s="16" t="s">
        <v>220</v>
      </c>
    </row>
    <row r="3170" ht="242.25" customHeight="1">
      <c r="B3170" s="32" t="str">
        <f>IMAGE("https://gymvisual.com/20401-catalog_default/resistance-band-single-arm-overhead-shoulder-press.jpg",4,500,500)</f>
        <v/>
      </c>
      <c r="C3170" s="30">
        <v>3169.0</v>
      </c>
      <c r="D3170" s="16" t="s">
        <v>4013</v>
      </c>
      <c r="E3170" s="16" t="s">
        <v>184</v>
      </c>
      <c r="F3170" s="16" t="s">
        <v>228</v>
      </c>
      <c r="G3170" s="16" t="s">
        <v>523</v>
      </c>
      <c r="H3170" s="16" t="s">
        <v>229</v>
      </c>
      <c r="I3170" s="16" t="s">
        <v>626</v>
      </c>
    </row>
    <row r="3171" ht="242.25" customHeight="1">
      <c r="B3171" s="32" t="str">
        <f>IMAGE("https://gymvisual.com/17677-catalog_default/resistance-band-single-stiff-leg-deadlift-with-single-arm-row.jpg",4,500,500)</f>
        <v/>
      </c>
      <c r="C3171" s="30">
        <v>3170.0</v>
      </c>
      <c r="D3171" s="16" t="s">
        <v>4014</v>
      </c>
      <c r="E3171" s="16" t="s">
        <v>184</v>
      </c>
      <c r="F3171" s="16" t="s">
        <v>192</v>
      </c>
      <c r="G3171" s="16" t="s">
        <v>523</v>
      </c>
      <c r="H3171" s="16" t="s">
        <v>220</v>
      </c>
      <c r="I3171" s="16" t="s">
        <v>220</v>
      </c>
    </row>
    <row r="3172" ht="242.25" customHeight="1">
      <c r="B3172" s="32" t="str">
        <f>IMAGE("https://gymvisual.com/17689-catalog_default/resistance-band-skier.jpg",4,500,500)</f>
        <v/>
      </c>
      <c r="C3172" s="30">
        <v>3171.0</v>
      </c>
      <c r="D3172" s="16" t="s">
        <v>4015</v>
      </c>
      <c r="E3172" s="16" t="s">
        <v>184</v>
      </c>
      <c r="F3172" s="16" t="s">
        <v>192</v>
      </c>
      <c r="G3172" s="16" t="s">
        <v>523</v>
      </c>
      <c r="H3172" s="16" t="s">
        <v>220</v>
      </c>
      <c r="I3172" s="16" t="s">
        <v>220</v>
      </c>
    </row>
    <row r="3173" ht="242.25" customHeight="1">
      <c r="B3173" s="32" t="str">
        <f>IMAGE("https://gymvisual.com/17711-catalog_default/resistance-band-smith-squat.jpg",4,500,500)</f>
        <v/>
      </c>
      <c r="C3173" s="30">
        <v>3172.0</v>
      </c>
      <c r="D3173" s="16" t="s">
        <v>4016</v>
      </c>
      <c r="E3173" s="16" t="s">
        <v>184</v>
      </c>
      <c r="F3173" s="16" t="s">
        <v>285</v>
      </c>
      <c r="G3173" s="16" t="s">
        <v>4017</v>
      </c>
      <c r="H3173" s="16" t="s">
        <v>220</v>
      </c>
      <c r="I3173" s="16" t="s">
        <v>220</v>
      </c>
    </row>
    <row r="3174" ht="242.25" customHeight="1">
      <c r="B3174" s="32" t="str">
        <f>IMAGE("https://gymvisual.com/12208-catalog_default/resistance-band-spider-crawls.jpg",4,500,500)</f>
        <v/>
      </c>
      <c r="C3174" s="30">
        <v>3173.0</v>
      </c>
      <c r="D3174" s="16" t="s">
        <v>4018</v>
      </c>
      <c r="E3174" s="16" t="s">
        <v>184</v>
      </c>
      <c r="F3174" s="16" t="s">
        <v>192</v>
      </c>
      <c r="G3174" s="16" t="s">
        <v>523</v>
      </c>
      <c r="H3174" s="16" t="s">
        <v>220</v>
      </c>
      <c r="I3174" s="16" t="s">
        <v>220</v>
      </c>
    </row>
    <row r="3175" ht="242.25" customHeight="1">
      <c r="B3175" s="32" t="str">
        <f>IMAGE("https://gymvisual.com/19731-catalog_default/resistance-band-split-squat.jpg",4,500,500)</f>
        <v/>
      </c>
      <c r="C3175" s="30">
        <v>3174.0</v>
      </c>
      <c r="D3175" s="16" t="s">
        <v>4019</v>
      </c>
      <c r="E3175" s="16" t="s">
        <v>184</v>
      </c>
      <c r="F3175" s="16" t="s">
        <v>285</v>
      </c>
      <c r="G3175" s="16" t="s">
        <v>523</v>
      </c>
      <c r="H3175" s="16" t="s">
        <v>189</v>
      </c>
      <c r="I3175" s="16" t="s">
        <v>190</v>
      </c>
    </row>
    <row r="3176" ht="242.25" customHeight="1">
      <c r="B3176" s="32" t="str">
        <f>IMAGE("https://gymvisual.com/17693-catalog_default/resistance-band-split-squat-with-horizontal-pallof-hold.jpg",4,500,500)</f>
        <v/>
      </c>
      <c r="C3176" s="30">
        <v>3175.0</v>
      </c>
      <c r="D3176" s="16" t="s">
        <v>4020</v>
      </c>
      <c r="E3176" s="16" t="s">
        <v>184</v>
      </c>
      <c r="F3176" s="16" t="s">
        <v>254</v>
      </c>
      <c r="G3176" s="16" t="s">
        <v>523</v>
      </c>
      <c r="H3176" s="16" t="s">
        <v>220</v>
      </c>
      <c r="I3176" s="16" t="s">
        <v>220</v>
      </c>
    </row>
    <row r="3177" ht="242.25" customHeight="1">
      <c r="B3177" s="32" t="str">
        <f>IMAGE("https://gymvisual.com/19465-catalog_default/resistance-band-squat.jpg",4,500,500)</f>
        <v/>
      </c>
      <c r="C3177" s="30">
        <v>3176.0</v>
      </c>
      <c r="D3177" s="16" t="s">
        <v>4021</v>
      </c>
      <c r="E3177" s="16" t="s">
        <v>184</v>
      </c>
      <c r="F3177" s="16" t="s">
        <v>285</v>
      </c>
      <c r="G3177" s="16" t="s">
        <v>523</v>
      </c>
      <c r="H3177" s="16" t="s">
        <v>220</v>
      </c>
      <c r="I3177" s="16" t="s">
        <v>220</v>
      </c>
    </row>
    <row r="3178" ht="242.25" customHeight="1">
      <c r="B3178" s="32" t="str">
        <f>IMAGE("https://gymvisual.com/17691-catalog_default/resistance-band-squat-with-horizontal-pallof-hold.jpg",4,500,500)</f>
        <v/>
      </c>
      <c r="C3178" s="30">
        <v>3177.0</v>
      </c>
      <c r="D3178" s="16" t="s">
        <v>4022</v>
      </c>
      <c r="E3178" s="16" t="s">
        <v>184</v>
      </c>
      <c r="F3178" s="16" t="s">
        <v>254</v>
      </c>
      <c r="G3178" s="16" t="s">
        <v>523</v>
      </c>
      <c r="H3178" s="16" t="s">
        <v>220</v>
      </c>
      <c r="I3178" s="16" t="s">
        <v>220</v>
      </c>
    </row>
    <row r="3179" ht="242.25" customHeight="1">
      <c r="B3179" s="32" t="str">
        <f>IMAGE("https://gymvisual.com/17671-catalog_default/resistance-band-squat-with-single-arm-row.jpg",4,500,500)</f>
        <v/>
      </c>
      <c r="C3179" s="30">
        <v>3178.0</v>
      </c>
      <c r="D3179" s="16" t="s">
        <v>4023</v>
      </c>
      <c r="E3179" s="16" t="s">
        <v>184</v>
      </c>
      <c r="F3179" s="16" t="s">
        <v>192</v>
      </c>
      <c r="G3179" s="16" t="s">
        <v>523</v>
      </c>
      <c r="H3179" s="16" t="s">
        <v>220</v>
      </c>
      <c r="I3179" s="16" t="s">
        <v>220</v>
      </c>
    </row>
    <row r="3180" ht="242.25" customHeight="1">
      <c r="B3180" s="32" t="str">
        <f>IMAGE("https://gymvisual.com/20399-catalog_default/resistance-band-standing-ab-crunch.jpg",4,500,500)</f>
        <v/>
      </c>
      <c r="C3180" s="30">
        <v>3179.0</v>
      </c>
      <c r="D3180" s="16" t="s">
        <v>4024</v>
      </c>
      <c r="E3180" s="16" t="s">
        <v>184</v>
      </c>
      <c r="F3180" s="16" t="s">
        <v>254</v>
      </c>
      <c r="G3180" s="16" t="s">
        <v>523</v>
      </c>
      <c r="H3180" s="16" t="s">
        <v>256</v>
      </c>
      <c r="I3180" s="16" t="s">
        <v>257</v>
      </c>
    </row>
    <row r="3181" ht="242.25" customHeight="1">
      <c r="B3181" s="32" t="str">
        <f>IMAGE("https://gymvisual.com/17705-catalog_default/resistance-band-standing-hip-abduction.jpg",4,500,500)</f>
        <v/>
      </c>
      <c r="C3181" s="30">
        <v>3180.0</v>
      </c>
      <c r="D3181" s="16" t="s">
        <v>4025</v>
      </c>
      <c r="E3181" s="16" t="s">
        <v>184</v>
      </c>
      <c r="F3181" s="16" t="s">
        <v>185</v>
      </c>
      <c r="G3181" s="16" t="s">
        <v>523</v>
      </c>
      <c r="H3181" s="16" t="s">
        <v>220</v>
      </c>
      <c r="I3181" s="16" t="s">
        <v>220</v>
      </c>
    </row>
    <row r="3182" ht="242.25" customHeight="1">
      <c r="B3182" s="32" t="str">
        <f>IMAGE("https://gymvisual.com/19365-catalog_default/resistance-band-supine-hip-bridge-march.jpg",4,500,500)</f>
        <v/>
      </c>
      <c r="C3182" s="30">
        <v>3181.0</v>
      </c>
      <c r="D3182" s="16" t="s">
        <v>4026</v>
      </c>
      <c r="E3182" s="16" t="s">
        <v>184</v>
      </c>
      <c r="F3182" s="16" t="s">
        <v>294</v>
      </c>
      <c r="G3182" s="16" t="s">
        <v>523</v>
      </c>
      <c r="H3182" s="16" t="s">
        <v>2412</v>
      </c>
      <c r="I3182" s="16" t="s">
        <v>552</v>
      </c>
    </row>
    <row r="3183" ht="242.25" customHeight="1">
      <c r="B3183" s="32" t="str">
        <f>IMAGE("https://gymvisual.com/10570-catalog_default/resistance-band-toe-touch.jpg",4,500,500)</f>
        <v/>
      </c>
      <c r="C3183" s="30">
        <v>3182.0</v>
      </c>
      <c r="D3183" s="16" t="s">
        <v>4027</v>
      </c>
      <c r="E3183" s="16" t="s">
        <v>184</v>
      </c>
      <c r="F3183" s="16" t="s">
        <v>185</v>
      </c>
      <c r="G3183" s="16" t="s">
        <v>523</v>
      </c>
      <c r="H3183" s="16" t="s">
        <v>1240</v>
      </c>
      <c r="I3183" s="16" t="s">
        <v>220</v>
      </c>
    </row>
    <row r="3184" ht="242.25" customHeight="1">
      <c r="B3184" s="32" t="str">
        <f>IMAGE("https://gymvisual.com/19729-catalog_default/resistance-band-triceps-pushdown.jpg",4,500,500)</f>
        <v/>
      </c>
      <c r="C3184" s="30">
        <v>3183.0</v>
      </c>
      <c r="D3184" s="16" t="s">
        <v>4028</v>
      </c>
      <c r="E3184" s="16" t="s">
        <v>184</v>
      </c>
      <c r="F3184" s="16" t="s">
        <v>219</v>
      </c>
      <c r="G3184" s="16" t="s">
        <v>523</v>
      </c>
      <c r="H3184" s="16" t="s">
        <v>223</v>
      </c>
      <c r="I3184" s="16" t="s">
        <v>220</v>
      </c>
    </row>
    <row r="3185" ht="242.25" customHeight="1">
      <c r="B3185" s="32" t="str">
        <f>IMAGE("https://gymvisual.com/20519-catalog_default/resistance-band-triceps-pushdown-female.jpg",4,500,500)</f>
        <v/>
      </c>
      <c r="C3185" s="30">
        <v>3184.0</v>
      </c>
      <c r="D3185" s="16" t="s">
        <v>4029</v>
      </c>
      <c r="E3185" s="16" t="s">
        <v>184</v>
      </c>
      <c r="F3185" s="16" t="s">
        <v>219</v>
      </c>
      <c r="G3185" s="16" t="s">
        <v>523</v>
      </c>
      <c r="H3185" s="16" t="s">
        <v>223</v>
      </c>
      <c r="I3185" s="16" t="s">
        <v>220</v>
      </c>
    </row>
    <row r="3186" ht="242.25" customHeight="1">
      <c r="B3186" s="32" t="str">
        <f>IMAGE("https://gymvisual.com/14034-catalog_default/resistance-band-upper-body-dead-bug.jpg",4,500,500)</f>
        <v/>
      </c>
      <c r="C3186" s="30">
        <v>3185.0</v>
      </c>
      <c r="D3186" s="16" t="s">
        <v>4030</v>
      </c>
      <c r="E3186" s="16" t="s">
        <v>184</v>
      </c>
      <c r="F3186" s="16" t="s">
        <v>310</v>
      </c>
      <c r="G3186" s="16" t="s">
        <v>523</v>
      </c>
      <c r="H3186" s="16" t="s">
        <v>305</v>
      </c>
      <c r="I3186" s="16" t="s">
        <v>4031</v>
      </c>
    </row>
    <row r="3187" ht="242.25" customHeight="1">
      <c r="B3187" s="32" t="str">
        <f>IMAGE("https://gymvisual.com/17683-catalog_default/resistance-band-upper-body-lying-air-bike.jpg",4,500,500)</f>
        <v/>
      </c>
      <c r="C3187" s="30">
        <v>3186.0</v>
      </c>
      <c r="D3187" s="16" t="s">
        <v>4032</v>
      </c>
      <c r="E3187" s="16" t="s">
        <v>184</v>
      </c>
      <c r="F3187" s="16" t="s">
        <v>254</v>
      </c>
      <c r="G3187" s="16" t="s">
        <v>523</v>
      </c>
      <c r="H3187" s="16" t="s">
        <v>220</v>
      </c>
      <c r="I3187" s="16" t="s">
        <v>220</v>
      </c>
    </row>
    <row r="3188" ht="242.25" customHeight="1">
      <c r="B3188" s="32" t="str">
        <f>IMAGE("https://gymvisual.com/22293-catalog_default/reverse-back-extension-on-floor.jpg",4,500,500)</f>
        <v/>
      </c>
      <c r="C3188" s="30">
        <v>3187.0</v>
      </c>
      <c r="D3188" s="16" t="s">
        <v>4033</v>
      </c>
      <c r="E3188" s="16" t="s">
        <v>184</v>
      </c>
      <c r="F3188" s="16" t="s">
        <v>185</v>
      </c>
      <c r="G3188" s="16" t="s">
        <v>255</v>
      </c>
      <c r="H3188" s="16" t="s">
        <v>220</v>
      </c>
      <c r="I3188" s="16" t="s">
        <v>220</v>
      </c>
    </row>
    <row r="3189" ht="242.25" customHeight="1">
      <c r="B3189" s="32" t="str">
        <f>IMAGE("https://gymvisual.com/2013-catalog_default/3-4-sit-up.jpg",4,500,500)</f>
        <v/>
      </c>
      <c r="C3189" s="30">
        <v>3188.0</v>
      </c>
      <c r="D3189" s="16" t="s">
        <v>4034</v>
      </c>
      <c r="E3189" s="16" t="s">
        <v>184</v>
      </c>
      <c r="F3189" s="16" t="s">
        <v>254</v>
      </c>
      <c r="G3189" s="16" t="s">
        <v>255</v>
      </c>
      <c r="H3189" s="16" t="s">
        <v>256</v>
      </c>
      <c r="I3189" s="16" t="s">
        <v>257</v>
      </c>
    </row>
    <row r="3190" ht="242.25" customHeight="1">
      <c r="B3190" s="32" t="str">
        <f>IMAGE("https://gymvisual.com/7635-catalog_default/reverse-crunch.jpg",4,500,500)</f>
        <v/>
      </c>
      <c r="C3190" s="30">
        <v>3189.0</v>
      </c>
      <c r="D3190" s="16" t="s">
        <v>4034</v>
      </c>
      <c r="E3190" s="16" t="s">
        <v>184</v>
      </c>
      <c r="F3190" s="16" t="s">
        <v>254</v>
      </c>
      <c r="G3190" s="16" t="s">
        <v>255</v>
      </c>
      <c r="H3190" s="16" t="s">
        <v>256</v>
      </c>
      <c r="I3190" s="16" t="s">
        <v>257</v>
      </c>
    </row>
    <row r="3191" ht="242.25" customHeight="1">
      <c r="B3191" s="32" t="str">
        <f>IMAGE("https://gymvisual.com/22738-catalog_default/reverse-crunch-version-2.jpg",4,500,500)</f>
        <v/>
      </c>
      <c r="C3191" s="30">
        <v>3190.0</v>
      </c>
      <c r="D3191" s="16" t="s">
        <v>4035</v>
      </c>
      <c r="E3191" s="16" t="s">
        <v>184</v>
      </c>
      <c r="F3191" s="16" t="s">
        <v>254</v>
      </c>
      <c r="G3191" s="16" t="s">
        <v>255</v>
      </c>
      <c r="H3191" s="16" t="s">
        <v>305</v>
      </c>
      <c r="I3191" s="16" t="s">
        <v>600</v>
      </c>
    </row>
    <row r="3192" ht="242.25" customHeight="1">
      <c r="B3192" s="32" t="str">
        <f>IMAGE("https://gymvisual.com/22295-catalog_default/reverse-crunch-version-3.jpg",4,500,500)</f>
        <v/>
      </c>
      <c r="C3192" s="30">
        <v>3191.0</v>
      </c>
      <c r="D3192" s="16" t="s">
        <v>4036</v>
      </c>
      <c r="E3192" s="16" t="s">
        <v>184</v>
      </c>
      <c r="F3192" s="16" t="s">
        <v>254</v>
      </c>
      <c r="G3192" s="16" t="s">
        <v>255</v>
      </c>
      <c r="H3192" s="16" t="s">
        <v>220</v>
      </c>
      <c r="I3192" s="16" t="s">
        <v>220</v>
      </c>
    </row>
    <row r="3193" ht="242.25" customHeight="1">
      <c r="B3193" s="32" t="str">
        <f>IMAGE("https://gymvisual.com/18250-catalog_default/reverse-crunch-kick.jpg",4,500,500)</f>
        <v/>
      </c>
      <c r="C3193" s="30">
        <v>3192.0</v>
      </c>
      <c r="D3193" s="16" t="s">
        <v>4037</v>
      </c>
      <c r="E3193" s="16" t="s">
        <v>184</v>
      </c>
      <c r="F3193" s="16" t="s">
        <v>254</v>
      </c>
      <c r="G3193" s="16" t="s">
        <v>255</v>
      </c>
      <c r="H3193" s="16" t="s">
        <v>2640</v>
      </c>
      <c r="I3193" s="16" t="s">
        <v>1840</v>
      </c>
    </row>
    <row r="3194" ht="242.25" customHeight="1">
      <c r="B3194" s="32" t="str">
        <f>IMAGE("https://gymvisual.com/17895-catalog_default/reverse-crunch-to-dead-bug-male.jpg",4,500,500)</f>
        <v/>
      </c>
      <c r="C3194" s="30">
        <v>3193.0</v>
      </c>
      <c r="D3194" s="16" t="s">
        <v>4038</v>
      </c>
      <c r="E3194" s="16" t="s">
        <v>184</v>
      </c>
      <c r="F3194" s="16" t="s">
        <v>254</v>
      </c>
      <c r="G3194" s="16" t="s">
        <v>255</v>
      </c>
      <c r="H3194" s="16" t="s">
        <v>220</v>
      </c>
      <c r="I3194" s="16" t="s">
        <v>220</v>
      </c>
    </row>
    <row r="3195" ht="242.25" customHeight="1">
      <c r="B3195" s="32" t="str">
        <f>IMAGE("https://gymvisual.com/2016-catalog_default/3-4-sit-up.jpg",4,500,500)</f>
        <v/>
      </c>
      <c r="C3195" s="30">
        <v>3194.0</v>
      </c>
      <c r="D3195" s="16" t="s">
        <v>4039</v>
      </c>
      <c r="E3195" s="16" t="s">
        <v>184</v>
      </c>
      <c r="F3195" s="16" t="s">
        <v>219</v>
      </c>
      <c r="G3195" s="16" t="s">
        <v>255</v>
      </c>
      <c r="H3195" s="16" t="s">
        <v>223</v>
      </c>
      <c r="I3195" s="16" t="s">
        <v>472</v>
      </c>
    </row>
    <row r="3196" ht="242.25" customHeight="1">
      <c r="B3196" s="32" t="str">
        <f>IMAGE("https://gymvisual.com/18820-catalog_default/reverse-dip-female.jpg",4,500,500)</f>
        <v/>
      </c>
      <c r="C3196" s="30">
        <v>3195.0</v>
      </c>
      <c r="D3196" s="16" t="s">
        <v>4040</v>
      </c>
      <c r="E3196" s="16" t="s">
        <v>184</v>
      </c>
      <c r="F3196" s="16" t="s">
        <v>219</v>
      </c>
      <c r="G3196" s="16" t="s">
        <v>255</v>
      </c>
      <c r="H3196" s="16" t="s">
        <v>223</v>
      </c>
      <c r="I3196" s="16" t="s">
        <v>394</v>
      </c>
    </row>
    <row r="3197" ht="242.25" customHeight="1">
      <c r="B3197" s="32" t="str">
        <f>IMAGE("https://gymvisual.com/22297-catalog_default/reverse-flutter-kick-on-floor-hand-under-head.jpg",4,500,500)</f>
        <v/>
      </c>
      <c r="C3197" s="30">
        <v>3196.0</v>
      </c>
      <c r="D3197" s="16" t="s">
        <v>4041</v>
      </c>
      <c r="E3197" s="16" t="s">
        <v>184</v>
      </c>
      <c r="F3197" s="16" t="s">
        <v>185</v>
      </c>
      <c r="G3197" s="16" t="s">
        <v>255</v>
      </c>
      <c r="H3197" s="16" t="s">
        <v>220</v>
      </c>
      <c r="I3197" s="16" t="s">
        <v>220</v>
      </c>
    </row>
    <row r="3198" ht="242.25" customHeight="1">
      <c r="B3198" s="32" t="str">
        <f>IMAGE("https://gymvisual.com/22510-catalog_default/reverse-flutter-kick-on-floor-hand-under-head.jpg",4,500,500)</f>
        <v/>
      </c>
      <c r="C3198" s="30">
        <v>3197.0</v>
      </c>
      <c r="D3198" s="16" t="s">
        <v>4041</v>
      </c>
      <c r="E3198" s="16" t="s">
        <v>184</v>
      </c>
      <c r="F3198" s="16" t="s">
        <v>185</v>
      </c>
      <c r="G3198" s="16" t="s">
        <v>255</v>
      </c>
      <c r="H3198" s="16" t="s">
        <v>220</v>
      </c>
      <c r="I3198" s="16" t="s">
        <v>220</v>
      </c>
    </row>
    <row r="3199" ht="242.25" customHeight="1">
      <c r="B3199" s="32" t="str">
        <f>IMAGE("https://gymvisual.com/2019-catalog_default/3-4-sit-up.jpg",4,500,500)</f>
        <v/>
      </c>
      <c r="C3199" s="30">
        <v>3198.0</v>
      </c>
      <c r="D3199" s="16" t="s">
        <v>4042</v>
      </c>
      <c r="E3199" s="16" t="s">
        <v>184</v>
      </c>
      <c r="F3199" s="16" t="s">
        <v>192</v>
      </c>
      <c r="G3199" s="16" t="s">
        <v>346</v>
      </c>
      <c r="H3199" s="16" t="s">
        <v>300</v>
      </c>
      <c r="I3199" s="16" t="s">
        <v>1733</v>
      </c>
    </row>
    <row r="3200" ht="242.25" customHeight="1">
      <c r="B3200" s="32" t="str">
        <f>IMAGE("https://gymvisual.com/14294-catalog_default/reverse-grip-machine-lat-pulldown-female.jpg",4,500,500)</f>
        <v/>
      </c>
      <c r="C3200" s="30">
        <v>3199.0</v>
      </c>
      <c r="D3200" s="16" t="s">
        <v>4043</v>
      </c>
      <c r="E3200" s="16" t="s">
        <v>184</v>
      </c>
      <c r="F3200" s="16" t="s">
        <v>192</v>
      </c>
      <c r="G3200" s="16" t="s">
        <v>346</v>
      </c>
      <c r="H3200" s="16" t="s">
        <v>300</v>
      </c>
      <c r="I3200" s="16" t="s">
        <v>1733</v>
      </c>
    </row>
    <row r="3201" ht="242.25" customHeight="1">
      <c r="B3201" s="32" t="str">
        <f>IMAGE("https://gymvisual.com/2022-catalog_default/3-4-sit-up.jpg",4,500,500)</f>
        <v/>
      </c>
      <c r="C3201" s="30">
        <v>3200.0</v>
      </c>
      <c r="D3201" s="16" t="s">
        <v>4044</v>
      </c>
      <c r="E3201" s="16" t="s">
        <v>184</v>
      </c>
      <c r="F3201" s="16" t="s">
        <v>192</v>
      </c>
      <c r="G3201" s="16" t="s">
        <v>255</v>
      </c>
      <c r="H3201" s="16" t="s">
        <v>300</v>
      </c>
      <c r="I3201" s="16" t="s">
        <v>4045</v>
      </c>
    </row>
    <row r="3202" ht="242.25" customHeight="1">
      <c r="B3202" s="32" t="str">
        <f>IMAGE("https://gymvisual.com/17134-catalog_default/reverse-grip-pull-up-female.jpg",4,500,500)</f>
        <v/>
      </c>
      <c r="C3202" s="30">
        <v>3201.0</v>
      </c>
      <c r="D3202" s="16" t="s">
        <v>4046</v>
      </c>
      <c r="E3202" s="16" t="s">
        <v>184</v>
      </c>
      <c r="F3202" s="16" t="s">
        <v>192</v>
      </c>
      <c r="G3202" s="16" t="s">
        <v>255</v>
      </c>
      <c r="H3202" s="16" t="s">
        <v>329</v>
      </c>
      <c r="I3202" s="16" t="s">
        <v>357</v>
      </c>
    </row>
    <row r="3203" ht="242.25" customHeight="1">
      <c r="B3203" s="32" t="str">
        <f>IMAGE("https://gymvisual.com/2025-catalog_default/3-4-sit-up.jpg",4,500,500)</f>
        <v/>
      </c>
      <c r="C3203" s="30">
        <v>3202.0</v>
      </c>
      <c r="D3203" s="16" t="s">
        <v>4047</v>
      </c>
      <c r="E3203" s="16" t="s">
        <v>184</v>
      </c>
      <c r="F3203" s="16" t="s">
        <v>285</v>
      </c>
      <c r="G3203" s="16" t="s">
        <v>399</v>
      </c>
      <c r="H3203" s="16" t="s">
        <v>267</v>
      </c>
      <c r="I3203" s="16" t="s">
        <v>188</v>
      </c>
    </row>
    <row r="3204" ht="242.25" customHeight="1">
      <c r="B3204" s="32" t="str">
        <f>IMAGE("https://gymvisual.com/6275-catalog_default/reverse-hyper-on-flat-bench.jpg",4,500,500)</f>
        <v/>
      </c>
      <c r="C3204" s="30">
        <v>3203.0</v>
      </c>
      <c r="D3204" s="16" t="s">
        <v>4048</v>
      </c>
      <c r="E3204" s="16" t="s">
        <v>184</v>
      </c>
      <c r="F3204" s="16" t="s">
        <v>185</v>
      </c>
      <c r="G3204" s="16" t="s">
        <v>255</v>
      </c>
      <c r="H3204" s="16" t="s">
        <v>187</v>
      </c>
      <c r="I3204" s="16" t="s">
        <v>188</v>
      </c>
    </row>
    <row r="3205" ht="242.25" customHeight="1">
      <c r="B3205" s="32" t="str">
        <f>IMAGE("https://gymvisual.com/22474-catalog_default/reverse-leg-extension-female.jpg",4,500,500)</f>
        <v/>
      </c>
      <c r="C3205" s="30">
        <v>3204.0</v>
      </c>
      <c r="D3205" s="16" t="s">
        <v>4049</v>
      </c>
      <c r="E3205" s="16" t="s">
        <v>184</v>
      </c>
      <c r="F3205" s="16" t="s">
        <v>185</v>
      </c>
      <c r="G3205" s="16" t="s">
        <v>255</v>
      </c>
      <c r="H3205" s="16" t="s">
        <v>220</v>
      </c>
      <c r="I3205" s="16" t="s">
        <v>220</v>
      </c>
    </row>
    <row r="3206" ht="242.25" customHeight="1">
      <c r="B3206" s="32" t="str">
        <f>IMAGE("https://gymvisual.com/2028-catalog_default/3-4-sit-up.jpg",4,500,500)</f>
        <v/>
      </c>
      <c r="C3206" s="30">
        <v>3205.0</v>
      </c>
      <c r="D3206" s="16" t="s">
        <v>4050</v>
      </c>
      <c r="E3206" s="16" t="s">
        <v>184</v>
      </c>
      <c r="F3206" s="16" t="s">
        <v>285</v>
      </c>
      <c r="G3206" s="16" t="s">
        <v>255</v>
      </c>
      <c r="H3206" s="16" t="s">
        <v>189</v>
      </c>
      <c r="I3206" s="16" t="s">
        <v>683</v>
      </c>
    </row>
    <row r="3207" ht="242.25" customHeight="1">
      <c r="B3207" s="32" t="str">
        <f>IMAGE("https://gymvisual.com/20644-catalog_default/reverse-plank.jpg",4,500,500)</f>
        <v/>
      </c>
      <c r="C3207" s="30">
        <v>3206.0</v>
      </c>
      <c r="D3207" s="16" t="s">
        <v>4051</v>
      </c>
      <c r="E3207" s="16" t="s">
        <v>184</v>
      </c>
      <c r="F3207" s="16" t="s">
        <v>192</v>
      </c>
      <c r="G3207" s="16" t="s">
        <v>255</v>
      </c>
      <c r="H3207" s="16" t="s">
        <v>2848</v>
      </c>
      <c r="I3207" s="16" t="s">
        <v>4052</v>
      </c>
    </row>
    <row r="3208" ht="242.25" customHeight="1">
      <c r="B3208" s="32" t="str">
        <f>IMAGE("https://gymvisual.com/22486-catalog_default/reverse-plank-version-2.jpg",4,500,500)</f>
        <v/>
      </c>
      <c r="C3208" s="30">
        <v>3207.0</v>
      </c>
      <c r="D3208" s="16" t="s">
        <v>4053</v>
      </c>
      <c r="E3208" s="16" t="s">
        <v>184</v>
      </c>
      <c r="F3208" s="16" t="s">
        <v>254</v>
      </c>
      <c r="G3208" s="16" t="s">
        <v>255</v>
      </c>
      <c r="H3208" s="16" t="s">
        <v>220</v>
      </c>
      <c r="I3208" s="16" t="s">
        <v>220</v>
      </c>
    </row>
    <row r="3209" ht="242.25" customHeight="1">
      <c r="B3209" s="32" t="str">
        <f>IMAGE("https://gymvisual.com/24071-catalog_default/reverse-plank-on-elbows.jpg",4,500,500)</f>
        <v/>
      </c>
      <c r="C3209" s="30">
        <v>3208.0</v>
      </c>
      <c r="D3209" s="16" t="s">
        <v>4054</v>
      </c>
      <c r="E3209" s="16" t="s">
        <v>184</v>
      </c>
      <c r="F3209" s="16" t="s">
        <v>254</v>
      </c>
      <c r="G3209" s="16" t="s">
        <v>255</v>
      </c>
      <c r="H3209" s="16" t="s">
        <v>220</v>
      </c>
      <c r="I3209" s="16" t="s">
        <v>220</v>
      </c>
    </row>
    <row r="3210" ht="242.25" customHeight="1">
      <c r="B3210" s="32" t="str">
        <f>IMAGE("https://gymvisual.com/16607-catalog_default/reverse-push-up.jpg",4,500,500)</f>
        <v/>
      </c>
      <c r="C3210" s="30">
        <v>3209.0</v>
      </c>
      <c r="D3210" s="16" t="s">
        <v>4055</v>
      </c>
      <c r="E3210" s="16" t="s">
        <v>184</v>
      </c>
      <c r="F3210" s="16" t="s">
        <v>219</v>
      </c>
      <c r="G3210" s="16" t="s">
        <v>255</v>
      </c>
      <c r="H3210" s="16" t="s">
        <v>223</v>
      </c>
      <c r="I3210" s="16" t="s">
        <v>1817</v>
      </c>
    </row>
    <row r="3211" ht="242.25" customHeight="1">
      <c r="B3211" s="32" t="str">
        <f>IMAGE("https://gymvisual.com/22442-catalog_default/reverse-sliding-leg-curl-on-floor-with-towel.jpg",4,500,500)</f>
        <v/>
      </c>
      <c r="C3211" s="30">
        <v>3210.0</v>
      </c>
      <c r="D3211" s="16" t="s">
        <v>4056</v>
      </c>
      <c r="E3211" s="16" t="s">
        <v>184</v>
      </c>
      <c r="F3211" s="16" t="s">
        <v>285</v>
      </c>
      <c r="G3211" s="16" t="s">
        <v>255</v>
      </c>
      <c r="H3211" s="16" t="s">
        <v>220</v>
      </c>
      <c r="I3211" s="16" t="s">
        <v>220</v>
      </c>
    </row>
    <row r="3212" ht="242.25" customHeight="1">
      <c r="B3212" s="32" t="str">
        <f>IMAGE("https://gymvisual.com/22508-catalog_default/ring-alternate-superman-female.jpg",4,500,500)</f>
        <v/>
      </c>
      <c r="C3212" s="30">
        <v>3211.0</v>
      </c>
      <c r="D3212" s="16" t="s">
        <v>4057</v>
      </c>
      <c r="E3212" s="16" t="s">
        <v>184</v>
      </c>
      <c r="F3212" s="16" t="s">
        <v>254</v>
      </c>
      <c r="G3212" s="16" t="s">
        <v>255</v>
      </c>
      <c r="H3212" s="16" t="s">
        <v>220</v>
      </c>
      <c r="I3212" s="16" t="s">
        <v>220</v>
      </c>
    </row>
    <row r="3213" ht="242.25" customHeight="1">
      <c r="B3213" s="32" t="str">
        <f>IMAGE("https://gymvisual.com/22480-catalog_default/ring-chest-fly.jpg",4,500,500)</f>
        <v/>
      </c>
      <c r="C3213" s="30">
        <v>3212.0</v>
      </c>
      <c r="D3213" s="16" t="s">
        <v>4058</v>
      </c>
      <c r="E3213" s="16" t="s">
        <v>184</v>
      </c>
      <c r="F3213" s="16" t="s">
        <v>234</v>
      </c>
      <c r="G3213" s="16" t="s">
        <v>255</v>
      </c>
      <c r="H3213" s="16" t="s">
        <v>220</v>
      </c>
      <c r="I3213" s="16" t="s">
        <v>220</v>
      </c>
    </row>
    <row r="3214" ht="242.25" customHeight="1">
      <c r="B3214" s="32" t="str">
        <f>IMAGE("https://gymvisual.com/20638-catalog_default/3-4-sit-up.jpg",4,500,500)</f>
        <v/>
      </c>
      <c r="C3214" s="30">
        <v>3213.0</v>
      </c>
      <c r="D3214" s="16" t="s">
        <v>4059</v>
      </c>
      <c r="E3214" s="16" t="s">
        <v>184</v>
      </c>
      <c r="F3214" s="16" t="s">
        <v>219</v>
      </c>
      <c r="G3214" s="16" t="s">
        <v>255</v>
      </c>
      <c r="H3214" s="16" t="s">
        <v>223</v>
      </c>
      <c r="I3214" s="16" t="s">
        <v>472</v>
      </c>
    </row>
    <row r="3215" ht="242.25" customHeight="1">
      <c r="B3215" s="32" t="str">
        <f>IMAGE("https://gymvisual.com/22343-catalog_default/ring-elevated-row.jpg",4,500,500)</f>
        <v/>
      </c>
      <c r="C3215" s="30">
        <v>3214.0</v>
      </c>
      <c r="D3215" s="16" t="s">
        <v>4060</v>
      </c>
      <c r="E3215" s="16" t="s">
        <v>184</v>
      </c>
      <c r="F3215" s="16" t="s">
        <v>192</v>
      </c>
      <c r="G3215" s="16" t="s">
        <v>255</v>
      </c>
      <c r="H3215" s="16" t="s">
        <v>220</v>
      </c>
      <c r="I3215" s="16" t="s">
        <v>220</v>
      </c>
    </row>
    <row r="3216" ht="242.25" customHeight="1">
      <c r="B3216" s="32" t="str">
        <f>IMAGE("https://gymvisual.com/20507-catalog_default/ring-high-row.jpg",4,500,500)</f>
        <v/>
      </c>
      <c r="C3216" s="30">
        <v>3215.0</v>
      </c>
      <c r="D3216" s="16" t="s">
        <v>4061</v>
      </c>
      <c r="E3216" s="16" t="s">
        <v>184</v>
      </c>
      <c r="F3216" s="16" t="s">
        <v>192</v>
      </c>
      <c r="G3216" s="16" t="s">
        <v>3009</v>
      </c>
      <c r="H3216" s="16" t="s">
        <v>329</v>
      </c>
      <c r="I3216" s="16" t="s">
        <v>447</v>
      </c>
    </row>
    <row r="3217" ht="242.25" customHeight="1">
      <c r="B3217" s="32" t="str">
        <f>IMAGE("https://gymvisual.com/20521-catalog_default/ring-high-row-female.jpg",4,500,500)</f>
        <v/>
      </c>
      <c r="C3217" s="30">
        <v>3216.0</v>
      </c>
      <c r="D3217" s="16" t="s">
        <v>4062</v>
      </c>
      <c r="E3217" s="16" t="s">
        <v>184</v>
      </c>
      <c r="F3217" s="16" t="s">
        <v>192</v>
      </c>
      <c r="G3217" s="16" t="s">
        <v>3009</v>
      </c>
      <c r="H3217" s="16" t="s">
        <v>329</v>
      </c>
      <c r="I3217" s="16" t="s">
        <v>447</v>
      </c>
    </row>
    <row r="3218" ht="242.25" customHeight="1">
      <c r="B3218" s="32" t="str">
        <f>IMAGE("https://gymvisual.com/20728-catalog_default/ring-kneeling-ab-rollout.jpg",4,500,500)</f>
        <v/>
      </c>
      <c r="C3218" s="30">
        <v>3217.0</v>
      </c>
      <c r="D3218" s="16" t="s">
        <v>4063</v>
      </c>
      <c r="E3218" s="16" t="s">
        <v>184</v>
      </c>
      <c r="F3218" s="16" t="s">
        <v>254</v>
      </c>
      <c r="G3218" s="16" t="s">
        <v>3009</v>
      </c>
      <c r="H3218" s="16" t="s">
        <v>260</v>
      </c>
      <c r="I3218" s="16" t="s">
        <v>220</v>
      </c>
    </row>
    <row r="3219" ht="242.25" customHeight="1">
      <c r="B3219" s="32" t="str">
        <f>IMAGE("https://gymvisual.com/22345-catalog_default/ring-leg-curl.jpg",4,500,500)</f>
        <v/>
      </c>
      <c r="C3219" s="30">
        <v>3218.0</v>
      </c>
      <c r="D3219" s="16" t="s">
        <v>4064</v>
      </c>
      <c r="E3219" s="16" t="s">
        <v>184</v>
      </c>
      <c r="F3219" s="16" t="s">
        <v>285</v>
      </c>
      <c r="G3219" s="16" t="s">
        <v>255</v>
      </c>
      <c r="H3219" s="16" t="s">
        <v>220</v>
      </c>
      <c r="I3219" s="16" t="s">
        <v>220</v>
      </c>
    </row>
    <row r="3220" ht="242.25" customHeight="1">
      <c r="B3220" s="32" t="str">
        <f>IMAGE("https://gymvisual.com/22470-catalog_default/ring-leg-curl-version-2.jpg",4,500,500)</f>
        <v/>
      </c>
      <c r="C3220" s="30">
        <v>3219.0</v>
      </c>
      <c r="D3220" s="16" t="s">
        <v>4065</v>
      </c>
      <c r="E3220" s="16" t="s">
        <v>184</v>
      </c>
      <c r="F3220" s="16" t="s">
        <v>285</v>
      </c>
      <c r="G3220" s="16" t="s">
        <v>255</v>
      </c>
      <c r="H3220" s="16" t="s">
        <v>220</v>
      </c>
      <c r="I3220" s="16" t="s">
        <v>220</v>
      </c>
    </row>
    <row r="3221" ht="242.25" customHeight="1">
      <c r="B3221" s="32" t="str">
        <f>IMAGE("https://gymvisual.com/22347-catalog_default/ring-reverse-ab-rollout.jpg",4,500,500)</f>
        <v/>
      </c>
      <c r="C3221" s="30">
        <v>3220.0</v>
      </c>
      <c r="D3221" s="16" t="s">
        <v>4066</v>
      </c>
      <c r="E3221" s="16" t="s">
        <v>184</v>
      </c>
      <c r="F3221" s="16" t="s">
        <v>254</v>
      </c>
      <c r="G3221" s="16" t="s">
        <v>255</v>
      </c>
      <c r="H3221" s="16" t="s">
        <v>220</v>
      </c>
      <c r="I3221" s="16" t="s">
        <v>220</v>
      </c>
    </row>
    <row r="3222" ht="242.25" customHeight="1">
      <c r="B3222" s="32" t="str">
        <f>IMAGE("https://gymvisual.com/22482-catalog_default/ring-reverse-fly.jpg",4,500,500)</f>
        <v/>
      </c>
      <c r="C3222" s="30">
        <v>3221.0</v>
      </c>
      <c r="D3222" s="16" t="s">
        <v>4067</v>
      </c>
      <c r="E3222" s="16" t="s">
        <v>184</v>
      </c>
      <c r="F3222" s="16" t="s">
        <v>228</v>
      </c>
      <c r="G3222" s="16" t="s">
        <v>255</v>
      </c>
      <c r="H3222" s="16" t="s">
        <v>220</v>
      </c>
      <c r="I3222" s="16" t="s">
        <v>220</v>
      </c>
    </row>
    <row r="3223" ht="242.25" customHeight="1">
      <c r="B3223" s="32" t="str">
        <f>IMAGE("https://gymvisual.com/20732-catalog_default/ring-rollout-female.jpg",4,500,500)</f>
        <v/>
      </c>
      <c r="C3223" s="30">
        <v>3222.0</v>
      </c>
      <c r="D3223" s="16" t="s">
        <v>4068</v>
      </c>
      <c r="E3223" s="16" t="s">
        <v>184</v>
      </c>
      <c r="F3223" s="16" t="s">
        <v>254</v>
      </c>
      <c r="G3223" s="16" t="s">
        <v>3009</v>
      </c>
      <c r="H3223" s="16" t="s">
        <v>260</v>
      </c>
      <c r="I3223" s="16" t="s">
        <v>220</v>
      </c>
    </row>
    <row r="3224" ht="242.25" customHeight="1">
      <c r="B3224" s="32" t="str">
        <f>IMAGE("https://gymvisual.com/11613-catalog_default/rocky-pull-up-pulldown-female.jpg",4,500,500)</f>
        <v/>
      </c>
      <c r="C3224" s="30">
        <v>3223.0</v>
      </c>
      <c r="D3224" s="16" t="s">
        <v>4069</v>
      </c>
      <c r="E3224" s="16" t="s">
        <v>184</v>
      </c>
      <c r="F3224" s="16" t="s">
        <v>192</v>
      </c>
      <c r="G3224" s="16" t="s">
        <v>255</v>
      </c>
      <c r="H3224" s="16" t="s">
        <v>220</v>
      </c>
      <c r="I3224" s="16" t="s">
        <v>220</v>
      </c>
    </row>
    <row r="3225" ht="242.25" customHeight="1">
      <c r="B3225" s="32" t="str">
        <f>IMAGE("https://gymvisual.com/2034-catalog_default/3-4-sit-up.jpg",4,500,500)</f>
        <v/>
      </c>
      <c r="C3225" s="30">
        <v>3224.0</v>
      </c>
      <c r="D3225" s="16" t="s">
        <v>4070</v>
      </c>
      <c r="E3225" s="16" t="s">
        <v>184</v>
      </c>
      <c r="F3225" s="16" t="s">
        <v>192</v>
      </c>
      <c r="G3225" s="16" t="s">
        <v>255</v>
      </c>
      <c r="H3225" s="16" t="s">
        <v>300</v>
      </c>
      <c r="I3225" s="16" t="s">
        <v>535</v>
      </c>
    </row>
    <row r="3226" ht="242.25" customHeight="1">
      <c r="B3226" s="32" t="str">
        <f>IMAGE("https://gymvisual.com/2037-catalog_default/3-4-sit-up.jpg",4,500,500)</f>
        <v/>
      </c>
      <c r="C3226" s="30">
        <v>3225.0</v>
      </c>
      <c r="D3226" s="16" t="s">
        <v>4071</v>
      </c>
      <c r="E3226" s="16" t="s">
        <v>184</v>
      </c>
      <c r="F3226" s="16" t="s">
        <v>254</v>
      </c>
      <c r="G3226" s="16" t="s">
        <v>255</v>
      </c>
      <c r="H3226" s="16" t="s">
        <v>260</v>
      </c>
      <c r="I3226" s="16" t="s">
        <v>4072</v>
      </c>
    </row>
    <row r="3227" ht="242.25" customHeight="1">
      <c r="B3227" s="32" t="str">
        <f>IMAGE("https://gymvisual.com/13604-catalog_default/roman-chair-sit-up.jpg",4,500,500)</f>
        <v/>
      </c>
      <c r="C3227" s="30">
        <v>3226.0</v>
      </c>
      <c r="D3227" s="16" t="s">
        <v>4073</v>
      </c>
      <c r="E3227" s="16" t="s">
        <v>184</v>
      </c>
      <c r="F3227" s="16" t="s">
        <v>254</v>
      </c>
      <c r="G3227" s="16" t="s">
        <v>255</v>
      </c>
      <c r="H3227" s="16" t="s">
        <v>256</v>
      </c>
      <c r="I3227" s="16" t="s">
        <v>257</v>
      </c>
    </row>
    <row r="3228" ht="242.25" customHeight="1">
      <c r="B3228" s="32" t="str">
        <f>IMAGE("https://gymvisual.com/17781-catalog_default/romanian-chair-sit-up-version-2.jpg",4,500,500)</f>
        <v/>
      </c>
      <c r="C3228" s="30">
        <v>3227.0</v>
      </c>
      <c r="D3228" s="16" t="s">
        <v>4074</v>
      </c>
      <c r="E3228" s="16" t="s">
        <v>184</v>
      </c>
      <c r="F3228" s="16" t="s">
        <v>185</v>
      </c>
      <c r="G3228" s="16" t="s">
        <v>255</v>
      </c>
      <c r="H3228" s="16" t="s">
        <v>220</v>
      </c>
      <c r="I3228" s="16" t="s">
        <v>220</v>
      </c>
    </row>
    <row r="3229" ht="242.25" customHeight="1">
      <c r="B3229" s="32" t="str">
        <f>IMAGE("https://gymvisual.com/2039-catalog_default/3-4-sit-up.jpg",4,500,500)</f>
        <v/>
      </c>
      <c r="C3229" s="30">
        <v>3228.0</v>
      </c>
      <c r="D3229" s="16" t="s">
        <v>4075</v>
      </c>
      <c r="E3229" s="16" t="s">
        <v>184</v>
      </c>
      <c r="F3229" s="16" t="s">
        <v>192</v>
      </c>
      <c r="G3229" s="16" t="s">
        <v>1160</v>
      </c>
      <c r="H3229" s="16" t="s">
        <v>329</v>
      </c>
      <c r="I3229" s="16" t="s">
        <v>457</v>
      </c>
    </row>
    <row r="3230" ht="242.25" customHeight="1">
      <c r="B3230" s="32" t="str">
        <f>IMAGE("https://gymvisual.com/19341-catalog_default/3-4-sit-up.jpg",4,500,500)</f>
        <v/>
      </c>
      <c r="C3230" s="30">
        <v>3229.0</v>
      </c>
      <c r="D3230" s="16" t="s">
        <v>4076</v>
      </c>
      <c r="E3230" s="16" t="s">
        <v>184</v>
      </c>
      <c r="F3230" s="16" t="s">
        <v>254</v>
      </c>
      <c r="G3230" s="16" t="s">
        <v>255</v>
      </c>
      <c r="H3230" s="16" t="s">
        <v>1874</v>
      </c>
      <c r="I3230" s="16" t="s">
        <v>4077</v>
      </c>
    </row>
    <row r="3231" ht="242.25" customHeight="1">
      <c r="B3231" s="32" t="str">
        <f>IMAGE("https://gymvisual.com/2042-catalog_default/3-4-sit-up.jpg",4,500,500)</f>
        <v/>
      </c>
      <c r="C3231" s="30">
        <v>3230.0</v>
      </c>
      <c r="D3231" s="16" t="s">
        <v>4078</v>
      </c>
      <c r="E3231" s="16" t="s">
        <v>184</v>
      </c>
      <c r="F3231" s="16" t="s">
        <v>254</v>
      </c>
      <c r="G3231" s="16" t="s">
        <v>255</v>
      </c>
      <c r="H3231" s="16" t="s">
        <v>4079</v>
      </c>
      <c r="I3231" s="16" t="s">
        <v>4080</v>
      </c>
    </row>
    <row r="3232" ht="242.25" customHeight="1">
      <c r="B3232" s="32" t="str">
        <f>IMAGE("https://gymvisual.com/14133-catalog_default/rotational-push-up.jpg",4,500,500)</f>
        <v/>
      </c>
      <c r="C3232" s="30">
        <v>3231.0</v>
      </c>
      <c r="D3232" s="16" t="s">
        <v>4081</v>
      </c>
      <c r="E3232" s="16" t="s">
        <v>184</v>
      </c>
      <c r="F3232" s="16" t="s">
        <v>3260</v>
      </c>
      <c r="G3232" s="16" t="s">
        <v>255</v>
      </c>
      <c r="H3232" s="16" t="s">
        <v>1874</v>
      </c>
      <c r="I3232" s="16" t="s">
        <v>3261</v>
      </c>
    </row>
    <row r="3233" ht="242.25" customHeight="1">
      <c r="B3233" s="32" t="str">
        <f>IMAGE("https://gymvisual.com/23851-catalog_default/rounded-back-extension.jpg",4,500,500)</f>
        <v/>
      </c>
      <c r="C3233" s="30">
        <v>3232.0</v>
      </c>
      <c r="D3233" s="16" t="s">
        <v>4082</v>
      </c>
      <c r="E3233" s="16" t="s">
        <v>184</v>
      </c>
      <c r="F3233" s="16" t="s">
        <v>185</v>
      </c>
      <c r="G3233" s="16" t="s">
        <v>255</v>
      </c>
      <c r="H3233" s="16" t="s">
        <v>220</v>
      </c>
      <c r="I3233" s="16" t="s">
        <v>220</v>
      </c>
    </row>
    <row r="3234" ht="242.25" customHeight="1">
      <c r="B3234" s="32" t="str">
        <f>IMAGE("https://gymvisual.com/17542-catalog_default/3-4-sit-up.jpg",4,500,500)</f>
        <v/>
      </c>
      <c r="C3234" s="30">
        <v>3233.0</v>
      </c>
      <c r="D3234" s="16" t="s">
        <v>4083</v>
      </c>
      <c r="E3234" s="16" t="s">
        <v>184</v>
      </c>
      <c r="F3234" s="16" t="s">
        <v>254</v>
      </c>
      <c r="G3234" s="16" t="s">
        <v>255</v>
      </c>
      <c r="H3234" s="16" t="s">
        <v>257</v>
      </c>
      <c r="I3234" s="16" t="s">
        <v>271</v>
      </c>
    </row>
    <row r="3235" ht="242.25" customHeight="1">
      <c r="B3235" s="32" t="str">
        <f>IMAGE("https://gymvisual.com/11173-catalog_default/russian-twist-female.jpg",4,500,500)</f>
        <v/>
      </c>
      <c r="C3235" s="30">
        <v>3234.0</v>
      </c>
      <c r="D3235" s="16" t="s">
        <v>4084</v>
      </c>
      <c r="E3235" s="16" t="s">
        <v>184</v>
      </c>
      <c r="F3235" s="16" t="s">
        <v>254</v>
      </c>
      <c r="G3235" s="16" t="s">
        <v>255</v>
      </c>
      <c r="H3235" s="16" t="s">
        <v>257</v>
      </c>
      <c r="I3235" s="16" t="s">
        <v>271</v>
      </c>
    </row>
    <row r="3236" ht="242.25" customHeight="1">
      <c r="B3236" s="32" t="str">
        <f>IMAGE("https://gymvisual.com/2057-catalog_default/3-4-sit-up.jpg",4,500,500)</f>
        <v/>
      </c>
      <c r="C3236" s="30">
        <v>3235.0</v>
      </c>
      <c r="D3236" s="16" t="s">
        <v>4085</v>
      </c>
      <c r="E3236" s="16" t="s">
        <v>184</v>
      </c>
      <c r="F3236" s="16" t="s">
        <v>254</v>
      </c>
      <c r="G3236" s="16" t="s">
        <v>399</v>
      </c>
      <c r="H3236" s="16" t="s">
        <v>257</v>
      </c>
      <c r="I3236" s="16" t="s">
        <v>271</v>
      </c>
    </row>
    <row r="3237" ht="242.25" customHeight="1">
      <c r="B3237" s="32" t="str">
        <f>IMAGE("https://gymvisual.com/4623-catalog_default/russian-twist-with-medicine-ball.jpg",4,500,500)</f>
        <v/>
      </c>
      <c r="C3237" s="30">
        <v>3236.0</v>
      </c>
      <c r="D3237" s="16" t="s">
        <v>4086</v>
      </c>
      <c r="E3237" s="16" t="s">
        <v>184</v>
      </c>
      <c r="F3237" s="16" t="s">
        <v>254</v>
      </c>
      <c r="G3237" s="16" t="s">
        <v>373</v>
      </c>
      <c r="H3237" s="16" t="s">
        <v>257</v>
      </c>
      <c r="I3237" s="16" t="s">
        <v>256</v>
      </c>
    </row>
    <row r="3238" ht="242.25" customHeight="1">
      <c r="B3238" s="32" t="str">
        <f>IMAGE("https://gymvisual.com/22781-catalog_default/russian-twist-with-hands-on-chest-female.jpg",4,500,500)</f>
        <v/>
      </c>
      <c r="C3238" s="30">
        <v>3237.0</v>
      </c>
      <c r="D3238" s="16" t="s">
        <v>4087</v>
      </c>
      <c r="E3238" s="16" t="s">
        <v>184</v>
      </c>
      <c r="F3238" s="16" t="s">
        <v>254</v>
      </c>
      <c r="G3238" s="16" t="s">
        <v>255</v>
      </c>
      <c r="H3238" s="16" t="s">
        <v>257</v>
      </c>
      <c r="I3238" s="16" t="s">
        <v>271</v>
      </c>
    </row>
    <row r="3239" ht="242.25" customHeight="1">
      <c r="B3239" s="32" t="str">
        <f>IMAGE("https://gymvisual.com/18071-catalog_default/safety-bar-elevated-heel-squat.jpg",4,500,500)</f>
        <v/>
      </c>
      <c r="C3239" s="30">
        <v>3238.0</v>
      </c>
      <c r="D3239" s="16" t="s">
        <v>4088</v>
      </c>
      <c r="E3239" s="16" t="s">
        <v>184</v>
      </c>
      <c r="F3239" s="16" t="s">
        <v>285</v>
      </c>
      <c r="G3239" s="16" t="s">
        <v>255</v>
      </c>
      <c r="H3239" s="16" t="s">
        <v>220</v>
      </c>
      <c r="I3239" s="16" t="s">
        <v>220</v>
      </c>
    </row>
    <row r="3240" ht="242.25" customHeight="1">
      <c r="B3240" s="32" t="str">
        <f>IMAGE("https://gymvisual.com/18069-catalog_default/safety-bar-front-squat.jpg",4,500,500)</f>
        <v/>
      </c>
      <c r="C3240" s="30">
        <v>3239.0</v>
      </c>
      <c r="D3240" s="16" t="s">
        <v>4089</v>
      </c>
      <c r="E3240" s="16" t="s">
        <v>184</v>
      </c>
      <c r="F3240" s="16" t="s">
        <v>285</v>
      </c>
      <c r="G3240" s="16" t="s">
        <v>255</v>
      </c>
      <c r="H3240" s="16" t="s">
        <v>220</v>
      </c>
      <c r="I3240" s="16" t="s">
        <v>220</v>
      </c>
    </row>
    <row r="3241" ht="242.25" customHeight="1">
      <c r="B3241" s="32" t="str">
        <f>IMAGE("https://gymvisual.com/26126-catalog_default/safety-bar-good-morning-male.jpg",4,500,500)</f>
        <v/>
      </c>
      <c r="C3241" s="30">
        <v>3240.0</v>
      </c>
      <c r="D3241" s="16" t="s">
        <v>4090</v>
      </c>
      <c r="E3241" s="16" t="s">
        <v>184</v>
      </c>
      <c r="F3241" s="16" t="s">
        <v>185</v>
      </c>
      <c r="G3241" s="16" t="s">
        <v>255</v>
      </c>
      <c r="H3241" s="16" t="s">
        <v>220</v>
      </c>
      <c r="I3241" s="16" t="s">
        <v>220</v>
      </c>
    </row>
    <row r="3242" ht="242.25" customHeight="1">
      <c r="B3242" s="32" t="str">
        <f>IMAGE("https://gymvisual.com/7328-catalog_default/sagittal-plane-lunge-with-overhead-medicine-ball-press.jpg",4,500,500)</f>
        <v/>
      </c>
      <c r="C3242" s="30">
        <v>3241.0</v>
      </c>
      <c r="D3242" s="16" t="s">
        <v>4091</v>
      </c>
      <c r="E3242" s="16" t="s">
        <v>184</v>
      </c>
      <c r="F3242" s="16" t="s">
        <v>285</v>
      </c>
      <c r="G3242" s="16" t="s">
        <v>373</v>
      </c>
      <c r="H3242" s="16" t="s">
        <v>220</v>
      </c>
      <c r="I3242" s="16" t="s">
        <v>220</v>
      </c>
    </row>
    <row r="3243" ht="242.25" customHeight="1">
      <c r="B3243" s="32" t="str">
        <f>IMAGE("https://gymvisual.com/12403-catalog_default/scapula-dips.jpg",4,500,500)</f>
        <v/>
      </c>
      <c r="C3243" s="30">
        <v>3242.0</v>
      </c>
      <c r="D3243" s="16" t="s">
        <v>4092</v>
      </c>
      <c r="E3243" s="16" t="s">
        <v>184</v>
      </c>
      <c r="F3243" s="16" t="s">
        <v>192</v>
      </c>
      <c r="G3243" s="16" t="s">
        <v>255</v>
      </c>
      <c r="H3243" s="16" t="s">
        <v>239</v>
      </c>
      <c r="I3243" s="16" t="s">
        <v>4008</v>
      </c>
    </row>
    <row r="3244" ht="242.25" customHeight="1">
      <c r="B3244" s="32" t="str">
        <f>IMAGE("https://gymvisual.com/17274-catalog_default/scapula-dips-female.jpg",4,500,500)</f>
        <v/>
      </c>
      <c r="C3244" s="30">
        <v>3243.0</v>
      </c>
      <c r="D3244" s="16" t="s">
        <v>4093</v>
      </c>
      <c r="E3244" s="16" t="s">
        <v>184</v>
      </c>
      <c r="F3244" s="16" t="s">
        <v>192</v>
      </c>
      <c r="G3244" s="16" t="s">
        <v>255</v>
      </c>
      <c r="H3244" s="16" t="s">
        <v>239</v>
      </c>
      <c r="I3244" s="16" t="s">
        <v>4008</v>
      </c>
    </row>
    <row r="3245" ht="242.25" customHeight="1">
      <c r="B3245" s="32" t="str">
        <f>IMAGE("https://gymvisual.com/12430-catalog_default/scapula-push-up.jpg",4,500,500)</f>
        <v/>
      </c>
      <c r="C3245" s="30">
        <v>3244.0</v>
      </c>
      <c r="D3245" s="16" t="s">
        <v>4094</v>
      </c>
      <c r="E3245" s="16" t="s">
        <v>184</v>
      </c>
      <c r="F3245" s="16" t="s">
        <v>234</v>
      </c>
      <c r="G3245" s="16" t="s">
        <v>255</v>
      </c>
      <c r="H3245" s="16" t="s">
        <v>885</v>
      </c>
      <c r="I3245" s="16" t="s">
        <v>1621</v>
      </c>
    </row>
    <row r="3246" ht="242.25" customHeight="1">
      <c r="B3246" s="32" t="str">
        <f>IMAGE("https://gymvisual.com/2063-catalog_default/3-4-sit-up.jpg",4,500,500)</f>
        <v/>
      </c>
      <c r="C3246" s="30">
        <v>3245.0</v>
      </c>
      <c r="D3246" s="16" t="s">
        <v>4095</v>
      </c>
      <c r="E3246" s="16" t="s">
        <v>184</v>
      </c>
      <c r="F3246" s="16" t="s">
        <v>192</v>
      </c>
      <c r="G3246" s="16" t="s">
        <v>255</v>
      </c>
      <c r="H3246" s="16" t="s">
        <v>4096</v>
      </c>
      <c r="I3246" s="16" t="s">
        <v>300</v>
      </c>
    </row>
    <row r="3247" ht="242.25" customHeight="1">
      <c r="B3247" s="32" t="str">
        <f>IMAGE("https://gymvisual.com/12210-catalog_default/scapular-slide-back-to-wall.jpg",4,500,500)</f>
        <v/>
      </c>
      <c r="C3247" s="30">
        <v>3246.0</v>
      </c>
      <c r="D3247" s="16" t="s">
        <v>4097</v>
      </c>
      <c r="E3247" s="16" t="s">
        <v>184</v>
      </c>
      <c r="F3247" s="16" t="s">
        <v>192</v>
      </c>
      <c r="G3247" s="16" t="s">
        <v>255</v>
      </c>
      <c r="H3247" s="16" t="s">
        <v>4008</v>
      </c>
      <c r="I3247" s="16" t="s">
        <v>408</v>
      </c>
    </row>
    <row r="3248" ht="242.25" customHeight="1">
      <c r="B3248" s="32" t="str">
        <f>IMAGE("https://gymvisual.com/12084-catalog_default/scissors-advanced-female.jpg",4,500,500)</f>
        <v/>
      </c>
      <c r="C3248" s="30">
        <v>3247.0</v>
      </c>
      <c r="D3248" s="16" t="s">
        <v>4098</v>
      </c>
      <c r="E3248" s="16" t="s">
        <v>184</v>
      </c>
      <c r="F3248" s="16" t="s">
        <v>254</v>
      </c>
      <c r="G3248" s="16" t="s">
        <v>255</v>
      </c>
      <c r="H3248" s="16" t="s">
        <v>220</v>
      </c>
      <c r="I3248" s="16" t="s">
        <v>220</v>
      </c>
    </row>
    <row r="3249" ht="242.25" customHeight="1">
      <c r="B3249" s="32" t="str">
        <f>IMAGE("https://gymvisual.com/14236-catalog_default/scissors-advanced-male.jpg",4,500,500)</f>
        <v/>
      </c>
      <c r="C3249" s="30">
        <v>3248.0</v>
      </c>
      <c r="D3249" s="16" t="s">
        <v>4099</v>
      </c>
      <c r="E3249" s="16" t="s">
        <v>184</v>
      </c>
      <c r="F3249" s="16" t="s">
        <v>310</v>
      </c>
      <c r="G3249" s="16" t="s">
        <v>255</v>
      </c>
      <c r="H3249" s="16" t="s">
        <v>2845</v>
      </c>
      <c r="I3249" s="16" t="s">
        <v>4100</v>
      </c>
    </row>
    <row r="3250" ht="242.25" customHeight="1">
      <c r="B3250" s="32" t="str">
        <f>IMAGE("https://gymvisual.com/12083-catalog_default/scissors-beginner-female.jpg",4,500,500)</f>
        <v/>
      </c>
      <c r="C3250" s="30">
        <v>3249.0</v>
      </c>
      <c r="D3250" s="16" t="s">
        <v>4101</v>
      </c>
      <c r="E3250" s="16" t="s">
        <v>184</v>
      </c>
      <c r="F3250" s="16" t="s">
        <v>185</v>
      </c>
      <c r="G3250" s="16" t="s">
        <v>255</v>
      </c>
      <c r="H3250" s="16" t="s">
        <v>220</v>
      </c>
      <c r="I3250" s="16" t="s">
        <v>220</v>
      </c>
    </row>
    <row r="3251" ht="242.25" customHeight="1">
      <c r="B3251" s="32" t="str">
        <f>IMAGE("https://gymvisual.com/22111-catalog_default/seated-8-leg-crunch.jpg",4,500,500)</f>
        <v/>
      </c>
      <c r="C3251" s="30">
        <v>3250.0</v>
      </c>
      <c r="D3251" s="16" t="s">
        <v>4102</v>
      </c>
      <c r="E3251" s="16" t="s">
        <v>184</v>
      </c>
      <c r="F3251" s="16" t="s">
        <v>254</v>
      </c>
      <c r="G3251" s="16" t="s">
        <v>255</v>
      </c>
      <c r="H3251" s="16" t="s">
        <v>4103</v>
      </c>
      <c r="I3251" s="16" t="s">
        <v>4104</v>
      </c>
    </row>
    <row r="3252" ht="242.25" customHeight="1">
      <c r="B3252" s="32" t="str">
        <f>IMAGE("https://gymvisual.com/17294-catalog_default/seated-alternate-crunch.jpg",4,500,500)</f>
        <v/>
      </c>
      <c r="C3252" s="30">
        <v>3251.0</v>
      </c>
      <c r="D3252" s="16" t="s">
        <v>4105</v>
      </c>
      <c r="E3252" s="16" t="s">
        <v>184</v>
      </c>
      <c r="F3252" s="16" t="s">
        <v>310</v>
      </c>
      <c r="G3252" s="16" t="s">
        <v>255</v>
      </c>
      <c r="H3252" s="16" t="s">
        <v>305</v>
      </c>
      <c r="I3252" s="16" t="s">
        <v>1306</v>
      </c>
    </row>
    <row r="3253" ht="242.25" customHeight="1">
      <c r="B3253" s="32" t="str">
        <f>IMAGE("https://gymvisual.com/24129-catalog_default/seated-back-squeeze-female.jpg",4,500,500)</f>
        <v/>
      </c>
      <c r="C3253" s="30">
        <v>3252.0</v>
      </c>
      <c r="D3253" s="16" t="s">
        <v>4106</v>
      </c>
      <c r="E3253" s="16" t="s">
        <v>184</v>
      </c>
      <c r="F3253" s="16" t="s">
        <v>192</v>
      </c>
      <c r="G3253" s="16" t="s">
        <v>2745</v>
      </c>
      <c r="H3253" s="16" t="s">
        <v>220</v>
      </c>
      <c r="I3253" s="16" t="s">
        <v>220</v>
      </c>
    </row>
    <row r="3254" ht="242.25" customHeight="1">
      <c r="B3254" s="32" t="str">
        <f>IMAGE("https://gymvisual.com/24133-catalog_default/seated-back-twist-female.jpg",4,500,500)</f>
        <v/>
      </c>
      <c r="C3254" s="30">
        <v>3253.0</v>
      </c>
      <c r="D3254" s="16" t="s">
        <v>4107</v>
      </c>
      <c r="E3254" s="16" t="s">
        <v>184</v>
      </c>
      <c r="F3254" s="16" t="s">
        <v>254</v>
      </c>
      <c r="G3254" s="16" t="s">
        <v>255</v>
      </c>
      <c r="H3254" s="16" t="s">
        <v>220</v>
      </c>
      <c r="I3254" s="16" t="s">
        <v>220</v>
      </c>
    </row>
    <row r="3255" ht="242.25" customHeight="1">
      <c r="B3255" s="32" t="str">
        <f>IMAGE("https://gymvisual.com/24141-catalog_default/seated-ballerina-female.jpg",4,500,500)</f>
        <v/>
      </c>
      <c r="C3255" s="30">
        <v>3254.0</v>
      </c>
      <c r="D3255" s="16" t="s">
        <v>4108</v>
      </c>
      <c r="E3255" s="16" t="s">
        <v>184</v>
      </c>
      <c r="F3255" s="16" t="s">
        <v>228</v>
      </c>
      <c r="G3255" s="16" t="s">
        <v>399</v>
      </c>
      <c r="H3255" s="16" t="s">
        <v>220</v>
      </c>
      <c r="I3255" s="16" t="s">
        <v>220</v>
      </c>
    </row>
    <row r="3256" ht="242.25" customHeight="1">
      <c r="B3256" s="32" t="str">
        <f>IMAGE("https://gymvisual.com/24139-catalog_default/seated-behind-back-raise-female.jpg",4,500,500)</f>
        <v/>
      </c>
      <c r="C3256" s="30">
        <v>3255.0</v>
      </c>
      <c r="D3256" s="16" t="s">
        <v>4109</v>
      </c>
      <c r="E3256" s="16" t="s">
        <v>184</v>
      </c>
      <c r="F3256" s="16" t="s">
        <v>192</v>
      </c>
      <c r="G3256" s="16" t="s">
        <v>255</v>
      </c>
      <c r="H3256" s="16" t="s">
        <v>220</v>
      </c>
      <c r="I3256" s="16" t="s">
        <v>220</v>
      </c>
    </row>
    <row r="3257" ht="242.25" customHeight="1">
      <c r="B3257" s="32" t="str">
        <f>IMAGE("https://gymvisual.com/23689-catalog_default/seated-chest-clam.jpg",4,500,500)</f>
        <v/>
      </c>
      <c r="C3257" s="30">
        <v>3256.0</v>
      </c>
      <c r="D3257" s="16" t="s">
        <v>4110</v>
      </c>
      <c r="E3257" s="16" t="s">
        <v>184</v>
      </c>
      <c r="F3257" s="16" t="s">
        <v>234</v>
      </c>
      <c r="G3257" s="16" t="s">
        <v>255</v>
      </c>
      <c r="H3257" s="16" t="s">
        <v>472</v>
      </c>
      <c r="I3257" s="16" t="s">
        <v>220</v>
      </c>
    </row>
    <row r="3258" ht="242.25" customHeight="1">
      <c r="B3258" s="32" t="str">
        <f>IMAGE("https://gymvisual.com/24095-catalog_default/seated-chin-tuck.jpg",4,500,500)</f>
        <v/>
      </c>
      <c r="C3258" s="30">
        <v>3257.0</v>
      </c>
      <c r="D3258" s="16" t="s">
        <v>4111</v>
      </c>
      <c r="E3258" s="16" t="s">
        <v>184</v>
      </c>
      <c r="F3258" s="16" t="s">
        <v>351</v>
      </c>
      <c r="G3258" s="16" t="s">
        <v>255</v>
      </c>
      <c r="H3258" s="16" t="s">
        <v>220</v>
      </c>
      <c r="I3258" s="16" t="s">
        <v>220</v>
      </c>
    </row>
    <row r="3259" ht="242.25" customHeight="1">
      <c r="B3259" s="32" t="str">
        <f>IMAGE("https://gymvisual.com/20710-catalog_default/seated-chin-up.jpg",4,500,500)</f>
        <v/>
      </c>
      <c r="C3259" s="30">
        <v>3258.0</v>
      </c>
      <c r="D3259" s="16" t="s">
        <v>4112</v>
      </c>
      <c r="E3259" s="16" t="s">
        <v>184</v>
      </c>
      <c r="F3259" s="16" t="s">
        <v>192</v>
      </c>
      <c r="G3259" s="16" t="s">
        <v>255</v>
      </c>
      <c r="H3259" s="16" t="s">
        <v>329</v>
      </c>
      <c r="I3259" s="16" t="s">
        <v>447</v>
      </c>
    </row>
    <row r="3260" ht="242.25" customHeight="1">
      <c r="B3260" s="32" t="str">
        <f>IMAGE("https://gymvisual.com/20708-catalog_default/seated-chin-up-low-bar-position.jpg",4,500,500)</f>
        <v/>
      </c>
      <c r="C3260" s="30">
        <v>3259.0</v>
      </c>
      <c r="D3260" s="16" t="s">
        <v>4113</v>
      </c>
      <c r="E3260" s="16" t="s">
        <v>184</v>
      </c>
      <c r="F3260" s="16" t="s">
        <v>192</v>
      </c>
      <c r="G3260" s="16" t="s">
        <v>255</v>
      </c>
      <c r="H3260" s="16" t="s">
        <v>329</v>
      </c>
      <c r="I3260" s="16" t="s">
        <v>447</v>
      </c>
    </row>
    <row r="3261" ht="242.25" customHeight="1">
      <c r="B3261" s="32" t="str">
        <f>IMAGE("https://gymvisual.com/20505-catalog_default/seated-commando-pull-up.jpg",4,500,500)</f>
        <v/>
      </c>
      <c r="C3261" s="30">
        <v>3260.0</v>
      </c>
      <c r="D3261" s="16" t="s">
        <v>4114</v>
      </c>
      <c r="E3261" s="16" t="s">
        <v>184</v>
      </c>
      <c r="F3261" s="16" t="s">
        <v>361</v>
      </c>
      <c r="G3261" s="16" t="s">
        <v>255</v>
      </c>
      <c r="H3261" s="16" t="s">
        <v>329</v>
      </c>
      <c r="I3261" s="16" t="s">
        <v>357</v>
      </c>
    </row>
    <row r="3262" ht="242.25" customHeight="1">
      <c r="B3262" s="32" t="str">
        <f>IMAGE("https://gymvisual.com/13906-catalog_default/seated-flexion-and-extension-neck-male.jpg",4,500,500)</f>
        <v/>
      </c>
      <c r="C3262" s="30">
        <v>3261.0</v>
      </c>
      <c r="D3262" s="16" t="s">
        <v>4115</v>
      </c>
      <c r="E3262" s="16" t="s">
        <v>184</v>
      </c>
      <c r="F3262" s="16" t="s">
        <v>351</v>
      </c>
      <c r="G3262" s="16" t="s">
        <v>255</v>
      </c>
      <c r="H3262" s="16" t="s">
        <v>4116</v>
      </c>
      <c r="I3262" s="16" t="s">
        <v>220</v>
      </c>
    </row>
    <row r="3263" ht="242.25" customHeight="1">
      <c r="B3263" s="32" t="str">
        <f>IMAGE("https://gymvisual.com/17300-catalog_default/seated-flutter-kick.jpg",4,500,500)</f>
        <v/>
      </c>
      <c r="C3263" s="30">
        <v>3262.0</v>
      </c>
      <c r="D3263" s="16" t="s">
        <v>4117</v>
      </c>
      <c r="E3263" s="16" t="s">
        <v>184</v>
      </c>
      <c r="F3263" s="16" t="s">
        <v>254</v>
      </c>
      <c r="G3263" s="16" t="s">
        <v>255</v>
      </c>
      <c r="H3263" s="16" t="s">
        <v>305</v>
      </c>
      <c r="I3263" s="16" t="s">
        <v>600</v>
      </c>
    </row>
    <row r="3264" ht="242.25" customHeight="1">
      <c r="B3264" s="32" t="str">
        <f>IMAGE("https://gymvisual.com/24149-catalog_default/seated-foot-slide.jpg",4,500,500)</f>
        <v/>
      </c>
      <c r="C3264" s="30">
        <v>3263.0</v>
      </c>
      <c r="D3264" s="16" t="s">
        <v>4118</v>
      </c>
      <c r="E3264" s="16" t="s">
        <v>184</v>
      </c>
      <c r="F3264" s="16" t="s">
        <v>325</v>
      </c>
      <c r="G3264" s="16" t="s">
        <v>255</v>
      </c>
      <c r="H3264" s="16" t="s">
        <v>220</v>
      </c>
      <c r="I3264" s="16" t="s">
        <v>220</v>
      </c>
    </row>
    <row r="3265" ht="242.25" customHeight="1">
      <c r="B3265" s="32" t="str">
        <f>IMAGE("https://gymvisual.com/14028-catalog_default/seated-in-out-leg-raise-on-floor.jpg",4,500,500)</f>
        <v/>
      </c>
      <c r="C3265" s="30">
        <v>3264.0</v>
      </c>
      <c r="D3265" s="16" t="s">
        <v>4119</v>
      </c>
      <c r="E3265" s="16" t="s">
        <v>184</v>
      </c>
      <c r="F3265" s="16" t="s">
        <v>522</v>
      </c>
      <c r="G3265" s="16" t="s">
        <v>255</v>
      </c>
      <c r="H3265" s="16" t="s">
        <v>2640</v>
      </c>
      <c r="I3265" s="16" t="s">
        <v>1206</v>
      </c>
    </row>
    <row r="3266" ht="242.25" customHeight="1">
      <c r="B3266" s="32" t="str">
        <f>IMAGE("https://gymvisual.com/23589-catalog_default/seated-in-out-leg-raise-on-floor-female.jpg",4,500,500)</f>
        <v/>
      </c>
      <c r="C3266" s="30">
        <v>3265.0</v>
      </c>
      <c r="D3266" s="16" t="s">
        <v>4120</v>
      </c>
      <c r="E3266" s="16" t="s">
        <v>184</v>
      </c>
      <c r="F3266" s="16" t="s">
        <v>254</v>
      </c>
      <c r="G3266" s="16" t="s">
        <v>255</v>
      </c>
      <c r="H3266" s="16" t="s">
        <v>305</v>
      </c>
      <c r="I3266" s="16" t="s">
        <v>600</v>
      </c>
    </row>
    <row r="3267" ht="242.25" customHeight="1">
      <c r="B3267" s="32" t="str">
        <f>IMAGE("https://gymvisual.com/2066-catalog_default/3-4-sit-up.jpg",4,500,500)</f>
        <v/>
      </c>
      <c r="C3267" s="30">
        <v>3266.0</v>
      </c>
      <c r="D3267" s="16" t="s">
        <v>4121</v>
      </c>
      <c r="E3267" s="16" t="s">
        <v>184</v>
      </c>
      <c r="F3267" s="16" t="s">
        <v>254</v>
      </c>
      <c r="G3267" s="16" t="s">
        <v>255</v>
      </c>
      <c r="H3267" s="16" t="s">
        <v>256</v>
      </c>
      <c r="I3267" s="16" t="s">
        <v>424</v>
      </c>
    </row>
    <row r="3268" ht="242.25" customHeight="1">
      <c r="B3268" s="32" t="str">
        <f>IMAGE("https://gymvisual.com/11176-catalog_default/seated-leg-raise-female.jpg",4,500,500)</f>
        <v/>
      </c>
      <c r="C3268" s="30">
        <v>3267.0</v>
      </c>
      <c r="D3268" s="16" t="s">
        <v>4122</v>
      </c>
      <c r="E3268" s="16" t="s">
        <v>184</v>
      </c>
      <c r="F3268" s="16" t="s">
        <v>310</v>
      </c>
      <c r="G3268" s="16" t="s">
        <v>255</v>
      </c>
      <c r="H3268" s="16" t="s">
        <v>220</v>
      </c>
      <c r="I3268" s="16" t="s">
        <v>220</v>
      </c>
    </row>
    <row r="3269" ht="242.25" customHeight="1">
      <c r="B3269" s="32" t="str">
        <f>IMAGE("https://gymvisual.com/24135-catalog_default/seated-neck-tap-female.jpg",4,500,500)</f>
        <v/>
      </c>
      <c r="C3269" s="30">
        <v>3268.0</v>
      </c>
      <c r="D3269" s="16" t="s">
        <v>4123</v>
      </c>
      <c r="E3269" s="16" t="s">
        <v>184</v>
      </c>
      <c r="F3269" s="16" t="s">
        <v>219</v>
      </c>
      <c r="G3269" s="16" t="s">
        <v>255</v>
      </c>
      <c r="H3269" s="16" t="s">
        <v>220</v>
      </c>
      <c r="I3269" s="16" t="s">
        <v>220</v>
      </c>
    </row>
    <row r="3270" ht="242.25" customHeight="1">
      <c r="B3270" s="32" t="str">
        <f>IMAGE("https://gymvisual.com/20714-catalog_default/seated-pull-up.jpg",4,500,500)</f>
        <v/>
      </c>
      <c r="C3270" s="30">
        <v>3269.0</v>
      </c>
      <c r="D3270" s="16" t="s">
        <v>4124</v>
      </c>
      <c r="E3270" s="16" t="s">
        <v>184</v>
      </c>
      <c r="F3270" s="16" t="s">
        <v>192</v>
      </c>
      <c r="G3270" s="16" t="s">
        <v>255</v>
      </c>
      <c r="H3270" s="16" t="s">
        <v>329</v>
      </c>
      <c r="I3270" s="16" t="s">
        <v>447</v>
      </c>
    </row>
    <row r="3271" ht="242.25" customHeight="1">
      <c r="B3271" s="32" t="str">
        <f>IMAGE("https://gymvisual.com/22299-catalog_default/seated-pull-up-legs-elevated.jpg",4,500,500)</f>
        <v/>
      </c>
      <c r="C3271" s="30">
        <v>3270.0</v>
      </c>
      <c r="D3271" s="16" t="s">
        <v>4125</v>
      </c>
      <c r="E3271" s="16" t="s">
        <v>184</v>
      </c>
      <c r="F3271" s="16" t="s">
        <v>192</v>
      </c>
      <c r="G3271" s="16" t="s">
        <v>255</v>
      </c>
      <c r="H3271" s="16" t="s">
        <v>220</v>
      </c>
      <c r="I3271" s="16" t="s">
        <v>220</v>
      </c>
    </row>
    <row r="3272" ht="242.25" customHeight="1">
      <c r="B3272" s="32" t="str">
        <f>IMAGE("https://gymvisual.com/20712-catalog_default/seated-pull-up-low-bar-position.jpg",4,500,500)</f>
        <v/>
      </c>
      <c r="C3272" s="30">
        <v>3271.0</v>
      </c>
      <c r="D3272" s="16" t="s">
        <v>4126</v>
      </c>
      <c r="E3272" s="16" t="s">
        <v>184</v>
      </c>
      <c r="F3272" s="16" t="s">
        <v>192</v>
      </c>
      <c r="G3272" s="16" t="s">
        <v>255</v>
      </c>
      <c r="H3272" s="16" t="s">
        <v>329</v>
      </c>
      <c r="I3272" s="16" t="s">
        <v>447</v>
      </c>
    </row>
    <row r="3273" ht="242.25" customHeight="1">
      <c r="B3273" s="32" t="str">
        <f>IMAGE("https://gymvisual.com/14127-catalog_default/seated-pull-up-between-chairs.jpg",4,500,500)</f>
        <v/>
      </c>
      <c r="C3273" s="30">
        <v>3272.0</v>
      </c>
      <c r="D3273" s="16" t="s">
        <v>4127</v>
      </c>
      <c r="E3273" s="16" t="s">
        <v>184</v>
      </c>
      <c r="F3273" s="16" t="s">
        <v>192</v>
      </c>
      <c r="G3273" s="16" t="s">
        <v>255</v>
      </c>
      <c r="H3273" s="16" t="s">
        <v>300</v>
      </c>
      <c r="I3273" s="16" t="s">
        <v>3413</v>
      </c>
    </row>
    <row r="3274" ht="242.25" customHeight="1">
      <c r="B3274" s="32" t="str">
        <f>IMAGE("https://gymvisual.com/24137-catalog_default/seated-pulse-back-squeeze-female.jpg",4,500,500)</f>
        <v/>
      </c>
      <c r="C3274" s="30">
        <v>3273.0</v>
      </c>
      <c r="D3274" s="16" t="s">
        <v>4128</v>
      </c>
      <c r="E3274" s="16" t="s">
        <v>184</v>
      </c>
      <c r="F3274" s="16" t="s">
        <v>192</v>
      </c>
      <c r="G3274" s="16" t="s">
        <v>2745</v>
      </c>
      <c r="H3274" s="16" t="s">
        <v>220</v>
      </c>
      <c r="I3274" s="16" t="s">
        <v>220</v>
      </c>
    </row>
    <row r="3275" ht="242.25" customHeight="1">
      <c r="B3275" s="32" t="str">
        <f>IMAGE("https://gymvisual.com/22101-catalog_default/seated-row-with-towel.jpg",4,500,500)</f>
        <v/>
      </c>
      <c r="C3275" s="30">
        <v>3274.0</v>
      </c>
      <c r="D3275" s="16" t="s">
        <v>4129</v>
      </c>
      <c r="E3275" s="16" t="s">
        <v>184</v>
      </c>
      <c r="F3275" s="16" t="s">
        <v>192</v>
      </c>
      <c r="G3275" s="16" t="s">
        <v>255</v>
      </c>
      <c r="H3275" s="16" t="s">
        <v>570</v>
      </c>
      <c r="I3275" s="16" t="s">
        <v>447</v>
      </c>
    </row>
    <row r="3276" ht="242.25" customHeight="1">
      <c r="B3276" s="32" t="str">
        <f>IMAGE("https://gymvisual.com/2072-catalog_default/3-4-sit-up.jpg",4,500,500)</f>
        <v/>
      </c>
      <c r="C3276" s="30">
        <v>3275.0</v>
      </c>
      <c r="D3276" s="16" t="s">
        <v>4130</v>
      </c>
      <c r="E3276" s="16" t="s">
        <v>184</v>
      </c>
      <c r="F3276" s="16" t="s">
        <v>254</v>
      </c>
      <c r="G3276" s="16" t="s">
        <v>255</v>
      </c>
      <c r="H3276" s="16" t="s">
        <v>1328</v>
      </c>
      <c r="I3276" s="16" t="s">
        <v>190</v>
      </c>
    </row>
    <row r="3277" ht="242.25" customHeight="1">
      <c r="B3277" s="32" t="str">
        <f>IMAGE("https://gymvisual.com/17379-catalog_default/seated-side-to-side-leg-raise-crunch-on-floor.jpg",4,500,500)</f>
        <v/>
      </c>
      <c r="C3277" s="30">
        <v>3276.0</v>
      </c>
      <c r="D3277" s="16" t="s">
        <v>4131</v>
      </c>
      <c r="E3277" s="16" t="s">
        <v>184</v>
      </c>
      <c r="F3277" s="16" t="s">
        <v>254</v>
      </c>
      <c r="G3277" s="16" t="s">
        <v>255</v>
      </c>
      <c r="H3277" s="16" t="s">
        <v>263</v>
      </c>
      <c r="I3277" s="16" t="s">
        <v>4132</v>
      </c>
    </row>
    <row r="3278" ht="242.25" customHeight="1">
      <c r="B3278" s="32" t="str">
        <f>IMAGE("https://gymvisual.com/23691-catalog_default/seated-sky-look.jpg",4,500,500)</f>
        <v/>
      </c>
      <c r="C3278" s="30">
        <v>3277.0</v>
      </c>
      <c r="D3278" s="16" t="s">
        <v>4133</v>
      </c>
      <c r="E3278" s="16" t="s">
        <v>184</v>
      </c>
      <c r="F3278" s="16" t="s">
        <v>234</v>
      </c>
      <c r="G3278" s="16" t="s">
        <v>255</v>
      </c>
      <c r="H3278" s="16" t="s">
        <v>472</v>
      </c>
      <c r="I3278" s="16" t="s">
        <v>220</v>
      </c>
    </row>
    <row r="3279" ht="242.25" customHeight="1">
      <c r="B3279" s="32" t="str">
        <f>IMAGE("https://gymvisual.com/2080-catalog_default/3-4-sit-up.jpg",4,500,500)</f>
        <v/>
      </c>
      <c r="C3279" s="30">
        <v>3278.0</v>
      </c>
      <c r="D3279" s="16" t="s">
        <v>4134</v>
      </c>
      <c r="E3279" s="16" t="s">
        <v>184</v>
      </c>
      <c r="F3279" s="16" t="s">
        <v>254</v>
      </c>
      <c r="G3279" s="16" t="s">
        <v>399</v>
      </c>
      <c r="H3279" s="16" t="s">
        <v>257</v>
      </c>
      <c r="I3279" s="16" t="s">
        <v>271</v>
      </c>
    </row>
    <row r="3280" ht="242.25" customHeight="1">
      <c r="B3280" s="32" t="str">
        <f>IMAGE("https://gymvisual.com/2083-catalog_default/3-4-sit-up.jpg",4,500,500)</f>
        <v/>
      </c>
      <c r="C3280" s="30">
        <v>3279.0</v>
      </c>
      <c r="D3280" s="16" t="s">
        <v>4135</v>
      </c>
      <c r="E3280" s="16" t="s">
        <v>184</v>
      </c>
      <c r="F3280" s="16" t="s">
        <v>254</v>
      </c>
      <c r="G3280" s="16" t="s">
        <v>255</v>
      </c>
      <c r="H3280" s="16" t="s">
        <v>257</v>
      </c>
      <c r="I3280" s="16" t="s">
        <v>256</v>
      </c>
    </row>
    <row r="3281" ht="242.25" customHeight="1">
      <c r="B3281" s="32" t="str">
        <f>IMAGE("https://gymvisual.com/18828-catalog_default/seated-twist-straight-arm-male.jpg",4,500,500)</f>
        <v/>
      </c>
      <c r="C3281" s="30">
        <v>3280.0</v>
      </c>
      <c r="D3281" s="16" t="s">
        <v>4136</v>
      </c>
      <c r="E3281" s="16" t="s">
        <v>184</v>
      </c>
      <c r="F3281" s="16" t="s">
        <v>254</v>
      </c>
      <c r="G3281" s="16" t="s">
        <v>255</v>
      </c>
      <c r="H3281" s="16" t="s">
        <v>257</v>
      </c>
      <c r="I3281" s="16" t="s">
        <v>256</v>
      </c>
    </row>
    <row r="3282" ht="242.25" customHeight="1">
      <c r="B3282" s="32" t="str">
        <f>IMAGE("https://gymvisual.com/24131-catalog_default/seated-upper-body-rotation-female.jpg",4,500,500)</f>
        <v/>
      </c>
      <c r="C3282" s="30">
        <v>3281.0</v>
      </c>
      <c r="D3282" s="16" t="s">
        <v>4137</v>
      </c>
      <c r="E3282" s="16" t="s">
        <v>184</v>
      </c>
      <c r="F3282" s="16" t="s">
        <v>254</v>
      </c>
      <c r="G3282" s="16" t="s">
        <v>255</v>
      </c>
      <c r="H3282" s="16" t="s">
        <v>220</v>
      </c>
      <c r="I3282" s="16" t="s">
        <v>220</v>
      </c>
    </row>
    <row r="3283" ht="242.25" customHeight="1">
      <c r="B3283" s="32" t="str">
        <f>IMAGE("https://gymvisual.com/2089-catalog_default/3-4-sit-up.jpg",4,500,500)</f>
        <v/>
      </c>
      <c r="C3283" s="30">
        <v>3282.0</v>
      </c>
      <c r="D3283" s="16" t="s">
        <v>4138</v>
      </c>
      <c r="E3283" s="16" t="s">
        <v>184</v>
      </c>
      <c r="F3283" s="16" t="s">
        <v>285</v>
      </c>
      <c r="G3283" s="16" t="s">
        <v>255</v>
      </c>
      <c r="H3283" s="16" t="s">
        <v>188</v>
      </c>
      <c r="I3283" s="16" t="s">
        <v>4139</v>
      </c>
    </row>
    <row r="3284" ht="242.25" customHeight="1">
      <c r="B3284" s="32" t="str">
        <f>IMAGE("https://gymvisual.com/7594-catalog_default/self-assisted-inverse-leg-curl.jpg",4,500,500)</f>
        <v/>
      </c>
      <c r="C3284" s="30">
        <v>3283.0</v>
      </c>
      <c r="D3284" s="16" t="s">
        <v>4138</v>
      </c>
      <c r="E3284" s="16" t="s">
        <v>184</v>
      </c>
      <c r="F3284" s="16" t="s">
        <v>285</v>
      </c>
      <c r="G3284" s="16" t="s">
        <v>255</v>
      </c>
      <c r="H3284" s="16" t="s">
        <v>220</v>
      </c>
      <c r="I3284" s="16" t="s">
        <v>220</v>
      </c>
    </row>
    <row r="3285" ht="242.25" customHeight="1">
      <c r="B3285" s="32" t="str">
        <f>IMAGE("https://gymvisual.com/2086-catalog_default/3-4-sit-up.jpg",4,500,500)</f>
        <v/>
      </c>
      <c r="C3285" s="30">
        <v>3284.0</v>
      </c>
      <c r="D3285" s="16" t="s">
        <v>4140</v>
      </c>
      <c r="E3285" s="16" t="s">
        <v>184</v>
      </c>
      <c r="F3285" s="16" t="s">
        <v>285</v>
      </c>
      <c r="G3285" s="16" t="s">
        <v>255</v>
      </c>
      <c r="H3285" s="16" t="s">
        <v>188</v>
      </c>
      <c r="I3285" s="16" t="s">
        <v>4141</v>
      </c>
    </row>
    <row r="3286" ht="242.25" customHeight="1">
      <c r="B3286" s="32" t="str">
        <f>IMAGE("https://gymvisual.com/14014-catalog_default/self-assisted-inverted-pullover.jpg",4,500,500)</f>
        <v/>
      </c>
      <c r="C3286" s="30">
        <v>3285.0</v>
      </c>
      <c r="D3286" s="16" t="s">
        <v>4142</v>
      </c>
      <c r="E3286" s="16" t="s">
        <v>184</v>
      </c>
      <c r="F3286" s="16" t="s">
        <v>361</v>
      </c>
      <c r="G3286" s="16" t="s">
        <v>255</v>
      </c>
      <c r="H3286" s="16" t="s">
        <v>1230</v>
      </c>
      <c r="I3286" s="16" t="s">
        <v>220</v>
      </c>
    </row>
    <row r="3287" ht="242.25" customHeight="1">
      <c r="B3287" s="32" t="str">
        <f>IMAGE("https://gymvisual.com/13793-catalog_default/self-assisted-inverse-leg-curl-version-2.jpg",4,500,500)</f>
        <v/>
      </c>
      <c r="C3287" s="30">
        <v>3286.0</v>
      </c>
      <c r="D3287" s="16" t="s">
        <v>4143</v>
      </c>
      <c r="E3287" s="16" t="s">
        <v>184</v>
      </c>
      <c r="F3287" s="16" t="s">
        <v>285</v>
      </c>
      <c r="G3287" s="16" t="s">
        <v>255</v>
      </c>
      <c r="H3287" s="16" t="s">
        <v>188</v>
      </c>
      <c r="I3287" s="16" t="s">
        <v>368</v>
      </c>
    </row>
    <row r="3288" ht="242.25" customHeight="1">
      <c r="B3288" s="32" t="str">
        <f>IMAGE("https://gymvisual.com/20169-catalog_default/serratus-wall-slide.jpg",4,500,500)</f>
        <v/>
      </c>
      <c r="C3288" s="30">
        <v>3287.0</v>
      </c>
      <c r="D3288" s="16" t="s">
        <v>4144</v>
      </c>
      <c r="E3288" s="16" t="s">
        <v>184</v>
      </c>
      <c r="F3288" s="16" t="s">
        <v>192</v>
      </c>
      <c r="G3288" s="16" t="s">
        <v>255</v>
      </c>
      <c r="H3288" s="16" t="s">
        <v>4008</v>
      </c>
      <c r="I3288" s="16" t="s">
        <v>1621</v>
      </c>
    </row>
    <row r="3289" ht="242.25" customHeight="1">
      <c r="B3289" s="32" t="str">
        <f>IMAGE("https://gymvisual.com/12196-catalog_default/shoulder-flexion-back-to-wall.jpg",4,500,500)</f>
        <v/>
      </c>
      <c r="C3289" s="30">
        <v>3288.0</v>
      </c>
      <c r="D3289" s="16" t="s">
        <v>4145</v>
      </c>
      <c r="E3289" s="16" t="s">
        <v>184</v>
      </c>
      <c r="F3289" s="16" t="s">
        <v>192</v>
      </c>
      <c r="G3289" s="16" t="s">
        <v>255</v>
      </c>
      <c r="H3289" s="16" t="s">
        <v>220</v>
      </c>
      <c r="I3289" s="16" t="s">
        <v>220</v>
      </c>
    </row>
    <row r="3290" ht="242.25" customHeight="1">
      <c r="B3290" s="32" t="str">
        <f>IMAGE("https://gymvisual.com/7588-catalog_default/shoulder-grip-pull-up.jpg",4,500,500)</f>
        <v/>
      </c>
      <c r="C3290" s="30">
        <v>3289.0</v>
      </c>
      <c r="D3290" s="16" t="s">
        <v>4146</v>
      </c>
      <c r="E3290" s="16" t="s">
        <v>184</v>
      </c>
      <c r="F3290" s="16" t="s">
        <v>192</v>
      </c>
      <c r="G3290" s="16" t="s">
        <v>255</v>
      </c>
      <c r="H3290" s="16" t="s">
        <v>300</v>
      </c>
      <c r="I3290" s="16" t="s">
        <v>387</v>
      </c>
    </row>
    <row r="3291" ht="242.25" customHeight="1">
      <c r="B3291" s="32" t="str">
        <f>IMAGE("https://gymvisual.com/17144-catalog_default/shoulder-grip-pull-up-female.jpg",4,500,500)</f>
        <v/>
      </c>
      <c r="C3291" s="30">
        <v>3290.0</v>
      </c>
      <c r="D3291" s="16" t="s">
        <v>4147</v>
      </c>
      <c r="E3291" s="16" t="s">
        <v>184</v>
      </c>
      <c r="F3291" s="16" t="s">
        <v>192</v>
      </c>
      <c r="G3291" s="16" t="s">
        <v>255</v>
      </c>
      <c r="H3291" s="16" t="s">
        <v>300</v>
      </c>
      <c r="I3291" s="16" t="s">
        <v>535</v>
      </c>
    </row>
    <row r="3292" ht="242.25" customHeight="1">
      <c r="B3292" s="32" t="str">
        <f>IMAGE("https://gymvisual.com/2092-catalog_default/3-4-sit-up.jpg",4,500,500)</f>
        <v/>
      </c>
      <c r="C3292" s="30">
        <v>3291.0</v>
      </c>
      <c r="D3292" s="16" t="s">
        <v>4148</v>
      </c>
      <c r="E3292" s="16" t="s">
        <v>184</v>
      </c>
      <c r="F3292" s="16" t="s">
        <v>228</v>
      </c>
      <c r="G3292" s="16" t="s">
        <v>291</v>
      </c>
      <c r="H3292" s="16" t="s">
        <v>229</v>
      </c>
      <c r="I3292" s="16" t="s">
        <v>626</v>
      </c>
    </row>
    <row r="3293" ht="242.25" customHeight="1">
      <c r="B3293" s="32" t="str">
        <f>IMAGE("https://gymvisual.com/15149-catalog_default/shoulder-tap.jpg",4,500,500)</f>
        <v/>
      </c>
      <c r="C3293" s="30">
        <v>3292.0</v>
      </c>
      <c r="D3293" s="16" t="s">
        <v>4149</v>
      </c>
      <c r="E3293" s="16" t="s">
        <v>184</v>
      </c>
      <c r="F3293" s="16" t="s">
        <v>3260</v>
      </c>
      <c r="G3293" s="16" t="s">
        <v>255</v>
      </c>
      <c r="H3293" s="16" t="s">
        <v>4150</v>
      </c>
      <c r="I3293" s="16" t="s">
        <v>3267</v>
      </c>
    </row>
    <row r="3294" ht="242.25" customHeight="1">
      <c r="B3294" s="32" t="str">
        <f>IMAGE("https://gymvisual.com/23639-catalog_default/shoulder-tap-female.jpg",4,500,500)</f>
        <v/>
      </c>
      <c r="C3294" s="30">
        <v>3293.0</v>
      </c>
      <c r="D3294" s="16" t="s">
        <v>4151</v>
      </c>
      <c r="E3294" s="16" t="s">
        <v>184</v>
      </c>
      <c r="F3294" s="16" t="s">
        <v>254</v>
      </c>
      <c r="G3294" s="16" t="s">
        <v>255</v>
      </c>
      <c r="H3294" s="16" t="s">
        <v>235</v>
      </c>
      <c r="I3294" s="16" t="s">
        <v>3265</v>
      </c>
    </row>
    <row r="3295" ht="242.25" customHeight="1">
      <c r="B3295" s="32" t="str">
        <f>IMAGE("https://gymvisual.com/22632-catalog_default/shoulder-tap-push-up-female.jpg",4,500,500)</f>
        <v/>
      </c>
      <c r="C3295" s="30">
        <v>3294.0</v>
      </c>
      <c r="D3295" s="16" t="s">
        <v>4152</v>
      </c>
      <c r="E3295" s="16" t="s">
        <v>184</v>
      </c>
      <c r="F3295" s="16" t="s">
        <v>234</v>
      </c>
      <c r="G3295" s="16" t="s">
        <v>255</v>
      </c>
      <c r="H3295" s="16" t="s">
        <v>235</v>
      </c>
      <c r="I3295" s="16" t="s">
        <v>3267</v>
      </c>
    </row>
    <row r="3296" ht="242.25" customHeight="1">
      <c r="B3296" s="32" t="str">
        <f>IMAGE("https://gymvisual.com/23697-catalog_default/shoulder-width-neutral-grip-pull-up.jpg",4,500,500)</f>
        <v/>
      </c>
      <c r="C3296" s="30">
        <v>3295.0</v>
      </c>
      <c r="D3296" s="16" t="s">
        <v>4153</v>
      </c>
      <c r="E3296" s="16" t="s">
        <v>184</v>
      </c>
      <c r="F3296" s="16" t="s">
        <v>192</v>
      </c>
      <c r="G3296" s="16" t="s">
        <v>255</v>
      </c>
      <c r="H3296" s="16" t="s">
        <v>220</v>
      </c>
      <c r="I3296" s="16" t="s">
        <v>220</v>
      </c>
    </row>
    <row r="3297" ht="242.25" customHeight="1">
      <c r="B3297" s="32" t="str">
        <f>IMAGE("https://gymvisual.com/13695-catalog_default/shrimp-squat.jpg",4,500,500)</f>
        <v/>
      </c>
      <c r="C3297" s="30">
        <v>3296.0</v>
      </c>
      <c r="D3297" s="16" t="s">
        <v>4154</v>
      </c>
      <c r="E3297" s="16" t="s">
        <v>184</v>
      </c>
      <c r="F3297" s="16" t="s">
        <v>294</v>
      </c>
      <c r="G3297" s="16" t="s">
        <v>255</v>
      </c>
      <c r="H3297" s="16" t="s">
        <v>189</v>
      </c>
      <c r="I3297" s="16" t="s">
        <v>190</v>
      </c>
    </row>
    <row r="3298" ht="242.25" customHeight="1">
      <c r="B3298" s="32" t="str">
        <f>IMAGE("https://gymvisual.com/17995-catalog_default/shrug-on-parallel-bars.jpg",4,500,500)</f>
        <v/>
      </c>
      <c r="C3298" s="30">
        <v>3297.0</v>
      </c>
      <c r="D3298" s="16" t="s">
        <v>4155</v>
      </c>
      <c r="E3298" s="16" t="s">
        <v>184</v>
      </c>
      <c r="F3298" s="16" t="s">
        <v>192</v>
      </c>
      <c r="G3298" s="16" t="s">
        <v>255</v>
      </c>
      <c r="H3298" s="16" t="s">
        <v>220</v>
      </c>
      <c r="I3298" s="16" t="s">
        <v>220</v>
      </c>
    </row>
    <row r="3299" ht="242.25" customHeight="1">
      <c r="B3299" s="32" t="str">
        <f>IMAGE("https://gymvisual.com/22301-catalog_default/side-bench-squat.jpg",4,500,500)</f>
        <v/>
      </c>
      <c r="C3299" s="30">
        <v>3298.0</v>
      </c>
      <c r="D3299" s="16" t="s">
        <v>4156</v>
      </c>
      <c r="E3299" s="16" t="s">
        <v>184</v>
      </c>
      <c r="F3299" s="16" t="s">
        <v>285</v>
      </c>
      <c r="G3299" s="16" t="s">
        <v>255</v>
      </c>
      <c r="H3299" s="16" t="s">
        <v>220</v>
      </c>
      <c r="I3299" s="16" t="s">
        <v>220</v>
      </c>
    </row>
    <row r="3300" ht="242.25" customHeight="1">
      <c r="B3300" s="32" t="str">
        <f>IMAGE("https://gymvisual.com/2098-catalog_default/3-4-sit-up.jpg",4,500,500)</f>
        <v/>
      </c>
      <c r="C3300" s="30">
        <v>3299.0</v>
      </c>
      <c r="D3300" s="16" t="s">
        <v>4157</v>
      </c>
      <c r="E3300" s="16" t="s">
        <v>184</v>
      </c>
      <c r="F3300" s="16" t="s">
        <v>254</v>
      </c>
      <c r="G3300" s="16" t="s">
        <v>399</v>
      </c>
      <c r="H3300" s="16" t="s">
        <v>257</v>
      </c>
      <c r="I3300" s="16" t="s">
        <v>271</v>
      </c>
    </row>
    <row r="3301" ht="242.25" customHeight="1">
      <c r="B3301" s="32" t="str">
        <f>IMAGE("https://gymvisual.com/2116-catalog_default/3-4-sit-up.jpg",4,500,500)</f>
        <v/>
      </c>
      <c r="C3301" s="30">
        <v>3300.0</v>
      </c>
      <c r="D3301" s="16" t="s">
        <v>4158</v>
      </c>
      <c r="E3301" s="16" t="s">
        <v>184</v>
      </c>
      <c r="F3301" s="16" t="s">
        <v>254</v>
      </c>
      <c r="G3301" s="16" t="s">
        <v>255</v>
      </c>
      <c r="H3301" s="16" t="s">
        <v>257</v>
      </c>
      <c r="I3301" s="16" t="s">
        <v>4159</v>
      </c>
    </row>
    <row r="3302" ht="242.25" customHeight="1">
      <c r="B3302" s="32" t="str">
        <f>IMAGE("https://gymvisual.com/2101-catalog_default/3-4-sit-up.jpg",4,500,500)</f>
        <v/>
      </c>
      <c r="C3302" s="30">
        <v>3301.0</v>
      </c>
      <c r="D3302" s="16" t="s">
        <v>4160</v>
      </c>
      <c r="E3302" s="16" t="s">
        <v>184</v>
      </c>
      <c r="F3302" s="16" t="s">
        <v>285</v>
      </c>
      <c r="G3302" s="16" t="s">
        <v>255</v>
      </c>
      <c r="H3302" s="16" t="s">
        <v>2482</v>
      </c>
      <c r="I3302" s="16" t="s">
        <v>4161</v>
      </c>
    </row>
    <row r="3303" ht="242.25" customHeight="1">
      <c r="B3303" s="32" t="str">
        <f>IMAGE("https://gymvisual.com/2104-catalog_default/3-4-sit-up.jpg",4,500,500)</f>
        <v/>
      </c>
      <c r="C3303" s="30">
        <v>3302.0</v>
      </c>
      <c r="D3303" s="16" t="s">
        <v>4162</v>
      </c>
      <c r="E3303" s="16" t="s">
        <v>184</v>
      </c>
      <c r="F3303" s="16" t="s">
        <v>285</v>
      </c>
      <c r="G3303" s="16" t="s">
        <v>255</v>
      </c>
      <c r="H3303" s="16" t="s">
        <v>1328</v>
      </c>
      <c r="I3303" s="16" t="s">
        <v>4163</v>
      </c>
    </row>
    <row r="3304" ht="242.25" customHeight="1">
      <c r="B3304" s="32" t="str">
        <f>IMAGE("https://gymvisual.com/2113-catalog_default/3-4-sit-up.jpg",4,500,500)</f>
        <v/>
      </c>
      <c r="C3304" s="30">
        <v>3303.0</v>
      </c>
      <c r="D3304" s="16" t="s">
        <v>4164</v>
      </c>
      <c r="E3304" s="16" t="s">
        <v>184</v>
      </c>
      <c r="F3304" s="16" t="s">
        <v>254</v>
      </c>
      <c r="G3304" s="16" t="s">
        <v>255</v>
      </c>
      <c r="H3304" s="16" t="s">
        <v>257</v>
      </c>
      <c r="I3304" s="16" t="s">
        <v>4165</v>
      </c>
    </row>
    <row r="3305" ht="242.25" customHeight="1">
      <c r="B3305" s="32" t="str">
        <f>IMAGE("https://gymvisual.com/2110-catalog_default/3-4-sit-up.jpg",4,500,500)</f>
        <v/>
      </c>
      <c r="C3305" s="30">
        <v>3304.0</v>
      </c>
      <c r="D3305" s="16" t="s">
        <v>4166</v>
      </c>
      <c r="E3305" s="16" t="s">
        <v>184</v>
      </c>
      <c r="F3305" s="16" t="s">
        <v>185</v>
      </c>
      <c r="G3305" s="16" t="s">
        <v>255</v>
      </c>
      <c r="H3305" s="16" t="s">
        <v>508</v>
      </c>
      <c r="I3305" s="16" t="s">
        <v>424</v>
      </c>
    </row>
    <row r="3306" ht="242.25" customHeight="1">
      <c r="B3306" s="32" t="str">
        <f>IMAGE("https://gymvisual.com/7611-catalog_default/side-bridge-hip-abduction.jpg",4,500,500)</f>
        <v/>
      </c>
      <c r="C3306" s="30">
        <v>3305.0</v>
      </c>
      <c r="D3306" s="16" t="s">
        <v>4166</v>
      </c>
      <c r="E3306" s="16" t="s">
        <v>184</v>
      </c>
      <c r="F3306" s="16" t="s">
        <v>185</v>
      </c>
      <c r="G3306" s="16" t="s">
        <v>255</v>
      </c>
      <c r="H3306" s="16" t="s">
        <v>257</v>
      </c>
      <c r="I3306" s="16" t="s">
        <v>734</v>
      </c>
    </row>
    <row r="3307" ht="242.25" customHeight="1">
      <c r="B3307" s="32" t="str">
        <f>IMAGE("https://gymvisual.com/2107-catalog_default/3-4-sit-up.jpg",4,500,500)</f>
        <v/>
      </c>
      <c r="C3307" s="30">
        <v>3306.0</v>
      </c>
      <c r="D3307" s="16" t="s">
        <v>4167</v>
      </c>
      <c r="E3307" s="16" t="s">
        <v>184</v>
      </c>
      <c r="F3307" s="16" t="s">
        <v>185</v>
      </c>
      <c r="G3307" s="16" t="s">
        <v>255</v>
      </c>
      <c r="H3307" s="16" t="s">
        <v>1206</v>
      </c>
      <c r="I3307" s="16" t="s">
        <v>220</v>
      </c>
    </row>
    <row r="3308" ht="242.25" customHeight="1">
      <c r="B3308" s="32" t="str">
        <f>IMAGE("https://gymvisual.com/14232-catalog_default/side-bridge-with-arm-leg-swing.jpg",4,500,500)</f>
        <v/>
      </c>
      <c r="C3308" s="30">
        <v>3307.0</v>
      </c>
      <c r="D3308" s="16" t="s">
        <v>4168</v>
      </c>
      <c r="E3308" s="16" t="s">
        <v>184</v>
      </c>
      <c r="F3308" s="16" t="s">
        <v>1720</v>
      </c>
      <c r="G3308" s="16" t="s">
        <v>255</v>
      </c>
      <c r="H3308" s="16" t="s">
        <v>4169</v>
      </c>
      <c r="I3308" s="16" t="s">
        <v>4170</v>
      </c>
    </row>
    <row r="3309" ht="242.25" customHeight="1">
      <c r="B3309" s="32" t="str">
        <f>IMAGE("https://gymvisual.com/19039-catalog_default/side-bridge-with-bent-leg-female.jpg",4,500,500)</f>
        <v/>
      </c>
      <c r="C3309" s="30">
        <v>3308.0</v>
      </c>
      <c r="D3309" s="16" t="s">
        <v>4171</v>
      </c>
      <c r="E3309" s="16" t="s">
        <v>184</v>
      </c>
      <c r="F3309" s="16" t="s">
        <v>254</v>
      </c>
      <c r="G3309" s="16" t="s">
        <v>255</v>
      </c>
      <c r="H3309" s="16" t="s">
        <v>257</v>
      </c>
      <c r="I3309" s="16" t="s">
        <v>220</v>
      </c>
    </row>
    <row r="3310" ht="242.25" customHeight="1">
      <c r="B3310" s="32" t="str">
        <f>IMAGE("https://gymvisual.com/24075-catalog_default/side-bridge-with-bent-leg-male.jpg",4,500,500)</f>
        <v/>
      </c>
      <c r="C3310" s="30">
        <v>3309.0</v>
      </c>
      <c r="D3310" s="16" t="s">
        <v>4172</v>
      </c>
      <c r="E3310" s="16" t="s">
        <v>184</v>
      </c>
      <c r="F3310" s="16" t="s">
        <v>185</v>
      </c>
      <c r="G3310" s="16" t="s">
        <v>255</v>
      </c>
      <c r="H3310" s="16" t="s">
        <v>220</v>
      </c>
      <c r="I3310" s="16" t="s">
        <v>220</v>
      </c>
    </row>
    <row r="3311" ht="242.25" customHeight="1">
      <c r="B3311" s="32" t="str">
        <f>IMAGE("https://gymvisual.com/19025-catalog_default/side-bridge-with-straight-legs-female.jpg",4,500,500)</f>
        <v/>
      </c>
      <c r="C3311" s="30">
        <v>3310.0</v>
      </c>
      <c r="D3311" s="16" t="s">
        <v>4173</v>
      </c>
      <c r="E3311" s="16" t="s">
        <v>184</v>
      </c>
      <c r="F3311" s="16" t="s">
        <v>254</v>
      </c>
      <c r="G3311" s="16" t="s">
        <v>255</v>
      </c>
      <c r="H3311" s="16" t="s">
        <v>257</v>
      </c>
      <c r="I3311" s="16" t="s">
        <v>220</v>
      </c>
    </row>
    <row r="3312" ht="242.25" customHeight="1">
      <c r="B3312" s="32" t="str">
        <f>IMAGE("https://gymvisual.com/2122-catalog_default/3-4-sit-up.jpg",4,500,500)</f>
        <v/>
      </c>
      <c r="C3312" s="30">
        <v>3311.0</v>
      </c>
      <c r="D3312" s="16" t="s">
        <v>4174</v>
      </c>
      <c r="E3312" s="16" t="s">
        <v>184</v>
      </c>
      <c r="F3312" s="16" t="s">
        <v>254</v>
      </c>
      <c r="G3312" s="16" t="s">
        <v>255</v>
      </c>
      <c r="H3312" s="16" t="s">
        <v>257</v>
      </c>
      <c r="I3312" s="16" t="s">
        <v>256</v>
      </c>
    </row>
    <row r="3313" ht="242.25" customHeight="1">
      <c r="B3313" s="32" t="str">
        <f>IMAGE("https://gymvisual.com/2119-catalog_default/3-4-sit-up.jpg",4,500,500)</f>
        <v/>
      </c>
      <c r="C3313" s="30">
        <v>3312.0</v>
      </c>
      <c r="D3313" s="16" t="s">
        <v>4175</v>
      </c>
      <c r="E3313" s="16" t="s">
        <v>184</v>
      </c>
      <c r="F3313" s="16" t="s">
        <v>254</v>
      </c>
      <c r="G3313" s="16" t="s">
        <v>255</v>
      </c>
      <c r="H3313" s="16" t="s">
        <v>257</v>
      </c>
      <c r="I3313" s="16" t="s">
        <v>256</v>
      </c>
    </row>
    <row r="3314" ht="242.25" customHeight="1">
      <c r="B3314" s="32" t="str">
        <f>IMAGE("https://gymvisual.com/22793-catalog_default/side-crunch-version-2-female.jpg",4,500,500)</f>
        <v/>
      </c>
      <c r="C3314" s="30">
        <v>3313.0</v>
      </c>
      <c r="D3314" s="16" t="s">
        <v>4176</v>
      </c>
      <c r="E3314" s="16" t="s">
        <v>184</v>
      </c>
      <c r="F3314" s="16" t="s">
        <v>254</v>
      </c>
      <c r="G3314" s="16" t="s">
        <v>255</v>
      </c>
      <c r="H3314" s="16" t="s">
        <v>256</v>
      </c>
      <c r="I3314" s="16" t="s">
        <v>257</v>
      </c>
    </row>
    <row r="3315" ht="242.25" customHeight="1">
      <c r="B3315" s="32" t="str">
        <f>IMAGE("https://gymvisual.com/22303-catalog_default/side-crunch-with-hands-on-chest-female.jpg",4,500,500)</f>
        <v/>
      </c>
      <c r="C3315" s="30">
        <v>3314.0</v>
      </c>
      <c r="D3315" s="16" t="s">
        <v>4177</v>
      </c>
      <c r="E3315" s="16" t="s">
        <v>184</v>
      </c>
      <c r="F3315" s="16" t="s">
        <v>254</v>
      </c>
      <c r="G3315" s="16" t="s">
        <v>255</v>
      </c>
      <c r="H3315" s="16" t="s">
        <v>220</v>
      </c>
      <c r="I3315" s="16" t="s">
        <v>220</v>
      </c>
    </row>
    <row r="3316" ht="242.25" customHeight="1">
      <c r="B3316" s="32" t="str">
        <f>IMAGE("https://gymvisual.com/2125-catalog_default/3-4-sit-up.jpg",4,500,500)</f>
        <v/>
      </c>
      <c r="C3316" s="30">
        <v>3315.0</v>
      </c>
      <c r="D3316" s="16" t="s">
        <v>4178</v>
      </c>
      <c r="E3316" s="16" t="s">
        <v>184</v>
      </c>
      <c r="F3316" s="16" t="s">
        <v>254</v>
      </c>
      <c r="G3316" s="16" t="s">
        <v>255</v>
      </c>
      <c r="H3316" s="16" t="s">
        <v>257</v>
      </c>
      <c r="I3316" s="16" t="s">
        <v>220</v>
      </c>
    </row>
    <row r="3317" ht="242.25" customHeight="1">
      <c r="B3317" s="32" t="str">
        <f>IMAGE("https://gymvisual.com/14723-catalog_default/side-hip-abduction.jpg",4,500,500)</f>
        <v/>
      </c>
      <c r="C3317" s="30">
        <v>3316.0</v>
      </c>
      <c r="D3317" s="16" t="s">
        <v>4179</v>
      </c>
      <c r="E3317" s="16" t="s">
        <v>184</v>
      </c>
      <c r="F3317" s="16" t="s">
        <v>185</v>
      </c>
      <c r="G3317" s="16" t="s">
        <v>255</v>
      </c>
      <c r="H3317" s="16" t="s">
        <v>475</v>
      </c>
      <c r="I3317" s="16" t="s">
        <v>220</v>
      </c>
    </row>
    <row r="3318" ht="242.25" customHeight="1">
      <c r="B3318" s="32" t="str">
        <f>IMAGE("https://gymvisual.com/13287-catalog_default/side-lunge.jpg",4,500,500)</f>
        <v/>
      </c>
      <c r="C3318" s="30">
        <v>3317.0</v>
      </c>
      <c r="D3318" s="16" t="s">
        <v>4180</v>
      </c>
      <c r="E3318" s="16" t="s">
        <v>184</v>
      </c>
      <c r="F3318" s="16" t="s">
        <v>294</v>
      </c>
      <c r="G3318" s="16" t="s">
        <v>255</v>
      </c>
      <c r="H3318" s="16" t="s">
        <v>189</v>
      </c>
      <c r="I3318" s="16" t="s">
        <v>902</v>
      </c>
    </row>
    <row r="3319" ht="242.25" customHeight="1">
      <c r="B3319" s="32" t="str">
        <f>IMAGE("https://gymvisual.com/13289-catalog_default/side-lunge-female.jpg",4,500,500)</f>
        <v/>
      </c>
      <c r="C3319" s="30">
        <v>3318.0</v>
      </c>
      <c r="D3319" s="16" t="s">
        <v>4181</v>
      </c>
      <c r="E3319" s="16" t="s">
        <v>184</v>
      </c>
      <c r="F3319" s="16" t="s">
        <v>294</v>
      </c>
      <c r="G3319" s="16" t="s">
        <v>255</v>
      </c>
      <c r="H3319" s="16" t="s">
        <v>189</v>
      </c>
      <c r="I3319" s="16" t="s">
        <v>902</v>
      </c>
    </row>
    <row r="3320" ht="242.25" customHeight="1">
      <c r="B3320" s="32" t="str">
        <f>IMAGE("https://gymvisual.com/10568-catalog_default/side-lying-clam.jpg",4,500,500)</f>
        <v/>
      </c>
      <c r="C3320" s="30">
        <v>3319.0</v>
      </c>
      <c r="D3320" s="16" t="s">
        <v>4182</v>
      </c>
      <c r="E3320" s="16" t="s">
        <v>184</v>
      </c>
      <c r="F3320" s="16" t="s">
        <v>185</v>
      </c>
      <c r="G3320" s="16" t="s">
        <v>255</v>
      </c>
      <c r="H3320" s="16" t="s">
        <v>475</v>
      </c>
      <c r="I3320" s="16" t="s">
        <v>476</v>
      </c>
    </row>
    <row r="3321" ht="242.25" customHeight="1">
      <c r="B3321" s="32" t="str">
        <f>IMAGE("https://gymvisual.com/2134-catalog_default/side-lying-feet-raise.jpg",4,500,500)</f>
        <v/>
      </c>
      <c r="C3321" s="30">
        <v>3320.0</v>
      </c>
      <c r="D3321" s="16" t="s">
        <v>4183</v>
      </c>
      <c r="E3321" s="16" t="s">
        <v>184</v>
      </c>
      <c r="F3321" s="16" t="s">
        <v>285</v>
      </c>
      <c r="G3321" s="16" t="s">
        <v>255</v>
      </c>
      <c r="H3321" s="16" t="s">
        <v>4184</v>
      </c>
      <c r="I3321" s="16" t="s">
        <v>4185</v>
      </c>
    </row>
    <row r="3322" ht="242.25" customHeight="1">
      <c r="B3322" s="32" t="str">
        <f>IMAGE("https://gymvisual.com/23635-catalog_default/side-lying-hip-adduction-female.jpg",4,500,500)</f>
        <v/>
      </c>
      <c r="C3322" s="30">
        <v>3321.0</v>
      </c>
      <c r="D3322" s="16" t="s">
        <v>4186</v>
      </c>
      <c r="E3322" s="16" t="s">
        <v>184</v>
      </c>
      <c r="F3322" s="16" t="s">
        <v>185</v>
      </c>
      <c r="G3322" s="16" t="s">
        <v>255</v>
      </c>
      <c r="H3322" s="16" t="s">
        <v>4187</v>
      </c>
      <c r="I3322" s="16" t="s">
        <v>220</v>
      </c>
    </row>
    <row r="3323" ht="242.25" customHeight="1">
      <c r="B3323" s="32" t="str">
        <f>IMAGE("https://gymvisual.com/14552-catalog_default/side-lying-hip-adduction-male.jpg",4,500,500)</f>
        <v/>
      </c>
      <c r="C3323" s="30">
        <v>3322.0</v>
      </c>
      <c r="D3323" s="16" t="s">
        <v>4188</v>
      </c>
      <c r="E3323" s="16" t="s">
        <v>184</v>
      </c>
      <c r="F3323" s="16" t="s">
        <v>185</v>
      </c>
      <c r="G3323" s="16" t="s">
        <v>255</v>
      </c>
      <c r="H3323" s="16" t="s">
        <v>4187</v>
      </c>
      <c r="I3323" s="16" t="s">
        <v>3965</v>
      </c>
    </row>
    <row r="3324" ht="242.25" customHeight="1">
      <c r="B3324" s="32" t="str">
        <f>IMAGE("https://gymvisual.com/22720-catalog_default/side-lying-leg-circle.jpg",4,500,500)</f>
        <v/>
      </c>
      <c r="C3324" s="30">
        <v>3323.0</v>
      </c>
      <c r="D3324" s="16" t="s">
        <v>4189</v>
      </c>
      <c r="E3324" s="16" t="s">
        <v>184</v>
      </c>
      <c r="F3324" s="16" t="s">
        <v>185</v>
      </c>
      <c r="G3324" s="16" t="s">
        <v>255</v>
      </c>
      <c r="H3324" s="16" t="s">
        <v>1322</v>
      </c>
      <c r="I3324" s="16" t="s">
        <v>3617</v>
      </c>
    </row>
    <row r="3325" ht="242.25" customHeight="1">
      <c r="B3325" s="32" t="str">
        <f>IMAGE("https://gymvisual.com/17835-catalog_default/side-lying-leg-raise.jpg",4,500,500)</f>
        <v/>
      </c>
      <c r="C3325" s="30">
        <v>3324.0</v>
      </c>
      <c r="D3325" s="16" t="s">
        <v>4190</v>
      </c>
      <c r="E3325" s="16" t="s">
        <v>184</v>
      </c>
      <c r="F3325" s="16" t="s">
        <v>185</v>
      </c>
      <c r="G3325" s="16" t="s">
        <v>255</v>
      </c>
      <c r="H3325" s="16" t="s">
        <v>220</v>
      </c>
      <c r="I3325" s="16" t="s">
        <v>220</v>
      </c>
    </row>
    <row r="3326" ht="242.25" customHeight="1">
      <c r="B3326" s="32" t="str">
        <f>IMAGE("https://gymvisual.com/22809-catalog_default/side-lying-outward-knee-kick.jpg",4,500,500)</f>
        <v/>
      </c>
      <c r="C3326" s="30">
        <v>3325.0</v>
      </c>
      <c r="D3326" s="16" t="s">
        <v>4191</v>
      </c>
      <c r="E3326" s="16" t="s">
        <v>184</v>
      </c>
      <c r="F3326" s="16" t="s">
        <v>185</v>
      </c>
      <c r="G3326" s="16" t="s">
        <v>255</v>
      </c>
      <c r="H3326" s="16" t="s">
        <v>295</v>
      </c>
      <c r="I3326" s="16" t="s">
        <v>476</v>
      </c>
    </row>
    <row r="3327" ht="242.25" customHeight="1">
      <c r="B3327" s="32" t="str">
        <f>IMAGE("https://gymvisual.com/23631-catalog_default/side-lying-scissors.jpg",4,500,500)</f>
        <v/>
      </c>
      <c r="C3327" s="30">
        <v>3326.0</v>
      </c>
      <c r="D3327" s="16" t="s">
        <v>4192</v>
      </c>
      <c r="E3327" s="16" t="s">
        <v>184</v>
      </c>
      <c r="F3327" s="16" t="s">
        <v>185</v>
      </c>
      <c r="G3327" s="16" t="s">
        <v>255</v>
      </c>
      <c r="H3327" s="16" t="s">
        <v>475</v>
      </c>
      <c r="I3327" s="16" t="s">
        <v>476</v>
      </c>
    </row>
    <row r="3328" ht="242.25" customHeight="1">
      <c r="B3328" s="32" t="str">
        <f>IMAGE("https://gymvisual.com/22807-catalog_default/side-lying-scissors-male.jpg",4,500,500)</f>
        <v/>
      </c>
      <c r="C3328" s="30">
        <v>3327.0</v>
      </c>
      <c r="D3328" s="16" t="s">
        <v>4193</v>
      </c>
      <c r="E3328" s="16" t="s">
        <v>184</v>
      </c>
      <c r="F3328" s="16" t="s">
        <v>185</v>
      </c>
      <c r="G3328" s="16" t="s">
        <v>255</v>
      </c>
      <c r="H3328" s="16" t="s">
        <v>475</v>
      </c>
      <c r="I3328" s="16" t="s">
        <v>476</v>
      </c>
    </row>
    <row r="3329" ht="242.25" customHeight="1">
      <c r="B3329" s="32" t="str">
        <f>IMAGE("https://gymvisual.com/24301-catalog_default/side-plank.jpg",4,500,500)</f>
        <v/>
      </c>
      <c r="C3329" s="30">
        <v>3328.0</v>
      </c>
      <c r="D3329" s="16" t="s">
        <v>4194</v>
      </c>
      <c r="E3329" s="16" t="s">
        <v>184</v>
      </c>
      <c r="F3329" s="16" t="s">
        <v>254</v>
      </c>
      <c r="G3329" s="16" t="s">
        <v>255</v>
      </c>
      <c r="H3329" s="16" t="s">
        <v>257</v>
      </c>
      <c r="I3329" s="16" t="s">
        <v>220</v>
      </c>
    </row>
    <row r="3330" ht="242.25" customHeight="1">
      <c r="B3330" s="32" t="str">
        <f>IMAGE("https://gymvisual.com/12090-catalog_default/side-plank-beginner-female.jpg",4,500,500)</f>
        <v/>
      </c>
      <c r="C3330" s="30">
        <v>3329.0</v>
      </c>
      <c r="D3330" s="16" t="s">
        <v>4195</v>
      </c>
      <c r="E3330" s="16" t="s">
        <v>184</v>
      </c>
      <c r="F3330" s="16" t="s">
        <v>254</v>
      </c>
      <c r="G3330" s="16" t="s">
        <v>255</v>
      </c>
      <c r="H3330" s="16" t="s">
        <v>257</v>
      </c>
      <c r="I3330" s="16" t="s">
        <v>2066</v>
      </c>
    </row>
    <row r="3331" ht="242.25" customHeight="1">
      <c r="B3331" s="32" t="str">
        <f>IMAGE("https://gymvisual.com/2140-catalog_default/side-plank-version-2.jpg",4,500,500)</f>
        <v/>
      </c>
      <c r="C3331" s="30">
        <v>3330.0</v>
      </c>
      <c r="D3331" s="16" t="s">
        <v>4196</v>
      </c>
      <c r="E3331" s="16" t="s">
        <v>184</v>
      </c>
      <c r="F3331" s="16" t="s">
        <v>254</v>
      </c>
      <c r="G3331" s="16" t="s">
        <v>255</v>
      </c>
      <c r="H3331" s="16" t="s">
        <v>257</v>
      </c>
      <c r="I3331" s="16" t="s">
        <v>220</v>
      </c>
    </row>
    <row r="3332" ht="242.25" customHeight="1">
      <c r="B3332" s="32" t="str">
        <f>IMAGE("https://gymvisual.com/23665-catalog_default/side-plank-version-2-female.jpg",4,500,500)</f>
        <v/>
      </c>
      <c r="C3332" s="30">
        <v>3331.0</v>
      </c>
      <c r="D3332" s="16" t="s">
        <v>4197</v>
      </c>
      <c r="E3332" s="16" t="s">
        <v>184</v>
      </c>
      <c r="F3332" s="16" t="s">
        <v>254</v>
      </c>
      <c r="G3332" s="16" t="s">
        <v>255</v>
      </c>
      <c r="H3332" s="16" t="s">
        <v>4011</v>
      </c>
      <c r="I3332" s="16" t="s">
        <v>4198</v>
      </c>
    </row>
    <row r="3333" ht="242.25" customHeight="1">
      <c r="B3333" s="32" t="str">
        <f>IMAGE("https://gymvisual.com/10198-catalog_default/side-plank-butt-wrong-right.jpg",4,500,500)</f>
        <v/>
      </c>
      <c r="C3333" s="30">
        <v>3332.0</v>
      </c>
      <c r="D3333" s="16" t="s">
        <v>4199</v>
      </c>
      <c r="E3333" s="16" t="s">
        <v>184</v>
      </c>
      <c r="F3333" s="16" t="s">
        <v>254</v>
      </c>
      <c r="G3333" s="16" t="s">
        <v>255</v>
      </c>
      <c r="H3333" s="16" t="s">
        <v>220</v>
      </c>
      <c r="I3333" s="16" t="s">
        <v>220</v>
      </c>
    </row>
    <row r="3334" ht="242.25" customHeight="1">
      <c r="B3334" s="32" t="str">
        <f>IMAGE("https://gymvisual.com/7609-catalog_default/side-plank-hip-adduction.jpg",4,500,500)</f>
        <v/>
      </c>
      <c r="C3334" s="30">
        <v>3333.0</v>
      </c>
      <c r="D3334" s="16" t="s">
        <v>4200</v>
      </c>
      <c r="E3334" s="16" t="s">
        <v>184</v>
      </c>
      <c r="F3334" s="16" t="s">
        <v>185</v>
      </c>
      <c r="G3334" s="16" t="s">
        <v>255</v>
      </c>
      <c r="H3334" s="16" t="s">
        <v>3634</v>
      </c>
      <c r="I3334" s="16" t="s">
        <v>3617</v>
      </c>
    </row>
    <row r="3335" ht="242.25" customHeight="1">
      <c r="B3335" s="32" t="str">
        <f>IMAGE("https://gymvisual.com/13938-catalog_default/side-plank-hip-adduction-bent-knee.jpg",4,500,500)</f>
        <v/>
      </c>
      <c r="C3335" s="30">
        <v>3334.0</v>
      </c>
      <c r="D3335" s="16" t="s">
        <v>4201</v>
      </c>
      <c r="E3335" s="16" t="s">
        <v>184</v>
      </c>
      <c r="F3335" s="16" t="s">
        <v>185</v>
      </c>
      <c r="G3335" s="16" t="s">
        <v>255</v>
      </c>
      <c r="H3335" s="16" t="s">
        <v>4202</v>
      </c>
      <c r="I3335" s="16" t="s">
        <v>4203</v>
      </c>
    </row>
    <row r="3336" ht="242.25" customHeight="1">
      <c r="B3336" s="32" t="str">
        <f>IMAGE("https://gymvisual.com/22410-catalog_default/side-plank-leg-lift.jpg",4,500,500)</f>
        <v/>
      </c>
      <c r="C3336" s="30">
        <v>3335.0</v>
      </c>
      <c r="D3336" s="16" t="s">
        <v>4204</v>
      </c>
      <c r="E3336" s="16" t="s">
        <v>184</v>
      </c>
      <c r="F3336" s="16" t="s">
        <v>254</v>
      </c>
      <c r="G3336" s="16" t="s">
        <v>255</v>
      </c>
      <c r="H3336" s="16" t="s">
        <v>220</v>
      </c>
      <c r="I3336" s="16" t="s">
        <v>220</v>
      </c>
    </row>
    <row r="3337" ht="242.25" customHeight="1">
      <c r="B3337" s="32" t="str">
        <f>IMAGE("https://gymvisual.com/18258-catalog_default/side-plank-oblique-crunch.jpg",4,500,500)</f>
        <v/>
      </c>
      <c r="C3337" s="30">
        <v>3336.0</v>
      </c>
      <c r="D3337" s="16" t="s">
        <v>4205</v>
      </c>
      <c r="E3337" s="16" t="s">
        <v>184</v>
      </c>
      <c r="F3337" s="16" t="s">
        <v>254</v>
      </c>
      <c r="G3337" s="16" t="s">
        <v>255</v>
      </c>
      <c r="H3337" s="16" t="s">
        <v>3728</v>
      </c>
      <c r="I3337" s="16" t="s">
        <v>4206</v>
      </c>
    </row>
    <row r="3338" ht="242.25" customHeight="1">
      <c r="B3338" s="32" t="str">
        <f>IMAGE("https://gymvisual.com/22460-catalog_default/side-plank-with-raised-leg-version-2-female.jpg",4,500,500)</f>
        <v/>
      </c>
      <c r="C3338" s="30">
        <v>3337.0</v>
      </c>
      <c r="D3338" s="16" t="s">
        <v>4207</v>
      </c>
      <c r="E3338" s="16" t="s">
        <v>184</v>
      </c>
      <c r="F3338" s="16" t="s">
        <v>254</v>
      </c>
      <c r="G3338" s="16" t="s">
        <v>255</v>
      </c>
      <c r="H3338" s="16" t="s">
        <v>220</v>
      </c>
      <c r="I3338" s="16" t="s">
        <v>220</v>
      </c>
    </row>
    <row r="3339" ht="242.25" customHeight="1">
      <c r="B3339" s="32" t="str">
        <f>IMAGE("https://gymvisual.com/13263-catalog_default/side-push-up.jpg",4,500,500)</f>
        <v/>
      </c>
      <c r="C3339" s="30">
        <v>3338.0</v>
      </c>
      <c r="D3339" s="16" t="s">
        <v>4208</v>
      </c>
      <c r="E3339" s="16" t="s">
        <v>184</v>
      </c>
      <c r="F3339" s="16" t="s">
        <v>219</v>
      </c>
      <c r="G3339" s="16" t="s">
        <v>255</v>
      </c>
      <c r="H3339" s="16" t="s">
        <v>223</v>
      </c>
      <c r="I3339" s="16" t="s">
        <v>220</v>
      </c>
    </row>
    <row r="3340" ht="242.25" customHeight="1">
      <c r="B3340" s="32" t="str">
        <f>IMAGE("https://gymvisual.com/17191-catalog_default/side-push-up-with-towel.jpg",4,500,500)</f>
        <v/>
      </c>
      <c r="C3340" s="30">
        <v>3339.0</v>
      </c>
      <c r="D3340" s="16" t="s">
        <v>4209</v>
      </c>
      <c r="E3340" s="16" t="s">
        <v>184</v>
      </c>
      <c r="F3340" s="16" t="s">
        <v>234</v>
      </c>
      <c r="G3340" s="16" t="s">
        <v>255</v>
      </c>
      <c r="H3340" s="16" t="s">
        <v>235</v>
      </c>
      <c r="I3340" s="16" t="s">
        <v>4210</v>
      </c>
    </row>
    <row r="3341" ht="242.25" customHeight="1">
      <c r="B3341" s="32" t="str">
        <f>IMAGE("https://gymvisual.com/2150-catalog_default/side-sit-up.jpg",4,500,500)</f>
        <v/>
      </c>
      <c r="C3341" s="30">
        <v>3340.0</v>
      </c>
      <c r="D3341" s="16" t="s">
        <v>4211</v>
      </c>
      <c r="E3341" s="16" t="s">
        <v>184</v>
      </c>
      <c r="F3341" s="16" t="s">
        <v>254</v>
      </c>
      <c r="G3341" s="16" t="s">
        <v>255</v>
      </c>
      <c r="H3341" s="16" t="s">
        <v>257</v>
      </c>
      <c r="I3341" s="16" t="s">
        <v>256</v>
      </c>
    </row>
    <row r="3342" ht="242.25" customHeight="1">
      <c r="B3342" s="32" t="str">
        <f>IMAGE("https://gymvisual.com/22305-catalog_default/side-split-squat.jpg",4,500,500)</f>
        <v/>
      </c>
      <c r="C3342" s="30">
        <v>3341.0</v>
      </c>
      <c r="D3342" s="16" t="s">
        <v>4212</v>
      </c>
      <c r="E3342" s="16" t="s">
        <v>184</v>
      </c>
      <c r="F3342" s="16" t="s">
        <v>285</v>
      </c>
      <c r="G3342" s="16" t="s">
        <v>255</v>
      </c>
      <c r="H3342" s="16" t="s">
        <v>220</v>
      </c>
      <c r="I3342" s="16" t="s">
        <v>220</v>
      </c>
    </row>
    <row r="3343" ht="242.25" customHeight="1">
      <c r="B3343" s="32" t="str">
        <f>IMAGE("https://gymvisual.com/22307-catalog_default/side-squat.jpg",4,500,500)</f>
        <v/>
      </c>
      <c r="C3343" s="30">
        <v>3342.0</v>
      </c>
      <c r="D3343" s="16" t="s">
        <v>4213</v>
      </c>
      <c r="E3343" s="16" t="s">
        <v>184</v>
      </c>
      <c r="F3343" s="16" t="s">
        <v>285</v>
      </c>
      <c r="G3343" s="16" t="s">
        <v>255</v>
      </c>
      <c r="H3343" s="16" t="s">
        <v>189</v>
      </c>
      <c r="I3343" s="16" t="s">
        <v>902</v>
      </c>
    </row>
    <row r="3344" ht="242.25" customHeight="1">
      <c r="B3344" s="32" t="str">
        <f>IMAGE("https://gymvisual.com/17803-catalog_default/side-step-front-plank-female.jpg",4,500,500)</f>
        <v/>
      </c>
      <c r="C3344" s="30">
        <v>3343.0</v>
      </c>
      <c r="D3344" s="16" t="s">
        <v>4214</v>
      </c>
      <c r="E3344" s="16" t="s">
        <v>184</v>
      </c>
      <c r="F3344" s="16" t="s">
        <v>185</v>
      </c>
      <c r="G3344" s="16" t="s">
        <v>255</v>
      </c>
      <c r="H3344" s="16" t="s">
        <v>220</v>
      </c>
      <c r="I3344" s="16" t="s">
        <v>220</v>
      </c>
    </row>
    <row r="3345" ht="242.25" customHeight="1">
      <c r="B3345" s="32" t="str">
        <f>IMAGE("https://gymvisual.com/11276-catalog_default/side-to-side-leg-swings-female.jpg",4,500,500)</f>
        <v/>
      </c>
      <c r="C3345" s="30">
        <v>3344.0</v>
      </c>
      <c r="D3345" s="16" t="s">
        <v>4215</v>
      </c>
      <c r="E3345" s="16" t="s">
        <v>184</v>
      </c>
      <c r="F3345" s="16" t="s">
        <v>185</v>
      </c>
      <c r="G3345" s="16" t="s">
        <v>255</v>
      </c>
      <c r="H3345" s="16" t="s">
        <v>3616</v>
      </c>
      <c r="I3345" s="16" t="s">
        <v>3617</v>
      </c>
    </row>
    <row r="3346" ht="242.25" customHeight="1">
      <c r="B3346" s="32" t="str">
        <f>IMAGE("https://gymvisual.com/22777-catalog_default/side-to-side-leg-swings-male.jpg",4,500,500)</f>
        <v/>
      </c>
      <c r="C3346" s="30">
        <v>3345.0</v>
      </c>
      <c r="D3346" s="16" t="s">
        <v>4216</v>
      </c>
      <c r="E3346" s="16" t="s">
        <v>184</v>
      </c>
      <c r="F3346" s="16" t="s">
        <v>185</v>
      </c>
      <c r="G3346" s="16" t="s">
        <v>255</v>
      </c>
      <c r="H3346" s="16" t="s">
        <v>3616</v>
      </c>
      <c r="I3346" s="16" t="s">
        <v>3617</v>
      </c>
    </row>
    <row r="3347" ht="242.25" customHeight="1">
      <c r="B3347" s="32" t="str">
        <f>IMAGE("https://gymvisual.com/22464-catalog_default/side-to-wide-squat.jpg",4,500,500)</f>
        <v/>
      </c>
      <c r="C3347" s="30">
        <v>3346.0</v>
      </c>
      <c r="D3347" s="16" t="s">
        <v>4217</v>
      </c>
      <c r="E3347" s="16" t="s">
        <v>184</v>
      </c>
      <c r="F3347" s="16" t="s">
        <v>185</v>
      </c>
      <c r="G3347" s="16" t="s">
        <v>255</v>
      </c>
      <c r="H3347" s="16" t="s">
        <v>220</v>
      </c>
      <c r="I3347" s="16" t="s">
        <v>220</v>
      </c>
    </row>
    <row r="3348" ht="242.25" customHeight="1">
      <c r="B3348" s="32" t="str">
        <f>IMAGE("https://gymvisual.com/2156-catalog_default/side-to-side-chin.jpg",4,500,500)</f>
        <v/>
      </c>
      <c r="C3348" s="30">
        <v>3347.0</v>
      </c>
      <c r="D3348" s="16" t="s">
        <v>4218</v>
      </c>
      <c r="E3348" s="16" t="s">
        <v>184</v>
      </c>
      <c r="F3348" s="16" t="s">
        <v>192</v>
      </c>
      <c r="G3348" s="16" t="s">
        <v>255</v>
      </c>
      <c r="H3348" s="16" t="s">
        <v>300</v>
      </c>
      <c r="I3348" s="16" t="s">
        <v>535</v>
      </c>
    </row>
    <row r="3349" ht="242.25" customHeight="1">
      <c r="B3349" s="32" t="str">
        <f>IMAGE("https://gymvisual.com/2162-catalog_default/sideway-leg-bridge.jpg",4,500,500)</f>
        <v/>
      </c>
      <c r="C3349" s="30">
        <v>3348.0</v>
      </c>
      <c r="D3349" s="16" t="s">
        <v>4219</v>
      </c>
      <c r="E3349" s="16" t="s">
        <v>184</v>
      </c>
      <c r="F3349" s="16" t="s">
        <v>185</v>
      </c>
      <c r="G3349" s="16" t="s">
        <v>255</v>
      </c>
      <c r="H3349" s="16" t="s">
        <v>4220</v>
      </c>
      <c r="I3349" s="16" t="s">
        <v>4221</v>
      </c>
    </row>
    <row r="3350" ht="242.25" customHeight="1">
      <c r="B3350" s="32" t="str">
        <f>IMAGE("https://gymvisual.com/2165-catalog_default/sideways-lifts-vertical-straight-legs.jpg",4,500,500)</f>
        <v/>
      </c>
      <c r="C3350" s="30">
        <v>3349.0</v>
      </c>
      <c r="D3350" s="16" t="s">
        <v>4222</v>
      </c>
      <c r="E3350" s="16" t="s">
        <v>184</v>
      </c>
      <c r="F3350" s="16" t="s">
        <v>254</v>
      </c>
      <c r="G3350" s="16" t="s">
        <v>255</v>
      </c>
      <c r="H3350" s="16" t="s">
        <v>256</v>
      </c>
      <c r="I3350" s="16" t="s">
        <v>257</v>
      </c>
    </row>
    <row r="3351" ht="242.25" customHeight="1">
      <c r="B3351" s="32" t="str">
        <f>IMAGE("https://gymvisual.com/2168-catalog_default/sideways-lifts-vertical-turn-straight-legs.jpg",4,500,500)</f>
        <v/>
      </c>
      <c r="C3351" s="30">
        <v>3350.0</v>
      </c>
      <c r="D3351" s="16" t="s">
        <v>4223</v>
      </c>
      <c r="E3351" s="16" t="s">
        <v>184</v>
      </c>
      <c r="F3351" s="16" t="s">
        <v>254</v>
      </c>
      <c r="G3351" s="16" t="s">
        <v>255</v>
      </c>
      <c r="H3351" s="16" t="s">
        <v>257</v>
      </c>
      <c r="I3351" s="16" t="s">
        <v>256</v>
      </c>
    </row>
    <row r="3352" ht="242.25" customHeight="1">
      <c r="A3352" s="32" t="b">
        <v>0</v>
      </c>
      <c r="B3352" s="32" t="str">
        <f>IMAGE("https://gymvisual.com/23901-catalog_default/single-arm-overhead-dumbbell-squat.jpg",4,500,500)</f>
        <v/>
      </c>
      <c r="C3352" s="30">
        <v>3351.0</v>
      </c>
      <c r="D3352" s="16" t="s">
        <v>4224</v>
      </c>
      <c r="E3352" s="16" t="s">
        <v>184</v>
      </c>
      <c r="F3352" s="16" t="s">
        <v>285</v>
      </c>
      <c r="G3352" s="16" t="s">
        <v>222</v>
      </c>
      <c r="H3352" s="16" t="s">
        <v>189</v>
      </c>
      <c r="I3352" s="16" t="s">
        <v>190</v>
      </c>
    </row>
    <row r="3353" ht="242.25" customHeight="1">
      <c r="B3353" s="32" t="str">
        <f>IMAGE("https://gymvisual.com/2171-catalog_default/single-arm-push-up.jpg",4,500,500)</f>
        <v/>
      </c>
      <c r="C3353" s="30">
        <v>3352.0</v>
      </c>
      <c r="D3353" s="16" t="s">
        <v>4225</v>
      </c>
      <c r="E3353" s="16" t="s">
        <v>184</v>
      </c>
      <c r="F3353" s="16" t="s">
        <v>234</v>
      </c>
      <c r="G3353" s="16" t="s">
        <v>255</v>
      </c>
      <c r="H3353" s="16" t="s">
        <v>1895</v>
      </c>
      <c r="I3353" s="16" t="s">
        <v>2981</v>
      </c>
    </row>
    <row r="3354" ht="242.25" customHeight="1">
      <c r="B3354" s="32" t="str">
        <f>IMAGE("https://gymvisual.com/12371-catalog_default/single-arm-push-up-on-knees.jpg",4,500,500)</f>
        <v/>
      </c>
      <c r="C3354" s="30">
        <v>3353.0</v>
      </c>
      <c r="D3354" s="16" t="s">
        <v>4226</v>
      </c>
      <c r="E3354" s="16" t="s">
        <v>184</v>
      </c>
      <c r="F3354" s="16" t="s">
        <v>234</v>
      </c>
      <c r="G3354" s="16" t="s">
        <v>255</v>
      </c>
      <c r="H3354" s="16" t="s">
        <v>347</v>
      </c>
      <c r="I3354" s="16" t="s">
        <v>382</v>
      </c>
    </row>
    <row r="3355" ht="242.25" customHeight="1">
      <c r="B3355" s="32" t="str">
        <f>IMAGE("https://gymvisual.com/17943-catalog_default/single-arm-push-up-on-medicine-ball-male.jpg",4,500,500)</f>
        <v/>
      </c>
      <c r="C3355" s="30">
        <v>3354.0</v>
      </c>
      <c r="D3355" s="16" t="s">
        <v>4227</v>
      </c>
      <c r="E3355" s="16" t="s">
        <v>184</v>
      </c>
      <c r="F3355" s="16" t="s">
        <v>234</v>
      </c>
      <c r="G3355" s="16" t="s">
        <v>373</v>
      </c>
      <c r="H3355" s="16" t="s">
        <v>220</v>
      </c>
      <c r="I3355" s="16" t="s">
        <v>220</v>
      </c>
    </row>
    <row r="3356" ht="242.25" customHeight="1">
      <c r="B3356" s="32" t="str">
        <f>IMAGE("https://gymvisual.com/22179-catalog_default/single-arm-push-up-supported-wall.jpg",4,500,500)</f>
        <v/>
      </c>
      <c r="C3356" s="30">
        <v>3355.0</v>
      </c>
      <c r="D3356" s="16" t="s">
        <v>4228</v>
      </c>
      <c r="E3356" s="16" t="s">
        <v>184</v>
      </c>
      <c r="F3356" s="16" t="s">
        <v>234</v>
      </c>
      <c r="G3356" s="16" t="s">
        <v>255</v>
      </c>
      <c r="H3356" s="16" t="s">
        <v>235</v>
      </c>
      <c r="I3356" s="16" t="s">
        <v>243</v>
      </c>
    </row>
    <row r="3357" ht="242.25" customHeight="1">
      <c r="B3357" s="32" t="str">
        <f>IMAGE("https://gymvisual.com/12211-catalog_default/single-arm-scapula-push-up.jpg",4,500,500)</f>
        <v/>
      </c>
      <c r="C3357" s="30">
        <v>3356.0</v>
      </c>
      <c r="D3357" s="16" t="s">
        <v>4229</v>
      </c>
      <c r="E3357" s="16" t="s">
        <v>184</v>
      </c>
      <c r="F3357" s="16" t="s">
        <v>192</v>
      </c>
      <c r="G3357" s="16" t="s">
        <v>255</v>
      </c>
      <c r="H3357" s="16" t="s">
        <v>220</v>
      </c>
      <c r="I3357" s="16" t="s">
        <v>220</v>
      </c>
    </row>
    <row r="3358" ht="242.25" customHeight="1">
      <c r="A3358" s="32" t="b">
        <v>0</v>
      </c>
      <c r="B3358" s="32" t="str">
        <f>IMAGE("https://gymvisual.com/25899-catalog_default/single-arm-side-straight-arm-lat-pulldown-male.jpg",4,500,500)</f>
        <v/>
      </c>
      <c r="C3358" s="30">
        <v>3357.0</v>
      </c>
      <c r="D3358" s="16" t="s">
        <v>4230</v>
      </c>
      <c r="E3358" s="16" t="s">
        <v>184</v>
      </c>
      <c r="F3358" s="16" t="s">
        <v>192</v>
      </c>
      <c r="G3358" s="16" t="s">
        <v>215</v>
      </c>
      <c r="H3358" s="16" t="s">
        <v>300</v>
      </c>
      <c r="I3358" s="16" t="s">
        <v>4231</v>
      </c>
    </row>
    <row r="3359" ht="242.25" customHeight="1">
      <c r="A3359" s="32" t="b">
        <v>0</v>
      </c>
      <c r="B3359" s="32" t="str">
        <f>IMAGE("https://gymvisual.com/21032-catalog_default/single-dumbbell-decline-overhead-sit-up.jpg",4,500,500)</f>
        <v/>
      </c>
      <c r="C3359" s="30">
        <v>3358.0</v>
      </c>
      <c r="D3359" s="16" t="s">
        <v>4232</v>
      </c>
      <c r="E3359" s="16" t="s">
        <v>184</v>
      </c>
      <c r="F3359" s="16" t="s">
        <v>254</v>
      </c>
      <c r="G3359" s="16" t="s">
        <v>222</v>
      </c>
      <c r="H3359" s="16" t="s">
        <v>220</v>
      </c>
      <c r="I3359" s="16" t="s">
        <v>220</v>
      </c>
    </row>
    <row r="3360" ht="242.25" customHeight="1">
      <c r="B3360" s="32" t="str">
        <f>IMAGE("https://gymvisual.com/20716-catalog_default/single-leg-bench-squat.jpg",4,500,500)</f>
        <v/>
      </c>
      <c r="C3360" s="30">
        <v>3359.0</v>
      </c>
      <c r="D3360" s="16" t="s">
        <v>4233</v>
      </c>
      <c r="E3360" s="16" t="s">
        <v>184</v>
      </c>
      <c r="F3360" s="16" t="s">
        <v>285</v>
      </c>
      <c r="G3360" s="16" t="s">
        <v>255</v>
      </c>
      <c r="H3360" s="16" t="s">
        <v>189</v>
      </c>
      <c r="I3360" s="16" t="s">
        <v>190</v>
      </c>
    </row>
    <row r="3361" ht="242.25" customHeight="1">
      <c r="B3361" s="32" t="str">
        <f>IMAGE("https://gymvisual.com/12185-catalog_default/single-leg-bodyweight-deadlift-with-arm-and-leg-extended-female.jpg",4,500,500)</f>
        <v/>
      </c>
      <c r="C3361" s="30">
        <v>3360.0</v>
      </c>
      <c r="D3361" s="16" t="s">
        <v>4234</v>
      </c>
      <c r="E3361" s="16" t="s">
        <v>184</v>
      </c>
      <c r="F3361" s="16" t="s">
        <v>185</v>
      </c>
      <c r="G3361" s="16" t="s">
        <v>255</v>
      </c>
      <c r="H3361" s="16" t="s">
        <v>187</v>
      </c>
      <c r="I3361" s="16" t="s">
        <v>4235</v>
      </c>
    </row>
    <row r="3362" ht="242.25" customHeight="1">
      <c r="B3362" s="32" t="str">
        <f>IMAGE("https://gymvisual.com/2174-catalog_default/single-leg-bridge.jpg",4,500,500)</f>
        <v/>
      </c>
      <c r="C3362" s="30">
        <v>3361.0</v>
      </c>
      <c r="D3362" s="16" t="s">
        <v>4236</v>
      </c>
      <c r="E3362" s="16" t="s">
        <v>184</v>
      </c>
      <c r="F3362" s="16" t="s">
        <v>185</v>
      </c>
      <c r="G3362" s="16" t="s">
        <v>255</v>
      </c>
      <c r="H3362" s="16" t="s">
        <v>2848</v>
      </c>
      <c r="I3362" s="16" t="s">
        <v>4237</v>
      </c>
    </row>
    <row r="3363" ht="242.25" customHeight="1">
      <c r="B3363" s="32" t="str">
        <f>IMAGE("https://gymvisual.com/14230-catalog_default/single-leg-bridge-with-hip-flexion.jpg",4,500,500)</f>
        <v/>
      </c>
      <c r="C3363" s="30">
        <v>3362.0</v>
      </c>
      <c r="D3363" s="16" t="s">
        <v>4238</v>
      </c>
      <c r="E3363" s="16" t="s">
        <v>184</v>
      </c>
      <c r="F3363" s="16" t="s">
        <v>185</v>
      </c>
      <c r="G3363" s="16" t="s">
        <v>255</v>
      </c>
      <c r="H3363" s="16" t="s">
        <v>1332</v>
      </c>
      <c r="I3363" s="16" t="s">
        <v>188</v>
      </c>
    </row>
    <row r="3364" ht="242.25" customHeight="1">
      <c r="A3364" s="32" t="b">
        <v>0</v>
      </c>
      <c r="B3364" s="32" t="str">
        <f>IMAGE("https://gymvisual.com/2176-catalog_default/single-leg-calf-raise-on-a-dumbbell.jpg",4,500,500)</f>
        <v/>
      </c>
      <c r="C3364" s="30">
        <v>3363.0</v>
      </c>
      <c r="D3364" s="16" t="s">
        <v>4239</v>
      </c>
      <c r="E3364" s="16" t="s">
        <v>184</v>
      </c>
      <c r="F3364" s="16" t="s">
        <v>325</v>
      </c>
      <c r="G3364" s="16" t="s">
        <v>222</v>
      </c>
      <c r="H3364" s="16" t="s">
        <v>368</v>
      </c>
      <c r="I3364" s="16" t="s">
        <v>463</v>
      </c>
    </row>
    <row r="3365" ht="242.25" customHeight="1">
      <c r="B3365" s="32" t="str">
        <f>IMAGE("https://gymvisual.com/23879-catalog_default/single-leg-calf-raise-off-step.jpg",4,500,500)</f>
        <v/>
      </c>
      <c r="C3365" s="30">
        <v>3364.0</v>
      </c>
      <c r="D3365" s="16" t="s">
        <v>4240</v>
      </c>
      <c r="E3365" s="16" t="s">
        <v>184</v>
      </c>
      <c r="F3365" s="16" t="s">
        <v>325</v>
      </c>
      <c r="G3365" s="16" t="s">
        <v>255</v>
      </c>
      <c r="H3365" s="16" t="s">
        <v>368</v>
      </c>
      <c r="I3365" s="16" t="s">
        <v>463</v>
      </c>
    </row>
    <row r="3366" ht="242.25" customHeight="1">
      <c r="B3366" s="32" t="str">
        <f>IMAGE("https://gymvisual.com/14234-catalog_default/single-leg-deadlift-with-knee-lift.jpg",4,500,500)</f>
        <v/>
      </c>
      <c r="C3366" s="30">
        <v>3365.0</v>
      </c>
      <c r="D3366" s="16" t="s">
        <v>4241</v>
      </c>
      <c r="E3366" s="16" t="s">
        <v>184</v>
      </c>
      <c r="F3366" s="16" t="s">
        <v>691</v>
      </c>
      <c r="G3366" s="16" t="s">
        <v>255</v>
      </c>
      <c r="H3366" s="16" t="s">
        <v>2288</v>
      </c>
      <c r="I3366" s="16" t="s">
        <v>4242</v>
      </c>
    </row>
    <row r="3367" ht="242.25" customHeight="1">
      <c r="B3367" s="32" t="str">
        <f>IMAGE("https://gymvisual.com/23597-catalog_default/single-leg-dip-on-floor.jpg",4,500,500)</f>
        <v/>
      </c>
      <c r="C3367" s="30">
        <v>3366.0</v>
      </c>
      <c r="D3367" s="16" t="s">
        <v>4243</v>
      </c>
      <c r="E3367" s="16" t="s">
        <v>184</v>
      </c>
      <c r="F3367" s="16" t="s">
        <v>219</v>
      </c>
      <c r="G3367" s="16" t="s">
        <v>255</v>
      </c>
      <c r="H3367" s="16" t="s">
        <v>223</v>
      </c>
      <c r="I3367" s="16" t="s">
        <v>394</v>
      </c>
    </row>
    <row r="3368" ht="242.25" customHeight="1">
      <c r="B3368" s="32" t="str">
        <f>IMAGE("https://gymvisual.com/2179-catalog_default/single-leg-extension-on-stability-ball.jpg",4,500,500)</f>
        <v/>
      </c>
      <c r="C3368" s="30">
        <v>3367.0</v>
      </c>
      <c r="D3368" s="16" t="s">
        <v>4244</v>
      </c>
      <c r="E3368" s="16" t="s">
        <v>184</v>
      </c>
      <c r="F3368" s="16" t="s">
        <v>285</v>
      </c>
      <c r="G3368" s="16" t="s">
        <v>399</v>
      </c>
      <c r="H3368" s="16" t="s">
        <v>188</v>
      </c>
      <c r="I3368" s="16" t="s">
        <v>2733</v>
      </c>
    </row>
    <row r="3369" ht="242.25" customHeight="1">
      <c r="B3369" s="32" t="str">
        <f>IMAGE("https://gymvisual.com/7358-catalog_default/single-leg-foot-touch.jpg",4,500,500)</f>
        <v/>
      </c>
      <c r="C3369" s="30">
        <v>3368.0</v>
      </c>
      <c r="D3369" s="16" t="s">
        <v>4245</v>
      </c>
      <c r="E3369" s="16" t="s">
        <v>184</v>
      </c>
      <c r="F3369" s="16" t="s">
        <v>185</v>
      </c>
      <c r="G3369" s="16" t="s">
        <v>255</v>
      </c>
      <c r="H3369" s="16" t="s">
        <v>267</v>
      </c>
      <c r="I3369" s="16" t="s">
        <v>188</v>
      </c>
    </row>
    <row r="3370" ht="242.25" customHeight="1">
      <c r="B3370" s="32" t="str">
        <f>IMAGE("https://gymvisual.com/22309-catalog_default/single-leg-glute-bridge-arms-on-chest-female.jpg",4,500,500)</f>
        <v/>
      </c>
      <c r="C3370" s="30">
        <v>3369.0</v>
      </c>
      <c r="D3370" s="16" t="s">
        <v>4246</v>
      </c>
      <c r="E3370" s="16" t="s">
        <v>184</v>
      </c>
      <c r="F3370" s="16" t="s">
        <v>185</v>
      </c>
      <c r="G3370" s="16" t="s">
        <v>255</v>
      </c>
      <c r="H3370" s="16" t="s">
        <v>220</v>
      </c>
      <c r="I3370" s="16" t="s">
        <v>220</v>
      </c>
    </row>
    <row r="3371" ht="242.25" customHeight="1">
      <c r="B3371" s="32" t="str">
        <f>IMAGE("https://gymvisual.com/23933-catalog_default/single-leg-glute-bridge-with-external-rotation.jpg",4,500,500)</f>
        <v/>
      </c>
      <c r="C3371" s="30">
        <v>3370.0</v>
      </c>
      <c r="D3371" s="16" t="s">
        <v>4247</v>
      </c>
      <c r="E3371" s="16" t="s">
        <v>184</v>
      </c>
      <c r="F3371" s="16" t="s">
        <v>185</v>
      </c>
      <c r="G3371" s="16" t="s">
        <v>255</v>
      </c>
      <c r="H3371" s="16" t="s">
        <v>1322</v>
      </c>
      <c r="I3371" s="16" t="s">
        <v>3610</v>
      </c>
    </row>
    <row r="3372" ht="242.25" customHeight="1">
      <c r="B3372" s="32" t="str">
        <f>IMAGE("https://gymvisual.com/17821-catalog_default/single-leg-glute-bridge-with-knee-to-chest.jpg",4,500,500)</f>
        <v/>
      </c>
      <c r="C3372" s="30">
        <v>3371.0</v>
      </c>
      <c r="D3372" s="16" t="s">
        <v>4248</v>
      </c>
      <c r="E3372" s="16" t="s">
        <v>184</v>
      </c>
      <c r="F3372" s="16" t="s">
        <v>185</v>
      </c>
      <c r="G3372" s="16" t="s">
        <v>255</v>
      </c>
      <c r="H3372" s="16" t="s">
        <v>187</v>
      </c>
      <c r="I3372" s="16" t="s">
        <v>854</v>
      </c>
    </row>
    <row r="3373" ht="242.25" customHeight="1">
      <c r="B3373" s="32" t="str">
        <f>IMAGE("https://gymvisual.com/14004-catalog_default/single-leg-heel-touch-squat.jpg",4,500,500)</f>
        <v/>
      </c>
      <c r="C3373" s="30">
        <v>3372.0</v>
      </c>
      <c r="D3373" s="16" t="s">
        <v>4249</v>
      </c>
      <c r="E3373" s="16" t="s">
        <v>184</v>
      </c>
      <c r="F3373" s="16" t="s">
        <v>294</v>
      </c>
      <c r="G3373" s="16" t="s">
        <v>255</v>
      </c>
      <c r="H3373" s="16" t="s">
        <v>189</v>
      </c>
      <c r="I3373" s="16" t="s">
        <v>2046</v>
      </c>
    </row>
    <row r="3374" ht="242.25" customHeight="1">
      <c r="B3374" s="32" t="str">
        <f>IMAGE("https://gymvisual.com/2182-catalog_default/single-leg-hip-bridge-straight-leg.jpg",4,500,500)</f>
        <v/>
      </c>
      <c r="C3374" s="30">
        <v>3373.0</v>
      </c>
      <c r="D3374" s="16" t="s">
        <v>4250</v>
      </c>
      <c r="E3374" s="16" t="s">
        <v>184</v>
      </c>
      <c r="F3374" s="16" t="s">
        <v>185</v>
      </c>
      <c r="G3374" s="16" t="s">
        <v>255</v>
      </c>
      <c r="H3374" s="16" t="s">
        <v>187</v>
      </c>
      <c r="I3374" s="16" t="s">
        <v>552</v>
      </c>
    </row>
    <row r="3375" ht="242.25" customHeight="1">
      <c r="B3375" s="32" t="str">
        <f>IMAGE("https://gymvisual.com/13776-catalog_default/single-leg-hip-bridge-straight-leg-male.jpg",4,500,500)</f>
        <v/>
      </c>
      <c r="C3375" s="30">
        <v>3374.0</v>
      </c>
      <c r="D3375" s="16" t="s">
        <v>4251</v>
      </c>
      <c r="E3375" s="16" t="s">
        <v>184</v>
      </c>
      <c r="F3375" s="16" t="s">
        <v>185</v>
      </c>
      <c r="G3375" s="16" t="s">
        <v>255</v>
      </c>
      <c r="H3375" s="16" t="s">
        <v>187</v>
      </c>
      <c r="I3375" s="16" t="s">
        <v>188</v>
      </c>
    </row>
    <row r="3376" ht="242.25" customHeight="1">
      <c r="B3376" s="32" t="str">
        <f>IMAGE("https://gymvisual.com/20718-catalog_default/single-leg-hip-thrust-version-2-female.jpg",4,500,500)</f>
        <v/>
      </c>
      <c r="C3376" s="30">
        <v>3375.0</v>
      </c>
      <c r="D3376" s="16" t="s">
        <v>4252</v>
      </c>
      <c r="E3376" s="16" t="s">
        <v>184</v>
      </c>
      <c r="F3376" s="16" t="s">
        <v>185</v>
      </c>
      <c r="G3376" s="16" t="s">
        <v>255</v>
      </c>
      <c r="H3376" s="16" t="s">
        <v>187</v>
      </c>
      <c r="I3376" s="16" t="s">
        <v>854</v>
      </c>
    </row>
    <row r="3377" ht="242.25" customHeight="1">
      <c r="B3377" s="32" t="str">
        <f>IMAGE("https://gymvisual.com/8638-catalog_default/single-leg-hip-thrusts.jpg",4,500,500)</f>
        <v/>
      </c>
      <c r="C3377" s="30">
        <v>3376.0</v>
      </c>
      <c r="D3377" s="16" t="s">
        <v>4253</v>
      </c>
      <c r="E3377" s="16" t="s">
        <v>184</v>
      </c>
      <c r="F3377" s="16"/>
      <c r="G3377" s="16"/>
      <c r="H3377" s="16" t="s">
        <v>187</v>
      </c>
      <c r="I3377" s="16" t="s">
        <v>854</v>
      </c>
    </row>
    <row r="3378" ht="242.25" customHeight="1">
      <c r="B3378" s="32" t="str">
        <f>IMAGE("https://gymvisual.com/14002-catalog_default/single-leg-low-box-squat.jpg",4,500,500)</f>
        <v/>
      </c>
      <c r="C3378" s="30">
        <v>3377.0</v>
      </c>
      <c r="D3378" s="16" t="s">
        <v>4254</v>
      </c>
      <c r="E3378" s="16" t="s">
        <v>184</v>
      </c>
      <c r="F3378" s="16" t="s">
        <v>294</v>
      </c>
      <c r="G3378" s="16" t="s">
        <v>255</v>
      </c>
      <c r="H3378" s="16" t="s">
        <v>189</v>
      </c>
      <c r="I3378" s="16" t="s">
        <v>190</v>
      </c>
    </row>
    <row r="3379" ht="242.25" customHeight="1">
      <c r="B3379" s="32" t="str">
        <f>IMAGE("https://gymvisual.com/2185-catalog_default/single-leg-platform-slide.jpg",4,500,500)</f>
        <v/>
      </c>
      <c r="C3379" s="30">
        <v>3378.0</v>
      </c>
      <c r="D3379" s="16" t="s">
        <v>4255</v>
      </c>
      <c r="E3379" s="16" t="s">
        <v>184</v>
      </c>
      <c r="F3379" s="16" t="s">
        <v>285</v>
      </c>
      <c r="G3379" s="16" t="s">
        <v>255</v>
      </c>
      <c r="H3379" s="16" t="s">
        <v>188</v>
      </c>
      <c r="I3379" s="16" t="s">
        <v>368</v>
      </c>
    </row>
    <row r="3380" ht="242.25" customHeight="1">
      <c r="B3380" s="32" t="str">
        <f>IMAGE("https://gymvisual.com/6838-catalog_default/single-leg-push-off.jpg",4,500,500)</f>
        <v/>
      </c>
      <c r="C3380" s="30">
        <v>3379.0</v>
      </c>
      <c r="D3380" s="16" t="s">
        <v>4256</v>
      </c>
      <c r="E3380" s="16" t="s">
        <v>184</v>
      </c>
      <c r="F3380" s="16" t="s">
        <v>285</v>
      </c>
      <c r="G3380" s="16" t="s">
        <v>255</v>
      </c>
      <c r="H3380" s="16" t="s">
        <v>220</v>
      </c>
      <c r="I3380" s="16" t="s">
        <v>220</v>
      </c>
    </row>
    <row r="3381" ht="242.25" customHeight="1">
      <c r="B3381" s="32" t="str">
        <f>IMAGE("https://gymvisual.com/2188-catalog_default/single-leg-sit-wall.jpg",4,500,500)</f>
        <v/>
      </c>
      <c r="C3381" s="30">
        <v>3380.0</v>
      </c>
      <c r="D3381" s="16" t="s">
        <v>4257</v>
      </c>
      <c r="E3381" s="16" t="s">
        <v>184</v>
      </c>
      <c r="F3381" s="16" t="s">
        <v>285</v>
      </c>
      <c r="G3381" s="16" t="s">
        <v>255</v>
      </c>
      <c r="H3381" s="16" t="s">
        <v>552</v>
      </c>
      <c r="I3381" s="16" t="s">
        <v>4258</v>
      </c>
    </row>
    <row r="3382" ht="242.25" customHeight="1">
      <c r="B3382" s="32" t="str">
        <f>IMAGE("https://gymvisual.com/14038-catalog_default/single-leg-sliding-floor-bridge-curl-on-towel.jpg",4,500,500)</f>
        <v/>
      </c>
      <c r="C3382" s="30">
        <v>3381.0</v>
      </c>
      <c r="D3382" s="16" t="s">
        <v>4259</v>
      </c>
      <c r="E3382" s="16" t="s">
        <v>184</v>
      </c>
      <c r="F3382" s="16" t="s">
        <v>522</v>
      </c>
      <c r="G3382" s="16" t="s">
        <v>255</v>
      </c>
      <c r="H3382" s="16" t="s">
        <v>4260</v>
      </c>
      <c r="I3382" s="16" t="s">
        <v>220</v>
      </c>
    </row>
    <row r="3383" ht="242.25" customHeight="1">
      <c r="B3383" s="32" t="str">
        <f>IMAGE("https://gymvisual.com/2190-catalog_default/single-leg-squat-pistol.jpg",4,500,500)</f>
        <v/>
      </c>
      <c r="C3383" s="30">
        <v>3382.0</v>
      </c>
      <c r="D3383" s="16" t="s">
        <v>4261</v>
      </c>
      <c r="E3383" s="16" t="s">
        <v>184</v>
      </c>
      <c r="F3383" s="16" t="s">
        <v>185</v>
      </c>
      <c r="G3383" s="16" t="s">
        <v>255</v>
      </c>
      <c r="H3383" s="16" t="s">
        <v>189</v>
      </c>
      <c r="I3383" s="16" t="s">
        <v>190</v>
      </c>
    </row>
    <row r="3384" ht="242.25" customHeight="1">
      <c r="B3384" s="32" t="str">
        <f>IMAGE("https://gymvisual.com/7567-catalog_default/single-leg-squat-pistol-male.jpg",4,500,500)</f>
        <v/>
      </c>
      <c r="C3384" s="30">
        <v>3383.0</v>
      </c>
      <c r="D3384" s="16" t="s">
        <v>4262</v>
      </c>
      <c r="E3384" s="16" t="s">
        <v>184</v>
      </c>
      <c r="F3384" s="16" t="s">
        <v>285</v>
      </c>
      <c r="G3384" s="16" t="s">
        <v>255</v>
      </c>
      <c r="H3384" s="16" t="s">
        <v>189</v>
      </c>
      <c r="I3384" s="16" t="s">
        <v>190</v>
      </c>
    </row>
    <row r="3385" ht="242.25" customHeight="1">
      <c r="B3385" s="32" t="str">
        <f>IMAGE("https://gymvisual.com/20660-catalog_default/single-leg-squat-with-support-female.jpg",4,500,500)</f>
        <v/>
      </c>
      <c r="C3385" s="30">
        <v>3384.0</v>
      </c>
      <c r="D3385" s="16" t="s">
        <v>4263</v>
      </c>
      <c r="E3385" s="16" t="s">
        <v>184</v>
      </c>
      <c r="F3385" s="16" t="s">
        <v>285</v>
      </c>
      <c r="G3385" s="16" t="s">
        <v>255</v>
      </c>
      <c r="H3385" s="16" t="s">
        <v>189</v>
      </c>
      <c r="I3385" s="16" t="s">
        <v>190</v>
      </c>
    </row>
    <row r="3386" ht="242.25" customHeight="1">
      <c r="B3386" s="32" t="str">
        <f>IMAGE("https://gymvisual.com/10096-catalog_default/single-leg-squat-with-support-pistol.jpg",4,500,500)</f>
        <v/>
      </c>
      <c r="C3386" s="30">
        <v>3385.0</v>
      </c>
      <c r="D3386" s="16" t="s">
        <v>4264</v>
      </c>
      <c r="E3386" s="16" t="s">
        <v>184</v>
      </c>
      <c r="F3386" s="16" t="s">
        <v>285</v>
      </c>
      <c r="G3386" s="16" t="s">
        <v>255</v>
      </c>
      <c r="H3386" s="16" t="s">
        <v>189</v>
      </c>
      <c r="I3386" s="16" t="s">
        <v>190</v>
      </c>
    </row>
    <row r="3387" ht="242.25" customHeight="1">
      <c r="B3387" s="32" t="str">
        <f>IMAGE("https://gymvisual.com/16035-catalog_default/single-leg-step-up-female.jpg",4,500,500)</f>
        <v/>
      </c>
      <c r="C3387" s="30">
        <v>3386.0</v>
      </c>
      <c r="D3387" s="16" t="s">
        <v>4265</v>
      </c>
      <c r="E3387" s="16" t="s">
        <v>184</v>
      </c>
      <c r="F3387" s="16" t="s">
        <v>294</v>
      </c>
      <c r="G3387" s="16" t="s">
        <v>255</v>
      </c>
      <c r="H3387" s="16" t="s">
        <v>189</v>
      </c>
      <c r="I3387" s="16" t="s">
        <v>190</v>
      </c>
    </row>
    <row r="3388" ht="242.25" customHeight="1">
      <c r="B3388" s="32" t="str">
        <f>IMAGE("https://gymvisual.com/2193-catalog_default/single-leg-step-up.jpg",4,500,500)</f>
        <v/>
      </c>
      <c r="C3388" s="30">
        <v>3387.0</v>
      </c>
      <c r="D3388" s="16" t="s">
        <v>4266</v>
      </c>
      <c r="E3388" s="16" t="s">
        <v>184</v>
      </c>
      <c r="F3388" s="16" t="s">
        <v>285</v>
      </c>
      <c r="G3388" s="16" t="s">
        <v>255</v>
      </c>
      <c r="H3388" s="16" t="s">
        <v>189</v>
      </c>
      <c r="I3388" s="16" t="s">
        <v>2046</v>
      </c>
    </row>
    <row r="3389" ht="242.25" customHeight="1">
      <c r="B3389" s="32" t="str">
        <f>IMAGE("https://gymvisual.com/22315-catalog_default/single-leg-step-up-on-bench-female.jpg",4,500,500)</f>
        <v/>
      </c>
      <c r="C3389" s="30">
        <v>3388.0</v>
      </c>
      <c r="D3389" s="16" t="s">
        <v>4267</v>
      </c>
      <c r="E3389" s="16" t="s">
        <v>184</v>
      </c>
      <c r="F3389" s="16" t="s">
        <v>285</v>
      </c>
      <c r="G3389" s="16" t="s">
        <v>255</v>
      </c>
      <c r="H3389" s="16" t="s">
        <v>220</v>
      </c>
      <c r="I3389" s="16" t="s">
        <v>220</v>
      </c>
    </row>
    <row r="3390" ht="242.25" customHeight="1">
      <c r="B3390" s="32" t="str">
        <f>IMAGE("https://gymvisual.com/24494-catalog_default/single-straight-leg-glute-bridge-hold-female.jpg",4,500,500)</f>
        <v/>
      </c>
      <c r="C3390" s="30">
        <v>3389.0</v>
      </c>
      <c r="D3390" s="16" t="s">
        <v>4268</v>
      </c>
      <c r="E3390" s="16" t="s">
        <v>184</v>
      </c>
      <c r="F3390" s="16" t="s">
        <v>185</v>
      </c>
      <c r="G3390" s="16" t="s">
        <v>255</v>
      </c>
      <c r="H3390" s="16" t="s">
        <v>220</v>
      </c>
      <c r="I3390" s="16" t="s">
        <v>220</v>
      </c>
    </row>
    <row r="3391" ht="242.25" customHeight="1">
      <c r="B3391" s="32" t="str">
        <f>IMAGE("https://gymvisual.com/6508-catalog_default/sissy-squat.jpg",4,500,500)</f>
        <v/>
      </c>
      <c r="C3391" s="30">
        <v>3390.0</v>
      </c>
      <c r="D3391" s="16" t="s">
        <v>4269</v>
      </c>
      <c r="E3391" s="16" t="s">
        <v>184</v>
      </c>
      <c r="F3391" s="16" t="s">
        <v>285</v>
      </c>
      <c r="G3391" s="16" t="s">
        <v>255</v>
      </c>
      <c r="H3391" s="16" t="s">
        <v>552</v>
      </c>
      <c r="I3391" s="16" t="s">
        <v>220</v>
      </c>
    </row>
    <row r="3392" ht="242.25" customHeight="1">
      <c r="B3392" s="32" t="str">
        <f>IMAGE("https://gymvisual.com/2196-catalog_default/sit-wall.jpg",4,500,500)</f>
        <v/>
      </c>
      <c r="C3392" s="30">
        <v>3391.0</v>
      </c>
      <c r="D3392" s="16" t="s">
        <v>4270</v>
      </c>
      <c r="E3392" s="16" t="s">
        <v>184</v>
      </c>
      <c r="F3392" s="16" t="s">
        <v>285</v>
      </c>
      <c r="G3392" s="16" t="s">
        <v>255</v>
      </c>
      <c r="H3392" s="16" t="s">
        <v>189</v>
      </c>
      <c r="I3392" s="16" t="s">
        <v>190</v>
      </c>
    </row>
    <row r="3393" ht="242.25" customHeight="1">
      <c r="B3393" s="32" t="str">
        <f>IMAGE("https://gymvisual.com/6840-catalog_default/sit-squat.jpg",4,500,500)</f>
        <v/>
      </c>
      <c r="C3393" s="30">
        <v>3392.0</v>
      </c>
      <c r="D3393" s="16" t="s">
        <v>4271</v>
      </c>
      <c r="E3393" s="16" t="s">
        <v>184</v>
      </c>
      <c r="F3393" s="16" t="s">
        <v>285</v>
      </c>
      <c r="G3393" s="16" t="s">
        <v>255</v>
      </c>
      <c r="H3393" s="16" t="s">
        <v>220</v>
      </c>
      <c r="I3393" s="16" t="s">
        <v>220</v>
      </c>
    </row>
    <row r="3394" ht="242.25" customHeight="1">
      <c r="B3394" s="32" t="str">
        <f>IMAGE("https://gymvisual.com/13741-catalog_default/sit-up-with-chair-assisted.jpg",4,500,500)</f>
        <v/>
      </c>
      <c r="C3394" s="30">
        <v>3393.0</v>
      </c>
      <c r="D3394" s="16" t="s">
        <v>4272</v>
      </c>
      <c r="E3394" s="16" t="s">
        <v>184</v>
      </c>
      <c r="F3394" s="16" t="s">
        <v>254</v>
      </c>
      <c r="G3394" s="16" t="s">
        <v>255</v>
      </c>
      <c r="H3394" s="16" t="s">
        <v>256</v>
      </c>
      <c r="I3394" s="16" t="s">
        <v>257</v>
      </c>
    </row>
    <row r="3395" ht="242.25" customHeight="1">
      <c r="B3395" s="32" t="str">
        <f>IMAGE("https://gymvisual.com/2202-catalog_default/sit-up.jpg",4,500,500)</f>
        <v/>
      </c>
      <c r="C3395" s="30">
        <v>3394.0</v>
      </c>
      <c r="D3395" s="16" t="s">
        <v>4273</v>
      </c>
      <c r="E3395" s="16" t="s">
        <v>184</v>
      </c>
      <c r="F3395" s="16" t="s">
        <v>254</v>
      </c>
      <c r="G3395" s="16" t="s">
        <v>255</v>
      </c>
      <c r="H3395" s="16" t="s">
        <v>256</v>
      </c>
      <c r="I3395" s="16" t="s">
        <v>424</v>
      </c>
    </row>
    <row r="3396" ht="242.25" customHeight="1">
      <c r="B3396" s="32" t="str">
        <f>IMAGE("https://gymvisual.com/2199-catalog_default/sit-up-version-2.jpg",4,500,500)</f>
        <v/>
      </c>
      <c r="C3396" s="30">
        <v>3395.0</v>
      </c>
      <c r="D3396" s="16" t="s">
        <v>4274</v>
      </c>
      <c r="E3396" s="16" t="s">
        <v>184</v>
      </c>
      <c r="F3396" s="16" t="s">
        <v>254</v>
      </c>
      <c r="G3396" s="16" t="s">
        <v>255</v>
      </c>
      <c r="H3396" s="16" t="s">
        <v>305</v>
      </c>
      <c r="I3396" s="16" t="s">
        <v>593</v>
      </c>
    </row>
    <row r="3397" ht="242.25" customHeight="1">
      <c r="B3397" s="32" t="str">
        <f>IMAGE("https://gymvisual.com/14643-catalog_default/sit-up-with-arms-on-chest.jpg",4,500,500)</f>
        <v/>
      </c>
      <c r="C3397" s="30">
        <v>3396.0</v>
      </c>
      <c r="D3397" s="16" t="s">
        <v>4275</v>
      </c>
      <c r="E3397" s="16" t="s">
        <v>184</v>
      </c>
      <c r="F3397" s="16" t="s">
        <v>254</v>
      </c>
      <c r="G3397" s="16" t="s">
        <v>255</v>
      </c>
      <c r="H3397" s="16" t="s">
        <v>305</v>
      </c>
      <c r="I3397" s="16" t="s">
        <v>257</v>
      </c>
    </row>
    <row r="3398" ht="242.25" customHeight="1">
      <c r="B3398" s="32" t="str">
        <f>IMAGE("https://gymvisual.com/13697-catalog_default/skater-squat.jpg",4,500,500)</f>
        <v/>
      </c>
      <c r="C3398" s="30">
        <v>3397.0</v>
      </c>
      <c r="D3398" s="16" t="s">
        <v>4276</v>
      </c>
      <c r="E3398" s="16" t="s">
        <v>184</v>
      </c>
      <c r="F3398" s="16" t="s">
        <v>294</v>
      </c>
      <c r="G3398" s="16" t="s">
        <v>255</v>
      </c>
      <c r="H3398" s="16" t="s">
        <v>189</v>
      </c>
      <c r="I3398" s="16" t="s">
        <v>190</v>
      </c>
    </row>
    <row r="3399" ht="242.25" customHeight="1">
      <c r="B3399" s="32" t="str">
        <f>IMAGE("https://gymvisual.com/9586-catalog_default/sled-45-degrees-leg-press-female.jpg",4,500,500)</f>
        <v/>
      </c>
      <c r="C3399" s="30">
        <v>3398.0</v>
      </c>
      <c r="D3399" s="16" t="s">
        <v>4277</v>
      </c>
      <c r="E3399" s="16" t="s">
        <v>184</v>
      </c>
      <c r="F3399" s="16" t="s">
        <v>294</v>
      </c>
      <c r="G3399" s="16" t="s">
        <v>2893</v>
      </c>
      <c r="H3399" s="16" t="s">
        <v>189</v>
      </c>
      <c r="I3399" s="16" t="s">
        <v>190</v>
      </c>
    </row>
    <row r="3400" ht="242.25" customHeight="1">
      <c r="B3400" s="32" t="str">
        <f>IMAGE("https://gymvisual.com/14296-catalog_default/sled-45-degrees-narrow-stance-leg-press-female.jpg",4,500,500)</f>
        <v/>
      </c>
      <c r="C3400" s="30">
        <v>3399.0</v>
      </c>
      <c r="D3400" s="16" t="s">
        <v>4278</v>
      </c>
      <c r="E3400" s="16" t="s">
        <v>184</v>
      </c>
      <c r="F3400" s="16" t="s">
        <v>294</v>
      </c>
      <c r="G3400" s="16" t="s">
        <v>2893</v>
      </c>
      <c r="H3400" s="16" t="s">
        <v>189</v>
      </c>
      <c r="I3400" s="16" t="s">
        <v>190</v>
      </c>
    </row>
    <row r="3401" ht="242.25" customHeight="1">
      <c r="B3401" s="32" t="str">
        <f>IMAGE("https://gymvisual.com/6277-catalog_default/sled-45-degrees-one-leg-press.jpg",4,500,500)</f>
        <v/>
      </c>
      <c r="C3401" s="30">
        <v>3400.0</v>
      </c>
      <c r="D3401" s="16" t="s">
        <v>4279</v>
      </c>
      <c r="E3401" s="16" t="s">
        <v>184</v>
      </c>
      <c r="F3401" s="16" t="s">
        <v>185</v>
      </c>
      <c r="G3401" s="16" t="s">
        <v>2893</v>
      </c>
      <c r="H3401" s="16" t="s">
        <v>189</v>
      </c>
      <c r="I3401" s="16" t="s">
        <v>190</v>
      </c>
    </row>
    <row r="3402" ht="242.25" customHeight="1">
      <c r="B3402" s="32" t="str">
        <f>IMAGE("https://gymvisual.com/11375-catalog_default/sled-45-degrees-one-leg-press-female.jpg",4,500,500)</f>
        <v/>
      </c>
      <c r="C3402" s="30">
        <v>3401.0</v>
      </c>
      <c r="D3402" s="16" t="s">
        <v>4280</v>
      </c>
      <c r="E3402" s="16" t="s">
        <v>184</v>
      </c>
      <c r="F3402" s="16" t="s">
        <v>294</v>
      </c>
      <c r="G3402" s="16" t="s">
        <v>2893</v>
      </c>
      <c r="H3402" s="16" t="s">
        <v>220</v>
      </c>
      <c r="I3402" s="16" t="s">
        <v>220</v>
      </c>
    </row>
    <row r="3403" ht="242.25" customHeight="1">
      <c r="B3403" s="32" t="str">
        <f>IMAGE("https://gymvisual.com/14298-catalog_default/sled-45-degrees-wide-stance-leg-press-female.jpg",4,500,500)</f>
        <v/>
      </c>
      <c r="C3403" s="30">
        <v>3402.0</v>
      </c>
      <c r="D3403" s="16" t="s">
        <v>4281</v>
      </c>
      <c r="E3403" s="16" t="s">
        <v>184</v>
      </c>
      <c r="F3403" s="16" t="s">
        <v>294</v>
      </c>
      <c r="G3403" s="16" t="s">
        <v>2893</v>
      </c>
      <c r="H3403" s="16" t="s">
        <v>189</v>
      </c>
      <c r="I3403" s="16" t="s">
        <v>190</v>
      </c>
    </row>
    <row r="3404" ht="242.25" customHeight="1">
      <c r="B3404" s="32" t="str">
        <f>IMAGE("https://gymvisual.com/2208-catalog_default/sled-45-calf-press.jpg",4,500,500)</f>
        <v/>
      </c>
      <c r="C3404" s="30">
        <v>3403.0</v>
      </c>
      <c r="D3404" s="16" t="s">
        <v>4282</v>
      </c>
      <c r="E3404" s="16" t="s">
        <v>184</v>
      </c>
      <c r="F3404" s="16" t="s">
        <v>325</v>
      </c>
      <c r="G3404" s="16" t="s">
        <v>2893</v>
      </c>
      <c r="H3404" s="16" t="s">
        <v>368</v>
      </c>
      <c r="I3404" s="16" t="s">
        <v>463</v>
      </c>
    </row>
    <row r="3405" ht="242.25" customHeight="1">
      <c r="B3405" s="32" t="str">
        <f>IMAGE("https://gymvisual.com/2211-catalog_default/sled-45-leg-press.jpg",4,500,500)</f>
        <v/>
      </c>
      <c r="C3405" s="30">
        <v>3404.0</v>
      </c>
      <c r="D3405" s="16" t="s">
        <v>4283</v>
      </c>
      <c r="E3405" s="16" t="s">
        <v>184</v>
      </c>
      <c r="F3405" s="16" t="s">
        <v>185</v>
      </c>
      <c r="G3405" s="16" t="s">
        <v>2893</v>
      </c>
      <c r="H3405" s="16" t="s">
        <v>189</v>
      </c>
      <c r="I3405" s="16" t="s">
        <v>190</v>
      </c>
    </row>
    <row r="3406" ht="242.25" customHeight="1">
      <c r="B3406" s="32" t="str">
        <f>IMAGE("https://gymvisual.com/6474-catalog_default/sled-45-leg-press-back-pov.jpg",4,500,500)</f>
        <v/>
      </c>
      <c r="C3406" s="30">
        <v>3405.0</v>
      </c>
      <c r="D3406" s="16" t="s">
        <v>4284</v>
      </c>
      <c r="E3406" s="16" t="s">
        <v>184</v>
      </c>
      <c r="F3406" s="16" t="s">
        <v>285</v>
      </c>
      <c r="G3406" s="16" t="s">
        <v>2893</v>
      </c>
      <c r="H3406" s="16" t="s">
        <v>189</v>
      </c>
      <c r="I3406" s="16" t="s">
        <v>190</v>
      </c>
    </row>
    <row r="3407" ht="242.25" customHeight="1">
      <c r="B3407" s="32" t="str">
        <f>IMAGE("https://gymvisual.com/6476-catalog_default/sled-45-leg-press-side-pov.jpg",4,500,500)</f>
        <v/>
      </c>
      <c r="C3407" s="30">
        <v>3406.0</v>
      </c>
      <c r="D3407" s="16" t="s">
        <v>4285</v>
      </c>
      <c r="E3407" s="16" t="s">
        <v>184</v>
      </c>
      <c r="F3407" s="16" t="s">
        <v>285</v>
      </c>
      <c r="G3407" s="16" t="s">
        <v>2893</v>
      </c>
      <c r="H3407" s="16" t="s">
        <v>189</v>
      </c>
      <c r="I3407" s="16" t="s">
        <v>190</v>
      </c>
    </row>
    <row r="3408" ht="242.25" customHeight="1">
      <c r="B3408" s="32" t="str">
        <f>IMAGE("https://gymvisual.com/2214-catalog_default/sled-45-leg-wide-press.jpg",4,500,500)</f>
        <v/>
      </c>
      <c r="C3408" s="30">
        <v>3407.0</v>
      </c>
      <c r="D3408" s="16" t="s">
        <v>4286</v>
      </c>
      <c r="E3408" s="16" t="s">
        <v>184</v>
      </c>
      <c r="F3408" s="16" t="s">
        <v>285</v>
      </c>
      <c r="G3408" s="16" t="s">
        <v>2893</v>
      </c>
      <c r="H3408" s="16" t="s">
        <v>189</v>
      </c>
      <c r="I3408" s="16" t="s">
        <v>1121</v>
      </c>
    </row>
    <row r="3409" ht="242.25" customHeight="1">
      <c r="B3409" s="32" t="str">
        <f>IMAGE("https://gymvisual.com/6822-catalog_default/sled-45o-narrow-stance-leg-press.jpg",4,500,500)</f>
        <v/>
      </c>
      <c r="C3409" s="30">
        <v>3408.0</v>
      </c>
      <c r="D3409" s="16" t="s">
        <v>4287</v>
      </c>
      <c r="E3409" s="16" t="s">
        <v>184</v>
      </c>
      <c r="F3409" s="16" t="s">
        <v>285</v>
      </c>
      <c r="G3409" s="16" t="s">
        <v>2893</v>
      </c>
      <c r="H3409" s="16" t="s">
        <v>189</v>
      </c>
      <c r="I3409" s="16" t="s">
        <v>190</v>
      </c>
    </row>
    <row r="3410" ht="242.25" customHeight="1">
      <c r="B3410" s="32" t="str">
        <f>IMAGE("https://gymvisual.com/6088-catalog_default/sled-calf-press-on-leg-press.jpg",4,500,500)</f>
        <v/>
      </c>
      <c r="C3410" s="30">
        <v>3409.0</v>
      </c>
      <c r="D3410" s="16" t="s">
        <v>4288</v>
      </c>
      <c r="E3410" s="16" t="s">
        <v>184</v>
      </c>
      <c r="F3410" s="16" t="s">
        <v>325</v>
      </c>
      <c r="G3410" s="16" t="s">
        <v>2893</v>
      </c>
      <c r="H3410" s="16" t="s">
        <v>368</v>
      </c>
      <c r="I3410" s="16" t="s">
        <v>463</v>
      </c>
    </row>
    <row r="3411" ht="242.25" customHeight="1">
      <c r="B3411" s="32" t="str">
        <f>IMAGE("https://gymvisual.com/9550-catalog_default/sled-calf-press-on-leg-press-female.jpg",4,500,500)</f>
        <v/>
      </c>
      <c r="C3411" s="30">
        <v>3410.0</v>
      </c>
      <c r="D3411" s="16" t="s">
        <v>4289</v>
      </c>
      <c r="E3411" s="16" t="s">
        <v>184</v>
      </c>
      <c r="F3411" s="16" t="s">
        <v>325</v>
      </c>
      <c r="G3411" s="16" t="s">
        <v>2893</v>
      </c>
      <c r="H3411" s="16" t="s">
        <v>368</v>
      </c>
      <c r="I3411" s="16" t="s">
        <v>463</v>
      </c>
    </row>
    <row r="3412" ht="242.25" customHeight="1">
      <c r="B3412" s="32" t="str">
        <f>IMAGE("https://gymvisual.com/2217-catalog_default/sled-closer-hack-squat.jpg",4,500,500)</f>
        <v/>
      </c>
      <c r="C3412" s="30">
        <v>3411.0</v>
      </c>
      <c r="D3412" s="16" t="s">
        <v>4290</v>
      </c>
      <c r="E3412" s="16" t="s">
        <v>184</v>
      </c>
      <c r="F3412" s="16" t="s">
        <v>285</v>
      </c>
      <c r="G3412" s="16" t="s">
        <v>2893</v>
      </c>
      <c r="H3412" s="16" t="s">
        <v>189</v>
      </c>
      <c r="I3412" s="16" t="s">
        <v>190</v>
      </c>
    </row>
    <row r="3413" ht="242.25" customHeight="1">
      <c r="B3413" s="32" t="str">
        <f>IMAGE("https://gymvisual.com/20543-catalog_default/sled-forward-angled-calf-raise.jpg",4,500,500)</f>
        <v/>
      </c>
      <c r="C3413" s="30">
        <v>3412.0</v>
      </c>
      <c r="D3413" s="16" t="s">
        <v>4291</v>
      </c>
      <c r="E3413" s="16" t="s">
        <v>184</v>
      </c>
      <c r="F3413" s="16" t="s">
        <v>325</v>
      </c>
      <c r="G3413" s="16" t="s">
        <v>2893</v>
      </c>
      <c r="H3413" s="16" t="s">
        <v>368</v>
      </c>
      <c r="I3413" s="16" t="s">
        <v>463</v>
      </c>
    </row>
    <row r="3414" ht="242.25" customHeight="1">
      <c r="B3414" s="32" t="str">
        <f>IMAGE("https://gymvisual.com/8038-catalog_default/sled-full-hack-squat.jpg",4,500,500)</f>
        <v/>
      </c>
      <c r="C3414" s="30">
        <v>3413.0</v>
      </c>
      <c r="D3414" s="16" t="s">
        <v>4292</v>
      </c>
      <c r="E3414" s="16" t="s">
        <v>184</v>
      </c>
      <c r="F3414" s="16" t="s">
        <v>285</v>
      </c>
      <c r="G3414" s="16" t="s">
        <v>2893</v>
      </c>
      <c r="H3414" s="16" t="s">
        <v>220</v>
      </c>
      <c r="I3414" s="16" t="s">
        <v>220</v>
      </c>
    </row>
    <row r="3415" ht="242.25" customHeight="1">
      <c r="B3415" s="32" t="str">
        <f>IMAGE("https://gymvisual.com/11221-catalog_default/sled-full-hack-squat-female.jpg",4,500,500)</f>
        <v/>
      </c>
      <c r="C3415" s="30">
        <v>3414.0</v>
      </c>
      <c r="D3415" s="16" t="s">
        <v>4293</v>
      </c>
      <c r="E3415" s="16" t="s">
        <v>184</v>
      </c>
      <c r="F3415" s="16" t="s">
        <v>294</v>
      </c>
      <c r="G3415" s="16" t="s">
        <v>2893</v>
      </c>
      <c r="H3415" s="16" t="s">
        <v>220</v>
      </c>
      <c r="I3415" s="16" t="s">
        <v>220</v>
      </c>
    </row>
    <row r="3416" ht="242.25" customHeight="1">
      <c r="B3416" s="32" t="str">
        <f>IMAGE("https://gymvisual.com/25077-catalog_default/sled-hack-squat.jpg",4,500,500)</f>
        <v/>
      </c>
      <c r="C3416" s="30">
        <v>3415.0</v>
      </c>
      <c r="D3416" s="16" t="s">
        <v>4294</v>
      </c>
      <c r="E3416" s="16" t="s">
        <v>184</v>
      </c>
      <c r="F3416" s="16" t="s">
        <v>185</v>
      </c>
      <c r="G3416" s="16" t="s">
        <v>2893</v>
      </c>
      <c r="H3416" s="16" t="s">
        <v>189</v>
      </c>
      <c r="I3416" s="16" t="s">
        <v>190</v>
      </c>
    </row>
    <row r="3417" ht="242.25" customHeight="1">
      <c r="B3417" s="32" t="str">
        <f>IMAGE("https://gymvisual.com/10362-catalog_default/sled-hack-squat-female.jpg",4,500,500)</f>
        <v/>
      </c>
      <c r="C3417" s="30">
        <v>3416.0</v>
      </c>
      <c r="D3417" s="16" t="s">
        <v>4295</v>
      </c>
      <c r="E3417" s="16" t="s">
        <v>184</v>
      </c>
      <c r="F3417" s="16" t="s">
        <v>285</v>
      </c>
      <c r="G3417" s="16" t="s">
        <v>2893</v>
      </c>
      <c r="H3417" s="16" t="s">
        <v>189</v>
      </c>
      <c r="I3417" s="16" t="s">
        <v>190</v>
      </c>
    </row>
    <row r="3418" ht="242.25" customHeight="1">
      <c r="B3418" s="32" t="str">
        <f>IMAGE("https://gymvisual.com/10190-catalog_default/sled-hack-squat-legs-wrong-right.jpg",4,500,500)</f>
        <v/>
      </c>
      <c r="C3418" s="30">
        <v>3417.0</v>
      </c>
      <c r="D3418" s="16" t="s">
        <v>4296</v>
      </c>
      <c r="E3418" s="16" t="s">
        <v>184</v>
      </c>
      <c r="F3418" s="16" t="s">
        <v>285</v>
      </c>
      <c r="G3418" s="16" t="s">
        <v>2893</v>
      </c>
      <c r="H3418" s="16" t="s">
        <v>220</v>
      </c>
      <c r="I3418" s="16" t="s">
        <v>220</v>
      </c>
    </row>
    <row r="3419" ht="242.25" customHeight="1">
      <c r="B3419" s="32" t="str">
        <f>IMAGE("https://gymvisual.com/10052-catalog_default/sled-lying-calf-press.jpg",4,500,500)</f>
        <v/>
      </c>
      <c r="C3419" s="30">
        <v>3418.0</v>
      </c>
      <c r="D3419" s="16" t="s">
        <v>4297</v>
      </c>
      <c r="E3419" s="16" t="s">
        <v>184</v>
      </c>
      <c r="F3419" s="16" t="s">
        <v>325</v>
      </c>
      <c r="G3419" s="16" t="s">
        <v>2893</v>
      </c>
      <c r="H3419" s="16" t="s">
        <v>368</v>
      </c>
      <c r="I3419" s="16" t="s">
        <v>463</v>
      </c>
    </row>
    <row r="3420" ht="242.25" customHeight="1">
      <c r="B3420" s="32" t="str">
        <f>IMAGE("https://gymvisual.com/2226-catalog_default/sled-lying-squat.jpg",4,500,500)</f>
        <v/>
      </c>
      <c r="C3420" s="30">
        <v>3419.0</v>
      </c>
      <c r="D3420" s="16" t="s">
        <v>4298</v>
      </c>
      <c r="E3420" s="16" t="s">
        <v>184</v>
      </c>
      <c r="F3420" s="16" t="s">
        <v>285</v>
      </c>
      <c r="G3420" s="16" t="s">
        <v>2893</v>
      </c>
      <c r="H3420" s="16" t="s">
        <v>189</v>
      </c>
      <c r="I3420" s="16" t="s">
        <v>190</v>
      </c>
    </row>
    <row r="3421" ht="242.25" customHeight="1">
      <c r="B3421" s="32" t="str">
        <f>IMAGE("https://gymvisual.com/6089-catalog_default/sled-one-leg-calf-press-on-leg-press.jpg",4,500,500)</f>
        <v/>
      </c>
      <c r="C3421" s="30">
        <v>3420.0</v>
      </c>
      <c r="D3421" s="16" t="s">
        <v>4299</v>
      </c>
      <c r="E3421" s="16" t="s">
        <v>184</v>
      </c>
      <c r="F3421" s="16" t="s">
        <v>325</v>
      </c>
      <c r="G3421" s="16" t="s">
        <v>2893</v>
      </c>
      <c r="H3421" s="16" t="s">
        <v>368</v>
      </c>
      <c r="I3421" s="16" t="s">
        <v>463</v>
      </c>
    </row>
    <row r="3422" ht="242.25" customHeight="1">
      <c r="B3422" s="32" t="str">
        <f>IMAGE("https://gymvisual.com/6826-catalog_default/sled-one-leg-hack-squat.jpg",4,500,500)</f>
        <v/>
      </c>
      <c r="C3422" s="30">
        <v>3421.0</v>
      </c>
      <c r="D3422" s="16" t="s">
        <v>4300</v>
      </c>
      <c r="E3422" s="16" t="s">
        <v>184</v>
      </c>
      <c r="F3422" s="16" t="s">
        <v>285</v>
      </c>
      <c r="G3422" s="16" t="s">
        <v>2893</v>
      </c>
      <c r="H3422" s="16" t="s">
        <v>220</v>
      </c>
      <c r="I3422" s="16" t="s">
        <v>220</v>
      </c>
    </row>
    <row r="3423" ht="242.25" customHeight="1">
      <c r="B3423" s="32" t="str">
        <f>IMAGE("https://gymvisual.com/6830-catalog_default/sled-reverse-hack-squat.jpg",4,500,500)</f>
        <v/>
      </c>
      <c r="C3423" s="30">
        <v>3422.0</v>
      </c>
      <c r="D3423" s="16" t="s">
        <v>4301</v>
      </c>
      <c r="E3423" s="16" t="s">
        <v>184</v>
      </c>
      <c r="F3423" s="16" t="s">
        <v>285</v>
      </c>
      <c r="G3423" s="16" t="s">
        <v>2893</v>
      </c>
      <c r="H3423" s="16" t="s">
        <v>189</v>
      </c>
      <c r="I3423" s="16" t="s">
        <v>190</v>
      </c>
    </row>
    <row r="3424" ht="242.25" customHeight="1">
      <c r="B3424" s="32" t="str">
        <f>IMAGE("https://gymvisual.com/18736-catalog_default/sled-vertical-leg-press.jpg",4,500,500)</f>
        <v/>
      </c>
      <c r="C3424" s="30">
        <v>3423.0</v>
      </c>
      <c r="D3424" s="16" t="s">
        <v>4302</v>
      </c>
      <c r="E3424" s="16" t="s">
        <v>184</v>
      </c>
      <c r="F3424" s="16" t="s">
        <v>285</v>
      </c>
      <c r="G3424" s="16" t="s">
        <v>2893</v>
      </c>
      <c r="H3424" s="16" t="s">
        <v>220</v>
      </c>
      <c r="I3424" s="16" t="s">
        <v>220</v>
      </c>
    </row>
    <row r="3425" ht="242.25" customHeight="1">
      <c r="B3425" s="32" t="str">
        <f>IMAGE("https://gymvisual.com/17901-catalog_default/sled-wide-hack-squat-male.jpg",4,500,500)</f>
        <v/>
      </c>
      <c r="C3425" s="30">
        <v>3424.0</v>
      </c>
      <c r="D3425" s="16" t="s">
        <v>4303</v>
      </c>
      <c r="E3425" s="16" t="s">
        <v>184</v>
      </c>
      <c r="F3425" s="16" t="s">
        <v>285</v>
      </c>
      <c r="G3425" s="16" t="s">
        <v>2893</v>
      </c>
      <c r="H3425" s="16" t="s">
        <v>189</v>
      </c>
      <c r="I3425" s="16" t="s">
        <v>902</v>
      </c>
    </row>
    <row r="3426" ht="242.25" customHeight="1">
      <c r="B3426" s="32" t="str">
        <f>IMAGE("https://gymvisual.com/6722-catalog_default/sledge-hammer.jpg",4,500,500)</f>
        <v/>
      </c>
      <c r="C3426" s="30">
        <v>3425.0</v>
      </c>
      <c r="D3426" s="16" t="s">
        <v>4304</v>
      </c>
      <c r="E3426" s="16" t="s">
        <v>184</v>
      </c>
      <c r="F3426" s="16" t="s">
        <v>254</v>
      </c>
      <c r="G3426" s="16" t="s">
        <v>4305</v>
      </c>
      <c r="H3426" s="16" t="s">
        <v>260</v>
      </c>
      <c r="I3426" s="16" t="s">
        <v>4306</v>
      </c>
    </row>
    <row r="3427" ht="242.25" customHeight="1">
      <c r="B3427" s="32" t="str">
        <f>IMAGE("https://gymvisual.com/14012-catalog_default/sliding-floor-bridge-curl-on-towel.jpg",4,500,500)</f>
        <v/>
      </c>
      <c r="C3427" s="30">
        <v>3426.0</v>
      </c>
      <c r="D3427" s="16" t="s">
        <v>4307</v>
      </c>
      <c r="E3427" s="16" t="s">
        <v>184</v>
      </c>
      <c r="F3427" s="16" t="s">
        <v>522</v>
      </c>
      <c r="G3427" s="16" t="s">
        <v>255</v>
      </c>
      <c r="H3427" s="16" t="s">
        <v>4260</v>
      </c>
      <c r="I3427" s="16" t="s">
        <v>220</v>
      </c>
    </row>
    <row r="3428" ht="242.25" customHeight="1">
      <c r="B3428" s="32" t="str">
        <f>IMAGE("https://gymvisual.com/14010-catalog_default/sliding-floor-pulldown-on-towel.jpg",4,500,500)</f>
        <v/>
      </c>
      <c r="C3428" s="30">
        <v>3427.0</v>
      </c>
      <c r="D3428" s="16" t="s">
        <v>4308</v>
      </c>
      <c r="E3428" s="16" t="s">
        <v>184</v>
      </c>
      <c r="F3428" s="16" t="s">
        <v>192</v>
      </c>
      <c r="G3428" s="16" t="s">
        <v>255</v>
      </c>
      <c r="H3428" s="16" t="s">
        <v>300</v>
      </c>
      <c r="I3428" s="16" t="s">
        <v>4309</v>
      </c>
    </row>
    <row r="3429" ht="242.25" customHeight="1">
      <c r="B3429" s="32" t="str">
        <f>IMAGE("https://gymvisual.com/19906-catalog_default/sliding-floor-pulldown-on-towel-version-2.jpg",4,500,500)</f>
        <v/>
      </c>
      <c r="C3429" s="30">
        <v>3428.0</v>
      </c>
      <c r="D3429" s="16" t="s">
        <v>4310</v>
      </c>
      <c r="E3429" s="16" t="s">
        <v>184</v>
      </c>
      <c r="F3429" s="16" t="s">
        <v>192</v>
      </c>
      <c r="G3429" s="16" t="s">
        <v>255</v>
      </c>
      <c r="H3429" s="16" t="s">
        <v>300</v>
      </c>
      <c r="I3429" s="16" t="s">
        <v>4311</v>
      </c>
    </row>
    <row r="3430" ht="242.25" customHeight="1">
      <c r="B3430" s="32" t="str">
        <f>IMAGE("https://gymvisual.com/24659-catalog_default/sliding-leg-bird-dog.jpg",4,500,500)</f>
        <v/>
      </c>
      <c r="C3430" s="30">
        <v>3429.0</v>
      </c>
      <c r="D3430" s="16" t="s">
        <v>4312</v>
      </c>
      <c r="E3430" s="16" t="s">
        <v>184</v>
      </c>
      <c r="F3430" s="16" t="s">
        <v>192</v>
      </c>
      <c r="G3430" s="16" t="s">
        <v>255</v>
      </c>
      <c r="H3430" s="16" t="s">
        <v>220</v>
      </c>
      <c r="I3430" s="16" t="s">
        <v>220</v>
      </c>
    </row>
    <row r="3431" ht="242.25" customHeight="1">
      <c r="B3431" s="32" t="str">
        <f>IMAGE("https://gymvisual.com/16522-catalog_default/sliding-leg-curl-on-floor-with-towel.jpg",4,500,500)</f>
        <v/>
      </c>
      <c r="C3431" s="30">
        <v>3430.0</v>
      </c>
      <c r="D3431" s="16" t="s">
        <v>4313</v>
      </c>
      <c r="E3431" s="16" t="s">
        <v>184</v>
      </c>
      <c r="F3431" s="16" t="s">
        <v>285</v>
      </c>
      <c r="G3431" s="16" t="s">
        <v>255</v>
      </c>
      <c r="H3431" s="16" t="s">
        <v>2412</v>
      </c>
      <c r="I3431" s="16" t="s">
        <v>561</v>
      </c>
    </row>
    <row r="3432" ht="242.25" customHeight="1">
      <c r="B3432" s="32" t="str">
        <f>IMAGE("https://gymvisual.com/22089-catalog_default/sliding-leg-curl-on-floor-with-towel.jpg",4,500,500)</f>
        <v/>
      </c>
      <c r="C3432" s="30">
        <v>3431.0</v>
      </c>
      <c r="D3432" s="16" t="s">
        <v>4313</v>
      </c>
      <c r="E3432" s="16" t="s">
        <v>184</v>
      </c>
      <c r="F3432" s="16" t="s">
        <v>185</v>
      </c>
      <c r="G3432" s="16" t="s">
        <v>255</v>
      </c>
      <c r="H3432" s="16" t="s">
        <v>188</v>
      </c>
      <c r="I3432" s="16" t="s">
        <v>665</v>
      </c>
    </row>
    <row r="3433" ht="242.25" customHeight="1">
      <c r="B3433" s="32" t="str">
        <f>IMAGE("https://gymvisual.com/2232-catalog_default/smith-back-shrug.jpg",4,500,500)</f>
        <v/>
      </c>
      <c r="C3433" s="30">
        <v>3432.0</v>
      </c>
      <c r="D3433" s="16" t="s">
        <v>4314</v>
      </c>
      <c r="E3433" s="16" t="s">
        <v>184</v>
      </c>
      <c r="F3433" s="16" t="s">
        <v>192</v>
      </c>
      <c r="G3433" s="16" t="s">
        <v>4017</v>
      </c>
      <c r="H3433" s="16" t="s">
        <v>238</v>
      </c>
      <c r="I3433" s="16" t="s">
        <v>618</v>
      </c>
    </row>
    <row r="3434" ht="242.25" customHeight="1">
      <c r="B3434" s="32" t="str">
        <f>IMAGE("https://gymvisual.com/20415-catalog_default/smith-back-wide-shrug.jpg",4,500,500)</f>
        <v/>
      </c>
      <c r="C3434" s="30">
        <v>3433.0</v>
      </c>
      <c r="D3434" s="16" t="s">
        <v>4315</v>
      </c>
      <c r="E3434" s="16" t="s">
        <v>184</v>
      </c>
      <c r="F3434" s="16" t="s">
        <v>192</v>
      </c>
      <c r="G3434" s="16" t="s">
        <v>4017</v>
      </c>
      <c r="H3434" s="16" t="s">
        <v>238</v>
      </c>
      <c r="I3434" s="16" t="s">
        <v>239</v>
      </c>
    </row>
    <row r="3435" ht="242.25" customHeight="1">
      <c r="B3435" s="32" t="str">
        <f>IMAGE("https://gymvisual.com/18001-catalog_default/smith-banded-full-squat.jpg",4,500,500)</f>
        <v/>
      </c>
      <c r="C3435" s="30">
        <v>3434.0</v>
      </c>
      <c r="D3435" s="16" t="s">
        <v>4316</v>
      </c>
      <c r="E3435" s="16" t="s">
        <v>184</v>
      </c>
      <c r="F3435" s="16" t="s">
        <v>285</v>
      </c>
      <c r="G3435" s="16" t="s">
        <v>4017</v>
      </c>
      <c r="H3435" s="16" t="s">
        <v>220</v>
      </c>
      <c r="I3435" s="16" t="s">
        <v>220</v>
      </c>
    </row>
    <row r="3436" ht="242.25" customHeight="1">
      <c r="B3436" s="32" t="str">
        <f>IMAGE("https://gymvisual.com/2235-catalog_default/smith-behind-neck-press.jpg",4,500,500)</f>
        <v/>
      </c>
      <c r="C3436" s="30">
        <v>3435.0</v>
      </c>
      <c r="D3436" s="16" t="s">
        <v>4317</v>
      </c>
      <c r="E3436" s="16" t="s">
        <v>184</v>
      </c>
      <c r="F3436" s="16" t="s">
        <v>228</v>
      </c>
      <c r="G3436" s="16" t="s">
        <v>4017</v>
      </c>
      <c r="H3436" s="16" t="s">
        <v>229</v>
      </c>
      <c r="I3436" s="16" t="s">
        <v>230</v>
      </c>
    </row>
    <row r="3437" ht="242.25" customHeight="1">
      <c r="B3437" s="32" t="str">
        <f>IMAGE("https://gymvisual.com/19345-catalog_default/smith-bench-press.jpg",4,500,500)</f>
        <v/>
      </c>
      <c r="C3437" s="30">
        <v>3436.0</v>
      </c>
      <c r="D3437" s="16" t="s">
        <v>4318</v>
      </c>
      <c r="E3437" s="16" t="s">
        <v>184</v>
      </c>
      <c r="F3437" s="16" t="s">
        <v>234</v>
      </c>
      <c r="G3437" s="16" t="s">
        <v>4017</v>
      </c>
      <c r="H3437" s="16" t="s">
        <v>235</v>
      </c>
      <c r="I3437" s="16" t="s">
        <v>243</v>
      </c>
    </row>
    <row r="3438" ht="242.25" customHeight="1">
      <c r="B3438" s="32" t="str">
        <f>IMAGE("https://gymvisual.com/2241-catalog_default/smith-bent-knee-good-morning.jpg",4,500,500)</f>
        <v/>
      </c>
      <c r="C3438" s="30">
        <v>3437.0</v>
      </c>
      <c r="D3438" s="16" t="s">
        <v>4319</v>
      </c>
      <c r="E3438" s="16" t="s">
        <v>184</v>
      </c>
      <c r="F3438" s="16" t="s">
        <v>185</v>
      </c>
      <c r="G3438" s="16" t="s">
        <v>4017</v>
      </c>
      <c r="H3438" s="16" t="s">
        <v>267</v>
      </c>
      <c r="I3438" s="16" t="s">
        <v>188</v>
      </c>
    </row>
    <row r="3439" ht="242.25" customHeight="1">
      <c r="B3439" s="32" t="str">
        <f>IMAGE("https://gymvisual.com/20994-catalog_default/smith-bent-over-narrow-pronated-grip-row.jpg",4,500,500)</f>
        <v/>
      </c>
      <c r="C3439" s="30">
        <v>3438.0</v>
      </c>
      <c r="D3439" s="16" t="s">
        <v>4320</v>
      </c>
      <c r="E3439" s="16" t="s">
        <v>184</v>
      </c>
      <c r="F3439" s="16" t="s">
        <v>192</v>
      </c>
      <c r="G3439" s="16" t="s">
        <v>4017</v>
      </c>
      <c r="H3439" s="16" t="s">
        <v>329</v>
      </c>
      <c r="I3439" s="16" t="s">
        <v>447</v>
      </c>
    </row>
    <row r="3440" ht="242.25" customHeight="1">
      <c r="B3440" s="32" t="str">
        <f>IMAGE("https://gymvisual.com/20980-catalog_default/smith-bent-over-narrow-supinated-grip-row.jpg",4,500,500)</f>
        <v/>
      </c>
      <c r="C3440" s="30">
        <v>3439.0</v>
      </c>
      <c r="D3440" s="16" t="s">
        <v>4321</v>
      </c>
      <c r="E3440" s="16" t="s">
        <v>184</v>
      </c>
      <c r="F3440" s="16" t="s">
        <v>192</v>
      </c>
      <c r="G3440" s="16" t="s">
        <v>4017</v>
      </c>
      <c r="H3440" s="16" t="s">
        <v>329</v>
      </c>
      <c r="I3440" s="16" t="s">
        <v>457</v>
      </c>
    </row>
    <row r="3441" ht="242.25" customHeight="1">
      <c r="B3441" s="32" t="str">
        <f>IMAGE("https://gymvisual.com/21106-catalog_default/smith-bent-over-row.jpg",4,500,500)</f>
        <v/>
      </c>
      <c r="C3441" s="30">
        <v>3440.0</v>
      </c>
      <c r="D3441" s="16" t="s">
        <v>4322</v>
      </c>
      <c r="E3441" s="16" t="s">
        <v>184</v>
      </c>
      <c r="F3441" s="16" t="s">
        <v>192</v>
      </c>
      <c r="G3441" s="16" t="s">
        <v>4017</v>
      </c>
      <c r="H3441" s="16" t="s">
        <v>329</v>
      </c>
      <c r="I3441" s="16" t="s">
        <v>457</v>
      </c>
    </row>
    <row r="3442" ht="242.25" customHeight="1">
      <c r="B3442" s="32" t="str">
        <f>IMAGE("https://gymvisual.com/24467-catalog_default/smith-bent-over-row-version-2.jpg",4,500,500)</f>
        <v/>
      </c>
      <c r="C3442" s="30">
        <v>3441.0</v>
      </c>
      <c r="D3442" s="16" t="s">
        <v>4323</v>
      </c>
      <c r="E3442" s="16" t="s">
        <v>184</v>
      </c>
      <c r="F3442" s="16"/>
      <c r="G3442" s="16" t="s">
        <v>4017</v>
      </c>
      <c r="H3442" s="16" t="s">
        <v>408</v>
      </c>
      <c r="I3442" s="16" t="s">
        <v>490</v>
      </c>
    </row>
    <row r="3443" ht="242.25" customHeight="1">
      <c r="B3443" s="32" t="str">
        <f>IMAGE("https://gymvisual.com/4377-catalog_default/smith-calf-raise-version-2.jpg",4,500,500)</f>
        <v/>
      </c>
      <c r="C3443" s="30">
        <v>3442.0</v>
      </c>
      <c r="D3443" s="16" t="s">
        <v>4324</v>
      </c>
      <c r="E3443" s="16" t="s">
        <v>184</v>
      </c>
      <c r="F3443" s="16" t="s">
        <v>325</v>
      </c>
      <c r="G3443" s="16" t="s">
        <v>4017</v>
      </c>
      <c r="H3443" s="16" t="s">
        <v>368</v>
      </c>
      <c r="I3443" s="16" t="s">
        <v>463</v>
      </c>
    </row>
    <row r="3444" ht="242.25" customHeight="1">
      <c r="B3444" s="32" t="str">
        <f>IMAGE("https://gymvisual.com/2961-catalog_default/smith-calf-raise-with-block.jpg",4,500,500)</f>
        <v/>
      </c>
      <c r="C3444" s="30">
        <v>3443.0</v>
      </c>
      <c r="D3444" s="16" t="s">
        <v>4325</v>
      </c>
      <c r="E3444" s="16" t="s">
        <v>184</v>
      </c>
      <c r="F3444" s="16" t="s">
        <v>325</v>
      </c>
      <c r="G3444" s="16" t="s">
        <v>4017</v>
      </c>
      <c r="H3444" s="16" t="s">
        <v>368</v>
      </c>
      <c r="I3444" s="16" t="s">
        <v>463</v>
      </c>
    </row>
    <row r="3445" ht="242.25" customHeight="1">
      <c r="B3445" s="32" t="str">
        <f>IMAGE("https://gymvisual.com/2244-catalog_default/smith-chair-squat.jpg",4,500,500)</f>
        <v/>
      </c>
      <c r="C3445" s="30">
        <v>3444.0</v>
      </c>
      <c r="D3445" s="16" t="s">
        <v>4326</v>
      </c>
      <c r="E3445" s="16" t="s">
        <v>184</v>
      </c>
      <c r="F3445" s="16" t="s">
        <v>285</v>
      </c>
      <c r="G3445" s="16" t="s">
        <v>4017</v>
      </c>
      <c r="H3445" s="16" t="s">
        <v>2413</v>
      </c>
      <c r="I3445" s="16" t="s">
        <v>857</v>
      </c>
    </row>
    <row r="3446" ht="242.25" customHeight="1">
      <c r="B3446" s="32" t="str">
        <f>IMAGE("https://gymvisual.com/11381-catalog_default/smith-chair-squat-female.jpg",4,500,500)</f>
        <v/>
      </c>
      <c r="C3446" s="30">
        <v>3445.0</v>
      </c>
      <c r="D3446" s="16" t="s">
        <v>4327</v>
      </c>
      <c r="E3446" s="16" t="s">
        <v>184</v>
      </c>
      <c r="F3446" s="16" t="s">
        <v>285</v>
      </c>
      <c r="G3446" s="16" t="s">
        <v>4017</v>
      </c>
      <c r="H3446" s="16" t="s">
        <v>189</v>
      </c>
      <c r="I3446" s="16" t="s">
        <v>190</v>
      </c>
    </row>
    <row r="3447" ht="242.25" customHeight="1">
      <c r="B3447" s="32" t="str">
        <f>IMAGE("https://gymvisual.com/2247-catalog_default/smith-close-grip-bench-press.jpg",4,500,500)</f>
        <v/>
      </c>
      <c r="C3447" s="30">
        <v>3446.0</v>
      </c>
      <c r="D3447" s="16" t="s">
        <v>4328</v>
      </c>
      <c r="E3447" s="16" t="s">
        <v>184</v>
      </c>
      <c r="F3447" s="16" t="s">
        <v>219</v>
      </c>
      <c r="G3447" s="16" t="s">
        <v>4017</v>
      </c>
      <c r="H3447" s="16" t="s">
        <v>223</v>
      </c>
      <c r="I3447" s="16" t="s">
        <v>472</v>
      </c>
    </row>
    <row r="3448" ht="242.25" customHeight="1">
      <c r="B3448" s="32" t="str">
        <f>IMAGE("https://gymvisual.com/24643-catalog_default/smith-deadlift.jpg",4,500,500)</f>
        <v/>
      </c>
      <c r="C3448" s="30">
        <v>3447.0</v>
      </c>
      <c r="D3448" s="16" t="s">
        <v>4329</v>
      </c>
      <c r="E3448" s="16" t="s">
        <v>184</v>
      </c>
      <c r="F3448" s="16" t="s">
        <v>185</v>
      </c>
      <c r="G3448" s="16" t="s">
        <v>4017</v>
      </c>
      <c r="H3448" s="16" t="s">
        <v>267</v>
      </c>
      <c r="I3448" s="16" t="s">
        <v>975</v>
      </c>
    </row>
    <row r="3449" ht="242.25" customHeight="1">
      <c r="B3449" s="32" t="str">
        <f>IMAGE("https://gymvisual.com/14300-catalog_default/smith-deadlift-female.jpg",4,500,500)</f>
        <v/>
      </c>
      <c r="C3449" s="30">
        <v>3448.0</v>
      </c>
      <c r="D3449" s="16" t="s">
        <v>4330</v>
      </c>
      <c r="E3449" s="16" t="s">
        <v>184</v>
      </c>
      <c r="F3449" s="16" t="s">
        <v>294</v>
      </c>
      <c r="G3449" s="16" t="s">
        <v>4017</v>
      </c>
      <c r="H3449" s="16" t="s">
        <v>2010</v>
      </c>
      <c r="I3449" s="16" t="s">
        <v>2076</v>
      </c>
    </row>
    <row r="3450" ht="242.25" customHeight="1">
      <c r="B3450" s="32" t="str">
        <f>IMAGE("https://gymvisual.com/2253-catalog_default/smith-decline-bench-press.jpg",4,500,500)</f>
        <v/>
      </c>
      <c r="C3450" s="30">
        <v>3449.0</v>
      </c>
      <c r="D3450" s="16" t="s">
        <v>4331</v>
      </c>
      <c r="E3450" s="16" t="s">
        <v>184</v>
      </c>
      <c r="F3450" s="16"/>
      <c r="G3450" s="16"/>
      <c r="H3450" s="16" t="s">
        <v>347</v>
      </c>
      <c r="I3450" s="16" t="s">
        <v>382</v>
      </c>
    </row>
    <row r="3451" ht="242.25" customHeight="1">
      <c r="B3451" s="32" t="str">
        <f>IMAGE("https://gymvisual.com/2256-catalog_default/smith-decline-reverse-grip-press.jpg",4,500,500)</f>
        <v/>
      </c>
      <c r="C3451" s="30">
        <v>3450.0</v>
      </c>
      <c r="D3451" s="16" t="s">
        <v>4332</v>
      </c>
      <c r="E3451" s="16" t="s">
        <v>184</v>
      </c>
      <c r="F3451" s="16" t="s">
        <v>234</v>
      </c>
      <c r="G3451" s="16" t="s">
        <v>4017</v>
      </c>
      <c r="H3451" s="16" t="s">
        <v>347</v>
      </c>
      <c r="I3451" s="16" t="s">
        <v>382</v>
      </c>
    </row>
    <row r="3452" ht="242.25" customHeight="1">
      <c r="B3452" s="32" t="str">
        <f>IMAGE("https://gymvisual.com/19569-catalog_default/smith-drag-curl.jpg",4,500,500)</f>
        <v/>
      </c>
      <c r="C3452" s="30">
        <v>3451.0</v>
      </c>
      <c r="D3452" s="16" t="s">
        <v>4333</v>
      </c>
      <c r="E3452" s="16" t="s">
        <v>184</v>
      </c>
      <c r="F3452" s="16" t="s">
        <v>219</v>
      </c>
      <c r="G3452" s="16" t="s">
        <v>4017</v>
      </c>
      <c r="H3452" s="16" t="s">
        <v>220</v>
      </c>
      <c r="I3452" s="16" t="s">
        <v>220</v>
      </c>
    </row>
    <row r="3453" ht="242.25" customHeight="1">
      <c r="B3453" s="32" t="str">
        <f>IMAGE("https://gymvisual.com/6841-catalog_default/smith-frankenstein-squat.jpg",4,500,500)</f>
        <v/>
      </c>
      <c r="C3453" s="30">
        <v>3452.0</v>
      </c>
      <c r="D3453" s="16" t="s">
        <v>4334</v>
      </c>
      <c r="E3453" s="16" t="s">
        <v>184</v>
      </c>
      <c r="F3453" s="16" t="s">
        <v>285</v>
      </c>
      <c r="G3453" s="16" t="s">
        <v>4017</v>
      </c>
      <c r="H3453" s="16" t="s">
        <v>220</v>
      </c>
      <c r="I3453" s="16" t="s">
        <v>220</v>
      </c>
    </row>
    <row r="3454" ht="242.25" customHeight="1">
      <c r="B3454" s="32" t="str">
        <f>IMAGE("https://gymvisual.com/6842-catalog_default/smith-front-squat.jpg",4,500,500)</f>
        <v/>
      </c>
      <c r="C3454" s="30">
        <v>3453.0</v>
      </c>
      <c r="D3454" s="16" t="s">
        <v>4335</v>
      </c>
      <c r="E3454" s="16" t="s">
        <v>184</v>
      </c>
      <c r="F3454" s="16" t="s">
        <v>285</v>
      </c>
      <c r="G3454" s="16" t="s">
        <v>4017</v>
      </c>
      <c r="H3454" s="16" t="s">
        <v>220</v>
      </c>
      <c r="I3454" s="16" t="s">
        <v>220</v>
      </c>
    </row>
    <row r="3455" ht="242.25" customHeight="1">
      <c r="B3455" s="32" t="str">
        <f>IMAGE("https://gymvisual.com/6442-catalog_default/smith-front-squat-clean-grip.jpg",4,500,500)</f>
        <v/>
      </c>
      <c r="C3455" s="30">
        <v>3454.0</v>
      </c>
      <c r="D3455" s="16" t="s">
        <v>4336</v>
      </c>
      <c r="E3455" s="16" t="s">
        <v>184</v>
      </c>
      <c r="F3455" s="16" t="s">
        <v>285</v>
      </c>
      <c r="G3455" s="16" t="s">
        <v>4017</v>
      </c>
      <c r="H3455" s="16" t="s">
        <v>189</v>
      </c>
      <c r="I3455" s="16" t="s">
        <v>190</v>
      </c>
    </row>
    <row r="3456" ht="242.25" customHeight="1">
      <c r="B3456" s="32" t="str">
        <f>IMAGE("https://gymvisual.com/12063-catalog_default/smith-front-squat-clean-grip-female.jpg",4,500,500)</f>
        <v/>
      </c>
      <c r="C3456" s="30">
        <v>3455.0</v>
      </c>
      <c r="D3456" s="16" t="s">
        <v>4337</v>
      </c>
      <c r="E3456" s="16" t="s">
        <v>184</v>
      </c>
      <c r="F3456" s="16" t="s">
        <v>285</v>
      </c>
      <c r="G3456" s="16" t="s">
        <v>4017</v>
      </c>
      <c r="H3456" s="16" t="s">
        <v>220</v>
      </c>
      <c r="I3456" s="16" t="s">
        <v>220</v>
      </c>
    </row>
    <row r="3457" ht="242.25" customHeight="1">
      <c r="B3457" s="32" t="str">
        <f>IMAGE("https://gymvisual.com/13123-catalog_default/smith-full-squat.jpg",4,500,500)</f>
        <v/>
      </c>
      <c r="C3457" s="30">
        <v>3456.0</v>
      </c>
      <c r="D3457" s="16" t="s">
        <v>4338</v>
      </c>
      <c r="E3457" s="16" t="s">
        <v>184</v>
      </c>
      <c r="F3457" s="16" t="s">
        <v>285</v>
      </c>
      <c r="G3457" s="16" t="s">
        <v>4017</v>
      </c>
      <c r="H3457" s="16" t="s">
        <v>189</v>
      </c>
      <c r="I3457" s="16" t="s">
        <v>190</v>
      </c>
    </row>
    <row r="3458" ht="242.25" customHeight="1">
      <c r="B3458" s="32" t="str">
        <f>IMAGE("https://gymvisual.com/6767-catalog_default/smith-good-morning-off-pins.jpg",4,500,500)</f>
        <v/>
      </c>
      <c r="C3458" s="30">
        <v>3457.0</v>
      </c>
      <c r="D3458" s="16" t="s">
        <v>4339</v>
      </c>
      <c r="E3458" s="16" t="s">
        <v>184</v>
      </c>
      <c r="F3458" s="16" t="s">
        <v>185</v>
      </c>
      <c r="G3458" s="16" t="s">
        <v>4017</v>
      </c>
      <c r="H3458" s="16" t="s">
        <v>220</v>
      </c>
      <c r="I3458" s="16" t="s">
        <v>220</v>
      </c>
    </row>
    <row r="3459" ht="242.25" customHeight="1">
      <c r="B3459" s="32" t="str">
        <f>IMAGE("https://gymvisual.com/2259-catalog_default/smith-hack-squat.jpg",4,500,500)</f>
        <v/>
      </c>
      <c r="C3459" s="30">
        <v>3458.0</v>
      </c>
      <c r="D3459" s="16" t="s">
        <v>4340</v>
      </c>
      <c r="E3459" s="16" t="s">
        <v>184</v>
      </c>
      <c r="F3459" s="16" t="s">
        <v>185</v>
      </c>
      <c r="G3459" s="16" t="s">
        <v>4017</v>
      </c>
      <c r="H3459" s="16" t="s">
        <v>189</v>
      </c>
      <c r="I3459" s="16" t="s">
        <v>190</v>
      </c>
    </row>
    <row r="3460" ht="242.25" customHeight="1">
      <c r="B3460" s="32" t="str">
        <f>IMAGE("https://gymvisual.com/24145-catalog_default/smith-hang-clean.jpg",4,500,500)</f>
        <v/>
      </c>
      <c r="C3460" s="30">
        <v>3459.0</v>
      </c>
      <c r="D3460" s="16" t="s">
        <v>4341</v>
      </c>
      <c r="E3460" s="16" t="s">
        <v>184</v>
      </c>
      <c r="F3460" s="16" t="s">
        <v>764</v>
      </c>
      <c r="G3460" s="16" t="s">
        <v>4017</v>
      </c>
      <c r="H3460" s="16" t="s">
        <v>220</v>
      </c>
      <c r="I3460" s="16" t="s">
        <v>220</v>
      </c>
    </row>
    <row r="3461" ht="242.25" customHeight="1">
      <c r="B3461" s="32" t="str">
        <f>IMAGE("https://gymvisual.com/12184-catalog_default/smith-hex-press.jpg",4,500,500)</f>
        <v/>
      </c>
      <c r="C3461" s="30">
        <v>3460.0</v>
      </c>
      <c r="D3461" s="16" t="s">
        <v>4342</v>
      </c>
      <c r="E3461" s="16" t="s">
        <v>184</v>
      </c>
      <c r="F3461" s="16" t="s">
        <v>234</v>
      </c>
      <c r="G3461" s="16" t="s">
        <v>4017</v>
      </c>
      <c r="H3461" s="16" t="s">
        <v>347</v>
      </c>
      <c r="I3461" s="16" t="s">
        <v>382</v>
      </c>
    </row>
    <row r="3462" ht="242.25" customHeight="1">
      <c r="B3462" s="32" t="str">
        <f>IMAGE("https://gymvisual.com/2262-catalog_default/smith-hip-raise.jpg",4,500,500)</f>
        <v/>
      </c>
      <c r="C3462" s="30">
        <v>3461.0</v>
      </c>
      <c r="D3462" s="16" t="s">
        <v>4343</v>
      </c>
      <c r="E3462" s="16" t="s">
        <v>184</v>
      </c>
      <c r="F3462" s="16" t="s">
        <v>254</v>
      </c>
      <c r="G3462" s="16" t="s">
        <v>4017</v>
      </c>
      <c r="H3462" s="16" t="s">
        <v>256</v>
      </c>
      <c r="I3462" s="16" t="s">
        <v>257</v>
      </c>
    </row>
    <row r="3463" ht="242.25" customHeight="1">
      <c r="B3463" s="32" t="str">
        <f>IMAGE("https://gymvisual.com/13489-catalog_default/smith-hip-thrust.jpg",4,500,500)</f>
        <v/>
      </c>
      <c r="C3463" s="30">
        <v>3462.0</v>
      </c>
      <c r="D3463" s="16" t="s">
        <v>4344</v>
      </c>
      <c r="E3463" s="16" t="s">
        <v>184</v>
      </c>
      <c r="F3463" s="16" t="s">
        <v>185</v>
      </c>
      <c r="G3463" s="16" t="s">
        <v>4017</v>
      </c>
      <c r="H3463" s="16" t="s">
        <v>187</v>
      </c>
      <c r="I3463" s="16" t="s">
        <v>854</v>
      </c>
    </row>
    <row r="3464" ht="242.25" customHeight="1">
      <c r="B3464" s="32" t="str">
        <f>IMAGE("https://gymvisual.com/13265-catalog_default/smith-incline-bench-press.jpg",4,500,500)</f>
        <v/>
      </c>
      <c r="C3464" s="30">
        <v>3463.0</v>
      </c>
      <c r="D3464" s="16" t="s">
        <v>4345</v>
      </c>
      <c r="E3464" s="16" t="s">
        <v>184</v>
      </c>
      <c r="F3464" s="16" t="s">
        <v>234</v>
      </c>
      <c r="G3464" s="16" t="s">
        <v>4017</v>
      </c>
      <c r="H3464" s="16" t="s">
        <v>415</v>
      </c>
      <c r="I3464" s="16" t="s">
        <v>243</v>
      </c>
    </row>
    <row r="3465" ht="242.25" customHeight="1">
      <c r="B3465" s="32" t="str">
        <f>IMAGE("https://gymvisual.com/2268-catalog_default/smith-incline-reverse-grip-press.jpg",4,500,500)</f>
        <v/>
      </c>
      <c r="C3465" s="30">
        <v>3464.0</v>
      </c>
      <c r="D3465" s="16" t="s">
        <v>4346</v>
      </c>
      <c r="E3465" s="16" t="s">
        <v>184</v>
      </c>
      <c r="F3465" s="16" t="s">
        <v>234</v>
      </c>
      <c r="G3465" s="16" t="s">
        <v>4017</v>
      </c>
      <c r="H3465" s="16" t="s">
        <v>415</v>
      </c>
      <c r="I3465" s="16" t="s">
        <v>243</v>
      </c>
    </row>
    <row r="3466" ht="242.25" customHeight="1">
      <c r="B3466" s="32" t="str">
        <f>IMAGE("https://gymvisual.com/2271-catalog_default/smith-incline-shoulder-raises.jpg",4,500,500)</f>
        <v/>
      </c>
      <c r="C3466" s="30">
        <v>3465.0</v>
      </c>
      <c r="D3466" s="16" t="s">
        <v>4347</v>
      </c>
      <c r="E3466" s="16" t="s">
        <v>184</v>
      </c>
      <c r="F3466" s="16" t="s">
        <v>234</v>
      </c>
      <c r="G3466" s="16" t="s">
        <v>4017</v>
      </c>
      <c r="H3466" s="16" t="s">
        <v>885</v>
      </c>
      <c r="I3466" s="16" t="s">
        <v>882</v>
      </c>
    </row>
    <row r="3467" ht="242.25" customHeight="1">
      <c r="B3467" s="32" t="str">
        <f>IMAGE("https://gymvisual.com/17747-catalog_default/smith-kneeling-hip-thrust.jpg",4,500,500)</f>
        <v/>
      </c>
      <c r="C3467" s="30">
        <v>3466.0</v>
      </c>
      <c r="D3467" s="16" t="s">
        <v>4348</v>
      </c>
      <c r="E3467" s="16" t="s">
        <v>184</v>
      </c>
      <c r="F3467" s="16" t="s">
        <v>185</v>
      </c>
      <c r="G3467" s="16" t="s">
        <v>4017</v>
      </c>
      <c r="H3467" s="16" t="s">
        <v>220</v>
      </c>
      <c r="I3467" s="16" t="s">
        <v>220</v>
      </c>
    </row>
    <row r="3468" ht="242.25" customHeight="1">
      <c r="B3468" s="32" t="str">
        <f>IMAGE("https://gymvisual.com/4449-catalog_default/smith-kneeling-rear-kick.jpg",4,500,500)</f>
        <v/>
      </c>
      <c r="C3468" s="30">
        <v>3467.0</v>
      </c>
      <c r="D3468" s="16" t="s">
        <v>4349</v>
      </c>
      <c r="E3468" s="16" t="s">
        <v>184</v>
      </c>
      <c r="F3468" s="16" t="s">
        <v>185</v>
      </c>
      <c r="G3468" s="16" t="s">
        <v>4017</v>
      </c>
      <c r="H3468" s="16" t="s">
        <v>187</v>
      </c>
      <c r="I3468" s="16" t="s">
        <v>188</v>
      </c>
    </row>
    <row r="3469" ht="242.25" customHeight="1">
      <c r="B3469" s="32" t="str">
        <f>IMAGE("https://gymvisual.com/12232-catalog_default/smith-kneeling-rear-kick-with-partner.jpg",4,500,500)</f>
        <v/>
      </c>
      <c r="C3469" s="30">
        <v>3468.0</v>
      </c>
      <c r="D3469" s="16" t="s">
        <v>4350</v>
      </c>
      <c r="E3469" s="16" t="s">
        <v>184</v>
      </c>
      <c r="F3469" s="16" t="s">
        <v>185</v>
      </c>
      <c r="G3469" s="16" t="s">
        <v>4017</v>
      </c>
      <c r="H3469" s="16" t="s">
        <v>220</v>
      </c>
      <c r="I3469" s="16" t="s">
        <v>220</v>
      </c>
    </row>
    <row r="3470" ht="242.25" customHeight="1">
      <c r="B3470" s="32" t="str">
        <f>IMAGE("https://gymvisual.com/2774-catalog_default/smith-lateral-step-up.jpg",4,500,500)</f>
        <v/>
      </c>
      <c r="C3470" s="30">
        <v>3469.0</v>
      </c>
      <c r="D3470" s="16" t="s">
        <v>4351</v>
      </c>
      <c r="E3470" s="16" t="s">
        <v>184</v>
      </c>
      <c r="F3470" s="16" t="s">
        <v>285</v>
      </c>
      <c r="G3470" s="16" t="s">
        <v>4017</v>
      </c>
      <c r="H3470" s="16" t="s">
        <v>189</v>
      </c>
      <c r="I3470" s="16" t="s">
        <v>2046</v>
      </c>
    </row>
    <row r="3471" ht="242.25" customHeight="1">
      <c r="B3471" s="32" t="str">
        <f>IMAGE("https://gymvisual.com/2274-catalog_default/smith-leg-press.jpg",4,500,500)</f>
        <v/>
      </c>
      <c r="C3471" s="30">
        <v>3470.0</v>
      </c>
      <c r="D3471" s="16" t="s">
        <v>4352</v>
      </c>
      <c r="E3471" s="16" t="s">
        <v>184</v>
      </c>
      <c r="F3471" s="16" t="s">
        <v>285</v>
      </c>
      <c r="G3471" s="16" t="s">
        <v>4017</v>
      </c>
      <c r="H3471" s="16" t="s">
        <v>189</v>
      </c>
      <c r="I3471" s="16" t="s">
        <v>190</v>
      </c>
    </row>
    <row r="3472" ht="242.25" customHeight="1">
      <c r="B3472" s="32" t="str">
        <f>IMAGE("https://gymvisual.com/14302-catalog_default/smith-leg-press-female.jpg",4,500,500)</f>
        <v/>
      </c>
      <c r="C3472" s="30">
        <v>3471.0</v>
      </c>
      <c r="D3472" s="16" t="s">
        <v>4353</v>
      </c>
      <c r="E3472" s="16" t="s">
        <v>184</v>
      </c>
      <c r="F3472" s="16" t="s">
        <v>294</v>
      </c>
      <c r="G3472" s="16" t="s">
        <v>4017</v>
      </c>
      <c r="H3472" s="16" t="s">
        <v>189</v>
      </c>
      <c r="I3472" s="16" t="s">
        <v>190</v>
      </c>
    </row>
    <row r="3473" ht="242.25" customHeight="1">
      <c r="B3473" s="32" t="str">
        <f>IMAGE("https://gymvisual.com/6444-catalog_default/smith-low-bar-squat.jpg",4,500,500)</f>
        <v/>
      </c>
      <c r="C3473" s="30">
        <v>3472.0</v>
      </c>
      <c r="D3473" s="16" t="s">
        <v>4354</v>
      </c>
      <c r="E3473" s="16" t="s">
        <v>184</v>
      </c>
      <c r="F3473" s="16" t="s">
        <v>285</v>
      </c>
      <c r="G3473" s="16" t="s">
        <v>4017</v>
      </c>
      <c r="H3473" s="16" t="s">
        <v>189</v>
      </c>
      <c r="I3473" s="16" t="s">
        <v>190</v>
      </c>
    </row>
    <row r="3474" ht="242.25" customHeight="1">
      <c r="B3474" s="32" t="str">
        <f>IMAGE("https://gymvisual.com/2775-catalog_default/smith-lying-lift-on-hip.jpg",4,500,500)</f>
        <v/>
      </c>
      <c r="C3474" s="30">
        <v>3473.0</v>
      </c>
      <c r="D3474" s="16" t="s">
        <v>4355</v>
      </c>
      <c r="E3474" s="16" t="s">
        <v>184</v>
      </c>
      <c r="F3474" s="16" t="s">
        <v>185</v>
      </c>
      <c r="G3474" s="16" t="s">
        <v>4017</v>
      </c>
      <c r="H3474" s="16" t="s">
        <v>187</v>
      </c>
      <c r="I3474" s="16" t="s">
        <v>2733</v>
      </c>
    </row>
    <row r="3475" ht="242.25" customHeight="1">
      <c r="B3475" s="32" t="str">
        <f>IMAGE("https://gymvisual.com/7156-catalog_default/smith-machine-bicep-curl.jpg",4,500,500)</f>
        <v/>
      </c>
      <c r="C3475" s="30">
        <v>3474.0</v>
      </c>
      <c r="D3475" s="16" t="s">
        <v>4356</v>
      </c>
      <c r="E3475" s="16" t="s">
        <v>184</v>
      </c>
      <c r="F3475" s="16" t="s">
        <v>219</v>
      </c>
      <c r="G3475" s="16" t="s">
        <v>4017</v>
      </c>
      <c r="H3475" s="16" t="s">
        <v>241</v>
      </c>
      <c r="I3475" s="16" t="s">
        <v>292</v>
      </c>
    </row>
    <row r="3476" ht="242.25" customHeight="1">
      <c r="B3476" s="32" t="str">
        <f>IMAGE("https://gymvisual.com/7100-catalog_default/smith-machine-decline-close-grip-bench-press.jpg",4,500,500)</f>
        <v/>
      </c>
      <c r="C3476" s="30">
        <v>3475.0</v>
      </c>
      <c r="D3476" s="16" t="s">
        <v>4357</v>
      </c>
      <c r="E3476" s="16" t="s">
        <v>184</v>
      </c>
      <c r="F3476" s="16" t="s">
        <v>219</v>
      </c>
      <c r="G3476" s="16" t="s">
        <v>4017</v>
      </c>
      <c r="H3476" s="16" t="s">
        <v>220</v>
      </c>
      <c r="I3476" s="16" t="s">
        <v>220</v>
      </c>
    </row>
    <row r="3477" ht="242.25" customHeight="1">
      <c r="B3477" s="32" t="str">
        <f>IMAGE("https://gymvisual.com/7471-catalog_default/smith-machine-incline-tricep-extension.jpg",4,500,500)</f>
        <v/>
      </c>
      <c r="C3477" s="30">
        <v>3476.0</v>
      </c>
      <c r="D3477" s="16" t="s">
        <v>4358</v>
      </c>
      <c r="E3477" s="16" t="s">
        <v>184</v>
      </c>
      <c r="F3477" s="16" t="s">
        <v>219</v>
      </c>
      <c r="G3477" s="16" t="s">
        <v>4017</v>
      </c>
      <c r="H3477" s="16" t="s">
        <v>220</v>
      </c>
      <c r="I3477" s="16" t="s">
        <v>220</v>
      </c>
    </row>
    <row r="3478" ht="242.25" customHeight="1">
      <c r="B3478" s="32" t="str">
        <f>IMAGE("https://gymvisual.com/7101-catalog_default/smith-machine-reverse-decline-close-grip-bench-press.jpg",4,500,500)</f>
        <v/>
      </c>
      <c r="C3478" s="30">
        <v>3477.0</v>
      </c>
      <c r="D3478" s="16" t="s">
        <v>4359</v>
      </c>
      <c r="E3478" s="16" t="s">
        <v>184</v>
      </c>
      <c r="F3478" s="16" t="s">
        <v>234</v>
      </c>
      <c r="G3478" s="16" t="s">
        <v>4017</v>
      </c>
      <c r="H3478" s="16" t="s">
        <v>220</v>
      </c>
      <c r="I3478" s="16" t="s">
        <v>220</v>
      </c>
    </row>
    <row r="3479" ht="242.25" customHeight="1">
      <c r="B3479" s="32" t="str">
        <f>IMAGE("https://gymvisual.com/11510-catalog_default/smith-narrow-row-female.jpg",4,500,500)</f>
        <v/>
      </c>
      <c r="C3479" s="30">
        <v>3478.0</v>
      </c>
      <c r="D3479" s="16" t="s">
        <v>4360</v>
      </c>
      <c r="E3479" s="16" t="s">
        <v>184</v>
      </c>
      <c r="F3479" s="16" t="s">
        <v>192</v>
      </c>
      <c r="G3479" s="16" t="s">
        <v>4017</v>
      </c>
      <c r="H3479" s="16" t="s">
        <v>220</v>
      </c>
      <c r="I3479" s="16" t="s">
        <v>220</v>
      </c>
    </row>
    <row r="3480" ht="242.25" customHeight="1">
      <c r="B3480" s="32" t="str">
        <f>IMAGE("https://gymvisual.com/6051-catalog_default/smith-one-arm-row.jpg",4,500,500)</f>
        <v/>
      </c>
      <c r="C3480" s="30">
        <v>3479.0</v>
      </c>
      <c r="D3480" s="16" t="s">
        <v>4361</v>
      </c>
      <c r="E3480" s="16" t="s">
        <v>184</v>
      </c>
      <c r="F3480" s="16" t="s">
        <v>192</v>
      </c>
      <c r="G3480" s="16" t="s">
        <v>4017</v>
      </c>
      <c r="H3480" s="16" t="s">
        <v>329</v>
      </c>
      <c r="I3480" s="16" t="s">
        <v>457</v>
      </c>
    </row>
    <row r="3481" ht="242.25" customHeight="1">
      <c r="B3481" s="32" t="str">
        <f>IMAGE("https://gymvisual.com/2776-catalog_default/smith-one-leg-deadlift.jpg",4,500,500)</f>
        <v/>
      </c>
      <c r="C3481" s="30">
        <v>3480.0</v>
      </c>
      <c r="D3481" s="16" t="s">
        <v>4362</v>
      </c>
      <c r="E3481" s="16" t="s">
        <v>184</v>
      </c>
      <c r="F3481" s="16" t="s">
        <v>192</v>
      </c>
      <c r="G3481" s="16" t="s">
        <v>4017</v>
      </c>
      <c r="H3481" s="16" t="s">
        <v>267</v>
      </c>
      <c r="I3481" s="16" t="s">
        <v>188</v>
      </c>
    </row>
    <row r="3482" ht="242.25" customHeight="1">
      <c r="B3482" s="32" t="str">
        <f>IMAGE("https://gymvisual.com/6090-catalog_default/smith-one-leg-floor-calf-raise.jpg",4,500,500)</f>
        <v/>
      </c>
      <c r="C3482" s="30">
        <v>3481.0</v>
      </c>
      <c r="D3482" s="16" t="s">
        <v>4363</v>
      </c>
      <c r="E3482" s="16" t="s">
        <v>184</v>
      </c>
      <c r="F3482" s="16" t="s">
        <v>325</v>
      </c>
      <c r="G3482" s="16" t="s">
        <v>4017</v>
      </c>
      <c r="H3482" s="16" t="s">
        <v>368</v>
      </c>
      <c r="I3482" s="16" t="s">
        <v>463</v>
      </c>
    </row>
    <row r="3483" ht="242.25" customHeight="1">
      <c r="B3483" s="32" t="str">
        <f>IMAGE("https://gymvisual.com/11513-catalog_default/smith-one-leg-floor-calf-raise-female.jpg",4,500,500)</f>
        <v/>
      </c>
      <c r="C3483" s="30">
        <v>3482.0</v>
      </c>
      <c r="D3483" s="16" t="s">
        <v>4364</v>
      </c>
      <c r="E3483" s="16" t="s">
        <v>184</v>
      </c>
      <c r="F3483" s="16" t="s">
        <v>325</v>
      </c>
      <c r="G3483" s="16" t="s">
        <v>4017</v>
      </c>
      <c r="H3483" s="16" t="s">
        <v>220</v>
      </c>
      <c r="I3483" s="16" t="s">
        <v>220</v>
      </c>
    </row>
    <row r="3484" ht="242.25" customHeight="1">
      <c r="B3484" s="32" t="str">
        <f>IMAGE("https://gymvisual.com/17985-catalog_default/smith-rack-pull.jpg",4,500,500)</f>
        <v/>
      </c>
      <c r="C3484" s="30">
        <v>3483.0</v>
      </c>
      <c r="D3484" s="16" t="s">
        <v>4365</v>
      </c>
      <c r="E3484" s="16" t="s">
        <v>184</v>
      </c>
      <c r="F3484" s="16" t="s">
        <v>185</v>
      </c>
      <c r="G3484" s="16" t="s">
        <v>4017</v>
      </c>
      <c r="H3484" s="16" t="s">
        <v>220</v>
      </c>
      <c r="I3484" s="16" t="s">
        <v>220</v>
      </c>
    </row>
    <row r="3485" ht="242.25" customHeight="1">
      <c r="B3485" s="32" t="str">
        <f>IMAGE("https://gymvisual.com/2777-catalog_default/smith-rear-lunge-version-2.jpg",4,500,500)</f>
        <v/>
      </c>
      <c r="C3485" s="30">
        <v>3484.0</v>
      </c>
      <c r="D3485" s="16" t="s">
        <v>4366</v>
      </c>
      <c r="E3485" s="16" t="s">
        <v>184</v>
      </c>
      <c r="F3485" s="16" t="s">
        <v>285</v>
      </c>
      <c r="G3485" s="16" t="s">
        <v>4017</v>
      </c>
      <c r="H3485" s="16" t="s">
        <v>189</v>
      </c>
      <c r="I3485" s="16" t="s">
        <v>190</v>
      </c>
    </row>
    <row r="3486" ht="242.25" customHeight="1">
      <c r="B3486" s="32" t="str">
        <f>IMAGE("https://gymvisual.com/2283-catalog_default/smith-reverse-calf-raises.jpg",4,500,500)</f>
        <v/>
      </c>
      <c r="C3486" s="30">
        <v>3485.0</v>
      </c>
      <c r="D3486" s="16" t="s">
        <v>4367</v>
      </c>
      <c r="E3486" s="16" t="s">
        <v>184</v>
      </c>
      <c r="F3486" s="16" t="s">
        <v>325</v>
      </c>
      <c r="G3486" s="16" t="s">
        <v>4017</v>
      </c>
      <c r="H3486" s="16" t="s">
        <v>1100</v>
      </c>
      <c r="I3486" s="16" t="s">
        <v>463</v>
      </c>
    </row>
    <row r="3487" ht="242.25" customHeight="1">
      <c r="B3487" s="32" t="str">
        <f>IMAGE("https://gymvisual.com/6091-catalog_default/smith-reverse-calf-raises.jpg",4,500,500)</f>
        <v/>
      </c>
      <c r="C3487" s="30">
        <v>3486.0</v>
      </c>
      <c r="D3487" s="16" t="s">
        <v>4367</v>
      </c>
      <c r="E3487" s="16" t="s">
        <v>184</v>
      </c>
      <c r="F3487" s="16" t="s">
        <v>325</v>
      </c>
      <c r="G3487" s="16" t="s">
        <v>4017</v>
      </c>
      <c r="H3487" s="16" t="s">
        <v>368</v>
      </c>
      <c r="I3487" s="16" t="s">
        <v>463</v>
      </c>
    </row>
    <row r="3488" ht="242.25" customHeight="1">
      <c r="B3488" s="32" t="str">
        <f>IMAGE("https://gymvisual.com/11498-catalog_default/smith-reverse-calf-raises-female.jpg",4,500,500)</f>
        <v/>
      </c>
      <c r="C3488" s="30">
        <v>3487.0</v>
      </c>
      <c r="D3488" s="16" t="s">
        <v>4368</v>
      </c>
      <c r="E3488" s="16" t="s">
        <v>184</v>
      </c>
      <c r="F3488" s="16" t="s">
        <v>325</v>
      </c>
      <c r="G3488" s="16" t="s">
        <v>4017</v>
      </c>
      <c r="H3488" s="16" t="s">
        <v>220</v>
      </c>
      <c r="I3488" s="16" t="s">
        <v>220</v>
      </c>
    </row>
    <row r="3489" ht="242.25" customHeight="1">
      <c r="B3489" s="32" t="str">
        <f>IMAGE("https://gymvisual.com/6052-catalog_default/smith-reverse-grip-bent-over-row.jpg",4,500,500)</f>
        <v/>
      </c>
      <c r="C3489" s="30">
        <v>3488.0</v>
      </c>
      <c r="D3489" s="16" t="s">
        <v>4369</v>
      </c>
      <c r="E3489" s="16" t="s">
        <v>184</v>
      </c>
      <c r="F3489" s="16" t="s">
        <v>192</v>
      </c>
      <c r="G3489" s="16" t="s">
        <v>4017</v>
      </c>
      <c r="H3489" s="16" t="s">
        <v>329</v>
      </c>
      <c r="I3489" s="16" t="s">
        <v>4370</v>
      </c>
    </row>
    <row r="3490" ht="242.25" customHeight="1">
      <c r="B3490" s="32" t="str">
        <f>IMAGE("https://gymvisual.com/11804-catalog_default/smith-reverse-hyperextension-female.jpg",4,500,500)</f>
        <v/>
      </c>
      <c r="C3490" s="30">
        <v>3489.0</v>
      </c>
      <c r="D3490" s="16" t="s">
        <v>4371</v>
      </c>
      <c r="E3490" s="16" t="s">
        <v>184</v>
      </c>
      <c r="F3490" s="16" t="s">
        <v>185</v>
      </c>
      <c r="G3490" s="16" t="s">
        <v>4017</v>
      </c>
      <c r="H3490" s="16" t="s">
        <v>220</v>
      </c>
      <c r="I3490" s="16" t="s">
        <v>220</v>
      </c>
    </row>
    <row r="3491" ht="242.25" customHeight="1">
      <c r="B3491" s="32" t="str">
        <f>IMAGE("https://gymvisual.com/2286-catalog_default/smith-reverse-grip-press.jpg",4,500,500)</f>
        <v/>
      </c>
      <c r="C3491" s="30">
        <v>3490.0</v>
      </c>
      <c r="D3491" s="16" t="s">
        <v>4372</v>
      </c>
      <c r="E3491" s="16" t="s">
        <v>184</v>
      </c>
      <c r="F3491" s="16" t="s">
        <v>234</v>
      </c>
      <c r="G3491" s="16" t="s">
        <v>4017</v>
      </c>
      <c r="H3491" s="16" t="s">
        <v>235</v>
      </c>
      <c r="I3491" s="16" t="s">
        <v>243</v>
      </c>
    </row>
    <row r="3492" ht="242.25" customHeight="1">
      <c r="B3492" s="32" t="str">
        <f>IMAGE("https://gymvisual.com/19409-catalog_default/smith-seated-calf-raise.jpg",4,500,500)</f>
        <v/>
      </c>
      <c r="C3492" s="30">
        <v>3491.0</v>
      </c>
      <c r="D3492" s="16" t="s">
        <v>4373</v>
      </c>
      <c r="E3492" s="16" t="s">
        <v>184</v>
      </c>
      <c r="F3492" s="16" t="s">
        <v>325</v>
      </c>
      <c r="G3492" s="16" t="s">
        <v>4017</v>
      </c>
      <c r="H3492" s="16" t="s">
        <v>220</v>
      </c>
      <c r="I3492" s="16" t="s">
        <v>220</v>
      </c>
    </row>
    <row r="3493" ht="242.25" customHeight="1">
      <c r="B3493" s="32" t="str">
        <f>IMAGE("https://gymvisual.com/6092-catalog_default/smith-seated-one-leg-calf-raise.jpg",4,500,500)</f>
        <v/>
      </c>
      <c r="C3493" s="30">
        <v>3492.0</v>
      </c>
      <c r="D3493" s="16" t="s">
        <v>4374</v>
      </c>
      <c r="E3493" s="16" t="s">
        <v>184</v>
      </c>
      <c r="F3493" s="16" t="s">
        <v>325</v>
      </c>
      <c r="G3493" s="16" t="s">
        <v>4017</v>
      </c>
      <c r="H3493" s="16" t="s">
        <v>368</v>
      </c>
      <c r="I3493" s="16" t="s">
        <v>463</v>
      </c>
    </row>
    <row r="3494" ht="242.25" customHeight="1">
      <c r="B3494" s="32" t="str">
        <f>IMAGE("https://gymvisual.com/2289-catalog_default/smith-seated-shoulder-press.jpg",4,500,500)</f>
        <v/>
      </c>
      <c r="C3494" s="30">
        <v>3493.0</v>
      </c>
      <c r="D3494" s="16" t="s">
        <v>4375</v>
      </c>
      <c r="E3494" s="16" t="s">
        <v>184</v>
      </c>
      <c r="F3494" s="16" t="s">
        <v>228</v>
      </c>
      <c r="G3494" s="16" t="s">
        <v>4017</v>
      </c>
      <c r="H3494" s="16" t="s">
        <v>229</v>
      </c>
      <c r="I3494" s="16" t="s">
        <v>626</v>
      </c>
    </row>
    <row r="3495" ht="242.25" customHeight="1">
      <c r="B3495" s="32" t="str">
        <f>IMAGE("https://gymvisual.com/14304-catalog_default/smith-seated-shoulder-press-female.jpg",4,500,500)</f>
        <v/>
      </c>
      <c r="C3495" s="30">
        <v>3494.0</v>
      </c>
      <c r="D3495" s="16" t="s">
        <v>4376</v>
      </c>
      <c r="E3495" s="16" t="s">
        <v>184</v>
      </c>
      <c r="F3495" s="16" t="s">
        <v>228</v>
      </c>
      <c r="G3495" s="16" t="s">
        <v>4017</v>
      </c>
      <c r="H3495" s="16" t="s">
        <v>229</v>
      </c>
      <c r="I3495" s="16" t="s">
        <v>626</v>
      </c>
    </row>
    <row r="3496" ht="242.25" customHeight="1">
      <c r="B3496" s="32" t="str">
        <f>IMAGE("https://gymvisual.com/6278-catalog_default/smith-seated-wrist-curl.jpg",4,500,500)</f>
        <v/>
      </c>
      <c r="C3496" s="30">
        <v>3495.0</v>
      </c>
      <c r="D3496" s="16" t="s">
        <v>4377</v>
      </c>
      <c r="E3496" s="16" t="s">
        <v>184</v>
      </c>
      <c r="F3496" s="16" t="s">
        <v>214</v>
      </c>
      <c r="G3496" s="16" t="s">
        <v>4017</v>
      </c>
      <c r="H3496" s="16" t="s">
        <v>720</v>
      </c>
      <c r="I3496" s="16" t="s">
        <v>220</v>
      </c>
    </row>
    <row r="3497" ht="242.25" customHeight="1">
      <c r="B3497" s="32" t="str">
        <f>IMAGE("https://gymvisual.com/2292-catalog_default/smith-shoulder-press.jpg",4,500,500)</f>
        <v/>
      </c>
      <c r="C3497" s="30">
        <v>3496.0</v>
      </c>
      <c r="D3497" s="16" t="s">
        <v>4378</v>
      </c>
      <c r="E3497" s="16" t="s">
        <v>184</v>
      </c>
      <c r="F3497" s="16" t="s">
        <v>228</v>
      </c>
      <c r="G3497" s="16" t="s">
        <v>4017</v>
      </c>
      <c r="H3497" s="16" t="s">
        <v>229</v>
      </c>
      <c r="I3497" s="16" t="s">
        <v>626</v>
      </c>
    </row>
    <row r="3498" ht="242.25" customHeight="1">
      <c r="B3498" s="32" t="str">
        <f>IMAGE("https://gymvisual.com/2295-catalog_default/smith-shrug.jpg",4,500,500)</f>
        <v/>
      </c>
      <c r="C3498" s="30">
        <v>3497.0</v>
      </c>
      <c r="D3498" s="16" t="s">
        <v>4379</v>
      </c>
      <c r="E3498" s="16" t="s">
        <v>184</v>
      </c>
      <c r="F3498" s="16" t="s">
        <v>192</v>
      </c>
      <c r="G3498" s="16" t="s">
        <v>4017</v>
      </c>
      <c r="H3498" s="16" t="s">
        <v>238</v>
      </c>
      <c r="I3498" s="16" t="s">
        <v>618</v>
      </c>
    </row>
    <row r="3499" ht="242.25" customHeight="1">
      <c r="B3499" s="32" t="str">
        <f>IMAGE("https://gymvisual.com/17296-catalog_default/smith-single-arm-bent-over-row.jpg",4,500,500)</f>
        <v/>
      </c>
      <c r="C3499" s="30">
        <v>3498.0</v>
      </c>
      <c r="D3499" s="16" t="s">
        <v>4380</v>
      </c>
      <c r="E3499" s="16" t="s">
        <v>184</v>
      </c>
      <c r="F3499" s="16" t="s">
        <v>192</v>
      </c>
      <c r="G3499" s="16" t="s">
        <v>4017</v>
      </c>
      <c r="H3499" s="16" t="s">
        <v>329</v>
      </c>
      <c r="I3499" s="16" t="s">
        <v>447</v>
      </c>
    </row>
    <row r="3500" ht="242.25" customHeight="1">
      <c r="B3500" s="32" t="str">
        <f>IMAGE("https://gymvisual.com/2298-catalog_default/smith-single-leg-split-squat.jpg",4,500,500)</f>
        <v/>
      </c>
      <c r="C3500" s="30">
        <v>3499.0</v>
      </c>
      <c r="D3500" s="16" t="s">
        <v>4381</v>
      </c>
      <c r="E3500" s="16" t="s">
        <v>184</v>
      </c>
      <c r="F3500" s="16" t="s">
        <v>285</v>
      </c>
      <c r="G3500" s="16" t="s">
        <v>4017</v>
      </c>
      <c r="H3500" s="16" t="s">
        <v>189</v>
      </c>
      <c r="I3500" s="16" t="s">
        <v>190</v>
      </c>
    </row>
    <row r="3501" ht="242.25" customHeight="1">
      <c r="B3501" s="32" t="str">
        <f>IMAGE("https://gymvisual.com/11507-catalog_default/smith-single-leg-split-squat-female.jpg",4,500,500)</f>
        <v/>
      </c>
      <c r="C3501" s="30">
        <v>3500.0</v>
      </c>
      <c r="D3501" s="16" t="s">
        <v>4382</v>
      </c>
      <c r="E3501" s="16" t="s">
        <v>184</v>
      </c>
      <c r="F3501" s="16" t="s">
        <v>294</v>
      </c>
      <c r="G3501" s="16" t="s">
        <v>4017</v>
      </c>
      <c r="H3501" s="16" t="s">
        <v>189</v>
      </c>
      <c r="I3501" s="16" t="s">
        <v>190</v>
      </c>
    </row>
    <row r="3502" ht="242.25" customHeight="1">
      <c r="B3502" s="32" t="str">
        <f>IMAGE("https://gymvisual.com/13491-catalog_default/smith-split-squat-female.jpg",4,500,500)</f>
        <v/>
      </c>
      <c r="C3502" s="30">
        <v>3501.0</v>
      </c>
      <c r="D3502" s="16" t="s">
        <v>4383</v>
      </c>
      <c r="E3502" s="16" t="s">
        <v>184</v>
      </c>
      <c r="F3502" s="16" t="s">
        <v>294</v>
      </c>
      <c r="G3502" s="16" t="s">
        <v>4017</v>
      </c>
      <c r="H3502" s="16" t="s">
        <v>220</v>
      </c>
      <c r="I3502" s="16" t="s">
        <v>220</v>
      </c>
    </row>
    <row r="3503" ht="242.25" customHeight="1">
      <c r="B3503" s="32" t="str">
        <f>IMAGE("https://gymvisual.com/10276-catalog_default/smith-sprint-lunge.jpg",4,500,500)</f>
        <v/>
      </c>
      <c r="C3503" s="30">
        <v>3502.0</v>
      </c>
      <c r="D3503" s="16" t="s">
        <v>4384</v>
      </c>
      <c r="E3503" s="16" t="s">
        <v>184</v>
      </c>
      <c r="F3503" s="16" t="s">
        <v>285</v>
      </c>
      <c r="G3503" s="16" t="s">
        <v>4017</v>
      </c>
      <c r="H3503" s="16" t="s">
        <v>189</v>
      </c>
      <c r="I3503" s="16" t="s">
        <v>190</v>
      </c>
    </row>
    <row r="3504" ht="242.25" customHeight="1">
      <c r="B3504" s="32" t="str">
        <f>IMAGE("https://gymvisual.com/2304-catalog_default/smith-squat.jpg",4,500,500)</f>
        <v/>
      </c>
      <c r="C3504" s="30">
        <v>3503.0</v>
      </c>
      <c r="D3504" s="16" t="s">
        <v>4385</v>
      </c>
      <c r="E3504" s="16" t="s">
        <v>184</v>
      </c>
      <c r="F3504" s="16" t="s">
        <v>185</v>
      </c>
      <c r="G3504" s="16" t="s">
        <v>4017</v>
      </c>
      <c r="H3504" s="16" t="s">
        <v>189</v>
      </c>
      <c r="I3504" s="16" t="s">
        <v>190</v>
      </c>
    </row>
    <row r="3505" ht="242.25" customHeight="1">
      <c r="B3505" s="32" t="str">
        <f>IMAGE("https://gymvisual.com/6843-catalog_default/smith-squat-to-bench.jpg",4,500,500)</f>
        <v/>
      </c>
      <c r="C3505" s="30">
        <v>3504.0</v>
      </c>
      <c r="D3505" s="16" t="s">
        <v>4386</v>
      </c>
      <c r="E3505" s="16" t="s">
        <v>184</v>
      </c>
      <c r="F3505" s="16" t="s">
        <v>285</v>
      </c>
      <c r="G3505" s="16" t="s">
        <v>4017</v>
      </c>
      <c r="H3505" s="16" t="s">
        <v>220</v>
      </c>
      <c r="I3505" s="16" t="s">
        <v>220</v>
      </c>
    </row>
    <row r="3506" ht="242.25" customHeight="1">
      <c r="B3506" s="32" t="str">
        <f>IMAGE("https://gymvisual.com/2307-catalog_default/smith-standing-back-wrist-curl.jpg",4,500,500)</f>
        <v/>
      </c>
      <c r="C3506" s="30">
        <v>3505.0</v>
      </c>
      <c r="D3506" s="16" t="s">
        <v>4387</v>
      </c>
      <c r="E3506" s="16" t="s">
        <v>184</v>
      </c>
      <c r="F3506" s="16" t="s">
        <v>214</v>
      </c>
      <c r="G3506" s="16" t="s">
        <v>4017</v>
      </c>
      <c r="H3506" s="16" t="s">
        <v>720</v>
      </c>
      <c r="I3506" s="16" t="s">
        <v>220</v>
      </c>
    </row>
    <row r="3507" ht="242.25" customHeight="1">
      <c r="B3507" s="32" t="str">
        <f>IMAGE("https://gymvisual.com/2310-catalog_default/smith-standing-behind-head-military-press.jpg",4,500,500)</f>
        <v/>
      </c>
      <c r="C3507" s="30">
        <v>3506.0</v>
      </c>
      <c r="D3507" s="16" t="s">
        <v>4388</v>
      </c>
      <c r="E3507" s="16" t="s">
        <v>184</v>
      </c>
      <c r="F3507" s="16" t="s">
        <v>228</v>
      </c>
      <c r="G3507" s="16" t="s">
        <v>4017</v>
      </c>
      <c r="H3507" s="16" t="s">
        <v>229</v>
      </c>
      <c r="I3507" s="16" t="s">
        <v>230</v>
      </c>
    </row>
    <row r="3508" ht="242.25" customHeight="1">
      <c r="B3508" s="32" t="str">
        <f>IMAGE("https://gymvisual.com/2313-catalog_default/smith-standing-leg-calf-raise.jpg",4,500,500)</f>
        <v/>
      </c>
      <c r="C3508" s="30">
        <v>3507.0</v>
      </c>
      <c r="D3508" s="16" t="s">
        <v>4389</v>
      </c>
      <c r="E3508" s="16" t="s">
        <v>184</v>
      </c>
      <c r="F3508" s="16" t="s">
        <v>325</v>
      </c>
      <c r="G3508" s="16" t="s">
        <v>4017</v>
      </c>
      <c r="H3508" s="16" t="s">
        <v>368</v>
      </c>
      <c r="I3508" s="16" t="s">
        <v>463</v>
      </c>
    </row>
    <row r="3509" ht="242.25" customHeight="1">
      <c r="B3509" s="32" t="str">
        <f>IMAGE("https://gymvisual.com/11495-catalog_default/smith-standing-leg-calf-raise-female.jpg",4,500,500)</f>
        <v/>
      </c>
      <c r="C3509" s="30">
        <v>3508.0</v>
      </c>
      <c r="D3509" s="16" t="s">
        <v>4390</v>
      </c>
      <c r="E3509" s="16" t="s">
        <v>184</v>
      </c>
      <c r="F3509" s="16" t="s">
        <v>325</v>
      </c>
      <c r="G3509" s="16" t="s">
        <v>4017</v>
      </c>
      <c r="H3509" s="16" t="s">
        <v>368</v>
      </c>
      <c r="I3509" s="16" t="s">
        <v>463</v>
      </c>
    </row>
    <row r="3510" ht="242.25" customHeight="1">
      <c r="B3510" s="32" t="str">
        <f>IMAGE("https://gymvisual.com/2316-catalog_default/smith-standing-military-press.jpg",4,500,500)</f>
        <v/>
      </c>
      <c r="C3510" s="30">
        <v>3509.0</v>
      </c>
      <c r="D3510" s="16" t="s">
        <v>4391</v>
      </c>
      <c r="E3510" s="16" t="s">
        <v>184</v>
      </c>
      <c r="F3510" s="16" t="s">
        <v>228</v>
      </c>
      <c r="G3510" s="16" t="s">
        <v>4017</v>
      </c>
      <c r="H3510" s="16" t="s">
        <v>229</v>
      </c>
      <c r="I3510" s="16" t="s">
        <v>230</v>
      </c>
    </row>
    <row r="3511" ht="242.25" customHeight="1">
      <c r="B3511" s="32" t="str">
        <f>IMAGE("https://gymvisual.com/4595-catalog_default/smith-standing-shoulder-press.jpg",4,500,500)</f>
        <v/>
      </c>
      <c r="C3511" s="30">
        <v>3510.0</v>
      </c>
      <c r="D3511" s="16" t="s">
        <v>4392</v>
      </c>
      <c r="E3511" s="16" t="s">
        <v>184</v>
      </c>
      <c r="F3511" s="16" t="s">
        <v>228</v>
      </c>
      <c r="G3511" s="16" t="s">
        <v>4017</v>
      </c>
      <c r="H3511" s="16" t="s">
        <v>229</v>
      </c>
      <c r="I3511" s="16" t="s">
        <v>230</v>
      </c>
    </row>
    <row r="3512" ht="242.25" customHeight="1">
      <c r="B3512" s="32" t="str">
        <f>IMAGE("https://gymvisual.com/6844-catalog_default/smith-stiff-legged-deadlift.jpg",4,500,500)</f>
        <v/>
      </c>
      <c r="C3512" s="30">
        <v>3511.0</v>
      </c>
      <c r="D3512" s="16" t="s">
        <v>4393</v>
      </c>
      <c r="E3512" s="16" t="s">
        <v>184</v>
      </c>
      <c r="F3512" s="16" t="s">
        <v>185</v>
      </c>
      <c r="G3512" s="16" t="s">
        <v>4017</v>
      </c>
      <c r="H3512" s="16" t="s">
        <v>220</v>
      </c>
      <c r="I3512" s="16" t="s">
        <v>220</v>
      </c>
    </row>
    <row r="3513" ht="242.25" customHeight="1">
      <c r="B3513" s="32" t="str">
        <f>IMAGE("https://gymvisual.com/12545-catalog_default/smith-sumo-squat.jpg",4,500,500)</f>
        <v/>
      </c>
      <c r="C3513" s="30">
        <v>3512.0</v>
      </c>
      <c r="D3513" s="16" t="s">
        <v>4394</v>
      </c>
      <c r="E3513" s="16" t="s">
        <v>184</v>
      </c>
      <c r="F3513" s="16" t="s">
        <v>185</v>
      </c>
      <c r="G3513" s="16" t="s">
        <v>4017</v>
      </c>
      <c r="H3513" s="16" t="s">
        <v>189</v>
      </c>
      <c r="I3513" s="16" t="s">
        <v>902</v>
      </c>
    </row>
    <row r="3514" ht="242.25" customHeight="1">
      <c r="B3514" s="32" t="str">
        <f>IMAGE("https://gymvisual.com/17813-catalog_default/smith-sumo-squat-female.jpg",4,500,500)</f>
        <v/>
      </c>
      <c r="C3514" s="30">
        <v>3513.0</v>
      </c>
      <c r="D3514" s="16" t="s">
        <v>4395</v>
      </c>
      <c r="E3514" s="16" t="s">
        <v>184</v>
      </c>
      <c r="F3514" s="16" t="s">
        <v>185</v>
      </c>
      <c r="G3514" s="16" t="s">
        <v>4017</v>
      </c>
      <c r="H3514" s="16" t="s">
        <v>220</v>
      </c>
      <c r="I3514" s="16" t="s">
        <v>220</v>
      </c>
    </row>
    <row r="3515" ht="242.25" customHeight="1">
      <c r="B3515" s="32" t="str">
        <f>IMAGE("https://gymvisual.com/6093-catalog_default/smith-toe-raise.jpg",4,500,500)</f>
        <v/>
      </c>
      <c r="C3515" s="30">
        <v>3514.0</v>
      </c>
      <c r="D3515" s="16" t="s">
        <v>4396</v>
      </c>
      <c r="E3515" s="16" t="s">
        <v>184</v>
      </c>
      <c r="F3515" s="16" t="s">
        <v>325</v>
      </c>
      <c r="G3515" s="16" t="s">
        <v>4017</v>
      </c>
      <c r="H3515" s="16" t="s">
        <v>368</v>
      </c>
      <c r="I3515" s="16" t="s">
        <v>463</v>
      </c>
    </row>
    <row r="3516" ht="242.25" customHeight="1">
      <c r="B3516" s="32" t="str">
        <f>IMAGE("https://gymvisual.com/13493-catalog_default/smith-toe-raise-female.jpg",4,500,500)</f>
        <v/>
      </c>
      <c r="C3516" s="30">
        <v>3515.0</v>
      </c>
      <c r="D3516" s="16" t="s">
        <v>4397</v>
      </c>
      <c r="E3516" s="16" t="s">
        <v>184</v>
      </c>
      <c r="F3516" s="16" t="s">
        <v>325</v>
      </c>
      <c r="G3516" s="16" t="s">
        <v>4017</v>
      </c>
      <c r="H3516" s="16" t="s">
        <v>220</v>
      </c>
      <c r="I3516" s="16" t="s">
        <v>220</v>
      </c>
    </row>
    <row r="3517" ht="242.25" customHeight="1">
      <c r="B3517" s="32" t="str">
        <f>IMAGE("https://gymvisual.com/2319-catalog_default/smith-upright-row.jpg",4,500,500)</f>
        <v/>
      </c>
      <c r="C3517" s="30">
        <v>3516.0</v>
      </c>
      <c r="D3517" s="16" t="s">
        <v>4398</v>
      </c>
      <c r="E3517" s="16" t="s">
        <v>184</v>
      </c>
      <c r="F3517" s="16" t="s">
        <v>228</v>
      </c>
      <c r="G3517" s="16" t="s">
        <v>4017</v>
      </c>
      <c r="H3517" s="16" t="s">
        <v>544</v>
      </c>
      <c r="I3517" s="16" t="s">
        <v>713</v>
      </c>
    </row>
    <row r="3518" ht="242.25" customHeight="1">
      <c r="B3518" s="32" t="str">
        <f>IMAGE("https://gymvisual.com/5997-catalog_default/smith-wide-grip-bench-press.jpg",4,500,500)</f>
        <v/>
      </c>
      <c r="C3518" s="30">
        <v>3517.0</v>
      </c>
      <c r="D3518" s="16" t="s">
        <v>4399</v>
      </c>
      <c r="E3518" s="16" t="s">
        <v>184</v>
      </c>
      <c r="F3518" s="16" t="s">
        <v>234</v>
      </c>
      <c r="G3518" s="16" t="s">
        <v>4017</v>
      </c>
      <c r="H3518" s="16" t="s">
        <v>347</v>
      </c>
      <c r="I3518" s="16" t="s">
        <v>382</v>
      </c>
    </row>
    <row r="3519" ht="242.25" customHeight="1">
      <c r="B3519" s="32" t="str">
        <f>IMAGE("https://gymvisual.com/5998-catalog_default/smith-wide-grip-decline-bench-press.jpg",4,500,500)</f>
        <v/>
      </c>
      <c r="C3519" s="30">
        <v>3518.0</v>
      </c>
      <c r="D3519" s="16" t="s">
        <v>4400</v>
      </c>
      <c r="E3519" s="16" t="s">
        <v>184</v>
      </c>
      <c r="F3519" s="16" t="s">
        <v>234</v>
      </c>
      <c r="G3519" s="16" t="s">
        <v>4017</v>
      </c>
      <c r="H3519" s="16" t="s">
        <v>347</v>
      </c>
      <c r="I3519" s="16" t="s">
        <v>382</v>
      </c>
    </row>
    <row r="3520" ht="242.25" customHeight="1">
      <c r="B3520" s="32" t="str">
        <f>IMAGE("https://gymvisual.com/20411-catalog_default/smith-wide-shrug.jpg",4,500,500)</f>
        <v/>
      </c>
      <c r="C3520" s="30">
        <v>3519.0</v>
      </c>
      <c r="D3520" s="16" t="s">
        <v>4401</v>
      </c>
      <c r="E3520" s="16" t="s">
        <v>184</v>
      </c>
      <c r="F3520" s="16" t="s">
        <v>192</v>
      </c>
      <c r="G3520" s="16" t="s">
        <v>4017</v>
      </c>
      <c r="H3520" s="16" t="s">
        <v>238</v>
      </c>
      <c r="I3520" s="16" t="s">
        <v>239</v>
      </c>
    </row>
    <row r="3521" ht="242.25" customHeight="1">
      <c r="B3521" s="32" t="str">
        <f>IMAGE("https://gymvisual.com/6845-catalog_default/smith-zercher-squat.jpg",4,500,500)</f>
        <v/>
      </c>
      <c r="C3521" s="30">
        <v>3520.0</v>
      </c>
      <c r="D3521" s="16" t="s">
        <v>4402</v>
      </c>
      <c r="E3521" s="16" t="s">
        <v>184</v>
      </c>
      <c r="F3521" s="16" t="s">
        <v>285</v>
      </c>
      <c r="G3521" s="16" t="s">
        <v>4017</v>
      </c>
      <c r="H3521" s="16" t="s">
        <v>220</v>
      </c>
      <c r="I3521" s="16" t="s">
        <v>220</v>
      </c>
    </row>
    <row r="3522" ht="242.25" customHeight="1">
      <c r="A3522" s="32" t="b">
        <v>0</v>
      </c>
      <c r="B3522" s="32" t="str">
        <f>IMAGE("https://gymvisual.com/2322-catalog_default/snatch-pull.jpg",4,500,500)</f>
        <v/>
      </c>
      <c r="C3522" s="30">
        <v>3521.0</v>
      </c>
      <c r="D3522" s="16" t="s">
        <v>4403</v>
      </c>
      <c r="E3522" s="16" t="s">
        <v>184</v>
      </c>
      <c r="F3522" s="16" t="s">
        <v>285</v>
      </c>
      <c r="G3522" s="16" t="s">
        <v>186</v>
      </c>
      <c r="H3522" s="16" t="s">
        <v>4404</v>
      </c>
      <c r="I3522" s="16" t="s">
        <v>220</v>
      </c>
    </row>
    <row r="3523" ht="242.25" customHeight="1">
      <c r="A3523" s="32" t="b">
        <v>0</v>
      </c>
      <c r="B3523" s="32" t="str">
        <f>IMAGE("https://gymvisual.com/2324-catalog_default/spell-caster.jpg",4,500,500)</f>
        <v/>
      </c>
      <c r="C3523" s="30">
        <v>3522.0</v>
      </c>
      <c r="D3523" s="16" t="s">
        <v>4405</v>
      </c>
      <c r="E3523" s="16" t="s">
        <v>184</v>
      </c>
      <c r="F3523" s="16" t="s">
        <v>254</v>
      </c>
      <c r="G3523" s="16" t="s">
        <v>222</v>
      </c>
      <c r="H3523" s="16" t="s">
        <v>260</v>
      </c>
      <c r="I3523" s="16" t="s">
        <v>2577</v>
      </c>
    </row>
    <row r="3524" ht="242.25" customHeight="1">
      <c r="A3524" s="32" t="b">
        <v>0</v>
      </c>
      <c r="B3524" s="32" t="str">
        <f>IMAGE("https://gymvisual.com/17085-catalog_default/spell-caster-female.jpg",4,500,500)</f>
        <v/>
      </c>
      <c r="C3524" s="30">
        <v>3523.0</v>
      </c>
      <c r="D3524" s="16" t="s">
        <v>4406</v>
      </c>
      <c r="E3524" s="16" t="s">
        <v>184</v>
      </c>
      <c r="F3524" s="16" t="s">
        <v>254</v>
      </c>
      <c r="G3524" s="16" t="s">
        <v>222</v>
      </c>
      <c r="H3524" s="16" t="s">
        <v>260</v>
      </c>
      <c r="I3524" s="16" t="s">
        <v>4407</v>
      </c>
    </row>
    <row r="3525" ht="242.25" customHeight="1">
      <c r="B3525" s="32" t="str">
        <f>IMAGE("https://gymvisual.com/19349-catalog_default/spider-crawl-push-up.jpg",4,500,500)</f>
        <v/>
      </c>
      <c r="C3525" s="30">
        <v>3524.0</v>
      </c>
      <c r="D3525" s="16" t="s">
        <v>4408</v>
      </c>
      <c r="E3525" s="16" t="s">
        <v>184</v>
      </c>
      <c r="F3525" s="16" t="s">
        <v>185</v>
      </c>
      <c r="G3525" s="16" t="s">
        <v>255</v>
      </c>
      <c r="H3525" s="16" t="s">
        <v>2845</v>
      </c>
      <c r="I3525" s="16" t="s">
        <v>4409</v>
      </c>
    </row>
    <row r="3526" ht="242.25" customHeight="1">
      <c r="B3526" s="32" t="str">
        <f>IMAGE("https://gymvisual.com/13778-catalog_default/spider-crawl-push-up-female.jpg",4,500,500)</f>
        <v/>
      </c>
      <c r="C3526" s="30">
        <v>3525.0</v>
      </c>
      <c r="D3526" s="16" t="s">
        <v>4410</v>
      </c>
      <c r="E3526" s="16" t="s">
        <v>184</v>
      </c>
      <c r="F3526" s="16" t="s">
        <v>1798</v>
      </c>
      <c r="G3526" s="16" t="s">
        <v>255</v>
      </c>
      <c r="H3526" s="16" t="s">
        <v>4411</v>
      </c>
      <c r="I3526" s="16" t="s">
        <v>220</v>
      </c>
    </row>
    <row r="3527" ht="242.25" customHeight="1">
      <c r="B3527" s="32" t="str">
        <f>IMAGE("https://gymvisual.com/17795-catalog_default/spider-plank-female.jpg",4,500,500)</f>
        <v/>
      </c>
      <c r="C3527" s="30">
        <v>3526.0</v>
      </c>
      <c r="D3527" s="16" t="s">
        <v>4412</v>
      </c>
      <c r="E3527" s="16" t="s">
        <v>184</v>
      </c>
      <c r="F3527" s="16" t="s">
        <v>185</v>
      </c>
      <c r="G3527" s="16" t="s">
        <v>255</v>
      </c>
      <c r="H3527" s="16" t="s">
        <v>220</v>
      </c>
      <c r="I3527" s="16" t="s">
        <v>220</v>
      </c>
    </row>
    <row r="3528" ht="242.25" customHeight="1">
      <c r="B3528" s="32" t="str">
        <f>IMAGE("https://gymvisual.com/10034-catalog_default/spine-twist.jpg",4,500,500)</f>
        <v/>
      </c>
      <c r="C3528" s="30">
        <v>3527.0</v>
      </c>
      <c r="D3528" s="16" t="s">
        <v>4413</v>
      </c>
      <c r="E3528" s="16" t="s">
        <v>184</v>
      </c>
      <c r="F3528" s="16" t="s">
        <v>254</v>
      </c>
      <c r="G3528" s="16" t="s">
        <v>255</v>
      </c>
      <c r="H3528" s="16" t="s">
        <v>257</v>
      </c>
      <c r="I3528" s="16" t="s">
        <v>220</v>
      </c>
    </row>
    <row r="3529" ht="242.25" customHeight="1">
      <c r="B3529" s="32" t="str">
        <f>IMAGE("https://gymvisual.com/16049-catalog_default/split-lateral-squat-with-roll.jpg",4,500,500)</f>
        <v/>
      </c>
      <c r="C3529" s="30">
        <v>3528.0</v>
      </c>
      <c r="D3529" s="16" t="s">
        <v>4414</v>
      </c>
      <c r="E3529" s="16" t="s">
        <v>184</v>
      </c>
      <c r="F3529" s="16" t="s">
        <v>294</v>
      </c>
      <c r="G3529" s="16" t="s">
        <v>255</v>
      </c>
      <c r="H3529" s="16" t="s">
        <v>4415</v>
      </c>
      <c r="I3529" s="16" t="s">
        <v>4416</v>
      </c>
    </row>
    <row r="3530" ht="242.25" customHeight="1">
      <c r="B3530" s="32" t="str">
        <f>IMAGE("https://gymvisual.com/13980-catalog_default/split-sprinter-high-lunge.jpg",4,500,500)</f>
        <v/>
      </c>
      <c r="C3530" s="30">
        <v>3529.0</v>
      </c>
      <c r="D3530" s="16" t="s">
        <v>4417</v>
      </c>
      <c r="E3530" s="16" t="s">
        <v>184</v>
      </c>
      <c r="F3530" s="16" t="s">
        <v>294</v>
      </c>
      <c r="G3530" s="16" t="s">
        <v>255</v>
      </c>
      <c r="H3530" s="16" t="s">
        <v>189</v>
      </c>
      <c r="I3530" s="16" t="s">
        <v>314</v>
      </c>
    </row>
    <row r="3531" ht="242.25" customHeight="1">
      <c r="B3531" s="32" t="str">
        <f>IMAGE("https://gymvisual.com/13978-catalog_default/split-sprinter-low-lunge.jpg",4,500,500)</f>
        <v/>
      </c>
      <c r="C3531" s="30">
        <v>3530.0</v>
      </c>
      <c r="D3531" s="16" t="s">
        <v>4418</v>
      </c>
      <c r="E3531" s="16" t="s">
        <v>184</v>
      </c>
      <c r="F3531" s="16" t="s">
        <v>294</v>
      </c>
      <c r="G3531" s="16" t="s">
        <v>255</v>
      </c>
      <c r="H3531" s="16" t="s">
        <v>189</v>
      </c>
      <c r="I3531" s="16" t="s">
        <v>314</v>
      </c>
    </row>
    <row r="3532" ht="242.25" customHeight="1">
      <c r="B3532" s="32" t="str">
        <f>IMAGE("https://gymvisual.com/2336-catalog_default/split-squat.jpg",4,500,500)</f>
        <v/>
      </c>
      <c r="C3532" s="30">
        <v>3531.0</v>
      </c>
      <c r="D3532" s="16" t="s">
        <v>4419</v>
      </c>
      <c r="E3532" s="16" t="s">
        <v>184</v>
      </c>
      <c r="F3532" s="16" t="s">
        <v>185</v>
      </c>
      <c r="G3532" s="16" t="s">
        <v>255</v>
      </c>
      <c r="H3532" s="16" t="s">
        <v>189</v>
      </c>
      <c r="I3532" s="16" t="s">
        <v>190</v>
      </c>
    </row>
    <row r="3533" ht="242.25" customHeight="1">
      <c r="B3533" s="32" t="str">
        <f>IMAGE("https://gymvisual.com/20676-catalog_default/split-squat-female.jpg",4,500,500)</f>
        <v/>
      </c>
      <c r="C3533" s="30">
        <v>3532.0</v>
      </c>
      <c r="D3533" s="16" t="s">
        <v>4420</v>
      </c>
      <c r="E3533" s="16" t="s">
        <v>184</v>
      </c>
      <c r="F3533" s="16"/>
      <c r="G3533" s="16"/>
      <c r="H3533" s="16" t="s">
        <v>189</v>
      </c>
      <c r="I3533" s="16" t="s">
        <v>190</v>
      </c>
    </row>
    <row r="3534" ht="242.25" customHeight="1">
      <c r="B3534" s="32" t="str">
        <f>IMAGE("https://gymvisual.com/16047-catalog_default/split-squat-with-roll.jpg",4,500,500)</f>
        <v/>
      </c>
      <c r="C3534" s="30">
        <v>3533.0</v>
      </c>
      <c r="D3534" s="16" t="s">
        <v>4421</v>
      </c>
      <c r="E3534" s="16" t="s">
        <v>184</v>
      </c>
      <c r="F3534" s="16" t="s">
        <v>294</v>
      </c>
      <c r="G3534" s="16" t="s">
        <v>255</v>
      </c>
      <c r="H3534" s="16" t="s">
        <v>189</v>
      </c>
      <c r="I3534" s="16" t="s">
        <v>190</v>
      </c>
    </row>
    <row r="3535" ht="242.25" customHeight="1">
      <c r="B3535" s="32" t="str">
        <f>IMAGE("https://gymvisual.com/20658-catalog_default/split-squats.jpg",4,500,500)</f>
        <v/>
      </c>
      <c r="C3535" s="30">
        <v>3534.0</v>
      </c>
      <c r="D3535" s="16" t="s">
        <v>4422</v>
      </c>
      <c r="E3535" s="16" t="s">
        <v>184</v>
      </c>
      <c r="F3535" s="16" t="s">
        <v>294</v>
      </c>
      <c r="G3535" s="16" t="s">
        <v>255</v>
      </c>
      <c r="H3535" s="16" t="s">
        <v>189</v>
      </c>
      <c r="I3535" s="16" t="s">
        <v>190</v>
      </c>
    </row>
    <row r="3536" ht="242.25" customHeight="1">
      <c r="B3536" s="32" t="str">
        <f>IMAGE("https://gymvisual.com/17729-catalog_default/sprinter-crunch.jpg",4,500,500)</f>
        <v/>
      </c>
      <c r="C3536" s="30">
        <v>3535.0</v>
      </c>
      <c r="D3536" s="16" t="s">
        <v>4423</v>
      </c>
      <c r="E3536" s="16" t="s">
        <v>184</v>
      </c>
      <c r="F3536" s="16" t="s">
        <v>254</v>
      </c>
      <c r="G3536" s="16" t="s">
        <v>255</v>
      </c>
      <c r="H3536" s="16" t="s">
        <v>220</v>
      </c>
      <c r="I3536" s="16" t="s">
        <v>220</v>
      </c>
    </row>
    <row r="3537" ht="242.25" customHeight="1">
      <c r="B3537" s="32" t="str">
        <f>IMAGE("https://gymvisual.com/2353-catalog_default/squat.jpg",4,500,500)</f>
        <v/>
      </c>
      <c r="C3537" s="30">
        <v>3536.0</v>
      </c>
      <c r="D3537" s="16" t="s">
        <v>75</v>
      </c>
      <c r="E3537" s="16" t="s">
        <v>184</v>
      </c>
      <c r="F3537" s="16" t="s">
        <v>185</v>
      </c>
      <c r="G3537" s="16" t="s">
        <v>255</v>
      </c>
      <c r="H3537" s="16" t="s">
        <v>189</v>
      </c>
      <c r="I3537" s="16" t="s">
        <v>190</v>
      </c>
    </row>
    <row r="3538" ht="242.25" customHeight="1">
      <c r="B3538" s="32" t="str">
        <f>IMAGE("https://gymvisual.com/2342-catalog_default/squat-arms-overhead.jpg",4,500,500)</f>
        <v/>
      </c>
      <c r="C3538" s="30">
        <v>3537.0</v>
      </c>
      <c r="D3538" s="16" t="s">
        <v>4424</v>
      </c>
      <c r="E3538" s="16" t="s">
        <v>184</v>
      </c>
      <c r="F3538" s="16" t="s">
        <v>285</v>
      </c>
      <c r="G3538" s="16" t="s">
        <v>255</v>
      </c>
      <c r="H3538" s="16" t="s">
        <v>189</v>
      </c>
      <c r="I3538" s="16" t="s">
        <v>190</v>
      </c>
    </row>
    <row r="3539" ht="242.25" customHeight="1">
      <c r="B3539" s="32" t="str">
        <f>IMAGE("https://gymvisual.com/4529-catalog_default/squat-male.jpg",4,500,500)</f>
        <v/>
      </c>
      <c r="C3539" s="30">
        <v>3538.0</v>
      </c>
      <c r="D3539" s="16" t="s">
        <v>4425</v>
      </c>
      <c r="E3539" s="16" t="s">
        <v>184</v>
      </c>
      <c r="F3539" s="16" t="s">
        <v>285</v>
      </c>
      <c r="G3539" s="16" t="s">
        <v>255</v>
      </c>
      <c r="H3539" s="16" t="s">
        <v>189</v>
      </c>
      <c r="I3539" s="16" t="s">
        <v>190</v>
      </c>
    </row>
    <row r="3540" ht="242.25" customHeight="1">
      <c r="B3540" s="32" t="str">
        <f>IMAGE("https://gymvisual.com/2345-catalog_default/squat-with-band.jpg",4,500,500)</f>
        <v/>
      </c>
      <c r="C3540" s="30">
        <v>3539.0</v>
      </c>
      <c r="D3540" s="16" t="s">
        <v>4426</v>
      </c>
      <c r="E3540" s="16" t="s">
        <v>184</v>
      </c>
      <c r="F3540" s="16" t="s">
        <v>285</v>
      </c>
      <c r="G3540" s="16" t="s">
        <v>291</v>
      </c>
      <c r="H3540" s="16" t="s">
        <v>189</v>
      </c>
      <c r="I3540" s="16" t="s">
        <v>190</v>
      </c>
    </row>
    <row r="3541" ht="242.25" customHeight="1">
      <c r="B3541" s="32" t="str">
        <f>IMAGE("https://gymvisual.com/10235-catalog_default/squat-back-wrong-right.jpg",4,500,500)</f>
        <v/>
      </c>
      <c r="C3541" s="30">
        <v>3540.0</v>
      </c>
      <c r="D3541" s="16" t="s">
        <v>4427</v>
      </c>
      <c r="E3541" s="16" t="s">
        <v>184</v>
      </c>
      <c r="F3541" s="16" t="s">
        <v>294</v>
      </c>
      <c r="G3541" s="16" t="s">
        <v>255</v>
      </c>
      <c r="H3541" s="16" t="s">
        <v>220</v>
      </c>
      <c r="I3541" s="16" t="s">
        <v>220</v>
      </c>
    </row>
    <row r="3542" ht="242.25" customHeight="1">
      <c r="B3542" s="32" t="str">
        <f>IMAGE("https://gymvisual.com/17581-catalog_default/squat-hold-calf-raise.jpg",4,500,500)</f>
        <v/>
      </c>
      <c r="C3542" s="30">
        <v>3541.0</v>
      </c>
      <c r="D3542" s="16" t="s">
        <v>4428</v>
      </c>
      <c r="E3542" s="16" t="s">
        <v>184</v>
      </c>
      <c r="F3542" s="16" t="s">
        <v>325</v>
      </c>
      <c r="G3542" s="16" t="s">
        <v>255</v>
      </c>
      <c r="H3542" s="16" t="s">
        <v>368</v>
      </c>
      <c r="I3542" s="16" t="s">
        <v>4429</v>
      </c>
    </row>
    <row r="3543" ht="242.25" customHeight="1">
      <c r="A3543" s="32" t="b">
        <v>0</v>
      </c>
      <c r="B3543" s="32" t="str">
        <f>IMAGE("https://gymvisual.com/2351-catalog_default/squat-jerk.jpg",4,500,500)</f>
        <v/>
      </c>
      <c r="C3543" s="30">
        <v>3542.0</v>
      </c>
      <c r="D3543" s="16" t="s">
        <v>4430</v>
      </c>
      <c r="E3543" s="16" t="s">
        <v>184</v>
      </c>
      <c r="F3543" s="16" t="s">
        <v>285</v>
      </c>
      <c r="G3543" s="16" t="s">
        <v>186</v>
      </c>
      <c r="H3543" s="16" t="s">
        <v>220</v>
      </c>
      <c r="I3543" s="16" t="s">
        <v>220</v>
      </c>
    </row>
    <row r="3544" ht="242.25" customHeight="1">
      <c r="A3544" s="32" t="b">
        <v>0</v>
      </c>
      <c r="B3544" s="32" t="str">
        <f>IMAGE("https://gymvisual.com/12323-catalog_default/squat-mobility-female.jpg",4,500,500)</f>
        <v/>
      </c>
      <c r="C3544" s="30">
        <v>3543.0</v>
      </c>
      <c r="D3544" s="16" t="s">
        <v>4431</v>
      </c>
      <c r="E3544" s="16" t="s">
        <v>184</v>
      </c>
      <c r="F3544" s="16" t="s">
        <v>285</v>
      </c>
      <c r="G3544" s="16" t="s">
        <v>186</v>
      </c>
      <c r="H3544" s="16" t="s">
        <v>189</v>
      </c>
      <c r="I3544" s="16" t="s">
        <v>2046</v>
      </c>
    </row>
    <row r="3545" ht="242.25" customHeight="1">
      <c r="B3545" s="32" t="str">
        <f>IMAGE("https://gymvisual.com/7367-catalog_default/squat-on-bosu-ball.jpg",4,500,500)</f>
        <v/>
      </c>
      <c r="C3545" s="30">
        <v>3544.0</v>
      </c>
      <c r="D3545" s="16" t="s">
        <v>4432</v>
      </c>
      <c r="E3545" s="16" t="s">
        <v>184</v>
      </c>
      <c r="F3545" s="16" t="s">
        <v>285</v>
      </c>
      <c r="G3545" s="16" t="s">
        <v>316</v>
      </c>
      <c r="H3545" s="16" t="s">
        <v>189</v>
      </c>
      <c r="I3545" s="16" t="s">
        <v>190</v>
      </c>
    </row>
    <row r="3546" ht="242.25" customHeight="1">
      <c r="B3546" s="32" t="str">
        <f>IMAGE("https://gymvisual.com/16016-catalog_default/squat-thrust.jpg",4,500,500)</f>
        <v/>
      </c>
      <c r="C3546" s="30">
        <v>3545.0</v>
      </c>
      <c r="D3546" s="16" t="s">
        <v>4433</v>
      </c>
      <c r="E3546" s="16" t="s">
        <v>184</v>
      </c>
      <c r="F3546" s="16" t="s">
        <v>321</v>
      </c>
      <c r="G3546" s="16" t="s">
        <v>255</v>
      </c>
      <c r="H3546" s="16" t="s">
        <v>220</v>
      </c>
      <c r="I3546" s="16" t="s">
        <v>220</v>
      </c>
    </row>
    <row r="3547" ht="242.25" customHeight="1">
      <c r="B3547" s="32" t="str">
        <f>IMAGE("https://gymvisual.com/23571-catalog_default/squat-tip-toe.jpg",4,500,500)</f>
        <v/>
      </c>
      <c r="C3547" s="30">
        <v>3546.0</v>
      </c>
      <c r="D3547" s="16" t="s">
        <v>4434</v>
      </c>
      <c r="E3547" s="16" t="s">
        <v>184</v>
      </c>
      <c r="F3547" s="16" t="s">
        <v>285</v>
      </c>
      <c r="G3547" s="16" t="s">
        <v>255</v>
      </c>
      <c r="H3547" s="16" t="s">
        <v>295</v>
      </c>
      <c r="I3547" s="16" t="s">
        <v>314</v>
      </c>
    </row>
    <row r="3548" ht="242.25" customHeight="1">
      <c r="B3548" s="32" t="str">
        <f>IMAGE("https://gymvisual.com/12365-catalog_default/squats-knee-position.jpg",4,500,500)</f>
        <v/>
      </c>
      <c r="C3548" s="30">
        <v>3547.0</v>
      </c>
      <c r="D3548" s="16" t="s">
        <v>4435</v>
      </c>
      <c r="E3548" s="16" t="s">
        <v>184</v>
      </c>
      <c r="F3548" s="16" t="s">
        <v>285</v>
      </c>
      <c r="G3548" s="16" t="s">
        <v>255</v>
      </c>
      <c r="H3548" s="16" t="s">
        <v>220</v>
      </c>
      <c r="I3548" s="16" t="s">
        <v>220</v>
      </c>
    </row>
    <row r="3549" ht="242.25" customHeight="1">
      <c r="B3549" s="32" t="str">
        <f>IMAGE("https://gymvisual.com/9758-catalog_default/stability-ball-crunch-full-range-hands-behind-head.jpg",4,500,500)</f>
        <v/>
      </c>
      <c r="C3549" s="30">
        <v>3548.0</v>
      </c>
      <c r="D3549" s="16" t="s">
        <v>4436</v>
      </c>
      <c r="E3549" s="16" t="s">
        <v>184</v>
      </c>
      <c r="F3549" s="16" t="s">
        <v>254</v>
      </c>
      <c r="G3549" s="16" t="s">
        <v>399</v>
      </c>
      <c r="H3549" s="16" t="s">
        <v>256</v>
      </c>
      <c r="I3549" s="16" t="s">
        <v>257</v>
      </c>
    </row>
    <row r="3550" ht="242.25" customHeight="1">
      <c r="B3550" s="32" t="str">
        <f>IMAGE("https://gymvisual.com/7370-catalog_default/stability-ball-front-plank.jpg",4,500,500)</f>
        <v/>
      </c>
      <c r="C3550" s="30">
        <v>3549.0</v>
      </c>
      <c r="D3550" s="16" t="s">
        <v>4437</v>
      </c>
      <c r="E3550" s="16" t="s">
        <v>184</v>
      </c>
      <c r="F3550" s="16" t="s">
        <v>254</v>
      </c>
      <c r="G3550" s="16" t="s">
        <v>399</v>
      </c>
      <c r="H3550" s="16" t="s">
        <v>220</v>
      </c>
      <c r="I3550" s="16" t="s">
        <v>220</v>
      </c>
    </row>
    <row r="3551" ht="242.25" customHeight="1">
      <c r="B3551" s="32" t="str">
        <f>IMAGE("https://gymvisual.com/12750-catalog_default/stability-ball-reverse-hyperextension-off-a-bench-female.jpg",4,500,500)</f>
        <v/>
      </c>
      <c r="C3551" s="30">
        <v>3550.0</v>
      </c>
      <c r="D3551" s="16" t="s">
        <v>4438</v>
      </c>
      <c r="E3551" s="16" t="s">
        <v>184</v>
      </c>
      <c r="F3551" s="16" t="s">
        <v>185</v>
      </c>
      <c r="G3551" s="16" t="s">
        <v>399</v>
      </c>
      <c r="H3551" s="16" t="s">
        <v>267</v>
      </c>
      <c r="I3551" s="16" t="s">
        <v>188</v>
      </c>
    </row>
    <row r="3552" ht="242.25" customHeight="1">
      <c r="B3552" s="32" t="str">
        <f>IMAGE("https://gymvisual.com/9757-catalog_default/stability-ball-rollout-female.jpg",4,500,500)</f>
        <v/>
      </c>
      <c r="C3552" s="30">
        <v>3551.0</v>
      </c>
      <c r="D3552" s="16" t="s">
        <v>4439</v>
      </c>
      <c r="E3552" s="16" t="s">
        <v>184</v>
      </c>
      <c r="F3552" s="16" t="s">
        <v>185</v>
      </c>
      <c r="G3552" s="16" t="s">
        <v>399</v>
      </c>
      <c r="H3552" s="16" t="s">
        <v>305</v>
      </c>
      <c r="I3552" s="16" t="s">
        <v>4440</v>
      </c>
    </row>
    <row r="3553" ht="242.25" customHeight="1">
      <c r="B3553" s="32" t="str">
        <f>IMAGE("https://gymvisual.com/9756-catalog_default/stability-ball-rollout-on-knees-female.jpg",4,500,500)</f>
        <v/>
      </c>
      <c r="C3553" s="30">
        <v>3552.0</v>
      </c>
      <c r="D3553" s="16" t="s">
        <v>4441</v>
      </c>
      <c r="E3553" s="16" t="s">
        <v>184</v>
      </c>
      <c r="F3553" s="16" t="s">
        <v>185</v>
      </c>
      <c r="G3553" s="16" t="s">
        <v>399</v>
      </c>
      <c r="H3553" s="16" t="s">
        <v>305</v>
      </c>
      <c r="I3553" s="16" t="s">
        <v>4442</v>
      </c>
    </row>
    <row r="3554" ht="242.25" customHeight="1">
      <c r="B3554" s="32" t="str">
        <f>IMAGE("https://gymvisual.com/12202-catalog_default/stability-ball-rounded-rollout-female.jpg",4,500,500)</f>
        <v/>
      </c>
      <c r="C3554" s="30">
        <v>3553.0</v>
      </c>
      <c r="D3554" s="16" t="s">
        <v>4443</v>
      </c>
      <c r="E3554" s="16" t="s">
        <v>184</v>
      </c>
      <c r="F3554" s="16" t="s">
        <v>254</v>
      </c>
      <c r="G3554" s="16" t="s">
        <v>399</v>
      </c>
      <c r="H3554" s="16" t="s">
        <v>305</v>
      </c>
      <c r="I3554" s="16" t="s">
        <v>1002</v>
      </c>
    </row>
    <row r="3555" ht="242.25" customHeight="1">
      <c r="B3555" s="32" t="str">
        <f>IMAGE("https://gymvisual.com/7337-catalog_default/stability-ball-single-leg-squat.jpg",4,500,500)</f>
        <v/>
      </c>
      <c r="C3555" s="30">
        <v>3554.0</v>
      </c>
      <c r="D3555" s="16" t="s">
        <v>4444</v>
      </c>
      <c r="E3555" s="16" t="s">
        <v>184</v>
      </c>
      <c r="F3555" s="16" t="s">
        <v>285</v>
      </c>
      <c r="G3555" s="16" t="s">
        <v>399</v>
      </c>
      <c r="H3555" s="16" t="s">
        <v>189</v>
      </c>
      <c r="I3555" s="16" t="s">
        <v>190</v>
      </c>
    </row>
    <row r="3556" ht="242.25" customHeight="1">
      <c r="B3556" s="32" t="str">
        <f>IMAGE("https://gymvisual.com/22436-catalog_default/staggered-leg-side-bridge.jpg",4,500,500)</f>
        <v/>
      </c>
      <c r="C3556" s="30">
        <v>3555.0</v>
      </c>
      <c r="D3556" s="16" t="s">
        <v>4445</v>
      </c>
      <c r="E3556" s="16" t="s">
        <v>184</v>
      </c>
      <c r="F3556" s="16" t="s">
        <v>254</v>
      </c>
      <c r="G3556" s="16" t="s">
        <v>255</v>
      </c>
      <c r="H3556" s="16" t="s">
        <v>220</v>
      </c>
      <c r="I3556" s="16" t="s">
        <v>220</v>
      </c>
    </row>
    <row r="3557" ht="242.25" customHeight="1">
      <c r="B3557" s="32" t="str">
        <f>IMAGE("https://gymvisual.com/12394-catalog_default/stair-up-female.jpg",4,500,500)</f>
        <v/>
      </c>
      <c r="C3557" s="30">
        <v>3556.0</v>
      </c>
      <c r="D3557" s="16" t="s">
        <v>4446</v>
      </c>
      <c r="E3557" s="16" t="s">
        <v>184</v>
      </c>
      <c r="F3557" s="16" t="s">
        <v>285</v>
      </c>
      <c r="G3557" s="16" t="s">
        <v>255</v>
      </c>
      <c r="H3557" s="16" t="s">
        <v>189</v>
      </c>
      <c r="I3557" s="16" t="s">
        <v>190</v>
      </c>
    </row>
    <row r="3558" ht="242.25" customHeight="1">
      <c r="B3558" s="32" t="str">
        <f>IMAGE("https://gymvisual.com/24127-catalog_default/standing-ab-twist-female.jpg",4,500,500)</f>
        <v/>
      </c>
      <c r="C3558" s="30">
        <v>3557.0</v>
      </c>
      <c r="D3558" s="16" t="s">
        <v>4447</v>
      </c>
      <c r="E3558" s="16" t="s">
        <v>184</v>
      </c>
      <c r="F3558" s="16" t="s">
        <v>254</v>
      </c>
      <c r="G3558" s="16" t="s">
        <v>255</v>
      </c>
      <c r="H3558" s="16" t="s">
        <v>220</v>
      </c>
      <c r="I3558" s="16" t="s">
        <v>220</v>
      </c>
    </row>
    <row r="3559" ht="242.25" customHeight="1">
      <c r="B3559" s="32" t="str">
        <f>IMAGE("https://gymvisual.com/21024-catalog_default/standing-ab-twist-male.jpg",4,500,500)</f>
        <v/>
      </c>
      <c r="C3559" s="30">
        <v>3558.0</v>
      </c>
      <c r="D3559" s="16" t="s">
        <v>4448</v>
      </c>
      <c r="E3559" s="16" t="s">
        <v>184</v>
      </c>
      <c r="F3559" s="16" t="s">
        <v>254</v>
      </c>
      <c r="G3559" s="16" t="s">
        <v>255</v>
      </c>
      <c r="H3559" s="16" t="s">
        <v>257</v>
      </c>
      <c r="I3559" s="16" t="s">
        <v>256</v>
      </c>
    </row>
    <row r="3560" ht="242.25" customHeight="1">
      <c r="B3560" s="32" t="str">
        <f>IMAGE("https://gymvisual.com/17709-catalog_default/standing-back-extension-and-flexion.jpg",4,500,500)</f>
        <v/>
      </c>
      <c r="C3560" s="30">
        <v>3559.0</v>
      </c>
      <c r="D3560" s="16" t="s">
        <v>4449</v>
      </c>
      <c r="E3560" s="16" t="s">
        <v>184</v>
      </c>
      <c r="F3560" s="16" t="s">
        <v>185</v>
      </c>
      <c r="G3560" s="16" t="s">
        <v>255</v>
      </c>
      <c r="H3560" s="16" t="s">
        <v>220</v>
      </c>
      <c r="I3560" s="16" t="s">
        <v>220</v>
      </c>
    </row>
    <row r="3561" ht="242.25" customHeight="1">
      <c r="A3561" s="32" t="b">
        <v>0</v>
      </c>
      <c r="B3561" s="32" t="str">
        <f>IMAGE("https://gymvisual.com/2356-catalog_default/standing-behind-neck-press.jpg",4,500,500)</f>
        <v/>
      </c>
      <c r="C3561" s="30">
        <v>3560.0</v>
      </c>
      <c r="D3561" s="16" t="s">
        <v>4450</v>
      </c>
      <c r="E3561" s="16" t="s">
        <v>184</v>
      </c>
      <c r="F3561" s="16" t="s">
        <v>228</v>
      </c>
      <c r="G3561" s="16" t="s">
        <v>186</v>
      </c>
      <c r="H3561" s="16" t="s">
        <v>229</v>
      </c>
      <c r="I3561" s="16" t="s">
        <v>230</v>
      </c>
    </row>
    <row r="3562" ht="242.25" customHeight="1">
      <c r="B3562" s="32" t="str">
        <f>IMAGE("https://gymvisual.com/23877-catalog_default/standing-bent-knee-figure-8.jpg",4,500,500)</f>
        <v/>
      </c>
      <c r="C3562" s="30">
        <v>3561.0</v>
      </c>
      <c r="D3562" s="16" t="s">
        <v>4451</v>
      </c>
      <c r="E3562" s="16" t="s">
        <v>184</v>
      </c>
      <c r="F3562" s="16" t="s">
        <v>185</v>
      </c>
      <c r="G3562" s="16" t="s">
        <v>255</v>
      </c>
      <c r="H3562" s="16" t="s">
        <v>3609</v>
      </c>
      <c r="I3562" s="16" t="s">
        <v>1202</v>
      </c>
    </row>
    <row r="3563" ht="242.25" customHeight="1">
      <c r="B3563" s="32" t="str">
        <f>IMAGE("https://gymvisual.com/20682-catalog_default/standing-calf-raise-female.jpg",4,500,500)</f>
        <v/>
      </c>
      <c r="C3563" s="30">
        <v>3562.0</v>
      </c>
      <c r="D3563" s="16" t="s">
        <v>4452</v>
      </c>
      <c r="E3563" s="16" t="s">
        <v>184</v>
      </c>
      <c r="F3563" s="16" t="s">
        <v>325</v>
      </c>
      <c r="G3563" s="16" t="s">
        <v>255</v>
      </c>
      <c r="H3563" s="16" t="s">
        <v>368</v>
      </c>
      <c r="I3563" s="16" t="s">
        <v>463</v>
      </c>
    </row>
    <row r="3564" ht="242.25" customHeight="1">
      <c r="B3564" s="32" t="str">
        <f>IMAGE("https://gymvisual.com/6510-catalog_default/standing-calf-raise-on-a-staircase.jpg",4,500,500)</f>
        <v/>
      </c>
      <c r="C3564" s="30">
        <v>3563.0</v>
      </c>
      <c r="D3564" s="16" t="s">
        <v>4453</v>
      </c>
      <c r="E3564" s="16" t="s">
        <v>184</v>
      </c>
      <c r="F3564" s="16" t="s">
        <v>325</v>
      </c>
      <c r="G3564" s="16" t="s">
        <v>255</v>
      </c>
      <c r="H3564" s="16" t="s">
        <v>368</v>
      </c>
      <c r="I3564" s="16" t="s">
        <v>463</v>
      </c>
    </row>
    <row r="3565" ht="242.25" customHeight="1">
      <c r="B3565" s="32" t="str">
        <f>IMAGE("https://gymvisual.com/10305-catalog_default/standing-calf-raise-on-a-staircase-female.jpg",4,500,500)</f>
        <v/>
      </c>
      <c r="C3565" s="30">
        <v>3564.0</v>
      </c>
      <c r="D3565" s="16" t="s">
        <v>4454</v>
      </c>
      <c r="E3565" s="16" t="s">
        <v>184</v>
      </c>
      <c r="F3565" s="16" t="s">
        <v>325</v>
      </c>
      <c r="G3565" s="16" t="s">
        <v>255</v>
      </c>
      <c r="H3565" s="16" t="s">
        <v>552</v>
      </c>
      <c r="I3565" s="16" t="s">
        <v>463</v>
      </c>
    </row>
    <row r="3566" ht="242.25" customHeight="1">
      <c r="B3566" s="32" t="str">
        <f>IMAGE("https://gymvisual.com/22438-catalog_default/standing-calf-raise-circle.jpg",4,500,500)</f>
        <v/>
      </c>
      <c r="C3566" s="30">
        <v>3565.0</v>
      </c>
      <c r="D3566" s="16" t="s">
        <v>4455</v>
      </c>
      <c r="E3566" s="16" t="s">
        <v>184</v>
      </c>
      <c r="F3566" s="16" t="s">
        <v>325</v>
      </c>
      <c r="G3566" s="16" t="s">
        <v>255</v>
      </c>
      <c r="H3566" s="16" t="s">
        <v>220</v>
      </c>
      <c r="I3566" s="16" t="s">
        <v>220</v>
      </c>
    </row>
    <row r="3567" ht="242.25" customHeight="1">
      <c r="B3567" s="32" t="str">
        <f>IMAGE("https://gymvisual.com/12495-catalog_default/standing-calf-raise-with-support-female.jpg",4,500,500)</f>
        <v/>
      </c>
      <c r="C3567" s="30">
        <v>3566.0</v>
      </c>
      <c r="D3567" s="16" t="s">
        <v>4456</v>
      </c>
      <c r="E3567" s="16" t="s">
        <v>184</v>
      </c>
      <c r="F3567" s="16" t="s">
        <v>325</v>
      </c>
      <c r="G3567" s="16" t="s">
        <v>255</v>
      </c>
      <c r="H3567" s="16" t="s">
        <v>368</v>
      </c>
      <c r="I3567" s="16" t="s">
        <v>463</v>
      </c>
    </row>
    <row r="3568" ht="242.25" customHeight="1">
      <c r="B3568" s="32" t="str">
        <f>IMAGE("https://gymvisual.com/6094-catalog_default/standing-gastrocnemius.jpg",4,500,500)</f>
        <v/>
      </c>
      <c r="C3568" s="30">
        <v>3567.0</v>
      </c>
      <c r="D3568" s="16" t="s">
        <v>4457</v>
      </c>
      <c r="E3568" s="16" t="s">
        <v>184</v>
      </c>
      <c r="F3568" s="16"/>
      <c r="G3568" s="16"/>
      <c r="H3568" s="16" t="s">
        <v>561</v>
      </c>
      <c r="I3568" s="16" t="s">
        <v>220</v>
      </c>
    </row>
    <row r="3569" ht="242.25" customHeight="1">
      <c r="B3569" s="32" t="str">
        <f>IMAGE("https://gymvisual.com/20565-catalog_default/standing-hands-position-pronation-supination-neutral.jpg",4,500,500)</f>
        <v/>
      </c>
      <c r="C3569" s="30">
        <v>3568.0</v>
      </c>
      <c r="D3569" s="16" t="s">
        <v>4458</v>
      </c>
      <c r="E3569" s="16" t="s">
        <v>184</v>
      </c>
      <c r="F3569" s="16" t="s">
        <v>214</v>
      </c>
      <c r="G3569" s="16" t="s">
        <v>255</v>
      </c>
      <c r="H3569" s="16" t="s">
        <v>220</v>
      </c>
      <c r="I3569" s="16" t="s">
        <v>220</v>
      </c>
    </row>
    <row r="3570" ht="242.25" customHeight="1">
      <c r="B3570" s="32" t="str">
        <f>IMAGE("https://gymvisual.com/2365-catalog_default/standing-hip-abduction.jpg",4,500,500)</f>
        <v/>
      </c>
      <c r="C3570" s="30">
        <v>3569.0</v>
      </c>
      <c r="D3570" s="16" t="s">
        <v>4459</v>
      </c>
      <c r="E3570" s="16" t="s">
        <v>184</v>
      </c>
      <c r="F3570" s="16" t="s">
        <v>185</v>
      </c>
      <c r="G3570" s="16" t="s">
        <v>255</v>
      </c>
      <c r="H3570" s="16" t="s">
        <v>508</v>
      </c>
      <c r="I3570" s="16" t="s">
        <v>220</v>
      </c>
    </row>
    <row r="3571" ht="242.25" customHeight="1">
      <c r="B3571" s="32" t="str">
        <f>IMAGE("https://gymvisual.com/2362-catalog_default/standing-hip-abduction-bent-knee.jpg",4,500,500)</f>
        <v/>
      </c>
      <c r="C3571" s="30">
        <v>3570.0</v>
      </c>
      <c r="D3571" s="16" t="s">
        <v>4460</v>
      </c>
      <c r="E3571" s="16" t="s">
        <v>184</v>
      </c>
      <c r="F3571" s="16" t="s">
        <v>185</v>
      </c>
      <c r="G3571" s="16" t="s">
        <v>255</v>
      </c>
      <c r="H3571" s="16" t="s">
        <v>508</v>
      </c>
      <c r="I3571" s="16" t="s">
        <v>220</v>
      </c>
    </row>
    <row r="3572" ht="242.25" customHeight="1">
      <c r="B3572" s="32" t="str">
        <f>IMAGE("https://gymvisual.com/23935-catalog_default/standing-hip-adduction-version-2.jpg",4,500,500)</f>
        <v/>
      </c>
      <c r="C3572" s="30">
        <v>3571.0</v>
      </c>
      <c r="D3572" s="16" t="s">
        <v>4461</v>
      </c>
      <c r="E3572" s="16" t="s">
        <v>184</v>
      </c>
      <c r="F3572" s="16" t="s">
        <v>185</v>
      </c>
      <c r="G3572" s="16" t="s">
        <v>255</v>
      </c>
      <c r="H3572" s="16" t="s">
        <v>514</v>
      </c>
      <c r="I3572" s="16" t="s">
        <v>515</v>
      </c>
    </row>
    <row r="3573" ht="242.25" customHeight="1">
      <c r="B3573" s="32" t="str">
        <f>IMAGE("https://gymvisual.com/2368-catalog_default/standing-hip-extension-bent-knee.jpg",4,500,500)</f>
        <v/>
      </c>
      <c r="C3573" s="30">
        <v>3572.0</v>
      </c>
      <c r="D3573" s="16" t="s">
        <v>4462</v>
      </c>
      <c r="E3573" s="16" t="s">
        <v>184</v>
      </c>
      <c r="F3573" s="16" t="s">
        <v>185</v>
      </c>
      <c r="G3573" s="16" t="s">
        <v>255</v>
      </c>
      <c r="H3573" s="16" t="s">
        <v>187</v>
      </c>
      <c r="I3573" s="16" t="s">
        <v>188</v>
      </c>
    </row>
    <row r="3574" ht="242.25" customHeight="1">
      <c r="B3574" s="32" t="str">
        <f>IMAGE("https://gymvisual.com/10902-catalog_default/standing-hip-extension-straight-leg-female.jpg",4,500,500)</f>
        <v/>
      </c>
      <c r="C3574" s="30">
        <v>3573.0</v>
      </c>
      <c r="D3574" s="16" t="s">
        <v>4463</v>
      </c>
      <c r="E3574" s="16" t="s">
        <v>184</v>
      </c>
      <c r="F3574" s="16" t="s">
        <v>185</v>
      </c>
      <c r="G3574" s="16" t="s">
        <v>255</v>
      </c>
      <c r="H3574" s="16" t="s">
        <v>187</v>
      </c>
      <c r="I3574" s="16" t="s">
        <v>188</v>
      </c>
    </row>
    <row r="3575" ht="242.25" customHeight="1">
      <c r="B3575" s="32" t="str">
        <f>IMAGE("https://gymvisual.com/2371-catalog_default/standing-lateral-raise-with-band.jpg",4,500,500)</f>
        <v/>
      </c>
      <c r="C3575" s="30">
        <v>3574.0</v>
      </c>
      <c r="D3575" s="16" t="s">
        <v>4464</v>
      </c>
      <c r="E3575" s="16" t="s">
        <v>184</v>
      </c>
      <c r="F3575" s="16" t="s">
        <v>228</v>
      </c>
      <c r="G3575" s="16" t="s">
        <v>291</v>
      </c>
      <c r="H3575" s="16" t="s">
        <v>229</v>
      </c>
      <c r="I3575" s="16" t="s">
        <v>244</v>
      </c>
    </row>
    <row r="3576" ht="242.25" customHeight="1">
      <c r="B3576" s="32" t="str">
        <f>IMAGE("https://gymvisual.com/19941-catalog_default/standing-leg-circle.jpg",4,500,500)</f>
        <v/>
      </c>
      <c r="C3576" s="30">
        <v>3575.0</v>
      </c>
      <c r="D3576" s="16" t="s">
        <v>4465</v>
      </c>
      <c r="E3576" s="16" t="s">
        <v>184</v>
      </c>
      <c r="F3576" s="16" t="s">
        <v>185</v>
      </c>
      <c r="G3576" s="16" t="s">
        <v>255</v>
      </c>
      <c r="H3576" s="16" t="s">
        <v>2066</v>
      </c>
      <c r="I3576" s="16" t="s">
        <v>220</v>
      </c>
    </row>
    <row r="3577" ht="242.25" customHeight="1">
      <c r="B3577" s="32" t="str">
        <f>IMAGE("https://gymvisual.com/19429-catalog_default/standing-leg-slide-with-towel.jpg",4,500,500)</f>
        <v/>
      </c>
      <c r="C3577" s="30">
        <v>3576.0</v>
      </c>
      <c r="D3577" s="16" t="s">
        <v>4466</v>
      </c>
      <c r="E3577" s="16" t="s">
        <v>184</v>
      </c>
      <c r="F3577" s="16" t="s">
        <v>285</v>
      </c>
      <c r="G3577" s="16" t="s">
        <v>255</v>
      </c>
      <c r="H3577" s="16" t="s">
        <v>220</v>
      </c>
      <c r="I3577" s="16" t="s">
        <v>220</v>
      </c>
    </row>
    <row r="3578" ht="242.25" customHeight="1">
      <c r="B3578" s="32" t="str">
        <f>IMAGE("https://gymvisual.com/4596-catalog_default/standing-plate-presses.jpg",4,500,500)</f>
        <v/>
      </c>
      <c r="C3578" s="30">
        <v>3577.0</v>
      </c>
      <c r="D3578" s="16" t="s">
        <v>4467</v>
      </c>
      <c r="E3578" s="16" t="s">
        <v>184</v>
      </c>
      <c r="F3578" s="16" t="s">
        <v>228</v>
      </c>
      <c r="G3578" s="16" t="s">
        <v>396</v>
      </c>
      <c r="H3578" s="16" t="s">
        <v>229</v>
      </c>
      <c r="I3578" s="16" t="s">
        <v>2400</v>
      </c>
    </row>
    <row r="3579" ht="242.25" customHeight="1">
      <c r="B3579" s="32" t="str">
        <f>IMAGE("https://gymvisual.com/18856-catalog_default/standing-side-bend-bent-arm-male.jpg",4,500,500)</f>
        <v/>
      </c>
      <c r="C3579" s="30">
        <v>3578.0</v>
      </c>
      <c r="D3579" s="16" t="s">
        <v>4468</v>
      </c>
      <c r="E3579" s="16" t="s">
        <v>184</v>
      </c>
      <c r="F3579" s="16" t="s">
        <v>254</v>
      </c>
      <c r="G3579" s="16" t="s">
        <v>255</v>
      </c>
      <c r="H3579" s="16" t="s">
        <v>257</v>
      </c>
      <c r="I3579" s="16" t="s">
        <v>271</v>
      </c>
    </row>
    <row r="3580" ht="242.25" customHeight="1">
      <c r="B3580" s="32" t="str">
        <f>IMAGE("https://gymvisual.com/22728-catalog_default/standing-side-bend-bent-arm-male.jpg",4,500,500)</f>
        <v/>
      </c>
      <c r="C3580" s="30">
        <v>3579.0</v>
      </c>
      <c r="D3580" s="16" t="s">
        <v>4468</v>
      </c>
      <c r="E3580" s="16" t="s">
        <v>184</v>
      </c>
      <c r="F3580" s="16" t="s">
        <v>254</v>
      </c>
      <c r="G3580" s="16" t="s">
        <v>255</v>
      </c>
      <c r="H3580" s="16" t="s">
        <v>257</v>
      </c>
      <c r="I3580" s="16" t="s">
        <v>271</v>
      </c>
    </row>
    <row r="3581" ht="242.25" customHeight="1">
      <c r="B3581" s="32" t="str">
        <f>IMAGE("https://gymvisual.com/23663-catalog_default/standing-side-bend-version-2-female.jpg",4,500,500)</f>
        <v/>
      </c>
      <c r="C3581" s="30">
        <v>3580.0</v>
      </c>
      <c r="D3581" s="16" t="s">
        <v>4469</v>
      </c>
      <c r="E3581" s="16" t="s">
        <v>184</v>
      </c>
      <c r="F3581" s="16" t="s">
        <v>254</v>
      </c>
      <c r="G3581" s="16" t="s">
        <v>255</v>
      </c>
      <c r="H3581" s="16" t="s">
        <v>257</v>
      </c>
      <c r="I3581" s="16" t="s">
        <v>271</v>
      </c>
    </row>
    <row r="3582" ht="242.25" customHeight="1">
      <c r="B3582" s="32" t="str">
        <f>IMAGE("https://gymvisual.com/23573-catalog_default/standing-side-leg-raise.jpg",4,500,500)</f>
        <v/>
      </c>
      <c r="C3582" s="30">
        <v>3581.0</v>
      </c>
      <c r="D3582" s="16" t="s">
        <v>4470</v>
      </c>
      <c r="E3582" s="16" t="s">
        <v>184</v>
      </c>
      <c r="F3582" s="16" t="s">
        <v>185</v>
      </c>
      <c r="G3582" s="16" t="s">
        <v>255</v>
      </c>
      <c r="H3582" s="16" t="s">
        <v>4011</v>
      </c>
      <c r="I3582" s="16" t="s">
        <v>296</v>
      </c>
    </row>
    <row r="3583" ht="242.25" customHeight="1">
      <c r="B3583" s="32" t="str">
        <f>IMAGE("https://gymvisual.com/20090-catalog_default/standing-single-leg-calf-raise-on-a-staircase.jpg",4,500,500)</f>
        <v/>
      </c>
      <c r="C3583" s="30">
        <v>3582.0</v>
      </c>
      <c r="D3583" s="16" t="s">
        <v>4471</v>
      </c>
      <c r="E3583" s="16" t="s">
        <v>184</v>
      </c>
      <c r="F3583" s="16" t="s">
        <v>325</v>
      </c>
      <c r="G3583" s="16" t="s">
        <v>255</v>
      </c>
      <c r="H3583" s="16" t="s">
        <v>368</v>
      </c>
      <c r="I3583" s="16" t="s">
        <v>463</v>
      </c>
    </row>
    <row r="3584" ht="242.25" customHeight="1">
      <c r="B3584" s="32" t="str">
        <f>IMAGE("https://gymvisual.com/22317-catalog_default/standing-single-leg-calf-raise-balance.jpg",4,500,500)</f>
        <v/>
      </c>
      <c r="C3584" s="30">
        <v>3583.0</v>
      </c>
      <c r="D3584" s="16" t="s">
        <v>4472</v>
      </c>
      <c r="E3584" s="16" t="s">
        <v>184</v>
      </c>
      <c r="F3584" s="16" t="s">
        <v>325</v>
      </c>
      <c r="G3584" s="16" t="s">
        <v>255</v>
      </c>
      <c r="H3584" s="16" t="s">
        <v>220</v>
      </c>
      <c r="I3584" s="16" t="s">
        <v>220</v>
      </c>
    </row>
    <row r="3585" ht="242.25" customHeight="1">
      <c r="B3585" s="32" t="str">
        <f>IMAGE("https://gymvisual.com/16038-catalog_default/standing-single-leg-calf-raise-with-support-female.jpg",4,500,500)</f>
        <v/>
      </c>
      <c r="C3585" s="30">
        <v>3584.0</v>
      </c>
      <c r="D3585" s="16" t="s">
        <v>4473</v>
      </c>
      <c r="E3585" s="16" t="s">
        <v>184</v>
      </c>
      <c r="F3585" s="16" t="s">
        <v>325</v>
      </c>
      <c r="G3585" s="16" t="s">
        <v>255</v>
      </c>
      <c r="H3585" s="16" t="s">
        <v>368</v>
      </c>
      <c r="I3585" s="16" t="s">
        <v>463</v>
      </c>
    </row>
    <row r="3586" ht="242.25" customHeight="1">
      <c r="B3586" s="32" t="str">
        <f>IMAGE("https://gymvisual.com/20495-catalog_default/standing-single-leg-curl.jpg",4,500,500)</f>
        <v/>
      </c>
      <c r="C3586" s="30">
        <v>3585.0</v>
      </c>
      <c r="D3586" s="16" t="s">
        <v>4474</v>
      </c>
      <c r="E3586" s="16" t="s">
        <v>184</v>
      </c>
      <c r="F3586" s="16" t="s">
        <v>285</v>
      </c>
      <c r="G3586" s="16" t="s">
        <v>255</v>
      </c>
      <c r="H3586" s="16" t="s">
        <v>188</v>
      </c>
      <c r="I3586" s="16" t="s">
        <v>368</v>
      </c>
    </row>
    <row r="3587" ht="242.25" customHeight="1">
      <c r="B3587" s="32" t="str">
        <f>IMAGE("https://gymvisual.com/22783-catalog_default/standing-single-leg-high-knee-to-butt-kick-with-support.jpg",4,500,500)</f>
        <v/>
      </c>
      <c r="C3587" s="30">
        <v>3586.0</v>
      </c>
      <c r="D3587" s="16" t="s">
        <v>4475</v>
      </c>
      <c r="E3587" s="16" t="s">
        <v>184</v>
      </c>
      <c r="F3587" s="16" t="s">
        <v>185</v>
      </c>
      <c r="G3587" s="16" t="s">
        <v>255</v>
      </c>
      <c r="H3587" s="16" t="s">
        <v>4476</v>
      </c>
      <c r="I3587" s="16" t="s">
        <v>1115</v>
      </c>
    </row>
    <row r="3588" ht="242.25" customHeight="1">
      <c r="B3588" s="32" t="str">
        <f>IMAGE("https://gymvisual.com/2380-catalog_default/standing-wheel-rollout.jpg",4,500,500)</f>
        <v/>
      </c>
      <c r="C3588" s="30">
        <v>3587.0</v>
      </c>
      <c r="D3588" s="16" t="s">
        <v>4477</v>
      </c>
      <c r="E3588" s="16" t="s">
        <v>184</v>
      </c>
      <c r="F3588" s="16" t="s">
        <v>254</v>
      </c>
      <c r="G3588" s="16" t="s">
        <v>4478</v>
      </c>
      <c r="H3588" s="16" t="s">
        <v>305</v>
      </c>
      <c r="I3588" s="16" t="s">
        <v>1005</v>
      </c>
    </row>
    <row r="3589" ht="242.25" customHeight="1">
      <c r="B3589" s="32" t="str">
        <f>IMAGE("https://gymvisual.com/18860-catalog_default/standing-wheel-rollout-female.jpg",4,500,500)</f>
        <v/>
      </c>
      <c r="C3589" s="30">
        <v>3588.0</v>
      </c>
      <c r="D3589" s="16" t="s">
        <v>4479</v>
      </c>
      <c r="E3589" s="16" t="s">
        <v>184</v>
      </c>
      <c r="F3589" s="16" t="s">
        <v>254</v>
      </c>
      <c r="G3589" s="16" t="s">
        <v>255</v>
      </c>
      <c r="H3589" s="16" t="s">
        <v>305</v>
      </c>
      <c r="I3589" s="16" t="s">
        <v>1005</v>
      </c>
    </row>
    <row r="3590" ht="242.25" customHeight="1">
      <c r="B3590" s="32" t="str">
        <f>IMAGE("https://gymvisual.com/12080-catalog_default/starfish-crunch-advanced-female.jpg",4,500,500)</f>
        <v/>
      </c>
      <c r="C3590" s="30">
        <v>3589.0</v>
      </c>
      <c r="D3590" s="16" t="s">
        <v>4480</v>
      </c>
      <c r="E3590" s="16" t="s">
        <v>184</v>
      </c>
      <c r="F3590" s="16" t="s">
        <v>254</v>
      </c>
      <c r="G3590" s="16" t="s">
        <v>255</v>
      </c>
      <c r="H3590" s="16" t="s">
        <v>220</v>
      </c>
      <c r="I3590" s="16" t="s">
        <v>220</v>
      </c>
    </row>
    <row r="3591" ht="242.25" customHeight="1">
      <c r="B3591" s="32" t="str">
        <f>IMAGE("https://gymvisual.com/12079-catalog_default/starfish-crunch-beginner-female.jpg",4,500,500)</f>
        <v/>
      </c>
      <c r="C3591" s="30">
        <v>3590.0</v>
      </c>
      <c r="D3591" s="16" t="s">
        <v>4481</v>
      </c>
      <c r="E3591" s="16" t="s">
        <v>184</v>
      </c>
      <c r="F3591" s="16" t="s">
        <v>254</v>
      </c>
      <c r="G3591" s="16" t="s">
        <v>255</v>
      </c>
      <c r="H3591" s="16" t="s">
        <v>263</v>
      </c>
      <c r="I3591" s="16" t="s">
        <v>4482</v>
      </c>
    </row>
    <row r="3592" ht="242.25" customHeight="1">
      <c r="B3592" s="32" t="str">
        <f>IMAGE("https://gymvisual.com/17701-catalog_default/starfish-crunch-beginner-male.jpg",4,500,500)</f>
        <v/>
      </c>
      <c r="C3592" s="30">
        <v>3591.0</v>
      </c>
      <c r="D3592" s="16" t="s">
        <v>4483</v>
      </c>
      <c r="E3592" s="16" t="s">
        <v>184</v>
      </c>
      <c r="F3592" s="16" t="s">
        <v>254</v>
      </c>
      <c r="G3592" s="16" t="s">
        <v>255</v>
      </c>
      <c r="H3592" s="16" t="s">
        <v>263</v>
      </c>
      <c r="I3592" s="16" t="s">
        <v>4484</v>
      </c>
    </row>
    <row r="3593" ht="242.25" customHeight="1">
      <c r="B3593" s="32" t="str">
        <f>IMAGE("https://gymvisual.com/22730-catalog_default/static-lunge.jpg",4,500,500)</f>
        <v/>
      </c>
      <c r="C3593" s="30">
        <v>3592.0</v>
      </c>
      <c r="D3593" s="16" t="s">
        <v>4485</v>
      </c>
      <c r="E3593" s="16" t="s">
        <v>184</v>
      </c>
      <c r="F3593" s="16" t="s">
        <v>285</v>
      </c>
      <c r="G3593" s="16" t="s">
        <v>255</v>
      </c>
      <c r="H3593" s="16" t="s">
        <v>189</v>
      </c>
      <c r="I3593" s="16" t="s">
        <v>4486</v>
      </c>
    </row>
    <row r="3594" ht="242.25" customHeight="1">
      <c r="B3594" s="32" t="str">
        <f>IMAGE("https://gymvisual.com/23683-catalog_default/stationary-arms-throw.jpg",4,500,500)</f>
        <v/>
      </c>
      <c r="C3594" s="30">
        <v>3593.0</v>
      </c>
      <c r="D3594" s="16" t="s">
        <v>4487</v>
      </c>
      <c r="E3594" s="16" t="s">
        <v>184</v>
      </c>
      <c r="F3594" s="16" t="s">
        <v>192</v>
      </c>
      <c r="G3594" s="16" t="s">
        <v>255</v>
      </c>
      <c r="H3594" s="16" t="s">
        <v>300</v>
      </c>
      <c r="I3594" s="16" t="s">
        <v>4309</v>
      </c>
    </row>
    <row r="3595" ht="242.25" customHeight="1">
      <c r="B3595" s="32" t="str">
        <f>IMAGE("https://gymvisual.com/18919-catalog_default/step-up.jpg",4,500,500)</f>
        <v/>
      </c>
      <c r="C3595" s="30">
        <v>3594.0</v>
      </c>
      <c r="D3595" s="16" t="s">
        <v>4488</v>
      </c>
      <c r="E3595" s="16" t="s">
        <v>184</v>
      </c>
      <c r="F3595" s="16" t="s">
        <v>185</v>
      </c>
      <c r="G3595" s="16" t="s">
        <v>255</v>
      </c>
      <c r="H3595" s="16" t="s">
        <v>189</v>
      </c>
      <c r="I3595" s="16" t="s">
        <v>2046</v>
      </c>
    </row>
    <row r="3596" ht="242.25" customHeight="1">
      <c r="B3596" s="32" t="str">
        <f>IMAGE("https://gymvisual.com/13910-catalog_default/step-up-on-chair.jpg",4,500,500)</f>
        <v/>
      </c>
      <c r="C3596" s="30">
        <v>3595.0</v>
      </c>
      <c r="D3596" s="16" t="s">
        <v>4489</v>
      </c>
      <c r="E3596" s="16" t="s">
        <v>184</v>
      </c>
      <c r="F3596" s="16"/>
      <c r="G3596" s="16"/>
      <c r="H3596" s="16" t="s">
        <v>189</v>
      </c>
      <c r="I3596" s="16" t="s">
        <v>2046</v>
      </c>
    </row>
    <row r="3597" ht="242.25" customHeight="1">
      <c r="B3597" s="32" t="str">
        <f>IMAGE("https://gymvisual.com/18726-catalog_default/stepdown-squat.jpg",4,500,500)</f>
        <v/>
      </c>
      <c r="C3597" s="30">
        <v>3596.0</v>
      </c>
      <c r="D3597" s="16" t="s">
        <v>4490</v>
      </c>
      <c r="E3597" s="16" t="s">
        <v>184</v>
      </c>
      <c r="F3597" s="16" t="s">
        <v>285</v>
      </c>
      <c r="G3597" s="16" t="s">
        <v>255</v>
      </c>
      <c r="H3597" s="16" t="s">
        <v>220</v>
      </c>
      <c r="I3597" s="16" t="s">
        <v>220</v>
      </c>
    </row>
    <row r="3598" ht="242.25" customHeight="1">
      <c r="B3598" s="32" t="str">
        <f>IMAGE("https://gymvisual.com/22365-catalog_default/straight-leg-dead-bug.jpg",4,500,500)</f>
        <v/>
      </c>
      <c r="C3598" s="30">
        <v>3597.0</v>
      </c>
      <c r="D3598" s="16" t="s">
        <v>4491</v>
      </c>
      <c r="E3598" s="16" t="s">
        <v>184</v>
      </c>
      <c r="F3598" s="16" t="s">
        <v>254</v>
      </c>
      <c r="G3598" s="16" t="s">
        <v>255</v>
      </c>
      <c r="H3598" s="16" t="s">
        <v>220</v>
      </c>
      <c r="I3598" s="16" t="s">
        <v>220</v>
      </c>
    </row>
    <row r="3599" ht="242.25" customHeight="1">
      <c r="B3599" s="32" t="str">
        <f>IMAGE("https://gymvisual.com/18724-catalog_default/straight-leg-hip-bridge.jpg",4,500,500)</f>
        <v/>
      </c>
      <c r="C3599" s="30">
        <v>3598.0</v>
      </c>
      <c r="D3599" s="16" t="s">
        <v>4492</v>
      </c>
      <c r="E3599" s="16" t="s">
        <v>184</v>
      </c>
      <c r="F3599" s="16" t="s">
        <v>185</v>
      </c>
      <c r="G3599" s="16" t="s">
        <v>255</v>
      </c>
      <c r="H3599" s="16" t="s">
        <v>220</v>
      </c>
      <c r="I3599" s="16" t="s">
        <v>220</v>
      </c>
    </row>
    <row r="3600" ht="242.25" customHeight="1">
      <c r="B3600" s="32" t="str">
        <f>IMAGE("https://gymvisual.com/6421-catalog_default/straight-leg-kickback-kneeling.jpg",4,500,500)</f>
        <v/>
      </c>
      <c r="C3600" s="30">
        <v>3599.0</v>
      </c>
      <c r="D3600" s="16" t="s">
        <v>4493</v>
      </c>
      <c r="E3600" s="16" t="s">
        <v>184</v>
      </c>
      <c r="F3600" s="16" t="s">
        <v>185</v>
      </c>
      <c r="G3600" s="16" t="s">
        <v>255</v>
      </c>
      <c r="H3600" s="16" t="s">
        <v>187</v>
      </c>
      <c r="I3600" s="16" t="s">
        <v>188</v>
      </c>
    </row>
    <row r="3601" ht="242.25" customHeight="1">
      <c r="B3601" s="32" t="str">
        <f>IMAGE("https://gymvisual.com/13497-catalog_default/straight-leg-kickback-kneeling-male.jpg",4,500,500)</f>
        <v/>
      </c>
      <c r="C3601" s="30">
        <v>3600.0</v>
      </c>
      <c r="D3601" s="16" t="s">
        <v>4494</v>
      </c>
      <c r="E3601" s="16" t="s">
        <v>184</v>
      </c>
      <c r="F3601" s="16" t="s">
        <v>185</v>
      </c>
      <c r="G3601" s="16" t="s">
        <v>255</v>
      </c>
      <c r="H3601" s="16" t="s">
        <v>187</v>
      </c>
      <c r="I3601" s="16" t="s">
        <v>188</v>
      </c>
    </row>
    <row r="3602" ht="242.25" customHeight="1">
      <c r="B3602" s="32" t="str">
        <f>IMAGE("https://gymvisual.com/6279-catalog_default/straight-leg-outer-hip-abductor.jpg",4,500,500)</f>
        <v/>
      </c>
      <c r="C3602" s="30">
        <v>3601.0</v>
      </c>
      <c r="D3602" s="16" t="s">
        <v>4495</v>
      </c>
      <c r="E3602" s="16" t="s">
        <v>184</v>
      </c>
      <c r="F3602" s="16" t="s">
        <v>185</v>
      </c>
      <c r="G3602" s="16" t="s">
        <v>255</v>
      </c>
      <c r="H3602" s="16" t="s">
        <v>508</v>
      </c>
      <c r="I3602" s="16" t="s">
        <v>220</v>
      </c>
    </row>
    <row r="3603" ht="242.25" customHeight="1">
      <c r="B3603" s="32" t="str">
        <f>IMAGE("https://gymvisual.com/22734-catalog_default/straight-leg-sit-up.jpg",4,500,500)</f>
        <v/>
      </c>
      <c r="C3603" s="30">
        <v>3602.0</v>
      </c>
      <c r="D3603" s="16" t="s">
        <v>4496</v>
      </c>
      <c r="E3603" s="16" t="s">
        <v>184</v>
      </c>
      <c r="F3603" s="16" t="s">
        <v>254</v>
      </c>
      <c r="G3603" s="16" t="s">
        <v>255</v>
      </c>
      <c r="H3603" s="16" t="s">
        <v>305</v>
      </c>
      <c r="I3603" s="16" t="s">
        <v>600</v>
      </c>
    </row>
    <row r="3604" ht="242.25" customHeight="1">
      <c r="B3604" s="32" t="str">
        <f>IMAGE("https://gymvisual.com/22833-catalog_default/straight-leg-sit-up-female.jpg",4,500,500)</f>
        <v/>
      </c>
      <c r="C3604" s="30">
        <v>3603.0</v>
      </c>
      <c r="D3604" s="16" t="s">
        <v>4497</v>
      </c>
      <c r="E3604" s="16" t="s">
        <v>184</v>
      </c>
      <c r="F3604" s="16" t="s">
        <v>254</v>
      </c>
      <c r="G3604" s="16" t="s">
        <v>255</v>
      </c>
      <c r="H3604" s="16" t="s">
        <v>305</v>
      </c>
      <c r="I3604" s="16" t="s">
        <v>319</v>
      </c>
    </row>
    <row r="3605" ht="242.25" customHeight="1">
      <c r="B3605" s="32" t="str">
        <f>IMAGE("https://gymvisual.com/10888-catalog_default/strongman-apollons-axle.jpg",4,500,500)</f>
        <v/>
      </c>
      <c r="C3605" s="30">
        <v>3604.0</v>
      </c>
      <c r="D3605" s="16" t="s">
        <v>4498</v>
      </c>
      <c r="E3605" s="16" t="s">
        <v>184</v>
      </c>
      <c r="F3605" s="16"/>
      <c r="G3605" s="16"/>
      <c r="H3605" s="16" t="s">
        <v>220</v>
      </c>
      <c r="I3605" s="16" t="s">
        <v>220</v>
      </c>
    </row>
    <row r="3606" ht="242.25" customHeight="1">
      <c r="B3606" s="32" t="str">
        <f>IMAGE("https://gymvisual.com/10816-catalog_default/strongman-arm-over-arm.jpg",4,500,500)</f>
        <v/>
      </c>
      <c r="C3606" s="30">
        <v>3605.0</v>
      </c>
      <c r="D3606" s="16" t="s">
        <v>4499</v>
      </c>
      <c r="E3606" s="16" t="s">
        <v>184</v>
      </c>
      <c r="F3606" s="16" t="s">
        <v>764</v>
      </c>
      <c r="G3606" s="16" t="s">
        <v>255</v>
      </c>
      <c r="H3606" s="16" t="s">
        <v>220</v>
      </c>
      <c r="I3606" s="16" t="s">
        <v>220</v>
      </c>
    </row>
    <row r="3607" ht="242.25" customHeight="1">
      <c r="B3607" s="32" t="str">
        <f>IMAGE("https://gymvisual.com/10861-catalog_default/strongman-atlas-stones.jpg",4,500,500)</f>
        <v/>
      </c>
      <c r="C3607" s="30">
        <v>3606.0</v>
      </c>
      <c r="D3607" s="16" t="s">
        <v>4500</v>
      </c>
      <c r="E3607" s="16" t="s">
        <v>184</v>
      </c>
      <c r="F3607" s="16" t="s">
        <v>645</v>
      </c>
      <c r="G3607" s="16" t="s">
        <v>396</v>
      </c>
      <c r="H3607" s="16" t="s">
        <v>220</v>
      </c>
      <c r="I3607" s="16" t="s">
        <v>220</v>
      </c>
    </row>
    <row r="3608" ht="242.25" customHeight="1">
      <c r="A3608" s="32" t="b">
        <v>0</v>
      </c>
      <c r="B3608" s="32" t="str">
        <f>IMAGE("https://gymvisual.com/10891-catalog_default/strongman-barbell-farmers-walk.jpg",4,500,500)</f>
        <v/>
      </c>
      <c r="C3608" s="30">
        <v>3607.0</v>
      </c>
      <c r="D3608" s="16" t="s">
        <v>4501</v>
      </c>
      <c r="E3608" s="16" t="s">
        <v>184</v>
      </c>
      <c r="F3608" s="16" t="s">
        <v>285</v>
      </c>
      <c r="G3608" s="16" t="s">
        <v>186</v>
      </c>
      <c r="H3608" s="16" t="s">
        <v>220</v>
      </c>
      <c r="I3608" s="16" t="s">
        <v>220</v>
      </c>
    </row>
    <row r="3609" ht="242.25" customHeight="1">
      <c r="B3609" s="32" t="str">
        <f>IMAGE("https://gymvisual.com/13563-catalog_default/strongman-car-flip.jpg",4,500,500)</f>
        <v/>
      </c>
      <c r="C3609" s="30">
        <v>3608.0</v>
      </c>
      <c r="D3609" s="16" t="s">
        <v>4502</v>
      </c>
      <c r="E3609" s="16" t="s">
        <v>184</v>
      </c>
      <c r="F3609" s="16" t="s">
        <v>4503</v>
      </c>
      <c r="G3609" s="16" t="s">
        <v>396</v>
      </c>
      <c r="H3609" s="16" t="s">
        <v>220</v>
      </c>
      <c r="I3609" s="16" t="s">
        <v>220</v>
      </c>
    </row>
    <row r="3610" ht="242.25" customHeight="1">
      <c r="B3610" s="32" t="str">
        <f>IMAGE("https://gymvisual.com/10837-catalog_default/strongman-circle-of-conan.jpg",4,500,500)</f>
        <v/>
      </c>
      <c r="C3610" s="30">
        <v>3609.0</v>
      </c>
      <c r="D3610" s="16" t="s">
        <v>4504</v>
      </c>
      <c r="E3610" s="16" t="s">
        <v>184</v>
      </c>
      <c r="F3610" s="16" t="s">
        <v>285</v>
      </c>
      <c r="G3610" s="16" t="s">
        <v>396</v>
      </c>
      <c r="H3610" s="16" t="s">
        <v>220</v>
      </c>
      <c r="I3610" s="16" t="s">
        <v>220</v>
      </c>
    </row>
    <row r="3611" ht="242.25" customHeight="1">
      <c r="B3611" s="32" t="str">
        <f>IMAGE("https://gymvisual.com/10840-catalog_default/strongman-crucifix-hold.jpg",4,500,500)</f>
        <v/>
      </c>
      <c r="C3611" s="30">
        <v>3610.0</v>
      </c>
      <c r="D3611" s="16" t="s">
        <v>4505</v>
      </c>
      <c r="E3611" s="16" t="s">
        <v>184</v>
      </c>
      <c r="F3611" s="16" t="s">
        <v>228</v>
      </c>
      <c r="G3611" s="16" t="s">
        <v>396</v>
      </c>
      <c r="H3611" s="16" t="s">
        <v>220</v>
      </c>
      <c r="I3611" s="16" t="s">
        <v>220</v>
      </c>
    </row>
    <row r="3612" ht="242.25" customHeight="1">
      <c r="A3612" s="32" t="b">
        <v>0</v>
      </c>
      <c r="B3612" s="32" t="str">
        <f>IMAGE("https://gymvisual.com/10876-catalog_default/strongman-deadlift.jpg",4,500,500)</f>
        <v/>
      </c>
      <c r="C3612" s="30">
        <v>3611.0</v>
      </c>
      <c r="D3612" s="16" t="s">
        <v>4506</v>
      </c>
      <c r="E3612" s="16" t="s">
        <v>184</v>
      </c>
      <c r="F3612" s="16" t="s">
        <v>294</v>
      </c>
      <c r="G3612" s="16" t="s">
        <v>186</v>
      </c>
      <c r="H3612" s="16" t="s">
        <v>220</v>
      </c>
      <c r="I3612" s="16" t="s">
        <v>220</v>
      </c>
    </row>
    <row r="3613" ht="242.25" customHeight="1">
      <c r="B3613" s="32" t="str">
        <f>IMAGE("https://gymvisual.com/10822-catalog_default/strongman-duck-walk.jpg",4,500,500)</f>
        <v/>
      </c>
      <c r="C3613" s="30">
        <v>3612.0</v>
      </c>
      <c r="D3613" s="16" t="s">
        <v>4507</v>
      </c>
      <c r="E3613" s="16" t="s">
        <v>184</v>
      </c>
      <c r="F3613" s="16" t="s">
        <v>285</v>
      </c>
      <c r="G3613" s="16" t="s">
        <v>396</v>
      </c>
      <c r="H3613" s="16" t="s">
        <v>220</v>
      </c>
      <c r="I3613" s="16" t="s">
        <v>220</v>
      </c>
    </row>
    <row r="3614" ht="242.25" customHeight="1">
      <c r="A3614" s="32" t="b">
        <v>0</v>
      </c>
      <c r="B3614" s="32" t="str">
        <f>IMAGE("https://gymvisual.com/10885-catalog_default/strongman-dumbbell-one-arm-clean-and-jerk.jpg",4,500,500)</f>
        <v/>
      </c>
      <c r="C3614" s="30">
        <v>3613.0</v>
      </c>
      <c r="D3614" s="16" t="s">
        <v>4508</v>
      </c>
      <c r="E3614" s="16" t="s">
        <v>184</v>
      </c>
      <c r="F3614" s="16" t="s">
        <v>691</v>
      </c>
      <c r="G3614" s="16" t="s">
        <v>222</v>
      </c>
      <c r="H3614" s="16" t="s">
        <v>220</v>
      </c>
      <c r="I3614" s="16" t="s">
        <v>220</v>
      </c>
    </row>
    <row r="3615" ht="242.25" customHeight="1">
      <c r="B3615" s="32" t="str">
        <f>IMAGE("https://gymvisual.com/13549-catalog_default/strongman-fingals-fingers.jpg",4,500,500)</f>
        <v/>
      </c>
      <c r="C3615" s="30">
        <v>3614.0</v>
      </c>
      <c r="D3615" s="16" t="s">
        <v>4509</v>
      </c>
      <c r="E3615" s="16" t="s">
        <v>184</v>
      </c>
      <c r="F3615" s="16" t="s">
        <v>1172</v>
      </c>
      <c r="G3615" s="16" t="s">
        <v>396</v>
      </c>
      <c r="H3615" s="16" t="s">
        <v>220</v>
      </c>
      <c r="I3615" s="16" t="s">
        <v>220</v>
      </c>
    </row>
    <row r="3616" ht="242.25" customHeight="1">
      <c r="A3616" s="32" t="b">
        <v>0</v>
      </c>
      <c r="B3616" s="32" t="str">
        <f>IMAGE("https://gymvisual.com/10873-catalog_default/strongman-front-chest-squat.jpg",4,500,500)</f>
        <v/>
      </c>
      <c r="C3616" s="30">
        <v>3615.0</v>
      </c>
      <c r="D3616" s="16" t="s">
        <v>4510</v>
      </c>
      <c r="E3616" s="16" t="s">
        <v>184</v>
      </c>
      <c r="F3616" s="16" t="s">
        <v>294</v>
      </c>
      <c r="G3616" s="16" t="s">
        <v>186</v>
      </c>
      <c r="H3616" s="16" t="s">
        <v>220</v>
      </c>
      <c r="I3616" s="16" t="s">
        <v>220</v>
      </c>
    </row>
    <row r="3617" ht="242.25" customHeight="1">
      <c r="B3617" s="32" t="str">
        <f>IMAGE("https://gymvisual.com/10843-catalog_default/strongman-front-hold.jpg",4,500,500)</f>
        <v/>
      </c>
      <c r="C3617" s="30">
        <v>3616.0</v>
      </c>
      <c r="D3617" s="16" t="s">
        <v>4511</v>
      </c>
      <c r="E3617" s="16" t="s">
        <v>184</v>
      </c>
      <c r="F3617" s="16" t="s">
        <v>228</v>
      </c>
      <c r="G3617" s="16" t="s">
        <v>396</v>
      </c>
      <c r="H3617" s="16" t="s">
        <v>220</v>
      </c>
      <c r="I3617" s="16" t="s">
        <v>220</v>
      </c>
    </row>
    <row r="3618" ht="242.25" customHeight="1">
      <c r="B3618" s="32" t="str">
        <f>IMAGE("https://gymvisual.com/10867-catalog_default/strongman-hercules-hold.jpg",4,500,500)</f>
        <v/>
      </c>
      <c r="C3618" s="30">
        <v>3617.0</v>
      </c>
      <c r="D3618" s="16" t="s">
        <v>4512</v>
      </c>
      <c r="E3618" s="16" t="s">
        <v>184</v>
      </c>
      <c r="F3618" s="16" t="s">
        <v>4513</v>
      </c>
      <c r="G3618" s="16" t="s">
        <v>396</v>
      </c>
      <c r="H3618" s="16" t="s">
        <v>220</v>
      </c>
      <c r="I3618" s="16" t="s">
        <v>220</v>
      </c>
    </row>
    <row r="3619" ht="242.25" customHeight="1">
      <c r="B3619" s="32" t="str">
        <f>IMAGE("https://gymvisual.com/10855-catalog_default/strongman-hood-stones.jpg",4,500,500)</f>
        <v/>
      </c>
      <c r="C3619" s="30">
        <v>3618.0</v>
      </c>
      <c r="D3619" s="16" t="s">
        <v>4514</v>
      </c>
      <c r="E3619" s="16" t="s">
        <v>184</v>
      </c>
      <c r="F3619" s="16" t="s">
        <v>4515</v>
      </c>
      <c r="G3619" s="16" t="s">
        <v>396</v>
      </c>
      <c r="H3619" s="16" t="s">
        <v>220</v>
      </c>
      <c r="I3619" s="16" t="s">
        <v>220</v>
      </c>
    </row>
    <row r="3620" ht="242.25" customHeight="1">
      <c r="B3620" s="32" t="str">
        <f>IMAGE("https://gymvisual.com/10831-catalog_default/strongman-iceland-cross.jpg",4,500,500)</f>
        <v/>
      </c>
      <c r="C3620" s="30">
        <v>3619.0</v>
      </c>
      <c r="D3620" s="16" t="s">
        <v>4516</v>
      </c>
      <c r="E3620" s="16" t="s">
        <v>184</v>
      </c>
      <c r="F3620" s="16" t="s">
        <v>285</v>
      </c>
      <c r="G3620" s="16" t="s">
        <v>396</v>
      </c>
      <c r="H3620" s="16" t="s">
        <v>220</v>
      </c>
      <c r="I3620" s="16" t="s">
        <v>220</v>
      </c>
    </row>
    <row r="3621" ht="242.25" customHeight="1">
      <c r="B3621" s="32" t="str">
        <f>IMAGE("https://gymvisual.com/10828-catalog_default/strongman-iron-block-press.jpg",4,500,500)</f>
        <v/>
      </c>
      <c r="C3621" s="30">
        <v>3620.0</v>
      </c>
      <c r="D3621" s="16" t="s">
        <v>4517</v>
      </c>
      <c r="E3621" s="16" t="s">
        <v>184</v>
      </c>
      <c r="F3621" s="16" t="s">
        <v>228</v>
      </c>
      <c r="G3621" s="16" t="s">
        <v>396</v>
      </c>
      <c r="H3621" s="16" t="s">
        <v>220</v>
      </c>
      <c r="I3621" s="16" t="s">
        <v>220</v>
      </c>
    </row>
    <row r="3622" ht="242.25" customHeight="1">
      <c r="B3622" s="32" t="str">
        <f>IMAGE("https://gymvisual.com/13551-catalog_default/strongman-keg-toss.jpg",4,500,500)</f>
        <v/>
      </c>
      <c r="C3622" s="30">
        <v>3621.0</v>
      </c>
      <c r="D3622" s="16" t="s">
        <v>4518</v>
      </c>
      <c r="E3622" s="16" t="s">
        <v>184</v>
      </c>
      <c r="F3622" s="16" t="s">
        <v>4519</v>
      </c>
      <c r="G3622" s="16" t="s">
        <v>396</v>
      </c>
      <c r="H3622" s="16" t="s">
        <v>220</v>
      </c>
      <c r="I3622" s="16" t="s">
        <v>220</v>
      </c>
    </row>
    <row r="3623" ht="242.25" customHeight="1">
      <c r="B3623" s="32" t="str">
        <f>IMAGE("https://gymvisual.com/10852-catalog_default/strongman-loading.jpg",4,500,500)</f>
        <v/>
      </c>
      <c r="C3623" s="30">
        <v>3622.0</v>
      </c>
      <c r="D3623" s="16" t="s">
        <v>4520</v>
      </c>
      <c r="E3623" s="16" t="s">
        <v>184</v>
      </c>
      <c r="F3623" s="16" t="s">
        <v>484</v>
      </c>
      <c r="G3623" s="16" t="s">
        <v>396</v>
      </c>
      <c r="H3623" s="16" t="s">
        <v>220</v>
      </c>
      <c r="I3623" s="16" t="s">
        <v>220</v>
      </c>
    </row>
    <row r="3624" ht="242.25" customHeight="1">
      <c r="B3624" s="32" t="str">
        <f>IMAGE("https://gymvisual.com/10810-catalog_default/strongman-log-lift.jpg",4,500,500)</f>
        <v/>
      </c>
      <c r="C3624" s="30">
        <v>3623.0</v>
      </c>
      <c r="D3624" s="16" t="s">
        <v>4521</v>
      </c>
      <c r="E3624" s="16" t="s">
        <v>184</v>
      </c>
      <c r="F3624" s="16" t="s">
        <v>764</v>
      </c>
      <c r="G3624" s="16" t="s">
        <v>255</v>
      </c>
      <c r="H3624" s="16" t="s">
        <v>220</v>
      </c>
      <c r="I3624" s="16" t="s">
        <v>220</v>
      </c>
    </row>
    <row r="3625" ht="242.25" customHeight="1">
      <c r="B3625" s="32" t="str">
        <f>IMAGE("https://gymvisual.com/10813-catalog_default/strongman-mas-wrestling.jpg",4,500,500)</f>
        <v/>
      </c>
      <c r="C3625" s="30">
        <v>3624.0</v>
      </c>
      <c r="D3625" s="16" t="s">
        <v>4522</v>
      </c>
      <c r="E3625" s="16" t="s">
        <v>184</v>
      </c>
      <c r="F3625" s="16" t="s">
        <v>764</v>
      </c>
      <c r="G3625" s="16" t="s">
        <v>255</v>
      </c>
      <c r="H3625" s="16" t="s">
        <v>220</v>
      </c>
      <c r="I3625" s="16" t="s">
        <v>220</v>
      </c>
    </row>
    <row r="3626" ht="242.25" customHeight="1">
      <c r="B3626" s="32" t="str">
        <f>IMAGE("https://gymvisual.com/10864-catalog_default/strongman-power-stairs.jpg",4,500,500)</f>
        <v/>
      </c>
      <c r="C3626" s="30">
        <v>3625.0</v>
      </c>
      <c r="D3626" s="16" t="s">
        <v>4523</v>
      </c>
      <c r="E3626" s="16" t="s">
        <v>184</v>
      </c>
      <c r="F3626" s="16" t="s">
        <v>294</v>
      </c>
      <c r="G3626" s="16" t="s">
        <v>396</v>
      </c>
      <c r="H3626" s="16" t="s">
        <v>220</v>
      </c>
      <c r="I3626" s="16" t="s">
        <v>220</v>
      </c>
    </row>
    <row r="3627" ht="242.25" customHeight="1">
      <c r="B3627" s="32" t="str">
        <f>IMAGE("https://gymvisual.com/10825-catalog_default/strongman-sandbag-walk.jpg",4,500,500)</f>
        <v/>
      </c>
      <c r="C3627" s="30">
        <v>3626.0</v>
      </c>
      <c r="D3627" s="16" t="s">
        <v>4524</v>
      </c>
      <c r="E3627" s="16" t="s">
        <v>184</v>
      </c>
      <c r="F3627" s="16" t="s">
        <v>285</v>
      </c>
      <c r="G3627" s="16" t="s">
        <v>396</v>
      </c>
      <c r="H3627" s="16" t="s">
        <v>220</v>
      </c>
      <c r="I3627" s="16" t="s">
        <v>220</v>
      </c>
    </row>
    <row r="3628" ht="242.25" customHeight="1">
      <c r="B3628" s="32" t="str">
        <f>IMAGE("https://gymvisual.com/10870-catalog_default/strongman-shield-carry.jpg",4,500,500)</f>
        <v/>
      </c>
      <c r="C3628" s="30">
        <v>3627.0</v>
      </c>
      <c r="D3628" s="16" t="s">
        <v>4525</v>
      </c>
      <c r="E3628" s="16" t="s">
        <v>184</v>
      </c>
      <c r="F3628" s="16" t="s">
        <v>285</v>
      </c>
      <c r="G3628" s="16" t="s">
        <v>396</v>
      </c>
      <c r="H3628" s="16" t="s">
        <v>220</v>
      </c>
      <c r="I3628" s="16" t="s">
        <v>220</v>
      </c>
    </row>
    <row r="3629" ht="242.25" customHeight="1">
      <c r="B3629" s="32" t="str">
        <f>IMAGE("https://gymvisual.com/10849-catalog_default/strongman-squats-with-platform.jpg",4,500,500)</f>
        <v/>
      </c>
      <c r="C3629" s="30">
        <v>3628.0</v>
      </c>
      <c r="D3629" s="16" t="s">
        <v>4526</v>
      </c>
      <c r="E3629" s="16" t="s">
        <v>184</v>
      </c>
      <c r="F3629" s="16" t="s">
        <v>294</v>
      </c>
      <c r="G3629" s="16" t="s">
        <v>396</v>
      </c>
      <c r="H3629" s="16" t="s">
        <v>220</v>
      </c>
      <c r="I3629" s="16" t="s">
        <v>220</v>
      </c>
    </row>
    <row r="3630" ht="242.25" customHeight="1">
      <c r="B3630" s="32" t="str">
        <f>IMAGE("https://gymvisual.com/10834-catalog_default/strongman-timber-carry.jpg",4,500,500)</f>
        <v/>
      </c>
      <c r="C3630" s="30">
        <v>3629.0</v>
      </c>
      <c r="D3630" s="16" t="s">
        <v>4527</v>
      </c>
      <c r="E3630" s="16" t="s">
        <v>184</v>
      </c>
      <c r="F3630" s="16" t="s">
        <v>285</v>
      </c>
      <c r="G3630" s="16" t="s">
        <v>396</v>
      </c>
      <c r="H3630" s="16" t="s">
        <v>220</v>
      </c>
      <c r="I3630" s="16" t="s">
        <v>220</v>
      </c>
    </row>
    <row r="3631" ht="242.25" customHeight="1">
      <c r="B3631" s="32" t="str">
        <f>IMAGE("https://gymvisual.com/10879-catalog_default/strongman-tire-flip.jpg",4,500,500)</f>
        <v/>
      </c>
      <c r="C3631" s="30">
        <v>3630.0</v>
      </c>
      <c r="D3631" s="16" t="s">
        <v>4528</v>
      </c>
      <c r="E3631" s="16" t="s">
        <v>184</v>
      </c>
      <c r="F3631" s="16" t="s">
        <v>764</v>
      </c>
      <c r="G3631" s="16" t="s">
        <v>396</v>
      </c>
      <c r="H3631" s="16" t="s">
        <v>220</v>
      </c>
      <c r="I3631" s="16" t="s">
        <v>220</v>
      </c>
    </row>
    <row r="3632" ht="242.25" customHeight="1">
      <c r="B3632" s="32" t="str">
        <f>IMAGE("https://gymvisual.com/10819-catalog_default/strongman-truck-pull.jpg",4,500,500)</f>
        <v/>
      </c>
      <c r="C3632" s="30">
        <v>3631.0</v>
      </c>
      <c r="D3632" s="16" t="s">
        <v>4529</v>
      </c>
      <c r="E3632" s="16" t="s">
        <v>184</v>
      </c>
      <c r="F3632" s="16" t="s">
        <v>764</v>
      </c>
      <c r="G3632" s="16" t="s">
        <v>255</v>
      </c>
      <c r="H3632" s="16" t="s">
        <v>220</v>
      </c>
      <c r="I3632" s="16" t="s">
        <v>220</v>
      </c>
    </row>
    <row r="3633" ht="242.25" customHeight="1">
      <c r="B3633" s="32" t="str">
        <f>IMAGE("https://gymvisual.com/10846-catalog_default/strongman-viking-press.jpg",4,500,500)</f>
        <v/>
      </c>
      <c r="C3633" s="30">
        <v>3632.0</v>
      </c>
      <c r="D3633" s="16" t="s">
        <v>4530</v>
      </c>
      <c r="E3633" s="16" t="s">
        <v>184</v>
      </c>
      <c r="F3633" s="16" t="s">
        <v>1129</v>
      </c>
      <c r="G3633" s="16" t="s">
        <v>396</v>
      </c>
      <c r="H3633" s="16" t="s">
        <v>220</v>
      </c>
      <c r="I3633" s="16" t="s">
        <v>220</v>
      </c>
    </row>
    <row r="3634" ht="242.25" customHeight="1">
      <c r="B3634" s="32" t="str">
        <f>IMAGE("https://gymvisual.com/10882-catalog_default/strongman-weight-for-height.jpg",4,500,500)</f>
        <v/>
      </c>
      <c r="C3634" s="30">
        <v>3633.0</v>
      </c>
      <c r="D3634" s="16" t="s">
        <v>4531</v>
      </c>
      <c r="E3634" s="16" t="s">
        <v>184</v>
      </c>
      <c r="F3634" s="16" t="s">
        <v>185</v>
      </c>
      <c r="G3634" s="16" t="s">
        <v>396</v>
      </c>
      <c r="H3634" s="16" t="s">
        <v>220</v>
      </c>
      <c r="I3634" s="16" t="s">
        <v>220</v>
      </c>
    </row>
    <row r="3635" ht="242.25" customHeight="1">
      <c r="B3635" s="32" t="str">
        <f>IMAGE("https://gymvisual.com/10858-catalog_default/strongman-wheelbarrow.jpg",4,500,500)</f>
        <v/>
      </c>
      <c r="C3635" s="30">
        <v>3634.0</v>
      </c>
      <c r="D3635" s="16" t="s">
        <v>4532</v>
      </c>
      <c r="E3635" s="16" t="s">
        <v>184</v>
      </c>
      <c r="F3635" s="16" t="s">
        <v>285</v>
      </c>
      <c r="G3635" s="16" t="s">
        <v>396</v>
      </c>
      <c r="H3635" s="16" t="s">
        <v>220</v>
      </c>
      <c r="I3635" s="16" t="s">
        <v>220</v>
      </c>
    </row>
    <row r="3636" ht="242.25" customHeight="1">
      <c r="B3636" s="32" t="str">
        <f>IMAGE("https://gymvisual.com/10894-catalog_default/strongman-yoke-walk.jpg",4,500,500)</f>
        <v/>
      </c>
      <c r="C3636" s="30">
        <v>3635.0</v>
      </c>
      <c r="D3636" s="16" t="s">
        <v>4533</v>
      </c>
      <c r="E3636" s="16" t="s">
        <v>184</v>
      </c>
      <c r="F3636" s="16" t="s">
        <v>294</v>
      </c>
      <c r="G3636" s="16" t="s">
        <v>396</v>
      </c>
      <c r="H3636" s="16" t="s">
        <v>220</v>
      </c>
      <c r="I3636" s="16" t="s">
        <v>220</v>
      </c>
    </row>
    <row r="3637" ht="242.25" customHeight="1">
      <c r="B3637" s="32" t="str">
        <f>IMAGE("https://gymvisual.com/22490-catalog_default/sumo-air-squat.jpg",4,500,500)</f>
        <v/>
      </c>
      <c r="C3637" s="30">
        <v>3636.0</v>
      </c>
      <c r="D3637" s="16" t="s">
        <v>4534</v>
      </c>
      <c r="E3637" s="16" t="s">
        <v>184</v>
      </c>
      <c r="F3637" s="16" t="s">
        <v>185</v>
      </c>
      <c r="G3637" s="16" t="s">
        <v>255</v>
      </c>
      <c r="H3637" s="16" t="s">
        <v>220</v>
      </c>
      <c r="I3637" s="16" t="s">
        <v>220</v>
      </c>
    </row>
    <row r="3638" ht="242.25" customHeight="1">
      <c r="A3638" s="32" t="b">
        <v>0</v>
      </c>
      <c r="B3638" s="32" t="str">
        <f>IMAGE("https://gymvisual.com/4567-catalog_default/sumo-deadlift-high-pull.jpg",4,500,500)</f>
        <v/>
      </c>
      <c r="C3638" s="30">
        <v>3637.0</v>
      </c>
      <c r="D3638" s="16" t="s">
        <v>4535</v>
      </c>
      <c r="E3638" s="16" t="s">
        <v>184</v>
      </c>
      <c r="F3638" s="16" t="s">
        <v>228</v>
      </c>
      <c r="G3638" s="16" t="s">
        <v>186</v>
      </c>
      <c r="H3638" s="16" t="s">
        <v>799</v>
      </c>
      <c r="I3638" s="16" t="s">
        <v>4536</v>
      </c>
    </row>
    <row r="3639" ht="242.25" customHeight="1">
      <c r="B3639" s="32" t="str">
        <f>IMAGE("https://gymvisual.com/9814-catalog_default/sumo-squat.jpg",4,500,500)</f>
        <v/>
      </c>
      <c r="C3639" s="30">
        <v>3638.0</v>
      </c>
      <c r="D3639" s="16" t="s">
        <v>4537</v>
      </c>
      <c r="E3639" s="16" t="s">
        <v>184</v>
      </c>
      <c r="F3639" s="16" t="s">
        <v>285</v>
      </c>
      <c r="G3639" s="16" t="s">
        <v>255</v>
      </c>
      <c r="H3639" s="16" t="s">
        <v>189</v>
      </c>
      <c r="I3639" s="16" t="s">
        <v>902</v>
      </c>
    </row>
    <row r="3640" ht="242.25" customHeight="1">
      <c r="B3640" s="32" t="str">
        <f>IMAGE("https://gymvisual.com/4085-catalog_default/sumo-squat.jpg",4,500,500)</f>
        <v/>
      </c>
      <c r="C3640" s="30">
        <v>3639.0</v>
      </c>
      <c r="D3640" s="16" t="s">
        <v>4537</v>
      </c>
      <c r="E3640" s="16" t="s">
        <v>184</v>
      </c>
      <c r="F3640" s="16" t="s">
        <v>285</v>
      </c>
      <c r="G3640" s="16" t="s">
        <v>255</v>
      </c>
      <c r="H3640" s="16" t="s">
        <v>189</v>
      </c>
      <c r="I3640" s="16" t="s">
        <v>1127</v>
      </c>
    </row>
    <row r="3641" ht="242.25" customHeight="1">
      <c r="B3641" s="32" t="str">
        <f>IMAGE("https://gymvisual.com/22764-catalog_default/sumo-squat-floor-touch.jpg",4,500,500)</f>
        <v/>
      </c>
      <c r="C3641" s="30">
        <v>3640.0</v>
      </c>
      <c r="D3641" s="16" t="s">
        <v>4538</v>
      </c>
      <c r="E3641" s="16" t="s">
        <v>184</v>
      </c>
      <c r="F3641" s="16" t="s">
        <v>185</v>
      </c>
      <c r="G3641" s="16" t="s">
        <v>255</v>
      </c>
      <c r="H3641" s="16" t="s">
        <v>189</v>
      </c>
      <c r="I3641" s="16" t="s">
        <v>902</v>
      </c>
    </row>
    <row r="3642" ht="242.25" customHeight="1">
      <c r="B3642" s="32" t="str">
        <f>IMAGE("https://gymvisual.com/2403-catalog_default/superman.jpg",4,500,500)</f>
        <v/>
      </c>
      <c r="C3642" s="30">
        <v>3641.0</v>
      </c>
      <c r="D3642" s="16" t="s">
        <v>4539</v>
      </c>
      <c r="E3642" s="16" t="s">
        <v>184</v>
      </c>
      <c r="F3642" s="16" t="s">
        <v>254</v>
      </c>
      <c r="G3642" s="16" t="s">
        <v>255</v>
      </c>
      <c r="H3642" s="16" t="s">
        <v>275</v>
      </c>
      <c r="I3642" s="16" t="s">
        <v>2412</v>
      </c>
    </row>
    <row r="3643" ht="242.25" customHeight="1">
      <c r="B3643" s="32" t="str">
        <f>IMAGE("https://gymvisual.com/13777-catalog_default/superman-male.jpg",4,500,500)</f>
        <v/>
      </c>
      <c r="C3643" s="30">
        <v>3642.0</v>
      </c>
      <c r="D3643" s="16" t="s">
        <v>4540</v>
      </c>
      <c r="E3643" s="16" t="s">
        <v>184</v>
      </c>
      <c r="F3643" s="16" t="s">
        <v>185</v>
      </c>
      <c r="G3643" s="16" t="s">
        <v>255</v>
      </c>
      <c r="H3643" s="16" t="s">
        <v>275</v>
      </c>
      <c r="I3643" s="16" t="s">
        <v>2412</v>
      </c>
    </row>
    <row r="3644" ht="242.25" customHeight="1">
      <c r="B3644" s="32" t="str">
        <f>IMAGE("https://gymvisual.com/2400-catalog_default/superman-push-up.jpg",4,500,500)</f>
        <v/>
      </c>
      <c r="C3644" s="30">
        <v>3643.0</v>
      </c>
      <c r="D3644" s="16" t="s">
        <v>4541</v>
      </c>
      <c r="E3644" s="16" t="s">
        <v>184</v>
      </c>
      <c r="F3644" s="16" t="s">
        <v>234</v>
      </c>
      <c r="G3644" s="16" t="s">
        <v>255</v>
      </c>
      <c r="H3644" s="16" t="s">
        <v>4542</v>
      </c>
      <c r="I3644" s="16" t="s">
        <v>4543</v>
      </c>
    </row>
    <row r="3645" ht="242.25" customHeight="1">
      <c r="B3645" s="32" t="str">
        <f>IMAGE("https://gymvisual.com/22819-catalog_default/superman-row-female.jpg",4,500,500)</f>
        <v/>
      </c>
      <c r="C3645" s="30">
        <v>3644.0</v>
      </c>
      <c r="D3645" s="16" t="s">
        <v>4544</v>
      </c>
      <c r="E3645" s="16" t="s">
        <v>184</v>
      </c>
      <c r="F3645" s="16" t="s">
        <v>192</v>
      </c>
      <c r="G3645" s="16" t="s">
        <v>255</v>
      </c>
      <c r="H3645" s="16" t="s">
        <v>4545</v>
      </c>
      <c r="I3645" s="16" t="s">
        <v>4546</v>
      </c>
    </row>
    <row r="3646" ht="242.25" customHeight="1">
      <c r="B3646" s="32" t="str">
        <f>IMAGE("https://gymvisual.com/14145-catalog_default/superman-row-with-towel.jpg",4,500,500)</f>
        <v/>
      </c>
      <c r="C3646" s="30">
        <v>3645.0</v>
      </c>
      <c r="D3646" s="16" t="s">
        <v>4547</v>
      </c>
      <c r="E3646" s="16" t="s">
        <v>184</v>
      </c>
      <c r="F3646" s="16" t="s">
        <v>3183</v>
      </c>
      <c r="G3646" s="16" t="s">
        <v>255</v>
      </c>
      <c r="H3646" s="16" t="s">
        <v>4548</v>
      </c>
      <c r="I3646" s="16" t="s">
        <v>4549</v>
      </c>
    </row>
    <row r="3647" ht="242.25" customHeight="1">
      <c r="B3647" s="32" t="str">
        <f>IMAGE("https://gymvisual.com/24079-catalog_default/superman-w.jpg",4,500,500)</f>
        <v/>
      </c>
      <c r="C3647" s="30">
        <v>3646.0</v>
      </c>
      <c r="D3647" s="16" t="s">
        <v>4550</v>
      </c>
      <c r="E3647" s="16" t="s">
        <v>184</v>
      </c>
      <c r="F3647" s="16" t="s">
        <v>185</v>
      </c>
      <c r="G3647" s="16" t="s">
        <v>255</v>
      </c>
      <c r="H3647" s="16" t="s">
        <v>220</v>
      </c>
      <c r="I3647" s="16" t="s">
        <v>220</v>
      </c>
    </row>
    <row r="3648" ht="242.25" customHeight="1">
      <c r="B3648" s="32" t="str">
        <f>IMAGE("https://gymvisual.com/24077-catalog_default/superman-w-to-y.jpg",4,500,500)</f>
        <v/>
      </c>
      <c r="C3648" s="30">
        <v>3647.0</v>
      </c>
      <c r="D3648" s="16" t="s">
        <v>4551</v>
      </c>
      <c r="E3648" s="16" t="s">
        <v>184</v>
      </c>
      <c r="F3648" s="16" t="s">
        <v>185</v>
      </c>
      <c r="G3648" s="16" t="s">
        <v>255</v>
      </c>
      <c r="H3648" s="16" t="s">
        <v>220</v>
      </c>
      <c r="I3648" s="16" t="s">
        <v>220</v>
      </c>
    </row>
    <row r="3649" ht="242.25" customHeight="1">
      <c r="B3649" s="32" t="str">
        <f>IMAGE("https://gymvisual.com/24334-catalog_default/supinated-grip-inverted-row-female.jpg",4,500,500)</f>
        <v/>
      </c>
      <c r="C3649" s="30">
        <v>3648.0</v>
      </c>
      <c r="D3649" s="16" t="s">
        <v>4552</v>
      </c>
      <c r="E3649" s="16" t="s">
        <v>184</v>
      </c>
      <c r="F3649" s="16" t="s">
        <v>192</v>
      </c>
      <c r="G3649" s="16" t="s">
        <v>255</v>
      </c>
      <c r="H3649" s="16" t="s">
        <v>220</v>
      </c>
      <c r="I3649" s="16" t="s">
        <v>220</v>
      </c>
    </row>
    <row r="3650" ht="242.25" customHeight="1">
      <c r="B3650" s="32" t="str">
        <f>IMAGE("https://gymvisual.com/23855-catalog_default/supinated-narrow-grip-pull-up.jpg",4,500,500)</f>
        <v/>
      </c>
      <c r="C3650" s="30">
        <v>3649.0</v>
      </c>
      <c r="D3650" s="16" t="s">
        <v>4553</v>
      </c>
      <c r="E3650" s="16" t="s">
        <v>184</v>
      </c>
      <c r="F3650" s="16" t="s">
        <v>192</v>
      </c>
      <c r="G3650" s="16" t="s">
        <v>255</v>
      </c>
      <c r="H3650" s="16" t="s">
        <v>220</v>
      </c>
      <c r="I3650" s="16" t="s">
        <v>220</v>
      </c>
    </row>
    <row r="3651" ht="242.25" customHeight="1">
      <c r="B3651" s="32" t="str">
        <f>IMAGE("https://gymvisual.com/22319-catalog_default/supported-squat-female.jpg",4,500,500)</f>
        <v/>
      </c>
      <c r="C3651" s="30">
        <v>3650.0</v>
      </c>
      <c r="D3651" s="16" t="s">
        <v>4554</v>
      </c>
      <c r="E3651" s="16" t="s">
        <v>184</v>
      </c>
      <c r="F3651" s="16" t="s">
        <v>285</v>
      </c>
      <c r="G3651" s="16" t="s">
        <v>255</v>
      </c>
      <c r="H3651" s="16" t="s">
        <v>220</v>
      </c>
      <c r="I3651" s="16" t="s">
        <v>220</v>
      </c>
    </row>
    <row r="3652" ht="242.25" customHeight="1">
      <c r="B3652" s="32" t="str">
        <f>IMAGE("https://gymvisual.com/2406-catalog_default/suspended-abdominal-fallout.jpg",4,500,500)</f>
        <v/>
      </c>
      <c r="C3652" s="30">
        <v>3651.0</v>
      </c>
      <c r="D3652" s="16" t="s">
        <v>4555</v>
      </c>
      <c r="E3652" s="16" t="s">
        <v>184</v>
      </c>
      <c r="F3652" s="16" t="s">
        <v>254</v>
      </c>
      <c r="G3652" s="16" t="s">
        <v>255</v>
      </c>
      <c r="H3652" s="16" t="s">
        <v>256</v>
      </c>
      <c r="I3652" s="16" t="s">
        <v>4556</v>
      </c>
    </row>
    <row r="3653" ht="242.25" customHeight="1">
      <c r="B3653" s="32" t="str">
        <f>IMAGE("https://gymvisual.com/2409-catalog_default/suspended-push-up.jpg",4,500,500)</f>
        <v/>
      </c>
      <c r="C3653" s="30">
        <v>3652.0</v>
      </c>
      <c r="D3653" s="16" t="s">
        <v>4557</v>
      </c>
      <c r="E3653" s="16" t="s">
        <v>184</v>
      </c>
      <c r="F3653" s="16" t="s">
        <v>234</v>
      </c>
      <c r="G3653" s="16" t="s">
        <v>255</v>
      </c>
      <c r="H3653" s="16" t="s">
        <v>347</v>
      </c>
      <c r="I3653" s="16" t="s">
        <v>3020</v>
      </c>
    </row>
    <row r="3654" ht="242.25" customHeight="1">
      <c r="B3654" s="32" t="str">
        <f>IMAGE("https://gymvisual.com/2412-catalog_default/suspended-reverse-crunch.jpg",4,500,500)</f>
        <v/>
      </c>
      <c r="C3654" s="30">
        <v>3653.0</v>
      </c>
      <c r="D3654" s="16" t="s">
        <v>4558</v>
      </c>
      <c r="E3654" s="16" t="s">
        <v>184</v>
      </c>
      <c r="F3654" s="16" t="s">
        <v>254</v>
      </c>
      <c r="G3654" s="16" t="s">
        <v>255</v>
      </c>
      <c r="H3654" s="16" t="s">
        <v>256</v>
      </c>
      <c r="I3654" s="16" t="s">
        <v>4203</v>
      </c>
    </row>
    <row r="3655" ht="242.25" customHeight="1">
      <c r="B3655" s="32" t="str">
        <f>IMAGE("https://gymvisual.com/2415-catalog_default/suspended-row.jpg",4,500,500)</f>
        <v/>
      </c>
      <c r="C3655" s="30">
        <v>3654.0</v>
      </c>
      <c r="D3655" s="16" t="s">
        <v>4559</v>
      </c>
      <c r="E3655" s="16" t="s">
        <v>184</v>
      </c>
      <c r="F3655" s="16" t="s">
        <v>192</v>
      </c>
      <c r="G3655" s="16" t="s">
        <v>255</v>
      </c>
      <c r="H3655" s="16" t="s">
        <v>3041</v>
      </c>
      <c r="I3655" s="16" t="s">
        <v>330</v>
      </c>
    </row>
    <row r="3656" ht="242.25" customHeight="1">
      <c r="B3656" s="32" t="str">
        <f>IMAGE("https://gymvisual.com/2418-catalog_default/suspended-split-squat.jpg",4,500,500)</f>
        <v/>
      </c>
      <c r="C3656" s="30">
        <v>3655.0</v>
      </c>
      <c r="D3656" s="16" t="s">
        <v>4560</v>
      </c>
      <c r="E3656" s="16" t="s">
        <v>184</v>
      </c>
      <c r="F3656" s="16" t="s">
        <v>285</v>
      </c>
      <c r="G3656" s="16" t="s">
        <v>255</v>
      </c>
      <c r="H3656" s="16" t="s">
        <v>189</v>
      </c>
      <c r="I3656" s="16" t="s">
        <v>190</v>
      </c>
    </row>
    <row r="3657" ht="242.25" customHeight="1">
      <c r="B3657" s="32" t="str">
        <f>IMAGE("https://gymvisual.com/22321-catalog_default/suspender-alternate-superman-female.jpg",4,500,500)</f>
        <v/>
      </c>
      <c r="C3657" s="30">
        <v>3656.0</v>
      </c>
      <c r="D3657" s="16" t="s">
        <v>4561</v>
      </c>
      <c r="E3657" s="16" t="s">
        <v>184</v>
      </c>
      <c r="F3657" s="16" t="s">
        <v>254</v>
      </c>
      <c r="G3657" s="16" t="s">
        <v>3009</v>
      </c>
      <c r="H3657" s="16" t="s">
        <v>220</v>
      </c>
      <c r="I3657" s="16" t="s">
        <v>220</v>
      </c>
    </row>
    <row r="3658" ht="242.25" customHeight="1">
      <c r="B3658" s="32" t="str">
        <f>IMAGE("https://gymvisual.com/17889-catalog_default/suspender-forward-lunge-with-rear-fly-male.jpg",4,500,500)</f>
        <v/>
      </c>
      <c r="C3658" s="30">
        <v>3657.0</v>
      </c>
      <c r="D3658" s="16" t="s">
        <v>4562</v>
      </c>
      <c r="E3658" s="16" t="s">
        <v>184</v>
      </c>
      <c r="F3658" s="16" t="s">
        <v>228</v>
      </c>
      <c r="G3658" s="16" t="s">
        <v>3009</v>
      </c>
      <c r="H3658" s="16" t="s">
        <v>220</v>
      </c>
      <c r="I3658" s="16" t="s">
        <v>220</v>
      </c>
    </row>
    <row r="3659" ht="242.25" customHeight="1">
      <c r="B3659" s="32" t="str">
        <f>IMAGE("https://gymvisual.com/22323-catalog_default/suspender-rollout-version-2-female.jpg",4,500,500)</f>
        <v/>
      </c>
      <c r="C3659" s="30">
        <v>3658.0</v>
      </c>
      <c r="D3659" s="16" t="s">
        <v>4563</v>
      </c>
      <c r="E3659" s="16" t="s">
        <v>184</v>
      </c>
      <c r="F3659" s="16" t="s">
        <v>254</v>
      </c>
      <c r="G3659" s="16" t="s">
        <v>3009</v>
      </c>
      <c r="H3659" s="16" t="s">
        <v>220</v>
      </c>
      <c r="I3659" s="16" t="s">
        <v>220</v>
      </c>
    </row>
    <row r="3660" ht="242.25" customHeight="1">
      <c r="B3660" s="32" t="str">
        <f>IMAGE("https://gymvisual.com/11993-catalog_default/suspender-weighted-inverted-row.jpg",4,500,500)</f>
        <v/>
      </c>
      <c r="C3660" s="30">
        <v>3659.0</v>
      </c>
      <c r="D3660" s="16" t="s">
        <v>4564</v>
      </c>
      <c r="E3660" s="16" t="s">
        <v>184</v>
      </c>
      <c r="F3660" s="16" t="s">
        <v>192</v>
      </c>
      <c r="G3660" s="16" t="s">
        <v>3009</v>
      </c>
      <c r="H3660" s="16" t="s">
        <v>220</v>
      </c>
      <c r="I3660" s="16" t="s">
        <v>220</v>
      </c>
    </row>
    <row r="3661" ht="242.25" customHeight="1">
      <c r="B3661" s="32" t="str">
        <f>IMAGE("https://gymvisual.com/11992-catalog_default/suspender-weighted-inverted-row-female.jpg",4,500,500)</f>
        <v/>
      </c>
      <c r="C3661" s="30">
        <v>3660.0</v>
      </c>
      <c r="D3661" s="16" t="s">
        <v>4565</v>
      </c>
      <c r="E3661" s="16" t="s">
        <v>184</v>
      </c>
      <c r="F3661" s="16" t="s">
        <v>192</v>
      </c>
      <c r="G3661" s="16" t="s">
        <v>3009</v>
      </c>
      <c r="H3661" s="16" t="s">
        <v>220</v>
      </c>
      <c r="I3661" s="16" t="s">
        <v>220</v>
      </c>
    </row>
    <row r="3662" ht="242.25" customHeight="1">
      <c r="B3662" s="32" t="str">
        <f>IMAGE("https://gymvisual.com/19002-catalog_default/suspender-wide-grip-inverted-row.jpg",4,500,500)</f>
        <v/>
      </c>
      <c r="C3662" s="30">
        <v>3661.0</v>
      </c>
      <c r="D3662" s="16" t="s">
        <v>4566</v>
      </c>
      <c r="E3662" s="16" t="s">
        <v>184</v>
      </c>
      <c r="F3662" s="16" t="s">
        <v>192</v>
      </c>
      <c r="G3662" s="16" t="s">
        <v>3009</v>
      </c>
      <c r="H3662" s="16" t="s">
        <v>329</v>
      </c>
      <c r="I3662" s="16" t="s">
        <v>447</v>
      </c>
    </row>
    <row r="3663" ht="242.25" customHeight="1">
      <c r="B3663" s="32" t="str">
        <f>IMAGE("https://gymvisual.com/19004-catalog_default/suspender-wide-grip-inverted-row-on-floor-female.jpg",4,500,500)</f>
        <v/>
      </c>
      <c r="C3663" s="30">
        <v>3662.0</v>
      </c>
      <c r="D3663" s="16" t="s">
        <v>4567</v>
      </c>
      <c r="E3663" s="16" t="s">
        <v>184</v>
      </c>
      <c r="F3663" s="16" t="s">
        <v>192</v>
      </c>
      <c r="G3663" s="16" t="s">
        <v>3009</v>
      </c>
      <c r="H3663" s="16" t="s">
        <v>329</v>
      </c>
      <c r="I3663" s="16" t="s">
        <v>447</v>
      </c>
    </row>
    <row r="3664" ht="242.25" customHeight="1">
      <c r="B3664" s="32" t="str">
        <f>IMAGE("https://gymvisual.com/4268-catalog_default/suspension-abduction-lunge.jpg",4,500,500)</f>
        <v/>
      </c>
      <c r="C3664" s="30">
        <v>3663.0</v>
      </c>
      <c r="D3664" s="16" t="s">
        <v>4568</v>
      </c>
      <c r="E3664" s="16" t="s">
        <v>184</v>
      </c>
      <c r="F3664" s="16" t="s">
        <v>285</v>
      </c>
      <c r="G3664" s="16" t="s">
        <v>3009</v>
      </c>
      <c r="H3664" s="16" t="s">
        <v>4569</v>
      </c>
      <c r="I3664" s="16" t="s">
        <v>902</v>
      </c>
    </row>
    <row r="3665" ht="242.25" customHeight="1">
      <c r="B3665" s="32" t="str">
        <f>IMAGE("https://gymvisual.com/4103-catalog_default/suspension-arm-curl.jpg",4,500,500)</f>
        <v/>
      </c>
      <c r="C3665" s="30">
        <v>3664.0</v>
      </c>
      <c r="D3665" s="16" t="s">
        <v>4570</v>
      </c>
      <c r="E3665" s="16" t="s">
        <v>184</v>
      </c>
      <c r="F3665" s="16" t="s">
        <v>219</v>
      </c>
      <c r="G3665" s="16" t="s">
        <v>3009</v>
      </c>
      <c r="H3665" s="16" t="s">
        <v>232</v>
      </c>
      <c r="I3665" s="16" t="s">
        <v>233</v>
      </c>
    </row>
    <row r="3666" ht="242.25" customHeight="1">
      <c r="B3666" s="32" t="str">
        <f>IMAGE("https://gymvisual.com/4217-catalog_default/suspension-arm-curl-to-ears.jpg",4,500,500)</f>
        <v/>
      </c>
      <c r="C3666" s="30">
        <v>3665.0</v>
      </c>
      <c r="D3666" s="16" t="s">
        <v>4571</v>
      </c>
      <c r="E3666" s="16" t="s">
        <v>184</v>
      </c>
      <c r="F3666" s="16" t="s">
        <v>219</v>
      </c>
      <c r="G3666" s="16" t="s">
        <v>3009</v>
      </c>
      <c r="H3666" s="16" t="s">
        <v>241</v>
      </c>
      <c r="I3666" s="16" t="s">
        <v>292</v>
      </c>
    </row>
    <row r="3667" ht="242.25" customHeight="1">
      <c r="B3667" s="32" t="str">
        <f>IMAGE("https://gymvisual.com/4106-catalog_default/suspension-bent-knee-inverted-row.jpg",4,500,500)</f>
        <v/>
      </c>
      <c r="C3667" s="30">
        <v>3666.0</v>
      </c>
      <c r="D3667" s="16" t="s">
        <v>4572</v>
      </c>
      <c r="E3667" s="16" t="s">
        <v>184</v>
      </c>
      <c r="F3667" s="16" t="s">
        <v>192</v>
      </c>
      <c r="G3667" s="16" t="s">
        <v>3009</v>
      </c>
      <c r="H3667" s="16" t="s">
        <v>329</v>
      </c>
      <c r="I3667" s="16" t="s">
        <v>457</v>
      </c>
    </row>
    <row r="3668" ht="242.25" customHeight="1">
      <c r="B3668" s="32" t="str">
        <f>IMAGE("https://gymvisual.com/4218-catalog_default/suspension-biceps-clutch.jpg",4,500,500)</f>
        <v/>
      </c>
      <c r="C3668" s="30">
        <v>3667.0</v>
      </c>
      <c r="D3668" s="16" t="s">
        <v>4573</v>
      </c>
      <c r="E3668" s="16" t="s">
        <v>184</v>
      </c>
      <c r="F3668" s="16" t="s">
        <v>219</v>
      </c>
      <c r="G3668" s="16" t="s">
        <v>3009</v>
      </c>
      <c r="H3668" s="16" t="s">
        <v>241</v>
      </c>
      <c r="I3668" s="16" t="s">
        <v>4574</v>
      </c>
    </row>
    <row r="3669" ht="242.25" customHeight="1">
      <c r="B3669" s="32" t="str">
        <f>IMAGE("https://gymvisual.com/4219-catalog_default/suspension-body-saw.jpg",4,500,500)</f>
        <v/>
      </c>
      <c r="C3669" s="30">
        <v>3668.0</v>
      </c>
      <c r="D3669" s="16" t="s">
        <v>4575</v>
      </c>
      <c r="E3669" s="16" t="s">
        <v>184</v>
      </c>
      <c r="F3669" s="16" t="s">
        <v>254</v>
      </c>
      <c r="G3669" s="16" t="s">
        <v>3009</v>
      </c>
      <c r="H3669" s="16" t="s">
        <v>2792</v>
      </c>
      <c r="I3669" s="16" t="s">
        <v>4576</v>
      </c>
    </row>
    <row r="3670" ht="242.25" customHeight="1">
      <c r="B3670" s="32" t="str">
        <f>IMAGE("https://gymvisual.com/4263-catalog_default/suspension-calf-raise.jpg",4,500,500)</f>
        <v/>
      </c>
      <c r="C3670" s="30">
        <v>3669.0</v>
      </c>
      <c r="D3670" s="16" t="s">
        <v>4577</v>
      </c>
      <c r="E3670" s="16" t="s">
        <v>184</v>
      </c>
      <c r="F3670" s="16" t="s">
        <v>325</v>
      </c>
      <c r="G3670" s="16" t="s">
        <v>3009</v>
      </c>
      <c r="H3670" s="16" t="s">
        <v>368</v>
      </c>
      <c r="I3670" s="16" t="s">
        <v>463</v>
      </c>
    </row>
    <row r="3671" ht="242.25" customHeight="1">
      <c r="B3671" s="32" t="str">
        <f>IMAGE("https://gymvisual.com/4109-catalog_default/suspension-chest-dip.jpg",4,500,500)</f>
        <v/>
      </c>
      <c r="C3671" s="30">
        <v>3670.0</v>
      </c>
      <c r="D3671" s="16" t="s">
        <v>4578</v>
      </c>
      <c r="E3671" s="16" t="s">
        <v>184</v>
      </c>
      <c r="F3671" s="16" t="s">
        <v>234</v>
      </c>
      <c r="G3671" s="16" t="s">
        <v>3009</v>
      </c>
      <c r="H3671" s="16" t="s">
        <v>347</v>
      </c>
      <c r="I3671" s="16" t="s">
        <v>1764</v>
      </c>
    </row>
    <row r="3672" ht="242.25" customHeight="1">
      <c r="B3672" s="32" t="str">
        <f>IMAGE("https://gymvisual.com/4112-catalog_default/suspension-chest-press.jpg",4,500,500)</f>
        <v/>
      </c>
      <c r="C3672" s="30">
        <v>3671.0</v>
      </c>
      <c r="D3672" s="16" t="s">
        <v>4579</v>
      </c>
      <c r="E3672" s="16" t="s">
        <v>184</v>
      </c>
      <c r="F3672" s="16" t="s">
        <v>234</v>
      </c>
      <c r="G3672" s="16" t="s">
        <v>3009</v>
      </c>
      <c r="H3672" s="16" t="s">
        <v>347</v>
      </c>
      <c r="I3672" s="16" t="s">
        <v>382</v>
      </c>
    </row>
    <row r="3673" ht="242.25" customHeight="1">
      <c r="B3673" s="32" t="str">
        <f>IMAGE("https://gymvisual.com/20100-catalog_default/suspension-chin-up-female.jpg",4,500,500)</f>
        <v/>
      </c>
      <c r="C3673" s="30">
        <v>3672.0</v>
      </c>
      <c r="D3673" s="16" t="s">
        <v>4580</v>
      </c>
      <c r="E3673" s="16" t="s">
        <v>184</v>
      </c>
      <c r="F3673" s="16" t="s">
        <v>192</v>
      </c>
      <c r="G3673" s="16" t="s">
        <v>3009</v>
      </c>
      <c r="H3673" s="16" t="s">
        <v>220</v>
      </c>
      <c r="I3673" s="16" t="s">
        <v>220</v>
      </c>
    </row>
    <row r="3674" ht="242.25" customHeight="1">
      <c r="B3674" s="32" t="str">
        <f>IMAGE("https://gymvisual.com/4220-catalog_default/suspension-close-grip-chest-press.jpg",4,500,500)</f>
        <v/>
      </c>
      <c r="C3674" s="30">
        <v>3673.0</v>
      </c>
      <c r="D3674" s="16" t="s">
        <v>4581</v>
      </c>
      <c r="E3674" s="16" t="s">
        <v>184</v>
      </c>
      <c r="F3674" s="16" t="s">
        <v>234</v>
      </c>
      <c r="G3674" s="16" t="s">
        <v>3009</v>
      </c>
      <c r="H3674" s="16" t="s">
        <v>347</v>
      </c>
      <c r="I3674" s="16" t="s">
        <v>382</v>
      </c>
    </row>
    <row r="3675" ht="242.25" customHeight="1">
      <c r="B3675" s="32" t="str">
        <f>IMAGE("https://gymvisual.com/4221-catalog_default/suspension-crunch.jpg",4,500,500)</f>
        <v/>
      </c>
      <c r="C3675" s="30">
        <v>3674.0</v>
      </c>
      <c r="D3675" s="16" t="s">
        <v>4582</v>
      </c>
      <c r="E3675" s="16" t="s">
        <v>184</v>
      </c>
      <c r="F3675" s="16" t="s">
        <v>254</v>
      </c>
      <c r="G3675" s="16" t="s">
        <v>3009</v>
      </c>
      <c r="H3675" s="16" t="s">
        <v>305</v>
      </c>
      <c r="I3675" s="16" t="s">
        <v>257</v>
      </c>
    </row>
    <row r="3676" ht="242.25" customHeight="1">
      <c r="B3676" s="32" t="str">
        <f>IMAGE("https://gymvisual.com/4222-catalog_default/suspension-face-pul.jpg",4,500,500)</f>
        <v/>
      </c>
      <c r="C3676" s="30">
        <v>3675.0</v>
      </c>
      <c r="D3676" s="16" t="s">
        <v>4583</v>
      </c>
      <c r="E3676" s="16" t="s">
        <v>184</v>
      </c>
      <c r="F3676" s="16" t="s">
        <v>228</v>
      </c>
      <c r="G3676" s="16" t="s">
        <v>3009</v>
      </c>
      <c r="H3676" s="16" t="s">
        <v>408</v>
      </c>
      <c r="I3676" s="16" t="s">
        <v>4584</v>
      </c>
    </row>
    <row r="3677" ht="242.25" customHeight="1">
      <c r="B3677" s="32" t="str">
        <f>IMAGE("https://gymvisual.com/4115-catalog_default/suspension-fly.jpg",4,500,500)</f>
        <v/>
      </c>
      <c r="C3677" s="30">
        <v>3676.0</v>
      </c>
      <c r="D3677" s="16" t="s">
        <v>4585</v>
      </c>
      <c r="E3677" s="16" t="s">
        <v>184</v>
      </c>
      <c r="F3677" s="16" t="s">
        <v>234</v>
      </c>
      <c r="G3677" s="16" t="s">
        <v>3009</v>
      </c>
      <c r="H3677" s="16" t="s">
        <v>347</v>
      </c>
      <c r="I3677" s="16" t="s">
        <v>420</v>
      </c>
    </row>
    <row r="3678" ht="242.25" customHeight="1">
      <c r="B3678" s="32" t="str">
        <f>IMAGE("https://gymvisual.com/4223-catalog_default/suspension-front-plank.jpg",4,500,500)</f>
        <v/>
      </c>
      <c r="C3678" s="30">
        <v>3677.0</v>
      </c>
      <c r="D3678" s="16" t="s">
        <v>4586</v>
      </c>
      <c r="E3678" s="16" t="s">
        <v>184</v>
      </c>
      <c r="F3678" s="16" t="s">
        <v>254</v>
      </c>
      <c r="G3678" s="16" t="s">
        <v>3009</v>
      </c>
      <c r="H3678" s="16" t="s">
        <v>256</v>
      </c>
      <c r="I3678" s="16" t="s">
        <v>2482</v>
      </c>
    </row>
    <row r="3679" ht="242.25" customHeight="1">
      <c r="B3679" s="32" t="str">
        <f>IMAGE("https://gymvisual.com/4118-catalog_default/suspension-front-raise.jpg",4,500,500)</f>
        <v/>
      </c>
      <c r="C3679" s="30">
        <v>3678.0</v>
      </c>
      <c r="D3679" s="16" t="s">
        <v>4587</v>
      </c>
      <c r="E3679" s="16" t="s">
        <v>184</v>
      </c>
      <c r="F3679" s="16" t="s">
        <v>228</v>
      </c>
      <c r="G3679" s="16" t="s">
        <v>3009</v>
      </c>
      <c r="H3679" s="16" t="s">
        <v>229</v>
      </c>
      <c r="I3679" s="16" t="s">
        <v>244</v>
      </c>
    </row>
    <row r="3680" ht="242.25" customHeight="1">
      <c r="B3680" s="32" t="str">
        <f>IMAGE("https://gymvisual.com/20098-catalog_default/suspension-hammer-curl-female.jpg",4,500,500)</f>
        <v/>
      </c>
      <c r="C3680" s="30">
        <v>3679.0</v>
      </c>
      <c r="D3680" s="16" t="s">
        <v>4588</v>
      </c>
      <c r="E3680" s="16" t="s">
        <v>184</v>
      </c>
      <c r="F3680" s="16" t="s">
        <v>219</v>
      </c>
      <c r="G3680" s="16" t="s">
        <v>3009</v>
      </c>
      <c r="H3680" s="16" t="s">
        <v>216</v>
      </c>
      <c r="I3680" s="16" t="s">
        <v>217</v>
      </c>
    </row>
    <row r="3681" ht="242.25" customHeight="1">
      <c r="B3681" s="32" t="str">
        <f>IMAGE("https://gymvisual.com/19353-catalog_default/suspension-hamstring-runner.jpg",4,500,500)</f>
        <v/>
      </c>
      <c r="C3681" s="30">
        <v>3680.0</v>
      </c>
      <c r="D3681" s="16" t="s">
        <v>4589</v>
      </c>
      <c r="E3681" s="16" t="s">
        <v>184</v>
      </c>
      <c r="F3681" s="16" t="s">
        <v>285</v>
      </c>
      <c r="G3681" s="16" t="s">
        <v>3009</v>
      </c>
      <c r="H3681" s="16" t="s">
        <v>188</v>
      </c>
      <c r="I3681" s="16" t="s">
        <v>368</v>
      </c>
    </row>
    <row r="3682" ht="242.25" customHeight="1">
      <c r="B3682" s="32" t="str">
        <f>IMAGE("https://gymvisual.com/4224-catalog_default/suspension-handstand-push-up.jpg",4,500,500)</f>
        <v/>
      </c>
      <c r="C3682" s="30">
        <v>3681.0</v>
      </c>
      <c r="D3682" s="16" t="s">
        <v>4590</v>
      </c>
      <c r="E3682" s="16" t="s">
        <v>184</v>
      </c>
      <c r="F3682" s="16" t="s">
        <v>219</v>
      </c>
      <c r="G3682" s="16" t="s">
        <v>3009</v>
      </c>
      <c r="H3682" s="16" t="s">
        <v>223</v>
      </c>
      <c r="I3682" s="16" t="s">
        <v>4591</v>
      </c>
    </row>
    <row r="3683" ht="242.25" customHeight="1">
      <c r="B3683" s="32" t="str">
        <f>IMAGE("https://gymvisual.com/4124-catalog_default/suspension-hip-abduction.jpg",4,500,500)</f>
        <v/>
      </c>
      <c r="C3683" s="30">
        <v>3682.0</v>
      </c>
      <c r="D3683" s="16" t="s">
        <v>4592</v>
      </c>
      <c r="E3683" s="16" t="s">
        <v>184</v>
      </c>
      <c r="F3683" s="16" t="s">
        <v>185</v>
      </c>
      <c r="G3683" s="16" t="s">
        <v>3009</v>
      </c>
      <c r="H3683" s="16" t="s">
        <v>508</v>
      </c>
      <c r="I3683" s="16" t="s">
        <v>220</v>
      </c>
    </row>
    <row r="3684" ht="242.25" customHeight="1">
      <c r="B3684" s="32" t="str">
        <f>IMAGE("https://gymvisual.com/4127-catalog_default/suspension-hip-bridge.jpg",4,500,500)</f>
        <v/>
      </c>
      <c r="C3684" s="30">
        <v>3683.0</v>
      </c>
      <c r="D3684" s="16" t="s">
        <v>4593</v>
      </c>
      <c r="E3684" s="16" t="s">
        <v>184</v>
      </c>
      <c r="F3684" s="16" t="s">
        <v>185</v>
      </c>
      <c r="G3684" s="16" t="s">
        <v>3009</v>
      </c>
      <c r="H3684" s="16" t="s">
        <v>187</v>
      </c>
      <c r="I3684" s="16" t="s">
        <v>4594</v>
      </c>
    </row>
    <row r="3685" ht="242.25" customHeight="1">
      <c r="B3685" s="32" t="str">
        <f>IMAGE("https://gymvisual.com/4266-catalog_default/suspension-hip-hinge.jpg",4,500,500)</f>
        <v/>
      </c>
      <c r="C3685" s="30">
        <v>3684.0</v>
      </c>
      <c r="D3685" s="16" t="s">
        <v>4595</v>
      </c>
      <c r="E3685" s="16" t="s">
        <v>184</v>
      </c>
      <c r="F3685" s="16" t="s">
        <v>185</v>
      </c>
      <c r="G3685" s="16" t="s">
        <v>3009</v>
      </c>
      <c r="H3685" s="16" t="s">
        <v>187</v>
      </c>
      <c r="I3685" s="16" t="s">
        <v>1241</v>
      </c>
    </row>
    <row r="3686" ht="242.25" customHeight="1">
      <c r="B3686" s="32" t="str">
        <f>IMAGE("https://gymvisual.com/4130-catalog_default/suspension-hyperextension.jpg",4,500,500)</f>
        <v/>
      </c>
      <c r="C3686" s="30">
        <v>3685.0</v>
      </c>
      <c r="D3686" s="16" t="s">
        <v>4596</v>
      </c>
      <c r="E3686" s="16" t="s">
        <v>184</v>
      </c>
      <c r="F3686" s="16" t="s">
        <v>192</v>
      </c>
      <c r="G3686" s="16" t="s">
        <v>3009</v>
      </c>
      <c r="H3686" s="16" t="s">
        <v>275</v>
      </c>
      <c r="I3686" s="16" t="s">
        <v>2412</v>
      </c>
    </row>
    <row r="3687" ht="242.25" customHeight="1">
      <c r="B3687" s="32" t="str">
        <f>IMAGE("https://gymvisual.com/4225-catalog_default/suspension-incline-push-up.jpg",4,500,500)</f>
        <v/>
      </c>
      <c r="C3687" s="30">
        <v>3686.0</v>
      </c>
      <c r="D3687" s="16" t="s">
        <v>4597</v>
      </c>
      <c r="E3687" s="16" t="s">
        <v>184</v>
      </c>
      <c r="F3687" s="16" t="s">
        <v>234</v>
      </c>
      <c r="G3687" s="16" t="s">
        <v>3009</v>
      </c>
      <c r="H3687" s="16" t="s">
        <v>235</v>
      </c>
      <c r="I3687" s="16" t="s">
        <v>243</v>
      </c>
    </row>
    <row r="3688" ht="242.25" customHeight="1">
      <c r="B3688" s="32" t="str">
        <f>IMAGE("https://gymvisual.com/4133-catalog_default/suspension-inverted-row.jpg",4,500,500)</f>
        <v/>
      </c>
      <c r="C3688" s="30">
        <v>3687.0</v>
      </c>
      <c r="D3688" s="16" t="s">
        <v>4598</v>
      </c>
      <c r="E3688" s="16" t="s">
        <v>184</v>
      </c>
      <c r="F3688" s="16" t="s">
        <v>192</v>
      </c>
      <c r="G3688" s="16" t="s">
        <v>3009</v>
      </c>
      <c r="H3688" s="16" t="s">
        <v>329</v>
      </c>
      <c r="I3688" s="16" t="s">
        <v>457</v>
      </c>
    </row>
    <row r="3689" ht="242.25" customHeight="1">
      <c r="B3689" s="32" t="str">
        <f>IMAGE("https://gymvisual.com/4139-catalog_default/suspension-jack-knife.jpg",4,500,500)</f>
        <v/>
      </c>
      <c r="C3689" s="30">
        <v>3688.0</v>
      </c>
      <c r="D3689" s="16" t="s">
        <v>4599</v>
      </c>
      <c r="E3689" s="16" t="s">
        <v>184</v>
      </c>
      <c r="F3689" s="16" t="s">
        <v>254</v>
      </c>
      <c r="G3689" s="16" t="s">
        <v>3009</v>
      </c>
      <c r="H3689" s="16" t="s">
        <v>305</v>
      </c>
      <c r="I3689" s="16" t="s">
        <v>371</v>
      </c>
    </row>
    <row r="3690" ht="242.25" customHeight="1">
      <c r="B3690" s="32" t="str">
        <f>IMAGE("https://gymvisual.com/4136-catalog_default/suspension-jack-knife-pike.jpg",4,500,500)</f>
        <v/>
      </c>
      <c r="C3690" s="30">
        <v>3689.0</v>
      </c>
      <c r="D3690" s="16" t="s">
        <v>4600</v>
      </c>
      <c r="E3690" s="16" t="s">
        <v>184</v>
      </c>
      <c r="F3690" s="16" t="s">
        <v>254</v>
      </c>
      <c r="G3690" s="16" t="s">
        <v>3009</v>
      </c>
      <c r="H3690" s="16" t="s">
        <v>305</v>
      </c>
      <c r="I3690" s="16" t="s">
        <v>4601</v>
      </c>
    </row>
    <row r="3691" ht="242.25" customHeight="1">
      <c r="B3691" s="32" t="str">
        <f>IMAGE("https://gymvisual.com/4142-catalog_default/suspension-leg-curl.jpg",4,500,500)</f>
        <v/>
      </c>
      <c r="C3691" s="30">
        <v>3690.0</v>
      </c>
      <c r="D3691" s="16" t="s">
        <v>4602</v>
      </c>
      <c r="E3691" s="16" t="s">
        <v>184</v>
      </c>
      <c r="F3691" s="16" t="s">
        <v>285</v>
      </c>
      <c r="G3691" s="16" t="s">
        <v>3009</v>
      </c>
      <c r="H3691" s="16" t="s">
        <v>188</v>
      </c>
      <c r="I3691" s="16" t="s">
        <v>368</v>
      </c>
    </row>
    <row r="3692" ht="242.25" customHeight="1">
      <c r="B3692" s="32" t="str">
        <f>IMAGE("https://gymvisual.com/4228-catalog_default/suspension-lunge-back-crossover.jpg",4,500,500)</f>
        <v/>
      </c>
      <c r="C3692" s="30">
        <v>3691.0</v>
      </c>
      <c r="D3692" s="16" t="s">
        <v>4603</v>
      </c>
      <c r="E3692" s="16" t="s">
        <v>184</v>
      </c>
      <c r="F3692" s="16" t="s">
        <v>285</v>
      </c>
      <c r="G3692" s="16" t="s">
        <v>3009</v>
      </c>
      <c r="H3692" s="16" t="s">
        <v>552</v>
      </c>
      <c r="I3692" s="16" t="s">
        <v>4604</v>
      </c>
    </row>
    <row r="3693" ht="242.25" customHeight="1">
      <c r="B3693" s="32" t="str">
        <f>IMAGE("https://gymvisual.com/4229-catalog_default/suspension-middle-row.jpg",4,500,500)</f>
        <v/>
      </c>
      <c r="C3693" s="30">
        <v>3692.0</v>
      </c>
      <c r="D3693" s="16" t="s">
        <v>4605</v>
      </c>
      <c r="E3693" s="16" t="s">
        <v>184</v>
      </c>
      <c r="F3693" s="16" t="s">
        <v>228</v>
      </c>
      <c r="G3693" s="16" t="s">
        <v>3009</v>
      </c>
      <c r="H3693" s="16" t="s">
        <v>408</v>
      </c>
      <c r="I3693" s="16" t="s">
        <v>490</v>
      </c>
    </row>
    <row r="3694" ht="242.25" customHeight="1">
      <c r="B3694" s="32" t="str">
        <f>IMAGE("https://gymvisual.com/19355-catalog_default/suspension-mountain-climber.jpg",4,500,500)</f>
        <v/>
      </c>
      <c r="C3694" s="30">
        <v>3693.0</v>
      </c>
      <c r="D3694" s="16" t="s">
        <v>4606</v>
      </c>
      <c r="E3694" s="16" t="s">
        <v>184</v>
      </c>
      <c r="F3694" s="16" t="s">
        <v>185</v>
      </c>
      <c r="G3694" s="16" t="s">
        <v>3009</v>
      </c>
      <c r="H3694" s="16" t="s">
        <v>271</v>
      </c>
      <c r="I3694" s="16" t="s">
        <v>563</v>
      </c>
    </row>
    <row r="3695" ht="242.25" customHeight="1">
      <c r="B3695" s="32" t="str">
        <f>IMAGE("https://gymvisual.com/4230-catalog_default/suspension-mountain-climber-push-up.jpg",4,500,500)</f>
        <v/>
      </c>
      <c r="C3695" s="30">
        <v>3694.0</v>
      </c>
      <c r="D3695" s="16" t="s">
        <v>4607</v>
      </c>
      <c r="E3695" s="16" t="s">
        <v>184</v>
      </c>
      <c r="F3695" s="16" t="s">
        <v>185</v>
      </c>
      <c r="G3695" s="16" t="s">
        <v>3009</v>
      </c>
      <c r="H3695" s="16" t="s">
        <v>4608</v>
      </c>
      <c r="I3695" s="16" t="s">
        <v>4609</v>
      </c>
    </row>
    <row r="3696" ht="242.25" customHeight="1">
      <c r="B3696" s="32" t="str">
        <f>IMAGE("https://gymvisual.com/4231-catalog_default/suspension-oblique-rollout.jpg",4,500,500)</f>
        <v/>
      </c>
      <c r="C3696" s="30">
        <v>3695.0</v>
      </c>
      <c r="D3696" s="16" t="s">
        <v>4610</v>
      </c>
      <c r="E3696" s="16" t="s">
        <v>184</v>
      </c>
      <c r="F3696" s="16" t="s">
        <v>254</v>
      </c>
      <c r="G3696" s="16" t="s">
        <v>3009</v>
      </c>
      <c r="H3696" s="16" t="s">
        <v>257</v>
      </c>
      <c r="I3696" s="16" t="s">
        <v>4611</v>
      </c>
    </row>
    <row r="3697" ht="242.25" customHeight="1">
      <c r="B3697" s="32" t="str">
        <f>IMAGE("https://gymvisual.com/4232-catalog_default/suspension-one-arm-biceps-curl.jpg",4,500,500)</f>
        <v/>
      </c>
      <c r="C3697" s="30">
        <v>3696.0</v>
      </c>
      <c r="D3697" s="16" t="s">
        <v>4612</v>
      </c>
      <c r="E3697" s="16" t="s">
        <v>184</v>
      </c>
      <c r="F3697" s="16" t="s">
        <v>219</v>
      </c>
      <c r="G3697" s="16" t="s">
        <v>3009</v>
      </c>
      <c r="H3697" s="16" t="s">
        <v>241</v>
      </c>
      <c r="I3697" s="16" t="s">
        <v>292</v>
      </c>
    </row>
    <row r="3698" ht="242.25" customHeight="1">
      <c r="B3698" s="32" t="str">
        <f>IMAGE("https://gymvisual.com/4233-catalog_default/suspension-one-arm-chest-press.jpg",4,500,500)</f>
        <v/>
      </c>
      <c r="C3698" s="30">
        <v>3697.0</v>
      </c>
      <c r="D3698" s="16" t="s">
        <v>4613</v>
      </c>
      <c r="E3698" s="16" t="s">
        <v>184</v>
      </c>
      <c r="F3698" s="16" t="s">
        <v>234</v>
      </c>
      <c r="G3698" s="16" t="s">
        <v>3009</v>
      </c>
      <c r="H3698" s="16" t="s">
        <v>347</v>
      </c>
      <c r="I3698" s="16" t="s">
        <v>382</v>
      </c>
    </row>
    <row r="3699" ht="242.25" customHeight="1">
      <c r="B3699" s="32" t="str">
        <f>IMAGE("https://gymvisual.com/4234-catalog_default/suspension-one-arm-leg-push-up.jpg",4,500,500)</f>
        <v/>
      </c>
      <c r="C3699" s="30">
        <v>3698.0</v>
      </c>
      <c r="D3699" s="16" t="s">
        <v>4614</v>
      </c>
      <c r="E3699" s="16" t="s">
        <v>184</v>
      </c>
      <c r="F3699" s="16" t="s">
        <v>234</v>
      </c>
      <c r="G3699" s="16" t="s">
        <v>3009</v>
      </c>
      <c r="H3699" s="16" t="s">
        <v>347</v>
      </c>
      <c r="I3699" s="16" t="s">
        <v>382</v>
      </c>
    </row>
    <row r="3700" ht="242.25" customHeight="1">
      <c r="B3700" s="32" t="str">
        <f>IMAGE("https://gymvisual.com/4235-catalog_default/suspension-one-leg-chest-press.jpg",4,500,500)</f>
        <v/>
      </c>
      <c r="C3700" s="30">
        <v>3699.0</v>
      </c>
      <c r="D3700" s="16" t="s">
        <v>4615</v>
      </c>
      <c r="E3700" s="16" t="s">
        <v>184</v>
      </c>
      <c r="F3700" s="16" t="s">
        <v>234</v>
      </c>
      <c r="G3700" s="16" t="s">
        <v>3009</v>
      </c>
      <c r="H3700" s="16" t="s">
        <v>347</v>
      </c>
      <c r="I3700" s="16" t="s">
        <v>382</v>
      </c>
    </row>
    <row r="3701" ht="242.25" customHeight="1">
      <c r="B3701" s="32" t="str">
        <f>IMAGE("https://gymvisual.com/4265-catalog_default/suspension-pendulum.jpg",4,500,500)</f>
        <v/>
      </c>
      <c r="C3701" s="30">
        <v>3700.0</v>
      </c>
      <c r="D3701" s="16" t="s">
        <v>4616</v>
      </c>
      <c r="E3701" s="16" t="s">
        <v>184</v>
      </c>
      <c r="F3701" s="16" t="s">
        <v>254</v>
      </c>
      <c r="G3701" s="16" t="s">
        <v>3009</v>
      </c>
      <c r="H3701" s="16" t="s">
        <v>257</v>
      </c>
      <c r="I3701" s="16" t="s">
        <v>4617</v>
      </c>
    </row>
    <row r="3702" ht="242.25" customHeight="1">
      <c r="B3702" s="32" t="str">
        <f>IMAGE("https://gymvisual.com/4148-catalog_default/suspension-pike.jpg",4,500,500)</f>
        <v/>
      </c>
      <c r="C3702" s="30">
        <v>3701.0</v>
      </c>
      <c r="D3702" s="16" t="s">
        <v>4618</v>
      </c>
      <c r="E3702" s="16" t="s">
        <v>184</v>
      </c>
      <c r="F3702" s="16" t="s">
        <v>185</v>
      </c>
      <c r="G3702" s="16" t="s">
        <v>3009</v>
      </c>
      <c r="H3702" s="16" t="s">
        <v>271</v>
      </c>
      <c r="I3702" s="16" t="s">
        <v>566</v>
      </c>
    </row>
    <row r="3703" ht="242.25" customHeight="1">
      <c r="B3703" s="32" t="str">
        <f>IMAGE("https://gymvisual.com/19357-catalog_default/suspension-power-pull.jpg",4,500,500)</f>
        <v/>
      </c>
      <c r="C3703" s="30">
        <v>3702.0</v>
      </c>
      <c r="D3703" s="16" t="s">
        <v>4619</v>
      </c>
      <c r="E3703" s="16" t="s">
        <v>184</v>
      </c>
      <c r="F3703" s="16" t="s">
        <v>192</v>
      </c>
      <c r="G3703" s="16" t="s">
        <v>3009</v>
      </c>
      <c r="H3703" s="16" t="s">
        <v>329</v>
      </c>
      <c r="I3703" s="16" t="s">
        <v>4620</v>
      </c>
    </row>
    <row r="3704" ht="242.25" customHeight="1">
      <c r="B3704" s="32" t="str">
        <f>IMAGE("https://gymvisual.com/4154-catalog_default/suspension-pull-through.jpg",4,500,500)</f>
        <v/>
      </c>
      <c r="C3704" s="30">
        <v>3703.0</v>
      </c>
      <c r="D3704" s="16" t="s">
        <v>4621</v>
      </c>
      <c r="E3704" s="16" t="s">
        <v>184</v>
      </c>
      <c r="F3704" s="16" t="s">
        <v>192</v>
      </c>
      <c r="G3704" s="16" t="s">
        <v>3009</v>
      </c>
      <c r="H3704" s="16" t="s">
        <v>275</v>
      </c>
      <c r="I3704" s="16" t="s">
        <v>4622</v>
      </c>
    </row>
    <row r="3705" ht="242.25" customHeight="1">
      <c r="B3705" s="32" t="str">
        <f>IMAGE("https://gymvisual.com/4157-catalog_default/suspension-pull-up.jpg",4,500,500)</f>
        <v/>
      </c>
      <c r="C3705" s="30">
        <v>3704.0</v>
      </c>
      <c r="D3705" s="16" t="s">
        <v>4623</v>
      </c>
      <c r="E3705" s="16" t="s">
        <v>184</v>
      </c>
      <c r="F3705" s="16" t="s">
        <v>192</v>
      </c>
      <c r="G3705" s="16" t="s">
        <v>3009</v>
      </c>
      <c r="H3705" s="16" t="s">
        <v>300</v>
      </c>
      <c r="I3705" s="16" t="s">
        <v>4624</v>
      </c>
    </row>
    <row r="3706" ht="242.25" customHeight="1">
      <c r="B3706" s="32" t="str">
        <f>IMAGE("https://gymvisual.com/4236-catalog_default/suspension-pull-up-version-2.jpg",4,500,500)</f>
        <v/>
      </c>
      <c r="C3706" s="30">
        <v>3705.0</v>
      </c>
      <c r="D3706" s="16" t="s">
        <v>4625</v>
      </c>
      <c r="E3706" s="16" t="s">
        <v>184</v>
      </c>
      <c r="F3706" s="16" t="s">
        <v>192</v>
      </c>
      <c r="G3706" s="16" t="s">
        <v>3009</v>
      </c>
      <c r="H3706" s="16" t="s">
        <v>329</v>
      </c>
      <c r="I3706" s="16" t="s">
        <v>4626</v>
      </c>
    </row>
    <row r="3707" ht="242.25" customHeight="1">
      <c r="B3707" s="32" t="str">
        <f>IMAGE("https://gymvisual.com/4237-catalog_default/suspension-push-up.jpg",4,500,500)</f>
        <v/>
      </c>
      <c r="C3707" s="30">
        <v>3706.0</v>
      </c>
      <c r="D3707" s="16" t="s">
        <v>4627</v>
      </c>
      <c r="E3707" s="16" t="s">
        <v>184</v>
      </c>
      <c r="F3707" s="16" t="s">
        <v>234</v>
      </c>
      <c r="G3707" s="16" t="s">
        <v>3009</v>
      </c>
      <c r="H3707" s="16" t="s">
        <v>347</v>
      </c>
      <c r="I3707" s="16" t="s">
        <v>382</v>
      </c>
    </row>
    <row r="3708" ht="242.25" customHeight="1">
      <c r="B3708" s="32" t="str">
        <f>IMAGE("https://gymvisual.com/4160-catalog_default/suspension-rear-delt-row.jpg",4,500,500)</f>
        <v/>
      </c>
      <c r="C3708" s="30">
        <v>3707.0</v>
      </c>
      <c r="D3708" s="16" t="s">
        <v>4628</v>
      </c>
      <c r="E3708" s="16" t="s">
        <v>184</v>
      </c>
      <c r="F3708" s="16" t="s">
        <v>228</v>
      </c>
      <c r="G3708" s="16" t="s">
        <v>3009</v>
      </c>
      <c r="H3708" s="16" t="s">
        <v>408</v>
      </c>
      <c r="I3708" s="16" t="s">
        <v>4629</v>
      </c>
    </row>
    <row r="3709" ht="242.25" customHeight="1">
      <c r="B3709" s="32" t="str">
        <f>IMAGE("https://gymvisual.com/4238-catalog_default/suspension-rear-lunge.jpg",4,500,500)</f>
        <v/>
      </c>
      <c r="C3709" s="30">
        <v>3708.0</v>
      </c>
      <c r="D3709" s="16" t="s">
        <v>4630</v>
      </c>
      <c r="E3709" s="16" t="s">
        <v>184</v>
      </c>
      <c r="F3709" s="16" t="s">
        <v>285</v>
      </c>
      <c r="G3709" s="16" t="s">
        <v>3009</v>
      </c>
      <c r="H3709" s="16" t="s">
        <v>189</v>
      </c>
      <c r="I3709" s="16" t="s">
        <v>190</v>
      </c>
    </row>
    <row r="3710" ht="242.25" customHeight="1">
      <c r="B3710" s="32" t="str">
        <f>IMAGE("https://gymvisual.com/4163-catalog_default/suspension-reverse-fly.jpg",4,500,500)</f>
        <v/>
      </c>
      <c r="C3710" s="30">
        <v>3709.0</v>
      </c>
      <c r="D3710" s="16" t="s">
        <v>4631</v>
      </c>
      <c r="E3710" s="16" t="s">
        <v>184</v>
      </c>
      <c r="F3710" s="16" t="s">
        <v>228</v>
      </c>
      <c r="G3710" s="16" t="s">
        <v>3009</v>
      </c>
      <c r="H3710" s="16" t="s">
        <v>408</v>
      </c>
      <c r="I3710" s="16" t="s">
        <v>731</v>
      </c>
    </row>
    <row r="3711" ht="242.25" customHeight="1">
      <c r="B3711" s="32" t="str">
        <f>IMAGE("https://gymvisual.com/4239-catalog_default/suspension-reverse-fly-wake-up.jpg",4,500,500)</f>
        <v/>
      </c>
      <c r="C3711" s="30">
        <v>3710.0</v>
      </c>
      <c r="D3711" s="16" t="s">
        <v>4632</v>
      </c>
      <c r="E3711" s="16" t="s">
        <v>184</v>
      </c>
      <c r="F3711" s="16" t="s">
        <v>192</v>
      </c>
      <c r="G3711" s="16" t="s">
        <v>3009</v>
      </c>
      <c r="H3711" s="16" t="s">
        <v>4633</v>
      </c>
      <c r="I3711" s="16" t="s">
        <v>4634</v>
      </c>
    </row>
    <row r="3712" ht="242.25" customHeight="1">
      <c r="B3712" s="32" t="str">
        <f>IMAGE("https://gymvisual.com/4166-catalog_default/suspension-rollout.jpg",4,500,500)</f>
        <v/>
      </c>
      <c r="C3712" s="30">
        <v>3711.0</v>
      </c>
      <c r="D3712" s="16" t="s">
        <v>4635</v>
      </c>
      <c r="E3712" s="16" t="s">
        <v>184</v>
      </c>
      <c r="F3712" s="16" t="s">
        <v>254</v>
      </c>
      <c r="G3712" s="16" t="s">
        <v>3009</v>
      </c>
      <c r="H3712" s="16" t="s">
        <v>256</v>
      </c>
      <c r="I3712" s="16" t="s">
        <v>4636</v>
      </c>
    </row>
    <row r="3713" ht="242.25" customHeight="1">
      <c r="B3713" s="32" t="str">
        <f>IMAGE("https://gymvisual.com/4169-catalog_default/suspension-row.jpg",4,500,500)</f>
        <v/>
      </c>
      <c r="C3713" s="30">
        <v>3712.0</v>
      </c>
      <c r="D3713" s="16" t="s">
        <v>4637</v>
      </c>
      <c r="E3713" s="16" t="s">
        <v>184</v>
      </c>
      <c r="F3713" s="16" t="s">
        <v>192</v>
      </c>
      <c r="G3713" s="16" t="s">
        <v>3009</v>
      </c>
      <c r="H3713" s="16" t="s">
        <v>329</v>
      </c>
      <c r="I3713" s="16" t="s">
        <v>447</v>
      </c>
    </row>
    <row r="3714" ht="242.25" customHeight="1">
      <c r="B3714" s="32" t="str">
        <f>IMAGE("https://gymvisual.com/4172-catalog_default/suspension-self-assisted-chest-dip.jpg",4,500,500)</f>
        <v/>
      </c>
      <c r="C3714" s="30">
        <v>3713.0</v>
      </c>
      <c r="D3714" s="16" t="s">
        <v>4638</v>
      </c>
      <c r="E3714" s="16" t="s">
        <v>184</v>
      </c>
      <c r="F3714" s="16" t="s">
        <v>234</v>
      </c>
      <c r="G3714" s="16" t="s">
        <v>3009</v>
      </c>
      <c r="H3714" s="16" t="s">
        <v>347</v>
      </c>
      <c r="I3714" s="16" t="s">
        <v>1764</v>
      </c>
    </row>
    <row r="3715" ht="242.25" customHeight="1">
      <c r="B3715" s="32" t="str">
        <f>IMAGE("https://gymvisual.com/4175-catalog_default/suspension-self-assisted-pull-up.jpg",4,500,500)</f>
        <v/>
      </c>
      <c r="C3715" s="30">
        <v>3714.0</v>
      </c>
      <c r="D3715" s="16" t="s">
        <v>4639</v>
      </c>
      <c r="E3715" s="16" t="s">
        <v>184</v>
      </c>
      <c r="F3715" s="16" t="s">
        <v>192</v>
      </c>
      <c r="G3715" s="16" t="s">
        <v>3009</v>
      </c>
      <c r="H3715" s="16" t="s">
        <v>300</v>
      </c>
      <c r="I3715" s="16" t="s">
        <v>535</v>
      </c>
    </row>
    <row r="3716" ht="242.25" customHeight="1">
      <c r="B3716" s="32" t="str">
        <f>IMAGE("https://gymvisual.com/4178-catalog_default/suspension-self-assisted-triceps-dip.jpg",4,500,500)</f>
        <v/>
      </c>
      <c r="C3716" s="30">
        <v>3715.0</v>
      </c>
      <c r="D3716" s="16" t="s">
        <v>4640</v>
      </c>
      <c r="E3716" s="16" t="s">
        <v>184</v>
      </c>
      <c r="F3716" s="16" t="s">
        <v>219</v>
      </c>
      <c r="G3716" s="16" t="s">
        <v>3009</v>
      </c>
      <c r="H3716" s="16" t="s">
        <v>223</v>
      </c>
      <c r="I3716" s="16" t="s">
        <v>394</v>
      </c>
    </row>
    <row r="3717" ht="242.25" customHeight="1">
      <c r="B3717" s="32" t="str">
        <f>IMAGE("https://gymvisual.com/4181-catalog_default/suspension-shoulder-external-rotation.jpg",4,500,500)</f>
        <v/>
      </c>
      <c r="C3717" s="30">
        <v>3716.0</v>
      </c>
      <c r="D3717" s="16" t="s">
        <v>4641</v>
      </c>
      <c r="E3717" s="16" t="s">
        <v>184</v>
      </c>
      <c r="F3717" s="16" t="s">
        <v>192</v>
      </c>
      <c r="G3717" s="16" t="s">
        <v>3009</v>
      </c>
      <c r="H3717" s="16" t="s">
        <v>2451</v>
      </c>
      <c r="I3717" s="16" t="s">
        <v>4642</v>
      </c>
    </row>
    <row r="3718" ht="242.25" customHeight="1">
      <c r="B3718" s="32" t="str">
        <f>IMAGE("https://gymvisual.com/4184-catalog_default/suspension-side-bend.jpg",4,500,500)</f>
        <v/>
      </c>
      <c r="C3718" s="30">
        <v>3717.0</v>
      </c>
      <c r="D3718" s="16" t="s">
        <v>4643</v>
      </c>
      <c r="E3718" s="16" t="s">
        <v>184</v>
      </c>
      <c r="F3718" s="16" t="s">
        <v>254</v>
      </c>
      <c r="G3718" s="16" t="s">
        <v>3009</v>
      </c>
      <c r="H3718" s="16" t="s">
        <v>257</v>
      </c>
      <c r="I3718" s="16" t="s">
        <v>4644</v>
      </c>
    </row>
    <row r="3719" ht="242.25" customHeight="1">
      <c r="B3719" s="32" t="str">
        <f>IMAGE("https://gymvisual.com/4187-catalog_default/suspension-side-bridge.jpg",4,500,500)</f>
        <v/>
      </c>
      <c r="C3719" s="30">
        <v>3718.0</v>
      </c>
      <c r="D3719" s="16" t="s">
        <v>4645</v>
      </c>
      <c r="E3719" s="16" t="s">
        <v>184</v>
      </c>
      <c r="F3719" s="16" t="s">
        <v>254</v>
      </c>
      <c r="G3719" s="16" t="s">
        <v>3009</v>
      </c>
      <c r="H3719" s="16" t="s">
        <v>257</v>
      </c>
      <c r="I3719" s="16" t="s">
        <v>4646</v>
      </c>
    </row>
    <row r="3720" ht="242.25" customHeight="1">
      <c r="B3720" s="32" t="str">
        <f>IMAGE("https://gymvisual.com/4240-catalog_default/suspension-side-cross-lunge.jpg",4,500,500)</f>
        <v/>
      </c>
      <c r="C3720" s="30">
        <v>3719.0</v>
      </c>
      <c r="D3720" s="16" t="s">
        <v>4647</v>
      </c>
      <c r="E3720" s="16" t="s">
        <v>184</v>
      </c>
      <c r="F3720" s="16" t="s">
        <v>285</v>
      </c>
      <c r="G3720" s="16" t="s">
        <v>3009</v>
      </c>
      <c r="H3720" s="16" t="s">
        <v>552</v>
      </c>
      <c r="I3720" s="16" t="s">
        <v>4648</v>
      </c>
    </row>
    <row r="3721" ht="242.25" customHeight="1">
      <c r="B3721" s="32" t="str">
        <f>IMAGE("https://gymvisual.com/4241-catalog_default/suspension-side-lunge.jpg",4,500,500)</f>
        <v/>
      </c>
      <c r="C3721" s="30">
        <v>3720.0</v>
      </c>
      <c r="D3721" s="16" t="s">
        <v>4649</v>
      </c>
      <c r="E3721" s="16" t="s">
        <v>184</v>
      </c>
      <c r="F3721" s="16" t="s">
        <v>285</v>
      </c>
      <c r="G3721" s="16" t="s">
        <v>3009</v>
      </c>
      <c r="H3721" s="16" t="s">
        <v>4650</v>
      </c>
      <c r="I3721" s="16" t="s">
        <v>4185</v>
      </c>
    </row>
    <row r="3722" ht="242.25" customHeight="1">
      <c r="B3722" s="32" t="str">
        <f>IMAGE("https://gymvisual.com/4242-catalog_default/suspension-single-arm-rear-delt-row.jpg",4,500,500)</f>
        <v/>
      </c>
      <c r="C3722" s="30">
        <v>3721.0</v>
      </c>
      <c r="D3722" s="16" t="s">
        <v>4651</v>
      </c>
      <c r="E3722" s="16" t="s">
        <v>184</v>
      </c>
      <c r="F3722" s="16" t="s">
        <v>228</v>
      </c>
      <c r="G3722" s="16" t="s">
        <v>3009</v>
      </c>
      <c r="H3722" s="16" t="s">
        <v>408</v>
      </c>
      <c r="I3722" s="16" t="s">
        <v>490</v>
      </c>
    </row>
    <row r="3723" ht="242.25" customHeight="1">
      <c r="B3723" s="32" t="str">
        <f>IMAGE("https://gymvisual.com/4264-catalog_default/suspension-single-leg-deadlift.jpg",4,500,500)</f>
        <v/>
      </c>
      <c r="C3723" s="30">
        <v>3722.0</v>
      </c>
      <c r="D3723" s="16" t="s">
        <v>4652</v>
      </c>
      <c r="E3723" s="16" t="s">
        <v>184</v>
      </c>
      <c r="F3723" s="16" t="s">
        <v>185</v>
      </c>
      <c r="G3723" s="16" t="s">
        <v>3009</v>
      </c>
      <c r="H3723" s="16" t="s">
        <v>187</v>
      </c>
      <c r="I3723" s="16" t="s">
        <v>188</v>
      </c>
    </row>
    <row r="3724" ht="242.25" customHeight="1">
      <c r="B3724" s="32" t="str">
        <f>IMAGE("https://gymvisual.com/4244-catalog_default/suspension-single-leg-plank.jpg",4,500,500)</f>
        <v/>
      </c>
      <c r="C3724" s="30">
        <v>3723.0</v>
      </c>
      <c r="D3724" s="16" t="s">
        <v>4653</v>
      </c>
      <c r="E3724" s="16" t="s">
        <v>184</v>
      </c>
      <c r="F3724" s="16" t="s">
        <v>254</v>
      </c>
      <c r="G3724" s="16" t="s">
        <v>3009</v>
      </c>
      <c r="H3724" s="16" t="s">
        <v>256</v>
      </c>
      <c r="I3724" s="16" t="s">
        <v>2482</v>
      </c>
    </row>
    <row r="3725" ht="242.25" customHeight="1">
      <c r="B3725" s="32" t="str">
        <f>IMAGE("https://gymvisual.com/4243-catalog_default/suspension-single-leg-plank-straight-arm.jpg",4,500,500)</f>
        <v/>
      </c>
      <c r="C3725" s="30">
        <v>3724.0</v>
      </c>
      <c r="D3725" s="16" t="s">
        <v>4654</v>
      </c>
      <c r="E3725" s="16" t="s">
        <v>184</v>
      </c>
      <c r="F3725" s="16" t="s">
        <v>254</v>
      </c>
      <c r="G3725" s="16" t="s">
        <v>3009</v>
      </c>
      <c r="H3725" s="16" t="s">
        <v>256</v>
      </c>
      <c r="I3725" s="16" t="s">
        <v>2482</v>
      </c>
    </row>
    <row r="3726" ht="242.25" customHeight="1">
      <c r="B3726" s="32" t="str">
        <f>IMAGE("https://gymvisual.com/4193-catalog_default/suspension-single-leg-split-squat.jpg",4,500,500)</f>
        <v/>
      </c>
      <c r="C3726" s="30">
        <v>3725.0</v>
      </c>
      <c r="D3726" s="16" t="s">
        <v>4655</v>
      </c>
      <c r="E3726" s="16" t="s">
        <v>184</v>
      </c>
      <c r="F3726" s="16" t="s">
        <v>185</v>
      </c>
      <c r="G3726" s="16" t="s">
        <v>3009</v>
      </c>
      <c r="H3726" s="16" t="s">
        <v>187</v>
      </c>
      <c r="I3726" s="16" t="s">
        <v>480</v>
      </c>
    </row>
    <row r="3727" ht="242.25" customHeight="1">
      <c r="B3727" s="32" t="str">
        <f>IMAGE("https://gymvisual.com/4190-catalog_default/suspension-single-leg-split-squat-self-assisted.jpg",4,500,500)</f>
        <v/>
      </c>
      <c r="C3727" s="30">
        <v>3726.0</v>
      </c>
      <c r="D3727" s="16" t="s">
        <v>4656</v>
      </c>
      <c r="E3727" s="16" t="s">
        <v>184</v>
      </c>
      <c r="F3727" s="16" t="s">
        <v>185</v>
      </c>
      <c r="G3727" s="16" t="s">
        <v>3009</v>
      </c>
      <c r="H3727" s="16" t="s">
        <v>187</v>
      </c>
      <c r="I3727" s="16" t="s">
        <v>480</v>
      </c>
    </row>
    <row r="3728" ht="242.25" customHeight="1">
      <c r="B3728" s="32" t="str">
        <f>IMAGE("https://gymvisual.com/4196-catalog_default/suspension-single-leg-squat.jpg",4,500,500)</f>
        <v/>
      </c>
      <c r="C3728" s="30">
        <v>3727.0</v>
      </c>
      <c r="D3728" s="16" t="s">
        <v>4657</v>
      </c>
      <c r="E3728" s="16" t="s">
        <v>184</v>
      </c>
      <c r="F3728" s="16" t="s">
        <v>185</v>
      </c>
      <c r="G3728" s="16" t="s">
        <v>3009</v>
      </c>
      <c r="H3728" s="16" t="s">
        <v>187</v>
      </c>
      <c r="I3728" s="16" t="s">
        <v>480</v>
      </c>
    </row>
    <row r="3729" ht="242.25" customHeight="1">
      <c r="B3729" s="32" t="str">
        <f>IMAGE("https://gymvisual.com/4245-catalog_default/suspension-single-leg-squat-figure.jpg",4,500,500)</f>
        <v/>
      </c>
      <c r="C3729" s="30">
        <v>3728.0</v>
      </c>
      <c r="D3729" s="16" t="s">
        <v>4658</v>
      </c>
      <c r="E3729" s="16" t="s">
        <v>184</v>
      </c>
      <c r="F3729" s="16" t="s">
        <v>285</v>
      </c>
      <c r="G3729" s="16" t="s">
        <v>3009</v>
      </c>
      <c r="H3729" s="16" t="s">
        <v>189</v>
      </c>
      <c r="I3729" s="16" t="s">
        <v>190</v>
      </c>
    </row>
    <row r="3730" ht="242.25" customHeight="1">
      <c r="B3730" s="32" t="str">
        <f>IMAGE("https://gymvisual.com/4246-catalog_default/suspension-sit-up.jpg",4,500,500)</f>
        <v/>
      </c>
      <c r="C3730" s="30">
        <v>3729.0</v>
      </c>
      <c r="D3730" s="16" t="s">
        <v>4659</v>
      </c>
      <c r="E3730" s="16" t="s">
        <v>184</v>
      </c>
      <c r="F3730" s="16" t="s">
        <v>254</v>
      </c>
      <c r="G3730" s="16" t="s">
        <v>3009</v>
      </c>
      <c r="H3730" s="16" t="s">
        <v>305</v>
      </c>
      <c r="I3730" s="16" t="s">
        <v>593</v>
      </c>
    </row>
    <row r="3731" ht="242.25" customHeight="1">
      <c r="B3731" s="32" t="str">
        <f>IMAGE("https://gymvisual.com/4247-catalog_default/suspension-spiderman-push-up.jpg",4,500,500)</f>
        <v/>
      </c>
      <c r="C3731" s="30">
        <v>3730.0</v>
      </c>
      <c r="D3731" s="16" t="s">
        <v>4660</v>
      </c>
      <c r="E3731" s="16" t="s">
        <v>184</v>
      </c>
      <c r="F3731" s="16" t="s">
        <v>185</v>
      </c>
      <c r="G3731" s="16" t="s">
        <v>3009</v>
      </c>
      <c r="H3731" s="16" t="s">
        <v>1213</v>
      </c>
      <c r="I3731" s="16" t="s">
        <v>4661</v>
      </c>
    </row>
    <row r="3732" ht="242.25" customHeight="1">
      <c r="B3732" s="32" t="str">
        <f>IMAGE("https://gymvisual.com/4248-catalog_default/suspension-split-fly.jpg",4,500,500)</f>
        <v/>
      </c>
      <c r="C3732" s="30">
        <v>3731.0</v>
      </c>
      <c r="D3732" s="16" t="s">
        <v>4662</v>
      </c>
      <c r="E3732" s="16" t="s">
        <v>184</v>
      </c>
      <c r="F3732" s="16" t="s">
        <v>228</v>
      </c>
      <c r="G3732" s="16" t="s">
        <v>3009</v>
      </c>
      <c r="H3732" s="16" t="s">
        <v>2754</v>
      </c>
      <c r="I3732" s="16" t="s">
        <v>3134</v>
      </c>
    </row>
    <row r="3733" ht="242.25" customHeight="1">
      <c r="B3733" s="32" t="str">
        <f>IMAGE("https://gymvisual.com/4249-catalog_default/suspension-sprinter.jpg",4,500,500)</f>
        <v/>
      </c>
      <c r="C3733" s="30">
        <v>3732.0</v>
      </c>
      <c r="D3733" s="16" t="s">
        <v>4663</v>
      </c>
      <c r="E3733" s="16" t="s">
        <v>184</v>
      </c>
      <c r="F3733" s="16" t="s">
        <v>285</v>
      </c>
      <c r="G3733" s="16" t="s">
        <v>3009</v>
      </c>
      <c r="H3733" s="16" t="s">
        <v>189</v>
      </c>
      <c r="I3733" s="16" t="s">
        <v>314</v>
      </c>
    </row>
    <row r="3734" ht="242.25" customHeight="1">
      <c r="B3734" s="32" t="str">
        <f>IMAGE("https://gymvisual.com/4252-catalog_default/suspension-squat.jpg",4,500,500)</f>
        <v/>
      </c>
      <c r="C3734" s="30">
        <v>3733.0</v>
      </c>
      <c r="D3734" s="16" t="s">
        <v>4664</v>
      </c>
      <c r="E3734" s="16" t="s">
        <v>184</v>
      </c>
      <c r="F3734" s="16" t="s">
        <v>285</v>
      </c>
      <c r="G3734" s="16" t="s">
        <v>3009</v>
      </c>
      <c r="H3734" s="16" t="s">
        <v>552</v>
      </c>
      <c r="I3734" s="16" t="s">
        <v>553</v>
      </c>
    </row>
    <row r="3735" ht="242.25" customHeight="1">
      <c r="B3735" s="32" t="str">
        <f>IMAGE("https://gymvisual.com/4250-catalog_default/suspension-squat-arms-overhead.jpg",4,500,500)</f>
        <v/>
      </c>
      <c r="C3735" s="30">
        <v>3734.0</v>
      </c>
      <c r="D3735" s="16" t="s">
        <v>4665</v>
      </c>
      <c r="E3735" s="16" t="s">
        <v>184</v>
      </c>
      <c r="F3735" s="16" t="s">
        <v>285</v>
      </c>
      <c r="G3735" s="16" t="s">
        <v>3009</v>
      </c>
      <c r="H3735" s="16" t="s">
        <v>189</v>
      </c>
      <c r="I3735" s="16" t="s">
        <v>190</v>
      </c>
    </row>
    <row r="3736" ht="242.25" customHeight="1">
      <c r="B3736" s="32" t="str">
        <f>IMAGE("https://gymvisual.com/4251-catalog_default/suspension-squat-power-pull.jpg",4,500,500)</f>
        <v/>
      </c>
      <c r="C3736" s="30">
        <v>3735.0</v>
      </c>
      <c r="D3736" s="16" t="s">
        <v>4666</v>
      </c>
      <c r="E3736" s="16" t="s">
        <v>184</v>
      </c>
      <c r="F3736" s="16" t="s">
        <v>285</v>
      </c>
      <c r="G3736" s="16" t="s">
        <v>3009</v>
      </c>
      <c r="H3736" s="16" t="s">
        <v>4667</v>
      </c>
      <c r="I3736" s="16" t="s">
        <v>4668</v>
      </c>
    </row>
    <row r="3737" ht="242.25" customHeight="1">
      <c r="B3737" s="32" t="str">
        <f>IMAGE("https://gymvisual.com/4253-catalog_default/suspension-standing-ab-rollout.jpg",4,500,500)</f>
        <v/>
      </c>
      <c r="C3737" s="30">
        <v>3736.0</v>
      </c>
      <c r="D3737" s="16" t="s">
        <v>4669</v>
      </c>
      <c r="E3737" s="16" t="s">
        <v>184</v>
      </c>
      <c r="F3737" s="16" t="s">
        <v>254</v>
      </c>
      <c r="G3737" s="16" t="s">
        <v>3009</v>
      </c>
      <c r="H3737" s="16" t="s">
        <v>256</v>
      </c>
      <c r="I3737" s="16" t="s">
        <v>4670</v>
      </c>
    </row>
    <row r="3738" ht="242.25" customHeight="1">
      <c r="B3738" s="32" t="str">
        <f>IMAGE("https://gymvisual.com/4254-catalog_default/suspension-star-plank.jpg",4,500,500)</f>
        <v/>
      </c>
      <c r="C3738" s="30">
        <v>3737.0</v>
      </c>
      <c r="D3738" s="16" t="s">
        <v>4671</v>
      </c>
      <c r="E3738" s="16" t="s">
        <v>184</v>
      </c>
      <c r="F3738" s="16" t="s">
        <v>254</v>
      </c>
      <c r="G3738" s="16" t="s">
        <v>3009</v>
      </c>
      <c r="H3738" s="16" t="s">
        <v>257</v>
      </c>
      <c r="I3738" s="16" t="s">
        <v>220</v>
      </c>
    </row>
    <row r="3739" ht="242.25" customHeight="1">
      <c r="B3739" s="32" t="str">
        <f>IMAGE("https://gymvisual.com/4255-catalog_default/suspension-star-push-up.jpg",4,500,500)</f>
        <v/>
      </c>
      <c r="C3739" s="30">
        <v>3738.0</v>
      </c>
      <c r="D3739" s="16" t="s">
        <v>4672</v>
      </c>
      <c r="E3739" s="16" t="s">
        <v>184</v>
      </c>
      <c r="F3739" s="16" t="s">
        <v>254</v>
      </c>
      <c r="G3739" s="16" t="s">
        <v>3009</v>
      </c>
      <c r="H3739" s="16" t="s">
        <v>1807</v>
      </c>
      <c r="I3739" s="16" t="s">
        <v>4673</v>
      </c>
    </row>
    <row r="3740" ht="242.25" customHeight="1">
      <c r="B3740" s="32" t="str">
        <f>IMAGE("https://gymvisual.com/4199-catalog_default/suspension-straight-hip-leg-curl.jpg",4,500,500)</f>
        <v/>
      </c>
      <c r="C3740" s="30">
        <v>3739.0</v>
      </c>
      <c r="D3740" s="16" t="s">
        <v>4674</v>
      </c>
      <c r="E3740" s="16" t="s">
        <v>184</v>
      </c>
      <c r="F3740" s="16" t="s">
        <v>285</v>
      </c>
      <c r="G3740" s="16" t="s">
        <v>3009</v>
      </c>
      <c r="H3740" s="16" t="s">
        <v>188</v>
      </c>
      <c r="I3740" s="16" t="s">
        <v>368</v>
      </c>
    </row>
    <row r="3741" ht="242.25" customHeight="1">
      <c r="B3741" s="32" t="str">
        <f>IMAGE("https://gymvisual.com/20092-catalog_default/suspension-sumo-squat-female.jpg",4,500,500)</f>
        <v/>
      </c>
      <c r="C3741" s="30">
        <v>3740.0</v>
      </c>
      <c r="D3741" s="16" t="s">
        <v>4675</v>
      </c>
      <c r="E3741" s="16" t="s">
        <v>184</v>
      </c>
      <c r="F3741" s="16" t="s">
        <v>185</v>
      </c>
      <c r="G3741" s="16" t="s">
        <v>3009</v>
      </c>
      <c r="H3741" s="16" t="s">
        <v>1851</v>
      </c>
      <c r="I3741" s="16" t="s">
        <v>1121</v>
      </c>
    </row>
    <row r="3742" ht="242.25" customHeight="1">
      <c r="B3742" s="32" t="str">
        <f>IMAGE("https://gymvisual.com/4256-catalog_default/suspension-supine-crunch.jpg",4,500,500)</f>
        <v/>
      </c>
      <c r="C3742" s="30">
        <v>3741.0</v>
      </c>
      <c r="D3742" s="16" t="s">
        <v>4676</v>
      </c>
      <c r="E3742" s="16" t="s">
        <v>184</v>
      </c>
      <c r="F3742" s="16" t="s">
        <v>254</v>
      </c>
      <c r="G3742" s="16" t="s">
        <v>3009</v>
      </c>
      <c r="H3742" s="16" t="s">
        <v>305</v>
      </c>
      <c r="I3742" s="16" t="s">
        <v>593</v>
      </c>
    </row>
    <row r="3743" ht="242.25" customHeight="1">
      <c r="B3743" s="32" t="str">
        <f>IMAGE("https://gymvisual.com/4257-catalog_default/suspension-supine-plank.jpg",4,500,500)</f>
        <v/>
      </c>
      <c r="C3743" s="30">
        <v>3742.0</v>
      </c>
      <c r="D3743" s="16" t="s">
        <v>4677</v>
      </c>
      <c r="E3743" s="16" t="s">
        <v>184</v>
      </c>
      <c r="F3743" s="16" t="s">
        <v>254</v>
      </c>
      <c r="G3743" s="16" t="s">
        <v>3009</v>
      </c>
      <c r="H3743" s="16" t="s">
        <v>4678</v>
      </c>
      <c r="I3743" s="16" t="s">
        <v>1328</v>
      </c>
    </row>
    <row r="3744" ht="242.25" customHeight="1">
      <c r="B3744" s="32" t="str">
        <f>IMAGE("https://gymvisual.com/4202-catalog_default/suspension-triceps-dip.jpg",4,500,500)</f>
        <v/>
      </c>
      <c r="C3744" s="30">
        <v>3743.0</v>
      </c>
      <c r="D3744" s="16" t="s">
        <v>4679</v>
      </c>
      <c r="E3744" s="16" t="s">
        <v>184</v>
      </c>
      <c r="F3744" s="16" t="s">
        <v>219</v>
      </c>
      <c r="G3744" s="16" t="s">
        <v>3009</v>
      </c>
      <c r="H3744" s="16" t="s">
        <v>223</v>
      </c>
      <c r="I3744" s="16" t="s">
        <v>394</v>
      </c>
    </row>
    <row r="3745" ht="242.25" customHeight="1">
      <c r="B3745" s="32" t="str">
        <f>IMAGE("https://gymvisual.com/4205-catalog_default/suspension-triceps-extension.jpg",4,500,500)</f>
        <v/>
      </c>
      <c r="C3745" s="30">
        <v>3744.0</v>
      </c>
      <c r="D3745" s="16" t="s">
        <v>4680</v>
      </c>
      <c r="E3745" s="16" t="s">
        <v>184</v>
      </c>
      <c r="F3745" s="16" t="s">
        <v>219</v>
      </c>
      <c r="G3745" s="16" t="s">
        <v>3009</v>
      </c>
      <c r="H3745" s="16" t="s">
        <v>223</v>
      </c>
      <c r="I3745" s="16" t="s">
        <v>220</v>
      </c>
    </row>
    <row r="3746" ht="242.25" customHeight="1">
      <c r="B3746" s="32" t="str">
        <f>IMAGE("https://gymvisual.com/4258-catalog_default/suspension-triceps-extension-push-up.jpg",4,500,500)</f>
        <v/>
      </c>
      <c r="C3746" s="30">
        <v>3745.0</v>
      </c>
      <c r="D3746" s="16" t="s">
        <v>4681</v>
      </c>
      <c r="E3746" s="16" t="s">
        <v>184</v>
      </c>
      <c r="F3746" s="16" t="s">
        <v>219</v>
      </c>
      <c r="G3746" s="16" t="s">
        <v>3009</v>
      </c>
      <c r="H3746" s="16" t="s">
        <v>223</v>
      </c>
      <c r="I3746" s="16" t="s">
        <v>220</v>
      </c>
    </row>
    <row r="3747" ht="242.25" customHeight="1">
      <c r="B3747" s="32" t="str">
        <f>IMAGE("https://gymvisual.com/4259-catalog_default/suspension-triceps-kickback.jpg",4,500,500)</f>
        <v/>
      </c>
      <c r="C3747" s="30">
        <v>3746.0</v>
      </c>
      <c r="D3747" s="16" t="s">
        <v>4682</v>
      </c>
      <c r="E3747" s="16" t="s">
        <v>184</v>
      </c>
      <c r="F3747" s="16" t="s">
        <v>219</v>
      </c>
      <c r="G3747" s="16" t="s">
        <v>3009</v>
      </c>
      <c r="H3747" s="16" t="s">
        <v>223</v>
      </c>
      <c r="I3747" s="16" t="s">
        <v>220</v>
      </c>
    </row>
    <row r="3748" ht="242.25" customHeight="1">
      <c r="B3748" s="32" t="str">
        <f>IMAGE("https://gymvisual.com/4208-catalog_default/suspension-twist.jpg",4,500,500)</f>
        <v/>
      </c>
      <c r="C3748" s="30">
        <v>3747.0</v>
      </c>
      <c r="D3748" s="16" t="s">
        <v>4683</v>
      </c>
      <c r="E3748" s="16" t="s">
        <v>184</v>
      </c>
      <c r="F3748" s="16" t="s">
        <v>254</v>
      </c>
      <c r="G3748" s="16" t="s">
        <v>3009</v>
      </c>
      <c r="H3748" s="16" t="s">
        <v>257</v>
      </c>
      <c r="I3748" s="16" t="s">
        <v>508</v>
      </c>
    </row>
    <row r="3749" ht="242.25" customHeight="1">
      <c r="B3749" s="32" t="str">
        <f>IMAGE("https://gymvisual.com/4260-catalog_default/suspension-twist-side.jpg",4,500,500)</f>
        <v/>
      </c>
      <c r="C3749" s="30">
        <v>3748.0</v>
      </c>
      <c r="D3749" s="16" t="s">
        <v>4684</v>
      </c>
      <c r="E3749" s="16" t="s">
        <v>184</v>
      </c>
      <c r="F3749" s="16" t="s">
        <v>254</v>
      </c>
      <c r="G3749" s="16" t="s">
        <v>3009</v>
      </c>
      <c r="H3749" s="16" t="s">
        <v>741</v>
      </c>
      <c r="I3749" s="16" t="s">
        <v>4685</v>
      </c>
    </row>
    <row r="3750" ht="242.25" customHeight="1">
      <c r="B3750" s="32" t="str">
        <f>IMAGE("https://gymvisual.com/4261-catalog_default/suspension-twist-up.jpg",4,500,500)</f>
        <v/>
      </c>
      <c r="C3750" s="30">
        <v>3749.0</v>
      </c>
      <c r="D3750" s="16" t="s">
        <v>4686</v>
      </c>
      <c r="E3750" s="16" t="s">
        <v>184</v>
      </c>
      <c r="F3750" s="16" t="s">
        <v>254</v>
      </c>
      <c r="G3750" s="16" t="s">
        <v>3009</v>
      </c>
      <c r="H3750" s="16" t="s">
        <v>257</v>
      </c>
      <c r="I3750" s="16" t="s">
        <v>1715</v>
      </c>
    </row>
    <row r="3751" ht="242.25" customHeight="1">
      <c r="B3751" s="32" t="str">
        <f>IMAGE("https://gymvisual.com/4211-catalog_default/suspension-twisting-jack-knife.jpg",4,500,500)</f>
        <v/>
      </c>
      <c r="C3751" s="30">
        <v>3750.0</v>
      </c>
      <c r="D3751" s="16" t="s">
        <v>4687</v>
      </c>
      <c r="E3751" s="16" t="s">
        <v>184</v>
      </c>
      <c r="F3751" s="16" t="s">
        <v>254</v>
      </c>
      <c r="G3751" s="16" t="s">
        <v>3009</v>
      </c>
      <c r="H3751" s="16" t="s">
        <v>257</v>
      </c>
      <c r="I3751" s="16" t="s">
        <v>1707</v>
      </c>
    </row>
    <row r="3752" ht="242.25" customHeight="1">
      <c r="B3752" s="32" t="str">
        <f>IMAGE("https://gymvisual.com/20096-catalog_default/suspension-underhand-grip-inverted-row-female.jpg",4,500,500)</f>
        <v/>
      </c>
      <c r="C3752" s="30">
        <v>3751.0</v>
      </c>
      <c r="D3752" s="16" t="s">
        <v>4688</v>
      </c>
      <c r="E3752" s="16" t="s">
        <v>184</v>
      </c>
      <c r="F3752" s="16" t="s">
        <v>192</v>
      </c>
      <c r="G3752" s="16" t="s">
        <v>3009</v>
      </c>
      <c r="H3752" s="16" t="s">
        <v>329</v>
      </c>
      <c r="I3752" s="16" t="s">
        <v>357</v>
      </c>
    </row>
    <row r="3753" ht="242.25" customHeight="1">
      <c r="B3753" s="32" t="str">
        <f>IMAGE("https://gymvisual.com/4214-catalog_default/suspension-y-lateral-raise.jpg",4,500,500)</f>
        <v/>
      </c>
      <c r="C3753" s="30">
        <v>3752.0</v>
      </c>
      <c r="D3753" s="16" t="s">
        <v>4689</v>
      </c>
      <c r="E3753" s="16" t="s">
        <v>184</v>
      </c>
      <c r="F3753" s="16" t="s">
        <v>228</v>
      </c>
      <c r="G3753" s="16" t="s">
        <v>3009</v>
      </c>
      <c r="H3753" s="16" t="s">
        <v>544</v>
      </c>
      <c r="I3753" s="16" t="s">
        <v>4690</v>
      </c>
    </row>
    <row r="3754" ht="242.25" customHeight="1">
      <c r="B3754" s="32" t="str">
        <f>IMAGE("https://gymvisual.com/6960-catalog_default/swimmer.jpg",4,500,500)</f>
        <v/>
      </c>
      <c r="C3754" s="30">
        <v>3753.0</v>
      </c>
      <c r="D3754" s="16" t="s">
        <v>4691</v>
      </c>
      <c r="E3754" s="16" t="s">
        <v>184</v>
      </c>
      <c r="F3754" s="16" t="s">
        <v>185</v>
      </c>
      <c r="G3754" s="16" t="s">
        <v>255</v>
      </c>
      <c r="H3754" s="16" t="s">
        <v>220</v>
      </c>
      <c r="I3754" s="16" t="s">
        <v>220</v>
      </c>
    </row>
    <row r="3755" ht="242.25" customHeight="1">
      <c r="B3755" s="32" t="str">
        <f>IMAGE("https://gymvisual.com/13775-catalog_default/swimmer-kicks-version-2-female.jpg",4,500,500)</f>
        <v/>
      </c>
      <c r="C3755" s="30">
        <v>3754.0</v>
      </c>
      <c r="D3755" s="16" t="s">
        <v>4692</v>
      </c>
      <c r="E3755" s="16" t="s">
        <v>184</v>
      </c>
      <c r="F3755" s="16" t="s">
        <v>185</v>
      </c>
      <c r="G3755" s="16" t="s">
        <v>255</v>
      </c>
      <c r="H3755" s="16" t="s">
        <v>1114</v>
      </c>
      <c r="I3755" s="16" t="s">
        <v>220</v>
      </c>
    </row>
    <row r="3756" ht="242.25" customHeight="1">
      <c r="B3756" s="32" t="str">
        <f>IMAGE("https://gymvisual.com/13774-catalog_default/swimmer-kicks-version-2-male.jpg",4,500,500)</f>
        <v/>
      </c>
      <c r="C3756" s="30">
        <v>3755.0</v>
      </c>
      <c r="D3756" s="16" t="s">
        <v>4693</v>
      </c>
      <c r="E3756" s="16" t="s">
        <v>184</v>
      </c>
      <c r="F3756" s="16" t="s">
        <v>185</v>
      </c>
      <c r="G3756" s="16" t="s">
        <v>255</v>
      </c>
      <c r="H3756" s="16" t="s">
        <v>1114</v>
      </c>
      <c r="I3756" s="16" t="s">
        <v>220</v>
      </c>
    </row>
    <row r="3757" ht="242.25" customHeight="1">
      <c r="B3757" s="32" t="str">
        <f>IMAGE("https://gymvisual.com/22325-catalog_default/table-top-bridge.jpg",4,500,500)</f>
        <v/>
      </c>
      <c r="C3757" s="30">
        <v>3756.0</v>
      </c>
      <c r="D3757" s="16" t="s">
        <v>4694</v>
      </c>
      <c r="E3757" s="16" t="s">
        <v>184</v>
      </c>
      <c r="F3757" s="16" t="s">
        <v>185</v>
      </c>
      <c r="G3757" s="16" t="s">
        <v>255</v>
      </c>
      <c r="H3757" s="16" t="s">
        <v>4695</v>
      </c>
      <c r="I3757" s="16" t="s">
        <v>220</v>
      </c>
    </row>
    <row r="3758" ht="242.25" customHeight="1">
      <c r="B3758" s="32" t="str">
        <f>IMAGE("https://gymvisual.com/22327-catalog_default/table-top-bridge-rotation.jpg",4,500,500)</f>
        <v/>
      </c>
      <c r="C3758" s="30">
        <v>3757.0</v>
      </c>
      <c r="D3758" s="16" t="s">
        <v>4696</v>
      </c>
      <c r="E3758" s="16" t="s">
        <v>184</v>
      </c>
      <c r="F3758" s="16" t="s">
        <v>185</v>
      </c>
      <c r="G3758" s="16" t="s">
        <v>255</v>
      </c>
      <c r="H3758" s="16" t="s">
        <v>220</v>
      </c>
      <c r="I3758" s="16" t="s">
        <v>220</v>
      </c>
    </row>
    <row r="3759" ht="242.25" customHeight="1">
      <c r="B3759" s="32" t="str">
        <f>IMAGE("https://gymvisual.com/7472-catalog_default/three-bench-dip.jpg",4,500,500)</f>
        <v/>
      </c>
      <c r="C3759" s="30">
        <v>3758.0</v>
      </c>
      <c r="D3759" s="16" t="s">
        <v>4697</v>
      </c>
      <c r="E3759" s="16" t="s">
        <v>184</v>
      </c>
      <c r="F3759" s="16" t="s">
        <v>219</v>
      </c>
      <c r="G3759" s="16" t="s">
        <v>255</v>
      </c>
      <c r="H3759" s="16" t="s">
        <v>220</v>
      </c>
      <c r="I3759" s="16" t="s">
        <v>220</v>
      </c>
    </row>
    <row r="3760" ht="242.25" customHeight="1">
      <c r="B3760" s="32" t="str">
        <f>IMAGE("https://gymvisual.com/18079-catalog_default/tiger-tail-peroneal.jpg",4,500,500)</f>
        <v/>
      </c>
      <c r="C3760" s="30">
        <v>3759.0</v>
      </c>
      <c r="D3760" s="16" t="s">
        <v>4698</v>
      </c>
      <c r="E3760" s="16" t="s">
        <v>184</v>
      </c>
      <c r="F3760" s="16" t="s">
        <v>325</v>
      </c>
      <c r="G3760" s="16" t="s">
        <v>255</v>
      </c>
      <c r="H3760" s="16" t="s">
        <v>220</v>
      </c>
      <c r="I3760" s="16" t="s">
        <v>220</v>
      </c>
    </row>
    <row r="3761" ht="242.25" customHeight="1">
      <c r="B3761" s="32" t="str">
        <f>IMAGE("https://gymvisual.com/10566-catalog_default/tire-flip.jpg",4,500,500)</f>
        <v/>
      </c>
      <c r="C3761" s="30">
        <v>3760.0</v>
      </c>
      <c r="D3761" s="16" t="s">
        <v>4699</v>
      </c>
      <c r="E3761" s="16" t="s">
        <v>184</v>
      </c>
      <c r="F3761" s="16" t="s">
        <v>285</v>
      </c>
      <c r="G3761" s="16" t="s">
        <v>255</v>
      </c>
      <c r="H3761" s="16" t="s">
        <v>220</v>
      </c>
      <c r="I3761" s="16" t="s">
        <v>220</v>
      </c>
    </row>
    <row r="3762" ht="242.25" customHeight="1">
      <c r="B3762" s="32" t="str">
        <f>IMAGE("https://gymvisual.com/2421-catalog_default/toe-touch-sit-wall.jpg",4,500,500)</f>
        <v/>
      </c>
      <c r="C3762" s="30">
        <v>3761.0</v>
      </c>
      <c r="D3762" s="16" t="s">
        <v>4700</v>
      </c>
      <c r="E3762" s="16" t="s">
        <v>184</v>
      </c>
      <c r="F3762" s="16" t="s">
        <v>285</v>
      </c>
      <c r="G3762" s="16" t="s">
        <v>255</v>
      </c>
      <c r="H3762" s="16" t="s">
        <v>2482</v>
      </c>
      <c r="I3762" s="16" t="s">
        <v>553</v>
      </c>
    </row>
    <row r="3763" ht="242.25" customHeight="1">
      <c r="B3763" s="32" t="str">
        <f>IMAGE("https://gymvisual.com/22516-catalog_default/top-pull-up-hold-female.jpg",4,500,500)</f>
        <v/>
      </c>
      <c r="C3763" s="30">
        <v>3762.0</v>
      </c>
      <c r="D3763" s="16" t="s">
        <v>4701</v>
      </c>
      <c r="E3763" s="16" t="s">
        <v>184</v>
      </c>
      <c r="F3763" s="16" t="s">
        <v>192</v>
      </c>
      <c r="G3763" s="16" t="s">
        <v>255</v>
      </c>
      <c r="H3763" s="16" t="s">
        <v>220</v>
      </c>
      <c r="I3763" s="16" t="s">
        <v>220</v>
      </c>
    </row>
    <row r="3764" ht="242.25" customHeight="1">
      <c r="A3764" s="32" t="b">
        <v>0</v>
      </c>
      <c r="B3764" s="32" t="str">
        <f>IMAGE("https://gymvisual.com/7340-catalog_default/transverse-plane-dumbbell-lunge.jpg",4,500,500)</f>
        <v/>
      </c>
      <c r="C3764" s="30">
        <v>3763.0</v>
      </c>
      <c r="D3764" s="16" t="s">
        <v>4702</v>
      </c>
      <c r="E3764" s="16" t="s">
        <v>184</v>
      </c>
      <c r="F3764" s="16" t="s">
        <v>285</v>
      </c>
      <c r="G3764" s="16" t="s">
        <v>222</v>
      </c>
      <c r="H3764" s="16" t="s">
        <v>220</v>
      </c>
      <c r="I3764" s="16" t="s">
        <v>220</v>
      </c>
    </row>
    <row r="3765" ht="242.25" customHeight="1">
      <c r="B3765" s="32" t="str">
        <f>IMAGE("https://gymvisual.com/6849-catalog_default/transverse-step-up.jpg",4,500,500)</f>
        <v/>
      </c>
      <c r="C3765" s="30">
        <v>3764.0</v>
      </c>
      <c r="D3765" s="16" t="s">
        <v>4703</v>
      </c>
      <c r="E3765" s="16" t="s">
        <v>184</v>
      </c>
      <c r="F3765" s="16" t="s">
        <v>285</v>
      </c>
      <c r="G3765" s="16" t="s">
        <v>255</v>
      </c>
      <c r="H3765" s="16" t="s">
        <v>220</v>
      </c>
      <c r="I3765" s="16" t="s">
        <v>220</v>
      </c>
    </row>
    <row r="3766" ht="242.25" customHeight="1">
      <c r="B3766" s="32" t="str">
        <f>IMAGE("https://gymvisual.com/22369-catalog_default/trap-bar-banded-deadlift.jpg",4,500,500)</f>
        <v/>
      </c>
      <c r="C3766" s="30">
        <v>3765.0</v>
      </c>
      <c r="D3766" s="16" t="s">
        <v>4704</v>
      </c>
      <c r="E3766" s="16" t="s">
        <v>184</v>
      </c>
      <c r="F3766" s="16" t="s">
        <v>185</v>
      </c>
      <c r="G3766" s="16" t="s">
        <v>4705</v>
      </c>
      <c r="H3766" s="16" t="s">
        <v>220</v>
      </c>
      <c r="I3766" s="16" t="s">
        <v>220</v>
      </c>
    </row>
    <row r="3767" ht="242.25" customHeight="1">
      <c r="B3767" s="32" t="str">
        <f>IMAGE("https://gymvisual.com/17909-catalog_default/trap-bar-bent-over-row-male.jpg",4,500,500)</f>
        <v/>
      </c>
      <c r="C3767" s="30">
        <v>3766.0</v>
      </c>
      <c r="D3767" s="16" t="s">
        <v>4706</v>
      </c>
      <c r="E3767" s="16" t="s">
        <v>184</v>
      </c>
      <c r="F3767" s="16" t="s">
        <v>192</v>
      </c>
      <c r="G3767" s="16" t="s">
        <v>4705</v>
      </c>
      <c r="H3767" s="16" t="s">
        <v>570</v>
      </c>
      <c r="I3767" s="16" t="s">
        <v>447</v>
      </c>
    </row>
    <row r="3768" ht="242.25" customHeight="1">
      <c r="B3768" s="32" t="str">
        <f>IMAGE("https://gymvisual.com/24049-catalog_default/trap-bar-deadlift.jpg",4,500,500)</f>
        <v/>
      </c>
      <c r="C3768" s="30">
        <v>3767.0</v>
      </c>
      <c r="D3768" s="16" t="s">
        <v>4707</v>
      </c>
      <c r="E3768" s="16" t="s">
        <v>184</v>
      </c>
      <c r="F3768" s="16" t="s">
        <v>285</v>
      </c>
      <c r="G3768" s="16" t="s">
        <v>4705</v>
      </c>
      <c r="H3768" s="16" t="s">
        <v>189</v>
      </c>
      <c r="I3768" s="16" t="s">
        <v>190</v>
      </c>
    </row>
    <row r="3769" ht="242.25" customHeight="1">
      <c r="B3769" s="32" t="str">
        <f>IMAGE("https://gymvisual.com/17911-catalog_default/trap-bar-deadlift-from-deficit-male.jpg",4,500,500)</f>
        <v/>
      </c>
      <c r="C3769" s="30">
        <v>3768.0</v>
      </c>
      <c r="D3769" s="16" t="s">
        <v>4708</v>
      </c>
      <c r="E3769" s="16" t="s">
        <v>184</v>
      </c>
      <c r="F3769" s="16" t="s">
        <v>185</v>
      </c>
      <c r="G3769" s="16" t="s">
        <v>4705</v>
      </c>
      <c r="H3769" s="16" t="s">
        <v>220</v>
      </c>
      <c r="I3769" s="16" t="s">
        <v>220</v>
      </c>
    </row>
    <row r="3770" ht="242.25" customHeight="1">
      <c r="B3770" s="32" t="str">
        <f>IMAGE("https://gymvisual.com/12174-catalog_default/trap-bar-farmers-carry.jpg",4,500,500)</f>
        <v/>
      </c>
      <c r="C3770" s="30">
        <v>3769.0</v>
      </c>
      <c r="D3770" s="16" t="s">
        <v>4709</v>
      </c>
      <c r="E3770" s="16" t="s">
        <v>184</v>
      </c>
      <c r="F3770" s="16" t="s">
        <v>285</v>
      </c>
      <c r="G3770" s="16" t="s">
        <v>4705</v>
      </c>
      <c r="H3770" s="16" t="s">
        <v>220</v>
      </c>
      <c r="I3770" s="16" t="s">
        <v>220</v>
      </c>
    </row>
    <row r="3771" ht="242.25" customHeight="1">
      <c r="B3771" s="32" t="str">
        <f>IMAGE("https://gymvisual.com/14415-catalog_default/trap-bar-split-stance-rdl.jpg",4,500,500)</f>
        <v/>
      </c>
      <c r="C3771" s="30">
        <v>3770.0</v>
      </c>
      <c r="D3771" s="16" t="s">
        <v>4710</v>
      </c>
      <c r="E3771" s="16" t="s">
        <v>184</v>
      </c>
      <c r="F3771" s="16" t="s">
        <v>185</v>
      </c>
      <c r="G3771" s="16" t="s">
        <v>4705</v>
      </c>
      <c r="H3771" s="16" t="s">
        <v>189</v>
      </c>
      <c r="I3771" s="16" t="s">
        <v>314</v>
      </c>
    </row>
    <row r="3772" ht="242.25" customHeight="1">
      <c r="B3772" s="32" t="str">
        <f>IMAGE("https://gymvisual.com/17907-catalog_default/trap-bar-standing-shrug-male.jpg",4,500,500)</f>
        <v/>
      </c>
      <c r="C3772" s="30">
        <v>3771.0</v>
      </c>
      <c r="D3772" s="16" t="s">
        <v>4711</v>
      </c>
      <c r="E3772" s="16" t="s">
        <v>184</v>
      </c>
      <c r="F3772" s="16" t="s">
        <v>192</v>
      </c>
      <c r="G3772" s="16" t="s">
        <v>4705</v>
      </c>
      <c r="H3772" s="16" t="s">
        <v>238</v>
      </c>
      <c r="I3772" s="16" t="s">
        <v>618</v>
      </c>
    </row>
    <row r="3773" ht="242.25" customHeight="1">
      <c r="B3773" s="32" t="str">
        <f>IMAGE("https://gymvisual.com/4496-catalog_default/triceps-dip.jpg",4,500,500)</f>
        <v/>
      </c>
      <c r="C3773" s="30">
        <v>3772.0</v>
      </c>
      <c r="D3773" s="16" t="s">
        <v>4712</v>
      </c>
      <c r="E3773" s="16" t="s">
        <v>184</v>
      </c>
      <c r="F3773" s="16" t="s">
        <v>219</v>
      </c>
      <c r="G3773" s="16" t="s">
        <v>255</v>
      </c>
      <c r="H3773" s="16" t="s">
        <v>223</v>
      </c>
      <c r="I3773" s="16" t="s">
        <v>394</v>
      </c>
    </row>
    <row r="3774" ht="242.25" customHeight="1">
      <c r="B3774" s="32" t="str">
        <f>IMAGE("https://gymvisual.com/20640-catalog_default/triceps-dip-bench-leg.jpg",4,500,500)</f>
        <v/>
      </c>
      <c r="C3774" s="30">
        <v>3773.0</v>
      </c>
      <c r="D3774" s="16" t="s">
        <v>4713</v>
      </c>
      <c r="E3774" s="16" t="s">
        <v>184</v>
      </c>
      <c r="F3774" s="16" t="s">
        <v>219</v>
      </c>
      <c r="G3774" s="16" t="s">
        <v>255</v>
      </c>
      <c r="H3774" s="16" t="s">
        <v>223</v>
      </c>
      <c r="I3774" s="16" t="s">
        <v>662</v>
      </c>
    </row>
    <row r="3775" ht="242.25" customHeight="1">
      <c r="B3775" s="32" t="str">
        <f>IMAGE("https://gymvisual.com/2430-catalog_default/triceps-dip-between-benches.jpg",4,500,500)</f>
        <v/>
      </c>
      <c r="C3775" s="30">
        <v>3774.0</v>
      </c>
      <c r="D3775" s="16" t="s">
        <v>4714</v>
      </c>
      <c r="E3775" s="16" t="s">
        <v>184</v>
      </c>
      <c r="F3775" s="16" t="s">
        <v>219</v>
      </c>
      <c r="G3775" s="16" t="s">
        <v>255</v>
      </c>
      <c r="H3775" s="16" t="s">
        <v>223</v>
      </c>
      <c r="I3775" s="16" t="s">
        <v>662</v>
      </c>
    </row>
    <row r="3776" ht="242.25" customHeight="1">
      <c r="B3776" s="32" t="str">
        <f>IMAGE("https://gymvisual.com/13499-catalog_default/triceps-dip-female.jpg",4,500,500)</f>
        <v/>
      </c>
      <c r="C3776" s="30">
        <v>3775.0</v>
      </c>
      <c r="D3776" s="16" t="s">
        <v>4715</v>
      </c>
      <c r="E3776" s="16" t="s">
        <v>184</v>
      </c>
      <c r="F3776" s="16" t="s">
        <v>219</v>
      </c>
      <c r="G3776" s="16" t="s">
        <v>255</v>
      </c>
      <c r="H3776" s="16" t="s">
        <v>223</v>
      </c>
      <c r="I3776" s="16" t="s">
        <v>394</v>
      </c>
    </row>
    <row r="3777" ht="242.25" customHeight="1">
      <c r="B3777" s="32" t="str">
        <f>IMAGE("https://gymvisual.com/23909-catalog_default/triceps-dip-floor-female.jpg",4,500,500)</f>
        <v/>
      </c>
      <c r="C3777" s="30">
        <v>3776.0</v>
      </c>
      <c r="D3777" s="16" t="s">
        <v>4716</v>
      </c>
      <c r="E3777" s="16" t="s">
        <v>184</v>
      </c>
      <c r="F3777" s="16" t="s">
        <v>219</v>
      </c>
      <c r="G3777" s="16" t="s">
        <v>255</v>
      </c>
      <c r="H3777" s="16" t="s">
        <v>223</v>
      </c>
      <c r="I3777" s="16" t="s">
        <v>394</v>
      </c>
    </row>
    <row r="3778" ht="242.25" customHeight="1">
      <c r="B3778" s="32" t="str">
        <f>IMAGE("https://gymvisual.com/2436-catalog_default/triceps-dips-floor.jpg",4,500,500)</f>
        <v/>
      </c>
      <c r="C3778" s="30">
        <v>3777.0</v>
      </c>
      <c r="D3778" s="16" t="s">
        <v>4717</v>
      </c>
      <c r="E3778" s="16" t="s">
        <v>184</v>
      </c>
      <c r="F3778" s="16" t="s">
        <v>219</v>
      </c>
      <c r="G3778" s="16" t="s">
        <v>255</v>
      </c>
      <c r="H3778" s="16" t="s">
        <v>223</v>
      </c>
      <c r="I3778" s="16" t="s">
        <v>394</v>
      </c>
    </row>
    <row r="3779" ht="242.25" customHeight="1">
      <c r="B3779" s="32" t="str">
        <f>IMAGE("https://gymvisual.com/20642-catalog_default/triceps-press.jpg",4,500,500)</f>
        <v/>
      </c>
      <c r="C3779" s="30">
        <v>3778.0</v>
      </c>
      <c r="D3779" s="16" t="s">
        <v>4718</v>
      </c>
      <c r="E3779" s="16" t="s">
        <v>184</v>
      </c>
      <c r="F3779" s="16" t="s">
        <v>219</v>
      </c>
      <c r="G3779" s="16" t="s">
        <v>255</v>
      </c>
      <c r="H3779" s="16" t="s">
        <v>223</v>
      </c>
      <c r="I3779" s="16" t="s">
        <v>472</v>
      </c>
    </row>
    <row r="3780" ht="242.25" customHeight="1">
      <c r="B3780" s="32" t="str">
        <f>IMAGE("https://gymvisual.com/4499-catalog_default/triceps-press-head-below-bench.jpg",4,500,500)</f>
        <v/>
      </c>
      <c r="C3780" s="30">
        <v>3779.0</v>
      </c>
      <c r="D3780" s="16" t="s">
        <v>4719</v>
      </c>
      <c r="E3780" s="16" t="s">
        <v>184</v>
      </c>
      <c r="F3780" s="16" t="s">
        <v>219</v>
      </c>
      <c r="G3780" s="16" t="s">
        <v>255</v>
      </c>
      <c r="H3780" s="16" t="s">
        <v>223</v>
      </c>
      <c r="I3780" s="16" t="s">
        <v>347</v>
      </c>
    </row>
    <row r="3781" ht="242.25" customHeight="1">
      <c r="B3781" s="32" t="str">
        <f>IMAGE("https://gymvisual.com/22331-catalog_default/triceps-press-high-bar-position.jpg",4,500,500)</f>
        <v/>
      </c>
      <c r="C3781" s="30">
        <v>3780.0</v>
      </c>
      <c r="D3781" s="16" t="s">
        <v>4720</v>
      </c>
      <c r="E3781" s="16" t="s">
        <v>184</v>
      </c>
      <c r="F3781" s="16" t="s">
        <v>219</v>
      </c>
      <c r="G3781" s="16" t="s">
        <v>255</v>
      </c>
      <c r="H3781" s="16" t="s">
        <v>220</v>
      </c>
      <c r="I3781" s="16" t="s">
        <v>220</v>
      </c>
    </row>
    <row r="3782" ht="242.25" customHeight="1">
      <c r="B3782" s="32" t="str">
        <f>IMAGE("https://gymvisual.com/22333-catalog_default/triceps-press-low-bar-position.jpg",4,500,500)</f>
        <v/>
      </c>
      <c r="C3782" s="30">
        <v>3781.0</v>
      </c>
      <c r="D3782" s="16" t="s">
        <v>4721</v>
      </c>
      <c r="E3782" s="16" t="s">
        <v>184</v>
      </c>
      <c r="F3782" s="16" t="s">
        <v>219</v>
      </c>
      <c r="G3782" s="16" t="s">
        <v>255</v>
      </c>
      <c r="H3782" s="16" t="s">
        <v>220</v>
      </c>
      <c r="I3782" s="16" t="s">
        <v>220</v>
      </c>
    </row>
    <row r="3783" ht="242.25" customHeight="1">
      <c r="B3783" s="32" t="str">
        <f>IMAGE("https://gymvisual.com/2651-catalog_default/tuck-crunch.jpg",4,500,500)</f>
        <v/>
      </c>
      <c r="C3783" s="30">
        <v>3782.0</v>
      </c>
      <c r="D3783" s="16" t="s">
        <v>4722</v>
      </c>
      <c r="E3783" s="16" t="s">
        <v>184</v>
      </c>
      <c r="F3783" s="16" t="s">
        <v>254</v>
      </c>
      <c r="G3783" s="16" t="s">
        <v>255</v>
      </c>
      <c r="H3783" s="16" t="s">
        <v>256</v>
      </c>
      <c r="I3783" s="16" t="s">
        <v>257</v>
      </c>
    </row>
    <row r="3784" ht="242.25" customHeight="1">
      <c r="B3784" s="32" t="str">
        <f>IMAGE("https://gymvisual.com/17809-catalog_default/tuck-up-female.jpg",4,500,500)</f>
        <v/>
      </c>
      <c r="C3784" s="30">
        <v>3783.0</v>
      </c>
      <c r="D3784" s="16" t="s">
        <v>4723</v>
      </c>
      <c r="E3784" s="16" t="s">
        <v>184</v>
      </c>
      <c r="F3784" s="16" t="s">
        <v>254</v>
      </c>
      <c r="G3784" s="16" t="s">
        <v>255</v>
      </c>
      <c r="H3784" s="16" t="s">
        <v>220</v>
      </c>
      <c r="I3784" s="16" t="s">
        <v>220</v>
      </c>
    </row>
    <row r="3785" ht="242.25" customHeight="1">
      <c r="A3785" s="32" t="b">
        <v>0</v>
      </c>
      <c r="B3785" s="32" t="str">
        <f>IMAGE("https://gymvisual.com/2445-catalog_default/twin-handle-parallel-grip-lat-pulldown.jpg",4,500,500)</f>
        <v/>
      </c>
      <c r="C3785" s="30">
        <v>3784.0</v>
      </c>
      <c r="D3785" s="16" t="s">
        <v>4724</v>
      </c>
      <c r="E3785" s="16" t="s">
        <v>184</v>
      </c>
      <c r="F3785" s="16" t="s">
        <v>192</v>
      </c>
      <c r="G3785" s="16" t="s">
        <v>215</v>
      </c>
      <c r="H3785" s="16" t="s">
        <v>300</v>
      </c>
      <c r="I3785" s="16" t="s">
        <v>387</v>
      </c>
    </row>
    <row r="3786" ht="242.25" customHeight="1">
      <c r="B3786" s="32" t="str">
        <f>IMAGE("https://gymvisual.com/2448-catalog_default/twist-crunch-leg-up.jpg",4,500,500)</f>
        <v/>
      </c>
      <c r="C3786" s="30">
        <v>3785.0</v>
      </c>
      <c r="D3786" s="16" t="s">
        <v>4725</v>
      </c>
      <c r="E3786" s="16" t="s">
        <v>184</v>
      </c>
      <c r="F3786" s="16" t="s">
        <v>254</v>
      </c>
      <c r="G3786" s="16" t="s">
        <v>255</v>
      </c>
      <c r="H3786" s="16" t="s">
        <v>263</v>
      </c>
      <c r="I3786" s="16" t="s">
        <v>1878</v>
      </c>
    </row>
    <row r="3787" ht="242.25" customHeight="1">
      <c r="B3787" s="32" t="str">
        <f>IMAGE("https://gymvisual.com/24291-catalog_default/twist-crunch-legs-up-male.jpg",4,500,500)</f>
        <v/>
      </c>
      <c r="C3787" s="30">
        <v>3786.0</v>
      </c>
      <c r="D3787" s="16" t="s">
        <v>4726</v>
      </c>
      <c r="E3787" s="16" t="s">
        <v>184</v>
      </c>
      <c r="F3787" s="16" t="s">
        <v>254</v>
      </c>
      <c r="G3787" s="16" t="s">
        <v>255</v>
      </c>
      <c r="H3787" s="16" t="s">
        <v>260</v>
      </c>
      <c r="I3787" s="16" t="s">
        <v>1306</v>
      </c>
    </row>
    <row r="3788" ht="242.25" customHeight="1">
      <c r="B3788" s="32" t="str">
        <f>IMAGE("https://gymvisual.com/6399-catalog_default/twist-hip-lift.jpg",4,500,500)</f>
        <v/>
      </c>
      <c r="C3788" s="30">
        <v>3787.0</v>
      </c>
      <c r="D3788" s="16" t="s">
        <v>4727</v>
      </c>
      <c r="E3788" s="16" t="s">
        <v>184</v>
      </c>
      <c r="F3788" s="16" t="s">
        <v>185</v>
      </c>
      <c r="G3788" s="16" t="s">
        <v>255</v>
      </c>
      <c r="H3788" s="16" t="s">
        <v>4728</v>
      </c>
      <c r="I3788" s="16" t="s">
        <v>188</v>
      </c>
    </row>
    <row r="3789" ht="242.25" customHeight="1">
      <c r="B3789" s="32" t="str">
        <f>IMAGE("https://gymvisual.com/17304-catalog_default/twist-push-up.jpg",4,500,500)</f>
        <v/>
      </c>
      <c r="C3789" s="30">
        <v>3788.0</v>
      </c>
      <c r="D3789" s="16" t="s">
        <v>4729</v>
      </c>
      <c r="E3789" s="16" t="s">
        <v>184</v>
      </c>
      <c r="F3789" s="16" t="s">
        <v>234</v>
      </c>
      <c r="G3789" s="16" t="s">
        <v>255</v>
      </c>
      <c r="H3789" s="16" t="s">
        <v>235</v>
      </c>
      <c r="I3789" s="16" t="s">
        <v>4730</v>
      </c>
    </row>
    <row r="3790" ht="242.25" customHeight="1">
      <c r="B3790" s="32" t="str">
        <f>IMAGE("https://gymvisual.com/2451-catalog_default/twist-side-bridge.jpg",4,500,500)</f>
        <v/>
      </c>
      <c r="C3790" s="30">
        <v>3789.0</v>
      </c>
      <c r="D3790" s="16" t="s">
        <v>4731</v>
      </c>
      <c r="E3790" s="16" t="s">
        <v>184</v>
      </c>
      <c r="F3790" s="16" t="s">
        <v>228</v>
      </c>
      <c r="G3790" s="16" t="s">
        <v>255</v>
      </c>
      <c r="H3790" s="16" t="s">
        <v>257</v>
      </c>
      <c r="I3790" s="16" t="s">
        <v>4732</v>
      </c>
    </row>
    <row r="3791" ht="242.25" customHeight="1">
      <c r="B3791" s="32" t="str">
        <f>IMAGE("https://gymvisual.com/2454-catalog_default/twist-sit-up.jpg",4,500,500)</f>
        <v/>
      </c>
      <c r="C3791" s="30">
        <v>3790.0</v>
      </c>
      <c r="D3791" s="16" t="s">
        <v>4733</v>
      </c>
      <c r="E3791" s="16" t="s">
        <v>184</v>
      </c>
      <c r="F3791" s="16" t="s">
        <v>254</v>
      </c>
      <c r="G3791" s="16" t="s">
        <v>255</v>
      </c>
      <c r="H3791" s="16" t="s">
        <v>263</v>
      </c>
      <c r="I3791" s="16" t="s">
        <v>220</v>
      </c>
    </row>
    <row r="3792" ht="242.25" customHeight="1">
      <c r="B3792" s="32" t="str">
        <f>IMAGE("https://gymvisual.com/2457-catalog_default/twist-squat.jpg",4,500,500)</f>
        <v/>
      </c>
      <c r="C3792" s="30">
        <v>3791.0</v>
      </c>
      <c r="D3792" s="16" t="s">
        <v>4734</v>
      </c>
      <c r="E3792" s="16" t="s">
        <v>184</v>
      </c>
      <c r="F3792" s="16" t="s">
        <v>285</v>
      </c>
      <c r="G3792" s="16" t="s">
        <v>255</v>
      </c>
      <c r="H3792" s="16" t="s">
        <v>524</v>
      </c>
      <c r="I3792" s="16" t="s">
        <v>190</v>
      </c>
    </row>
    <row r="3793" ht="242.25" customHeight="1">
      <c r="B3793" s="32" t="str">
        <f>IMAGE("https://gymvisual.com/17883-catalog_default/twist-superman-male.jpg",4,500,500)</f>
        <v/>
      </c>
      <c r="C3793" s="30">
        <v>3792.0</v>
      </c>
      <c r="D3793" s="16" t="s">
        <v>4735</v>
      </c>
      <c r="E3793" s="16" t="s">
        <v>184</v>
      </c>
      <c r="F3793" s="16" t="s">
        <v>185</v>
      </c>
      <c r="G3793" s="16" t="s">
        <v>255</v>
      </c>
      <c r="H3793" s="16" t="s">
        <v>4736</v>
      </c>
      <c r="I3793" s="16" t="s">
        <v>3229</v>
      </c>
    </row>
    <row r="3794" ht="242.25" customHeight="1">
      <c r="B3794" s="32" t="str">
        <f>IMAGE("https://gymvisual.com/11965-catalog_default/twisted-leg-raise.jpg",4,500,500)</f>
        <v/>
      </c>
      <c r="C3794" s="30">
        <v>3793.0</v>
      </c>
      <c r="D3794" s="16" t="s">
        <v>4737</v>
      </c>
      <c r="E3794" s="16" t="s">
        <v>184</v>
      </c>
      <c r="F3794" s="16" t="s">
        <v>254</v>
      </c>
      <c r="G3794" s="16" t="s">
        <v>255</v>
      </c>
      <c r="H3794" s="16" t="s">
        <v>220</v>
      </c>
      <c r="I3794" s="16" t="s">
        <v>220</v>
      </c>
    </row>
    <row r="3795" ht="242.25" customHeight="1">
      <c r="B3795" s="32" t="str">
        <f>IMAGE("https://gymvisual.com/11964-catalog_default/twisted-leg-raise-female.jpg",4,500,500)</f>
        <v/>
      </c>
      <c r="C3795" s="30">
        <v>3794.0</v>
      </c>
      <c r="D3795" s="16" t="s">
        <v>4738</v>
      </c>
      <c r="E3795" s="16" t="s">
        <v>184</v>
      </c>
      <c r="F3795" s="16" t="s">
        <v>254</v>
      </c>
      <c r="G3795" s="16" t="s">
        <v>255</v>
      </c>
      <c r="H3795" s="16" t="s">
        <v>263</v>
      </c>
      <c r="I3795" s="16" t="s">
        <v>289</v>
      </c>
    </row>
    <row r="3796" ht="242.25" customHeight="1">
      <c r="B3796" s="32" t="str">
        <f>IMAGE("https://gymvisual.com/2463-catalog_default/twisting-crunch.jpg",4,500,500)</f>
        <v/>
      </c>
      <c r="C3796" s="30">
        <v>3795.0</v>
      </c>
      <c r="D3796" s="16" t="s">
        <v>4739</v>
      </c>
      <c r="E3796" s="16" t="s">
        <v>184</v>
      </c>
      <c r="F3796" s="16" t="s">
        <v>254</v>
      </c>
      <c r="G3796" s="16" t="s">
        <v>255</v>
      </c>
      <c r="H3796" s="16" t="s">
        <v>257</v>
      </c>
      <c r="I3796" s="16" t="s">
        <v>256</v>
      </c>
    </row>
    <row r="3797" ht="242.25" customHeight="1">
      <c r="B3797" s="32" t="str">
        <f>IMAGE("https://gymvisual.com/22775-catalog_default/twisting-crunch.jpg",4,500,500)</f>
        <v/>
      </c>
      <c r="C3797" s="30">
        <v>3796.0</v>
      </c>
      <c r="D3797" s="16" t="s">
        <v>4739</v>
      </c>
      <c r="E3797" s="16" t="s">
        <v>184</v>
      </c>
      <c r="F3797" s="16" t="s">
        <v>254</v>
      </c>
      <c r="G3797" s="16" t="s">
        <v>255</v>
      </c>
      <c r="H3797" s="16" t="s">
        <v>257</v>
      </c>
      <c r="I3797" s="16" t="s">
        <v>256</v>
      </c>
    </row>
    <row r="3798" ht="242.25" customHeight="1">
      <c r="B3798" s="32" t="str">
        <f>IMAGE("https://gymvisual.com/2460-catalog_default/twisting-crunch-arms-straight.jpg",4,500,500)</f>
        <v/>
      </c>
      <c r="C3798" s="30">
        <v>3797.0</v>
      </c>
      <c r="D3798" s="16" t="s">
        <v>4740</v>
      </c>
      <c r="E3798" s="16" t="s">
        <v>184</v>
      </c>
      <c r="F3798" s="16" t="s">
        <v>254</v>
      </c>
      <c r="G3798" s="16" t="s">
        <v>255</v>
      </c>
      <c r="H3798" s="16" t="s">
        <v>260</v>
      </c>
      <c r="I3798" s="16" t="s">
        <v>220</v>
      </c>
    </row>
    <row r="3799" ht="242.25" customHeight="1">
      <c r="B3799" s="32" t="str">
        <f>IMAGE("https://gymvisual.com/14306-catalog_default/twisting-crunch-straight-arms-male.jpg",4,500,500)</f>
        <v/>
      </c>
      <c r="C3799" s="30">
        <v>3798.0</v>
      </c>
      <c r="D3799" s="16" t="s">
        <v>4741</v>
      </c>
      <c r="E3799" s="16" t="s">
        <v>184</v>
      </c>
      <c r="F3799" s="16" t="s">
        <v>254</v>
      </c>
      <c r="G3799" s="16" t="s">
        <v>255</v>
      </c>
      <c r="H3799" s="16" t="s">
        <v>260</v>
      </c>
      <c r="I3799" s="16" t="s">
        <v>220</v>
      </c>
    </row>
    <row r="3800" ht="242.25" customHeight="1">
      <c r="B3800" s="32" t="str">
        <f>IMAGE("https://gymvisual.com/19389-catalog_default/two-legs-hammer-curl-with-towel-version-2.jpg",4,500,500)</f>
        <v/>
      </c>
      <c r="C3800" s="30">
        <v>3799.0</v>
      </c>
      <c r="D3800" s="16" t="s">
        <v>4742</v>
      </c>
      <c r="E3800" s="16" t="s">
        <v>184</v>
      </c>
      <c r="F3800" s="16" t="s">
        <v>219</v>
      </c>
      <c r="G3800" s="16" t="s">
        <v>255</v>
      </c>
      <c r="H3800" s="16" t="s">
        <v>216</v>
      </c>
      <c r="I3800" s="16" t="s">
        <v>217</v>
      </c>
    </row>
    <row r="3801" ht="242.25" customHeight="1">
      <c r="B3801" s="32" t="str">
        <f>IMAGE("https://gymvisual.com/22103-catalog_default/two-legs-reverse-biceps-curl-with-towel-version-2.jpg",4,500,500)</f>
        <v/>
      </c>
      <c r="C3801" s="30">
        <v>3800.0</v>
      </c>
      <c r="D3801" s="16" t="s">
        <v>4743</v>
      </c>
      <c r="E3801" s="16" t="s">
        <v>184</v>
      </c>
      <c r="F3801" s="16" t="s">
        <v>219</v>
      </c>
      <c r="G3801" s="16" t="s">
        <v>255</v>
      </c>
      <c r="H3801" s="16" t="s">
        <v>241</v>
      </c>
      <c r="I3801" s="16" t="s">
        <v>292</v>
      </c>
    </row>
    <row r="3802" ht="242.25" customHeight="1">
      <c r="B3802" s="32" t="str">
        <f>IMAGE("https://gymvisual.com/4594-catalog_default/underhand-grip-inverted-back-row.jpg",4,500,500)</f>
        <v/>
      </c>
      <c r="C3802" s="30">
        <v>3801.0</v>
      </c>
      <c r="D3802" s="16" t="s">
        <v>4744</v>
      </c>
      <c r="E3802" s="16" t="s">
        <v>184</v>
      </c>
      <c r="F3802" s="16" t="s">
        <v>192</v>
      </c>
      <c r="G3802" s="16" t="s">
        <v>255</v>
      </c>
      <c r="H3802" s="16" t="s">
        <v>329</v>
      </c>
      <c r="I3802" s="16" t="s">
        <v>3429</v>
      </c>
    </row>
    <row r="3803" ht="242.25" customHeight="1">
      <c r="B3803" s="32" t="str">
        <f>IMAGE("https://gymvisual.com/22825-catalog_default/v-sit-cross-punch.jpg",4,500,500)</f>
        <v/>
      </c>
      <c r="C3803" s="30">
        <v>3802.0</v>
      </c>
      <c r="D3803" s="16" t="s">
        <v>4745</v>
      </c>
      <c r="E3803" s="16" t="s">
        <v>184</v>
      </c>
      <c r="F3803" s="16" t="s">
        <v>254</v>
      </c>
      <c r="G3803" s="16" t="s">
        <v>255</v>
      </c>
      <c r="H3803" s="16" t="s">
        <v>4150</v>
      </c>
      <c r="I3803" s="16" t="s">
        <v>243</v>
      </c>
    </row>
    <row r="3804" ht="242.25" customHeight="1">
      <c r="B3804" s="32" t="str">
        <f>IMAGE("https://gymvisual.com/24073-catalog_default/v-sit-toe-tap.jpg",4,500,500)</f>
        <v/>
      </c>
      <c r="C3804" s="30">
        <v>3803.0</v>
      </c>
      <c r="D3804" s="16" t="s">
        <v>4746</v>
      </c>
      <c r="E3804" s="16" t="s">
        <v>184</v>
      </c>
      <c r="F3804" s="16" t="s">
        <v>254</v>
      </c>
      <c r="G3804" s="16" t="s">
        <v>255</v>
      </c>
      <c r="H3804" s="16" t="s">
        <v>220</v>
      </c>
      <c r="I3804" s="16" t="s">
        <v>220</v>
      </c>
    </row>
    <row r="3805" ht="242.25" customHeight="1">
      <c r="B3805" s="32" t="str">
        <f>IMAGE("https://gymvisual.com/2466-catalog_default/v-up.jpg",4,500,500)</f>
        <v/>
      </c>
      <c r="C3805" s="30">
        <v>3804.0</v>
      </c>
      <c r="D3805" s="16" t="s">
        <v>4747</v>
      </c>
      <c r="E3805" s="16" t="s">
        <v>184</v>
      </c>
      <c r="F3805" s="16" t="s">
        <v>254</v>
      </c>
      <c r="G3805" s="16" t="s">
        <v>255</v>
      </c>
      <c r="H3805" s="16" t="s">
        <v>305</v>
      </c>
      <c r="I3805" s="16" t="s">
        <v>317</v>
      </c>
    </row>
    <row r="3806" ht="242.25" customHeight="1">
      <c r="B3806" s="32" t="str">
        <f>IMAGE("https://gymvisual.com/14308-catalog_default/v-up-male.jpg",4,500,500)</f>
        <v/>
      </c>
      <c r="C3806" s="30">
        <v>3805.0</v>
      </c>
      <c r="D3806" s="16" t="s">
        <v>4748</v>
      </c>
      <c r="E3806" s="16" t="s">
        <v>184</v>
      </c>
      <c r="F3806" s="16" t="s">
        <v>310</v>
      </c>
      <c r="G3806" s="16" t="s">
        <v>255</v>
      </c>
      <c r="H3806" s="16" t="s">
        <v>305</v>
      </c>
      <c r="I3806" s="16" t="s">
        <v>4749</v>
      </c>
    </row>
    <row r="3807" ht="242.25" customHeight="1">
      <c r="B3807" s="32" t="str">
        <f>IMAGE("https://gymvisual.com/23583-catalog_default/v-up-double-crunch.jpg",4,500,500)</f>
        <v/>
      </c>
      <c r="C3807" s="30">
        <v>3806.0</v>
      </c>
      <c r="D3807" s="16" t="s">
        <v>4750</v>
      </c>
      <c r="E3807" s="16" t="s">
        <v>184</v>
      </c>
      <c r="F3807" s="16" t="s">
        <v>254</v>
      </c>
      <c r="G3807" s="16" t="s">
        <v>255</v>
      </c>
      <c r="H3807" s="16" t="s">
        <v>305</v>
      </c>
      <c r="I3807" s="16" t="s">
        <v>319</v>
      </c>
    </row>
    <row r="3808" ht="242.25" customHeight="1">
      <c r="B3808" s="32" t="str">
        <f>IMAGE("https://gymvisual.com/11978-catalog_default/v-up-down-with-stability-ball.jpg",4,500,500)</f>
        <v/>
      </c>
      <c r="C3808" s="30">
        <v>3807.0</v>
      </c>
      <c r="D3808" s="16" t="s">
        <v>4751</v>
      </c>
      <c r="E3808" s="16" t="s">
        <v>184</v>
      </c>
      <c r="F3808" s="16" t="s">
        <v>254</v>
      </c>
      <c r="G3808" s="16" t="s">
        <v>399</v>
      </c>
      <c r="H3808" s="16" t="s">
        <v>220</v>
      </c>
      <c r="I3808" s="16" t="s">
        <v>220</v>
      </c>
    </row>
    <row r="3809" ht="242.25" customHeight="1">
      <c r="B3809" s="32" t="str">
        <f>IMAGE("https://gymvisual.com/11979-catalog_default/v-up-down-with-stability-ball-female.jpg",4,500,500)</f>
        <v/>
      </c>
      <c r="C3809" s="30">
        <v>3808.0</v>
      </c>
      <c r="D3809" s="16" t="s">
        <v>4752</v>
      </c>
      <c r="E3809" s="16" t="s">
        <v>184</v>
      </c>
      <c r="F3809" s="16" t="s">
        <v>254</v>
      </c>
      <c r="G3809" s="16" t="s">
        <v>399</v>
      </c>
      <c r="H3809" s="16" t="s">
        <v>220</v>
      </c>
      <c r="I3809" s="16" t="s">
        <v>220</v>
      </c>
    </row>
    <row r="3810" ht="242.25" customHeight="1">
      <c r="B3810" s="32" t="str">
        <f>IMAGE("https://gymvisual.com/22580-catalog_default/v-up-with-clap.jpg",4,500,500)</f>
        <v/>
      </c>
      <c r="C3810" s="30">
        <v>3809.0</v>
      </c>
      <c r="D3810" s="16" t="s">
        <v>4753</v>
      </c>
      <c r="E3810" s="16" t="s">
        <v>184</v>
      </c>
      <c r="F3810" s="16" t="s">
        <v>254</v>
      </c>
      <c r="G3810" s="16" t="s">
        <v>255</v>
      </c>
      <c r="H3810" s="16" t="s">
        <v>256</v>
      </c>
      <c r="I3810" s="16" t="s">
        <v>4754</v>
      </c>
    </row>
    <row r="3811" ht="242.25" customHeight="1">
      <c r="B3811" s="32" t="str">
        <f>IMAGE("https://gymvisual.com/22145-catalog_default/v-up-with-clap-female.jpg",4,500,500)</f>
        <v/>
      </c>
      <c r="C3811" s="30">
        <v>3810.0</v>
      </c>
      <c r="D3811" s="16" t="s">
        <v>4755</v>
      </c>
      <c r="E3811" s="16" t="s">
        <v>184</v>
      </c>
      <c r="F3811" s="16" t="s">
        <v>254</v>
      </c>
      <c r="G3811" s="16" t="s">
        <v>255</v>
      </c>
      <c r="H3811" s="16" t="s">
        <v>220</v>
      </c>
      <c r="I3811" s="16" t="s">
        <v>220</v>
      </c>
    </row>
    <row r="3812" ht="242.25" customHeight="1">
      <c r="B3812" s="32" t="str">
        <f>IMAGE("https://gymvisual.com/7631-catalog_default/vertical-leg-raise-on-parallel-bars.jpg",4,500,500)</f>
        <v/>
      </c>
      <c r="C3812" s="30">
        <v>3811.0</v>
      </c>
      <c r="D3812" s="16" t="s">
        <v>4756</v>
      </c>
      <c r="E3812" s="16" t="s">
        <v>184</v>
      </c>
      <c r="F3812" s="16" t="s">
        <v>185</v>
      </c>
      <c r="G3812" s="16" t="s">
        <v>255</v>
      </c>
      <c r="H3812" s="16" t="s">
        <v>271</v>
      </c>
      <c r="I3812" s="16" t="s">
        <v>563</v>
      </c>
    </row>
    <row r="3813" ht="242.25" customHeight="1">
      <c r="B3813" s="32" t="str">
        <f>IMAGE("https://gymvisual.com/10969-catalog_default/vertical-leg-raise-on-parallel-bars-female.jpg",4,500,500)</f>
        <v/>
      </c>
      <c r="C3813" s="30">
        <v>3812.0</v>
      </c>
      <c r="D3813" s="16" t="s">
        <v>4757</v>
      </c>
      <c r="E3813" s="16" t="s">
        <v>184</v>
      </c>
      <c r="F3813" s="16" t="s">
        <v>310</v>
      </c>
      <c r="G3813" s="16" t="s">
        <v>255</v>
      </c>
      <c r="H3813" s="16" t="s">
        <v>220</v>
      </c>
      <c r="I3813" s="16" t="s">
        <v>220</v>
      </c>
    </row>
    <row r="3814" ht="242.25" customHeight="1">
      <c r="B3814" s="32" t="str">
        <f>IMAGE("https://gymvisual.com/14310-catalog_default/vertical-leg-raise-on-parallel-bars-female-version-2.jpg",4,500,500)</f>
        <v/>
      </c>
      <c r="C3814" s="30">
        <v>3813.0</v>
      </c>
      <c r="D3814" s="16" t="s">
        <v>4758</v>
      </c>
      <c r="E3814" s="16" t="s">
        <v>184</v>
      </c>
      <c r="F3814" s="16" t="s">
        <v>254</v>
      </c>
      <c r="G3814" s="16" t="s">
        <v>255</v>
      </c>
      <c r="H3814" s="16" t="s">
        <v>305</v>
      </c>
      <c r="I3814" s="16" t="s">
        <v>2482</v>
      </c>
    </row>
    <row r="3815" ht="242.25" customHeight="1">
      <c r="B3815" s="32" t="str">
        <f>IMAGE("https://gymvisual.com/23859-catalog_default/vertical-leg-raise-on-parallel-bars-male.jpg",4,500,500)</f>
        <v/>
      </c>
      <c r="C3815" s="30">
        <v>3814.0</v>
      </c>
      <c r="D3815" s="16" t="s">
        <v>4759</v>
      </c>
      <c r="E3815" s="16" t="s">
        <v>184</v>
      </c>
      <c r="F3815" s="16" t="s">
        <v>185</v>
      </c>
      <c r="G3815" s="16" t="s">
        <v>255</v>
      </c>
      <c r="H3815" s="16" t="s">
        <v>220</v>
      </c>
      <c r="I3815" s="16" t="s">
        <v>220</v>
      </c>
    </row>
    <row r="3816" ht="242.25" customHeight="1">
      <c r="B3816" s="32" t="str">
        <f>IMAGE("https://gymvisual.com/26430-catalog_default/vertical-sit-up-male.jpg",4,500,500)</f>
        <v/>
      </c>
      <c r="C3816" s="30">
        <v>3815.0</v>
      </c>
      <c r="D3816" s="16" t="s">
        <v>4760</v>
      </c>
      <c r="E3816" s="16" t="s">
        <v>184</v>
      </c>
      <c r="F3816" s="16" t="s">
        <v>254</v>
      </c>
      <c r="G3816" s="16" t="s">
        <v>255</v>
      </c>
      <c r="H3816" s="16" t="s">
        <v>305</v>
      </c>
      <c r="I3816" s="16" t="s">
        <v>600</v>
      </c>
    </row>
    <row r="3817" ht="242.25" customHeight="1">
      <c r="B3817" s="32" t="str">
        <f>IMAGE("https://gymvisual.com/23561-catalog_default/walking-lunge-female.jpg",4,500,500)</f>
        <v/>
      </c>
      <c r="C3817" s="30">
        <v>3816.0</v>
      </c>
      <c r="D3817" s="16" t="s">
        <v>4761</v>
      </c>
      <c r="E3817" s="16" t="s">
        <v>184</v>
      </c>
      <c r="F3817" s="16" t="s">
        <v>285</v>
      </c>
      <c r="G3817" s="16" t="s">
        <v>255</v>
      </c>
      <c r="H3817" s="16" t="s">
        <v>189</v>
      </c>
      <c r="I3817" s="16" t="s">
        <v>190</v>
      </c>
    </row>
    <row r="3818" ht="242.25" customHeight="1">
      <c r="B3818" s="32" t="str">
        <f>IMAGE("https://gymvisual.com/17893-catalog_default/wall-press-heel-tap-male.jpg",4,500,500)</f>
        <v/>
      </c>
      <c r="C3818" s="30">
        <v>3817.0</v>
      </c>
      <c r="D3818" s="16" t="s">
        <v>4762</v>
      </c>
      <c r="E3818" s="16" t="s">
        <v>184</v>
      </c>
      <c r="F3818" s="16" t="s">
        <v>185</v>
      </c>
      <c r="G3818" s="16" t="s">
        <v>255</v>
      </c>
      <c r="H3818" s="16" t="s">
        <v>220</v>
      </c>
      <c r="I3818" s="16" t="s">
        <v>220</v>
      </c>
    </row>
    <row r="3819" ht="242.25" customHeight="1">
      <c r="B3819" s="32" t="str">
        <f>IMAGE("https://gymvisual.com/23943-catalog_default/wall-pulse-male.jpg",4,500,500)</f>
        <v/>
      </c>
      <c r="C3819" s="30">
        <v>3818.0</v>
      </c>
      <c r="D3819" s="16" t="s">
        <v>4763</v>
      </c>
      <c r="E3819" s="16" t="s">
        <v>184</v>
      </c>
      <c r="F3819" s="16" t="s">
        <v>219</v>
      </c>
      <c r="G3819" s="16" t="s">
        <v>255</v>
      </c>
      <c r="H3819" s="16" t="s">
        <v>223</v>
      </c>
      <c r="I3819" s="16" t="s">
        <v>220</v>
      </c>
    </row>
    <row r="3820" ht="242.25" customHeight="1">
      <c r="B3820" s="32" t="str">
        <f>IMAGE("https://gymvisual.com/2480-catalog_default/weighted-bench-dip.jpg",4,500,500)</f>
        <v/>
      </c>
      <c r="C3820" s="30">
        <v>3819.0</v>
      </c>
      <c r="D3820" s="16" t="s">
        <v>4764</v>
      </c>
      <c r="E3820" s="16" t="s">
        <v>184</v>
      </c>
      <c r="F3820" s="16" t="s">
        <v>219</v>
      </c>
      <c r="G3820" s="16" t="s">
        <v>396</v>
      </c>
      <c r="H3820" s="16" t="s">
        <v>223</v>
      </c>
      <c r="I3820" s="16" t="s">
        <v>394</v>
      </c>
    </row>
    <row r="3821" ht="242.25" customHeight="1">
      <c r="B3821" s="32" t="str">
        <f>IMAGE("https://gymvisual.com/19363-catalog_default/weighted-captains-chair-leg-raise.jpg",4,500,500)</f>
        <v/>
      </c>
      <c r="C3821" s="30">
        <v>3820.0</v>
      </c>
      <c r="D3821" s="16" t="s">
        <v>4765</v>
      </c>
      <c r="E3821" s="16" t="s">
        <v>184</v>
      </c>
      <c r="F3821" s="16" t="s">
        <v>254</v>
      </c>
      <c r="G3821" s="16" t="s">
        <v>396</v>
      </c>
      <c r="H3821" s="16" t="s">
        <v>305</v>
      </c>
      <c r="I3821" s="16" t="s">
        <v>220</v>
      </c>
    </row>
    <row r="3822" ht="242.25" customHeight="1">
      <c r="B3822" s="32" t="str">
        <f>IMAGE("https://gymvisual.com/26124-catalog_default/weighted-chain-sumo-deadlift.jpg",4,500,500)</f>
        <v/>
      </c>
      <c r="C3822" s="30">
        <v>3821.0</v>
      </c>
      <c r="D3822" s="16" t="s">
        <v>4766</v>
      </c>
      <c r="E3822" s="16" t="s">
        <v>184</v>
      </c>
      <c r="F3822" s="16" t="s">
        <v>185</v>
      </c>
      <c r="G3822" s="16" t="s">
        <v>396</v>
      </c>
      <c r="H3822" s="16" t="s">
        <v>220</v>
      </c>
      <c r="I3822" s="16" t="s">
        <v>220</v>
      </c>
    </row>
    <row r="3823" ht="242.25" customHeight="1">
      <c r="B3823" s="32" t="str">
        <f>IMAGE("https://gymvisual.com/17905-catalog_default/weighted-chin-up-male.jpg",4,500,500)</f>
        <v/>
      </c>
      <c r="C3823" s="30">
        <v>3822.0</v>
      </c>
      <c r="D3823" s="16" t="s">
        <v>4767</v>
      </c>
      <c r="E3823" s="16" t="s">
        <v>184</v>
      </c>
      <c r="F3823" s="16" t="s">
        <v>192</v>
      </c>
      <c r="G3823" s="16" t="s">
        <v>396</v>
      </c>
      <c r="H3823" s="16" t="s">
        <v>329</v>
      </c>
      <c r="I3823" s="16" t="s">
        <v>447</v>
      </c>
    </row>
    <row r="3824" ht="242.25" customHeight="1">
      <c r="B3824" s="32" t="str">
        <f>IMAGE("https://gymvisual.com/12316-catalog_default/weighted-close-grip-chin-up-on-dip-cage.jpg",4,500,500)</f>
        <v/>
      </c>
      <c r="C3824" s="30">
        <v>3823.0</v>
      </c>
      <c r="D3824" s="16" t="s">
        <v>4768</v>
      </c>
      <c r="E3824" s="16" t="s">
        <v>184</v>
      </c>
      <c r="F3824" s="16" t="s">
        <v>192</v>
      </c>
      <c r="G3824" s="16" t="s">
        <v>396</v>
      </c>
      <c r="H3824" s="16" t="s">
        <v>300</v>
      </c>
      <c r="I3824" s="16" t="s">
        <v>1357</v>
      </c>
    </row>
    <row r="3825" ht="242.25" customHeight="1">
      <c r="B3825" s="32" t="str">
        <f>IMAGE("https://gymvisual.com/14376-catalog_default/weighted-cossack-squats-male.jpg",4,500,500)</f>
        <v/>
      </c>
      <c r="C3825" s="30">
        <v>3824.0</v>
      </c>
      <c r="D3825" s="16" t="s">
        <v>4769</v>
      </c>
      <c r="E3825" s="16" t="s">
        <v>184</v>
      </c>
      <c r="F3825" s="16" t="s">
        <v>294</v>
      </c>
      <c r="G3825" s="16" t="s">
        <v>396</v>
      </c>
      <c r="H3825" s="16" t="s">
        <v>4770</v>
      </c>
      <c r="I3825" s="16" t="s">
        <v>4771</v>
      </c>
    </row>
    <row r="3826" ht="242.25" customHeight="1">
      <c r="B3826" s="32" t="str">
        <f>IMAGE("https://gymvisual.com/17959-catalog_default/weighted-counterbalanced-skater-squat-male.jpg",4,500,500)</f>
        <v/>
      </c>
      <c r="C3826" s="30">
        <v>3825.0</v>
      </c>
      <c r="D3826" s="16" t="s">
        <v>4772</v>
      </c>
      <c r="E3826" s="16" t="s">
        <v>184</v>
      </c>
      <c r="F3826" s="16"/>
      <c r="G3826" s="16" t="s">
        <v>396</v>
      </c>
      <c r="H3826" s="16" t="s">
        <v>220</v>
      </c>
      <c r="I3826" s="16" t="s">
        <v>220</v>
      </c>
    </row>
    <row r="3827" ht="242.25" customHeight="1">
      <c r="B3827" s="32" t="str">
        <f>IMAGE("https://gymvisual.com/17957-catalog_default/weighted-counterbalanced-squat-male.jpg",4,500,500)</f>
        <v/>
      </c>
      <c r="C3827" s="30">
        <v>3826.0</v>
      </c>
      <c r="D3827" s="16" t="s">
        <v>4773</v>
      </c>
      <c r="E3827" s="16" t="s">
        <v>184</v>
      </c>
      <c r="F3827" s="16" t="s">
        <v>285</v>
      </c>
      <c r="G3827" s="16" t="s">
        <v>396</v>
      </c>
      <c r="H3827" s="16" t="s">
        <v>189</v>
      </c>
      <c r="I3827" s="16" t="s">
        <v>190</v>
      </c>
    </row>
    <row r="3828" ht="242.25" customHeight="1">
      <c r="B3828" s="32" t="str">
        <f>IMAGE("https://gymvisual.com/2486-catalog_default/weighted-crunch.jpg",4,500,500)</f>
        <v/>
      </c>
      <c r="C3828" s="30">
        <v>3827.0</v>
      </c>
      <c r="D3828" s="16" t="s">
        <v>4774</v>
      </c>
      <c r="E3828" s="16" t="s">
        <v>184</v>
      </c>
      <c r="F3828" s="16" t="s">
        <v>254</v>
      </c>
      <c r="G3828" s="16" t="s">
        <v>396</v>
      </c>
      <c r="H3828" s="16" t="s">
        <v>256</v>
      </c>
      <c r="I3828" s="16" t="s">
        <v>257</v>
      </c>
    </row>
    <row r="3829" ht="242.25" customHeight="1">
      <c r="B3829" s="32" t="str">
        <f>IMAGE("https://gymvisual.com/2483-catalog_default/weighted-crunch-bent-knee.jpg",4,500,500)</f>
        <v/>
      </c>
      <c r="C3829" s="30">
        <v>3828.0</v>
      </c>
      <c r="D3829" s="16" t="s">
        <v>4775</v>
      </c>
      <c r="E3829" s="16" t="s">
        <v>184</v>
      </c>
      <c r="F3829" s="16" t="s">
        <v>254</v>
      </c>
      <c r="G3829" s="16" t="s">
        <v>399</v>
      </c>
      <c r="H3829" s="16" t="s">
        <v>256</v>
      </c>
      <c r="I3829" s="16" t="s">
        <v>257</v>
      </c>
    </row>
    <row r="3830" ht="242.25" customHeight="1">
      <c r="B3830" s="32" t="str">
        <f>IMAGE("https://gymvisual.com/11179-catalog_default/weighted-crunch-female.jpg",4,500,500)</f>
        <v/>
      </c>
      <c r="C3830" s="30">
        <v>3829.0</v>
      </c>
      <c r="D3830" s="16" t="s">
        <v>4776</v>
      </c>
      <c r="E3830" s="16" t="s">
        <v>184</v>
      </c>
      <c r="F3830" s="16" t="s">
        <v>254</v>
      </c>
      <c r="G3830" s="16" t="s">
        <v>396</v>
      </c>
      <c r="H3830" s="16" t="s">
        <v>220</v>
      </c>
      <c r="I3830" s="16" t="s">
        <v>220</v>
      </c>
    </row>
    <row r="3831" ht="242.25" customHeight="1">
      <c r="B3831" s="32" t="str">
        <f>IMAGE("https://gymvisual.com/19395-catalog_default/weighted-crunch-version-2.jpg",4,500,500)</f>
        <v/>
      </c>
      <c r="C3831" s="30">
        <v>3830.0</v>
      </c>
      <c r="D3831" s="16" t="s">
        <v>4777</v>
      </c>
      <c r="E3831" s="16" t="s">
        <v>184</v>
      </c>
      <c r="F3831" s="16" t="s">
        <v>254</v>
      </c>
      <c r="G3831" s="16" t="s">
        <v>396</v>
      </c>
      <c r="H3831" s="16" t="s">
        <v>256</v>
      </c>
      <c r="I3831" s="16" t="s">
        <v>257</v>
      </c>
    </row>
    <row r="3832" ht="242.25" customHeight="1">
      <c r="B3832" s="32" t="str">
        <f>IMAGE("https://gymvisual.com/17955-catalog_default/weighted-dead-bug-male.jpg",4,500,500)</f>
        <v/>
      </c>
      <c r="C3832" s="30">
        <v>3831.0</v>
      </c>
      <c r="D3832" s="16" t="s">
        <v>4778</v>
      </c>
      <c r="E3832" s="16" t="s">
        <v>184</v>
      </c>
      <c r="F3832" s="16" t="s">
        <v>254</v>
      </c>
      <c r="G3832" s="16" t="s">
        <v>396</v>
      </c>
      <c r="H3832" s="16" t="s">
        <v>220</v>
      </c>
      <c r="I3832" s="16" t="s">
        <v>220</v>
      </c>
    </row>
    <row r="3833" ht="242.25" customHeight="1">
      <c r="B3833" s="32" t="str">
        <f>IMAGE("https://gymvisual.com/14629-catalog_default/weighted-decline-sit-up.jpg",4,500,500)</f>
        <v/>
      </c>
      <c r="C3833" s="30">
        <v>3832.0</v>
      </c>
      <c r="D3833" s="16" t="s">
        <v>4779</v>
      </c>
      <c r="E3833" s="16" t="s">
        <v>184</v>
      </c>
      <c r="F3833" s="16" t="s">
        <v>740</v>
      </c>
      <c r="G3833" s="16" t="s">
        <v>396</v>
      </c>
      <c r="H3833" s="16" t="s">
        <v>3766</v>
      </c>
      <c r="I3833" s="16" t="s">
        <v>4780</v>
      </c>
    </row>
    <row r="3834" ht="242.25" customHeight="1">
      <c r="B3834" s="32" t="str">
        <f>IMAGE("https://gymvisual.com/2489-catalog_default/weighted-donkey-calf-raise.jpg",4,500,500)</f>
        <v/>
      </c>
      <c r="C3834" s="30">
        <v>3833.0</v>
      </c>
      <c r="D3834" s="16" t="s">
        <v>4781</v>
      </c>
      <c r="E3834" s="16" t="s">
        <v>184</v>
      </c>
      <c r="F3834" s="16" t="s">
        <v>325</v>
      </c>
      <c r="G3834" s="16" t="s">
        <v>396</v>
      </c>
      <c r="H3834" s="16" t="s">
        <v>368</v>
      </c>
      <c r="I3834" s="16" t="s">
        <v>463</v>
      </c>
    </row>
    <row r="3835" ht="242.25" customHeight="1">
      <c r="B3835" s="32" t="str">
        <f>IMAGE("https://gymvisual.com/5999-catalog_default/weighted-drop-push-up.jpg",4,500,500)</f>
        <v/>
      </c>
      <c r="C3835" s="30">
        <v>3834.0</v>
      </c>
      <c r="D3835" s="16" t="s">
        <v>4782</v>
      </c>
      <c r="E3835" s="16" t="s">
        <v>184</v>
      </c>
      <c r="F3835" s="16" t="s">
        <v>234</v>
      </c>
      <c r="G3835" s="16" t="s">
        <v>396</v>
      </c>
      <c r="H3835" s="16" t="s">
        <v>347</v>
      </c>
      <c r="I3835" s="16" t="s">
        <v>3020</v>
      </c>
    </row>
    <row r="3836" ht="242.25" customHeight="1">
      <c r="B3836" s="32" t="str">
        <f>IMAGE("https://gymvisual.com/6850-catalog_default/weighted-exercise-ball-wall-squat.jpg",4,500,500)</f>
        <v/>
      </c>
      <c r="C3836" s="30">
        <v>3835.0</v>
      </c>
      <c r="D3836" s="16" t="s">
        <v>4783</v>
      </c>
      <c r="E3836" s="16" t="s">
        <v>184</v>
      </c>
      <c r="F3836" s="16" t="s">
        <v>285</v>
      </c>
      <c r="G3836" s="16" t="s">
        <v>396</v>
      </c>
      <c r="H3836" s="16" t="s">
        <v>220</v>
      </c>
      <c r="I3836" s="16" t="s">
        <v>220</v>
      </c>
    </row>
    <row r="3837" ht="242.25" customHeight="1">
      <c r="B3837" s="32" t="str">
        <f>IMAGE("https://gymvisual.com/13080-catalog_default/weighted-floor-crunch-feet-on-bench-female.jpg",4,500,500)</f>
        <v/>
      </c>
      <c r="C3837" s="30">
        <v>3836.0</v>
      </c>
      <c r="D3837" s="16" t="s">
        <v>4784</v>
      </c>
      <c r="E3837" s="16" t="s">
        <v>184</v>
      </c>
      <c r="F3837" s="16" t="s">
        <v>254</v>
      </c>
      <c r="G3837" s="16" t="s">
        <v>396</v>
      </c>
      <c r="H3837" s="16" t="s">
        <v>256</v>
      </c>
      <c r="I3837" s="16" t="s">
        <v>257</v>
      </c>
    </row>
    <row r="3838" ht="242.25" customHeight="1">
      <c r="B3838" s="32" t="str">
        <f>IMAGE("https://gymvisual.com/13091-catalog_default/weighted-floor-twisting-crunch-feet-on-bench-female.jpg",4,500,500)</f>
        <v/>
      </c>
      <c r="C3838" s="30">
        <v>3837.0</v>
      </c>
      <c r="D3838" s="16" t="s">
        <v>4785</v>
      </c>
      <c r="E3838" s="16" t="s">
        <v>184</v>
      </c>
      <c r="F3838" s="16" t="s">
        <v>254</v>
      </c>
      <c r="G3838" s="16" t="s">
        <v>396</v>
      </c>
      <c r="H3838" s="16" t="s">
        <v>257</v>
      </c>
      <c r="I3838" s="16" t="s">
        <v>256</v>
      </c>
    </row>
    <row r="3839" ht="242.25" customHeight="1">
      <c r="B3839" s="32" t="str">
        <f>IMAGE("https://gymvisual.com/12755-catalog_default/weighted-frog-pump.jpg",4,500,500)</f>
        <v/>
      </c>
      <c r="C3839" s="30">
        <v>3838.0</v>
      </c>
      <c r="D3839" s="16" t="s">
        <v>4786</v>
      </c>
      <c r="E3839" s="16" t="s">
        <v>184</v>
      </c>
      <c r="F3839" s="16" t="s">
        <v>185</v>
      </c>
      <c r="G3839" s="16" t="s">
        <v>396</v>
      </c>
      <c r="H3839" s="16" t="s">
        <v>1240</v>
      </c>
      <c r="I3839" s="16" t="s">
        <v>1241</v>
      </c>
    </row>
    <row r="3840" ht="242.25" customHeight="1">
      <c r="B3840" s="32" t="str">
        <f>IMAGE("https://gymvisual.com/2492-catalog_default/weighted-front-raise.jpg",4,500,500)</f>
        <v/>
      </c>
      <c r="C3840" s="30">
        <v>3839.0</v>
      </c>
      <c r="D3840" s="16" t="s">
        <v>4787</v>
      </c>
      <c r="E3840" s="16" t="s">
        <v>184</v>
      </c>
      <c r="F3840" s="16" t="s">
        <v>228</v>
      </c>
      <c r="G3840" s="16" t="s">
        <v>396</v>
      </c>
      <c r="H3840" s="16" t="s">
        <v>229</v>
      </c>
      <c r="I3840" s="16" t="s">
        <v>244</v>
      </c>
    </row>
    <row r="3841" ht="242.25" customHeight="1">
      <c r="B3841" s="32" t="str">
        <f>IMAGE("https://gymvisual.com/25663-catalog_default/weighted-full-can-exercise-male.jpg",4,500,500)</f>
        <v/>
      </c>
      <c r="C3841" s="30">
        <v>3840.0</v>
      </c>
      <c r="D3841" s="16" t="s">
        <v>4788</v>
      </c>
      <c r="E3841" s="16" t="s">
        <v>184</v>
      </c>
      <c r="F3841" s="16" t="s">
        <v>228</v>
      </c>
      <c r="G3841" s="16" t="s">
        <v>396</v>
      </c>
      <c r="H3841" s="16" t="s">
        <v>220</v>
      </c>
      <c r="I3841" s="16" t="s">
        <v>220</v>
      </c>
    </row>
    <row r="3842" ht="242.25" customHeight="1">
      <c r="B3842" s="32" t="str">
        <f>IMAGE("https://gymvisual.com/24458-catalog_default/weighted-full-squat-with-overhead-press.jpg",4,500,500)</f>
        <v/>
      </c>
      <c r="C3842" s="30">
        <v>3841.0</v>
      </c>
      <c r="D3842" s="16" t="s">
        <v>4789</v>
      </c>
      <c r="E3842" s="16" t="s">
        <v>184</v>
      </c>
      <c r="F3842" s="16" t="s">
        <v>285</v>
      </c>
      <c r="G3842" s="16" t="s">
        <v>396</v>
      </c>
      <c r="H3842" s="16" t="s">
        <v>793</v>
      </c>
      <c r="I3842" s="16" t="s">
        <v>1130</v>
      </c>
    </row>
    <row r="3843" ht="242.25" customHeight="1">
      <c r="B3843" s="32" t="str">
        <f>IMAGE("https://gymvisual.com/12313-catalog_default/weighted-hammer-grip-pull-up-on-dip-cage.jpg",4,500,500)</f>
        <v/>
      </c>
      <c r="C3843" s="30">
        <v>3842.0</v>
      </c>
      <c r="D3843" s="16" t="s">
        <v>4790</v>
      </c>
      <c r="E3843" s="16" t="s">
        <v>184</v>
      </c>
      <c r="F3843" s="16" t="s">
        <v>192</v>
      </c>
      <c r="G3843" s="16" t="s">
        <v>396</v>
      </c>
      <c r="H3843" s="16" t="s">
        <v>300</v>
      </c>
      <c r="I3843" s="16" t="s">
        <v>1357</v>
      </c>
    </row>
    <row r="3844" ht="242.25" customHeight="1">
      <c r="B3844" s="32" t="str">
        <f>IMAGE("https://gymvisual.com/18005-catalog_default/weighted-hang-chin-up.jpg",4,500,500)</f>
        <v/>
      </c>
      <c r="C3844" s="30">
        <v>3843.0</v>
      </c>
      <c r="D3844" s="16" t="s">
        <v>4791</v>
      </c>
      <c r="E3844" s="16" t="s">
        <v>184</v>
      </c>
      <c r="F3844" s="16" t="s">
        <v>192</v>
      </c>
      <c r="G3844" s="16" t="s">
        <v>396</v>
      </c>
      <c r="H3844" s="16" t="s">
        <v>220</v>
      </c>
      <c r="I3844" s="16" t="s">
        <v>220</v>
      </c>
    </row>
    <row r="3845" ht="242.25" customHeight="1">
      <c r="B3845" s="32" t="str">
        <f>IMAGE("https://gymvisual.com/2637-catalog_default/weighted-hanging-leg-hip-raise.jpg",4,500,500)</f>
        <v/>
      </c>
      <c r="C3845" s="30">
        <v>3844.0</v>
      </c>
      <c r="D3845" s="16" t="s">
        <v>4792</v>
      </c>
      <c r="E3845" s="16" t="s">
        <v>184</v>
      </c>
      <c r="F3845" s="16" t="s">
        <v>254</v>
      </c>
      <c r="G3845" s="16" t="s">
        <v>396</v>
      </c>
      <c r="H3845" s="16" t="s">
        <v>256</v>
      </c>
      <c r="I3845" s="16" t="s">
        <v>1308</v>
      </c>
    </row>
    <row r="3846" ht="242.25" customHeight="1">
      <c r="B3846" s="32" t="str">
        <f>IMAGE("https://gymvisual.com/11831-catalog_default/weighted-hip-thrusts-female.jpg",4,500,500)</f>
        <v/>
      </c>
      <c r="C3846" s="30">
        <v>3845.0</v>
      </c>
      <c r="D3846" s="16" t="s">
        <v>4793</v>
      </c>
      <c r="E3846" s="16" t="s">
        <v>184</v>
      </c>
      <c r="F3846" s="16" t="s">
        <v>185</v>
      </c>
      <c r="G3846" s="16" t="s">
        <v>396</v>
      </c>
      <c r="H3846" s="16" t="s">
        <v>220</v>
      </c>
      <c r="I3846" s="16" t="s">
        <v>220</v>
      </c>
    </row>
    <row r="3847" ht="242.25" customHeight="1">
      <c r="B3847" s="32" t="str">
        <f>IMAGE("https://gymvisual.com/22845-catalog_default/weighted-hyperextension.jpg",4,500,500)</f>
        <v/>
      </c>
      <c r="C3847" s="30">
        <v>3846.0</v>
      </c>
      <c r="D3847" s="16" t="s">
        <v>4794</v>
      </c>
      <c r="E3847" s="16" t="s">
        <v>184</v>
      </c>
      <c r="F3847" s="16" t="s">
        <v>185</v>
      </c>
      <c r="G3847" s="16" t="s">
        <v>396</v>
      </c>
      <c r="H3847" s="16" t="s">
        <v>275</v>
      </c>
      <c r="I3847" s="16" t="s">
        <v>2412</v>
      </c>
    </row>
    <row r="3848" ht="242.25" customHeight="1">
      <c r="B3848" s="32" t="str">
        <f>IMAGE("https://gymvisual.com/2495-catalog_default/weighted-hyperextension-on-stability-ball.jpg",4,500,500)</f>
        <v/>
      </c>
      <c r="C3848" s="30">
        <v>3847.0</v>
      </c>
      <c r="D3848" s="16" t="s">
        <v>4795</v>
      </c>
      <c r="E3848" s="16" t="s">
        <v>184</v>
      </c>
      <c r="F3848" s="16" t="s">
        <v>254</v>
      </c>
      <c r="G3848" s="16" t="s">
        <v>396</v>
      </c>
      <c r="H3848" s="16" t="s">
        <v>275</v>
      </c>
      <c r="I3848" s="16" t="s">
        <v>220</v>
      </c>
    </row>
    <row r="3849" ht="242.25" customHeight="1">
      <c r="B3849" s="32" t="str">
        <f>IMAGE("https://gymvisual.com/23883-catalog_default/weighted-incline-svend-press.jpg",4,500,500)</f>
        <v/>
      </c>
      <c r="C3849" s="30">
        <v>3848.0</v>
      </c>
      <c r="D3849" s="16" t="s">
        <v>4796</v>
      </c>
      <c r="E3849" s="16" t="s">
        <v>184</v>
      </c>
      <c r="F3849" s="16" t="s">
        <v>219</v>
      </c>
      <c r="G3849" s="16" t="s">
        <v>396</v>
      </c>
      <c r="H3849" s="16" t="s">
        <v>415</v>
      </c>
      <c r="I3849" s="16" t="s">
        <v>243</v>
      </c>
    </row>
    <row r="3850" ht="242.25" customHeight="1">
      <c r="B3850" s="32" t="str">
        <f>IMAGE("https://gymvisual.com/19359-catalog_default/weighted-inverted-row.jpg",4,500,500)</f>
        <v/>
      </c>
      <c r="C3850" s="30">
        <v>3849.0</v>
      </c>
      <c r="D3850" s="16" t="s">
        <v>4797</v>
      </c>
      <c r="E3850" s="16" t="s">
        <v>184</v>
      </c>
      <c r="F3850" s="16" t="s">
        <v>192</v>
      </c>
      <c r="G3850" s="16" t="s">
        <v>396</v>
      </c>
      <c r="H3850" s="16" t="s">
        <v>329</v>
      </c>
      <c r="I3850" s="16" t="s">
        <v>1907</v>
      </c>
    </row>
    <row r="3851" ht="242.25" customHeight="1">
      <c r="B3851" s="32" t="str">
        <f>IMAGE("https://gymvisual.com/14372-catalog_default/weighted-kneeling-step-with-swing.jpg",4,500,500)</f>
        <v/>
      </c>
      <c r="C3851" s="30">
        <v>3850.0</v>
      </c>
      <c r="D3851" s="16" t="s">
        <v>4798</v>
      </c>
      <c r="E3851" s="16" t="s">
        <v>184</v>
      </c>
      <c r="F3851" s="16" t="s">
        <v>1129</v>
      </c>
      <c r="G3851" s="16" t="s">
        <v>396</v>
      </c>
      <c r="H3851" s="16" t="s">
        <v>4799</v>
      </c>
      <c r="I3851" s="16" t="s">
        <v>4800</v>
      </c>
    </row>
    <row r="3852" ht="242.25" customHeight="1">
      <c r="B3852" s="32" t="str">
        <f>IMAGE("https://gymvisual.com/2498-catalog_default/weighted-leg-extension-crunch.jpg",4,500,500)</f>
        <v/>
      </c>
      <c r="C3852" s="30">
        <v>3851.0</v>
      </c>
      <c r="D3852" s="16" t="s">
        <v>4801</v>
      </c>
      <c r="E3852" s="16" t="s">
        <v>184</v>
      </c>
      <c r="F3852" s="16" t="s">
        <v>254</v>
      </c>
      <c r="G3852" s="16" t="s">
        <v>399</v>
      </c>
      <c r="H3852" s="16" t="s">
        <v>256</v>
      </c>
      <c r="I3852" s="16" t="s">
        <v>1308</v>
      </c>
    </row>
    <row r="3853" ht="242.25" customHeight="1">
      <c r="B3853" s="32" t="str">
        <f>IMAGE("https://gymvisual.com/14378-catalog_default/weighted-lunge-with-swing.jpg",4,500,500)</f>
        <v/>
      </c>
      <c r="C3853" s="30">
        <v>3852.0</v>
      </c>
      <c r="D3853" s="16" t="s">
        <v>4802</v>
      </c>
      <c r="E3853" s="16" t="s">
        <v>184</v>
      </c>
      <c r="F3853" s="16" t="s">
        <v>1129</v>
      </c>
      <c r="G3853" s="16" t="s">
        <v>396</v>
      </c>
      <c r="H3853" s="16" t="s">
        <v>793</v>
      </c>
      <c r="I3853" s="16" t="s">
        <v>2392</v>
      </c>
    </row>
    <row r="3854" ht="242.25" customHeight="1">
      <c r="B3854" s="32" t="str">
        <f>IMAGE("https://gymvisual.com/2501-catalog_default/weighted-lying-hip-abduction.jpg",4,500,500)</f>
        <v/>
      </c>
      <c r="C3854" s="30">
        <v>3853.0</v>
      </c>
      <c r="D3854" s="16" t="s">
        <v>4803</v>
      </c>
      <c r="E3854" s="16" t="s">
        <v>184</v>
      </c>
      <c r="F3854" s="16" t="s">
        <v>185</v>
      </c>
      <c r="G3854" s="16" t="s">
        <v>396</v>
      </c>
      <c r="H3854" s="16" t="s">
        <v>475</v>
      </c>
      <c r="I3854" s="16" t="s">
        <v>220</v>
      </c>
    </row>
    <row r="3855" ht="242.25" customHeight="1">
      <c r="B3855" s="32" t="str">
        <f>IMAGE("https://gymvisual.com/2953-catalog_default/weighted-lying-neck-extension.jpg",4,500,500)</f>
        <v/>
      </c>
      <c r="C3855" s="30">
        <v>3854.0</v>
      </c>
      <c r="D3855" s="16" t="s">
        <v>4804</v>
      </c>
      <c r="E3855" s="16" t="s">
        <v>184</v>
      </c>
      <c r="F3855" s="16" t="s">
        <v>351</v>
      </c>
      <c r="G3855" s="16" t="s">
        <v>396</v>
      </c>
      <c r="H3855" s="16" t="s">
        <v>3457</v>
      </c>
      <c r="I3855" s="16" t="s">
        <v>3458</v>
      </c>
    </row>
    <row r="3856" ht="242.25" customHeight="1">
      <c r="B3856" s="32" t="str">
        <f>IMAGE("https://gymvisual.com/10461-catalog_default/weighted-lying-neck-extension-with-head-harness.jpg",4,500,500)</f>
        <v/>
      </c>
      <c r="C3856" s="30">
        <v>3855.0</v>
      </c>
      <c r="D3856" s="16" t="s">
        <v>4805</v>
      </c>
      <c r="E3856" s="16" t="s">
        <v>184</v>
      </c>
      <c r="F3856" s="16" t="s">
        <v>351</v>
      </c>
      <c r="G3856" s="16" t="s">
        <v>396</v>
      </c>
      <c r="H3856" s="16" t="s">
        <v>220</v>
      </c>
      <c r="I3856" s="16" t="s">
        <v>220</v>
      </c>
    </row>
    <row r="3857" ht="242.25" customHeight="1">
      <c r="B3857" s="32" t="str">
        <f>IMAGE("https://gymvisual.com/2954-catalog_default/weighted-lying-neck-flexion.jpg",4,500,500)</f>
        <v/>
      </c>
      <c r="C3857" s="30">
        <v>3856.0</v>
      </c>
      <c r="D3857" s="16" t="s">
        <v>4806</v>
      </c>
      <c r="E3857" s="16" t="s">
        <v>184</v>
      </c>
      <c r="F3857" s="16" t="s">
        <v>351</v>
      </c>
      <c r="G3857" s="16" t="s">
        <v>396</v>
      </c>
      <c r="H3857" s="16" t="s">
        <v>3717</v>
      </c>
      <c r="I3857" s="16" t="s">
        <v>4807</v>
      </c>
    </row>
    <row r="3858" ht="242.25" customHeight="1">
      <c r="B3858" s="32" t="str">
        <f>IMAGE("https://gymvisual.com/10462-catalog_default/weighted-lying-neck-flexion-with-head-harness.jpg",4,500,500)</f>
        <v/>
      </c>
      <c r="C3858" s="30">
        <v>3857.0</v>
      </c>
      <c r="D3858" s="16" t="s">
        <v>4808</v>
      </c>
      <c r="E3858" s="16" t="s">
        <v>184</v>
      </c>
      <c r="F3858" s="16" t="s">
        <v>351</v>
      </c>
      <c r="G3858" s="16" t="s">
        <v>396</v>
      </c>
      <c r="H3858" s="16" t="s">
        <v>220</v>
      </c>
      <c r="I3858" s="16" t="s">
        <v>220</v>
      </c>
    </row>
    <row r="3859" ht="242.25" customHeight="1">
      <c r="B3859" s="32" t="str">
        <f>IMAGE("https://gymvisual.com/18986-catalog_default/weighted-lying-neck-head-twist.jpg",4,500,500)</f>
        <v/>
      </c>
      <c r="C3859" s="30">
        <v>3858.0</v>
      </c>
      <c r="D3859" s="16" t="s">
        <v>4809</v>
      </c>
      <c r="E3859" s="16" t="s">
        <v>184</v>
      </c>
      <c r="F3859" s="16" t="s">
        <v>351</v>
      </c>
      <c r="G3859" s="16" t="s">
        <v>396</v>
      </c>
      <c r="H3859" s="16" t="s">
        <v>220</v>
      </c>
      <c r="I3859" s="16" t="s">
        <v>220</v>
      </c>
    </row>
    <row r="3860" ht="242.25" customHeight="1">
      <c r="B3860" s="32" t="str">
        <f>IMAGE("https://gymvisual.com/18984-catalog_default/weighted-lying-neck-side-to-side.jpg",4,500,500)</f>
        <v/>
      </c>
      <c r="C3860" s="30">
        <v>3859.0</v>
      </c>
      <c r="D3860" s="16" t="s">
        <v>4810</v>
      </c>
      <c r="E3860" s="16" t="s">
        <v>184</v>
      </c>
      <c r="F3860" s="16" t="s">
        <v>351</v>
      </c>
      <c r="G3860" s="16" t="s">
        <v>396</v>
      </c>
      <c r="H3860" s="16" t="s">
        <v>220</v>
      </c>
      <c r="I3860" s="16" t="s">
        <v>220</v>
      </c>
    </row>
    <row r="3861" ht="242.25" customHeight="1">
      <c r="B3861" s="32" t="str">
        <f>IMAGE("https://gymvisual.com/10452-catalog_default/weighted-lying-side-lifting-head-with-head-harness.jpg",4,500,500)</f>
        <v/>
      </c>
      <c r="C3861" s="30">
        <v>3860.0</v>
      </c>
      <c r="D3861" s="16" t="s">
        <v>4811</v>
      </c>
      <c r="E3861" s="16" t="s">
        <v>184</v>
      </c>
      <c r="F3861" s="16" t="s">
        <v>351</v>
      </c>
      <c r="G3861" s="16" t="s">
        <v>396</v>
      </c>
      <c r="H3861" s="16" t="s">
        <v>3717</v>
      </c>
      <c r="I3861" s="16" t="s">
        <v>4812</v>
      </c>
    </row>
    <row r="3862" ht="242.25" customHeight="1">
      <c r="B3862" s="32" t="str">
        <f>IMAGE("https://gymvisual.com/18980-catalog_default/weighted-lying-side-neck-raise.jpg",4,500,500)</f>
        <v/>
      </c>
      <c r="C3862" s="30">
        <v>3861.0</v>
      </c>
      <c r="D3862" s="16" t="s">
        <v>4813</v>
      </c>
      <c r="E3862" s="16" t="s">
        <v>184</v>
      </c>
      <c r="F3862" s="16" t="s">
        <v>351</v>
      </c>
      <c r="G3862" s="16" t="s">
        <v>396</v>
      </c>
      <c r="H3862" s="16" t="s">
        <v>220</v>
      </c>
      <c r="I3862" s="16" t="s">
        <v>220</v>
      </c>
    </row>
    <row r="3863" ht="242.25" customHeight="1">
      <c r="B3863" s="32" t="str">
        <f>IMAGE("https://gymvisual.com/2507-catalog_default/weighted-lying-twist.jpg",4,500,500)</f>
        <v/>
      </c>
      <c r="C3863" s="30">
        <v>3862.0</v>
      </c>
      <c r="D3863" s="16" t="s">
        <v>4814</v>
      </c>
      <c r="E3863" s="16" t="s">
        <v>184</v>
      </c>
      <c r="F3863" s="16" t="s">
        <v>254</v>
      </c>
      <c r="G3863" s="16" t="s">
        <v>399</v>
      </c>
      <c r="H3863" s="16" t="s">
        <v>257</v>
      </c>
      <c r="I3863" s="16" t="s">
        <v>220</v>
      </c>
    </row>
    <row r="3864" ht="242.25" customHeight="1">
      <c r="B3864" s="32" t="str">
        <f>IMAGE("https://gymvisual.com/13509-catalog_default/weighted-muscle-up.jpg",4,500,500)</f>
        <v/>
      </c>
      <c r="C3864" s="30">
        <v>3863.0</v>
      </c>
      <c r="D3864" s="16" t="s">
        <v>4815</v>
      </c>
      <c r="E3864" s="16" t="s">
        <v>184</v>
      </c>
      <c r="F3864" s="16" t="s">
        <v>192</v>
      </c>
      <c r="G3864" s="16" t="s">
        <v>396</v>
      </c>
      <c r="H3864" s="16" t="s">
        <v>220</v>
      </c>
      <c r="I3864" s="16" t="s">
        <v>220</v>
      </c>
    </row>
    <row r="3865" ht="242.25" customHeight="1">
      <c r="B3865" s="32" t="str">
        <f>IMAGE("https://gymvisual.com/13553-catalog_default/weighted-muscle-up-on-bar.jpg",4,500,500)</f>
        <v/>
      </c>
      <c r="C3865" s="30">
        <v>3864.0</v>
      </c>
      <c r="D3865" s="16" t="s">
        <v>4816</v>
      </c>
      <c r="E3865" s="16" t="s">
        <v>184</v>
      </c>
      <c r="F3865" s="16" t="s">
        <v>361</v>
      </c>
      <c r="G3865" s="16" t="s">
        <v>396</v>
      </c>
      <c r="H3865" s="16" t="s">
        <v>220</v>
      </c>
      <c r="I3865" s="16" t="s">
        <v>220</v>
      </c>
    </row>
    <row r="3866" ht="242.25" customHeight="1">
      <c r="B3866" s="32" t="str">
        <f>IMAGE("https://gymvisual.com/13517-catalog_default/weighted-one-hand-pull-up.jpg",4,500,500)</f>
        <v/>
      </c>
      <c r="C3866" s="30">
        <v>3865.0</v>
      </c>
      <c r="D3866" s="16" t="s">
        <v>4817</v>
      </c>
      <c r="E3866" s="16" t="s">
        <v>184</v>
      </c>
      <c r="F3866" s="16" t="s">
        <v>192</v>
      </c>
      <c r="G3866" s="16" t="s">
        <v>396</v>
      </c>
      <c r="H3866" s="16" t="s">
        <v>300</v>
      </c>
      <c r="I3866" s="16" t="s">
        <v>387</v>
      </c>
    </row>
    <row r="3867" ht="242.25" customHeight="1">
      <c r="B3867" s="32" t="str">
        <f>IMAGE("https://gymvisual.com/4079-catalog_default/weighted-one-leg-hip-thrust.jpg",4,500,500)</f>
        <v/>
      </c>
      <c r="C3867" s="30">
        <v>3866.0</v>
      </c>
      <c r="D3867" s="16" t="s">
        <v>4818</v>
      </c>
      <c r="E3867" s="16" t="s">
        <v>184</v>
      </c>
      <c r="F3867" s="16" t="s">
        <v>185</v>
      </c>
      <c r="G3867" s="16" t="s">
        <v>396</v>
      </c>
      <c r="H3867" s="16" t="s">
        <v>187</v>
      </c>
      <c r="I3867" s="16" t="s">
        <v>854</v>
      </c>
    </row>
    <row r="3868" ht="242.25" customHeight="1">
      <c r="B3868" s="32" t="str">
        <f>IMAGE("https://gymvisual.com/2510-catalog_default/weighted-overhead-crunch-on-stability-ball.jpg",4,500,500)</f>
        <v/>
      </c>
      <c r="C3868" s="30">
        <v>3867.0</v>
      </c>
      <c r="D3868" s="16" t="s">
        <v>4819</v>
      </c>
      <c r="E3868" s="16" t="s">
        <v>184</v>
      </c>
      <c r="F3868" s="16" t="s">
        <v>254</v>
      </c>
      <c r="G3868" s="16" t="s">
        <v>396</v>
      </c>
      <c r="H3868" s="16" t="s">
        <v>256</v>
      </c>
      <c r="I3868" s="16" t="s">
        <v>257</v>
      </c>
    </row>
    <row r="3869" ht="242.25" customHeight="1">
      <c r="B3869" s="32" t="str">
        <f>IMAGE("https://gymvisual.com/18013-catalog_default/weighted-overhead-press-step-up.jpg",4,500,500)</f>
        <v/>
      </c>
      <c r="C3869" s="30">
        <v>3868.0</v>
      </c>
      <c r="D3869" s="16" t="s">
        <v>4820</v>
      </c>
      <c r="E3869" s="16" t="s">
        <v>184</v>
      </c>
      <c r="F3869" s="16" t="s">
        <v>285</v>
      </c>
      <c r="G3869" s="16" t="s">
        <v>396</v>
      </c>
      <c r="H3869" s="16" t="s">
        <v>220</v>
      </c>
      <c r="I3869" s="16" t="s">
        <v>220</v>
      </c>
    </row>
    <row r="3870" ht="242.25" customHeight="1">
      <c r="B3870" s="32" t="str">
        <f>IMAGE("https://gymvisual.com/17719-catalog_default/weighted-plate-bent-over-row.jpg",4,500,500)</f>
        <v/>
      </c>
      <c r="C3870" s="30">
        <v>3869.0</v>
      </c>
      <c r="D3870" s="16" t="s">
        <v>4821</v>
      </c>
      <c r="E3870" s="16" t="s">
        <v>184</v>
      </c>
      <c r="F3870" s="16" t="s">
        <v>192</v>
      </c>
      <c r="G3870" s="16" t="s">
        <v>396</v>
      </c>
      <c r="H3870" s="16" t="s">
        <v>570</v>
      </c>
      <c r="I3870" s="16" t="s">
        <v>447</v>
      </c>
    </row>
    <row r="3871" ht="242.25" customHeight="1">
      <c r="B3871" s="32" t="str">
        <f>IMAGE("https://gymvisual.com/24258-catalog_default/weighted-plate-overhead-march.jpg",4,500,500)</f>
        <v/>
      </c>
      <c r="C3871" s="30">
        <v>3870.0</v>
      </c>
      <c r="D3871" s="16" t="s">
        <v>4822</v>
      </c>
      <c r="E3871" s="16" t="s">
        <v>184</v>
      </c>
      <c r="F3871" s="16" t="s">
        <v>285</v>
      </c>
      <c r="G3871" s="16" t="s">
        <v>396</v>
      </c>
      <c r="H3871" s="16" t="s">
        <v>1332</v>
      </c>
      <c r="I3871" s="16" t="s">
        <v>314</v>
      </c>
    </row>
    <row r="3872" ht="242.25" customHeight="1">
      <c r="B3872" s="32" t="str">
        <f>IMAGE("https://gymvisual.com/22379-catalog_default/weighted-plate-standing-high-front-raise.jpg",4,500,500)</f>
        <v/>
      </c>
      <c r="C3872" s="30">
        <v>3871.0</v>
      </c>
      <c r="D3872" s="16" t="s">
        <v>4823</v>
      </c>
      <c r="E3872" s="16" t="s">
        <v>184</v>
      </c>
      <c r="F3872" s="16" t="s">
        <v>228</v>
      </c>
      <c r="G3872" s="16" t="s">
        <v>396</v>
      </c>
      <c r="H3872" s="16" t="s">
        <v>220</v>
      </c>
      <c r="I3872" s="16" t="s">
        <v>220</v>
      </c>
    </row>
    <row r="3873" ht="242.25" customHeight="1">
      <c r="B3873" s="32" t="str">
        <f>IMAGE("https://gymvisual.com/2513-catalog_default/weighted-pull-up.jpg",4,500,500)</f>
        <v/>
      </c>
      <c r="C3873" s="30">
        <v>3872.0</v>
      </c>
      <c r="D3873" s="16" t="s">
        <v>4824</v>
      </c>
      <c r="E3873" s="16" t="s">
        <v>184</v>
      </c>
      <c r="F3873" s="16" t="s">
        <v>192</v>
      </c>
      <c r="G3873" s="16" t="s">
        <v>396</v>
      </c>
      <c r="H3873" s="16" t="s">
        <v>300</v>
      </c>
      <c r="I3873" s="16" t="s">
        <v>4825</v>
      </c>
    </row>
    <row r="3874" ht="242.25" customHeight="1">
      <c r="B3874" s="32" t="str">
        <f>IMAGE("https://gymvisual.com/2516-catalog_default/weighted-pullover-on-stability-ball.jpg",4,500,500)</f>
        <v/>
      </c>
      <c r="C3874" s="30">
        <v>3873.0</v>
      </c>
      <c r="D3874" s="16" t="s">
        <v>4826</v>
      </c>
      <c r="E3874" s="16" t="s">
        <v>184</v>
      </c>
      <c r="F3874" s="16" t="s">
        <v>192</v>
      </c>
      <c r="G3874" s="16" t="s">
        <v>396</v>
      </c>
      <c r="H3874" s="16" t="s">
        <v>300</v>
      </c>
      <c r="I3874" s="16" t="s">
        <v>687</v>
      </c>
    </row>
    <row r="3875" ht="242.25" customHeight="1">
      <c r="B3875" s="32" t="str">
        <f>IMAGE("https://gymvisual.com/17171-catalog_default/weighted-push-up-with-vest.jpg",4,500,500)</f>
        <v/>
      </c>
      <c r="C3875" s="30">
        <v>3874.0</v>
      </c>
      <c r="D3875" s="16" t="s">
        <v>4827</v>
      </c>
      <c r="E3875" s="16" t="s">
        <v>184</v>
      </c>
      <c r="F3875" s="16" t="s">
        <v>234</v>
      </c>
      <c r="G3875" s="16" t="s">
        <v>396</v>
      </c>
      <c r="H3875" s="16" t="s">
        <v>235</v>
      </c>
      <c r="I3875" s="16" t="s">
        <v>243</v>
      </c>
    </row>
    <row r="3876" ht="242.25" customHeight="1">
      <c r="B3876" s="32" t="str">
        <f>IMAGE("https://gymvisual.com/2519-catalog_default/weighted-reduction-triangle.jpg",4,500,500)</f>
        <v/>
      </c>
      <c r="C3876" s="30">
        <v>3875.0</v>
      </c>
      <c r="D3876" s="16" t="s">
        <v>4828</v>
      </c>
      <c r="E3876" s="16" t="s">
        <v>184</v>
      </c>
      <c r="F3876" s="16" t="s">
        <v>285</v>
      </c>
      <c r="G3876" s="16" t="s">
        <v>399</v>
      </c>
      <c r="H3876" s="16" t="s">
        <v>2412</v>
      </c>
      <c r="I3876" s="16" t="s">
        <v>4829</v>
      </c>
    </row>
    <row r="3877" ht="242.25" customHeight="1">
      <c r="B3877" s="32" t="str">
        <f>IMAGE("https://gymvisual.com/2522-catalog_default/weighted-round-arm.jpg",4,500,500)</f>
        <v/>
      </c>
      <c r="C3877" s="30">
        <v>3876.0</v>
      </c>
      <c r="D3877" s="16" t="s">
        <v>4830</v>
      </c>
      <c r="E3877" s="16" t="s">
        <v>184</v>
      </c>
      <c r="F3877" s="16" t="s">
        <v>228</v>
      </c>
      <c r="G3877" s="16" t="s">
        <v>396</v>
      </c>
      <c r="H3877" s="16" t="s">
        <v>229</v>
      </c>
      <c r="I3877" s="16" t="s">
        <v>244</v>
      </c>
    </row>
    <row r="3878" ht="242.25" customHeight="1">
      <c r="B3878" s="32" t="str">
        <f>IMAGE("https://gymvisual.com/2528-catalog_default/weighted-russian-twist.jpg",4,500,500)</f>
        <v/>
      </c>
      <c r="C3878" s="30">
        <v>3877.0</v>
      </c>
      <c r="D3878" s="16" t="s">
        <v>4831</v>
      </c>
      <c r="E3878" s="16" t="s">
        <v>184</v>
      </c>
      <c r="F3878" s="16" t="s">
        <v>254</v>
      </c>
      <c r="G3878" s="16" t="s">
        <v>396</v>
      </c>
      <c r="H3878" s="16" t="s">
        <v>257</v>
      </c>
      <c r="I3878" s="16" t="s">
        <v>220</v>
      </c>
    </row>
    <row r="3879" ht="242.25" customHeight="1">
      <c r="B3879" s="32" t="str">
        <f>IMAGE("https://gymvisual.com/11236-catalog_default/weighted-russian-twist-female.jpg",4,500,500)</f>
        <v/>
      </c>
      <c r="C3879" s="30">
        <v>3878.0</v>
      </c>
      <c r="D3879" s="16" t="s">
        <v>4832</v>
      </c>
      <c r="E3879" s="16" t="s">
        <v>184</v>
      </c>
      <c r="F3879" s="16" t="s">
        <v>254</v>
      </c>
      <c r="G3879" s="16" t="s">
        <v>396</v>
      </c>
      <c r="H3879" s="16" t="s">
        <v>220</v>
      </c>
      <c r="I3879" s="16" t="s">
        <v>220</v>
      </c>
    </row>
    <row r="3880" ht="242.25" customHeight="1">
      <c r="B3880" s="32" t="str">
        <f>IMAGE("https://gymvisual.com/2525-catalog_default/weighted-russian-twist-legs-up.jpg",4,500,500)</f>
        <v/>
      </c>
      <c r="C3880" s="30">
        <v>3879.0</v>
      </c>
      <c r="D3880" s="16" t="s">
        <v>4833</v>
      </c>
      <c r="E3880" s="16" t="s">
        <v>184</v>
      </c>
      <c r="F3880" s="16" t="s">
        <v>254</v>
      </c>
      <c r="G3880" s="16" t="s">
        <v>396</v>
      </c>
      <c r="H3880" s="16" t="s">
        <v>257</v>
      </c>
      <c r="I3880" s="16" t="s">
        <v>2640</v>
      </c>
    </row>
    <row r="3881" ht="242.25" customHeight="1">
      <c r="B3881" s="32" t="str">
        <f>IMAGE("https://gymvisual.com/10294-catalog_default/weighted-russian-twist-version-2.jpg",4,500,500)</f>
        <v/>
      </c>
      <c r="C3881" s="30">
        <v>3880.0</v>
      </c>
      <c r="D3881" s="16" t="s">
        <v>4834</v>
      </c>
      <c r="E3881" s="16" t="s">
        <v>184</v>
      </c>
      <c r="F3881" s="16" t="s">
        <v>254</v>
      </c>
      <c r="G3881" s="16" t="s">
        <v>396</v>
      </c>
      <c r="H3881" s="16" t="s">
        <v>257</v>
      </c>
      <c r="I3881" s="16" t="s">
        <v>305</v>
      </c>
    </row>
    <row r="3882" ht="242.25" customHeight="1">
      <c r="B3882" s="32" t="str">
        <f>IMAGE("https://gymvisual.com/2531-catalog_default/weighted-seated-bicep-curl-on-stability-ball.jpg",4,500,500)</f>
        <v/>
      </c>
      <c r="C3882" s="30">
        <v>3881.0</v>
      </c>
      <c r="D3882" s="16" t="s">
        <v>4835</v>
      </c>
      <c r="E3882" s="16" t="s">
        <v>184</v>
      </c>
      <c r="F3882" s="16" t="s">
        <v>219</v>
      </c>
      <c r="G3882" s="16" t="s">
        <v>373</v>
      </c>
      <c r="H3882" s="16" t="s">
        <v>232</v>
      </c>
      <c r="I3882" s="16" t="s">
        <v>233</v>
      </c>
    </row>
    <row r="3883" ht="242.25" customHeight="1">
      <c r="B3883" s="32" t="str">
        <f>IMAGE("https://gymvisual.com/17571-catalog_default/weighted-seated-calf-raise.jpg",4,500,500)</f>
        <v/>
      </c>
      <c r="C3883" s="30">
        <v>3882.0</v>
      </c>
      <c r="D3883" s="16" t="s">
        <v>4836</v>
      </c>
      <c r="E3883" s="16" t="s">
        <v>184</v>
      </c>
      <c r="F3883" s="16" t="s">
        <v>325</v>
      </c>
      <c r="G3883" s="16" t="s">
        <v>396</v>
      </c>
      <c r="H3883" s="16" t="s">
        <v>368</v>
      </c>
      <c r="I3883" s="16" t="s">
        <v>463</v>
      </c>
    </row>
    <row r="3884" ht="242.25" customHeight="1">
      <c r="B3884" s="32" t="str">
        <f>IMAGE("https://gymvisual.com/24153-catalog_default/weighted-seated-calf-raise-version-2.jpg",4,500,500)</f>
        <v/>
      </c>
      <c r="C3884" s="30">
        <v>3883.0</v>
      </c>
      <c r="D3884" s="16" t="s">
        <v>4837</v>
      </c>
      <c r="E3884" s="16" t="s">
        <v>184</v>
      </c>
      <c r="F3884" s="16" t="s">
        <v>325</v>
      </c>
      <c r="G3884" s="16" t="s">
        <v>396</v>
      </c>
      <c r="H3884" s="16" t="s">
        <v>220</v>
      </c>
      <c r="I3884" s="16" t="s">
        <v>220</v>
      </c>
    </row>
    <row r="3885" ht="242.25" customHeight="1">
      <c r="B3885" s="32" t="str">
        <f>IMAGE("https://gymvisual.com/20165-catalog_default/weighted-seated-leg-raise-on-floor.jpg",4,500,500)</f>
        <v/>
      </c>
      <c r="C3885" s="30">
        <v>3884.0</v>
      </c>
      <c r="D3885" s="16" t="s">
        <v>4838</v>
      </c>
      <c r="E3885" s="16" t="s">
        <v>184</v>
      </c>
      <c r="F3885" s="16" t="s">
        <v>254</v>
      </c>
      <c r="G3885" s="16" t="s">
        <v>396</v>
      </c>
      <c r="H3885" s="16" t="s">
        <v>305</v>
      </c>
      <c r="I3885" s="16" t="s">
        <v>600</v>
      </c>
    </row>
    <row r="3886" ht="242.25" customHeight="1">
      <c r="B3886" s="32" t="str">
        <f>IMAGE("https://gymvisual.com/10453-catalog_default/weighted-seated-neck-extension-with-head-harness.jpg",4,500,500)</f>
        <v/>
      </c>
      <c r="C3886" s="30">
        <v>3885.0</v>
      </c>
      <c r="D3886" s="16" t="s">
        <v>4839</v>
      </c>
      <c r="E3886" s="16" t="s">
        <v>184</v>
      </c>
      <c r="F3886" s="16" t="s">
        <v>351</v>
      </c>
      <c r="G3886" s="16" t="s">
        <v>396</v>
      </c>
      <c r="H3886" s="16" t="s">
        <v>3457</v>
      </c>
      <c r="I3886" s="16" t="s">
        <v>4840</v>
      </c>
    </row>
    <row r="3887" ht="242.25" customHeight="1">
      <c r="B3887" s="32" t="str">
        <f>IMAGE("https://gymvisual.com/17569-catalog_default/weighted-seated-neutral-wrist-curl.jpg",4,500,500)</f>
        <v/>
      </c>
      <c r="C3887" s="30">
        <v>3886.0</v>
      </c>
      <c r="D3887" s="16" t="s">
        <v>4841</v>
      </c>
      <c r="E3887" s="16" t="s">
        <v>184</v>
      </c>
      <c r="F3887" s="16" t="s">
        <v>214</v>
      </c>
      <c r="G3887" s="16" t="s">
        <v>396</v>
      </c>
      <c r="H3887" s="16" t="s">
        <v>220</v>
      </c>
      <c r="I3887" s="16" t="s">
        <v>220</v>
      </c>
    </row>
    <row r="3888" ht="242.25" customHeight="1">
      <c r="B3888" s="32" t="str">
        <f>IMAGE("https://gymvisual.com/17632-catalog_default/weighted-seated-one-arm-reverse-wrist-curl.jpg",4,500,500)</f>
        <v/>
      </c>
      <c r="C3888" s="30">
        <v>3887.0</v>
      </c>
      <c r="D3888" s="16" t="s">
        <v>4842</v>
      </c>
      <c r="E3888" s="16" t="s">
        <v>184</v>
      </c>
      <c r="F3888" s="16" t="s">
        <v>214</v>
      </c>
      <c r="G3888" s="16" t="s">
        <v>396</v>
      </c>
      <c r="H3888" s="16" t="s">
        <v>604</v>
      </c>
      <c r="I3888" s="16" t="s">
        <v>220</v>
      </c>
    </row>
    <row r="3889" ht="242.25" customHeight="1">
      <c r="B3889" s="32" t="str">
        <f>IMAGE("https://gymvisual.com/17630-catalog_default/weighted-seated-one-arm-wrist-curl.jpg",4,500,500)</f>
        <v/>
      </c>
      <c r="C3889" s="30">
        <v>3888.0</v>
      </c>
      <c r="D3889" s="16" t="s">
        <v>4843</v>
      </c>
      <c r="E3889" s="16" t="s">
        <v>184</v>
      </c>
      <c r="F3889" s="16" t="s">
        <v>214</v>
      </c>
      <c r="G3889" s="16" t="s">
        <v>396</v>
      </c>
      <c r="H3889" s="16" t="s">
        <v>720</v>
      </c>
      <c r="I3889" s="16" t="s">
        <v>220</v>
      </c>
    </row>
    <row r="3890" ht="242.25" customHeight="1">
      <c r="B3890" s="32" t="str">
        <f>IMAGE("https://gymvisual.com/17628-catalog_default/weighted-seated-reverse-wrist-curl.jpg",4,500,500)</f>
        <v/>
      </c>
      <c r="C3890" s="30">
        <v>3889.0</v>
      </c>
      <c r="D3890" s="16" t="s">
        <v>4844</v>
      </c>
      <c r="E3890" s="16" t="s">
        <v>184</v>
      </c>
      <c r="F3890" s="16" t="s">
        <v>214</v>
      </c>
      <c r="G3890" s="16" t="s">
        <v>396</v>
      </c>
      <c r="H3890" s="16" t="s">
        <v>604</v>
      </c>
      <c r="I3890" s="16" t="s">
        <v>220</v>
      </c>
    </row>
    <row r="3891" ht="242.25" customHeight="1">
      <c r="B3891" s="32" t="str">
        <f>IMAGE("https://gymvisual.com/24155-catalog_default/weighted-seated-single-calf-raise-version-2.jpg",4,500,500)</f>
        <v/>
      </c>
      <c r="C3891" s="30">
        <v>3890.0</v>
      </c>
      <c r="D3891" s="16" t="s">
        <v>4845</v>
      </c>
      <c r="E3891" s="16" t="s">
        <v>184</v>
      </c>
      <c r="F3891" s="16" t="s">
        <v>325</v>
      </c>
      <c r="G3891" s="16" t="s">
        <v>396</v>
      </c>
      <c r="H3891" s="16" t="s">
        <v>220</v>
      </c>
      <c r="I3891" s="16" t="s">
        <v>220</v>
      </c>
    </row>
    <row r="3892" ht="242.25" customHeight="1">
      <c r="B3892" s="32" t="str">
        <f>IMAGE("https://gymvisual.com/17626-catalog_default/weighted-seated-supination.jpg",4,500,500)</f>
        <v/>
      </c>
      <c r="C3892" s="30">
        <v>3891.0</v>
      </c>
      <c r="D3892" s="16" t="s">
        <v>4846</v>
      </c>
      <c r="E3892" s="16" t="s">
        <v>184</v>
      </c>
      <c r="F3892" s="16" t="s">
        <v>214</v>
      </c>
      <c r="G3892" s="16" t="s">
        <v>396</v>
      </c>
      <c r="H3892" s="16" t="s">
        <v>216</v>
      </c>
      <c r="I3892" s="16" t="s">
        <v>220</v>
      </c>
    </row>
    <row r="3893" ht="242.25" customHeight="1">
      <c r="B3893" s="32" t="str">
        <f>IMAGE("https://gymvisual.com/17885-catalog_default/weighted-seated-triceps-extension-male.jpg",4,500,500)</f>
        <v/>
      </c>
      <c r="C3893" s="30">
        <v>3892.0</v>
      </c>
      <c r="D3893" s="16" t="s">
        <v>4847</v>
      </c>
      <c r="E3893" s="16" t="s">
        <v>184</v>
      </c>
      <c r="F3893" s="16" t="s">
        <v>219</v>
      </c>
      <c r="G3893" s="16" t="s">
        <v>396</v>
      </c>
      <c r="H3893" s="16" t="s">
        <v>220</v>
      </c>
      <c r="I3893" s="16" t="s">
        <v>220</v>
      </c>
    </row>
    <row r="3894" ht="242.25" customHeight="1">
      <c r="B3894" s="32" t="str">
        <f>IMAGE("https://gymvisual.com/19592-catalog_default/weighted-seated-tuck-crunch-on-floor.jpg",4,500,500)</f>
        <v/>
      </c>
      <c r="C3894" s="30">
        <v>3893.0</v>
      </c>
      <c r="D3894" s="16" t="s">
        <v>4848</v>
      </c>
      <c r="E3894" s="16" t="s">
        <v>184</v>
      </c>
      <c r="F3894" s="16" t="s">
        <v>254</v>
      </c>
      <c r="G3894" s="16" t="s">
        <v>396</v>
      </c>
      <c r="H3894" s="16" t="s">
        <v>220</v>
      </c>
      <c r="I3894" s="16" t="s">
        <v>220</v>
      </c>
    </row>
    <row r="3895" ht="242.25" customHeight="1">
      <c r="B3895" s="32" t="str">
        <f>IMAGE("https://gymvisual.com/2537-catalog_default/weighted-seated-twist-on-stability-ball.jpg",4,500,500)</f>
        <v/>
      </c>
      <c r="C3895" s="30">
        <v>3894.0</v>
      </c>
      <c r="D3895" s="16" t="s">
        <v>4849</v>
      </c>
      <c r="E3895" s="16" t="s">
        <v>184</v>
      </c>
      <c r="F3895" s="16" t="s">
        <v>254</v>
      </c>
      <c r="G3895" s="16" t="s">
        <v>396</v>
      </c>
      <c r="H3895" s="16" t="s">
        <v>257</v>
      </c>
      <c r="I3895" s="16" t="s">
        <v>220</v>
      </c>
    </row>
    <row r="3896" ht="242.25" customHeight="1">
      <c r="B3896" s="32" t="str">
        <f>IMAGE("https://gymvisual.com/2540-catalog_default/weighted-side-bend-on-stability-ball.jpg",4,500,500)</f>
        <v/>
      </c>
      <c r="C3896" s="30">
        <v>3895.0</v>
      </c>
      <c r="D3896" s="16" t="s">
        <v>4850</v>
      </c>
      <c r="E3896" s="16" t="s">
        <v>184</v>
      </c>
      <c r="F3896" s="16" t="s">
        <v>254</v>
      </c>
      <c r="G3896" s="16" t="s">
        <v>396</v>
      </c>
      <c r="H3896" s="16" t="s">
        <v>257</v>
      </c>
      <c r="I3896" s="16" t="s">
        <v>220</v>
      </c>
    </row>
    <row r="3897" ht="242.25" customHeight="1">
      <c r="B3897" s="32" t="str">
        <f>IMAGE("https://gymvisual.com/17577-catalog_default/weighted-side-crunch.jpg",4,500,500)</f>
        <v/>
      </c>
      <c r="C3897" s="30">
        <v>3896.0</v>
      </c>
      <c r="D3897" s="16" t="s">
        <v>4851</v>
      </c>
      <c r="E3897" s="16" t="s">
        <v>184</v>
      </c>
      <c r="F3897" s="16" t="s">
        <v>254</v>
      </c>
      <c r="G3897" s="16" t="s">
        <v>396</v>
      </c>
      <c r="H3897" s="16" t="s">
        <v>260</v>
      </c>
      <c r="I3897" s="16" t="s">
        <v>220</v>
      </c>
    </row>
    <row r="3898" ht="242.25" customHeight="1">
      <c r="B3898" s="32" t="str">
        <f>IMAGE("https://gymvisual.com/18982-catalog_default/weighted-side-lying-side-neck-raise.jpg",4,500,500)</f>
        <v/>
      </c>
      <c r="C3898" s="30">
        <v>3897.0</v>
      </c>
      <c r="D3898" s="16" t="s">
        <v>4852</v>
      </c>
      <c r="E3898" s="16" t="s">
        <v>184</v>
      </c>
      <c r="F3898" s="16" t="s">
        <v>351</v>
      </c>
      <c r="G3898" s="16" t="s">
        <v>396</v>
      </c>
      <c r="H3898" s="16" t="s">
        <v>220</v>
      </c>
      <c r="I3898" s="16" t="s">
        <v>220</v>
      </c>
    </row>
    <row r="3899" ht="242.25" customHeight="1">
      <c r="B3899" s="32" t="str">
        <f>IMAGE("https://gymvisual.com/14238-catalog_default/weighted-single-leg-lift.jpg",4,500,500)</f>
        <v/>
      </c>
      <c r="C3899" s="30">
        <v>3898.0</v>
      </c>
      <c r="D3899" s="16" t="s">
        <v>4853</v>
      </c>
      <c r="E3899" s="16" t="s">
        <v>184</v>
      </c>
      <c r="F3899" s="16" t="s">
        <v>285</v>
      </c>
      <c r="G3899" s="16" t="s">
        <v>396</v>
      </c>
      <c r="H3899" s="16" t="s">
        <v>3818</v>
      </c>
      <c r="I3899" s="16" t="s">
        <v>4854</v>
      </c>
    </row>
    <row r="3900" ht="242.25" customHeight="1">
      <c r="B3900" s="32" t="str">
        <f>IMAGE("https://gymvisual.com/2543-catalog_default/weighted-sissy-squat.jpg",4,500,500)</f>
        <v/>
      </c>
      <c r="C3900" s="30">
        <v>3899.0</v>
      </c>
      <c r="D3900" s="16" t="s">
        <v>4855</v>
      </c>
      <c r="E3900" s="16" t="s">
        <v>184</v>
      </c>
      <c r="F3900" s="16" t="s">
        <v>285</v>
      </c>
      <c r="G3900" s="16" t="s">
        <v>396</v>
      </c>
      <c r="H3900" s="16" t="s">
        <v>552</v>
      </c>
      <c r="I3900" s="16" t="s">
        <v>220</v>
      </c>
    </row>
    <row r="3901" ht="242.25" customHeight="1">
      <c r="B3901" s="32" t="str">
        <f>IMAGE("https://gymvisual.com/17511-catalog_default/weighted-sissy-squat-female.jpg",4,500,500)</f>
        <v/>
      </c>
      <c r="C3901" s="30">
        <v>3900.0</v>
      </c>
      <c r="D3901" s="16" t="s">
        <v>4856</v>
      </c>
      <c r="E3901" s="16" t="s">
        <v>184</v>
      </c>
      <c r="F3901" s="16" t="s">
        <v>285</v>
      </c>
      <c r="G3901" s="16" t="s">
        <v>396</v>
      </c>
      <c r="H3901" s="16" t="s">
        <v>552</v>
      </c>
      <c r="I3901" s="16" t="s">
        <v>1115</v>
      </c>
    </row>
    <row r="3902" ht="242.25" customHeight="1">
      <c r="B3902" s="32" t="str">
        <f>IMAGE("https://gymvisual.com/2546-catalog_default/weighted-squat.jpg",4,500,500)</f>
        <v/>
      </c>
      <c r="C3902" s="30">
        <v>3901.0</v>
      </c>
      <c r="D3902" s="16" t="s">
        <v>4857</v>
      </c>
      <c r="E3902" s="16" t="s">
        <v>184</v>
      </c>
      <c r="F3902" s="16" t="s">
        <v>285</v>
      </c>
      <c r="G3902" s="16" t="s">
        <v>396</v>
      </c>
      <c r="H3902" s="16" t="s">
        <v>189</v>
      </c>
      <c r="I3902" s="16" t="s">
        <v>190</v>
      </c>
    </row>
    <row r="3903" ht="242.25" customHeight="1">
      <c r="B3903" s="32" t="str">
        <f>IMAGE("https://gymvisual.com/13612-catalog_default/weighted-stability-ball-crunch-full-range.jpg",4,500,500)</f>
        <v/>
      </c>
      <c r="C3903" s="30">
        <v>3902.0</v>
      </c>
      <c r="D3903" s="16" t="s">
        <v>4858</v>
      </c>
      <c r="E3903" s="16" t="s">
        <v>184</v>
      </c>
      <c r="F3903" s="16" t="s">
        <v>254</v>
      </c>
      <c r="G3903" s="16" t="s">
        <v>396</v>
      </c>
      <c r="H3903" s="16" t="s">
        <v>256</v>
      </c>
      <c r="I3903" s="16" t="s">
        <v>257</v>
      </c>
    </row>
    <row r="3904" ht="242.25" customHeight="1">
      <c r="B3904" s="32" t="str">
        <f>IMAGE("https://gymvisual.com/2549-catalog_default/weighted-standing-curl.jpg",4,500,500)</f>
        <v/>
      </c>
      <c r="C3904" s="30">
        <v>3903.0</v>
      </c>
      <c r="D3904" s="16" t="s">
        <v>4859</v>
      </c>
      <c r="E3904" s="16" t="s">
        <v>184</v>
      </c>
      <c r="F3904" s="16" t="s">
        <v>214</v>
      </c>
      <c r="G3904" s="16" t="s">
        <v>396</v>
      </c>
      <c r="H3904" s="16" t="s">
        <v>216</v>
      </c>
      <c r="I3904" s="16" t="s">
        <v>217</v>
      </c>
    </row>
    <row r="3905" ht="242.25" customHeight="1">
      <c r="B3905" s="32" t="str">
        <f>IMAGE("https://gymvisual.com/14316-catalog_default/weighted-standing-curl-female.jpg",4,500,500)</f>
        <v/>
      </c>
      <c r="C3905" s="30">
        <v>3904.0</v>
      </c>
      <c r="D3905" s="16" t="s">
        <v>4860</v>
      </c>
      <c r="E3905" s="16" t="s">
        <v>184</v>
      </c>
      <c r="F3905" s="16" t="s">
        <v>214</v>
      </c>
      <c r="G3905" s="16" t="s">
        <v>396</v>
      </c>
      <c r="H3905" s="16" t="s">
        <v>217</v>
      </c>
      <c r="I3905" s="16" t="s">
        <v>220</v>
      </c>
    </row>
    <row r="3906" ht="242.25" customHeight="1">
      <c r="B3906" s="32" t="str">
        <f>IMAGE("https://gymvisual.com/2552-catalog_default/weighted-standing-hand-squeeze.jpg",4,500,500)</f>
        <v/>
      </c>
      <c r="C3906" s="30">
        <v>3905.0</v>
      </c>
      <c r="D3906" s="16" t="s">
        <v>4861</v>
      </c>
      <c r="E3906" s="16" t="s">
        <v>184</v>
      </c>
      <c r="F3906" s="16" t="s">
        <v>214</v>
      </c>
      <c r="G3906" s="16" t="s">
        <v>396</v>
      </c>
      <c r="H3906" s="16" t="s">
        <v>220</v>
      </c>
      <c r="I3906" s="16" t="s">
        <v>220</v>
      </c>
    </row>
    <row r="3907" ht="242.25" customHeight="1">
      <c r="B3907" s="32" t="str">
        <f>IMAGE("https://gymvisual.com/10463-catalog_default/weighted-standing-neck-extension-with-head-harness.jpg",4,500,500)</f>
        <v/>
      </c>
      <c r="C3907" s="30">
        <v>3906.0</v>
      </c>
      <c r="D3907" s="16" t="s">
        <v>4862</v>
      </c>
      <c r="E3907" s="16" t="s">
        <v>184</v>
      </c>
      <c r="F3907" s="16" t="s">
        <v>351</v>
      </c>
      <c r="G3907" s="16" t="s">
        <v>396</v>
      </c>
      <c r="H3907" s="16" t="s">
        <v>220</v>
      </c>
      <c r="I3907" s="16" t="s">
        <v>220</v>
      </c>
    </row>
    <row r="3908" ht="242.25" customHeight="1">
      <c r="B3908" s="32" t="str">
        <f>IMAGE("https://gymvisual.com/17993-catalog_default/weighted-standing-shoulder-press.jpg",4,500,500)</f>
        <v/>
      </c>
      <c r="C3908" s="30">
        <v>3907.0</v>
      </c>
      <c r="D3908" s="16" t="s">
        <v>4863</v>
      </c>
      <c r="E3908" s="16" t="s">
        <v>184</v>
      </c>
      <c r="F3908" s="16" t="s">
        <v>228</v>
      </c>
      <c r="G3908" s="16" t="s">
        <v>396</v>
      </c>
      <c r="H3908" s="16" t="s">
        <v>220</v>
      </c>
      <c r="I3908" s="16" t="s">
        <v>220</v>
      </c>
    </row>
    <row r="3909" ht="242.25" customHeight="1">
      <c r="B3909" s="32" t="str">
        <f>IMAGE("https://gymvisual.com/2555-catalog_default/weighted-standing-twist.jpg",4,500,500)</f>
        <v/>
      </c>
      <c r="C3909" s="30">
        <v>3908.0</v>
      </c>
      <c r="D3909" s="16" t="s">
        <v>4864</v>
      </c>
      <c r="E3909" s="16" t="s">
        <v>184</v>
      </c>
      <c r="F3909" s="16" t="s">
        <v>254</v>
      </c>
      <c r="G3909" s="16" t="s">
        <v>396</v>
      </c>
      <c r="H3909" s="16" t="s">
        <v>257</v>
      </c>
      <c r="I3909" s="16" t="s">
        <v>271</v>
      </c>
    </row>
    <row r="3910" ht="242.25" customHeight="1">
      <c r="B3910" s="32" t="str">
        <f>IMAGE("https://gymvisual.com/13555-catalog_default/weighted-straight-bar-dip.jpg",4,500,500)</f>
        <v/>
      </c>
      <c r="C3910" s="30">
        <v>3909.0</v>
      </c>
      <c r="D3910" s="16" t="s">
        <v>4865</v>
      </c>
      <c r="E3910" s="16" t="s">
        <v>184</v>
      </c>
      <c r="F3910" s="16" t="s">
        <v>234</v>
      </c>
      <c r="G3910" s="16" t="s">
        <v>396</v>
      </c>
      <c r="H3910" s="16" t="s">
        <v>235</v>
      </c>
      <c r="I3910" s="16" t="s">
        <v>243</v>
      </c>
    </row>
    <row r="3911" ht="242.25" customHeight="1">
      <c r="B3911" s="32" t="str">
        <f>IMAGE("https://gymvisual.com/17903-catalog_default/weighted-straight-leg-toe-touch-crunch-male.jpg",4,500,500)</f>
        <v/>
      </c>
      <c r="C3911" s="30">
        <v>3910.0</v>
      </c>
      <c r="D3911" s="16" t="s">
        <v>4866</v>
      </c>
      <c r="E3911" s="16" t="s">
        <v>184</v>
      </c>
      <c r="F3911" s="16" t="s">
        <v>254</v>
      </c>
      <c r="G3911" s="16" t="s">
        <v>396</v>
      </c>
      <c r="H3911" s="16" t="s">
        <v>220</v>
      </c>
      <c r="I3911" s="16" t="s">
        <v>220</v>
      </c>
    </row>
    <row r="3912" ht="242.25" customHeight="1">
      <c r="B3912" s="32" t="str">
        <f>IMAGE("https://gymvisual.com/22654-catalog_default/weighted-svend-bench-press.jpg",4,500,500)</f>
        <v/>
      </c>
      <c r="C3912" s="30">
        <v>3911.0</v>
      </c>
      <c r="D3912" s="16" t="s">
        <v>4867</v>
      </c>
      <c r="E3912" s="16" t="s">
        <v>184</v>
      </c>
      <c r="F3912" s="16" t="s">
        <v>219</v>
      </c>
      <c r="G3912" s="16" t="s">
        <v>396</v>
      </c>
      <c r="H3912" s="16" t="s">
        <v>347</v>
      </c>
      <c r="I3912" s="16" t="s">
        <v>382</v>
      </c>
    </row>
    <row r="3913" ht="242.25" customHeight="1">
      <c r="B3913" s="32" t="str">
        <f>IMAGE("https://gymvisual.com/2558-catalog_default/weighted-svend-press.jpg",4,500,500)</f>
        <v/>
      </c>
      <c r="C3913" s="30">
        <v>3912.0</v>
      </c>
      <c r="D3913" s="16" t="s">
        <v>4868</v>
      </c>
      <c r="E3913" s="16" t="s">
        <v>184</v>
      </c>
      <c r="F3913" s="16" t="s">
        <v>234</v>
      </c>
      <c r="G3913" s="16" t="s">
        <v>396</v>
      </c>
      <c r="H3913" s="16" t="s">
        <v>347</v>
      </c>
      <c r="I3913" s="16" t="s">
        <v>382</v>
      </c>
    </row>
    <row r="3914" ht="242.25" customHeight="1">
      <c r="B3914" s="32" t="str">
        <f>IMAGE("https://gymvisual.com/13888-catalog_default/weighted-svend-press-female.jpg",4,500,500)</f>
        <v/>
      </c>
      <c r="C3914" s="30">
        <v>3913.0</v>
      </c>
      <c r="D3914" s="16" t="s">
        <v>4869</v>
      </c>
      <c r="E3914" s="16" t="s">
        <v>184</v>
      </c>
      <c r="F3914" s="16" t="s">
        <v>234</v>
      </c>
      <c r="G3914" s="16" t="s">
        <v>396</v>
      </c>
      <c r="H3914" s="16" t="s">
        <v>220</v>
      </c>
      <c r="I3914" s="16" t="s">
        <v>220</v>
      </c>
    </row>
    <row r="3915" ht="242.25" customHeight="1">
      <c r="B3915" s="32" t="str">
        <f>IMAGE("https://gymvisual.com/7473-catalog_default/weighted-three-bench-dips.jpg",4,500,500)</f>
        <v/>
      </c>
      <c r="C3915" s="30">
        <v>3914.0</v>
      </c>
      <c r="D3915" s="16" t="s">
        <v>4870</v>
      </c>
      <c r="E3915" s="16" t="s">
        <v>184</v>
      </c>
      <c r="F3915" s="16" t="s">
        <v>219</v>
      </c>
      <c r="G3915" s="16" t="s">
        <v>396</v>
      </c>
      <c r="H3915" s="16" t="s">
        <v>223</v>
      </c>
      <c r="I3915" s="16" t="s">
        <v>394</v>
      </c>
    </row>
    <row r="3916" ht="242.25" customHeight="1">
      <c r="B3916" s="32" t="str">
        <f>IMAGE("https://gymvisual.com/7474-catalog_default/weighted-tricep-dips.jpg",4,500,500)</f>
        <v/>
      </c>
      <c r="C3916" s="30">
        <v>3915.0</v>
      </c>
      <c r="D3916" s="16" t="s">
        <v>4871</v>
      </c>
      <c r="E3916" s="16" t="s">
        <v>184</v>
      </c>
      <c r="F3916" s="16" t="s">
        <v>219</v>
      </c>
      <c r="G3916" s="16" t="s">
        <v>396</v>
      </c>
      <c r="H3916" s="16" t="s">
        <v>223</v>
      </c>
      <c r="I3916" s="16" t="s">
        <v>394</v>
      </c>
    </row>
    <row r="3917" ht="242.25" customHeight="1">
      <c r="B3917" s="32" t="str">
        <f>IMAGE("https://gymvisual.com/7596-catalog_default/weighted-triceps-dip-on-high-parallel-bars.jpg",4,500,500)</f>
        <v/>
      </c>
      <c r="C3917" s="30">
        <v>3916.0</v>
      </c>
      <c r="D3917" s="16" t="s">
        <v>4872</v>
      </c>
      <c r="E3917" s="16" t="s">
        <v>184</v>
      </c>
      <c r="F3917" s="16" t="s">
        <v>219</v>
      </c>
      <c r="G3917" s="16" t="s">
        <v>396</v>
      </c>
      <c r="H3917" s="16" t="s">
        <v>220</v>
      </c>
      <c r="I3917" s="16" t="s">
        <v>220</v>
      </c>
    </row>
    <row r="3918" ht="242.25" customHeight="1">
      <c r="B3918" s="32" t="str">
        <f>IMAGE("https://gymvisual.com/4464-catalog_default/weighted-twisting-crunch-on-bench.jpg",4,500,500)</f>
        <v/>
      </c>
      <c r="C3918" s="30">
        <v>3917.0</v>
      </c>
      <c r="D3918" s="16" t="s">
        <v>4873</v>
      </c>
      <c r="E3918" s="16" t="s">
        <v>184</v>
      </c>
      <c r="F3918" s="16" t="s">
        <v>254</v>
      </c>
      <c r="G3918" s="16" t="s">
        <v>396</v>
      </c>
      <c r="H3918" s="16" t="s">
        <v>263</v>
      </c>
      <c r="I3918" s="16" t="s">
        <v>4874</v>
      </c>
    </row>
    <row r="3919" ht="242.25" customHeight="1">
      <c r="B3919" s="32" t="str">
        <f>IMAGE("https://gymvisual.com/4467-catalog_default/weighted-v-crunch-on-bosu-ball.jpg",4,500,500)</f>
        <v/>
      </c>
      <c r="C3919" s="30">
        <v>3918.0</v>
      </c>
      <c r="D3919" s="16" t="s">
        <v>4875</v>
      </c>
      <c r="E3919" s="16" t="s">
        <v>184</v>
      </c>
      <c r="F3919" s="16" t="s">
        <v>254</v>
      </c>
      <c r="G3919" s="16" t="s">
        <v>316</v>
      </c>
      <c r="H3919" s="16" t="s">
        <v>305</v>
      </c>
      <c r="I3919" s="16" t="s">
        <v>4749</v>
      </c>
    </row>
    <row r="3920" ht="242.25" customHeight="1">
      <c r="B3920" s="32" t="str">
        <f>IMAGE("https://gymvisual.com/10043-catalog_default/wheel-rollout.jpg",4,500,500)</f>
        <v/>
      </c>
      <c r="C3920" s="30">
        <v>3919.0</v>
      </c>
      <c r="D3920" s="16" t="s">
        <v>4876</v>
      </c>
      <c r="E3920" s="16" t="s">
        <v>184</v>
      </c>
      <c r="F3920" s="16" t="s">
        <v>192</v>
      </c>
      <c r="G3920" s="16" t="s">
        <v>4478</v>
      </c>
      <c r="H3920" s="16" t="s">
        <v>271</v>
      </c>
      <c r="I3920" s="16" t="s">
        <v>4877</v>
      </c>
    </row>
    <row r="3921" ht="242.25" customHeight="1">
      <c r="B3921" s="32" t="str">
        <f>IMAGE("https://gymvisual.com/10046-catalog_default/wheel-rollout-female.jpg",4,500,500)</f>
        <v/>
      </c>
      <c r="C3921" s="30">
        <v>3920.0</v>
      </c>
      <c r="D3921" s="16" t="s">
        <v>4878</v>
      </c>
      <c r="E3921" s="16" t="s">
        <v>184</v>
      </c>
      <c r="F3921" s="16" t="s">
        <v>254</v>
      </c>
      <c r="G3921" s="16" t="s">
        <v>4478</v>
      </c>
      <c r="H3921" s="16" t="s">
        <v>263</v>
      </c>
      <c r="I3921" s="16" t="s">
        <v>437</v>
      </c>
    </row>
    <row r="3922" ht="242.25" customHeight="1">
      <c r="B3922" s="32" t="str">
        <f>IMAGE("https://gymvisual.com/17887-catalog_default/wheel-rollout-with-wall-support-male.jpg",4,500,500)</f>
        <v/>
      </c>
      <c r="C3922" s="30">
        <v>3921.0</v>
      </c>
      <c r="D3922" s="16" t="s">
        <v>4879</v>
      </c>
      <c r="E3922" s="16" t="s">
        <v>184</v>
      </c>
      <c r="F3922" s="16" t="s">
        <v>254</v>
      </c>
      <c r="G3922" s="16" t="s">
        <v>255</v>
      </c>
      <c r="H3922" s="16" t="s">
        <v>220</v>
      </c>
      <c r="I3922" s="16" t="s">
        <v>220</v>
      </c>
    </row>
    <row r="3923" ht="242.25" customHeight="1">
      <c r="B3923" s="32" t="str">
        <f>IMAGE("https://gymvisual.com/22335-catalog_default/wide-air-squat.jpg",4,500,500)</f>
        <v/>
      </c>
      <c r="C3923" s="30">
        <v>3922.0</v>
      </c>
      <c r="D3923" s="16" t="s">
        <v>4880</v>
      </c>
      <c r="E3923" s="16" t="s">
        <v>184</v>
      </c>
      <c r="F3923" s="16" t="s">
        <v>185</v>
      </c>
      <c r="G3923" s="16" t="s">
        <v>255</v>
      </c>
      <c r="H3923" s="16" t="s">
        <v>220</v>
      </c>
      <c r="I3923" s="16" t="s">
        <v>220</v>
      </c>
    </row>
    <row r="3924" ht="242.25" customHeight="1">
      <c r="B3924" s="32" t="str">
        <f>IMAGE("https://gymvisual.com/20202-catalog_default/wide-chin-up-female.jpg",4,500,500)</f>
        <v/>
      </c>
      <c r="C3924" s="30">
        <v>3923.0</v>
      </c>
      <c r="D3924" s="16" t="s">
        <v>4881</v>
      </c>
      <c r="E3924" s="16" t="s">
        <v>184</v>
      </c>
      <c r="F3924" s="16" t="s">
        <v>192</v>
      </c>
      <c r="G3924" s="16" t="s">
        <v>255</v>
      </c>
      <c r="H3924" s="16" t="s">
        <v>4882</v>
      </c>
      <c r="I3924" s="16" t="s">
        <v>447</v>
      </c>
    </row>
    <row r="3925" ht="242.25" customHeight="1">
      <c r="B3925" s="32" t="str">
        <f>IMAGE("https://gymvisual.com/14318-catalog_default/wide-grip-pull-up-female.jpg",4,500,500)</f>
        <v/>
      </c>
      <c r="C3925" s="30">
        <v>3924.0</v>
      </c>
      <c r="D3925" s="16" t="s">
        <v>4883</v>
      </c>
      <c r="E3925" s="16" t="s">
        <v>184</v>
      </c>
      <c r="F3925" s="16" t="s">
        <v>192</v>
      </c>
      <c r="G3925" s="16" t="s">
        <v>255</v>
      </c>
      <c r="H3925" s="16" t="s">
        <v>300</v>
      </c>
      <c r="I3925" s="16" t="s">
        <v>4884</v>
      </c>
    </row>
    <row r="3926" ht="242.25" customHeight="1">
      <c r="B3926" s="32" t="str">
        <f>IMAGE("https://gymvisual.com/6323-catalog_default/wide-grip-pull-up.jpg",4,500,500)</f>
        <v/>
      </c>
      <c r="C3926" s="30">
        <v>3925.0</v>
      </c>
      <c r="D3926" s="16" t="s">
        <v>4885</v>
      </c>
      <c r="E3926" s="16" t="s">
        <v>184</v>
      </c>
      <c r="F3926" s="16" t="s">
        <v>192</v>
      </c>
      <c r="G3926" s="16" t="s">
        <v>255</v>
      </c>
      <c r="H3926" s="16" t="s">
        <v>300</v>
      </c>
      <c r="I3926" s="16" t="s">
        <v>3413</v>
      </c>
    </row>
    <row r="3927" ht="242.25" customHeight="1">
      <c r="B3927" s="32" t="str">
        <f>IMAGE("https://gymvisual.com/7718-catalog_default/wide-grip-pull-up-on-dip-cage.jpg",4,500,500)</f>
        <v/>
      </c>
      <c r="C3927" s="30">
        <v>3926.0</v>
      </c>
      <c r="D3927" s="16" t="s">
        <v>4886</v>
      </c>
      <c r="E3927" s="16" t="s">
        <v>184</v>
      </c>
      <c r="F3927" s="16" t="s">
        <v>192</v>
      </c>
      <c r="G3927" s="16" t="s">
        <v>255</v>
      </c>
      <c r="H3927" s="16" t="s">
        <v>220</v>
      </c>
      <c r="I3927" s="16" t="s">
        <v>220</v>
      </c>
    </row>
    <row r="3928" ht="242.25" customHeight="1">
      <c r="B3928" s="32" t="str">
        <f>IMAGE("https://gymvisual.com/14320-catalog_default/wide-grip-rear-pull-up-female.jpg",4,500,500)</f>
        <v/>
      </c>
      <c r="C3928" s="30">
        <v>3927.0</v>
      </c>
      <c r="D3928" s="16" t="s">
        <v>4887</v>
      </c>
      <c r="E3928" s="16" t="s">
        <v>184</v>
      </c>
      <c r="F3928" s="16" t="s">
        <v>192</v>
      </c>
      <c r="G3928" s="16" t="s">
        <v>255</v>
      </c>
      <c r="H3928" s="16" t="s">
        <v>300</v>
      </c>
      <c r="I3928" s="16" t="s">
        <v>4888</v>
      </c>
    </row>
    <row r="3929" ht="242.25" customHeight="1">
      <c r="B3929" s="32" t="str">
        <f>IMAGE("https://gymvisual.com/6058-catalog_default/wide-grip-rear-pull-up.jpg",4,500,500)</f>
        <v/>
      </c>
      <c r="C3929" s="30">
        <v>3928.0</v>
      </c>
      <c r="D3929" s="16" t="s">
        <v>4889</v>
      </c>
      <c r="E3929" s="16" t="s">
        <v>184</v>
      </c>
      <c r="F3929" s="16" t="s">
        <v>192</v>
      </c>
      <c r="G3929" s="16" t="s">
        <v>255</v>
      </c>
      <c r="H3929" s="16" t="s">
        <v>300</v>
      </c>
      <c r="I3929" s="16" t="s">
        <v>4890</v>
      </c>
    </row>
    <row r="3930" ht="242.25" customHeight="1">
      <c r="B3930" s="32" t="str">
        <f>IMAGE("https://gymvisual.com/6000-catalog_default/wide-hand-push-up.jpg",4,500,500)</f>
        <v/>
      </c>
      <c r="C3930" s="30">
        <v>3929.0</v>
      </c>
      <c r="D3930" s="16" t="s">
        <v>4891</v>
      </c>
      <c r="E3930" s="16" t="s">
        <v>184</v>
      </c>
      <c r="F3930" s="16" t="s">
        <v>234</v>
      </c>
      <c r="G3930" s="16" t="s">
        <v>255</v>
      </c>
      <c r="H3930" s="16" t="s">
        <v>347</v>
      </c>
      <c r="I3930" s="16" t="s">
        <v>382</v>
      </c>
    </row>
    <row r="3931" ht="242.25" customHeight="1">
      <c r="B3931" s="32" t="str">
        <f>IMAGE("https://gymvisual.com/17521-catalog_default/wide-hand-push-up-female.jpg",4,500,500)</f>
        <v/>
      </c>
      <c r="C3931" s="30">
        <v>3930.0</v>
      </c>
      <c r="D3931" s="16" t="s">
        <v>4892</v>
      </c>
      <c r="E3931" s="16" t="s">
        <v>184</v>
      </c>
      <c r="F3931" s="16" t="s">
        <v>234</v>
      </c>
      <c r="G3931" s="16" t="s">
        <v>255</v>
      </c>
      <c r="H3931" s="16" t="s">
        <v>235</v>
      </c>
      <c r="I3931" s="16" t="s">
        <v>243</v>
      </c>
    </row>
    <row r="3932" ht="242.25" customHeight="1">
      <c r="B3932" s="32" t="str">
        <f>IMAGE("https://gymvisual.com/10914-catalog_default/wide-push-up-wall-female.jpg",4,500,500)</f>
        <v/>
      </c>
      <c r="C3932" s="30">
        <v>3931.0</v>
      </c>
      <c r="D3932" s="16" t="s">
        <v>4893</v>
      </c>
      <c r="E3932" s="16" t="s">
        <v>184</v>
      </c>
      <c r="F3932" s="16" t="s">
        <v>234</v>
      </c>
      <c r="G3932" s="16" t="s">
        <v>255</v>
      </c>
      <c r="H3932" s="16" t="s">
        <v>235</v>
      </c>
      <c r="I3932" s="16" t="s">
        <v>243</v>
      </c>
    </row>
    <row r="3933" ht="242.25" customHeight="1">
      <c r="B3933" s="32" t="str">
        <f>IMAGE("https://gymvisual.com/22337-catalog_default/wide-seated-pull-up.jpg",4,500,500)</f>
        <v/>
      </c>
      <c r="C3933" s="30">
        <v>3932.0</v>
      </c>
      <c r="D3933" s="16" t="s">
        <v>4894</v>
      </c>
      <c r="E3933" s="16" t="s">
        <v>184</v>
      </c>
      <c r="F3933" s="16" t="s">
        <v>192</v>
      </c>
      <c r="G3933" s="16" t="s">
        <v>255</v>
      </c>
      <c r="H3933" s="16" t="s">
        <v>220</v>
      </c>
      <c r="I3933" s="16" t="s">
        <v>220</v>
      </c>
    </row>
    <row r="3934" ht="242.25" customHeight="1">
      <c r="B3934" s="32" t="str">
        <f>IMAGE("https://gymvisual.com/22339-catalog_default/wide-to-narrow-push-up.jpg",4,500,500)</f>
        <v/>
      </c>
      <c r="C3934" s="30">
        <v>3933.0</v>
      </c>
      <c r="D3934" s="16" t="s">
        <v>4895</v>
      </c>
      <c r="E3934" s="16" t="s">
        <v>184</v>
      </c>
      <c r="F3934" s="16" t="s">
        <v>234</v>
      </c>
      <c r="G3934" s="16" t="s">
        <v>255</v>
      </c>
      <c r="H3934" s="16" t="s">
        <v>220</v>
      </c>
      <c r="I3934" s="16" t="s">
        <v>220</v>
      </c>
    </row>
    <row r="3935" ht="242.25" customHeight="1">
      <c r="B3935" s="32" t="str">
        <f>IMAGE("https://gymvisual.com/10239-catalog_default/wide-grip-chest-dip-on-high-parallel-bars.jpg",4,500,500)</f>
        <v/>
      </c>
      <c r="C3935" s="30">
        <v>3934.0</v>
      </c>
      <c r="D3935" s="16" t="s">
        <v>4896</v>
      </c>
      <c r="E3935" s="16" t="s">
        <v>184</v>
      </c>
      <c r="F3935" s="16" t="s">
        <v>234</v>
      </c>
      <c r="G3935" s="16" t="s">
        <v>255</v>
      </c>
      <c r="H3935" s="16" t="s">
        <v>235</v>
      </c>
      <c r="I3935" s="16" t="s">
        <v>243</v>
      </c>
    </row>
    <row r="3936" ht="242.25" customHeight="1">
      <c r="B3936" s="32" t="str">
        <f>IMAGE("https://gymvisual.com/2564-catalog_default/wind-sprints.jpg",4,500,500)</f>
        <v/>
      </c>
      <c r="C3936" s="30">
        <v>3935.0</v>
      </c>
      <c r="D3936" s="16" t="s">
        <v>4897</v>
      </c>
      <c r="E3936" s="16" t="s">
        <v>184</v>
      </c>
      <c r="F3936" s="16" t="s">
        <v>254</v>
      </c>
      <c r="G3936" s="16" t="s">
        <v>255</v>
      </c>
      <c r="H3936" s="16" t="s">
        <v>305</v>
      </c>
      <c r="I3936" s="16" t="s">
        <v>566</v>
      </c>
    </row>
    <row r="3937" ht="242.25" customHeight="1">
      <c r="B3937" s="32" t="str">
        <f>IMAGE("https://gymvisual.com/4625-catalog_default/wipers-straight-leg.jpg",4,500,500)</f>
        <v/>
      </c>
      <c r="C3937" s="30">
        <v>3936.0</v>
      </c>
      <c r="D3937" s="16" t="s">
        <v>4898</v>
      </c>
      <c r="E3937" s="16" t="s">
        <v>184</v>
      </c>
      <c r="F3937" s="16" t="s">
        <v>254</v>
      </c>
      <c r="G3937" s="16" t="s">
        <v>255</v>
      </c>
      <c r="H3937" s="16" t="s">
        <v>257</v>
      </c>
      <c r="I3937" s="16" t="s">
        <v>220</v>
      </c>
    </row>
    <row r="3938" ht="242.25" customHeight="1">
      <c r="B3938" s="32" t="str">
        <f>IMAGE("https://gymvisual.com/20017-catalog_default/wrist-abduction-articulations.jpg",4,500,500)</f>
        <v/>
      </c>
      <c r="C3938" s="30">
        <v>3937.0</v>
      </c>
      <c r="D3938" s="16" t="s">
        <v>4899</v>
      </c>
      <c r="E3938" s="16" t="s">
        <v>184</v>
      </c>
      <c r="F3938" s="16" t="s">
        <v>214</v>
      </c>
      <c r="G3938" s="16" t="s">
        <v>255</v>
      </c>
      <c r="H3938" s="16" t="s">
        <v>220</v>
      </c>
      <c r="I3938" s="16" t="s">
        <v>220</v>
      </c>
    </row>
    <row r="3939" ht="242.25" customHeight="1">
      <c r="B3939" s="32" t="str">
        <f>IMAGE("https://gymvisual.com/6280-catalog_default/wrist-circles.jpg",4,500,500)</f>
        <v/>
      </c>
      <c r="C3939" s="30">
        <v>3938.0</v>
      </c>
      <c r="D3939" s="16" t="s">
        <v>4900</v>
      </c>
      <c r="E3939" s="16" t="s">
        <v>184</v>
      </c>
      <c r="F3939" s="16" t="s">
        <v>214</v>
      </c>
      <c r="G3939" s="16" t="s">
        <v>255</v>
      </c>
      <c r="H3939" s="16" t="s">
        <v>3705</v>
      </c>
      <c r="I3939" s="16" t="s">
        <v>220</v>
      </c>
    </row>
    <row r="3940" ht="242.25" customHeight="1">
      <c r="B3940" s="32" t="str">
        <f>IMAGE("https://gymvisual.com/18858-catalog_default/wrist-circles-female.jpg",4,500,500)</f>
        <v/>
      </c>
      <c r="C3940" s="30">
        <v>3939.0</v>
      </c>
      <c r="D3940" s="16" t="s">
        <v>4901</v>
      </c>
      <c r="E3940" s="16" t="s">
        <v>184</v>
      </c>
      <c r="F3940" s="16" t="s">
        <v>214</v>
      </c>
      <c r="G3940" s="16" t="s">
        <v>255</v>
      </c>
      <c r="H3940" s="16" t="s">
        <v>3705</v>
      </c>
      <c r="I3940" s="16" t="s">
        <v>220</v>
      </c>
    </row>
    <row r="3941" ht="242.25" customHeight="1">
      <c r="B3941" s="32" t="str">
        <f>IMAGE("https://gymvisual.com/2567-catalog_default/wrist-roller.jpg",4,500,500)</f>
        <v/>
      </c>
      <c r="C3941" s="30">
        <v>3940.0</v>
      </c>
      <c r="D3941" s="16" t="s">
        <v>117</v>
      </c>
      <c r="E3941" s="16" t="s">
        <v>184</v>
      </c>
      <c r="F3941" s="16" t="s">
        <v>214</v>
      </c>
      <c r="G3941" s="16" t="s">
        <v>396</v>
      </c>
      <c r="H3941" s="16" t="s">
        <v>3705</v>
      </c>
      <c r="I3941" s="16" t="s">
        <v>220</v>
      </c>
    </row>
  </sheetData>
  <autoFilter ref="$B$1:$AA$3941">
    <sortState ref="B1:AA3941">
      <sortCondition ref="C1:C394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4.29"/>
    <col customWidth="1" min="2" max="2" width="17.86"/>
    <col customWidth="1" min="3" max="6" width="37.0"/>
    <col customWidth="1" min="7" max="8" width="61.0"/>
    <col customWidth="1" min="9" max="26" width="74.29"/>
  </cols>
  <sheetData>
    <row r="1" ht="20.25" customHeight="1">
      <c r="B1" s="32" t="s">
        <v>246</v>
      </c>
      <c r="C1" s="34" t="s">
        <v>247</v>
      </c>
      <c r="D1" s="34" t="s">
        <v>248</v>
      </c>
      <c r="E1" s="34" t="s">
        <v>249</v>
      </c>
      <c r="F1" s="34" t="s">
        <v>250</v>
      </c>
      <c r="G1" s="34" t="s">
        <v>251</v>
      </c>
      <c r="H1" s="34" t="s">
        <v>252</v>
      </c>
    </row>
    <row r="2" ht="20.25" customHeight="1">
      <c r="A2" s="32" t="str">
        <f>IMAGE("https://gymvisual.com/10999-catalog_default/3-4-sit-up-female.jpg",4,500,500)</f>
        <v/>
      </c>
      <c r="B2" s="30">
        <v>1.0</v>
      </c>
      <c r="C2" s="16" t="s">
        <v>253</v>
      </c>
      <c r="D2" s="16" t="s">
        <v>184</v>
      </c>
      <c r="E2" s="16" t="s">
        <v>254</v>
      </c>
      <c r="F2" s="16" t="s">
        <v>255</v>
      </c>
      <c r="G2" s="16" t="s">
        <v>256</v>
      </c>
      <c r="H2" s="16" t="s">
        <v>257</v>
      </c>
    </row>
    <row r="3" ht="20.25" customHeight="1">
      <c r="A3" s="32" t="str">
        <f>IMAGE("https://gymvisual.com/33-catalog_default/34-sit-up.jpg",4,500,500)</f>
        <v/>
      </c>
      <c r="B3" s="30">
        <v>2.0</v>
      </c>
      <c r="C3" s="16" t="s">
        <v>258</v>
      </c>
      <c r="D3" s="16" t="s">
        <v>184</v>
      </c>
      <c r="E3" s="16" t="s">
        <v>254</v>
      </c>
      <c r="F3" s="16" t="s">
        <v>255</v>
      </c>
      <c r="G3" s="16" t="s">
        <v>256</v>
      </c>
      <c r="H3" s="16" t="s">
        <v>257</v>
      </c>
    </row>
    <row r="4" ht="20.25" customHeight="1">
      <c r="A4" s="32" t="str">
        <f>IMAGE("https://gymvisual.com/4455-catalog_default/45-degree-bycicle-twisting-crunch.jpg",4,500,500)</f>
        <v/>
      </c>
      <c r="B4" s="30">
        <v>3.0</v>
      </c>
      <c r="C4" s="16" t="s">
        <v>259</v>
      </c>
      <c r="D4" s="16" t="s">
        <v>184</v>
      </c>
      <c r="E4" s="16" t="s">
        <v>254</v>
      </c>
      <c r="F4" s="16" t="s">
        <v>255</v>
      </c>
      <c r="G4" s="16" t="s">
        <v>260</v>
      </c>
      <c r="H4" s="16" t="s">
        <v>261</v>
      </c>
    </row>
    <row r="5" ht="20.25" customHeight="1">
      <c r="A5" s="32" t="str">
        <f>IMAGE("https://gymvisual.com/20513-catalog_default/45-degree-bycicle-twisting-crunch-male.jpg",4,500,500)</f>
        <v/>
      </c>
      <c r="B5" s="30">
        <v>4.0</v>
      </c>
      <c r="C5" s="16" t="s">
        <v>262</v>
      </c>
      <c r="D5" s="16" t="s">
        <v>184</v>
      </c>
      <c r="E5" s="16" t="s">
        <v>254</v>
      </c>
      <c r="F5" s="16" t="s">
        <v>255</v>
      </c>
      <c r="G5" s="16" t="s">
        <v>263</v>
      </c>
      <c r="H5" s="16" t="s">
        <v>264</v>
      </c>
    </row>
    <row r="6" ht="20.25" customHeight="1">
      <c r="A6" s="32" t="str">
        <f>IMAGE("https://gymvisual.com/19944-catalog_default/45-degree-hip-extension-glute-focused.jpg",4,500,500)</f>
        <v/>
      </c>
      <c r="B6" s="30">
        <v>5.0</v>
      </c>
      <c r="C6" s="16" t="s">
        <v>265</v>
      </c>
      <c r="D6" s="16" t="s">
        <v>184</v>
      </c>
      <c r="E6" s="16" t="s">
        <v>185</v>
      </c>
      <c r="F6" s="16" t="s">
        <v>255</v>
      </c>
      <c r="G6" s="16" t="s">
        <v>187</v>
      </c>
      <c r="H6" s="16" t="s">
        <v>188</v>
      </c>
    </row>
    <row r="7" ht="20.25" customHeight="1">
      <c r="A7" s="32" t="str">
        <f>IMAGE("https://gymvisual.com/2767-catalog_default/45-degree-hyperextension-arms-in-front-of-chest.jpg",4,500,500)</f>
        <v/>
      </c>
      <c r="B7" s="30">
        <v>6.0</v>
      </c>
      <c r="C7" s="16" t="s">
        <v>266</v>
      </c>
      <c r="D7" s="16" t="s">
        <v>184</v>
      </c>
      <c r="E7" s="16" t="s">
        <v>192</v>
      </c>
      <c r="F7" s="16" t="s">
        <v>255</v>
      </c>
      <c r="G7" s="16" t="s">
        <v>267</v>
      </c>
      <c r="H7" s="16" t="s">
        <v>188</v>
      </c>
    </row>
    <row r="8" ht="20.25" customHeight="1">
      <c r="A8" s="32" t="str">
        <f>IMAGE("https://gymvisual.com/6472-catalog_default/45-degree-hyperextension-arms-in-front-of-chest-side-pov.jpg",4,500,500)</f>
        <v/>
      </c>
      <c r="B8" s="30">
        <v>7.0</v>
      </c>
      <c r="C8" s="16" t="s">
        <v>268</v>
      </c>
      <c r="D8" s="16" t="s">
        <v>184</v>
      </c>
      <c r="E8" s="16" t="s">
        <v>185</v>
      </c>
      <c r="F8" s="16" t="s">
        <v>255</v>
      </c>
      <c r="G8" s="16" t="s">
        <v>187</v>
      </c>
      <c r="H8" s="16" t="s">
        <v>227</v>
      </c>
    </row>
    <row r="9" ht="20.25" customHeight="1">
      <c r="A9" s="32" t="str">
        <f>IMAGE("https://gymvisual.com/4410-catalog_default/45-degree-one-leg-hyperextension-arms-in-front-of-chest.jpg",4,500,500)</f>
        <v/>
      </c>
      <c r="B9" s="30">
        <v>8.0</v>
      </c>
      <c r="C9" s="16" t="s">
        <v>269</v>
      </c>
      <c r="D9" s="16" t="s">
        <v>184</v>
      </c>
      <c r="E9" s="16" t="s">
        <v>185</v>
      </c>
      <c r="F9" s="16" t="s">
        <v>255</v>
      </c>
      <c r="G9" s="16" t="s">
        <v>227</v>
      </c>
      <c r="H9" s="16" t="s">
        <v>187</v>
      </c>
    </row>
    <row r="10" ht="20.25" customHeight="1">
      <c r="A10" s="32" t="str">
        <f>IMAGE("https://gymvisual.com/36-catalog_default/45-degree-side-bend.jpg",4,500,500)</f>
        <v/>
      </c>
      <c r="B10" s="30">
        <v>9.0</v>
      </c>
      <c r="C10" s="16" t="s">
        <v>270</v>
      </c>
      <c r="D10" s="16" t="s">
        <v>184</v>
      </c>
      <c r="E10" s="16" t="s">
        <v>254</v>
      </c>
      <c r="F10" s="16" t="s">
        <v>255</v>
      </c>
      <c r="G10" s="16" t="s">
        <v>257</v>
      </c>
      <c r="H10" s="16" t="s">
        <v>271</v>
      </c>
    </row>
    <row r="11" ht="20.25" customHeight="1">
      <c r="A11" s="32" t="str">
        <f>IMAGE("https://gymvisual.com/4413-catalog_default/45-degree-twisting-hyperextension.jpg",4,500,500)</f>
        <v/>
      </c>
      <c r="B11" s="30">
        <v>10.0</v>
      </c>
      <c r="C11" s="16" t="s">
        <v>272</v>
      </c>
      <c r="D11" s="16" t="s">
        <v>184</v>
      </c>
      <c r="E11" s="16" t="s">
        <v>185</v>
      </c>
      <c r="F11" s="16" t="s">
        <v>255</v>
      </c>
      <c r="G11" s="16" t="s">
        <v>273</v>
      </c>
      <c r="H11" s="16" t="s">
        <v>187</v>
      </c>
    </row>
    <row r="12" ht="20.25" customHeight="1">
      <c r="A12" s="32" t="str">
        <f>IMAGE("https://gymvisual.com/19012-catalog_default/45-degrees-back-extension.jpg",4,500,500)</f>
        <v/>
      </c>
      <c r="B12" s="30">
        <v>11.0</v>
      </c>
      <c r="C12" s="16" t="s">
        <v>274</v>
      </c>
      <c r="D12" s="16" t="s">
        <v>184</v>
      </c>
      <c r="E12" s="16" t="s">
        <v>185</v>
      </c>
      <c r="F12" s="16" t="s">
        <v>255</v>
      </c>
      <c r="G12" s="16" t="s">
        <v>275</v>
      </c>
      <c r="H12" s="16" t="s">
        <v>220</v>
      </c>
    </row>
    <row r="13" ht="20.25" customHeight="1">
      <c r="A13" s="32" t="str">
        <f>IMAGE("https://gymvisual.com/10930-catalog_default/45-degrees-side-bend-female.jpg",4,500,500)</f>
        <v/>
      </c>
      <c r="B13" s="30">
        <v>12.0</v>
      </c>
      <c r="C13" s="16" t="s">
        <v>276</v>
      </c>
      <c r="D13" s="16" t="s">
        <v>184</v>
      </c>
      <c r="E13" s="16" t="s">
        <v>254</v>
      </c>
      <c r="F13" s="16" t="s">
        <v>255</v>
      </c>
      <c r="G13" s="16" t="s">
        <v>257</v>
      </c>
      <c r="H13" s="16" t="s">
        <v>271</v>
      </c>
    </row>
    <row r="14" ht="20.25" customHeight="1">
      <c r="A14" s="32" t="str">
        <f>IMAGE("https://gymvisual.com/25069-catalog_default/45-degrees-side-bend-male.jpg",4,500,500)</f>
        <v/>
      </c>
      <c r="B14" s="30">
        <v>13.0</v>
      </c>
      <c r="C14" s="16" t="s">
        <v>277</v>
      </c>
      <c r="D14" s="16" t="s">
        <v>184</v>
      </c>
      <c r="E14" s="16" t="s">
        <v>254</v>
      </c>
      <c r="F14" s="16" t="s">
        <v>255</v>
      </c>
      <c r="G14" s="16" t="s">
        <v>220</v>
      </c>
      <c r="H14" s="16" t="s">
        <v>220</v>
      </c>
    </row>
    <row r="15" ht="20.25" customHeight="1">
      <c r="A15" s="32" t="str">
        <f>IMAGE("https://gymvisual.com/22588-catalog_default/90-degree-heel-touch.jpg",4,500,500)</f>
        <v/>
      </c>
      <c r="B15" s="30">
        <v>14.0</v>
      </c>
      <c r="C15" s="16" t="s">
        <v>278</v>
      </c>
      <c r="D15" s="16" t="s">
        <v>184</v>
      </c>
      <c r="E15" s="16" t="s">
        <v>254</v>
      </c>
      <c r="F15" s="16" t="s">
        <v>255</v>
      </c>
      <c r="G15" s="16" t="s">
        <v>256</v>
      </c>
      <c r="H15" s="16" t="s">
        <v>257</v>
      </c>
    </row>
    <row r="16" ht="20.25" customHeight="1">
      <c r="A16" s="32" t="str">
        <f>IMAGE("https://gymvisual.com/9694-catalog_default/ab-roller-crunch.jpg",4,500,500)</f>
        <v/>
      </c>
      <c r="B16" s="30">
        <v>15.0</v>
      </c>
      <c r="C16" s="16" t="s">
        <v>279</v>
      </c>
      <c r="D16" s="16" t="s">
        <v>184</v>
      </c>
      <c r="E16" s="16" t="s">
        <v>254</v>
      </c>
      <c r="F16" s="16" t="s">
        <v>255</v>
      </c>
      <c r="G16" s="16" t="s">
        <v>256</v>
      </c>
      <c r="H16" s="16" t="s">
        <v>257</v>
      </c>
    </row>
    <row r="17" ht="20.25" customHeight="1">
      <c r="A17" s="32" t="str">
        <f>IMAGE("https://gymvisual.com/18768-catalog_default/abdominal-4-points.jpg",4,500,500)</f>
        <v/>
      </c>
      <c r="B17" s="30">
        <v>16.0</v>
      </c>
      <c r="C17" s="16" t="s">
        <v>280</v>
      </c>
      <c r="D17" s="16" t="s">
        <v>184</v>
      </c>
      <c r="E17" s="16" t="s">
        <v>254</v>
      </c>
      <c r="F17" s="16" t="s">
        <v>255</v>
      </c>
      <c r="G17" s="16" t="s">
        <v>220</v>
      </c>
      <c r="H17" s="16" t="s">
        <v>220</v>
      </c>
    </row>
    <row r="18" ht="20.25" customHeight="1">
      <c r="A18" s="32" t="str">
        <f>IMAGE("https://gymvisual.com/8815-catalog_default/air-bike.jpg",4,500,500)</f>
        <v/>
      </c>
      <c r="B18" s="30">
        <v>17.0</v>
      </c>
      <c r="C18" s="16" t="s">
        <v>281</v>
      </c>
      <c r="D18" s="16" t="s">
        <v>184</v>
      </c>
      <c r="E18" s="16" t="s">
        <v>254</v>
      </c>
      <c r="F18" s="16" t="s">
        <v>255</v>
      </c>
      <c r="G18" s="16" t="s">
        <v>257</v>
      </c>
      <c r="H18" s="16" t="s">
        <v>282</v>
      </c>
    </row>
    <row r="19" ht="20.25" customHeight="1">
      <c r="A19" s="32" t="str">
        <f>IMAGE("https://gymvisual.com/20664-catalog_default/air-bike-version-2-female.jpg",4,500,500)</f>
        <v/>
      </c>
      <c r="B19" s="30">
        <v>18.0</v>
      </c>
      <c r="C19" s="16" t="s">
        <v>283</v>
      </c>
      <c r="D19" s="16" t="s">
        <v>184</v>
      </c>
      <c r="E19" s="16" t="s">
        <v>254</v>
      </c>
      <c r="F19" s="16" t="s">
        <v>255</v>
      </c>
      <c r="G19" s="16" t="s">
        <v>257</v>
      </c>
      <c r="H19" s="16" t="s">
        <v>282</v>
      </c>
    </row>
    <row r="20" ht="20.25" customHeight="1">
      <c r="A20" s="32" t="str">
        <f>IMAGE("https://gymvisual.com/17785-catalog_default/air-squat-female.jpg",4,500,500)</f>
        <v/>
      </c>
      <c r="B20" s="30">
        <v>19.0</v>
      </c>
      <c r="C20" s="16" t="s">
        <v>284</v>
      </c>
      <c r="D20" s="16" t="s">
        <v>184</v>
      </c>
      <c r="E20" s="16" t="s">
        <v>285</v>
      </c>
      <c r="F20" s="16" t="s">
        <v>255</v>
      </c>
      <c r="G20" s="16" t="s">
        <v>220</v>
      </c>
      <c r="H20" s="16" t="s">
        <v>220</v>
      </c>
    </row>
    <row r="21" ht="20.25" customHeight="1">
      <c r="A21" s="32" t="str">
        <f>IMAGE("https://gymvisual.com/22185-catalog_default/air-squat-version-2.jpg",4,500,500)</f>
        <v/>
      </c>
      <c r="B21" s="30">
        <v>20.0</v>
      </c>
      <c r="C21" s="16" t="s">
        <v>286</v>
      </c>
      <c r="D21" s="16" t="s">
        <v>184</v>
      </c>
      <c r="E21" s="16" t="s">
        <v>285</v>
      </c>
      <c r="F21" s="16" t="s">
        <v>255</v>
      </c>
      <c r="G21" s="16" t="s">
        <v>220</v>
      </c>
      <c r="H21" s="16" t="s">
        <v>220</v>
      </c>
    </row>
    <row r="22" ht="20.25" customHeight="1">
      <c r="A22" s="32" t="str">
        <f>IMAGE("https://gymvisual.com/42-catalog_default/air-twisting-crunch.jpg",4,500,500)</f>
        <v/>
      </c>
      <c r="B22" s="30">
        <v>21.0</v>
      </c>
      <c r="C22" s="16" t="s">
        <v>287</v>
      </c>
      <c r="D22" s="16" t="s">
        <v>184</v>
      </c>
      <c r="E22" s="16" t="s">
        <v>254</v>
      </c>
      <c r="F22" s="16" t="s">
        <v>255</v>
      </c>
      <c r="G22" s="16" t="s">
        <v>257</v>
      </c>
      <c r="H22" s="16" t="s">
        <v>282</v>
      </c>
    </row>
    <row r="23" ht="20.25" customHeight="1">
      <c r="A23" s="32" t="str">
        <f>IMAGE("https://gymvisual.com/20515-catalog_default/air-twisting-crunch-male.jpg",4,500,500)</f>
        <v/>
      </c>
      <c r="B23" s="30">
        <v>22.0</v>
      </c>
      <c r="C23" s="16" t="s">
        <v>288</v>
      </c>
      <c r="D23" s="16" t="s">
        <v>184</v>
      </c>
      <c r="E23" s="16" t="s">
        <v>254</v>
      </c>
      <c r="F23" s="16" t="s">
        <v>255</v>
      </c>
      <c r="G23" s="16" t="s">
        <v>263</v>
      </c>
      <c r="H23" s="16" t="s">
        <v>289</v>
      </c>
    </row>
    <row r="24" ht="20.25" customHeight="1">
      <c r="A24" s="32" t="str">
        <f>IMAGE("https://gymvisual.com/45-catalog_default/alternate-biceps-curl-with-band.jpg",4,500,500)</f>
        <v/>
      </c>
      <c r="B24" s="30">
        <v>23.0</v>
      </c>
      <c r="C24" s="16" t="s">
        <v>290</v>
      </c>
      <c r="D24" s="16" t="s">
        <v>184</v>
      </c>
      <c r="E24" s="16" t="s">
        <v>219</v>
      </c>
      <c r="F24" s="16" t="s">
        <v>291</v>
      </c>
      <c r="G24" s="16" t="s">
        <v>241</v>
      </c>
      <c r="H24" s="16" t="s">
        <v>292</v>
      </c>
    </row>
    <row r="25" ht="20.25" customHeight="1">
      <c r="A25" s="32" t="str">
        <f>IMAGE("https://gymvisual.com/13974-catalog_default/alternate-heel-touch-side-kick-squat.jpg",4,500,500)</f>
        <v/>
      </c>
      <c r="B25" s="30">
        <v>24.0</v>
      </c>
      <c r="C25" s="16" t="s">
        <v>293</v>
      </c>
      <c r="D25" s="16" t="s">
        <v>184</v>
      </c>
      <c r="E25" s="16" t="s">
        <v>294</v>
      </c>
      <c r="F25" s="16" t="s">
        <v>255</v>
      </c>
      <c r="G25" s="16" t="s">
        <v>295</v>
      </c>
      <c r="H25" s="16" t="s">
        <v>296</v>
      </c>
    </row>
    <row r="26" ht="20.25" customHeight="1">
      <c r="A26" s="32" t="str">
        <f>IMAGE("https://gymvisual.com/14344-catalog_default/alternate-heel-touchers.jpg",4,500,500)</f>
        <v/>
      </c>
      <c r="B26" s="30">
        <v>25.0</v>
      </c>
      <c r="C26" s="16" t="s">
        <v>297</v>
      </c>
      <c r="D26" s="16" t="s">
        <v>184</v>
      </c>
      <c r="E26" s="16" t="s">
        <v>254</v>
      </c>
      <c r="F26" s="16" t="s">
        <v>255</v>
      </c>
      <c r="G26" s="16" t="s">
        <v>257</v>
      </c>
      <c r="H26" s="16" t="s">
        <v>220</v>
      </c>
    </row>
    <row r="27" ht="20.25" customHeight="1">
      <c r="A27" s="32" t="str">
        <f>IMAGE("https://gymvisual.com/17697-catalog_default/alternate-heel-touchers-female.jpg",4,500,500)</f>
        <v/>
      </c>
      <c r="B27" s="30">
        <v>26.0</v>
      </c>
      <c r="C27" s="16" t="s">
        <v>298</v>
      </c>
      <c r="D27" s="16" t="s">
        <v>184</v>
      </c>
      <c r="E27" s="16" t="s">
        <v>254</v>
      </c>
      <c r="F27" s="16" t="s">
        <v>255</v>
      </c>
      <c r="G27" s="16" t="s">
        <v>257</v>
      </c>
      <c r="H27" s="16" t="s">
        <v>220</v>
      </c>
    </row>
    <row r="28" ht="20.25" customHeight="1">
      <c r="A28" s="32" t="str">
        <f>IMAGE("https://gymvisual.com/51-catalog_default/alternate-lateral-pulldown.jpg",4,500,500)</f>
        <v/>
      </c>
      <c r="B28" s="30">
        <v>27.0</v>
      </c>
      <c r="C28" s="16" t="s">
        <v>299</v>
      </c>
      <c r="D28" s="16" t="s">
        <v>184</v>
      </c>
      <c r="E28" s="16" t="s">
        <v>192</v>
      </c>
      <c r="F28" s="16" t="s">
        <v>215</v>
      </c>
      <c r="G28" s="16" t="s">
        <v>300</v>
      </c>
      <c r="H28" s="16" t="s">
        <v>301</v>
      </c>
    </row>
    <row r="29" ht="20.25" customHeight="1">
      <c r="A29" s="32" t="str">
        <f>IMAGE("https://gymvisual.com/6962-catalog_default/alternate-leg-raise.jpg",4,500,500)</f>
        <v/>
      </c>
      <c r="B29" s="30">
        <v>28.0</v>
      </c>
      <c r="C29" s="16" t="s">
        <v>302</v>
      </c>
      <c r="D29" s="16" t="s">
        <v>184</v>
      </c>
      <c r="E29" s="16" t="s">
        <v>185</v>
      </c>
      <c r="F29" s="16" t="s">
        <v>255</v>
      </c>
      <c r="G29" s="16" t="s">
        <v>271</v>
      </c>
      <c r="H29" s="16" t="s">
        <v>303</v>
      </c>
    </row>
    <row r="30" ht="20.25" customHeight="1">
      <c r="A30" s="32" t="str">
        <f>IMAGE("https://gymvisual.com/23673-catalog_default/alternate-leg-raise-male.jpg",4,500,500)</f>
        <v/>
      </c>
      <c r="B30" s="30">
        <v>29.0</v>
      </c>
      <c r="C30" s="16" t="s">
        <v>304</v>
      </c>
      <c r="D30" s="16" t="s">
        <v>184</v>
      </c>
      <c r="E30" s="16" t="s">
        <v>185</v>
      </c>
      <c r="F30" s="16" t="s">
        <v>255</v>
      </c>
      <c r="G30" s="16" t="s">
        <v>305</v>
      </c>
      <c r="H30" s="16" t="s">
        <v>289</v>
      </c>
    </row>
    <row r="31" ht="20.25" customHeight="1">
      <c r="A31" s="32" t="str">
        <f>IMAGE("https://gymvisual.com/22732-catalog_default/alternate-leg-raise-with-head-up.jpg",4,500,500)</f>
        <v/>
      </c>
      <c r="B31" s="30">
        <v>30.0</v>
      </c>
      <c r="C31" s="16" t="s">
        <v>306</v>
      </c>
      <c r="D31" s="16" t="s">
        <v>184</v>
      </c>
      <c r="E31" s="16" t="s">
        <v>254</v>
      </c>
      <c r="F31" s="16" t="s">
        <v>255</v>
      </c>
      <c r="G31" s="16" t="s">
        <v>305</v>
      </c>
      <c r="H31" s="16" t="s">
        <v>289</v>
      </c>
    </row>
    <row r="32" ht="20.25" customHeight="1">
      <c r="A32" s="32" t="str">
        <f>IMAGE("https://gymvisual.com/54-catalog_default/alternate-lying-floor-leg-raise.jpg",4,500,500)</f>
        <v/>
      </c>
      <c r="B32" s="30">
        <v>31.0</v>
      </c>
      <c r="C32" s="16" t="s">
        <v>307</v>
      </c>
      <c r="D32" s="16" t="s">
        <v>184</v>
      </c>
      <c r="E32" s="16" t="s">
        <v>254</v>
      </c>
      <c r="F32" s="16" t="s">
        <v>255</v>
      </c>
      <c r="G32" s="16" t="s">
        <v>256</v>
      </c>
      <c r="H32" s="16" t="s">
        <v>308</v>
      </c>
    </row>
    <row r="33" ht="20.25" customHeight="1">
      <c r="A33" s="32" t="str">
        <f>IMAGE("https://gymvisual.com/14244-catalog_default/alternate-lying-floor-leg-raise-male.jpg",4,500,500)</f>
        <v/>
      </c>
      <c r="B33" s="30">
        <v>32.0</v>
      </c>
      <c r="C33" s="16" t="s">
        <v>309</v>
      </c>
      <c r="D33" s="16" t="s">
        <v>184</v>
      </c>
      <c r="E33" s="16" t="s">
        <v>310</v>
      </c>
      <c r="F33" s="16" t="s">
        <v>255</v>
      </c>
      <c r="G33" s="16" t="s">
        <v>305</v>
      </c>
      <c r="H33" s="16" t="s">
        <v>311</v>
      </c>
    </row>
    <row r="34" ht="20.25" customHeight="1">
      <c r="A34" s="32" t="str">
        <f>IMAGE("https://gymvisual.com/18873-catalog_default/alternate-oblique-crunch.jpg",4,500,500)</f>
        <v/>
      </c>
      <c r="B34" s="30">
        <v>33.0</v>
      </c>
      <c r="C34" s="16" t="s">
        <v>312</v>
      </c>
      <c r="D34" s="16" t="s">
        <v>184</v>
      </c>
      <c r="E34" s="16" t="s">
        <v>254</v>
      </c>
      <c r="F34" s="16" t="s">
        <v>255</v>
      </c>
      <c r="G34" s="16" t="s">
        <v>257</v>
      </c>
      <c r="H34" s="16" t="s">
        <v>256</v>
      </c>
    </row>
    <row r="35" ht="20.25" customHeight="1">
      <c r="A35" s="32" t="str">
        <f>IMAGE("https://gymvisual.com/13976-catalog_default/alternate-sprinter-lunge.jpg",4,500,500)</f>
        <v/>
      </c>
      <c r="B35" s="30">
        <v>34.0</v>
      </c>
      <c r="C35" s="16" t="s">
        <v>313</v>
      </c>
      <c r="D35" s="16" t="s">
        <v>184</v>
      </c>
      <c r="E35" s="16" t="s">
        <v>294</v>
      </c>
      <c r="F35" s="16" t="s">
        <v>255</v>
      </c>
      <c r="G35" s="16" t="s">
        <v>189</v>
      </c>
      <c r="H35" s="16" t="s">
        <v>314</v>
      </c>
    </row>
    <row r="36" ht="20.25" customHeight="1">
      <c r="A36" s="32" t="str">
        <f>IMAGE("https://gymvisual.com/4458-catalog_default/alternate-straight-leg-raise-on-bosu-ball.jpg",4,500,500)</f>
        <v/>
      </c>
      <c r="B36" s="30">
        <v>35.0</v>
      </c>
      <c r="C36" s="16" t="s">
        <v>315</v>
      </c>
      <c r="D36" s="16" t="s">
        <v>184</v>
      </c>
      <c r="E36" s="16" t="s">
        <v>254</v>
      </c>
      <c r="F36" s="16" t="s">
        <v>316</v>
      </c>
      <c r="G36" s="16" t="s">
        <v>305</v>
      </c>
      <c r="H36" s="16" t="s">
        <v>317</v>
      </c>
    </row>
    <row r="37" ht="20.25" customHeight="1">
      <c r="A37" s="32" t="str">
        <f>IMAGE("https://gymvisual.com/23907-catalog_default/alternate-toe-tap-leg-lift.jpg",4,500,500)</f>
        <v/>
      </c>
      <c r="B37" s="30">
        <v>36.0</v>
      </c>
      <c r="C37" s="16" t="s">
        <v>318</v>
      </c>
      <c r="D37" s="16" t="s">
        <v>184</v>
      </c>
      <c r="E37" s="16" t="s">
        <v>185</v>
      </c>
      <c r="F37" s="16" t="s">
        <v>255</v>
      </c>
      <c r="G37" s="16" t="s">
        <v>305</v>
      </c>
      <c r="H37" s="16" t="s">
        <v>319</v>
      </c>
    </row>
    <row r="38" ht="20.25" customHeight="1">
      <c r="A38" s="32" t="str">
        <f>IMAGE("https://gymvisual.com/23607-catalog_default/alternating-hamstring-curl-with-punche.jpg",4,500,500)</f>
        <v/>
      </c>
      <c r="B38" s="30">
        <v>37.0</v>
      </c>
      <c r="C38" s="16" t="s">
        <v>320</v>
      </c>
      <c r="D38" s="16" t="s">
        <v>184</v>
      </c>
      <c r="E38" s="16" t="s">
        <v>321</v>
      </c>
      <c r="F38" s="16" t="s">
        <v>255</v>
      </c>
      <c r="G38" s="16" t="s">
        <v>220</v>
      </c>
      <c r="H38" s="16" t="s">
        <v>220</v>
      </c>
    </row>
    <row r="39" ht="20.25" customHeight="1">
      <c r="A39" s="32" t="str">
        <f>IMAGE("https://gymvisual.com/23605-catalog_default/alternating-step-out.jpg",4,500,500)</f>
        <v/>
      </c>
      <c r="B39" s="30">
        <v>38.0</v>
      </c>
      <c r="C39" s="16" t="s">
        <v>322</v>
      </c>
      <c r="D39" s="16" t="s">
        <v>184</v>
      </c>
      <c r="E39" s="16" t="s">
        <v>321</v>
      </c>
      <c r="F39" s="16" t="s">
        <v>255</v>
      </c>
      <c r="G39" s="16" t="s">
        <v>220</v>
      </c>
      <c r="H39" s="16" t="s">
        <v>220</v>
      </c>
    </row>
    <row r="40" ht="20.25" customHeight="1">
      <c r="A40" s="32" t="str">
        <f>IMAGE("https://gymvisual.com/22187-catalog_default/alternating-superman.jpg",4,500,500)</f>
        <v/>
      </c>
      <c r="B40" s="30">
        <v>39.0</v>
      </c>
      <c r="C40" s="16" t="s">
        <v>323</v>
      </c>
      <c r="D40" s="16" t="s">
        <v>184</v>
      </c>
      <c r="E40" s="16" t="s">
        <v>185</v>
      </c>
      <c r="F40" s="16" t="s">
        <v>255</v>
      </c>
      <c r="G40" s="16" t="s">
        <v>220</v>
      </c>
      <c r="H40" s="16" t="s">
        <v>220</v>
      </c>
    </row>
    <row r="41" ht="20.25" customHeight="1">
      <c r="A41" s="32" t="str">
        <f>IMAGE("https://gymvisual.com/22789-catalog_default/alternating-superman.jpg",4,500,500)</f>
        <v/>
      </c>
      <c r="B41" s="30">
        <v>40.0</v>
      </c>
      <c r="C41" s="16" t="s">
        <v>323</v>
      </c>
      <c r="D41" s="16" t="s">
        <v>184</v>
      </c>
      <c r="E41" s="16" t="s">
        <v>185</v>
      </c>
      <c r="F41" s="16" t="s">
        <v>255</v>
      </c>
      <c r="G41" s="16" t="s">
        <v>267</v>
      </c>
      <c r="H41" s="16" t="s">
        <v>188</v>
      </c>
    </row>
    <row r="42" ht="20.25" customHeight="1">
      <c r="A42" s="32" t="str">
        <f>IMAGE("https://gymvisual.com/6063-catalog_default/ankle-circles.jpg",4,500,500)</f>
        <v/>
      </c>
      <c r="B42" s="30">
        <v>41.0</v>
      </c>
      <c r="C42" s="16" t="s">
        <v>324</v>
      </c>
      <c r="D42" s="16" t="s">
        <v>184</v>
      </c>
      <c r="E42" s="16" t="s">
        <v>325</v>
      </c>
      <c r="F42" s="16" t="s">
        <v>255</v>
      </c>
      <c r="G42" s="16" t="s">
        <v>326</v>
      </c>
      <c r="H42" s="16" t="s">
        <v>220</v>
      </c>
    </row>
    <row r="43" ht="20.25" customHeight="1">
      <c r="A43" s="32" t="str">
        <f>IMAGE("https://gymvisual.com/22105-catalog_default/ankle-circles-female.jpg",4,500,500)</f>
        <v/>
      </c>
      <c r="B43" s="30">
        <v>42.0</v>
      </c>
      <c r="C43" s="16" t="s">
        <v>327</v>
      </c>
      <c r="D43" s="16" t="s">
        <v>184</v>
      </c>
      <c r="E43" s="16" t="s">
        <v>325</v>
      </c>
      <c r="F43" s="16" t="s">
        <v>255</v>
      </c>
      <c r="G43" s="16" t="s">
        <v>326</v>
      </c>
      <c r="H43" s="16" t="s">
        <v>220</v>
      </c>
    </row>
    <row r="44" ht="20.25" customHeight="1">
      <c r="A44" s="32" t="str">
        <f>IMAGE("https://gymvisual.com/13523-catalog_default/archer-pull-up.jpg",4,500,500)</f>
        <v/>
      </c>
      <c r="B44" s="30">
        <v>43.0</v>
      </c>
      <c r="C44" s="16" t="s">
        <v>328</v>
      </c>
      <c r="D44" s="16" t="s">
        <v>184</v>
      </c>
      <c r="E44" s="16" t="s">
        <v>192</v>
      </c>
      <c r="F44" s="16" t="s">
        <v>255</v>
      </c>
      <c r="G44" s="16" t="s">
        <v>329</v>
      </c>
      <c r="H44" s="16" t="s">
        <v>330</v>
      </c>
    </row>
    <row r="45" ht="20.25" customHeight="1">
      <c r="A45" s="32" t="str">
        <f>IMAGE("https://gymvisual.com/13525-catalog_default/archer-push-up.jpg",4,500,500)</f>
        <v/>
      </c>
      <c r="B45" s="30">
        <v>44.0</v>
      </c>
      <c r="C45" s="16" t="s">
        <v>331</v>
      </c>
      <c r="D45" s="16" t="s">
        <v>184</v>
      </c>
      <c r="E45" s="16" t="s">
        <v>234</v>
      </c>
      <c r="F45" s="16" t="s">
        <v>255</v>
      </c>
      <c r="G45" s="16" t="s">
        <v>235</v>
      </c>
      <c r="H45" s="16" t="s">
        <v>243</v>
      </c>
    </row>
    <row r="46" ht="20.25" customHeight="1">
      <c r="A46" s="32" t="str">
        <f>IMAGE("https://gymvisual.com/23569-catalog_default/arm-circles.jpg",4,500,500)</f>
        <v/>
      </c>
      <c r="B46" s="30">
        <v>45.0</v>
      </c>
      <c r="C46" s="16" t="s">
        <v>332</v>
      </c>
      <c r="D46" s="16" t="s">
        <v>184</v>
      </c>
      <c r="E46" s="16" t="s">
        <v>228</v>
      </c>
      <c r="F46" s="16" t="s">
        <v>255</v>
      </c>
      <c r="G46" s="16" t="s">
        <v>333</v>
      </c>
      <c r="H46" s="16" t="s">
        <v>334</v>
      </c>
    </row>
    <row r="47" ht="20.25" customHeight="1">
      <c r="A47" s="32" t="str">
        <f>IMAGE("https://gymvisual.com/23645-catalog_default/arm-crossover-female.jpg",4,500,500)</f>
        <v/>
      </c>
      <c r="B47" s="30">
        <v>46.0</v>
      </c>
      <c r="C47" s="16" t="s">
        <v>335</v>
      </c>
      <c r="D47" s="16" t="s">
        <v>184</v>
      </c>
      <c r="E47" s="16" t="s">
        <v>234</v>
      </c>
      <c r="F47" s="16" t="s">
        <v>255</v>
      </c>
      <c r="G47" s="16" t="s">
        <v>235</v>
      </c>
      <c r="H47" s="16" t="s">
        <v>336</v>
      </c>
    </row>
    <row r="48" ht="20.25" customHeight="1">
      <c r="A48" s="32" t="str">
        <f>IMAGE("https://gymvisual.com/23939-catalog_default/arm-crossover-male.jpg",4,500,500)</f>
        <v/>
      </c>
      <c r="B48" s="30">
        <v>47.0</v>
      </c>
      <c r="C48" s="16" t="s">
        <v>337</v>
      </c>
      <c r="D48" s="16" t="s">
        <v>184</v>
      </c>
      <c r="E48" s="16" t="s">
        <v>234</v>
      </c>
      <c r="F48" s="16" t="s">
        <v>255</v>
      </c>
      <c r="G48" s="16" t="s">
        <v>235</v>
      </c>
      <c r="H48" s="16" t="s">
        <v>336</v>
      </c>
    </row>
    <row r="49" ht="20.25" customHeight="1">
      <c r="A49" s="32" t="str">
        <f>IMAGE("https://gymvisual.com/10217-catalog_default/arm-slingers-hanging-bent-knee-legs.jpg",4,500,500)</f>
        <v/>
      </c>
      <c r="B49" s="30">
        <v>48.0</v>
      </c>
      <c r="C49" s="16" t="s">
        <v>338</v>
      </c>
      <c r="D49" s="16" t="s">
        <v>184</v>
      </c>
      <c r="E49" s="16" t="s">
        <v>254</v>
      </c>
      <c r="F49" s="16" t="s">
        <v>255</v>
      </c>
      <c r="G49" s="16" t="s">
        <v>256</v>
      </c>
      <c r="H49" s="16" t="s">
        <v>339</v>
      </c>
    </row>
    <row r="50" ht="20.25" customHeight="1">
      <c r="A50" s="32" t="str">
        <f>IMAGE("https://gymvisual.com/10049-catalog_default/arm-slingers-hanging-straight-legs.jpg",4,500,500)</f>
        <v/>
      </c>
      <c r="B50" s="30">
        <v>49.0</v>
      </c>
      <c r="C50" s="16" t="s">
        <v>340</v>
      </c>
      <c r="D50" s="16" t="s">
        <v>184</v>
      </c>
      <c r="E50" s="16" t="s">
        <v>254</v>
      </c>
      <c r="F50" s="16" t="s">
        <v>255</v>
      </c>
      <c r="G50" s="16" t="s">
        <v>305</v>
      </c>
      <c r="H50" s="16" t="s">
        <v>341</v>
      </c>
    </row>
    <row r="51" ht="20.25" customHeight="1">
      <c r="A51" s="32" t="str">
        <f>IMAGE("https://gymvisual.com/22488-catalog_default/around-the-world-superman.jpg",4,500,500)</f>
        <v/>
      </c>
      <c r="B51" s="30">
        <v>50.0</v>
      </c>
      <c r="C51" s="16" t="s">
        <v>342</v>
      </c>
      <c r="D51" s="16" t="s">
        <v>184</v>
      </c>
      <c r="E51" s="16" t="s">
        <v>185</v>
      </c>
      <c r="F51" s="16" t="s">
        <v>255</v>
      </c>
      <c r="G51" s="16" t="s">
        <v>220</v>
      </c>
      <c r="H51" s="16" t="s">
        <v>220</v>
      </c>
    </row>
    <row r="52" ht="20.25" customHeight="1">
      <c r="A52" s="32" t="str">
        <f>IMAGE("https://gymvisual.com/20688-catalog_default/around-the-world-superman-hold.jpg",4,500,500)</f>
        <v/>
      </c>
      <c r="B52" s="30">
        <v>51.0</v>
      </c>
      <c r="C52" s="16" t="s">
        <v>343</v>
      </c>
      <c r="D52" s="16" t="s">
        <v>184</v>
      </c>
      <c r="E52" s="16" t="s">
        <v>185</v>
      </c>
      <c r="F52" s="16" t="s">
        <v>255</v>
      </c>
      <c r="G52" s="16" t="s">
        <v>267</v>
      </c>
      <c r="H52" s="16" t="s">
        <v>220</v>
      </c>
    </row>
    <row r="53" ht="20.25" customHeight="1">
      <c r="A53" s="32" t="str">
        <f>IMAGE("https://gymvisual.com/19505-catalog_default/assisted-bulgarian-split-squat.jpg",4,500,500)</f>
        <v/>
      </c>
      <c r="B53" s="30">
        <v>52.0</v>
      </c>
      <c r="C53" s="16" t="s">
        <v>344</v>
      </c>
      <c r="D53" s="16" t="s">
        <v>184</v>
      </c>
      <c r="E53" s="16" t="s">
        <v>285</v>
      </c>
      <c r="F53" s="16" t="s">
        <v>255</v>
      </c>
      <c r="G53" s="16" t="s">
        <v>220</v>
      </c>
      <c r="H53" s="16" t="s">
        <v>220</v>
      </c>
    </row>
    <row r="54" ht="20.25" customHeight="1">
      <c r="A54" s="32" t="str">
        <f>IMAGE("https://gymvisual.com/57-catalog_default/assisted-chest-dip-kneeling.jpg",4,500,500)</f>
        <v/>
      </c>
      <c r="B54" s="30">
        <v>53.0</v>
      </c>
      <c r="C54" s="16" t="s">
        <v>345</v>
      </c>
      <c r="D54" s="16" t="s">
        <v>184</v>
      </c>
      <c r="E54" s="16" t="s">
        <v>234</v>
      </c>
      <c r="F54" s="16" t="s">
        <v>346</v>
      </c>
      <c r="G54" s="16" t="s">
        <v>347</v>
      </c>
      <c r="H54" s="16" t="s">
        <v>348</v>
      </c>
    </row>
    <row r="55" ht="20.25" customHeight="1">
      <c r="A55" s="32" t="str">
        <f>IMAGE("https://gymvisual.com/11143-catalog_default/assisted-chest-dip-kneeling-female.jpg",4,500,500)</f>
        <v/>
      </c>
      <c r="B55" s="30">
        <v>54.0</v>
      </c>
      <c r="C55" s="16" t="s">
        <v>349</v>
      </c>
      <c r="D55" s="16" t="s">
        <v>184</v>
      </c>
      <c r="E55" s="16" t="s">
        <v>234</v>
      </c>
      <c r="F55" s="16" t="s">
        <v>346</v>
      </c>
      <c r="G55" s="16" t="s">
        <v>220</v>
      </c>
      <c r="H55" s="16" t="s">
        <v>220</v>
      </c>
    </row>
    <row r="56" ht="20.25" customHeight="1">
      <c r="A56" s="32" t="str">
        <f>IMAGE("https://gymvisual.com/12556-catalog_default/assisted-chin-tuck.jpg",4,500,500)</f>
        <v/>
      </c>
      <c r="B56" s="30">
        <v>55.0</v>
      </c>
      <c r="C56" s="16" t="s">
        <v>350</v>
      </c>
      <c r="D56" s="16" t="s">
        <v>184</v>
      </c>
      <c r="E56" s="16" t="s">
        <v>351</v>
      </c>
      <c r="F56" s="16" t="s">
        <v>352</v>
      </c>
      <c r="G56" s="16" t="s">
        <v>220</v>
      </c>
      <c r="H56" s="16" t="s">
        <v>220</v>
      </c>
    </row>
    <row r="57" ht="20.25" customHeight="1">
      <c r="A57" s="32" t="str">
        <f>IMAGE("https://gymvisual.com/12558-catalog_default/assisted-chin-tuck-female.jpg",4,500,500)</f>
        <v/>
      </c>
      <c r="B57" s="30">
        <v>56.0</v>
      </c>
      <c r="C57" s="16" t="s">
        <v>353</v>
      </c>
      <c r="D57" s="16" t="s">
        <v>184</v>
      </c>
      <c r="E57" s="16" t="s">
        <v>351</v>
      </c>
      <c r="F57" s="16" t="s">
        <v>255</v>
      </c>
      <c r="G57" s="16" t="s">
        <v>220</v>
      </c>
      <c r="H57" s="16" t="s">
        <v>220</v>
      </c>
    </row>
    <row r="58" ht="20.25" customHeight="1">
      <c r="A58" s="32" t="str">
        <f>IMAGE("https://gymvisual.com/22189-catalog_default/assisted-chin-up-low-bar-position.jpg",4,500,500)</f>
        <v/>
      </c>
      <c r="B58" s="30">
        <v>57.0</v>
      </c>
      <c r="C58" s="16" t="s">
        <v>354</v>
      </c>
      <c r="D58" s="16" t="s">
        <v>184</v>
      </c>
      <c r="E58" s="16" t="s">
        <v>192</v>
      </c>
      <c r="F58" s="16" t="s">
        <v>255</v>
      </c>
      <c r="G58" s="16" t="s">
        <v>220</v>
      </c>
      <c r="H58" s="16" t="s">
        <v>220</v>
      </c>
    </row>
    <row r="59" ht="20.25" customHeight="1">
      <c r="A59" s="32" t="str">
        <f>IMAGE("https://gymvisual.com/22494-catalog_default/assisted-chin-up-squat-position.jpg",4,500,500)</f>
        <v/>
      </c>
      <c r="B59" s="30">
        <v>58.0</v>
      </c>
      <c r="C59" s="16" t="s">
        <v>355</v>
      </c>
      <c r="D59" s="16" t="s">
        <v>184</v>
      </c>
      <c r="E59" s="16" t="s">
        <v>192</v>
      </c>
      <c r="F59" s="16" t="s">
        <v>255</v>
      </c>
      <c r="G59" s="16" t="s">
        <v>220</v>
      </c>
      <c r="H59" s="16" t="s">
        <v>220</v>
      </c>
    </row>
    <row r="60" ht="20.25" customHeight="1">
      <c r="A60" s="32" t="str">
        <f>IMAGE("https://gymvisual.com/11188-catalog_default/assisted-close-grip-underhand-chin-up-female.jpg",4,500,500)</f>
        <v/>
      </c>
      <c r="B60" s="30">
        <v>59.0</v>
      </c>
      <c r="C60" s="16" t="s">
        <v>356</v>
      </c>
      <c r="D60" s="16" t="s">
        <v>184</v>
      </c>
      <c r="E60" s="16" t="s">
        <v>192</v>
      </c>
      <c r="F60" s="16" t="s">
        <v>346</v>
      </c>
      <c r="G60" s="16" t="s">
        <v>329</v>
      </c>
      <c r="H60" s="16" t="s">
        <v>357</v>
      </c>
    </row>
    <row r="61" ht="20.25" customHeight="1">
      <c r="A61" s="32" t="str">
        <f>IMAGE("https://gymvisual.com/4593-catalog_default/assisted-close-grip-underhand-chin-up.jpg",4,500,500)</f>
        <v/>
      </c>
      <c r="B61" s="30">
        <v>60.0</v>
      </c>
      <c r="C61" s="16" t="s">
        <v>358</v>
      </c>
      <c r="D61" s="16" t="s">
        <v>184</v>
      </c>
      <c r="E61" s="16" t="s">
        <v>192</v>
      </c>
      <c r="F61" s="16" t="s">
        <v>346</v>
      </c>
      <c r="G61" s="16" t="s">
        <v>300</v>
      </c>
      <c r="H61" s="16" t="s">
        <v>359</v>
      </c>
    </row>
    <row r="62" ht="20.25" customHeight="1">
      <c r="A62" s="32" t="str">
        <f>IMAGE("https://gymvisual.com/20501-catalog_default/assisted-commando-pull-up.jpg",4,500,500)</f>
        <v/>
      </c>
      <c r="B62" s="30">
        <v>61.0</v>
      </c>
      <c r="C62" s="16" t="s">
        <v>360</v>
      </c>
      <c r="D62" s="16" t="s">
        <v>184</v>
      </c>
      <c r="E62" s="16" t="s">
        <v>361</v>
      </c>
      <c r="F62" s="16" t="s">
        <v>255</v>
      </c>
      <c r="G62" s="16" t="s">
        <v>362</v>
      </c>
      <c r="H62" s="16" t="s">
        <v>357</v>
      </c>
    </row>
    <row r="63" ht="20.25" customHeight="1">
      <c r="A63" s="32" t="str">
        <f>IMAGE("https://gymvisual.com/63-catalog_default/assisted-hanging-knee-raise.jpg",4,500,500)</f>
        <v/>
      </c>
      <c r="B63" s="30">
        <v>62.0</v>
      </c>
      <c r="C63" s="16" t="s">
        <v>363</v>
      </c>
      <c r="D63" s="16" t="s">
        <v>184</v>
      </c>
      <c r="E63" s="16" t="s">
        <v>254</v>
      </c>
      <c r="F63" s="16" t="s">
        <v>352</v>
      </c>
      <c r="G63" s="16" t="s">
        <v>256</v>
      </c>
      <c r="H63" s="16" t="s">
        <v>364</v>
      </c>
    </row>
    <row r="64" ht="20.25" customHeight="1">
      <c r="A64" s="32" t="str">
        <f>IMAGE("https://gymvisual.com/60-catalog_default/assisted-hanging-knee-raise-with-throw-down.jpg",4,500,500)</f>
        <v/>
      </c>
      <c r="B64" s="30">
        <v>63.0</v>
      </c>
      <c r="C64" s="16" t="s">
        <v>365</v>
      </c>
      <c r="D64" s="16" t="s">
        <v>184</v>
      </c>
      <c r="E64" s="16" t="s">
        <v>254</v>
      </c>
      <c r="F64" s="16" t="s">
        <v>352</v>
      </c>
      <c r="G64" s="16" t="s">
        <v>305</v>
      </c>
      <c r="H64" s="16" t="s">
        <v>366</v>
      </c>
    </row>
    <row r="65" ht="20.25" customHeight="1">
      <c r="A65" s="32" t="str">
        <f>IMAGE("https://gymvisual.com/13769-catalog_default/assisted-inverse-leg-curl.jpg",4,500,500)</f>
        <v/>
      </c>
      <c r="B65" s="30">
        <v>64.0</v>
      </c>
      <c r="C65" s="16" t="s">
        <v>367</v>
      </c>
      <c r="D65" s="16" t="s">
        <v>184</v>
      </c>
      <c r="E65" s="16" t="s">
        <v>285</v>
      </c>
      <c r="F65" s="16" t="s">
        <v>352</v>
      </c>
      <c r="G65" s="16" t="s">
        <v>188</v>
      </c>
      <c r="H65" s="16" t="s">
        <v>368</v>
      </c>
    </row>
    <row r="66" ht="20.25" customHeight="1">
      <c r="A66" s="32" t="str">
        <f>IMAGE("https://gymvisual.com/14171-catalog_default/assisted-lying-leg-raise-with-lateral-throw-down.jpg",4,500,500)</f>
        <v/>
      </c>
      <c r="B66" s="30">
        <v>65.0</v>
      </c>
      <c r="C66" s="16" t="s">
        <v>369</v>
      </c>
      <c r="D66" s="16" t="s">
        <v>184</v>
      </c>
      <c r="E66" s="16" t="s">
        <v>254</v>
      </c>
      <c r="F66" s="16" t="s">
        <v>352</v>
      </c>
      <c r="G66" s="16" t="s">
        <v>260</v>
      </c>
      <c r="H66" s="16" t="s">
        <v>366</v>
      </c>
    </row>
    <row r="67" ht="20.25" customHeight="1">
      <c r="A67" s="32" t="str">
        <f>IMAGE("https://gymvisual.com/69-catalog_default/assisted-lying-leg-raise-with-throw-down.jpg",4,500,500)</f>
        <v/>
      </c>
      <c r="B67" s="30">
        <v>66.0</v>
      </c>
      <c r="C67" s="16" t="s">
        <v>370</v>
      </c>
      <c r="D67" s="16" t="s">
        <v>184</v>
      </c>
      <c r="E67" s="16" t="s">
        <v>254</v>
      </c>
      <c r="F67" s="16" t="s">
        <v>352</v>
      </c>
      <c r="G67" s="16" t="s">
        <v>256</v>
      </c>
      <c r="H67" s="16" t="s">
        <v>371</v>
      </c>
    </row>
    <row r="68" ht="20.25" customHeight="1">
      <c r="A68" s="32" t="str">
        <f>IMAGE("https://gymvisual.com/72-catalog_default/assisted-motion-russian-twist.jpg",4,500,500)</f>
        <v/>
      </c>
      <c r="B68" s="30">
        <v>67.0</v>
      </c>
      <c r="C68" s="16" t="s">
        <v>372</v>
      </c>
      <c r="D68" s="16" t="s">
        <v>184</v>
      </c>
      <c r="E68" s="16" t="s">
        <v>254</v>
      </c>
      <c r="F68" s="16" t="s">
        <v>373</v>
      </c>
      <c r="G68" s="16" t="s">
        <v>257</v>
      </c>
      <c r="H68" s="16" t="s">
        <v>256</v>
      </c>
    </row>
    <row r="69" ht="20.25" customHeight="1">
      <c r="A69" s="32" t="str">
        <f>IMAGE("https://gymvisual.com/75-catalog_default/assisted-parallel-close-grip-pull-up.jpg",4,500,500)</f>
        <v/>
      </c>
      <c r="B69" s="30">
        <v>68.0</v>
      </c>
      <c r="C69" s="16" t="s">
        <v>374</v>
      </c>
      <c r="D69" s="16" t="s">
        <v>184</v>
      </c>
      <c r="E69" s="16" t="s">
        <v>192</v>
      </c>
      <c r="F69" s="16" t="s">
        <v>346</v>
      </c>
      <c r="G69" s="16" t="s">
        <v>300</v>
      </c>
      <c r="H69" s="16" t="s">
        <v>375</v>
      </c>
    </row>
    <row r="70" ht="20.25" customHeight="1">
      <c r="A70" s="32" t="str">
        <f>IMAGE("https://gymvisual.com/16536-catalog_default/assisted-pistol-squat-with-bed-sheet.jpg",4,500,500)</f>
        <v/>
      </c>
      <c r="B70" s="30">
        <v>69.0</v>
      </c>
      <c r="C70" s="16" t="s">
        <v>376</v>
      </c>
      <c r="D70" s="16" t="s">
        <v>184</v>
      </c>
      <c r="E70" s="16" t="s">
        <v>285</v>
      </c>
      <c r="F70" s="16" t="s">
        <v>255</v>
      </c>
      <c r="G70" s="16" t="s">
        <v>189</v>
      </c>
      <c r="H70" s="16" t="s">
        <v>190</v>
      </c>
    </row>
    <row r="71" ht="20.25" customHeight="1">
      <c r="A71" s="32" t="str">
        <f>IMAGE("https://gymvisual.com/78-catalog_default/assisted-prone-hamstring.jpg",4,500,500)</f>
        <v/>
      </c>
      <c r="B71" s="30">
        <v>70.0</v>
      </c>
      <c r="C71" s="16" t="s">
        <v>377</v>
      </c>
      <c r="D71" s="16" t="s">
        <v>184</v>
      </c>
      <c r="E71" s="16" t="s">
        <v>285</v>
      </c>
      <c r="F71" s="16" t="s">
        <v>352</v>
      </c>
      <c r="G71" s="16" t="s">
        <v>188</v>
      </c>
      <c r="H71" s="16" t="s">
        <v>220</v>
      </c>
    </row>
    <row r="72" ht="20.25" customHeight="1">
      <c r="A72" s="32" t="str">
        <f>IMAGE("https://gymvisual.com/11146-catalog_default/assisted-pull-up-female.jpg",4,500,500)</f>
        <v/>
      </c>
      <c r="B72" s="30">
        <v>71.0</v>
      </c>
      <c r="C72" s="16" t="s">
        <v>378</v>
      </c>
      <c r="D72" s="16" t="s">
        <v>184</v>
      </c>
      <c r="E72" s="16" t="s">
        <v>192</v>
      </c>
      <c r="F72" s="16" t="s">
        <v>346</v>
      </c>
      <c r="G72" s="16" t="s">
        <v>220</v>
      </c>
      <c r="H72" s="16" t="s">
        <v>220</v>
      </c>
    </row>
    <row r="73" ht="20.25" customHeight="1">
      <c r="A73" s="32" t="str">
        <f>IMAGE("https://gymvisual.com/81-catalog_default/assisted-pull-up.jpg",4,500,500)</f>
        <v/>
      </c>
      <c r="B73" s="30">
        <v>72.0</v>
      </c>
      <c r="C73" s="16" t="s">
        <v>379</v>
      </c>
      <c r="D73" s="16" t="s">
        <v>184</v>
      </c>
      <c r="E73" s="16" t="s">
        <v>192</v>
      </c>
      <c r="F73" s="16" t="s">
        <v>346</v>
      </c>
      <c r="G73" s="16" t="s">
        <v>300</v>
      </c>
      <c r="H73" s="16" t="s">
        <v>380</v>
      </c>
    </row>
    <row r="74" ht="20.25" customHeight="1">
      <c r="A74" s="32" t="str">
        <f>IMAGE("https://gymvisual.com/23502-catalog_default/assisted-single-leg-press.jpg",4,500,500)</f>
        <v/>
      </c>
      <c r="B74" s="30">
        <v>73.0</v>
      </c>
      <c r="C74" s="16" t="s">
        <v>381</v>
      </c>
      <c r="D74" s="16" t="s">
        <v>184</v>
      </c>
      <c r="E74" s="16" t="s">
        <v>285</v>
      </c>
      <c r="F74" s="16" t="s">
        <v>346</v>
      </c>
      <c r="G74" s="16" t="s">
        <v>347</v>
      </c>
      <c r="H74" s="16" t="s">
        <v>382</v>
      </c>
    </row>
    <row r="75" ht="20.25" customHeight="1">
      <c r="A75" s="32" t="str">
        <f>IMAGE("https://gymvisual.com/7562-catalog_default/assisted-sit-up.jpg",4,500,500)</f>
        <v/>
      </c>
      <c r="B75" s="30">
        <v>74.0</v>
      </c>
      <c r="C75" s="16" t="s">
        <v>383</v>
      </c>
      <c r="D75" s="16" t="s">
        <v>184</v>
      </c>
      <c r="E75" s="16" t="s">
        <v>254</v>
      </c>
      <c r="F75" s="16" t="s">
        <v>352</v>
      </c>
      <c r="G75" s="16" t="s">
        <v>256</v>
      </c>
      <c r="H75" s="16" t="s">
        <v>257</v>
      </c>
    </row>
    <row r="76" ht="20.25" customHeight="1">
      <c r="A76" s="32" t="str">
        <f>IMAGE("https://gymvisual.com/6438-catalog_default/assisted-standing-chin-up.jpg",4,500,500)</f>
        <v/>
      </c>
      <c r="B76" s="30">
        <v>75.0</v>
      </c>
      <c r="C76" s="16" t="s">
        <v>384</v>
      </c>
      <c r="D76" s="16" t="s">
        <v>184</v>
      </c>
      <c r="E76" s="16" t="s">
        <v>192</v>
      </c>
      <c r="F76" s="16" t="s">
        <v>346</v>
      </c>
      <c r="G76" s="16" t="s">
        <v>300</v>
      </c>
      <c r="H76" s="16" t="s">
        <v>385</v>
      </c>
    </row>
    <row r="77" ht="20.25" customHeight="1">
      <c r="A77" s="32" t="str">
        <f>IMAGE("https://gymvisual.com/6440-catalog_default/assisted-standing-pull-up.jpg",4,500,500)</f>
        <v/>
      </c>
      <c r="B77" s="30">
        <v>76.0</v>
      </c>
      <c r="C77" s="16" t="s">
        <v>386</v>
      </c>
      <c r="D77" s="16" t="s">
        <v>184</v>
      </c>
      <c r="E77" s="16" t="s">
        <v>192</v>
      </c>
      <c r="F77" s="16" t="s">
        <v>346</v>
      </c>
      <c r="G77" s="16" t="s">
        <v>300</v>
      </c>
      <c r="H77" s="16" t="s">
        <v>387</v>
      </c>
    </row>
    <row r="78" ht="20.25" customHeight="1">
      <c r="A78" s="32" t="str">
        <f>IMAGE("https://gymvisual.com/2926-catalog_default/assisted-standing-triceps-dip.jpg",4,500,500)</f>
        <v/>
      </c>
      <c r="B78" s="30">
        <v>77.0</v>
      </c>
      <c r="C78" s="16" t="s">
        <v>388</v>
      </c>
      <c r="D78" s="16" t="s">
        <v>184</v>
      </c>
      <c r="E78" s="16" t="s">
        <v>219</v>
      </c>
      <c r="F78" s="16" t="s">
        <v>346</v>
      </c>
      <c r="G78" s="16" t="s">
        <v>347</v>
      </c>
      <c r="H78" s="16" t="s">
        <v>389</v>
      </c>
    </row>
    <row r="79" ht="20.25" customHeight="1">
      <c r="A79" s="32" t="str">
        <f>IMAGE("https://gymvisual.com/84-catalog_default/assisted-standing-triceps-extension-with-towel.jpg",4,500,500)</f>
        <v/>
      </c>
      <c r="B79" s="30">
        <v>78.0</v>
      </c>
      <c r="C79" s="16" t="s">
        <v>390</v>
      </c>
      <c r="D79" s="16" t="s">
        <v>184</v>
      </c>
      <c r="E79" s="16" t="s">
        <v>219</v>
      </c>
      <c r="F79" s="16" t="s">
        <v>352</v>
      </c>
      <c r="G79" s="16" t="s">
        <v>223</v>
      </c>
      <c r="H79" s="16" t="s">
        <v>220</v>
      </c>
    </row>
    <row r="80" ht="20.25" customHeight="1">
      <c r="A80" s="32" t="str">
        <f>IMAGE("https://gymvisual.com/87-catalog_default/assisted-triceps-dip-kneeling.jpg",4,500,500)</f>
        <v/>
      </c>
      <c r="B80" s="30">
        <v>79.0</v>
      </c>
      <c r="C80" s="16" t="s">
        <v>391</v>
      </c>
      <c r="D80" s="16" t="s">
        <v>184</v>
      </c>
      <c r="E80" s="16" t="s">
        <v>219</v>
      </c>
      <c r="F80" s="16" t="s">
        <v>346</v>
      </c>
      <c r="G80" s="16" t="s">
        <v>223</v>
      </c>
      <c r="H80" s="16" t="s">
        <v>392</v>
      </c>
    </row>
    <row r="81" ht="20.25" customHeight="1">
      <c r="A81" s="32" t="str">
        <f>IMAGE("https://gymvisual.com/11279-catalog_default/assisted-triceps-dip-kneeling-female.jpg",4,500,500)</f>
        <v/>
      </c>
      <c r="B81" s="30">
        <v>80.0</v>
      </c>
      <c r="C81" s="16" t="s">
        <v>393</v>
      </c>
      <c r="D81" s="16" t="s">
        <v>184</v>
      </c>
      <c r="E81" s="16" t="s">
        <v>219</v>
      </c>
      <c r="F81" s="16" t="s">
        <v>346</v>
      </c>
      <c r="G81" s="16" t="s">
        <v>223</v>
      </c>
      <c r="H81" s="16" t="s">
        <v>394</v>
      </c>
    </row>
    <row r="82" ht="20.25" customHeight="1">
      <c r="A82" s="32" t="str">
        <f>IMAGE("https://gymvisual.com/4416-catalog_default/assisted-weighted-push-up.jpg",4,500,500)</f>
        <v/>
      </c>
      <c r="B82" s="30">
        <v>81.0</v>
      </c>
      <c r="C82" s="16" t="s">
        <v>395</v>
      </c>
      <c r="D82" s="16" t="s">
        <v>184</v>
      </c>
      <c r="E82" s="16" t="s">
        <v>234</v>
      </c>
      <c r="F82" s="16" t="s">
        <v>396</v>
      </c>
      <c r="G82" s="16" t="s">
        <v>347</v>
      </c>
      <c r="H82" s="16" t="s">
        <v>382</v>
      </c>
    </row>
    <row r="83" ht="20.25" customHeight="1">
      <c r="A83" s="32" t="str">
        <f>IMAGE("https://gymvisual.com/10242-catalog_default/assisted-wide-grip-chest-dip-kneeling.jpg",4,500,500)</f>
        <v/>
      </c>
      <c r="B83" s="30">
        <v>82.0</v>
      </c>
      <c r="C83" s="16" t="s">
        <v>397</v>
      </c>
      <c r="D83" s="16" t="s">
        <v>184</v>
      </c>
      <c r="E83" s="16" t="s">
        <v>234</v>
      </c>
      <c r="F83" s="16" t="s">
        <v>346</v>
      </c>
      <c r="G83" s="16" t="s">
        <v>235</v>
      </c>
      <c r="H83" s="16" t="s">
        <v>243</v>
      </c>
    </row>
    <row r="84" ht="20.25" customHeight="1">
      <c r="A84" s="32" t="str">
        <f>IMAGE("https://gymvisual.com/6005-catalog_default/back-extension-on-exercise-ball.jpg",4,500,500)</f>
        <v/>
      </c>
      <c r="B84" s="30">
        <v>83.0</v>
      </c>
      <c r="C84" s="16" t="s">
        <v>398</v>
      </c>
      <c r="D84" s="16" t="s">
        <v>184</v>
      </c>
      <c r="E84" s="16" t="s">
        <v>192</v>
      </c>
      <c r="F84" s="16" t="s">
        <v>399</v>
      </c>
      <c r="G84" s="16" t="s">
        <v>275</v>
      </c>
      <c r="H84" s="16" t="s">
        <v>220</v>
      </c>
    </row>
    <row r="85" ht="20.25" customHeight="1">
      <c r="A85" s="32" t="str">
        <f>IMAGE("https://gymvisual.com/11273-catalog_default/back-forward-leg-swings-female.jpg",4,500,500)</f>
        <v/>
      </c>
      <c r="B85" s="30">
        <v>84.0</v>
      </c>
      <c r="C85" s="16" t="s">
        <v>400</v>
      </c>
      <c r="D85" s="16" t="s">
        <v>184</v>
      </c>
      <c r="E85" s="16" t="s">
        <v>185</v>
      </c>
      <c r="F85" s="16" t="s">
        <v>255</v>
      </c>
      <c r="G85" s="16" t="s">
        <v>401</v>
      </c>
      <c r="H85" s="16" t="s">
        <v>188</v>
      </c>
    </row>
    <row r="86" ht="20.25" customHeight="1">
      <c r="A86" s="32" t="str">
        <f>IMAGE("https://gymvisual.com/14020-catalog_default/back-forward-leg-swings-male.jpg",4,500,500)</f>
        <v/>
      </c>
      <c r="B86" s="30">
        <v>85.0</v>
      </c>
      <c r="C86" s="16" t="s">
        <v>402</v>
      </c>
      <c r="D86" s="16" t="s">
        <v>184</v>
      </c>
      <c r="E86" s="16" t="s">
        <v>185</v>
      </c>
      <c r="F86" s="16" t="s">
        <v>255</v>
      </c>
      <c r="G86" s="16" t="s">
        <v>401</v>
      </c>
      <c r="H86" s="16" t="s">
        <v>220</v>
      </c>
    </row>
    <row r="87" ht="20.25" customHeight="1">
      <c r="A87" s="32" t="str">
        <f>IMAGE("https://gymvisual.com/13531-catalog_default/back-lever.jpg",4,500,500)</f>
        <v/>
      </c>
      <c r="B87" s="30">
        <v>86.0</v>
      </c>
      <c r="C87" s="16" t="s">
        <v>403</v>
      </c>
      <c r="D87" s="16" t="s">
        <v>184</v>
      </c>
      <c r="E87" s="16" t="s">
        <v>192</v>
      </c>
      <c r="F87" s="16" t="s">
        <v>255</v>
      </c>
      <c r="G87" s="16" t="s">
        <v>404</v>
      </c>
      <c r="H87" s="16" t="s">
        <v>405</v>
      </c>
    </row>
    <row r="88" ht="20.25" customHeight="1">
      <c r="A88" s="32" t="str">
        <f>IMAGE("https://gymvisual.com/23643-catalog_default/backhand-raise-female.jpg",4,500,500)</f>
        <v/>
      </c>
      <c r="B88" s="30">
        <v>87.0</v>
      </c>
      <c r="C88" s="16" t="s">
        <v>406</v>
      </c>
      <c r="D88" s="16" t="s">
        <v>184</v>
      </c>
      <c r="E88" s="16" t="s">
        <v>192</v>
      </c>
      <c r="F88" s="16" t="s">
        <v>255</v>
      </c>
      <c r="G88" s="16" t="s">
        <v>407</v>
      </c>
      <c r="H88" s="16" t="s">
        <v>408</v>
      </c>
    </row>
    <row r="89" ht="20.25" customHeight="1">
      <c r="A89" s="32" t="str">
        <f>IMAGE("https://gymvisual.com/90-catalog_default/balance-board.jpg",4,500,500)</f>
        <v/>
      </c>
      <c r="B89" s="30">
        <v>88.0</v>
      </c>
      <c r="C89" s="16" t="s">
        <v>409</v>
      </c>
      <c r="D89" s="16" t="s">
        <v>184</v>
      </c>
      <c r="E89" s="16" t="s">
        <v>325</v>
      </c>
      <c r="F89" s="16" t="s">
        <v>255</v>
      </c>
      <c r="G89" s="16" t="s">
        <v>410</v>
      </c>
      <c r="H89" s="16" t="s">
        <v>220</v>
      </c>
    </row>
    <row r="90" ht="20.25" customHeight="1">
      <c r="A90" s="32" t="str">
        <f>IMAGE("https://gymvisual.com/2571-catalog_default/ball-sit-up-on-stability-ball.jpg",4,500,500)</f>
        <v/>
      </c>
      <c r="B90" s="30">
        <v>89.0</v>
      </c>
      <c r="C90" s="16" t="s">
        <v>411</v>
      </c>
      <c r="D90" s="16" t="s">
        <v>184</v>
      </c>
      <c r="E90" s="16" t="s">
        <v>254</v>
      </c>
      <c r="F90" s="16" t="s">
        <v>399</v>
      </c>
      <c r="G90" s="16" t="s">
        <v>256</v>
      </c>
      <c r="H90" s="16" t="s">
        <v>412</v>
      </c>
    </row>
    <row r="91" ht="20.25" customHeight="1">
      <c r="A91" s="32" t="str">
        <f>IMAGE("https://gymvisual.com/22123-catalog_default/band-45-degrees-biceps-curl-male.jpg",4,500,500)</f>
        <v/>
      </c>
      <c r="B91" s="30">
        <v>90.0</v>
      </c>
      <c r="C91" s="16" t="s">
        <v>413</v>
      </c>
      <c r="D91" s="16" t="s">
        <v>184</v>
      </c>
      <c r="E91" s="16" t="s">
        <v>219</v>
      </c>
      <c r="F91" s="16" t="s">
        <v>291</v>
      </c>
      <c r="G91" s="16" t="s">
        <v>241</v>
      </c>
      <c r="H91" s="16" t="s">
        <v>292</v>
      </c>
    </row>
    <row r="92" ht="20.25" customHeight="1">
      <c r="A92" s="32" t="str">
        <f>IMAGE("https://gymvisual.com/13252-catalog_default/band-alternate-incline-chest-press-with-twist.jpg",4,500,500)</f>
        <v/>
      </c>
      <c r="B92" s="30">
        <v>91.0</v>
      </c>
      <c r="C92" s="16" t="s">
        <v>414</v>
      </c>
      <c r="D92" s="16" t="s">
        <v>184</v>
      </c>
      <c r="E92" s="16" t="s">
        <v>234</v>
      </c>
      <c r="F92" s="16" t="s">
        <v>291</v>
      </c>
      <c r="G92" s="16" t="s">
        <v>415</v>
      </c>
      <c r="H92" s="16" t="s">
        <v>416</v>
      </c>
    </row>
    <row r="93" ht="20.25" customHeight="1">
      <c r="A93" s="32" t="str">
        <f>IMAGE("https://gymvisual.com/13256-catalog_default/band-alternate-lat-pulldown-with-twist.jpg",4,500,500)</f>
        <v/>
      </c>
      <c r="B93" s="30">
        <v>92.0</v>
      </c>
      <c r="C93" s="16" t="s">
        <v>417</v>
      </c>
      <c r="D93" s="16" t="s">
        <v>184</v>
      </c>
      <c r="E93" s="16" t="s">
        <v>192</v>
      </c>
      <c r="F93" s="16" t="s">
        <v>291</v>
      </c>
      <c r="G93" s="16" t="s">
        <v>300</v>
      </c>
      <c r="H93" s="16" t="s">
        <v>418</v>
      </c>
    </row>
    <row r="94" ht="20.25" customHeight="1">
      <c r="A94" s="32" t="str">
        <f>IMAGE("https://gymvisual.com/22744-catalog_default/band-alternate-low-chest-fly-male.jpg",4,500,500)</f>
        <v/>
      </c>
      <c r="B94" s="30">
        <v>93.0</v>
      </c>
      <c r="C94" s="16" t="s">
        <v>419</v>
      </c>
      <c r="D94" s="16" t="s">
        <v>184</v>
      </c>
      <c r="E94" s="16" t="s">
        <v>234</v>
      </c>
      <c r="F94" s="16" t="s">
        <v>291</v>
      </c>
      <c r="G94" s="16" t="s">
        <v>347</v>
      </c>
      <c r="H94" s="16" t="s">
        <v>420</v>
      </c>
    </row>
    <row r="95" ht="20.25" customHeight="1">
      <c r="A95" s="32" t="str">
        <f>IMAGE("https://gymvisual.com/13254-catalog_default/band-alternate-low-row-wtih-twist.jpg",4,500,500)</f>
        <v/>
      </c>
      <c r="B95" s="30">
        <v>94.0</v>
      </c>
      <c r="C95" s="16" t="s">
        <v>421</v>
      </c>
      <c r="D95" s="16" t="s">
        <v>184</v>
      </c>
      <c r="E95" s="16" t="s">
        <v>192</v>
      </c>
      <c r="F95" s="16" t="s">
        <v>291</v>
      </c>
      <c r="G95" s="16" t="s">
        <v>329</v>
      </c>
      <c r="H95" s="16" t="s">
        <v>330</v>
      </c>
    </row>
    <row r="96" ht="20.25" customHeight="1">
      <c r="A96" s="32" t="str">
        <f>IMAGE("https://gymvisual.com/19351-catalog_default/band-alternating-biceps-curl.jpg",4,500,500)</f>
        <v/>
      </c>
      <c r="B96" s="30">
        <v>95.0</v>
      </c>
      <c r="C96" s="16" t="s">
        <v>422</v>
      </c>
      <c r="D96" s="16" t="s">
        <v>184</v>
      </c>
      <c r="E96" s="16" t="s">
        <v>219</v>
      </c>
      <c r="F96" s="16" t="s">
        <v>291</v>
      </c>
      <c r="G96" s="16" t="s">
        <v>241</v>
      </c>
      <c r="H96" s="16" t="s">
        <v>292</v>
      </c>
    </row>
    <row r="97" ht="20.25" customHeight="1">
      <c r="A97" s="32" t="str">
        <f>IMAGE("https://gymvisual.com/2860-catalog_default/band-alternating-v-up.jpg",4,500,500)</f>
        <v/>
      </c>
      <c r="B97" s="30">
        <v>96.0</v>
      </c>
      <c r="C97" s="16" t="s">
        <v>423</v>
      </c>
      <c r="D97" s="16" t="s">
        <v>184</v>
      </c>
      <c r="E97" s="16" t="s">
        <v>254</v>
      </c>
      <c r="F97" s="16" t="s">
        <v>291</v>
      </c>
      <c r="G97" s="16" t="s">
        <v>424</v>
      </c>
      <c r="H97" s="16" t="s">
        <v>425</v>
      </c>
    </row>
    <row r="98" ht="20.25" customHeight="1">
      <c r="A98" s="32" t="str">
        <f>IMAGE("https://gymvisual.com/20696-catalog_default/band-assisted-chin-up-female.jpg",4,500,500)</f>
        <v/>
      </c>
      <c r="B98" s="30">
        <v>97.0</v>
      </c>
      <c r="C98" s="16" t="s">
        <v>426</v>
      </c>
      <c r="D98" s="16" t="s">
        <v>184</v>
      </c>
      <c r="E98" s="16" t="s">
        <v>192</v>
      </c>
      <c r="F98" s="16" t="s">
        <v>291</v>
      </c>
      <c r="G98" s="16" t="s">
        <v>329</v>
      </c>
      <c r="H98" s="16" t="s">
        <v>357</v>
      </c>
    </row>
    <row r="99" ht="20.25" customHeight="1">
      <c r="A99" s="32" t="str">
        <f>IMAGE("https://gymvisual.com/18047-catalog_default/band-assisted-chin-up-from-knee.jpg",4,500,500)</f>
        <v/>
      </c>
      <c r="B99" s="30">
        <v>98.0</v>
      </c>
      <c r="C99" s="16" t="s">
        <v>427</v>
      </c>
      <c r="D99" s="16" t="s">
        <v>184</v>
      </c>
      <c r="E99" s="16" t="s">
        <v>192</v>
      </c>
      <c r="F99" s="16" t="s">
        <v>291</v>
      </c>
      <c r="G99" s="16" t="s">
        <v>329</v>
      </c>
      <c r="H99" s="16" t="s">
        <v>357</v>
      </c>
    </row>
    <row r="100" ht="20.25" customHeight="1">
      <c r="A100" s="32" t="str">
        <f>IMAGE("https://gymvisual.com/18045-catalog_default/band-assisted-dip.jpg",4,500,500)</f>
        <v/>
      </c>
      <c r="B100" s="30">
        <v>99.0</v>
      </c>
      <c r="C100" s="16" t="s">
        <v>428</v>
      </c>
      <c r="D100" s="16" t="s">
        <v>184</v>
      </c>
      <c r="E100" s="16" t="s">
        <v>192</v>
      </c>
      <c r="F100" s="16" t="s">
        <v>291</v>
      </c>
      <c r="G100" s="16" t="s">
        <v>223</v>
      </c>
      <c r="H100" s="16" t="s">
        <v>394</v>
      </c>
    </row>
    <row r="101" ht="20.25" customHeight="1">
      <c r="A101" s="32" t="str">
        <f>IMAGE("https://gymvisual.com/22191-catalog_default/band-assisted-dip-version-2.jpg",4,500,500)</f>
        <v/>
      </c>
      <c r="B101" s="30">
        <v>100.0</v>
      </c>
      <c r="C101" s="16" t="s">
        <v>429</v>
      </c>
      <c r="D101" s="16" t="s">
        <v>184</v>
      </c>
      <c r="E101" s="16" t="s">
        <v>219</v>
      </c>
      <c r="F101" s="16" t="s">
        <v>291</v>
      </c>
      <c r="G101" s="16" t="s">
        <v>220</v>
      </c>
      <c r="H101" s="16" t="s">
        <v>220</v>
      </c>
    </row>
    <row r="102" ht="20.25" customHeight="1">
      <c r="A102" s="32" t="str">
        <f>IMAGE("https://gymvisual.com/22520-catalog_default/band-assisted-floor-glute-ham-raise.jpg",4,500,500)</f>
        <v/>
      </c>
      <c r="B102" s="30">
        <v>101.0</v>
      </c>
      <c r="C102" s="16" t="s">
        <v>430</v>
      </c>
      <c r="D102" s="16" t="s">
        <v>184</v>
      </c>
      <c r="E102" s="16" t="s">
        <v>285</v>
      </c>
      <c r="F102" s="16" t="s">
        <v>291</v>
      </c>
      <c r="G102" s="16" t="s">
        <v>220</v>
      </c>
      <c r="H102" s="16" t="s">
        <v>220</v>
      </c>
    </row>
    <row r="103" ht="20.25" customHeight="1">
      <c r="A103" s="32" t="str">
        <f>IMAGE("https://gymvisual.com/25653-catalog_default/band-assisted-muscle-up.jpg",4,500,500)</f>
        <v/>
      </c>
      <c r="B103" s="30">
        <v>102.0</v>
      </c>
      <c r="C103" s="16" t="s">
        <v>431</v>
      </c>
      <c r="D103" s="16" t="s">
        <v>184</v>
      </c>
      <c r="E103" s="16" t="s">
        <v>192</v>
      </c>
      <c r="F103" s="16" t="s">
        <v>291</v>
      </c>
      <c r="G103" s="16" t="s">
        <v>220</v>
      </c>
      <c r="H103" s="16" t="s">
        <v>220</v>
      </c>
    </row>
    <row r="104" ht="20.25" customHeight="1">
      <c r="A104" s="32" t="str">
        <f>IMAGE("https://gymvisual.com/17081-catalog_default/band-assisted-pull-up-version-3-female.jpg",4,500,500)</f>
        <v/>
      </c>
      <c r="B104" s="30">
        <v>103.0</v>
      </c>
      <c r="C104" s="16" t="s">
        <v>432</v>
      </c>
      <c r="D104" s="16" t="s">
        <v>184</v>
      </c>
      <c r="E104" s="16" t="s">
        <v>192</v>
      </c>
      <c r="F104" s="16" t="s">
        <v>291</v>
      </c>
      <c r="G104" s="16" t="s">
        <v>329</v>
      </c>
      <c r="H104" s="16" t="s">
        <v>357</v>
      </c>
    </row>
    <row r="105" ht="20.25" customHeight="1">
      <c r="A105" s="32" t="str">
        <f>IMAGE("https://gymvisual.com/2861-catalog_default/band-assisted-pull-up.jpg",4,500,500)</f>
        <v/>
      </c>
      <c r="B105" s="30">
        <v>104.0</v>
      </c>
      <c r="C105" s="16" t="s">
        <v>433</v>
      </c>
      <c r="D105" s="16" t="s">
        <v>184</v>
      </c>
      <c r="E105" s="16" t="s">
        <v>192</v>
      </c>
      <c r="F105" s="16" t="s">
        <v>291</v>
      </c>
      <c r="G105" s="16" t="s">
        <v>300</v>
      </c>
      <c r="H105" s="16" t="s">
        <v>434</v>
      </c>
    </row>
    <row r="106" ht="20.25" customHeight="1">
      <c r="A106" s="32" t="str">
        <f>IMAGE("https://gymvisual.com/12351-catalog_default/band-assisted-pull-up-version-3.jpg",4,500,500)</f>
        <v/>
      </c>
      <c r="B106" s="30">
        <v>105.0</v>
      </c>
      <c r="C106" s="16" t="s">
        <v>435</v>
      </c>
      <c r="D106" s="16" t="s">
        <v>184</v>
      </c>
      <c r="E106" s="16" t="s">
        <v>192</v>
      </c>
      <c r="F106" s="16" t="s">
        <v>291</v>
      </c>
      <c r="G106" s="16" t="s">
        <v>300</v>
      </c>
      <c r="H106" s="16" t="s">
        <v>434</v>
      </c>
    </row>
    <row r="107" ht="20.25" customHeight="1">
      <c r="A107" s="32" t="str">
        <f>IMAGE("https://gymvisual.com/2862-catalog_default/band-assisted-wheel-rollout.jpg",4,500,500)</f>
        <v/>
      </c>
      <c r="B107" s="30">
        <v>106.0</v>
      </c>
      <c r="C107" s="16" t="s">
        <v>436</v>
      </c>
      <c r="D107" s="16" t="s">
        <v>184</v>
      </c>
      <c r="E107" s="16" t="s">
        <v>254</v>
      </c>
      <c r="F107" s="16" t="s">
        <v>291</v>
      </c>
      <c r="G107" s="16" t="s">
        <v>271</v>
      </c>
      <c r="H107" s="16" t="s">
        <v>437</v>
      </c>
    </row>
    <row r="108" ht="20.25" customHeight="1">
      <c r="A108" s="32" t="str">
        <f>IMAGE("https://gymvisual.com/11477-catalog_default/band-assisted-wheel-rollout-female.jpg",4,500,500)</f>
        <v/>
      </c>
      <c r="B108" s="30">
        <v>107.0</v>
      </c>
      <c r="C108" s="16" t="s">
        <v>438</v>
      </c>
      <c r="D108" s="16" t="s">
        <v>184</v>
      </c>
      <c r="E108" s="16" t="s">
        <v>254</v>
      </c>
      <c r="F108" s="16" t="s">
        <v>439</v>
      </c>
      <c r="G108" s="16" t="s">
        <v>220</v>
      </c>
      <c r="H108" s="16" t="s">
        <v>220</v>
      </c>
    </row>
    <row r="109" ht="20.25" customHeight="1">
      <c r="A109" s="32" t="str">
        <f>IMAGE("https://gymvisual.com/2782-catalog_default/band-back-extension.jpg",4,500,500)</f>
        <v/>
      </c>
      <c r="B109" s="30">
        <v>108.0</v>
      </c>
      <c r="C109" s="16" t="s">
        <v>440</v>
      </c>
      <c r="D109" s="16" t="s">
        <v>184</v>
      </c>
      <c r="E109" s="16" t="s">
        <v>192</v>
      </c>
      <c r="F109" s="16" t="s">
        <v>291</v>
      </c>
      <c r="G109" s="16" t="s">
        <v>275</v>
      </c>
      <c r="H109" s="16" t="s">
        <v>220</v>
      </c>
    </row>
    <row r="110" ht="20.25" customHeight="1">
      <c r="A110" s="32" t="str">
        <f>IMAGE("https://gymvisual.com/6729-catalog_default/band-behind-neck-shoulder-press.jpg",4,500,500)</f>
        <v/>
      </c>
      <c r="B110" s="30">
        <v>109.0</v>
      </c>
      <c r="C110" s="16" t="s">
        <v>441</v>
      </c>
      <c r="D110" s="16" t="s">
        <v>184</v>
      </c>
      <c r="E110" s="16" t="s">
        <v>228</v>
      </c>
      <c r="F110" s="16" t="s">
        <v>291</v>
      </c>
      <c r="G110" s="16" t="s">
        <v>229</v>
      </c>
      <c r="H110" s="16" t="s">
        <v>442</v>
      </c>
    </row>
    <row r="111" ht="20.25" customHeight="1">
      <c r="A111" s="32" t="str">
        <f>IMAGE("https://gymvisual.com/5943-catalog_default/band-bench-press.jpg",4,500,500)</f>
        <v/>
      </c>
      <c r="B111" s="30">
        <v>110.0</v>
      </c>
      <c r="C111" s="16" t="s">
        <v>443</v>
      </c>
      <c r="D111" s="16" t="s">
        <v>184</v>
      </c>
      <c r="E111" s="16" t="s">
        <v>234</v>
      </c>
      <c r="F111" s="16" t="s">
        <v>291</v>
      </c>
      <c r="G111" s="16" t="s">
        <v>235</v>
      </c>
      <c r="H111" s="16" t="s">
        <v>243</v>
      </c>
    </row>
    <row r="112" ht="20.25" customHeight="1">
      <c r="A112" s="32" t="str">
        <f>IMAGE("https://gymvisual.com/22596-catalog_default/band-bent-over-lat-pulldown.jpg",4,500,500)</f>
        <v/>
      </c>
      <c r="B112" s="30">
        <v>111.0</v>
      </c>
      <c r="C112" s="16" t="s">
        <v>444</v>
      </c>
      <c r="D112" s="16" t="s">
        <v>184</v>
      </c>
      <c r="E112" s="16" t="s">
        <v>192</v>
      </c>
      <c r="F112" s="16" t="s">
        <v>291</v>
      </c>
      <c r="G112" s="16" t="s">
        <v>300</v>
      </c>
      <c r="H112" s="16" t="s">
        <v>445</v>
      </c>
    </row>
    <row r="113" ht="20.25" customHeight="1">
      <c r="A113" s="32" t="str">
        <f>IMAGE("https://gymvisual.com/17142-catalog_default/band-bent-over-row-male.jpg",4,500,500)</f>
        <v/>
      </c>
      <c r="B113" s="30">
        <v>112.0</v>
      </c>
      <c r="C113" s="16" t="s">
        <v>446</v>
      </c>
      <c r="D113" s="16" t="s">
        <v>184</v>
      </c>
      <c r="E113" s="16" t="s">
        <v>192</v>
      </c>
      <c r="F113" s="16" t="s">
        <v>291</v>
      </c>
      <c r="G113" s="16" t="s">
        <v>329</v>
      </c>
      <c r="H113" s="16" t="s">
        <v>447</v>
      </c>
    </row>
    <row r="114" ht="20.25" customHeight="1">
      <c r="A114" s="32" t="str">
        <f>IMAGE("https://gymvisual.com/19006-catalog_default/band-bent-over-wide-grip-row-male.jpg",4,500,500)</f>
        <v/>
      </c>
      <c r="B114" s="30">
        <v>113.0</v>
      </c>
      <c r="C114" s="16" t="s">
        <v>448</v>
      </c>
      <c r="D114" s="16" t="s">
        <v>184</v>
      </c>
      <c r="E114" s="16" t="s">
        <v>192</v>
      </c>
      <c r="F114" s="16" t="s">
        <v>291</v>
      </c>
      <c r="G114" s="16" t="s">
        <v>329</v>
      </c>
      <c r="H114" s="16" t="s">
        <v>447</v>
      </c>
    </row>
    <row r="115" ht="20.25" customHeight="1">
      <c r="A115" s="32" t="str">
        <f>IMAGE("https://gymvisual.com/2877-catalog_default/band-bent-over-hip-extension.jpg",4,500,500)</f>
        <v/>
      </c>
      <c r="B115" s="30">
        <v>114.0</v>
      </c>
      <c r="C115" s="16" t="s">
        <v>449</v>
      </c>
      <c r="D115" s="16" t="s">
        <v>184</v>
      </c>
      <c r="E115" s="16" t="s">
        <v>185</v>
      </c>
      <c r="F115" s="16" t="s">
        <v>291</v>
      </c>
      <c r="G115" s="16" t="s">
        <v>187</v>
      </c>
      <c r="H115" s="16" t="s">
        <v>188</v>
      </c>
    </row>
    <row r="116" ht="20.25" customHeight="1">
      <c r="A116" s="32" t="str">
        <f>IMAGE("https://gymvisual.com/17517-catalog_default/band-bent-over-hip-extension-male.jpg",4,500,500)</f>
        <v/>
      </c>
      <c r="B116" s="30">
        <v>115.0</v>
      </c>
      <c r="C116" s="16" t="s">
        <v>450</v>
      </c>
      <c r="D116" s="16" t="s">
        <v>184</v>
      </c>
      <c r="E116" s="16" t="s">
        <v>185</v>
      </c>
      <c r="F116" s="16" t="s">
        <v>291</v>
      </c>
      <c r="G116" s="16" t="s">
        <v>187</v>
      </c>
      <c r="H116" s="16" t="s">
        <v>188</v>
      </c>
    </row>
    <row r="117" ht="20.25" customHeight="1">
      <c r="A117" s="32" t="str">
        <f>IMAGE("https://gymvisual.com/2784-catalog_default/band-bent-over-rear-lateral-raise.jpg",4,500,500)</f>
        <v/>
      </c>
      <c r="B117" s="30">
        <v>116.0</v>
      </c>
      <c r="C117" s="16" t="s">
        <v>451</v>
      </c>
      <c r="D117" s="16" t="s">
        <v>184</v>
      </c>
      <c r="E117" s="16" t="s">
        <v>228</v>
      </c>
      <c r="F117" s="16" t="s">
        <v>291</v>
      </c>
      <c r="G117" s="16" t="s">
        <v>408</v>
      </c>
      <c r="H117" s="16" t="s">
        <v>452</v>
      </c>
    </row>
    <row r="118" ht="20.25" customHeight="1">
      <c r="A118" s="32" t="str">
        <f>IMAGE("https://gymvisual.com/17364-catalog_default/band-bent-over-rear-lateral-raise-male.jpg",4,500,500)</f>
        <v/>
      </c>
      <c r="B118" s="30">
        <v>117.0</v>
      </c>
      <c r="C118" s="16" t="s">
        <v>453</v>
      </c>
      <c r="D118" s="16" t="s">
        <v>184</v>
      </c>
      <c r="E118" s="16" t="s">
        <v>228</v>
      </c>
      <c r="F118" s="16" t="s">
        <v>291</v>
      </c>
      <c r="G118" s="16" t="s">
        <v>454</v>
      </c>
      <c r="H118" s="16" t="s">
        <v>455</v>
      </c>
    </row>
    <row r="119" ht="20.25" customHeight="1">
      <c r="A119" s="32" t="str">
        <f>IMAGE("https://gymvisual.com/2783-catalog_default/band-bent-over-row.jpg",4,500,500)</f>
        <v/>
      </c>
      <c r="B119" s="30">
        <v>118.0</v>
      </c>
      <c r="C119" s="16" t="s">
        <v>456</v>
      </c>
      <c r="D119" s="16" t="s">
        <v>184</v>
      </c>
      <c r="E119" s="16" t="s">
        <v>192</v>
      </c>
      <c r="F119" s="16" t="s">
        <v>291</v>
      </c>
      <c r="G119" s="16" t="s">
        <v>329</v>
      </c>
      <c r="H119" s="16" t="s">
        <v>457</v>
      </c>
    </row>
    <row r="120" ht="20.25" customHeight="1">
      <c r="A120" s="32" t="str">
        <f>IMAGE("https://gymvisual.com/17859-catalog_default/band-biceps-curl.jpg",4,500,500)</f>
        <v/>
      </c>
      <c r="B120" s="30">
        <v>119.0</v>
      </c>
      <c r="C120" s="16" t="s">
        <v>458</v>
      </c>
      <c r="D120" s="16" t="s">
        <v>184</v>
      </c>
      <c r="E120" s="16" t="s">
        <v>219</v>
      </c>
      <c r="F120" s="16" t="s">
        <v>291</v>
      </c>
      <c r="G120" s="16" t="s">
        <v>220</v>
      </c>
      <c r="H120" s="16" t="s">
        <v>220</v>
      </c>
    </row>
    <row r="121" ht="20.25" customHeight="1">
      <c r="A121" s="32" t="str">
        <f>IMAGE("https://gymvisual.com/18911-catalog_default/band-biceps-curl-version-2.jpg",4,500,500)</f>
        <v/>
      </c>
      <c r="B121" s="30">
        <v>120.0</v>
      </c>
      <c r="C121" s="16" t="s">
        <v>459</v>
      </c>
      <c r="D121" s="16" t="s">
        <v>184</v>
      </c>
      <c r="E121" s="16" t="s">
        <v>219</v>
      </c>
      <c r="F121" s="16" t="s">
        <v>291</v>
      </c>
      <c r="G121" s="16" t="s">
        <v>241</v>
      </c>
      <c r="H121" s="16" t="s">
        <v>292</v>
      </c>
    </row>
    <row r="122" ht="20.25" customHeight="1">
      <c r="A122" s="32" t="str">
        <f>IMAGE("https://gymvisual.com/2863-catalog_default/band-bicycle-crunch.jpg",4,500,500)</f>
        <v/>
      </c>
      <c r="B122" s="30">
        <v>121.0</v>
      </c>
      <c r="C122" s="16" t="s">
        <v>460</v>
      </c>
      <c r="D122" s="16" t="s">
        <v>184</v>
      </c>
      <c r="E122" s="16" t="s">
        <v>254</v>
      </c>
      <c r="F122" s="16" t="s">
        <v>291</v>
      </c>
      <c r="G122" s="16" t="s">
        <v>424</v>
      </c>
      <c r="H122" s="16" t="s">
        <v>461</v>
      </c>
    </row>
    <row r="123" ht="20.25" customHeight="1">
      <c r="A123" s="32" t="str">
        <f>IMAGE("https://gymvisual.com/2785-catalog_default/band-calf-raise.jpg",4,500,500)</f>
        <v/>
      </c>
      <c r="B123" s="30">
        <v>122.0</v>
      </c>
      <c r="C123" s="16" t="s">
        <v>462</v>
      </c>
      <c r="D123" s="16" t="s">
        <v>184</v>
      </c>
      <c r="E123" s="16" t="s">
        <v>325</v>
      </c>
      <c r="F123" s="16" t="s">
        <v>291</v>
      </c>
      <c r="G123" s="16" t="s">
        <v>368</v>
      </c>
      <c r="H123" s="16" t="s">
        <v>463</v>
      </c>
    </row>
    <row r="124" ht="20.25" customHeight="1">
      <c r="A124" s="32" t="str">
        <f>IMAGE("https://gymvisual.com/2864-catalog_default/band-calf-raise-version-2.jpg",4,500,500)</f>
        <v/>
      </c>
      <c r="B124" s="30">
        <v>123.0</v>
      </c>
      <c r="C124" s="16" t="s">
        <v>464</v>
      </c>
      <c r="D124" s="16" t="s">
        <v>184</v>
      </c>
      <c r="E124" s="16" t="s">
        <v>325</v>
      </c>
      <c r="F124" s="16" t="s">
        <v>291</v>
      </c>
      <c r="G124" s="16" t="s">
        <v>368</v>
      </c>
      <c r="H124" s="16" t="s">
        <v>463</v>
      </c>
    </row>
    <row r="125" ht="20.25" customHeight="1">
      <c r="A125" s="32" t="str">
        <f>IMAGE("https://gymvisual.com/6743-catalog_default/band-calf-raise-version-3.jpg",4,500,500)</f>
        <v/>
      </c>
      <c r="B125" s="30">
        <v>124.0</v>
      </c>
      <c r="C125" s="16" t="s">
        <v>465</v>
      </c>
      <c r="D125" s="16" t="s">
        <v>184</v>
      </c>
      <c r="E125" s="16" t="s">
        <v>325</v>
      </c>
      <c r="F125" s="16" t="s">
        <v>291</v>
      </c>
      <c r="G125" s="16" t="s">
        <v>220</v>
      </c>
      <c r="H125" s="16" t="s">
        <v>220</v>
      </c>
    </row>
    <row r="126" ht="20.25" customHeight="1">
      <c r="A126" s="32" t="str">
        <f>IMAGE("https://gymvisual.com/18940-catalog_default/band-chest-fly-male.jpg",4,500,500)</f>
        <v/>
      </c>
      <c r="B126" s="30">
        <v>125.0</v>
      </c>
      <c r="C126" s="16" t="s">
        <v>466</v>
      </c>
      <c r="D126" s="16" t="s">
        <v>184</v>
      </c>
      <c r="E126" s="16" t="s">
        <v>234</v>
      </c>
      <c r="F126" s="16" t="s">
        <v>291</v>
      </c>
      <c r="G126" s="16" t="s">
        <v>235</v>
      </c>
      <c r="H126" s="16" t="s">
        <v>236</v>
      </c>
    </row>
    <row r="127" ht="20.25" customHeight="1">
      <c r="A127" s="32" t="str">
        <f>IMAGE("https://gymvisual.com/22129-catalog_default/band-close-grip-biceps-curl.jpg",4,500,500)</f>
        <v/>
      </c>
      <c r="B127" s="30">
        <v>126.0</v>
      </c>
      <c r="C127" s="16" t="s">
        <v>467</v>
      </c>
      <c r="D127" s="16" t="s">
        <v>184</v>
      </c>
      <c r="E127" s="16" t="s">
        <v>219</v>
      </c>
      <c r="F127" s="16" t="s">
        <v>291</v>
      </c>
      <c r="G127" s="16" t="s">
        <v>241</v>
      </c>
      <c r="H127" s="16" t="s">
        <v>292</v>
      </c>
    </row>
    <row r="128" ht="20.25" customHeight="1">
      <c r="A128" s="32" t="str">
        <f>IMAGE("https://gymvisual.com/19233-catalog_default/band-close-grip-row.jpg",4,500,500)</f>
        <v/>
      </c>
      <c r="B128" s="30">
        <v>127.0</v>
      </c>
      <c r="C128" s="16" t="s">
        <v>468</v>
      </c>
      <c r="D128" s="16" t="s">
        <v>184</v>
      </c>
      <c r="E128" s="16" t="s">
        <v>192</v>
      </c>
      <c r="F128" s="16" t="s">
        <v>291</v>
      </c>
      <c r="G128" s="16" t="s">
        <v>329</v>
      </c>
      <c r="H128" s="16" t="s">
        <v>357</v>
      </c>
    </row>
    <row r="129" ht="20.25" customHeight="1">
      <c r="A129" s="32" t="str">
        <f>IMAGE("https://gymvisual.com/2865-catalog_default/band-close-grip-pulldown.jpg",4,500,500)</f>
        <v/>
      </c>
      <c r="B129" s="30">
        <v>128.0</v>
      </c>
      <c r="C129" s="16" t="s">
        <v>469</v>
      </c>
      <c r="D129" s="16" t="s">
        <v>184</v>
      </c>
      <c r="E129" s="16" t="s">
        <v>192</v>
      </c>
      <c r="F129" s="16" t="s">
        <v>291</v>
      </c>
      <c r="G129" s="16" t="s">
        <v>300</v>
      </c>
      <c r="H129" s="16" t="s">
        <v>470</v>
      </c>
    </row>
    <row r="130" ht="20.25" customHeight="1">
      <c r="A130" s="32" t="str">
        <f>IMAGE("https://gymvisual.com/2866-catalog_default/band-close-grip-push-up.jpg",4,500,500)</f>
        <v/>
      </c>
      <c r="B130" s="30">
        <v>129.0</v>
      </c>
      <c r="C130" s="16" t="s">
        <v>471</v>
      </c>
      <c r="D130" s="16" t="s">
        <v>184</v>
      </c>
      <c r="E130" s="16" t="s">
        <v>219</v>
      </c>
      <c r="F130" s="16" t="s">
        <v>291</v>
      </c>
      <c r="G130" s="16" t="s">
        <v>223</v>
      </c>
      <c r="H130" s="16" t="s">
        <v>472</v>
      </c>
    </row>
    <row r="131" ht="20.25" customHeight="1">
      <c r="A131" s="32" t="str">
        <f>IMAGE("https://gymvisual.com/2867-catalog_default/band-concentration-curl.jpg",4,500,500)</f>
        <v/>
      </c>
      <c r="B131" s="30">
        <v>130.0</v>
      </c>
      <c r="C131" s="16" t="s">
        <v>473</v>
      </c>
      <c r="D131" s="16" t="s">
        <v>184</v>
      </c>
      <c r="E131" s="16" t="s">
        <v>219</v>
      </c>
      <c r="F131" s="16" t="s">
        <v>291</v>
      </c>
      <c r="G131" s="16" t="s">
        <v>232</v>
      </c>
      <c r="H131" s="16" t="s">
        <v>233</v>
      </c>
    </row>
    <row r="132" ht="20.25" customHeight="1">
      <c r="A132" s="32" t="str">
        <f>IMAGE("https://gymvisual.com/22127-catalog_default/band-cross-abduction.jpg",4,500,500)</f>
        <v/>
      </c>
      <c r="B132" s="30">
        <v>131.0</v>
      </c>
      <c r="C132" s="16" t="s">
        <v>474</v>
      </c>
      <c r="D132" s="16" t="s">
        <v>184</v>
      </c>
      <c r="E132" s="16" t="s">
        <v>185</v>
      </c>
      <c r="F132" s="16" t="s">
        <v>291</v>
      </c>
      <c r="G132" s="16" t="s">
        <v>475</v>
      </c>
      <c r="H132" s="16" t="s">
        <v>476</v>
      </c>
    </row>
    <row r="133" ht="20.25" customHeight="1">
      <c r="A133" s="32" t="str">
        <f>IMAGE("https://gymvisual.com/19391-catalog_default/band-cross-body-one-arm-chest-press-male.jpg",4,500,500)</f>
        <v/>
      </c>
      <c r="B133" s="30">
        <v>132.0</v>
      </c>
      <c r="C133" s="16" t="s">
        <v>477</v>
      </c>
      <c r="D133" s="16" t="s">
        <v>184</v>
      </c>
      <c r="E133" s="16" t="s">
        <v>234</v>
      </c>
      <c r="F133" s="16" t="s">
        <v>291</v>
      </c>
      <c r="G133" s="16" t="s">
        <v>347</v>
      </c>
      <c r="H133" s="16" t="s">
        <v>382</v>
      </c>
    </row>
    <row r="134" ht="20.25" customHeight="1">
      <c r="A134" s="32" t="str">
        <f>IMAGE("https://gymvisual.com/22125-catalog_default/band-cross-chest-biceps-curl-male.jpg",4,500,500)</f>
        <v/>
      </c>
      <c r="B134" s="30">
        <v>133.0</v>
      </c>
      <c r="C134" s="16" t="s">
        <v>478</v>
      </c>
      <c r="D134" s="16" t="s">
        <v>184</v>
      </c>
      <c r="E134" s="16" t="s">
        <v>219</v>
      </c>
      <c r="F134" s="16" t="s">
        <v>291</v>
      </c>
      <c r="G134" s="16" t="s">
        <v>241</v>
      </c>
      <c r="H134" s="16" t="s">
        <v>292</v>
      </c>
    </row>
    <row r="135" ht="20.25" customHeight="1">
      <c r="A135" s="32" t="str">
        <f>IMAGE("https://gymvisual.com/2786-catalog_default/band-deadlift.jpg",4,500,500)</f>
        <v/>
      </c>
      <c r="B135" s="30">
        <v>134.0</v>
      </c>
      <c r="C135" s="16" t="s">
        <v>479</v>
      </c>
      <c r="D135" s="16" t="s">
        <v>184</v>
      </c>
      <c r="E135" s="16" t="s">
        <v>185</v>
      </c>
      <c r="F135" s="16" t="s">
        <v>291</v>
      </c>
      <c r="G135" s="16" t="s">
        <v>187</v>
      </c>
      <c r="H135" s="16" t="s">
        <v>480</v>
      </c>
    </row>
    <row r="136" ht="20.25" customHeight="1">
      <c r="A136" s="32" t="str">
        <f>IMAGE("https://gymvisual.com/22181-catalog_default/band-deadlift.jpg",4,500,500)</f>
        <v/>
      </c>
      <c r="B136" s="30">
        <v>135.0</v>
      </c>
      <c r="C136" s="16" t="s">
        <v>481</v>
      </c>
      <c r="D136" s="16" t="s">
        <v>184</v>
      </c>
      <c r="E136" s="16" t="s">
        <v>185</v>
      </c>
      <c r="F136" s="16" t="s">
        <v>291</v>
      </c>
      <c r="G136" s="16" t="s">
        <v>187</v>
      </c>
      <c r="H136" s="16" t="s">
        <v>482</v>
      </c>
    </row>
    <row r="137" ht="20.25" customHeight="1">
      <c r="A137" s="32" t="str">
        <f>IMAGE("https://gymvisual.com/16745-catalog_default/band-deadlift-with-single-arm-row.jpg",4,500,500)</f>
        <v/>
      </c>
      <c r="B137" s="30">
        <v>136.0</v>
      </c>
      <c r="C137" s="16" t="s">
        <v>483</v>
      </c>
      <c r="D137" s="16" t="s">
        <v>184</v>
      </c>
      <c r="E137" s="16" t="s">
        <v>484</v>
      </c>
      <c r="F137" s="16" t="s">
        <v>291</v>
      </c>
      <c r="G137" s="16" t="s">
        <v>220</v>
      </c>
      <c r="H137" s="16" t="s">
        <v>220</v>
      </c>
    </row>
    <row r="138" ht="20.25" customHeight="1">
      <c r="A138" s="32" t="str">
        <f>IMAGE("https://gymvisual.com/17073-catalog_default/band-decline-sit-up-female.jpg",4,500,500)</f>
        <v/>
      </c>
      <c r="B138" s="30">
        <v>137.0</v>
      </c>
      <c r="C138" s="16" t="s">
        <v>485</v>
      </c>
      <c r="D138" s="16" t="s">
        <v>184</v>
      </c>
      <c r="E138" s="16" t="s">
        <v>310</v>
      </c>
      <c r="F138" s="16" t="s">
        <v>291</v>
      </c>
      <c r="G138" s="16" t="s">
        <v>305</v>
      </c>
      <c r="H138" s="16" t="s">
        <v>319</v>
      </c>
    </row>
    <row r="139" ht="20.25" customHeight="1">
      <c r="A139" s="32" t="str">
        <f>IMAGE("https://gymvisual.com/6727-catalog_default/band-decline-sit-up.jpg",4,500,500)</f>
        <v/>
      </c>
      <c r="B139" s="30">
        <v>138.0</v>
      </c>
      <c r="C139" s="16" t="s">
        <v>486</v>
      </c>
      <c r="D139" s="16" t="s">
        <v>184</v>
      </c>
      <c r="E139" s="16" t="s">
        <v>185</v>
      </c>
      <c r="F139" s="16" t="s">
        <v>291</v>
      </c>
      <c r="G139" s="16" t="s">
        <v>271</v>
      </c>
      <c r="H139" s="16" t="s">
        <v>487</v>
      </c>
    </row>
    <row r="140" ht="20.25" customHeight="1">
      <c r="A140" s="32" t="str">
        <f>IMAGE("https://gymvisual.com/6745-catalog_default/band-ez-barbell-close-grip-curl.jpg",4,500,500)</f>
        <v/>
      </c>
      <c r="B140" s="30">
        <v>139.0</v>
      </c>
      <c r="C140" s="16" t="s">
        <v>488</v>
      </c>
      <c r="D140" s="16" t="s">
        <v>184</v>
      </c>
      <c r="E140" s="16" t="s">
        <v>219</v>
      </c>
      <c r="F140" s="16" t="s">
        <v>291</v>
      </c>
      <c r="G140" s="16" t="s">
        <v>220</v>
      </c>
      <c r="H140" s="16" t="s">
        <v>220</v>
      </c>
    </row>
    <row r="141" ht="20.25" customHeight="1">
      <c r="A141" s="32" t="str">
        <f>IMAGE("https://gymvisual.com/2787-catalog_default/band-face-pull.jpg",4,500,500)</f>
        <v/>
      </c>
      <c r="B141" s="30">
        <v>140.0</v>
      </c>
      <c r="C141" s="16" t="s">
        <v>489</v>
      </c>
      <c r="D141" s="16" t="s">
        <v>184</v>
      </c>
      <c r="E141" s="16" t="s">
        <v>228</v>
      </c>
      <c r="F141" s="16" t="s">
        <v>291</v>
      </c>
      <c r="G141" s="16" t="s">
        <v>408</v>
      </c>
      <c r="H141" s="16" t="s">
        <v>490</v>
      </c>
    </row>
    <row r="142" ht="20.25" customHeight="1">
      <c r="A142" s="32" t="str">
        <f>IMAGE("https://gymvisual.com/24796-catalog_default/band-face-pull-male.jpg",4,500,500)</f>
        <v/>
      </c>
      <c r="B142" s="30">
        <v>141.0</v>
      </c>
      <c r="C142" s="16" t="s">
        <v>491</v>
      </c>
      <c r="D142" s="16" t="s">
        <v>184</v>
      </c>
      <c r="E142" s="16" t="s">
        <v>228</v>
      </c>
      <c r="F142" s="16" t="s">
        <v>291</v>
      </c>
      <c r="G142" s="16" t="s">
        <v>408</v>
      </c>
      <c r="H142" s="16" t="s">
        <v>490</v>
      </c>
    </row>
    <row r="143" ht="20.25" customHeight="1">
      <c r="A143" s="32" t="str">
        <f>IMAGE("https://gymvisual.com/12486-catalog_default/band-fixed-back-close-grip-pulldown.jpg",4,500,500)</f>
        <v/>
      </c>
      <c r="B143" s="30">
        <v>142.0</v>
      </c>
      <c r="C143" s="16" t="s">
        <v>492</v>
      </c>
      <c r="D143" s="16" t="s">
        <v>184</v>
      </c>
      <c r="E143" s="16" t="s">
        <v>192</v>
      </c>
      <c r="F143" s="16" t="s">
        <v>291</v>
      </c>
      <c r="G143" s="16" t="s">
        <v>300</v>
      </c>
      <c r="H143" s="16" t="s">
        <v>493</v>
      </c>
    </row>
    <row r="144" ht="20.25" customHeight="1">
      <c r="A144" s="32" t="str">
        <f>IMAGE("https://gymvisual.com/12483-catalog_default/band-fixed-back-underhand-pulldown.jpg",4,500,500)</f>
        <v/>
      </c>
      <c r="B144" s="30">
        <v>143.0</v>
      </c>
      <c r="C144" s="16" t="s">
        <v>494</v>
      </c>
      <c r="D144" s="16" t="s">
        <v>184</v>
      </c>
      <c r="E144" s="16" t="s">
        <v>192</v>
      </c>
      <c r="F144" s="16" t="s">
        <v>291</v>
      </c>
      <c r="G144" s="16" t="s">
        <v>300</v>
      </c>
      <c r="H144" s="16" t="s">
        <v>434</v>
      </c>
    </row>
    <row r="145" ht="20.25" customHeight="1">
      <c r="A145" s="32" t="str">
        <f>IMAGE("https://gymvisual.com/2868-catalog_default/band-front-lateral-raise.jpg",4,500,500)</f>
        <v/>
      </c>
      <c r="B145" s="30">
        <v>144.0</v>
      </c>
      <c r="C145" s="16" t="s">
        <v>495</v>
      </c>
      <c r="D145" s="16" t="s">
        <v>184</v>
      </c>
      <c r="E145" s="16" t="s">
        <v>228</v>
      </c>
      <c r="F145" s="16" t="s">
        <v>291</v>
      </c>
      <c r="G145" s="16" t="s">
        <v>229</v>
      </c>
      <c r="H145" s="16" t="s">
        <v>496</v>
      </c>
    </row>
    <row r="146" ht="20.25" customHeight="1">
      <c r="A146" s="32" t="str">
        <f>IMAGE("https://gymvisual.com/20052-catalog_default/band-front-lateral-raise-female.jpg",4,500,500)</f>
        <v/>
      </c>
      <c r="B146" s="30">
        <v>145.0</v>
      </c>
      <c r="C146" s="16" t="s">
        <v>497</v>
      </c>
      <c r="D146" s="16" t="s">
        <v>184</v>
      </c>
      <c r="E146" s="16" t="s">
        <v>228</v>
      </c>
      <c r="F146" s="16" t="s">
        <v>291</v>
      </c>
      <c r="G146" s="16" t="s">
        <v>454</v>
      </c>
      <c r="H146" s="16" t="s">
        <v>455</v>
      </c>
    </row>
    <row r="147" ht="20.25" customHeight="1">
      <c r="A147" s="32" t="str">
        <f>IMAGE("https://gymvisual.com/16759-catalog_default/band-front-plank-with-single-arm-pulldown.jpg",4,500,500)</f>
        <v/>
      </c>
      <c r="B147" s="30">
        <v>146.0</v>
      </c>
      <c r="C147" s="16" t="s">
        <v>498</v>
      </c>
      <c r="D147" s="16" t="s">
        <v>184</v>
      </c>
      <c r="E147" s="16" t="s">
        <v>361</v>
      </c>
      <c r="F147" s="16" t="s">
        <v>291</v>
      </c>
      <c r="G147" s="16" t="s">
        <v>220</v>
      </c>
      <c r="H147" s="16" t="s">
        <v>220</v>
      </c>
    </row>
    <row r="148" ht="20.25" customHeight="1">
      <c r="A148" s="32" t="str">
        <f>IMAGE("https://gymvisual.com/2869-catalog_default/band-front-raise.jpg",4,500,500)</f>
        <v/>
      </c>
      <c r="B148" s="30">
        <v>147.0</v>
      </c>
      <c r="C148" s="16" t="s">
        <v>499</v>
      </c>
      <c r="D148" s="16" t="s">
        <v>184</v>
      </c>
      <c r="E148" s="16" t="s">
        <v>228</v>
      </c>
      <c r="F148" s="16" t="s">
        <v>291</v>
      </c>
      <c r="G148" s="16" t="s">
        <v>229</v>
      </c>
      <c r="H148" s="16" t="s">
        <v>244</v>
      </c>
    </row>
    <row r="149" ht="20.25" customHeight="1">
      <c r="A149" s="32" t="str">
        <f>IMAGE("https://gymvisual.com/6761-catalog_default/band-good-morning.jpg",4,500,500)</f>
        <v/>
      </c>
      <c r="B149" s="30">
        <v>148.0</v>
      </c>
      <c r="C149" s="16" t="s">
        <v>500</v>
      </c>
      <c r="D149" s="16" t="s">
        <v>184</v>
      </c>
      <c r="E149" s="16" t="s">
        <v>185</v>
      </c>
      <c r="F149" s="16" t="s">
        <v>291</v>
      </c>
      <c r="G149" s="16" t="s">
        <v>220</v>
      </c>
      <c r="H149" s="16" t="s">
        <v>220</v>
      </c>
    </row>
    <row r="150" ht="20.25" customHeight="1">
      <c r="A150" s="32" t="str">
        <f>IMAGE("https://gymvisual.com/19237-catalog_default/band-half-kneeling-chop.jpg",4,500,500)</f>
        <v/>
      </c>
      <c r="B150" s="30">
        <v>149.0</v>
      </c>
      <c r="C150" s="16" t="s">
        <v>501</v>
      </c>
      <c r="D150" s="16" t="s">
        <v>184</v>
      </c>
      <c r="E150" s="16" t="s">
        <v>254</v>
      </c>
      <c r="F150" s="16" t="s">
        <v>291</v>
      </c>
      <c r="G150" s="16" t="s">
        <v>257</v>
      </c>
      <c r="H150" s="16" t="s">
        <v>502</v>
      </c>
    </row>
    <row r="151" ht="20.25" customHeight="1">
      <c r="A151" s="32" t="str">
        <f>IMAGE("https://gymvisual.com/2788-catalog_default/band-hammer-curl.jpg",4,500,500)</f>
        <v/>
      </c>
      <c r="B151" s="30">
        <v>150.0</v>
      </c>
      <c r="C151" s="16" t="s">
        <v>503</v>
      </c>
      <c r="D151" s="16" t="s">
        <v>184</v>
      </c>
      <c r="E151" s="16" t="s">
        <v>214</v>
      </c>
      <c r="F151" s="16" t="s">
        <v>291</v>
      </c>
      <c r="G151" s="16" t="s">
        <v>216</v>
      </c>
      <c r="H151" s="16" t="s">
        <v>217</v>
      </c>
    </row>
    <row r="152" ht="20.25" customHeight="1">
      <c r="A152" s="32" t="str">
        <f>IMAGE("https://gymvisual.com/2789-catalog_default/band-high-fly.jpg",4,500,500)</f>
        <v/>
      </c>
      <c r="B152" s="30">
        <v>151.0</v>
      </c>
      <c r="C152" s="16" t="s">
        <v>504</v>
      </c>
      <c r="D152" s="16" t="s">
        <v>184</v>
      </c>
      <c r="E152" s="16" t="s">
        <v>234</v>
      </c>
      <c r="F152" s="16" t="s">
        <v>291</v>
      </c>
      <c r="G152" s="16" t="s">
        <v>347</v>
      </c>
      <c r="H152" s="16" t="s">
        <v>505</v>
      </c>
    </row>
    <row r="153" ht="20.25" customHeight="1">
      <c r="A153" s="32" t="str">
        <f>IMAGE("https://gymvisual.com/16624-catalog_default/band-high-fly-male.jpg",4,500,500)</f>
        <v/>
      </c>
      <c r="B153" s="30">
        <v>152.0</v>
      </c>
      <c r="C153" s="16" t="s">
        <v>506</v>
      </c>
      <c r="D153" s="16" t="s">
        <v>184</v>
      </c>
      <c r="E153" s="16" t="s">
        <v>234</v>
      </c>
      <c r="F153" s="16" t="s">
        <v>291</v>
      </c>
      <c r="G153" s="16" t="s">
        <v>235</v>
      </c>
      <c r="H153" s="16" t="s">
        <v>236</v>
      </c>
    </row>
    <row r="154" ht="20.25" customHeight="1">
      <c r="A154" s="32" t="str">
        <f>IMAGE("https://gymvisual.com/2790-catalog_default/band-hip-abduction.jpg",4,500,500)</f>
        <v/>
      </c>
      <c r="B154" s="30">
        <v>153.0</v>
      </c>
      <c r="C154" s="16" t="s">
        <v>507</v>
      </c>
      <c r="D154" s="16" t="s">
        <v>184</v>
      </c>
      <c r="E154" s="16" t="s">
        <v>185</v>
      </c>
      <c r="F154" s="16" t="s">
        <v>291</v>
      </c>
      <c r="G154" s="16" t="s">
        <v>508</v>
      </c>
      <c r="H154" s="16" t="s">
        <v>220</v>
      </c>
    </row>
    <row r="155" ht="20.25" customHeight="1">
      <c r="A155" s="32" t="str">
        <f>IMAGE("https://gymvisual.com/17509-catalog_default/band-hip-abduction-male.jpg",4,500,500)</f>
        <v/>
      </c>
      <c r="B155" s="30">
        <v>154.0</v>
      </c>
      <c r="C155" s="16" t="s">
        <v>509</v>
      </c>
      <c r="D155" s="16" t="s">
        <v>184</v>
      </c>
      <c r="E155" s="16" t="s">
        <v>185</v>
      </c>
      <c r="F155" s="16" t="s">
        <v>291</v>
      </c>
      <c r="G155" s="16" t="s">
        <v>475</v>
      </c>
      <c r="H155" s="16" t="s">
        <v>476</v>
      </c>
    </row>
    <row r="156" ht="20.25" customHeight="1">
      <c r="A156" s="32" t="str">
        <f>IMAGE("https://gymvisual.com/17486-catalog_default/band-hip-adduction.jpg",4,500,500)</f>
        <v/>
      </c>
      <c r="B156" s="30">
        <v>155.0</v>
      </c>
      <c r="C156" s="16" t="s">
        <v>510</v>
      </c>
      <c r="D156" s="16" t="s">
        <v>184</v>
      </c>
      <c r="E156" s="16" t="s">
        <v>185</v>
      </c>
      <c r="F156" s="16" t="s">
        <v>291</v>
      </c>
      <c r="G156" s="16" t="s">
        <v>511</v>
      </c>
      <c r="H156" s="16" t="s">
        <v>512</v>
      </c>
    </row>
    <row r="157" ht="20.25" customHeight="1">
      <c r="A157" s="32" t="str">
        <f>IMAGE("https://gymvisual.com/17505-catalog_default/band-hip-adduction-male.jpg",4,500,500)</f>
        <v/>
      </c>
      <c r="B157" s="30">
        <v>156.0</v>
      </c>
      <c r="C157" s="16" t="s">
        <v>513</v>
      </c>
      <c r="D157" s="16" t="s">
        <v>184</v>
      </c>
      <c r="E157" s="16" t="s">
        <v>185</v>
      </c>
      <c r="F157" s="16" t="s">
        <v>291</v>
      </c>
      <c r="G157" s="16" t="s">
        <v>514</v>
      </c>
      <c r="H157" s="16" t="s">
        <v>515</v>
      </c>
    </row>
    <row r="158" ht="20.25" customHeight="1">
      <c r="A158" s="32" t="str">
        <f>IMAGE("https://gymvisual.com/2792-catalog_default/band-hip-extension.jpg",4,500,500)</f>
        <v/>
      </c>
      <c r="B158" s="30">
        <v>157.0</v>
      </c>
      <c r="C158" s="16" t="s">
        <v>516</v>
      </c>
      <c r="D158" s="16" t="s">
        <v>184</v>
      </c>
      <c r="E158" s="16" t="s">
        <v>185</v>
      </c>
      <c r="F158" s="16" t="s">
        <v>291</v>
      </c>
      <c r="G158" s="16" t="s">
        <v>187</v>
      </c>
      <c r="H158" s="16" t="s">
        <v>275</v>
      </c>
    </row>
    <row r="159" ht="20.25" customHeight="1">
      <c r="A159" s="32" t="str">
        <f>IMAGE("https://gymvisual.com/6747-catalog_default/band-hip-flexion.jpg",4,500,500)</f>
        <v/>
      </c>
      <c r="B159" s="30">
        <v>158.0</v>
      </c>
      <c r="C159" s="16" t="s">
        <v>517</v>
      </c>
      <c r="D159" s="16" t="s">
        <v>184</v>
      </c>
      <c r="E159" s="16" t="s">
        <v>185</v>
      </c>
      <c r="F159" s="16" t="s">
        <v>291</v>
      </c>
      <c r="G159" s="16" t="s">
        <v>220</v>
      </c>
      <c r="H159" s="16" t="s">
        <v>220</v>
      </c>
    </row>
    <row r="160" ht="20.25" customHeight="1">
      <c r="A160" s="32" t="str">
        <f>IMAGE("https://gymvisual.com/6260-catalog_default/band-hip-lift.jpg",4,500,500)</f>
        <v/>
      </c>
      <c r="B160" s="30">
        <v>159.0</v>
      </c>
      <c r="C160" s="16" t="s">
        <v>518</v>
      </c>
      <c r="D160" s="16" t="s">
        <v>184</v>
      </c>
      <c r="E160" s="16" t="s">
        <v>185</v>
      </c>
      <c r="F160" s="16" t="s">
        <v>291</v>
      </c>
      <c r="G160" s="16" t="s">
        <v>187</v>
      </c>
      <c r="H160" s="16" t="s">
        <v>188</v>
      </c>
    </row>
    <row r="161" ht="20.25" customHeight="1">
      <c r="A161" s="32" t="str">
        <f>IMAGE("https://gymvisual.com/22119-catalog_default/band-horizontal-biceps-curl-male.jpg",4,500,500)</f>
        <v/>
      </c>
      <c r="B161" s="30">
        <v>160.0</v>
      </c>
      <c r="C161" s="16" t="s">
        <v>519</v>
      </c>
      <c r="D161" s="16" t="s">
        <v>184</v>
      </c>
      <c r="E161" s="16" t="s">
        <v>219</v>
      </c>
      <c r="F161" s="16" t="s">
        <v>291</v>
      </c>
      <c r="G161" s="16" t="s">
        <v>241</v>
      </c>
      <c r="H161" s="16" t="s">
        <v>292</v>
      </c>
    </row>
    <row r="162" ht="20.25" customHeight="1">
      <c r="A162" s="32" t="str">
        <f>IMAGE("https://gymvisual.com/2870-catalog_default/band-horizontal-pallof-press.jpg",4,500,500)</f>
        <v/>
      </c>
      <c r="B162" s="30">
        <v>161.0</v>
      </c>
      <c r="C162" s="16" t="s">
        <v>520</v>
      </c>
      <c r="D162" s="16" t="s">
        <v>184</v>
      </c>
      <c r="E162" s="16" t="s">
        <v>254</v>
      </c>
      <c r="F162" s="16" t="s">
        <v>291</v>
      </c>
      <c r="G162" s="16" t="s">
        <v>257</v>
      </c>
      <c r="H162" s="16" t="s">
        <v>220</v>
      </c>
    </row>
    <row r="163" ht="20.25" customHeight="1">
      <c r="A163" s="32" t="str">
        <f>IMAGE("https://gymvisual.com/14058-catalog_default/band-horizontal-pallof-press-with-resistance-band-squat.jpg",4,500,500)</f>
        <v/>
      </c>
      <c r="B163" s="30">
        <v>162.0</v>
      </c>
      <c r="C163" s="16" t="s">
        <v>521</v>
      </c>
      <c r="D163" s="16" t="s">
        <v>184</v>
      </c>
      <c r="E163" s="16" t="s">
        <v>522</v>
      </c>
      <c r="F163" s="16" t="s">
        <v>523</v>
      </c>
      <c r="G163" s="16" t="s">
        <v>524</v>
      </c>
      <c r="H163" s="16" t="s">
        <v>220</v>
      </c>
    </row>
    <row r="164" ht="20.25" customHeight="1">
      <c r="A164" s="32" t="str">
        <f>IMAGE("https://gymvisual.com/2871-catalog_default/band-hyperextension.jpg",4,500,500)</f>
        <v/>
      </c>
      <c r="B164" s="30">
        <v>163.0</v>
      </c>
      <c r="C164" s="16" t="s">
        <v>525</v>
      </c>
      <c r="D164" s="16" t="s">
        <v>184</v>
      </c>
      <c r="E164" s="16" t="s">
        <v>192</v>
      </c>
      <c r="F164" s="16" t="s">
        <v>291</v>
      </c>
      <c r="G164" s="16" t="s">
        <v>267</v>
      </c>
      <c r="H164" s="16" t="s">
        <v>220</v>
      </c>
    </row>
    <row r="165" ht="20.25" customHeight="1">
      <c r="A165" s="32" t="str">
        <f>IMAGE("https://gymvisual.com/19565-catalog_default/band-incline-bench-press.jpg",4,500,500)</f>
        <v/>
      </c>
      <c r="B165" s="30">
        <v>164.0</v>
      </c>
      <c r="C165" s="16" t="s">
        <v>526</v>
      </c>
      <c r="D165" s="16" t="s">
        <v>184</v>
      </c>
      <c r="E165" s="16" t="s">
        <v>234</v>
      </c>
      <c r="F165" s="16" t="s">
        <v>291</v>
      </c>
      <c r="G165" s="16" t="s">
        <v>220</v>
      </c>
      <c r="H165" s="16" t="s">
        <v>220</v>
      </c>
    </row>
    <row r="166" ht="20.25" customHeight="1">
      <c r="A166" s="32" t="str">
        <f>IMAGE("https://gymvisual.com/11182-catalog_default/band-jack-knife-sit-up-female.jpg",4,500,500)</f>
        <v/>
      </c>
      <c r="B166" s="30">
        <v>165.0</v>
      </c>
      <c r="C166" s="16" t="s">
        <v>527</v>
      </c>
      <c r="D166" s="16" t="s">
        <v>184</v>
      </c>
      <c r="E166" s="16" t="s">
        <v>310</v>
      </c>
      <c r="F166" s="16" t="s">
        <v>291</v>
      </c>
      <c r="G166" s="16" t="s">
        <v>220</v>
      </c>
      <c r="H166" s="16" t="s">
        <v>220</v>
      </c>
    </row>
    <row r="167" ht="20.25" customHeight="1">
      <c r="A167" s="32" t="str">
        <f>IMAGE("https://gymvisual.com/2878-catalog_default/band-jack-knife-sit-up.jpg",4,500,500)</f>
        <v/>
      </c>
      <c r="B167" s="30">
        <v>166.0</v>
      </c>
      <c r="C167" s="16" t="s">
        <v>528</v>
      </c>
      <c r="D167" s="16" t="s">
        <v>184</v>
      </c>
      <c r="E167" s="16" t="s">
        <v>254</v>
      </c>
      <c r="F167" s="16" t="s">
        <v>291</v>
      </c>
      <c r="G167" s="16" t="s">
        <v>305</v>
      </c>
      <c r="H167" s="16" t="s">
        <v>529</v>
      </c>
    </row>
    <row r="168" ht="20.25" customHeight="1">
      <c r="A168" s="32" t="str">
        <f>IMAGE("https://gymvisual.com/2794-catalog_default/band-kickback.jpg",4,500,500)</f>
        <v/>
      </c>
      <c r="B168" s="30">
        <v>167.0</v>
      </c>
      <c r="C168" s="16" t="s">
        <v>530</v>
      </c>
      <c r="D168" s="16" t="s">
        <v>184</v>
      </c>
      <c r="E168" s="16" t="s">
        <v>219</v>
      </c>
      <c r="F168" s="16" t="s">
        <v>291</v>
      </c>
      <c r="G168" s="16" t="s">
        <v>223</v>
      </c>
      <c r="H168" s="16" t="s">
        <v>220</v>
      </c>
    </row>
    <row r="169" ht="20.25" customHeight="1">
      <c r="A169" s="32" t="str">
        <f>IMAGE("https://gymvisual.com/2872-catalog_default/band-kneeling-crunch.jpg",4,500,500)</f>
        <v/>
      </c>
      <c r="B169" s="30">
        <v>168.0</v>
      </c>
      <c r="C169" s="16" t="s">
        <v>531</v>
      </c>
      <c r="D169" s="16" t="s">
        <v>184</v>
      </c>
      <c r="E169" s="16" t="s">
        <v>254</v>
      </c>
      <c r="F169" s="16" t="s">
        <v>291</v>
      </c>
      <c r="G169" s="16" t="s">
        <v>256</v>
      </c>
      <c r="H169" s="16" t="s">
        <v>257</v>
      </c>
    </row>
    <row r="170" ht="20.25" customHeight="1">
      <c r="A170" s="32" t="str">
        <f>IMAGE("https://gymvisual.com/22113-catalog_default/band-kneeling-crunch-male.jpg",4,500,500)</f>
        <v/>
      </c>
      <c r="B170" s="30">
        <v>169.0</v>
      </c>
      <c r="C170" s="16" t="s">
        <v>532</v>
      </c>
      <c r="D170" s="16" t="s">
        <v>184</v>
      </c>
      <c r="E170" s="16" t="s">
        <v>254</v>
      </c>
      <c r="F170" s="16" t="s">
        <v>291</v>
      </c>
      <c r="G170" s="16" t="s">
        <v>256</v>
      </c>
      <c r="H170" s="16" t="s">
        <v>257</v>
      </c>
    </row>
    <row r="171" ht="20.25" customHeight="1">
      <c r="A171" s="32" t="str">
        <f>IMAGE("https://gymvisual.com/22193-catalog_default/band-kneeling-crunch-version-2-female.jpg",4,500,500)</f>
        <v/>
      </c>
      <c r="B171" s="30">
        <v>170.0</v>
      </c>
      <c r="C171" s="16" t="s">
        <v>533</v>
      </c>
      <c r="D171" s="16" t="s">
        <v>184</v>
      </c>
      <c r="E171" s="16" t="s">
        <v>254</v>
      </c>
      <c r="F171" s="16" t="s">
        <v>291</v>
      </c>
      <c r="G171" s="16" t="s">
        <v>220</v>
      </c>
      <c r="H171" s="16" t="s">
        <v>220</v>
      </c>
    </row>
    <row r="172" ht="20.25" customHeight="1">
      <c r="A172" s="32" t="str">
        <f>IMAGE("https://gymvisual.com/18913-catalog_default/band-kneeling-lat-pulldown.jpg",4,500,500)</f>
        <v/>
      </c>
      <c r="B172" s="30">
        <v>171.0</v>
      </c>
      <c r="C172" s="16" t="s">
        <v>534</v>
      </c>
      <c r="D172" s="16" t="s">
        <v>184</v>
      </c>
      <c r="E172" s="16" t="s">
        <v>192</v>
      </c>
      <c r="F172" s="16" t="s">
        <v>291</v>
      </c>
      <c r="G172" s="16" t="s">
        <v>300</v>
      </c>
      <c r="H172" s="16" t="s">
        <v>535</v>
      </c>
    </row>
    <row r="173" ht="20.25" customHeight="1">
      <c r="A173" s="32" t="str">
        <f>IMAGE("https://gymvisual.com/2880-catalog_default/band-kneeling-one-arm-pulldown.jpg",4,500,500)</f>
        <v/>
      </c>
      <c r="B173" s="30">
        <v>172.0</v>
      </c>
      <c r="C173" s="16" t="s">
        <v>536</v>
      </c>
      <c r="D173" s="16" t="s">
        <v>184</v>
      </c>
      <c r="E173" s="16" t="s">
        <v>192</v>
      </c>
      <c r="F173" s="16" t="s">
        <v>291</v>
      </c>
      <c r="G173" s="16" t="s">
        <v>300</v>
      </c>
      <c r="H173" s="16" t="s">
        <v>537</v>
      </c>
    </row>
    <row r="174" ht="20.25" customHeight="1">
      <c r="A174" s="32" t="str">
        <f>IMAGE("https://gymvisual.com/17077-catalog_default/band-kneeling-one-arm-pulldown-female.jpg",4,500,500)</f>
        <v/>
      </c>
      <c r="B174" s="30">
        <v>173.0</v>
      </c>
      <c r="C174" s="16" t="s">
        <v>538</v>
      </c>
      <c r="D174" s="16" t="s">
        <v>184</v>
      </c>
      <c r="E174" s="16" t="s">
        <v>192</v>
      </c>
      <c r="F174" s="16" t="s">
        <v>291</v>
      </c>
      <c r="G174" s="16" t="s">
        <v>300</v>
      </c>
      <c r="H174" s="16" t="s">
        <v>387</v>
      </c>
    </row>
    <row r="175" ht="20.25" customHeight="1">
      <c r="A175" s="32" t="str">
        <f>IMAGE("https://gymvisual.com/20555-catalog_default/band-kneeling-preacher-curl-male.jpg",4,500,500)</f>
        <v/>
      </c>
      <c r="B175" s="30">
        <v>174.0</v>
      </c>
      <c r="C175" s="16" t="s">
        <v>539</v>
      </c>
      <c r="D175" s="16" t="s">
        <v>184</v>
      </c>
      <c r="E175" s="16" t="s">
        <v>219</v>
      </c>
      <c r="F175" s="16" t="s">
        <v>291</v>
      </c>
      <c r="G175" s="16" t="s">
        <v>241</v>
      </c>
      <c r="H175" s="16" t="s">
        <v>292</v>
      </c>
    </row>
    <row r="176" ht="20.25" customHeight="1">
      <c r="A176" s="32" t="str">
        <f>IMAGE("https://gymvisual.com/2796-catalog_default/band-kneeling-pulldown.jpg",4,500,500)</f>
        <v/>
      </c>
      <c r="B176" s="30">
        <v>175.0</v>
      </c>
      <c r="C176" s="16" t="s">
        <v>540</v>
      </c>
      <c r="D176" s="16" t="s">
        <v>184</v>
      </c>
      <c r="E176" s="16" t="s">
        <v>192</v>
      </c>
      <c r="F176" s="16" t="s">
        <v>291</v>
      </c>
      <c r="G176" s="16" t="s">
        <v>300</v>
      </c>
      <c r="H176" s="16" t="s">
        <v>387</v>
      </c>
    </row>
    <row r="177" ht="20.25" customHeight="1">
      <c r="A177" s="32" t="str">
        <f>IMAGE("https://gymvisual.com/2873-catalog_default/band-kneeling-rear-kick.jpg",4,500,500)</f>
        <v/>
      </c>
      <c r="B177" s="30">
        <v>176.0</v>
      </c>
      <c r="C177" s="16" t="s">
        <v>541</v>
      </c>
      <c r="D177" s="16" t="s">
        <v>184</v>
      </c>
      <c r="E177" s="16" t="s">
        <v>185</v>
      </c>
      <c r="F177" s="16" t="s">
        <v>291</v>
      </c>
      <c r="G177" s="16" t="s">
        <v>187</v>
      </c>
      <c r="H177" s="16" t="s">
        <v>220</v>
      </c>
    </row>
    <row r="178" ht="20.25" customHeight="1">
      <c r="A178" s="32" t="str">
        <f>IMAGE("https://gymvisual.com/2882-catalog_default/band-kneeling-twisting-crunch.jpg",4,500,500)</f>
        <v/>
      </c>
      <c r="B178" s="30">
        <v>177.0</v>
      </c>
      <c r="C178" s="16" t="s">
        <v>542</v>
      </c>
      <c r="D178" s="16" t="s">
        <v>184</v>
      </c>
      <c r="E178" s="16" t="s">
        <v>254</v>
      </c>
      <c r="F178" s="16" t="s">
        <v>291</v>
      </c>
      <c r="G178" s="16" t="s">
        <v>257</v>
      </c>
      <c r="H178" s="16" t="s">
        <v>256</v>
      </c>
    </row>
    <row r="179" ht="20.25" customHeight="1">
      <c r="A179" s="32" t="str">
        <f>IMAGE("https://gymvisual.com/2798-catalog_default/band-lateral-raise.jpg",4,500,500)</f>
        <v/>
      </c>
      <c r="B179" s="30">
        <v>178.0</v>
      </c>
      <c r="C179" s="16" t="s">
        <v>543</v>
      </c>
      <c r="D179" s="16" t="s">
        <v>184</v>
      </c>
      <c r="E179" s="16" t="s">
        <v>228</v>
      </c>
      <c r="F179" s="16" t="s">
        <v>291</v>
      </c>
      <c r="G179" s="16" t="s">
        <v>544</v>
      </c>
      <c r="H179" s="16" t="s">
        <v>545</v>
      </c>
    </row>
    <row r="180" ht="20.25" customHeight="1">
      <c r="A180" s="32" t="str">
        <f>IMAGE("https://gymvisual.com/6749-catalog_default/band-lateral-raise-version-2.jpg",4,500,500)</f>
        <v/>
      </c>
      <c r="B180" s="30">
        <v>179.0</v>
      </c>
      <c r="C180" s="16" t="s">
        <v>546</v>
      </c>
      <c r="D180" s="16" t="s">
        <v>184</v>
      </c>
      <c r="E180" s="16" t="s">
        <v>228</v>
      </c>
      <c r="F180" s="16" t="s">
        <v>291</v>
      </c>
      <c r="G180" s="16" t="s">
        <v>544</v>
      </c>
      <c r="H180" s="16" t="s">
        <v>545</v>
      </c>
    </row>
    <row r="181" ht="20.25" customHeight="1">
      <c r="A181" s="32" t="str">
        <f>IMAGE("https://gymvisual.com/22742-catalog_default/band-low-alternate-chest-press-male.jpg",4,500,500)</f>
        <v/>
      </c>
      <c r="B181" s="30">
        <v>180.0</v>
      </c>
      <c r="C181" s="16" t="s">
        <v>547</v>
      </c>
      <c r="D181" s="16" t="s">
        <v>184</v>
      </c>
      <c r="E181" s="16" t="s">
        <v>234</v>
      </c>
      <c r="F181" s="16" t="s">
        <v>291</v>
      </c>
      <c r="G181" s="16" t="s">
        <v>347</v>
      </c>
      <c r="H181" s="16" t="s">
        <v>382</v>
      </c>
    </row>
    <row r="182" ht="20.25" customHeight="1">
      <c r="A182" s="32" t="str">
        <f>IMAGE("https://gymvisual.com/18938-catalog_default/band-low-chest-fly-male.jpg",4,500,500)</f>
        <v/>
      </c>
      <c r="B182" s="30">
        <v>181.0</v>
      </c>
      <c r="C182" s="16" t="s">
        <v>548</v>
      </c>
      <c r="D182" s="16" t="s">
        <v>184</v>
      </c>
      <c r="E182" s="16" t="s">
        <v>234</v>
      </c>
      <c r="F182" s="16" t="s">
        <v>291</v>
      </c>
      <c r="G182" s="16" t="s">
        <v>235</v>
      </c>
      <c r="H182" s="16" t="s">
        <v>236</v>
      </c>
    </row>
    <row r="183" ht="20.25" customHeight="1">
      <c r="A183" s="32" t="str">
        <f>IMAGE("https://gymvisual.com/18907-catalog_default/band-low-chest-press-male.jpg",4,500,500)</f>
        <v/>
      </c>
      <c r="B183" s="30">
        <v>182.0</v>
      </c>
      <c r="C183" s="16" t="s">
        <v>549</v>
      </c>
      <c r="D183" s="16" t="s">
        <v>184</v>
      </c>
      <c r="E183" s="16" t="s">
        <v>234</v>
      </c>
      <c r="F183" s="16" t="s">
        <v>291</v>
      </c>
      <c r="G183" s="16" t="s">
        <v>235</v>
      </c>
      <c r="H183" s="16" t="s">
        <v>243</v>
      </c>
    </row>
    <row r="184" ht="20.25" customHeight="1">
      <c r="A184" s="32" t="str">
        <f>IMAGE("https://gymvisual.com/2799-catalog_default/band-low-fly.jpg",4,500,500)</f>
        <v/>
      </c>
      <c r="B184" s="30">
        <v>183.0</v>
      </c>
      <c r="C184" s="16" t="s">
        <v>550</v>
      </c>
      <c r="D184" s="16" t="s">
        <v>184</v>
      </c>
      <c r="E184" s="16" t="s">
        <v>234</v>
      </c>
      <c r="F184" s="16" t="s">
        <v>291</v>
      </c>
      <c r="G184" s="16" t="s">
        <v>415</v>
      </c>
      <c r="H184" s="16" t="s">
        <v>236</v>
      </c>
    </row>
    <row r="185" ht="20.25" customHeight="1">
      <c r="A185" s="32" t="str">
        <f>IMAGE("https://gymvisual.com/2800-catalog_default/band-lunges.jpg",4,500,500)</f>
        <v/>
      </c>
      <c r="B185" s="30">
        <v>184.0</v>
      </c>
      <c r="C185" s="16" t="s">
        <v>551</v>
      </c>
      <c r="D185" s="16" t="s">
        <v>184</v>
      </c>
      <c r="E185" s="16" t="s">
        <v>285</v>
      </c>
      <c r="F185" s="16" t="s">
        <v>291</v>
      </c>
      <c r="G185" s="16" t="s">
        <v>552</v>
      </c>
      <c r="H185" s="16" t="s">
        <v>553</v>
      </c>
    </row>
    <row r="186" ht="20.25" customHeight="1">
      <c r="A186" s="32" t="str">
        <f>IMAGE("https://gymvisual.com/2879-catalog_default/band-lying-hip-external-rotation.jpg",4,500,500)</f>
        <v/>
      </c>
      <c r="B186" s="30">
        <v>185.0</v>
      </c>
      <c r="C186" s="16" t="s">
        <v>554</v>
      </c>
      <c r="D186" s="16" t="s">
        <v>184</v>
      </c>
      <c r="E186" s="16" t="s">
        <v>185</v>
      </c>
      <c r="F186" s="16" t="s">
        <v>291</v>
      </c>
      <c r="G186" s="16" t="s">
        <v>555</v>
      </c>
      <c r="H186" s="16" t="s">
        <v>220</v>
      </c>
    </row>
    <row r="187" ht="20.25" customHeight="1">
      <c r="A187" s="32" t="str">
        <f>IMAGE("https://gymvisual.com/13313-catalog_default/band-lying-hip-external-rotation-female.jpg",4,500,500)</f>
        <v/>
      </c>
      <c r="B187" s="30">
        <v>186.0</v>
      </c>
      <c r="C187" s="16" t="s">
        <v>556</v>
      </c>
      <c r="D187" s="16" t="s">
        <v>184</v>
      </c>
      <c r="E187" s="16" t="s">
        <v>185</v>
      </c>
      <c r="F187" s="16" t="s">
        <v>255</v>
      </c>
      <c r="G187" s="16" t="s">
        <v>220</v>
      </c>
      <c r="H187" s="16" t="s">
        <v>220</v>
      </c>
    </row>
    <row r="188" ht="20.25" customHeight="1">
      <c r="A188" s="32" t="str">
        <f>IMAGE("https://gymvisual.com/2881-catalog_default/band-lying-hip-internal-rotation.jpg",4,500,500)</f>
        <v/>
      </c>
      <c r="B188" s="30">
        <v>187.0</v>
      </c>
      <c r="C188" s="16" t="s">
        <v>557</v>
      </c>
      <c r="D188" s="16" t="s">
        <v>184</v>
      </c>
      <c r="E188" s="16" t="s">
        <v>185</v>
      </c>
      <c r="F188" s="16" t="s">
        <v>291</v>
      </c>
      <c r="G188" s="16" t="s">
        <v>508</v>
      </c>
      <c r="H188" s="16" t="s">
        <v>220</v>
      </c>
    </row>
    <row r="189" ht="20.25" customHeight="1">
      <c r="A189" s="32" t="str">
        <f>IMAGE("https://gymvisual.com/13315-catalog_default/band-lying-hip-internal-rotation-female.jpg",4,500,500)</f>
        <v/>
      </c>
      <c r="B189" s="30">
        <v>188.0</v>
      </c>
      <c r="C189" s="16" t="s">
        <v>558</v>
      </c>
      <c r="D189" s="16" t="s">
        <v>184</v>
      </c>
      <c r="E189" s="16" t="s">
        <v>185</v>
      </c>
      <c r="F189" s="16" t="s">
        <v>291</v>
      </c>
      <c r="G189" s="16" t="s">
        <v>220</v>
      </c>
      <c r="H189" s="16" t="s">
        <v>220</v>
      </c>
    </row>
    <row r="190" ht="20.25" customHeight="1">
      <c r="A190" s="32" t="str">
        <f>IMAGE("https://gymvisual.com/2801-catalog_default/band-lying-leg-and-hip-raise.jpg",4,500,500)</f>
        <v/>
      </c>
      <c r="B190" s="30">
        <v>189.0</v>
      </c>
      <c r="C190" s="16" t="s">
        <v>559</v>
      </c>
      <c r="D190" s="16" t="s">
        <v>184</v>
      </c>
      <c r="E190" s="16" t="s">
        <v>254</v>
      </c>
      <c r="F190" s="16" t="s">
        <v>291</v>
      </c>
      <c r="G190" s="16" t="s">
        <v>305</v>
      </c>
      <c r="H190" s="16" t="s">
        <v>371</v>
      </c>
    </row>
    <row r="191" ht="20.25" customHeight="1">
      <c r="A191" s="32" t="str">
        <f>IMAGE("https://gymvisual.com/2802-catalog_default/band-lying-leg-curl.jpg",4,500,500)</f>
        <v/>
      </c>
      <c r="B191" s="30">
        <v>190.0</v>
      </c>
      <c r="C191" s="16" t="s">
        <v>560</v>
      </c>
      <c r="D191" s="16" t="s">
        <v>184</v>
      </c>
      <c r="E191" s="16" t="s">
        <v>285</v>
      </c>
      <c r="F191" s="16" t="s">
        <v>291</v>
      </c>
      <c r="G191" s="16" t="s">
        <v>188</v>
      </c>
      <c r="H191" s="16" t="s">
        <v>561</v>
      </c>
    </row>
    <row r="192" ht="20.25" customHeight="1">
      <c r="A192" s="32" t="str">
        <f>IMAGE("https://gymvisual.com/2803-catalog_default/band-lying-leg-raise.jpg",4,500,500)</f>
        <v/>
      </c>
      <c r="B192" s="30">
        <v>191.0</v>
      </c>
      <c r="C192" s="16" t="s">
        <v>562</v>
      </c>
      <c r="D192" s="16" t="s">
        <v>184</v>
      </c>
      <c r="E192" s="16" t="s">
        <v>185</v>
      </c>
      <c r="F192" s="16" t="s">
        <v>291</v>
      </c>
      <c r="G192" s="16" t="s">
        <v>271</v>
      </c>
      <c r="H192" s="16" t="s">
        <v>563</v>
      </c>
    </row>
    <row r="193" ht="20.25" customHeight="1">
      <c r="A193" s="32" t="str">
        <f>IMAGE("https://gymvisual.com/22135-catalog_default/band-lying-reverse-grip-pressdown.jpg",4,500,500)</f>
        <v/>
      </c>
      <c r="B193" s="30">
        <v>192.0</v>
      </c>
      <c r="C193" s="16" t="s">
        <v>564</v>
      </c>
      <c r="D193" s="16" t="s">
        <v>184</v>
      </c>
      <c r="E193" s="16" t="s">
        <v>219</v>
      </c>
      <c r="F193" s="16" t="s">
        <v>291</v>
      </c>
      <c r="G193" s="16" t="s">
        <v>220</v>
      </c>
      <c r="H193" s="16" t="s">
        <v>220</v>
      </c>
    </row>
    <row r="194" ht="20.25" customHeight="1">
      <c r="A194" s="32" t="str">
        <f>IMAGE("https://gymvisual.com/2899-catalog_default/band-lying-straight-leg-raise.jpg",4,500,500)</f>
        <v/>
      </c>
      <c r="B194" s="30">
        <v>193.0</v>
      </c>
      <c r="C194" s="16" t="s">
        <v>565</v>
      </c>
      <c r="D194" s="16" t="s">
        <v>184</v>
      </c>
      <c r="E194" s="16" t="s">
        <v>185</v>
      </c>
      <c r="F194" s="16" t="s">
        <v>291</v>
      </c>
      <c r="G194" s="16" t="s">
        <v>271</v>
      </c>
      <c r="H194" s="16" t="s">
        <v>566</v>
      </c>
    </row>
    <row r="195" ht="20.25" customHeight="1">
      <c r="A195" s="32" t="str">
        <f>IMAGE("https://gymvisual.com/2804-catalog_default/band-middle-fly.jpg",4,500,500)</f>
        <v/>
      </c>
      <c r="B195" s="30">
        <v>194.0</v>
      </c>
      <c r="C195" s="16" t="s">
        <v>567</v>
      </c>
      <c r="D195" s="16" t="s">
        <v>184</v>
      </c>
      <c r="E195" s="16" t="s">
        <v>234</v>
      </c>
      <c r="F195" s="16" t="s">
        <v>291</v>
      </c>
      <c r="G195" s="16" t="s">
        <v>347</v>
      </c>
      <c r="H195" s="16" t="s">
        <v>568</v>
      </c>
    </row>
    <row r="196" ht="20.25" customHeight="1">
      <c r="A196" s="32" t="str">
        <f>IMAGE("https://gymvisual.com/22600-catalog_default/band-narrow-grip-high-row.jpg",4,500,500)</f>
        <v/>
      </c>
      <c r="B196" s="30">
        <v>195.0</v>
      </c>
      <c r="C196" s="16" t="s">
        <v>569</v>
      </c>
      <c r="D196" s="16" t="s">
        <v>184</v>
      </c>
      <c r="E196" s="16" t="s">
        <v>192</v>
      </c>
      <c r="F196" s="16" t="s">
        <v>291</v>
      </c>
      <c r="G196" s="16" t="s">
        <v>570</v>
      </c>
      <c r="H196" s="16" t="s">
        <v>447</v>
      </c>
    </row>
    <row r="197" ht="20.25" customHeight="1">
      <c r="A197" s="32" t="str">
        <f>IMAGE("https://gymvisual.com/22752-catalog_default/band-narrow-grip-high-row-version-2.jpg",4,500,500)</f>
        <v/>
      </c>
      <c r="B197" s="30">
        <v>196.0</v>
      </c>
      <c r="C197" s="16" t="s">
        <v>571</v>
      </c>
      <c r="D197" s="16" t="s">
        <v>184</v>
      </c>
      <c r="E197" s="16" t="s">
        <v>192</v>
      </c>
      <c r="F197" s="16" t="s">
        <v>291</v>
      </c>
      <c r="G197" s="16" t="s">
        <v>570</v>
      </c>
      <c r="H197" s="16" t="s">
        <v>447</v>
      </c>
    </row>
    <row r="198" ht="20.25" customHeight="1">
      <c r="A198" s="32" t="str">
        <f>IMAGE("https://gymvisual.com/2883-catalog_default/band-one-arm-overhead-biceps-cur.jpg",4,500,500)</f>
        <v/>
      </c>
      <c r="B198" s="30">
        <v>197.0</v>
      </c>
      <c r="C198" s="16" t="s">
        <v>572</v>
      </c>
      <c r="D198" s="16" t="s">
        <v>184</v>
      </c>
      <c r="E198" s="16" t="s">
        <v>219</v>
      </c>
      <c r="F198" s="16" t="s">
        <v>291</v>
      </c>
      <c r="G198" s="16" t="s">
        <v>232</v>
      </c>
      <c r="H198" s="16" t="s">
        <v>233</v>
      </c>
    </row>
    <row r="199" ht="20.25" customHeight="1">
      <c r="A199" s="32" t="str">
        <f>IMAGE("https://gymvisual.com/2884-catalog_default/band-one-arm-single-leg-split-squat.jpg",4,500,500)</f>
        <v/>
      </c>
      <c r="B199" s="30">
        <v>198.0</v>
      </c>
      <c r="C199" s="16" t="s">
        <v>573</v>
      </c>
      <c r="D199" s="16" t="s">
        <v>184</v>
      </c>
      <c r="E199" s="16" t="s">
        <v>185</v>
      </c>
      <c r="F199" s="16" t="s">
        <v>291</v>
      </c>
      <c r="G199" s="16" t="s">
        <v>187</v>
      </c>
      <c r="H199" s="16" t="s">
        <v>480</v>
      </c>
    </row>
    <row r="200" ht="20.25" customHeight="1">
      <c r="A200" s="32" t="str">
        <f>IMAGE("https://gymvisual.com/2885-catalog_default/band-one-arm-standing-low-row.jpg",4,500,500)</f>
        <v/>
      </c>
      <c r="B200" s="30">
        <v>199.0</v>
      </c>
      <c r="C200" s="16" t="s">
        <v>574</v>
      </c>
      <c r="D200" s="16" t="s">
        <v>184</v>
      </c>
      <c r="E200" s="16" t="s">
        <v>192</v>
      </c>
      <c r="F200" s="16" t="s">
        <v>291</v>
      </c>
      <c r="G200" s="16" t="s">
        <v>329</v>
      </c>
      <c r="H200" s="16" t="s">
        <v>457</v>
      </c>
    </row>
    <row r="201" ht="20.25" customHeight="1">
      <c r="A201" s="32" t="str">
        <f>IMAGE("https://gymvisual.com/19008-catalog_default/band-one-arm-standing-wide-grip-low-row.jpg",4,500,500)</f>
        <v/>
      </c>
      <c r="B201" s="30">
        <v>200.0</v>
      </c>
      <c r="C201" s="16" t="s">
        <v>575</v>
      </c>
      <c r="D201" s="16" t="s">
        <v>184</v>
      </c>
      <c r="E201" s="16" t="s">
        <v>192</v>
      </c>
      <c r="F201" s="16" t="s">
        <v>291</v>
      </c>
      <c r="G201" s="16" t="s">
        <v>329</v>
      </c>
      <c r="H201" s="16" t="s">
        <v>447</v>
      </c>
    </row>
    <row r="202" ht="20.25" customHeight="1">
      <c r="A202" s="32" t="str">
        <f>IMAGE("https://gymvisual.com/2886-catalog_default/band-one-arm-twisting-chest-press.jpg",4,500,500)</f>
        <v/>
      </c>
      <c r="B202" s="30">
        <v>201.0</v>
      </c>
      <c r="C202" s="16" t="s">
        <v>576</v>
      </c>
      <c r="D202" s="16" t="s">
        <v>184</v>
      </c>
      <c r="E202" s="16" t="s">
        <v>234</v>
      </c>
      <c r="F202" s="16" t="s">
        <v>291</v>
      </c>
      <c r="G202" s="16" t="s">
        <v>347</v>
      </c>
      <c r="H202" s="16" t="s">
        <v>577</v>
      </c>
    </row>
    <row r="203" ht="20.25" customHeight="1">
      <c r="A203" s="32" t="str">
        <f>IMAGE("https://gymvisual.com/2887-catalog_default/band-one-arm-twisting-seated-row.jpg",4,500,500)</f>
        <v/>
      </c>
      <c r="B203" s="30">
        <v>202.0</v>
      </c>
      <c r="C203" s="16" t="s">
        <v>578</v>
      </c>
      <c r="D203" s="16" t="s">
        <v>184</v>
      </c>
      <c r="E203" s="16" t="s">
        <v>192</v>
      </c>
      <c r="F203" s="16" t="s">
        <v>291</v>
      </c>
      <c r="G203" s="16" t="s">
        <v>329</v>
      </c>
      <c r="H203" s="16" t="s">
        <v>579</v>
      </c>
    </row>
    <row r="204" ht="20.25" customHeight="1">
      <c r="A204" s="32" t="str">
        <f>IMAGE("https://gymvisual.com/17079-catalog_default/band-one-arm-twisting-seated-row-female.jpg",4,500,500)</f>
        <v/>
      </c>
      <c r="B204" s="30">
        <v>203.0</v>
      </c>
      <c r="C204" s="16" t="s">
        <v>580</v>
      </c>
      <c r="D204" s="16" t="s">
        <v>184</v>
      </c>
      <c r="E204" s="16" t="s">
        <v>361</v>
      </c>
      <c r="F204" s="16" t="s">
        <v>291</v>
      </c>
      <c r="G204" s="16" t="s">
        <v>362</v>
      </c>
      <c r="H204" s="16" t="s">
        <v>447</v>
      </c>
    </row>
    <row r="205" ht="20.25" customHeight="1">
      <c r="A205" s="32" t="str">
        <f>IMAGE("https://gymvisual.com/22115-catalog_default/band-overhead-side-bend-male.jpg",4,500,500)</f>
        <v/>
      </c>
      <c r="B205" s="30">
        <v>204.0</v>
      </c>
      <c r="C205" s="16" t="s">
        <v>581</v>
      </c>
      <c r="D205" s="16" t="s">
        <v>184</v>
      </c>
      <c r="E205" s="16" t="s">
        <v>254</v>
      </c>
      <c r="F205" s="16" t="s">
        <v>291</v>
      </c>
      <c r="G205" s="16" t="s">
        <v>257</v>
      </c>
      <c r="H205" s="16" t="s">
        <v>271</v>
      </c>
    </row>
    <row r="206" ht="20.25" customHeight="1">
      <c r="A206" s="32" t="str">
        <f>IMAGE("https://gymvisual.com/22133-catalog_default/band-overhead-single-arm-triceps-extension.jpg",4,500,500)</f>
        <v/>
      </c>
      <c r="B206" s="30">
        <v>205.0</v>
      </c>
      <c r="C206" s="16" t="s">
        <v>582</v>
      </c>
      <c r="D206" s="16" t="s">
        <v>184</v>
      </c>
      <c r="E206" s="16" t="s">
        <v>219</v>
      </c>
      <c r="F206" s="16" t="s">
        <v>291</v>
      </c>
      <c r="G206" s="16" t="s">
        <v>223</v>
      </c>
      <c r="H206" s="16" t="s">
        <v>220</v>
      </c>
    </row>
    <row r="207" ht="20.25" customHeight="1">
      <c r="A207" s="32" t="str">
        <f>IMAGE("https://gymvisual.com/19691-catalog_default/band-overhead-single-arm-triceps-extension-version-2.jpg",4,500,500)</f>
        <v/>
      </c>
      <c r="B207" s="30">
        <v>206.0</v>
      </c>
      <c r="C207" s="16" t="s">
        <v>583</v>
      </c>
      <c r="D207" s="16" t="s">
        <v>184</v>
      </c>
      <c r="E207" s="16" t="s">
        <v>219</v>
      </c>
      <c r="F207" s="16" t="s">
        <v>291</v>
      </c>
      <c r="G207" s="16" t="s">
        <v>223</v>
      </c>
      <c r="H207" s="16" t="s">
        <v>220</v>
      </c>
    </row>
    <row r="208" ht="20.25" customHeight="1">
      <c r="A208" s="32" t="str">
        <f>IMAGE("https://gymvisual.com/2805-catalog_default/band-overhead-triceps-extension.jpg",4,500,500)</f>
        <v/>
      </c>
      <c r="B208" s="30">
        <v>207.0</v>
      </c>
      <c r="C208" s="16" t="s">
        <v>584</v>
      </c>
      <c r="D208" s="16" t="s">
        <v>184</v>
      </c>
      <c r="E208" s="16" t="s">
        <v>219</v>
      </c>
      <c r="F208" s="16" t="s">
        <v>291</v>
      </c>
      <c r="G208" s="16" t="s">
        <v>223</v>
      </c>
      <c r="H208" s="16" t="s">
        <v>220</v>
      </c>
    </row>
    <row r="209" ht="20.25" customHeight="1">
      <c r="A209" s="32" t="str">
        <f>IMAGE("https://gymvisual.com/17278-catalog_default/band-overhead-triceps-extension-male.jpg",4,500,500)</f>
        <v/>
      </c>
      <c r="B209" s="30">
        <v>208.0</v>
      </c>
      <c r="C209" s="16" t="s">
        <v>585</v>
      </c>
      <c r="D209" s="16" t="s">
        <v>184</v>
      </c>
      <c r="E209" s="16" t="s">
        <v>219</v>
      </c>
      <c r="F209" s="16" t="s">
        <v>291</v>
      </c>
      <c r="G209" s="16" t="s">
        <v>223</v>
      </c>
      <c r="H209" s="16" t="s">
        <v>220</v>
      </c>
    </row>
    <row r="210" ht="20.25" customHeight="1">
      <c r="A210" s="32" t="str">
        <f>IMAGE("https://gymvisual.com/22131-catalog_default/band-overhead-triceps-extension-version-2.jpg",4,500,500)</f>
        <v/>
      </c>
      <c r="B210" s="30">
        <v>209.0</v>
      </c>
      <c r="C210" s="16" t="s">
        <v>586</v>
      </c>
      <c r="D210" s="16" t="s">
        <v>184</v>
      </c>
      <c r="E210" s="16" t="s">
        <v>219</v>
      </c>
      <c r="F210" s="16" t="s">
        <v>291</v>
      </c>
      <c r="G210" s="16" t="s">
        <v>223</v>
      </c>
      <c r="H210" s="16" t="s">
        <v>220</v>
      </c>
    </row>
    <row r="211" ht="20.25" customHeight="1">
      <c r="A211" s="32" t="str">
        <f>IMAGE("https://gymvisual.com/18915-catalog_default/band-overhead-triceps-extension-version-2-male.jpg",4,500,500)</f>
        <v/>
      </c>
      <c r="B211" s="30">
        <v>210.0</v>
      </c>
      <c r="C211" s="16" t="s">
        <v>587</v>
      </c>
      <c r="D211" s="16" t="s">
        <v>184</v>
      </c>
      <c r="E211" s="16" t="s">
        <v>219</v>
      </c>
      <c r="F211" s="16" t="s">
        <v>291</v>
      </c>
      <c r="G211" s="16" t="s">
        <v>223</v>
      </c>
      <c r="H211" s="16" t="s">
        <v>220</v>
      </c>
    </row>
    <row r="212" ht="20.25" customHeight="1">
      <c r="A212" s="32" t="str">
        <f>IMAGE("https://gymvisual.com/6739-catalog_default/band-pull-apart.jpg",4,500,500)</f>
        <v/>
      </c>
      <c r="B212" s="30">
        <v>211.0</v>
      </c>
      <c r="C212" s="16" t="s">
        <v>588</v>
      </c>
      <c r="D212" s="16" t="s">
        <v>184</v>
      </c>
      <c r="E212" s="16" t="s">
        <v>228</v>
      </c>
      <c r="F212" s="16" t="s">
        <v>291</v>
      </c>
      <c r="G212" s="16" t="s">
        <v>220</v>
      </c>
      <c r="H212" s="16" t="s">
        <v>220</v>
      </c>
    </row>
    <row r="213" ht="20.25" customHeight="1">
      <c r="A213" s="32" t="str">
        <f>IMAGE("https://gymvisual.com/2888-catalog_default/band-pull-through.jpg",4,500,500)</f>
        <v/>
      </c>
      <c r="B213" s="30">
        <v>212.0</v>
      </c>
      <c r="C213" s="16" t="s">
        <v>589</v>
      </c>
      <c r="D213" s="16" t="s">
        <v>184</v>
      </c>
      <c r="E213" s="16" t="s">
        <v>185</v>
      </c>
      <c r="F213" s="16" t="s">
        <v>291</v>
      </c>
      <c r="G213" s="16" t="s">
        <v>187</v>
      </c>
      <c r="H213" s="16" t="s">
        <v>590</v>
      </c>
    </row>
    <row r="214" ht="20.25" customHeight="1">
      <c r="A214" s="32" t="str">
        <f>IMAGE("https://gymvisual.com/13317-catalog_default/band-pull-through-female.jpg",4,500,500)</f>
        <v/>
      </c>
      <c r="B214" s="30">
        <v>213.0</v>
      </c>
      <c r="C214" s="16" t="s">
        <v>591</v>
      </c>
      <c r="D214" s="16" t="s">
        <v>184</v>
      </c>
      <c r="E214" s="16" t="s">
        <v>185</v>
      </c>
      <c r="F214" s="16" t="s">
        <v>291</v>
      </c>
      <c r="G214" s="16" t="s">
        <v>187</v>
      </c>
      <c r="H214" s="16" t="s">
        <v>188</v>
      </c>
    </row>
    <row r="215" ht="20.25" customHeight="1">
      <c r="A215" s="32" t="str">
        <f>IMAGE("https://gymvisual.com/2889-catalog_default/band-push-sit-up.jpg",4,500,500)</f>
        <v/>
      </c>
      <c r="B215" s="30">
        <v>214.0</v>
      </c>
      <c r="C215" s="16" t="s">
        <v>592</v>
      </c>
      <c r="D215" s="16" t="s">
        <v>184</v>
      </c>
      <c r="E215" s="16" t="s">
        <v>254</v>
      </c>
      <c r="F215" s="16" t="s">
        <v>291</v>
      </c>
      <c r="G215" s="16" t="s">
        <v>305</v>
      </c>
      <c r="H215" s="16" t="s">
        <v>593</v>
      </c>
    </row>
    <row r="216" ht="20.25" customHeight="1">
      <c r="A216" s="32" t="str">
        <f>IMAGE("https://gymvisual.com/2806-catalog_default/band-push-up.jpg",4,500,500)</f>
        <v/>
      </c>
      <c r="B216" s="30">
        <v>215.0</v>
      </c>
      <c r="C216" s="16" t="s">
        <v>594</v>
      </c>
      <c r="D216" s="16" t="s">
        <v>184</v>
      </c>
      <c r="E216" s="16" t="s">
        <v>234</v>
      </c>
      <c r="F216" s="16" t="s">
        <v>291</v>
      </c>
      <c r="G216" s="16" t="s">
        <v>347</v>
      </c>
      <c r="H216" s="16" t="s">
        <v>382</v>
      </c>
    </row>
    <row r="217" ht="20.25" customHeight="1">
      <c r="A217" s="32" t="str">
        <f>IMAGE("https://gymvisual.com/2807-catalog_default/band-pushdown.jpg",4,500,500)</f>
        <v/>
      </c>
      <c r="B217" s="30">
        <v>216.0</v>
      </c>
      <c r="C217" s="16" t="s">
        <v>595</v>
      </c>
      <c r="D217" s="16" t="s">
        <v>184</v>
      </c>
      <c r="E217" s="16" t="s">
        <v>219</v>
      </c>
      <c r="F217" s="16" t="s">
        <v>291</v>
      </c>
      <c r="G217" s="16" t="s">
        <v>223</v>
      </c>
      <c r="H217" s="16" t="s">
        <v>220</v>
      </c>
    </row>
    <row r="218" ht="20.25" customHeight="1">
      <c r="A218" s="32" t="str">
        <f>IMAGE("https://gymvisual.com/6737-catalog_default/band-pushdown.jpg",4,500,500)</f>
        <v/>
      </c>
      <c r="B218" s="30">
        <v>217.0</v>
      </c>
      <c r="C218" s="16" t="s">
        <v>596</v>
      </c>
      <c r="D218" s="16" t="s">
        <v>184</v>
      </c>
      <c r="E218" s="16" t="s">
        <v>219</v>
      </c>
      <c r="F218" s="16" t="s">
        <v>291</v>
      </c>
      <c r="G218" s="16" t="s">
        <v>223</v>
      </c>
      <c r="H218" s="16" t="s">
        <v>220</v>
      </c>
    </row>
    <row r="219" ht="20.25" customHeight="1">
      <c r="A219" s="32" t="str">
        <f>IMAGE("https://gymvisual.com/2903-catalog_default/band-rear-delt-row.jpg",4,500,500)</f>
        <v/>
      </c>
      <c r="B219" s="30">
        <v>218.0</v>
      </c>
      <c r="C219" s="16" t="s">
        <v>597</v>
      </c>
      <c r="D219" s="16" t="s">
        <v>184</v>
      </c>
      <c r="E219" s="16" t="s">
        <v>228</v>
      </c>
      <c r="F219" s="16" t="s">
        <v>291</v>
      </c>
      <c r="G219" s="16" t="s">
        <v>408</v>
      </c>
      <c r="H219" s="16" t="s">
        <v>490</v>
      </c>
    </row>
    <row r="220" ht="20.25" customHeight="1">
      <c r="A220" s="32" t="str">
        <f>IMAGE("https://gymvisual.com/19497-catalog_default/band-resisted-chin-up.jpg",4,500,500)</f>
        <v/>
      </c>
      <c r="B220" s="30">
        <v>219.0</v>
      </c>
      <c r="C220" s="16" t="s">
        <v>598</v>
      </c>
      <c r="D220" s="16" t="s">
        <v>184</v>
      </c>
      <c r="E220" s="16" t="s">
        <v>192</v>
      </c>
      <c r="F220" s="16" t="s">
        <v>291</v>
      </c>
      <c r="G220" s="16" t="s">
        <v>220</v>
      </c>
      <c r="H220" s="16" t="s">
        <v>220</v>
      </c>
    </row>
    <row r="221" ht="20.25" customHeight="1">
      <c r="A221" s="32" t="str">
        <f>IMAGE("https://gymvisual.com/22748-catalog_default/band-reverse-crunch-male.jpg",4,500,500)</f>
        <v/>
      </c>
      <c r="B221" s="30">
        <v>220.0</v>
      </c>
      <c r="C221" s="16" t="s">
        <v>599</v>
      </c>
      <c r="D221" s="16" t="s">
        <v>184</v>
      </c>
      <c r="E221" s="16" t="s">
        <v>254</v>
      </c>
      <c r="F221" s="16" t="s">
        <v>291</v>
      </c>
      <c r="G221" s="16" t="s">
        <v>305</v>
      </c>
      <c r="H221" s="16" t="s">
        <v>600</v>
      </c>
    </row>
    <row r="222" ht="20.25" customHeight="1">
      <c r="A222" s="32" t="str">
        <f>IMAGE("https://gymvisual.com/2808-catalog_default/band-reverse-curl.jpg",4,500,500)</f>
        <v/>
      </c>
      <c r="B222" s="30">
        <v>221.0</v>
      </c>
      <c r="C222" s="16" t="s">
        <v>601</v>
      </c>
      <c r="D222" s="16" t="s">
        <v>184</v>
      </c>
      <c r="E222" s="16" t="s">
        <v>214</v>
      </c>
      <c r="F222" s="16" t="s">
        <v>291</v>
      </c>
      <c r="G222" s="16" t="s">
        <v>216</v>
      </c>
      <c r="H222" s="16" t="s">
        <v>217</v>
      </c>
    </row>
    <row r="223" ht="20.25" customHeight="1">
      <c r="A223" s="32" t="str">
        <f>IMAGE("https://gymvisual.com/2890-catalog_default/band-reverse-fly.jpg",4,500,500)</f>
        <v/>
      </c>
      <c r="B223" s="30">
        <v>222.0</v>
      </c>
      <c r="C223" s="16" t="s">
        <v>602</v>
      </c>
      <c r="D223" s="16" t="s">
        <v>184</v>
      </c>
      <c r="E223" s="16" t="s">
        <v>228</v>
      </c>
      <c r="F223" s="16" t="s">
        <v>291</v>
      </c>
      <c r="G223" s="16" t="s">
        <v>408</v>
      </c>
      <c r="H223" s="16" t="s">
        <v>452</v>
      </c>
    </row>
    <row r="224" ht="20.25" customHeight="1">
      <c r="A224" s="32" t="str">
        <f>IMAGE("https://gymvisual.com/2891-catalog_default/band-reverse-wrist-curl.jpg",4,500,500)</f>
        <v/>
      </c>
      <c r="B224" s="30">
        <v>223.0</v>
      </c>
      <c r="C224" s="16" t="s">
        <v>603</v>
      </c>
      <c r="D224" s="16" t="s">
        <v>184</v>
      </c>
      <c r="E224" s="16" t="s">
        <v>214</v>
      </c>
      <c r="F224" s="16" t="s">
        <v>291</v>
      </c>
      <c r="G224" s="16" t="s">
        <v>604</v>
      </c>
      <c r="H224" s="16" t="s">
        <v>220</v>
      </c>
    </row>
    <row r="225" ht="20.25" customHeight="1">
      <c r="A225" s="32" t="str">
        <f>IMAGE("https://gymvisual.com/2892-catalog_default/band-seated-hip-external-rotation.jpg",4,500,500)</f>
        <v/>
      </c>
      <c r="B225" s="30">
        <v>224.0</v>
      </c>
      <c r="C225" s="16" t="s">
        <v>605</v>
      </c>
      <c r="D225" s="16" t="s">
        <v>184</v>
      </c>
      <c r="E225" s="16" t="s">
        <v>185</v>
      </c>
      <c r="F225" s="16" t="s">
        <v>291</v>
      </c>
      <c r="G225" s="16" t="s">
        <v>555</v>
      </c>
      <c r="H225" s="16" t="s">
        <v>220</v>
      </c>
    </row>
    <row r="226" ht="20.25" customHeight="1">
      <c r="A226" s="32" t="str">
        <f>IMAGE("https://gymvisual.com/2893-catalog_default/band-seated-hip-internal-rotation.jpg",4,500,500)</f>
        <v/>
      </c>
      <c r="B226" s="30">
        <v>225.0</v>
      </c>
      <c r="C226" s="16" t="s">
        <v>606</v>
      </c>
      <c r="D226" s="16" t="s">
        <v>184</v>
      </c>
      <c r="E226" s="16" t="s">
        <v>185</v>
      </c>
      <c r="F226" s="16" t="s">
        <v>291</v>
      </c>
      <c r="G226" s="16" t="s">
        <v>508</v>
      </c>
      <c r="H226" s="16" t="s">
        <v>220</v>
      </c>
    </row>
    <row r="227" ht="20.25" customHeight="1">
      <c r="A227" s="32" t="str">
        <f>IMAGE("https://gymvisual.com/14048-catalog_default/band-seated-leg-extension-female.jpg",4,500,500)</f>
        <v/>
      </c>
      <c r="B227" s="30">
        <v>226.0</v>
      </c>
      <c r="C227" s="16" t="s">
        <v>607</v>
      </c>
      <c r="D227" s="16" t="s">
        <v>184</v>
      </c>
      <c r="E227" s="16" t="s">
        <v>285</v>
      </c>
      <c r="F227" s="16" t="s">
        <v>291</v>
      </c>
      <c r="G227" s="16" t="s">
        <v>552</v>
      </c>
      <c r="H227" s="16" t="s">
        <v>220</v>
      </c>
    </row>
    <row r="228" ht="20.25" customHeight="1">
      <c r="A228" s="32" t="str">
        <f>IMAGE("https://gymvisual.com/14046-catalog_default/band-seated-leg-extension-male.jpg",4,500,500)</f>
        <v/>
      </c>
      <c r="B228" s="30">
        <v>227.0</v>
      </c>
      <c r="C228" s="16" t="s">
        <v>608</v>
      </c>
      <c r="D228" s="16" t="s">
        <v>184</v>
      </c>
      <c r="E228" s="16" t="s">
        <v>285</v>
      </c>
      <c r="F228" s="16" t="s">
        <v>291</v>
      </c>
      <c r="G228" s="16" t="s">
        <v>552</v>
      </c>
      <c r="H228" s="16" t="s">
        <v>220</v>
      </c>
    </row>
    <row r="229" ht="20.25" customHeight="1">
      <c r="A229" s="32" t="str">
        <f>IMAGE("https://gymvisual.com/2809-catalog_default/band-seated-row.jpg",4,500,500)</f>
        <v/>
      </c>
      <c r="B229" s="30">
        <v>228.0</v>
      </c>
      <c r="C229" s="16" t="s">
        <v>609</v>
      </c>
      <c r="D229" s="16" t="s">
        <v>184</v>
      </c>
      <c r="E229" s="16" t="s">
        <v>192</v>
      </c>
      <c r="F229" s="16" t="s">
        <v>291</v>
      </c>
      <c r="G229" s="16" t="s">
        <v>329</v>
      </c>
      <c r="H229" s="16" t="s">
        <v>447</v>
      </c>
    </row>
    <row r="230" ht="20.25" customHeight="1">
      <c r="A230" s="32" t="str">
        <f>IMAGE("https://gymvisual.com/17136-catalog_default/band-seated-row-male.jpg",4,500,500)</f>
        <v/>
      </c>
      <c r="B230" s="30">
        <v>229.0</v>
      </c>
      <c r="C230" s="16" t="s">
        <v>610</v>
      </c>
      <c r="D230" s="16" t="s">
        <v>184</v>
      </c>
      <c r="E230" s="16" t="s">
        <v>192</v>
      </c>
      <c r="F230" s="16" t="s">
        <v>291</v>
      </c>
      <c r="G230" s="16" t="s">
        <v>329</v>
      </c>
      <c r="H230" s="16" t="s">
        <v>447</v>
      </c>
    </row>
    <row r="231" ht="20.25" customHeight="1">
      <c r="A231" s="32" t="str">
        <f>IMAGE("https://gymvisual.com/12500-catalog_default/band-seated-straight-back-row.jpg",4,500,500)</f>
        <v/>
      </c>
      <c r="B231" s="30">
        <v>230.0</v>
      </c>
      <c r="C231" s="16" t="s">
        <v>611</v>
      </c>
      <c r="D231" s="16" t="s">
        <v>184</v>
      </c>
      <c r="E231" s="16" t="s">
        <v>192</v>
      </c>
      <c r="F231" s="16" t="s">
        <v>291</v>
      </c>
      <c r="G231" s="16" t="s">
        <v>329</v>
      </c>
      <c r="H231" s="16" t="s">
        <v>447</v>
      </c>
    </row>
    <row r="232" ht="20.25" customHeight="1">
      <c r="A232" s="32" t="str">
        <f>IMAGE("https://gymvisual.com/2908-catalog_default/band-seated-twist.jpg",4,500,500)</f>
        <v/>
      </c>
      <c r="B232" s="30">
        <v>231.0</v>
      </c>
      <c r="C232" s="16" t="s">
        <v>612</v>
      </c>
      <c r="D232" s="16" t="s">
        <v>184</v>
      </c>
      <c r="E232" s="16" t="s">
        <v>254</v>
      </c>
      <c r="F232" s="16" t="s">
        <v>291</v>
      </c>
      <c r="G232" s="16" t="s">
        <v>257</v>
      </c>
      <c r="H232" s="16" t="s">
        <v>271</v>
      </c>
    </row>
    <row r="233" ht="20.25" customHeight="1">
      <c r="A233" s="32" t="str">
        <f>IMAGE("https://gymvisual.com/10963-catalog_default/band-seated-twist-female.jpg",4,500,500)</f>
        <v/>
      </c>
      <c r="B233" s="30">
        <v>232.0</v>
      </c>
      <c r="C233" s="16" t="s">
        <v>613</v>
      </c>
      <c r="D233" s="16" t="s">
        <v>184</v>
      </c>
      <c r="E233" s="16" t="s">
        <v>254</v>
      </c>
      <c r="F233" s="16" t="s">
        <v>291</v>
      </c>
      <c r="G233" s="16" t="s">
        <v>220</v>
      </c>
      <c r="H233" s="16" t="s">
        <v>220</v>
      </c>
    </row>
    <row r="234" ht="20.25" customHeight="1">
      <c r="A234" s="32" t="str">
        <f>IMAGE("https://gymvisual.com/20094-catalog_default/band-seated-underhand-grip-row.jpg",4,500,500)</f>
        <v/>
      </c>
      <c r="B234" s="30">
        <v>233.0</v>
      </c>
      <c r="C234" s="16" t="s">
        <v>614</v>
      </c>
      <c r="D234" s="16" t="s">
        <v>184</v>
      </c>
      <c r="E234" s="16" t="s">
        <v>192</v>
      </c>
      <c r="F234" s="16" t="s">
        <v>291</v>
      </c>
      <c r="G234" s="16" t="s">
        <v>329</v>
      </c>
      <c r="H234" s="16" t="s">
        <v>357</v>
      </c>
    </row>
    <row r="235" ht="20.25" customHeight="1">
      <c r="A235" s="32" t="str">
        <f>IMAGE("https://gymvisual.com/19010-catalog_default/band-seated-wide-grip-row-female.jpg",4,500,500)</f>
        <v/>
      </c>
      <c r="B235" s="30">
        <v>234.0</v>
      </c>
      <c r="C235" s="16" t="s">
        <v>615</v>
      </c>
      <c r="D235" s="16" t="s">
        <v>184</v>
      </c>
      <c r="E235" s="16" t="s">
        <v>192</v>
      </c>
      <c r="F235" s="16" t="s">
        <v>291</v>
      </c>
      <c r="G235" s="16" t="s">
        <v>329</v>
      </c>
      <c r="H235" s="16" t="s">
        <v>447</v>
      </c>
    </row>
    <row r="236" ht="20.25" customHeight="1">
      <c r="A236" s="32" t="str">
        <f>IMAGE("https://gymvisual.com/2894-catalog_default/band-shoulder-press.jpg",4,500,500)</f>
        <v/>
      </c>
      <c r="B236" s="30">
        <v>235.0</v>
      </c>
      <c r="C236" s="16" t="s">
        <v>616</v>
      </c>
      <c r="D236" s="16" t="s">
        <v>184</v>
      </c>
      <c r="E236" s="16" t="s">
        <v>228</v>
      </c>
      <c r="F236" s="16" t="s">
        <v>291</v>
      </c>
      <c r="G236" s="16" t="s">
        <v>229</v>
      </c>
      <c r="H236" s="16" t="s">
        <v>230</v>
      </c>
    </row>
    <row r="237" ht="20.25" customHeight="1">
      <c r="A237" s="32" t="str">
        <f>IMAGE("https://gymvisual.com/2915-catalog_default/band-shrug.jpg",4,500,500)</f>
        <v/>
      </c>
      <c r="B237" s="30">
        <v>236.0</v>
      </c>
      <c r="C237" s="16" t="s">
        <v>617</v>
      </c>
      <c r="D237" s="16" t="s">
        <v>184</v>
      </c>
      <c r="E237" s="16" t="s">
        <v>192</v>
      </c>
      <c r="F237" s="16" t="s">
        <v>291</v>
      </c>
      <c r="G237" s="16" t="s">
        <v>238</v>
      </c>
      <c r="H237" s="16" t="s">
        <v>618</v>
      </c>
    </row>
    <row r="238" ht="20.25" customHeight="1">
      <c r="A238" s="32" t="str">
        <f>IMAGE("https://gymvisual.com/2916-catalog_default/band-side-bend.jpg",4,500,500)</f>
        <v/>
      </c>
      <c r="B238" s="30">
        <v>237.0</v>
      </c>
      <c r="C238" s="16" t="s">
        <v>619</v>
      </c>
      <c r="D238" s="16" t="s">
        <v>184</v>
      </c>
      <c r="E238" s="16" t="s">
        <v>254</v>
      </c>
      <c r="F238" s="16" t="s">
        <v>291</v>
      </c>
      <c r="G238" s="16" t="s">
        <v>257</v>
      </c>
      <c r="H238" s="16" t="s">
        <v>271</v>
      </c>
    </row>
    <row r="239" ht="20.25" customHeight="1">
      <c r="A239" s="32" t="str">
        <f>IMAGE("https://gymvisual.com/17075-catalog_default/band-side-bend-male.jpg",4,500,500)</f>
        <v/>
      </c>
      <c r="B239" s="30">
        <v>238.0</v>
      </c>
      <c r="C239" s="16" t="s">
        <v>620</v>
      </c>
      <c r="D239" s="16" t="s">
        <v>184</v>
      </c>
      <c r="E239" s="16" t="s">
        <v>254</v>
      </c>
      <c r="F239" s="16" t="s">
        <v>291</v>
      </c>
      <c r="G239" s="16" t="s">
        <v>257</v>
      </c>
      <c r="H239" s="16" t="s">
        <v>220</v>
      </c>
    </row>
    <row r="240" ht="20.25" customHeight="1">
      <c r="A240" s="32" t="str">
        <f>IMAGE("https://gymvisual.com/2917-catalog_default/band-side-crunch.jpg",4,500,500)</f>
        <v/>
      </c>
      <c r="B240" s="30">
        <v>239.0</v>
      </c>
      <c r="C240" s="16" t="s">
        <v>621</v>
      </c>
      <c r="D240" s="16" t="s">
        <v>184</v>
      </c>
      <c r="E240" s="16" t="s">
        <v>254</v>
      </c>
      <c r="F240" s="16" t="s">
        <v>291</v>
      </c>
      <c r="G240" s="16" t="s">
        <v>257</v>
      </c>
      <c r="H240" s="16" t="s">
        <v>271</v>
      </c>
    </row>
    <row r="241" ht="20.25" customHeight="1">
      <c r="A241" s="32" t="str">
        <f>IMAGE("https://gymvisual.com/6735-catalog_default/band-side-plank-row-with-partner.jpg",4,500,500)</f>
        <v/>
      </c>
      <c r="B241" s="30">
        <v>240.0</v>
      </c>
      <c r="C241" s="16" t="s">
        <v>622</v>
      </c>
      <c r="D241" s="16" t="s">
        <v>184</v>
      </c>
      <c r="E241" s="16" t="s">
        <v>192</v>
      </c>
      <c r="F241" s="16" t="s">
        <v>291</v>
      </c>
      <c r="G241" s="16" t="s">
        <v>220</v>
      </c>
      <c r="H241" s="16" t="s">
        <v>220</v>
      </c>
    </row>
    <row r="242" ht="20.25" customHeight="1">
      <c r="A242" s="32" t="str">
        <f>IMAGE("https://gymvisual.com/16757-catalog_default/band-side-step-with-horizontal-pallof-hold.jpg",4,500,500)</f>
        <v/>
      </c>
      <c r="B242" s="30">
        <v>241.0</v>
      </c>
      <c r="C242" s="16" t="s">
        <v>623</v>
      </c>
      <c r="D242" s="16" t="s">
        <v>184</v>
      </c>
      <c r="E242" s="16" t="s">
        <v>185</v>
      </c>
      <c r="F242" s="16" t="s">
        <v>291</v>
      </c>
      <c r="G242" s="16" t="s">
        <v>220</v>
      </c>
      <c r="H242" s="16" t="s">
        <v>220</v>
      </c>
    </row>
    <row r="243" ht="20.25" customHeight="1">
      <c r="A243" s="32" t="str">
        <f>IMAGE("https://gymvisual.com/2895-catalog_default/band-side-triceps-extension.jpg",4,500,500)</f>
        <v/>
      </c>
      <c r="B243" s="30">
        <v>242.0</v>
      </c>
      <c r="C243" s="16" t="s">
        <v>624</v>
      </c>
      <c r="D243" s="16" t="s">
        <v>184</v>
      </c>
      <c r="E243" s="16" t="s">
        <v>219</v>
      </c>
      <c r="F243" s="16" t="s">
        <v>291</v>
      </c>
      <c r="G243" s="16" t="s">
        <v>223</v>
      </c>
      <c r="H243" s="16" t="s">
        <v>220</v>
      </c>
    </row>
    <row r="244" ht="20.25" customHeight="1">
      <c r="A244" s="32" t="str">
        <f>IMAGE("https://gymvisual.com/12350-catalog_default/band-single-arm-shoulder-press.jpg",4,500,500)</f>
        <v/>
      </c>
      <c r="B244" s="30">
        <v>243.0</v>
      </c>
      <c r="C244" s="16" t="s">
        <v>625</v>
      </c>
      <c r="D244" s="16" t="s">
        <v>184</v>
      </c>
      <c r="E244" s="16" t="s">
        <v>228</v>
      </c>
      <c r="F244" s="16" t="s">
        <v>291</v>
      </c>
      <c r="G244" s="16" t="s">
        <v>229</v>
      </c>
      <c r="H244" s="16" t="s">
        <v>626</v>
      </c>
    </row>
    <row r="245" ht="20.25" customHeight="1">
      <c r="A245" s="32" t="str">
        <f>IMAGE("https://gymvisual.com/12347-catalog_default/band-single-arm-shoulder-press-female.jpg",4,500,500)</f>
        <v/>
      </c>
      <c r="B245" s="30">
        <v>244.0</v>
      </c>
      <c r="C245" s="16" t="s">
        <v>627</v>
      </c>
      <c r="D245" s="16" t="s">
        <v>184</v>
      </c>
      <c r="E245" s="16" t="s">
        <v>228</v>
      </c>
      <c r="F245" s="16" t="s">
        <v>291</v>
      </c>
      <c r="G245" s="16" t="s">
        <v>229</v>
      </c>
      <c r="H245" s="16" t="s">
        <v>626</v>
      </c>
    </row>
    <row r="246" ht="20.25" customHeight="1">
      <c r="A246" s="32" t="str">
        <f>IMAGE("https://gymvisual.com/2896-catalog_default/band-single-leg-calf-raise.jpg",4,500,500)</f>
        <v/>
      </c>
      <c r="B246" s="30">
        <v>245.0</v>
      </c>
      <c r="C246" s="16" t="s">
        <v>628</v>
      </c>
      <c r="D246" s="16" t="s">
        <v>184</v>
      </c>
      <c r="E246" s="16" t="s">
        <v>325</v>
      </c>
      <c r="F246" s="16" t="s">
        <v>291</v>
      </c>
      <c r="G246" s="16" t="s">
        <v>368</v>
      </c>
      <c r="H246" s="16" t="s">
        <v>463</v>
      </c>
    </row>
    <row r="247" ht="20.25" customHeight="1">
      <c r="A247" s="32" t="str">
        <f>IMAGE("https://gymvisual.com/2897-catalog_default/band-single-leg-reverse-calf-raise.jpg",4,500,500)</f>
        <v/>
      </c>
      <c r="B247" s="30">
        <v>246.0</v>
      </c>
      <c r="C247" s="16" t="s">
        <v>629</v>
      </c>
      <c r="D247" s="16" t="s">
        <v>184</v>
      </c>
      <c r="E247" s="16" t="s">
        <v>325</v>
      </c>
      <c r="F247" s="16" t="s">
        <v>291</v>
      </c>
      <c r="G247" s="16" t="s">
        <v>630</v>
      </c>
      <c r="H247" s="16" t="s">
        <v>220</v>
      </c>
    </row>
    <row r="248" ht="20.25" customHeight="1">
      <c r="A248" s="32" t="str">
        <f>IMAGE("https://gymvisual.com/2898-catalog_default/band-single-leg-split-squat.jpg",4,500,500)</f>
        <v/>
      </c>
      <c r="B248" s="30">
        <v>247.0</v>
      </c>
      <c r="C248" s="16" t="s">
        <v>631</v>
      </c>
      <c r="D248" s="16" t="s">
        <v>184</v>
      </c>
      <c r="E248" s="16" t="s">
        <v>185</v>
      </c>
      <c r="F248" s="16" t="s">
        <v>291</v>
      </c>
      <c r="G248" s="16" t="s">
        <v>187</v>
      </c>
      <c r="H248" s="16" t="s">
        <v>480</v>
      </c>
    </row>
    <row r="249" ht="20.25" customHeight="1">
      <c r="A249" s="32" t="str">
        <f>IMAGE("https://gymvisual.com/2874-catalog_default/band-single-stiff-leg-deadlift.jpg",4,500,500)</f>
        <v/>
      </c>
      <c r="B249" s="30">
        <v>248.0</v>
      </c>
      <c r="C249" s="16" t="s">
        <v>632</v>
      </c>
      <c r="D249" s="16" t="s">
        <v>184</v>
      </c>
      <c r="E249" s="16" t="s">
        <v>185</v>
      </c>
      <c r="F249" s="16" t="s">
        <v>291</v>
      </c>
      <c r="G249" s="16" t="s">
        <v>187</v>
      </c>
      <c r="H249" s="16" t="s">
        <v>188</v>
      </c>
    </row>
    <row r="250" ht="20.25" customHeight="1">
      <c r="A250" s="32" t="str">
        <f>IMAGE("https://gymvisual.com/16749-catalog_default/band-single-stiff-leg-deadlift-with-single-arm-row.jpg",4,500,500)</f>
        <v/>
      </c>
      <c r="B250" s="30">
        <v>249.0</v>
      </c>
      <c r="C250" s="16" t="s">
        <v>633</v>
      </c>
      <c r="D250" s="16" t="s">
        <v>184</v>
      </c>
      <c r="E250" s="16" t="s">
        <v>484</v>
      </c>
      <c r="F250" s="16" t="s">
        <v>291</v>
      </c>
      <c r="G250" s="16" t="s">
        <v>220</v>
      </c>
      <c r="H250" s="16" t="s">
        <v>220</v>
      </c>
    </row>
    <row r="251" ht="20.25" customHeight="1">
      <c r="A251" s="32" t="str">
        <f>IMAGE("https://gymvisual.com/16763-catalog_default/band-skier.jpg",4,500,500)</f>
        <v/>
      </c>
      <c r="B251" s="30">
        <v>250.0</v>
      </c>
      <c r="C251" s="16" t="s">
        <v>634</v>
      </c>
      <c r="D251" s="16" t="s">
        <v>184</v>
      </c>
      <c r="E251" s="16" t="s">
        <v>192</v>
      </c>
      <c r="F251" s="16" t="s">
        <v>291</v>
      </c>
      <c r="G251" s="16" t="s">
        <v>220</v>
      </c>
      <c r="H251" s="16" t="s">
        <v>220</v>
      </c>
    </row>
    <row r="252" ht="20.25" customHeight="1">
      <c r="A252" s="32" t="str">
        <f>IMAGE("https://gymvisual.com/6741-catalog_default/band-skull-crusher.jpg",4,500,500)</f>
        <v/>
      </c>
      <c r="B252" s="30">
        <v>251.0</v>
      </c>
      <c r="C252" s="16" t="s">
        <v>635</v>
      </c>
      <c r="D252" s="16" t="s">
        <v>184</v>
      </c>
      <c r="E252" s="16" t="s">
        <v>219</v>
      </c>
      <c r="F252" s="16" t="s">
        <v>291</v>
      </c>
      <c r="G252" s="16" t="s">
        <v>220</v>
      </c>
      <c r="H252" s="16" t="s">
        <v>220</v>
      </c>
    </row>
    <row r="253" ht="20.25" customHeight="1">
      <c r="A253" s="32" t="str">
        <f>IMAGE("https://gymvisual.com/22592-catalog_default/band-split-squat.jpg",4,500,500)</f>
        <v/>
      </c>
      <c r="B253" s="30">
        <v>252.0</v>
      </c>
      <c r="C253" s="16" t="s">
        <v>636</v>
      </c>
      <c r="D253" s="16" t="s">
        <v>184</v>
      </c>
      <c r="E253" s="16" t="s">
        <v>285</v>
      </c>
      <c r="F253" s="16" t="s">
        <v>291</v>
      </c>
      <c r="G253" s="16" t="s">
        <v>189</v>
      </c>
      <c r="H253" s="16" t="s">
        <v>190</v>
      </c>
    </row>
    <row r="254" ht="20.25" customHeight="1">
      <c r="A254" s="32" t="str">
        <f>IMAGE("https://gymvisual.com/16755-catalog_default/band-split-squat-with-horizontal-pallof-hold.jpg",4,500,500)</f>
        <v/>
      </c>
      <c r="B254" s="30">
        <v>253.0</v>
      </c>
      <c r="C254" s="16" t="s">
        <v>637</v>
      </c>
      <c r="D254" s="16" t="s">
        <v>184</v>
      </c>
      <c r="E254" s="16" t="s">
        <v>522</v>
      </c>
      <c r="F254" s="16" t="s">
        <v>291</v>
      </c>
      <c r="G254" s="16" t="s">
        <v>220</v>
      </c>
      <c r="H254" s="16" t="s">
        <v>220</v>
      </c>
    </row>
    <row r="255" ht="20.25" customHeight="1">
      <c r="A255" s="32" t="str">
        <f>IMAGE("https://gymvisual.com/18905-catalog_default/band-squat.jpg",4,500,500)</f>
        <v/>
      </c>
      <c r="B255" s="30">
        <v>254.0</v>
      </c>
      <c r="C255" s="16" t="s">
        <v>638</v>
      </c>
      <c r="D255" s="16" t="s">
        <v>184</v>
      </c>
      <c r="E255" s="16" t="s">
        <v>185</v>
      </c>
      <c r="F255" s="16" t="s">
        <v>291</v>
      </c>
      <c r="G255" s="16" t="s">
        <v>187</v>
      </c>
      <c r="H255" s="16" t="s">
        <v>480</v>
      </c>
    </row>
    <row r="256" ht="20.25" customHeight="1">
      <c r="A256" s="32" t="str">
        <f>IMAGE("https://gymvisual.com/2900-catalog_default/band-squat-row.jpg",4,500,500)</f>
        <v/>
      </c>
      <c r="B256" s="30">
        <v>255.0</v>
      </c>
      <c r="C256" s="16" t="s">
        <v>639</v>
      </c>
      <c r="D256" s="16" t="s">
        <v>184</v>
      </c>
      <c r="E256" s="16" t="s">
        <v>192</v>
      </c>
      <c r="F256" s="16" t="s">
        <v>291</v>
      </c>
      <c r="G256" s="16" t="s">
        <v>640</v>
      </c>
      <c r="H256" s="16" t="s">
        <v>641</v>
      </c>
    </row>
    <row r="257" ht="20.25" customHeight="1">
      <c r="A257" s="32" t="str">
        <f>IMAGE("https://gymvisual.com/23585-catalog_default/band-squat-twist.jpg",4,500,500)</f>
        <v/>
      </c>
      <c r="B257" s="30">
        <v>256.0</v>
      </c>
      <c r="C257" s="16" t="s">
        <v>642</v>
      </c>
      <c r="D257" s="16" t="s">
        <v>184</v>
      </c>
      <c r="E257" s="16" t="s">
        <v>254</v>
      </c>
      <c r="F257" s="16" t="s">
        <v>291</v>
      </c>
      <c r="G257" s="16" t="s">
        <v>524</v>
      </c>
      <c r="H257" s="16" t="s">
        <v>190</v>
      </c>
    </row>
    <row r="258" ht="20.25" customHeight="1">
      <c r="A258" s="32" t="str">
        <f>IMAGE("https://gymvisual.com/16751-catalog_default/band-squat-with-horizontal-pallof-hold.jpg",4,500,500)</f>
        <v/>
      </c>
      <c r="B258" s="30">
        <v>257.0</v>
      </c>
      <c r="C258" s="16" t="s">
        <v>643</v>
      </c>
      <c r="D258" s="16" t="s">
        <v>184</v>
      </c>
      <c r="E258" s="16" t="s">
        <v>522</v>
      </c>
      <c r="F258" s="16" t="s">
        <v>291</v>
      </c>
      <c r="G258" s="16" t="s">
        <v>220</v>
      </c>
      <c r="H258" s="16" t="s">
        <v>220</v>
      </c>
    </row>
    <row r="259" ht="20.25" customHeight="1">
      <c r="A259" s="32" t="str">
        <f>IMAGE("https://gymvisual.com/16743-catalog_default/band-squat-with-single-arm-row.jpg",4,500,500)</f>
        <v/>
      </c>
      <c r="B259" s="30">
        <v>258.0</v>
      </c>
      <c r="C259" s="16" t="s">
        <v>644</v>
      </c>
      <c r="D259" s="16" t="s">
        <v>184</v>
      </c>
      <c r="E259" s="16" t="s">
        <v>645</v>
      </c>
      <c r="F259" s="16" t="s">
        <v>291</v>
      </c>
      <c r="G259" s="16" t="s">
        <v>220</v>
      </c>
      <c r="H259" s="16" t="s">
        <v>220</v>
      </c>
    </row>
    <row r="260" ht="20.25" customHeight="1">
      <c r="A260" s="32" t="str">
        <f>IMAGE("https://gymvisual.com/22121-catalog_default/band-standard-biceps-curl-male.jpg",4,500,500)</f>
        <v/>
      </c>
      <c r="B260" s="30">
        <v>259.0</v>
      </c>
      <c r="C260" s="16" t="s">
        <v>646</v>
      </c>
      <c r="D260" s="16" t="s">
        <v>184</v>
      </c>
      <c r="E260" s="16" t="s">
        <v>219</v>
      </c>
      <c r="F260" s="16" t="s">
        <v>291</v>
      </c>
      <c r="G260" s="16" t="s">
        <v>241</v>
      </c>
      <c r="H260" s="16" t="s">
        <v>292</v>
      </c>
    </row>
    <row r="261" ht="20.25" customHeight="1">
      <c r="A261" s="32" t="str">
        <f>IMAGE("https://gymvisual.com/22746-catalog_default/band-standing-alternate-chest-press-male.jpg",4,500,500)</f>
        <v/>
      </c>
      <c r="B261" s="30">
        <v>260.0</v>
      </c>
      <c r="C261" s="16" t="s">
        <v>647</v>
      </c>
      <c r="D261" s="16" t="s">
        <v>184</v>
      </c>
      <c r="E261" s="16" t="s">
        <v>234</v>
      </c>
      <c r="F261" s="16" t="s">
        <v>291</v>
      </c>
      <c r="G261" s="16" t="s">
        <v>347</v>
      </c>
      <c r="H261" s="16" t="s">
        <v>382</v>
      </c>
    </row>
    <row r="262" ht="20.25" customHeight="1">
      <c r="A262" s="32" t="str">
        <f>IMAGE("https://gymvisual.com/2811-catalog_default/band-standing-chest-press.jpg",4,500,500)</f>
        <v/>
      </c>
      <c r="B262" s="30">
        <v>261.0</v>
      </c>
      <c r="C262" s="16" t="s">
        <v>648</v>
      </c>
      <c r="D262" s="16" t="s">
        <v>184</v>
      </c>
      <c r="E262" s="16" t="s">
        <v>234</v>
      </c>
      <c r="F262" s="16" t="s">
        <v>291</v>
      </c>
      <c r="G262" s="16" t="s">
        <v>347</v>
      </c>
      <c r="H262" s="16" t="s">
        <v>382</v>
      </c>
    </row>
    <row r="263" ht="20.25" customHeight="1">
      <c r="A263" s="32" t="str">
        <f>IMAGE("https://gymvisual.com/19385-catalog_default/band-standing-chest-press-male.jpg",4,500,500)</f>
        <v/>
      </c>
      <c r="B263" s="30">
        <v>262.0</v>
      </c>
      <c r="C263" s="16" t="s">
        <v>649</v>
      </c>
      <c r="D263" s="16" t="s">
        <v>184</v>
      </c>
      <c r="E263" s="16" t="s">
        <v>234</v>
      </c>
      <c r="F263" s="16" t="s">
        <v>291</v>
      </c>
      <c r="G263" s="16" t="s">
        <v>347</v>
      </c>
      <c r="H263" s="16" t="s">
        <v>382</v>
      </c>
    </row>
    <row r="264" ht="20.25" customHeight="1">
      <c r="A264" s="32" t="str">
        <f>IMAGE("https://gymvisual.com/24799-catalog_default/band-standing-chest-press-version-2-male.jpg",4,500,500)</f>
        <v/>
      </c>
      <c r="B264" s="30">
        <v>263.0</v>
      </c>
      <c r="C264" s="16" t="s">
        <v>650</v>
      </c>
      <c r="D264" s="16" t="s">
        <v>184</v>
      </c>
      <c r="E264" s="16" t="s">
        <v>234</v>
      </c>
      <c r="F264" s="16" t="s">
        <v>291</v>
      </c>
      <c r="G264" s="16" t="s">
        <v>235</v>
      </c>
      <c r="H264" s="16" t="s">
        <v>243</v>
      </c>
    </row>
    <row r="265" ht="20.25" customHeight="1">
      <c r="A265" s="32" t="str">
        <f>IMAGE("https://gymvisual.com/2902-catalog_default/band-standing-crunch.jpg",4,500,500)</f>
        <v/>
      </c>
      <c r="B265" s="30">
        <v>264.0</v>
      </c>
      <c r="C265" s="16" t="s">
        <v>651</v>
      </c>
      <c r="D265" s="16" t="s">
        <v>184</v>
      </c>
      <c r="E265" s="16" t="s">
        <v>254</v>
      </c>
      <c r="F265" s="16" t="s">
        <v>291</v>
      </c>
      <c r="G265" s="16" t="s">
        <v>256</v>
      </c>
      <c r="H265" s="16" t="s">
        <v>257</v>
      </c>
    </row>
    <row r="266" ht="20.25" customHeight="1">
      <c r="A266" s="32" t="str">
        <f>IMAGE("https://gymvisual.com/17071-catalog_default/band-standing-crunch-female.jpg",4,500,500)</f>
        <v/>
      </c>
      <c r="B266" s="30">
        <v>265.0</v>
      </c>
      <c r="C266" s="16" t="s">
        <v>652</v>
      </c>
      <c r="D266" s="16" t="s">
        <v>184</v>
      </c>
      <c r="E266" s="16" t="s">
        <v>254</v>
      </c>
      <c r="F266" s="16" t="s">
        <v>291</v>
      </c>
      <c r="G266" s="16" t="s">
        <v>256</v>
      </c>
      <c r="H266" s="16" t="s">
        <v>257</v>
      </c>
    </row>
    <row r="267" ht="20.25" customHeight="1">
      <c r="A267" s="32" t="str">
        <f>IMAGE("https://gymvisual.com/2812-catalog_default/band-standing-external-shoulder-rotation.jpg",4,500,500)</f>
        <v/>
      </c>
      <c r="B267" s="30">
        <v>266.0</v>
      </c>
      <c r="C267" s="16" t="s">
        <v>653</v>
      </c>
      <c r="D267" s="16" t="s">
        <v>184</v>
      </c>
      <c r="E267" s="16" t="s">
        <v>192</v>
      </c>
      <c r="F267" s="16" t="s">
        <v>291</v>
      </c>
      <c r="G267" s="16" t="s">
        <v>654</v>
      </c>
      <c r="H267" s="16" t="s">
        <v>220</v>
      </c>
    </row>
    <row r="268" ht="20.25" customHeight="1">
      <c r="A268" s="32" t="str">
        <f>IMAGE("https://gymvisual.com/22183-catalog_default/band-standing-hammer-curl.jpg",4,500,500)</f>
        <v/>
      </c>
      <c r="B268" s="30">
        <v>267.0</v>
      </c>
      <c r="C268" s="16" t="s">
        <v>655</v>
      </c>
      <c r="D268" s="16" t="s">
        <v>184</v>
      </c>
      <c r="E268" s="16" t="s">
        <v>219</v>
      </c>
      <c r="F268" s="16" t="s">
        <v>291</v>
      </c>
      <c r="G268" s="16" t="s">
        <v>216</v>
      </c>
      <c r="H268" s="16" t="s">
        <v>217</v>
      </c>
    </row>
    <row r="269" ht="20.25" customHeight="1">
      <c r="A269" s="32" t="str">
        <f>IMAGE("https://gymvisual.com/2875-catalog_default/band-standing-hip-extension.jpg",4,500,500)</f>
        <v/>
      </c>
      <c r="B269" s="30">
        <v>268.0</v>
      </c>
      <c r="C269" s="16" t="s">
        <v>656</v>
      </c>
      <c r="D269" s="16" t="s">
        <v>184</v>
      </c>
      <c r="E269" s="16" t="s">
        <v>185</v>
      </c>
      <c r="F269" s="16" t="s">
        <v>291</v>
      </c>
      <c r="G269" s="16" t="s">
        <v>187</v>
      </c>
      <c r="H269" s="16" t="s">
        <v>188</v>
      </c>
    </row>
    <row r="270" ht="20.25" customHeight="1">
      <c r="A270" s="32" t="str">
        <f>IMAGE("https://gymvisual.com/17515-catalog_default/band-standing-hip-extension-male.jpg",4,500,500)</f>
        <v/>
      </c>
      <c r="B270" s="30">
        <v>269.0</v>
      </c>
      <c r="C270" s="16" t="s">
        <v>657</v>
      </c>
      <c r="D270" s="16" t="s">
        <v>184</v>
      </c>
      <c r="E270" s="16" t="s">
        <v>185</v>
      </c>
      <c r="F270" s="16" t="s">
        <v>291</v>
      </c>
      <c r="G270" s="16" t="s">
        <v>187</v>
      </c>
      <c r="H270" s="16" t="s">
        <v>188</v>
      </c>
    </row>
    <row r="271" ht="20.25" customHeight="1">
      <c r="A271" s="32" t="str">
        <f>IMAGE("https://gymvisual.com/2814-catalog_default/band-standing-incline-chest-press.jpg",4,500,500)</f>
        <v/>
      </c>
      <c r="B271" s="30">
        <v>270.0</v>
      </c>
      <c r="C271" s="16" t="s">
        <v>658</v>
      </c>
      <c r="D271" s="16" t="s">
        <v>184</v>
      </c>
      <c r="E271" s="16" t="s">
        <v>234</v>
      </c>
      <c r="F271" s="16" t="s">
        <v>291</v>
      </c>
      <c r="G271" s="16" t="s">
        <v>415</v>
      </c>
      <c r="H271" s="16" t="s">
        <v>659</v>
      </c>
    </row>
    <row r="272" ht="20.25" customHeight="1">
      <c r="A272" s="32" t="str">
        <f>IMAGE("https://gymvisual.com/2815-catalog_default/band-standing-internal-shoulder-rotation.jpg",4,500,500)</f>
        <v/>
      </c>
      <c r="B272" s="30">
        <v>271.0</v>
      </c>
      <c r="C272" s="16" t="s">
        <v>660</v>
      </c>
      <c r="D272" s="16" t="s">
        <v>184</v>
      </c>
      <c r="E272" s="16" t="s">
        <v>192</v>
      </c>
      <c r="F272" s="16" t="s">
        <v>291</v>
      </c>
      <c r="G272" s="16" t="s">
        <v>661</v>
      </c>
      <c r="H272" s="16" t="s">
        <v>662</v>
      </c>
    </row>
    <row r="273" ht="20.25" customHeight="1">
      <c r="A273" s="32" t="str">
        <f>IMAGE("https://gymvisual.com/2816-catalog_default/band-standing-leg-curl.jpg",4,500,500)</f>
        <v/>
      </c>
      <c r="B273" s="30">
        <v>272.0</v>
      </c>
      <c r="C273" s="16" t="s">
        <v>663</v>
      </c>
      <c r="D273" s="16" t="s">
        <v>184</v>
      </c>
      <c r="E273" s="16" t="s">
        <v>285</v>
      </c>
      <c r="F273" s="16" t="s">
        <v>291</v>
      </c>
      <c r="G273" s="16" t="s">
        <v>188</v>
      </c>
      <c r="H273" s="16" t="s">
        <v>368</v>
      </c>
    </row>
    <row r="274" ht="20.25" customHeight="1">
      <c r="A274" s="32" t="str">
        <f>IMAGE("https://gymvisual.com/17513-catalog_default/band-standing-leg-curl-male.jpg",4,500,500)</f>
        <v/>
      </c>
      <c r="B274" s="30">
        <v>273.0</v>
      </c>
      <c r="C274" s="16" t="s">
        <v>664</v>
      </c>
      <c r="D274" s="16" t="s">
        <v>184</v>
      </c>
      <c r="E274" s="16" t="s">
        <v>285</v>
      </c>
      <c r="F274" s="16" t="s">
        <v>291</v>
      </c>
      <c r="G274" s="16" t="s">
        <v>188</v>
      </c>
      <c r="H274" s="16" t="s">
        <v>665</v>
      </c>
    </row>
    <row r="275" ht="20.25" customHeight="1">
      <c r="A275" s="32" t="str">
        <f>IMAGE("https://gymvisual.com/2817-catalog_default/band-standing-leg-extension.jpg",4,500,500)</f>
        <v/>
      </c>
      <c r="B275" s="30">
        <v>274.0</v>
      </c>
      <c r="C275" s="16" t="s">
        <v>666</v>
      </c>
      <c r="D275" s="16" t="s">
        <v>184</v>
      </c>
      <c r="E275" s="16" t="s">
        <v>285</v>
      </c>
      <c r="F275" s="16" t="s">
        <v>291</v>
      </c>
      <c r="G275" s="16" t="s">
        <v>552</v>
      </c>
      <c r="H275" s="16" t="s">
        <v>476</v>
      </c>
    </row>
    <row r="276" ht="20.25" customHeight="1">
      <c r="A276" s="32" t="str">
        <f>IMAGE("https://gymvisual.com/2918-catalog_default/band-standing-leg-raise.jpg",4,500,500)</f>
        <v/>
      </c>
      <c r="B276" s="30">
        <v>275.0</v>
      </c>
      <c r="C276" s="16" t="s">
        <v>667</v>
      </c>
      <c r="D276" s="16" t="s">
        <v>184</v>
      </c>
      <c r="E276" s="16" t="s">
        <v>185</v>
      </c>
      <c r="F276" s="16" t="s">
        <v>291</v>
      </c>
      <c r="G276" s="16" t="s">
        <v>271</v>
      </c>
      <c r="H276" s="16" t="s">
        <v>668</v>
      </c>
    </row>
    <row r="277" ht="20.25" customHeight="1">
      <c r="A277" s="32" t="str">
        <f>IMAGE("https://gymvisual.com/2919-catalog_default/band-standing-rear-delt-row.jpg",4,500,500)</f>
        <v/>
      </c>
      <c r="B277" s="30">
        <v>276.0</v>
      </c>
      <c r="C277" s="16" t="s">
        <v>669</v>
      </c>
      <c r="D277" s="16" t="s">
        <v>184</v>
      </c>
      <c r="E277" s="16" t="s">
        <v>228</v>
      </c>
      <c r="F277" s="16" t="s">
        <v>291</v>
      </c>
      <c r="G277" s="16" t="s">
        <v>408</v>
      </c>
      <c r="H277" s="16" t="s">
        <v>490</v>
      </c>
    </row>
    <row r="278" ht="20.25" customHeight="1">
      <c r="A278" s="32" t="str">
        <f>IMAGE("https://gymvisual.com/17374-catalog_default/band-standing-rear-delt-row-female.jpg",4,500,500)</f>
        <v/>
      </c>
      <c r="B278" s="30">
        <v>277.0</v>
      </c>
      <c r="C278" s="16" t="s">
        <v>670</v>
      </c>
      <c r="D278" s="16" t="s">
        <v>184</v>
      </c>
      <c r="E278" s="16" t="s">
        <v>228</v>
      </c>
      <c r="F278" s="16" t="s">
        <v>291</v>
      </c>
      <c r="G278" s="16" t="s">
        <v>408</v>
      </c>
      <c r="H278" s="16" t="s">
        <v>671</v>
      </c>
    </row>
    <row r="279" ht="20.25" customHeight="1">
      <c r="A279" s="32" t="str">
        <f>IMAGE("https://gymvisual.com/19241-catalog_default/band-standing-single-arm-row.jpg",4,500,500)</f>
        <v/>
      </c>
      <c r="B279" s="30">
        <v>278.0</v>
      </c>
      <c r="C279" s="16" t="s">
        <v>672</v>
      </c>
      <c r="D279" s="16" t="s">
        <v>184</v>
      </c>
      <c r="E279" s="16" t="s">
        <v>192</v>
      </c>
      <c r="F279" s="16" t="s">
        <v>291</v>
      </c>
      <c r="G279" s="16" t="s">
        <v>220</v>
      </c>
      <c r="H279" s="16" t="s">
        <v>220</v>
      </c>
    </row>
    <row r="280" ht="20.25" customHeight="1">
      <c r="A280" s="32" t="str">
        <f>IMAGE("https://gymvisual.com/22750-catalog_default/band-standing-single-arm-twist-row.jpg",4,500,500)</f>
        <v/>
      </c>
      <c r="B280" s="30">
        <v>279.0</v>
      </c>
      <c r="C280" s="16" t="s">
        <v>673</v>
      </c>
      <c r="D280" s="16" t="s">
        <v>184</v>
      </c>
      <c r="E280" s="16" t="s">
        <v>192</v>
      </c>
      <c r="F280" s="16" t="s">
        <v>291</v>
      </c>
      <c r="G280" s="16" t="s">
        <v>570</v>
      </c>
      <c r="H280" s="16" t="s">
        <v>447</v>
      </c>
    </row>
    <row r="281" ht="20.25" customHeight="1">
      <c r="A281" s="32" t="str">
        <f>IMAGE("https://gymvisual.com/19243-catalog_default/band-standing-straight-arm-pulldown.jpg",4,500,500)</f>
        <v/>
      </c>
      <c r="B281" s="30">
        <v>280.0</v>
      </c>
      <c r="C281" s="16" t="s">
        <v>674</v>
      </c>
      <c r="D281" s="16" t="s">
        <v>184</v>
      </c>
      <c r="E281" s="16" t="s">
        <v>192</v>
      </c>
      <c r="F281" s="16" t="s">
        <v>291</v>
      </c>
      <c r="G281" s="16" t="s">
        <v>220</v>
      </c>
      <c r="H281" s="16" t="s">
        <v>220</v>
      </c>
    </row>
    <row r="282" ht="20.25" customHeight="1">
      <c r="A282" s="32" t="str">
        <f>IMAGE("https://gymvisual.com/2818-catalog_default/band-standing-straight-leg-raise.jpg",4,500,500)</f>
        <v/>
      </c>
      <c r="B282" s="30">
        <v>281.0</v>
      </c>
      <c r="C282" s="16" t="s">
        <v>675</v>
      </c>
      <c r="D282" s="16" t="s">
        <v>184</v>
      </c>
      <c r="E282" s="16" t="s">
        <v>185</v>
      </c>
      <c r="F282" s="16" t="s">
        <v>291</v>
      </c>
      <c r="G282" s="16" t="s">
        <v>271</v>
      </c>
      <c r="H282" s="16" t="s">
        <v>676</v>
      </c>
    </row>
    <row r="283" ht="20.25" customHeight="1">
      <c r="A283" s="32" t="str">
        <f>IMAGE("https://gymvisual.com/2904-catalog_default/band-standing-twisting-crunch.jpg",4,500,500)</f>
        <v/>
      </c>
      <c r="B283" s="30">
        <v>282.0</v>
      </c>
      <c r="C283" s="16" t="s">
        <v>677</v>
      </c>
      <c r="D283" s="16" t="s">
        <v>184</v>
      </c>
      <c r="E283" s="16" t="s">
        <v>254</v>
      </c>
      <c r="F283" s="16" t="s">
        <v>291</v>
      </c>
      <c r="G283" s="16" t="s">
        <v>257</v>
      </c>
      <c r="H283" s="16" t="s">
        <v>256</v>
      </c>
    </row>
    <row r="284" ht="20.25" customHeight="1">
      <c r="A284" s="32" t="str">
        <f>IMAGE("https://gymvisual.com/2905-catalog_default/band-step-up.jpg",4,500,500)</f>
        <v/>
      </c>
      <c r="B284" s="30">
        <v>283.0</v>
      </c>
      <c r="C284" s="16" t="s">
        <v>678</v>
      </c>
      <c r="D284" s="16" t="s">
        <v>184</v>
      </c>
      <c r="E284" s="16" t="s">
        <v>185</v>
      </c>
      <c r="F284" s="16" t="s">
        <v>291</v>
      </c>
      <c r="G284" s="16" t="s">
        <v>187</v>
      </c>
      <c r="H284" s="16" t="s">
        <v>679</v>
      </c>
    </row>
    <row r="285" ht="20.25" customHeight="1">
      <c r="A285" s="32" t="str">
        <f>IMAGE("https://gymvisual.com/2906-catalog_default/band-stiff-leg-deadlift.jpg",4,500,500)</f>
        <v/>
      </c>
      <c r="B285" s="30">
        <v>284.0</v>
      </c>
      <c r="C285" s="16" t="s">
        <v>680</v>
      </c>
      <c r="D285" s="16" t="s">
        <v>184</v>
      </c>
      <c r="E285" s="16" t="s">
        <v>185</v>
      </c>
      <c r="F285" s="16" t="s">
        <v>291</v>
      </c>
      <c r="G285" s="16" t="s">
        <v>187</v>
      </c>
      <c r="H285" s="16" t="s">
        <v>590</v>
      </c>
    </row>
    <row r="286" ht="20.25" customHeight="1">
      <c r="A286" s="32" t="str">
        <f>IMAGE("https://gymvisual.com/17083-catalog_default/band-straight-back-seated-row-male.jpg",4,500,500)</f>
        <v/>
      </c>
      <c r="B286" s="30">
        <v>285.0</v>
      </c>
      <c r="C286" s="16" t="s">
        <v>681</v>
      </c>
      <c r="D286" s="16" t="s">
        <v>184</v>
      </c>
      <c r="E286" s="16" t="s">
        <v>192</v>
      </c>
      <c r="F286" s="16" t="s">
        <v>291</v>
      </c>
      <c r="G286" s="16" t="s">
        <v>329</v>
      </c>
      <c r="H286" s="16" t="s">
        <v>447</v>
      </c>
    </row>
    <row r="287" ht="20.25" customHeight="1">
      <c r="A287" s="32" t="str">
        <f>IMAGE("https://gymvisual.com/2920-catalog_default/band-straight-back-stiff-leg-deadlift.jpg",4,500,500)</f>
        <v/>
      </c>
      <c r="B287" s="30">
        <v>286.0</v>
      </c>
      <c r="C287" s="16" t="s">
        <v>682</v>
      </c>
      <c r="D287" s="16" t="s">
        <v>184</v>
      </c>
      <c r="E287" s="16" t="s">
        <v>185</v>
      </c>
      <c r="F287" s="16" t="s">
        <v>291</v>
      </c>
      <c r="G287" s="16" t="s">
        <v>187</v>
      </c>
      <c r="H287" s="16" t="s">
        <v>683</v>
      </c>
    </row>
    <row r="288" ht="20.25" customHeight="1">
      <c r="A288" s="32" t="str">
        <f>IMAGE("https://gymvisual.com/2907-catalog_default/band-straight-leg-deadlift.jpg",4,500,500)</f>
        <v/>
      </c>
      <c r="B288" s="30">
        <v>287.0</v>
      </c>
      <c r="C288" s="16" t="s">
        <v>684</v>
      </c>
      <c r="D288" s="16" t="s">
        <v>184</v>
      </c>
      <c r="E288" s="16" t="s">
        <v>192</v>
      </c>
      <c r="F288" s="16" t="s">
        <v>291</v>
      </c>
      <c r="G288" s="16" t="s">
        <v>275</v>
      </c>
      <c r="H288" s="16" t="s">
        <v>685</v>
      </c>
    </row>
    <row r="289" ht="20.25" customHeight="1">
      <c r="A289" s="32" t="str">
        <f>IMAGE("https://gymvisual.com/2819-catalog_default/band-straight-arm-pulldown.jpg",4,500,500)</f>
        <v/>
      </c>
      <c r="B289" s="30">
        <v>288.0</v>
      </c>
      <c r="C289" s="16" t="s">
        <v>686</v>
      </c>
      <c r="D289" s="16" t="s">
        <v>184</v>
      </c>
      <c r="E289" s="16" t="s">
        <v>192</v>
      </c>
      <c r="F289" s="16" t="s">
        <v>291</v>
      </c>
      <c r="G289" s="16" t="s">
        <v>300</v>
      </c>
      <c r="H289" s="16" t="s">
        <v>687</v>
      </c>
    </row>
    <row r="290" ht="20.25" customHeight="1">
      <c r="A290" s="32" t="str">
        <f>IMAGE("https://gymvisual.com/2820-catalog_default/band-straight-back-seated-row.jpg",4,500,500)</f>
        <v/>
      </c>
      <c r="B290" s="30">
        <v>289.0</v>
      </c>
      <c r="C290" s="16" t="s">
        <v>688</v>
      </c>
      <c r="D290" s="16" t="s">
        <v>184</v>
      </c>
      <c r="E290" s="16" t="s">
        <v>192</v>
      </c>
      <c r="F290" s="16" t="s">
        <v>291</v>
      </c>
      <c r="G290" s="16" t="s">
        <v>329</v>
      </c>
      <c r="H290" s="16" t="s">
        <v>457</v>
      </c>
    </row>
    <row r="291" ht="20.25" customHeight="1">
      <c r="A291" s="32" t="str">
        <f>IMAGE("https://gymvisual.com/2821-catalog_default/band-straight-back-standing-row.jpg",4,500,500)</f>
        <v/>
      </c>
      <c r="B291" s="30">
        <v>290.0</v>
      </c>
      <c r="C291" s="16" t="s">
        <v>689</v>
      </c>
      <c r="D291" s="16" t="s">
        <v>184</v>
      </c>
      <c r="E291" s="16" t="s">
        <v>192</v>
      </c>
      <c r="F291" s="16" t="s">
        <v>291</v>
      </c>
      <c r="G291" s="16" t="s">
        <v>329</v>
      </c>
      <c r="H291" s="16" t="s">
        <v>457</v>
      </c>
    </row>
    <row r="292" ht="20.25" customHeight="1">
      <c r="A292" s="32" t="str">
        <f>IMAGE("https://gymvisual.com/13283-catalog_default/band-thruster.jpg",4,500,500)</f>
        <v/>
      </c>
      <c r="B292" s="30">
        <v>291.0</v>
      </c>
      <c r="C292" s="16" t="s">
        <v>690</v>
      </c>
      <c r="D292" s="16" t="s">
        <v>184</v>
      </c>
      <c r="E292" s="16" t="s">
        <v>691</v>
      </c>
      <c r="F292" s="16" t="s">
        <v>291</v>
      </c>
      <c r="G292" s="16" t="s">
        <v>220</v>
      </c>
      <c r="H292" s="16" t="s">
        <v>220</v>
      </c>
    </row>
    <row r="293" ht="20.25" customHeight="1">
      <c r="A293" s="32" t="str">
        <f>IMAGE("https://gymvisual.com/13285-catalog_default/band-thruster-female.jpg",4,500,500)</f>
        <v/>
      </c>
      <c r="B293" s="30">
        <v>292.0</v>
      </c>
      <c r="C293" s="16" t="s">
        <v>692</v>
      </c>
      <c r="D293" s="16" t="s">
        <v>184</v>
      </c>
      <c r="E293" s="16" t="s">
        <v>691</v>
      </c>
      <c r="F293" s="16" t="s">
        <v>291</v>
      </c>
      <c r="G293" s="16" t="s">
        <v>220</v>
      </c>
      <c r="H293" s="16" t="s">
        <v>220</v>
      </c>
    </row>
    <row r="294" ht="20.25" customHeight="1">
      <c r="A294" s="32" t="str">
        <f>IMAGE("https://gymvisual.com/18909-catalog_default/band-triceps-kickback.jpg",4,500,500)</f>
        <v/>
      </c>
      <c r="B294" s="30">
        <v>293.0</v>
      </c>
      <c r="C294" s="16" t="s">
        <v>693</v>
      </c>
      <c r="D294" s="16" t="s">
        <v>184</v>
      </c>
      <c r="E294" s="16" t="s">
        <v>219</v>
      </c>
      <c r="F294" s="16" t="s">
        <v>291</v>
      </c>
      <c r="G294" s="16" t="s">
        <v>223</v>
      </c>
      <c r="H294" s="16" t="s">
        <v>220</v>
      </c>
    </row>
    <row r="295" ht="20.25" customHeight="1">
      <c r="A295" s="32" t="str">
        <f>IMAGE("https://gymvisual.com/2824-catalog_default/band-twist.jpg",4,500,500)</f>
        <v/>
      </c>
      <c r="B295" s="30">
        <v>294.0</v>
      </c>
      <c r="C295" s="16" t="s">
        <v>694</v>
      </c>
      <c r="D295" s="16" t="s">
        <v>184</v>
      </c>
      <c r="E295" s="16" t="s">
        <v>254</v>
      </c>
      <c r="F295" s="16" t="s">
        <v>291</v>
      </c>
      <c r="G295" s="16" t="s">
        <v>257</v>
      </c>
      <c r="H295" s="16" t="s">
        <v>695</v>
      </c>
    </row>
    <row r="296" ht="20.25" customHeight="1">
      <c r="A296" s="32" t="str">
        <f>IMAGE("https://gymvisual.com/22714-catalog_default/band-twist-up-down-male.jpg",4,500,500)</f>
        <v/>
      </c>
      <c r="B296" s="30">
        <v>295.0</v>
      </c>
      <c r="C296" s="16" t="s">
        <v>696</v>
      </c>
      <c r="D296" s="16" t="s">
        <v>184</v>
      </c>
      <c r="E296" s="16" t="s">
        <v>254</v>
      </c>
      <c r="F296" s="16" t="s">
        <v>291</v>
      </c>
      <c r="G296" s="16" t="s">
        <v>257</v>
      </c>
      <c r="H296" s="16" t="s">
        <v>697</v>
      </c>
    </row>
    <row r="297" ht="20.25" customHeight="1">
      <c r="A297" s="32" t="str">
        <f>IMAGE("https://gymvisual.com/2822-catalog_default/band-twist-down-up.jpg",4,500,500)</f>
        <v/>
      </c>
      <c r="B297" s="30">
        <v>296.0</v>
      </c>
      <c r="C297" s="16" t="s">
        <v>698</v>
      </c>
      <c r="D297" s="16" t="s">
        <v>184</v>
      </c>
      <c r="E297" s="16" t="s">
        <v>254</v>
      </c>
      <c r="F297" s="16" t="s">
        <v>291</v>
      </c>
      <c r="G297" s="16" t="s">
        <v>257</v>
      </c>
      <c r="H297" s="16" t="s">
        <v>695</v>
      </c>
    </row>
    <row r="298" ht="20.25" customHeight="1">
      <c r="A298" s="32" t="str">
        <f>IMAGE("https://gymvisual.com/14246-catalog_default/band-twist-male.jpg",4,500,500)</f>
        <v/>
      </c>
      <c r="B298" s="30">
        <v>297.0</v>
      </c>
      <c r="C298" s="16" t="s">
        <v>699</v>
      </c>
      <c r="D298" s="16" t="s">
        <v>184</v>
      </c>
      <c r="E298" s="16" t="s">
        <v>254</v>
      </c>
      <c r="F298" s="16" t="s">
        <v>291</v>
      </c>
      <c r="G298" s="16" t="s">
        <v>257</v>
      </c>
      <c r="H298" s="16" t="s">
        <v>700</v>
      </c>
    </row>
    <row r="299" ht="20.25" customHeight="1">
      <c r="A299" s="32" t="str">
        <f>IMAGE("https://gymvisual.com/2876-catalog_default/band-twist-up-down.jpg",4,500,500)</f>
        <v/>
      </c>
      <c r="B299" s="30">
        <v>298.0</v>
      </c>
      <c r="C299" s="16" t="s">
        <v>701</v>
      </c>
      <c r="D299" s="16" t="s">
        <v>184</v>
      </c>
      <c r="E299" s="16" t="s">
        <v>254</v>
      </c>
      <c r="F299" s="16" t="s">
        <v>291</v>
      </c>
      <c r="G299" s="16" t="s">
        <v>257</v>
      </c>
      <c r="H299" s="16" t="s">
        <v>702</v>
      </c>
    </row>
    <row r="300" ht="20.25" customHeight="1">
      <c r="A300" s="32" t="str">
        <f>IMAGE("https://gymvisual.com/2909-catalog_default/band-twisting-overhead-press.jpg",4,500,500)</f>
        <v/>
      </c>
      <c r="B300" s="30">
        <v>299.0</v>
      </c>
      <c r="C300" s="16" t="s">
        <v>703</v>
      </c>
      <c r="D300" s="16" t="s">
        <v>184</v>
      </c>
      <c r="E300" s="16" t="s">
        <v>228</v>
      </c>
      <c r="F300" s="16" t="s">
        <v>291</v>
      </c>
      <c r="G300" s="16" t="s">
        <v>229</v>
      </c>
      <c r="H300" s="16" t="s">
        <v>704</v>
      </c>
    </row>
    <row r="301" ht="20.25" customHeight="1">
      <c r="A301" s="32" t="str">
        <f>IMAGE("https://gymvisual.com/6064-catalog_default/band-two-legs-calf-raise-band-under-both-legs-version-2.jpg",4,500,500)</f>
        <v/>
      </c>
      <c r="B301" s="30">
        <v>300.0</v>
      </c>
      <c r="C301" s="16" t="s">
        <v>705</v>
      </c>
      <c r="D301" s="16" t="s">
        <v>184</v>
      </c>
      <c r="E301" s="16" t="s">
        <v>325</v>
      </c>
      <c r="F301" s="16" t="s">
        <v>291</v>
      </c>
      <c r="G301" s="16" t="s">
        <v>368</v>
      </c>
      <c r="H301" s="16" t="s">
        <v>463</v>
      </c>
    </row>
    <row r="302" ht="20.25" customHeight="1">
      <c r="A302" s="32" t="str">
        <f>IMAGE("https://gymvisual.com/17370-catalog_default/band-two-legs-calf-raise-band-under-both-legs-version-2-female.jpg",4,500,500)</f>
        <v/>
      </c>
      <c r="B302" s="30">
        <v>301.0</v>
      </c>
      <c r="C302" s="16" t="s">
        <v>706</v>
      </c>
      <c r="D302" s="16" t="s">
        <v>184</v>
      </c>
      <c r="E302" s="16" t="s">
        <v>325</v>
      </c>
      <c r="F302" s="16" t="s">
        <v>291</v>
      </c>
      <c r="G302" s="16" t="s">
        <v>368</v>
      </c>
      <c r="H302" s="16" t="s">
        <v>463</v>
      </c>
    </row>
    <row r="303" ht="20.25" customHeight="1">
      <c r="A303" s="32" t="str">
        <f>IMAGE("https://gymvisual.com/2910-catalog_default/band-underhand-pulldown.jpg",4,500,500)</f>
        <v/>
      </c>
      <c r="B303" s="30">
        <v>302.0</v>
      </c>
      <c r="C303" s="16" t="s">
        <v>707</v>
      </c>
      <c r="D303" s="16" t="s">
        <v>184</v>
      </c>
      <c r="E303" s="16" t="s">
        <v>192</v>
      </c>
      <c r="F303" s="16" t="s">
        <v>291</v>
      </c>
      <c r="G303" s="16" t="s">
        <v>300</v>
      </c>
      <c r="H303" s="16" t="s">
        <v>708</v>
      </c>
    </row>
    <row r="304" ht="20.25" customHeight="1">
      <c r="A304" s="32" t="str">
        <f>IMAGE("https://gymvisual.com/16761-catalog_default/band-upper-body-lying-air-bike.jpg",4,500,500)</f>
        <v/>
      </c>
      <c r="B304" s="30">
        <v>303.0</v>
      </c>
      <c r="C304" s="16" t="s">
        <v>709</v>
      </c>
      <c r="D304" s="16" t="s">
        <v>184</v>
      </c>
      <c r="E304" s="16" t="s">
        <v>310</v>
      </c>
      <c r="F304" s="16" t="s">
        <v>291</v>
      </c>
      <c r="G304" s="16" t="s">
        <v>220</v>
      </c>
      <c r="H304" s="16" t="s">
        <v>220</v>
      </c>
    </row>
    <row r="305" ht="20.25" customHeight="1">
      <c r="A305" s="32" t="str">
        <f>IMAGE("https://gymvisual.com/12203-catalog_default/band-upper-body-resistance-dead-bug.jpg",4,500,500)</f>
        <v/>
      </c>
      <c r="B305" s="30">
        <v>304.0</v>
      </c>
      <c r="C305" s="16" t="s">
        <v>710</v>
      </c>
      <c r="D305" s="16" t="s">
        <v>184</v>
      </c>
      <c r="E305" s="16" t="s">
        <v>254</v>
      </c>
      <c r="F305" s="16" t="s">
        <v>291</v>
      </c>
      <c r="G305" s="16" t="s">
        <v>220</v>
      </c>
      <c r="H305" s="16" t="s">
        <v>220</v>
      </c>
    </row>
    <row r="306" ht="20.25" customHeight="1">
      <c r="A306" s="32" t="str">
        <f>IMAGE("https://gymvisual.com/22117-catalog_default/band-upper-crunch-male.jpg",4,500,500)</f>
        <v/>
      </c>
      <c r="B306" s="30">
        <v>305.0</v>
      </c>
      <c r="C306" s="16" t="s">
        <v>711</v>
      </c>
      <c r="D306" s="16" t="s">
        <v>184</v>
      </c>
      <c r="E306" s="16" t="s">
        <v>254</v>
      </c>
      <c r="F306" s="16" t="s">
        <v>291</v>
      </c>
      <c r="G306" s="16" t="s">
        <v>256</v>
      </c>
      <c r="H306" s="16" t="s">
        <v>257</v>
      </c>
    </row>
    <row r="307" ht="20.25" customHeight="1">
      <c r="A307" s="32" t="str">
        <f>IMAGE("https://gymvisual.com/2825-catalog_default/band-upright-row.jpg",4,500,500)</f>
        <v/>
      </c>
      <c r="B307" s="30">
        <v>306.0</v>
      </c>
      <c r="C307" s="16" t="s">
        <v>712</v>
      </c>
      <c r="D307" s="16" t="s">
        <v>184</v>
      </c>
      <c r="E307" s="16" t="s">
        <v>228</v>
      </c>
      <c r="F307" s="16" t="s">
        <v>291</v>
      </c>
      <c r="G307" s="16" t="s">
        <v>544</v>
      </c>
      <c r="H307" s="16" t="s">
        <v>713</v>
      </c>
    </row>
    <row r="308" ht="20.25" customHeight="1">
      <c r="A308" s="32" t="str">
        <f>IMAGE("https://gymvisual.com/6733-catalog_default/band-upright-row-under-two-feet.jpg",4,500,500)</f>
        <v/>
      </c>
      <c r="B308" s="30">
        <v>307.0</v>
      </c>
      <c r="C308" s="16" t="s">
        <v>714</v>
      </c>
      <c r="D308" s="16" t="s">
        <v>184</v>
      </c>
      <c r="E308" s="16" t="s">
        <v>228</v>
      </c>
      <c r="F308" s="16" t="s">
        <v>291</v>
      </c>
      <c r="G308" s="16" t="s">
        <v>544</v>
      </c>
      <c r="H308" s="16" t="s">
        <v>715</v>
      </c>
    </row>
    <row r="309" ht="20.25" customHeight="1">
      <c r="A309" s="32" t="str">
        <f>IMAGE("https://gymvisual.com/2826-catalog_default/band-upright-shoulder-external-rotation.jpg",4,500,500)</f>
        <v/>
      </c>
      <c r="B309" s="30">
        <v>308.0</v>
      </c>
      <c r="C309" s="16" t="s">
        <v>716</v>
      </c>
      <c r="D309" s="16" t="s">
        <v>184</v>
      </c>
      <c r="E309" s="16" t="s">
        <v>192</v>
      </c>
      <c r="F309" s="16" t="s">
        <v>291</v>
      </c>
      <c r="G309" s="16" t="s">
        <v>661</v>
      </c>
      <c r="H309" s="16" t="s">
        <v>220</v>
      </c>
    </row>
    <row r="310" ht="20.25" customHeight="1">
      <c r="A310" s="32" t="str">
        <f>IMAGE("https://gymvisual.com/2911-catalog_default/band-v-up.jpg",4,500,500)</f>
        <v/>
      </c>
      <c r="B310" s="30">
        <v>309.0</v>
      </c>
      <c r="C310" s="16" t="s">
        <v>717</v>
      </c>
      <c r="D310" s="16" t="s">
        <v>184</v>
      </c>
      <c r="E310" s="16" t="s">
        <v>254</v>
      </c>
      <c r="F310" s="16" t="s">
        <v>291</v>
      </c>
      <c r="G310" s="16" t="s">
        <v>305</v>
      </c>
      <c r="H310" s="16" t="s">
        <v>317</v>
      </c>
    </row>
    <row r="311" ht="20.25" customHeight="1">
      <c r="A311" s="32" t="str">
        <f>IMAGE("https://gymvisual.com/2912-catalog_default/band-vertical-pallof-press.jpg",4,500,500)</f>
        <v/>
      </c>
      <c r="B311" s="30">
        <v>310.0</v>
      </c>
      <c r="C311" s="16" t="s">
        <v>718</v>
      </c>
      <c r="D311" s="16" t="s">
        <v>184</v>
      </c>
      <c r="E311" s="16" t="s">
        <v>254</v>
      </c>
      <c r="F311" s="16" t="s">
        <v>291</v>
      </c>
      <c r="G311" s="16" t="s">
        <v>257</v>
      </c>
      <c r="H311" s="16" t="s">
        <v>220</v>
      </c>
    </row>
    <row r="312" ht="20.25" customHeight="1">
      <c r="A312" s="32" t="str">
        <f>IMAGE("https://gymvisual.com/2913-catalog_default/band-wrist-curl.jpg",4,500,500)</f>
        <v/>
      </c>
      <c r="B312" s="30">
        <v>311.0</v>
      </c>
      <c r="C312" s="16" t="s">
        <v>719</v>
      </c>
      <c r="D312" s="16" t="s">
        <v>184</v>
      </c>
      <c r="E312" s="16" t="s">
        <v>214</v>
      </c>
      <c r="F312" s="16" t="s">
        <v>291</v>
      </c>
      <c r="G312" s="16" t="s">
        <v>720</v>
      </c>
      <c r="H312" s="16" t="s">
        <v>220</v>
      </c>
    </row>
    <row r="313" ht="20.25" customHeight="1">
      <c r="A313" s="32" t="str">
        <f>IMAGE("https://gymvisual.com/2914-catalog_default/band-y-raise.jpg",4,500,500)</f>
        <v/>
      </c>
      <c r="B313" s="30">
        <v>312.0</v>
      </c>
      <c r="C313" s="16" t="s">
        <v>721</v>
      </c>
      <c r="D313" s="16" t="s">
        <v>184</v>
      </c>
      <c r="E313" s="16" t="s">
        <v>228</v>
      </c>
      <c r="F313" s="16" t="s">
        <v>291</v>
      </c>
      <c r="G313" s="16" t="s">
        <v>544</v>
      </c>
      <c r="H313" s="16" t="s">
        <v>722</v>
      </c>
    </row>
    <row r="314" ht="20.25" customHeight="1">
      <c r="A314" s="32" t="str">
        <f>IMAGE("https://gymvisual.com/22383-catalog_default/banded-glute-ham-raise-version-2.jpg",4,500,500)</f>
        <v/>
      </c>
      <c r="B314" s="30">
        <v>313.0</v>
      </c>
      <c r="C314" s="16" t="s">
        <v>723</v>
      </c>
      <c r="D314" s="16" t="s">
        <v>184</v>
      </c>
      <c r="E314" s="16" t="s">
        <v>285</v>
      </c>
      <c r="F314" s="16" t="s">
        <v>291</v>
      </c>
      <c r="G314" s="16" t="s">
        <v>188</v>
      </c>
      <c r="H314" s="16" t="s">
        <v>187</v>
      </c>
    </row>
    <row r="315" ht="20.25" customHeight="1">
      <c r="A315" s="32" t="str">
        <f>IMAGE("https://gymvisual.com/22456-catalog_default/banded-glute-ham-raise-version-3.jpg",4,500,500)</f>
        <v/>
      </c>
      <c r="B315" s="30">
        <v>314.0</v>
      </c>
      <c r="C315" s="16" t="s">
        <v>724</v>
      </c>
      <c r="D315" s="16" t="s">
        <v>184</v>
      </c>
      <c r="E315" s="16" t="s">
        <v>285</v>
      </c>
      <c r="F315" s="16" t="s">
        <v>291</v>
      </c>
      <c r="G315" s="16" t="s">
        <v>220</v>
      </c>
      <c r="H315" s="16" t="s">
        <v>220</v>
      </c>
    </row>
    <row r="316" ht="20.25" customHeight="1">
      <c r="A316" s="32" t="str">
        <f>IMAGE("https://gymvisual.com/22363-catalog_default/banded-lower-body-dead-bug.jpg",4,500,500)</f>
        <v/>
      </c>
      <c r="B316" s="30">
        <v>315.0</v>
      </c>
      <c r="C316" s="16" t="s">
        <v>725</v>
      </c>
      <c r="D316" s="16" t="s">
        <v>184</v>
      </c>
      <c r="E316" s="16" t="s">
        <v>254</v>
      </c>
      <c r="F316" s="16" t="s">
        <v>291</v>
      </c>
      <c r="G316" s="16" t="s">
        <v>220</v>
      </c>
      <c r="H316" s="16" t="s">
        <v>220</v>
      </c>
    </row>
    <row r="317" ht="20.25" customHeight="1">
      <c r="A317" s="32" t="str">
        <f>IMAGE("https://gymvisual.com/19748-catalog_default/bar-band-air-bike.jpg",4,500,500)</f>
        <v/>
      </c>
      <c r="B317" s="30">
        <v>316.0</v>
      </c>
      <c r="C317" s="16" t="s">
        <v>726</v>
      </c>
      <c r="D317" s="16" t="s">
        <v>184</v>
      </c>
      <c r="E317" s="16" t="s">
        <v>254</v>
      </c>
      <c r="F317" s="16" t="s">
        <v>727</v>
      </c>
      <c r="G317" s="16" t="s">
        <v>728</v>
      </c>
      <c r="H317" s="16" t="s">
        <v>729</v>
      </c>
    </row>
    <row r="318" ht="20.25" customHeight="1">
      <c r="A318" s="32" t="str">
        <f>IMAGE("https://gymvisual.com/19717-catalog_default/bar-band-bent-over-rear-delt-fly.jpg",4,500,500)</f>
        <v/>
      </c>
      <c r="B318" s="30">
        <v>317.0</v>
      </c>
      <c r="C318" s="16" t="s">
        <v>730</v>
      </c>
      <c r="D318" s="16" t="s">
        <v>184</v>
      </c>
      <c r="E318" s="16" t="s">
        <v>228</v>
      </c>
      <c r="F318" s="16" t="s">
        <v>727</v>
      </c>
      <c r="G318" s="16" t="s">
        <v>408</v>
      </c>
      <c r="H318" s="16" t="s">
        <v>731</v>
      </c>
    </row>
    <row r="319" ht="20.25" customHeight="1">
      <c r="A319" s="32" t="str">
        <f>IMAGE("https://gymvisual.com/19746-catalog_default/bar-band-bent-over-row.jpg",4,500,500)</f>
        <v/>
      </c>
      <c r="B319" s="30">
        <v>318.0</v>
      </c>
      <c r="C319" s="16" t="s">
        <v>732</v>
      </c>
      <c r="D319" s="16" t="s">
        <v>184</v>
      </c>
      <c r="E319" s="16" t="s">
        <v>192</v>
      </c>
      <c r="F319" s="16" t="s">
        <v>727</v>
      </c>
      <c r="G319" s="16" t="s">
        <v>329</v>
      </c>
      <c r="H319" s="16" t="s">
        <v>447</v>
      </c>
    </row>
    <row r="320" ht="20.25" customHeight="1">
      <c r="A320" s="32" t="str">
        <f>IMAGE("https://gymvisual.com/19742-catalog_default/bar-band-down-to-up-twist.jpg",4,500,500)</f>
        <v/>
      </c>
      <c r="B320" s="30">
        <v>319.0</v>
      </c>
      <c r="C320" s="16" t="s">
        <v>733</v>
      </c>
      <c r="D320" s="16" t="s">
        <v>184</v>
      </c>
      <c r="E320" s="16" t="s">
        <v>254</v>
      </c>
      <c r="F320" s="16" t="s">
        <v>727</v>
      </c>
      <c r="G320" s="16" t="s">
        <v>257</v>
      </c>
      <c r="H320" s="16" t="s">
        <v>734</v>
      </c>
    </row>
    <row r="321" ht="20.25" customHeight="1">
      <c r="A321" s="32" t="str">
        <f>IMAGE("https://gymvisual.com/19721-catalog_default/bar-band-kneeling-incline-press.jpg",4,500,500)</f>
        <v/>
      </c>
      <c r="B321" s="30">
        <v>320.0</v>
      </c>
      <c r="C321" s="16" t="s">
        <v>735</v>
      </c>
      <c r="D321" s="16" t="s">
        <v>184</v>
      </c>
      <c r="E321" s="16" t="s">
        <v>234</v>
      </c>
      <c r="F321" s="16" t="s">
        <v>727</v>
      </c>
      <c r="G321" s="16" t="s">
        <v>415</v>
      </c>
      <c r="H321" s="16" t="s">
        <v>243</v>
      </c>
    </row>
    <row r="322" ht="20.25" customHeight="1">
      <c r="A322" s="32" t="str">
        <f>IMAGE("https://gymvisual.com/19707-catalog_default/bar-band-kneeling-single-leg-kick.jpg",4,500,500)</f>
        <v/>
      </c>
      <c r="B322" s="30">
        <v>321.0</v>
      </c>
      <c r="C322" s="16" t="s">
        <v>736</v>
      </c>
      <c r="D322" s="16" t="s">
        <v>184</v>
      </c>
      <c r="E322" s="16" t="s">
        <v>185</v>
      </c>
      <c r="F322" s="16" t="s">
        <v>727</v>
      </c>
      <c r="G322" s="16" t="s">
        <v>187</v>
      </c>
      <c r="H322" s="16" t="s">
        <v>188</v>
      </c>
    </row>
    <row r="323" ht="20.25" customHeight="1">
      <c r="A323" s="32" t="str">
        <f>IMAGE("https://gymvisual.com/19715-catalog_default/bar-band-lying-alternate-leg-press.jpg",4,500,500)</f>
        <v/>
      </c>
      <c r="B323" s="30">
        <v>322.0</v>
      </c>
      <c r="C323" s="16" t="s">
        <v>737</v>
      </c>
      <c r="D323" s="16" t="s">
        <v>184</v>
      </c>
      <c r="E323" s="16" t="s">
        <v>285</v>
      </c>
      <c r="F323" s="16" t="s">
        <v>727</v>
      </c>
      <c r="G323" s="16" t="s">
        <v>189</v>
      </c>
      <c r="H323" s="16" t="s">
        <v>305</v>
      </c>
    </row>
    <row r="324" ht="20.25" customHeight="1">
      <c r="A324" s="32" t="str">
        <f>IMAGE("https://gymvisual.com/19738-catalog_default/bar-band-overhead-triceps-extension.jpg",4,500,500)</f>
        <v/>
      </c>
      <c r="B324" s="30">
        <v>323.0</v>
      </c>
      <c r="C324" s="16" t="s">
        <v>738</v>
      </c>
      <c r="D324" s="16" t="s">
        <v>184</v>
      </c>
      <c r="E324" s="16" t="s">
        <v>219</v>
      </c>
      <c r="F324" s="16" t="s">
        <v>727</v>
      </c>
      <c r="G324" s="16" t="s">
        <v>223</v>
      </c>
      <c r="H324" s="16" t="s">
        <v>220</v>
      </c>
    </row>
    <row r="325" ht="20.25" customHeight="1">
      <c r="A325" s="32" t="str">
        <f>IMAGE("https://gymvisual.com/19750-catalog_default/bar-band-side-bend-press.jpg",4,500,500)</f>
        <v/>
      </c>
      <c r="B325" s="30">
        <v>324.0</v>
      </c>
      <c r="C325" s="16" t="s">
        <v>739</v>
      </c>
      <c r="D325" s="16" t="s">
        <v>184</v>
      </c>
      <c r="E325" s="16" t="s">
        <v>740</v>
      </c>
      <c r="F325" s="16" t="s">
        <v>727</v>
      </c>
      <c r="G325" s="16" t="s">
        <v>741</v>
      </c>
      <c r="H325" s="16" t="s">
        <v>626</v>
      </c>
    </row>
    <row r="326" ht="20.25" customHeight="1">
      <c r="A326" s="32" t="str">
        <f>IMAGE("https://gymvisual.com/19752-catalog_default/bar-band-single-leg-reverse-hyperextension.jpg",4,500,500)</f>
        <v/>
      </c>
      <c r="B326" s="30">
        <v>325.0</v>
      </c>
      <c r="C326" s="16" t="s">
        <v>742</v>
      </c>
      <c r="D326" s="16" t="s">
        <v>184</v>
      </c>
      <c r="E326" s="16" t="s">
        <v>185</v>
      </c>
      <c r="F326" s="16" t="s">
        <v>727</v>
      </c>
      <c r="G326" s="16" t="s">
        <v>267</v>
      </c>
      <c r="H326" s="16" t="s">
        <v>188</v>
      </c>
    </row>
    <row r="327" ht="20.25" customHeight="1">
      <c r="A327" s="32" t="str">
        <f>IMAGE("https://gymvisual.com/19744-catalog_default/bar-band-skier.jpg",4,500,500)</f>
        <v/>
      </c>
      <c r="B327" s="30">
        <v>326.0</v>
      </c>
      <c r="C327" s="16" t="s">
        <v>743</v>
      </c>
      <c r="D327" s="16" t="s">
        <v>184</v>
      </c>
      <c r="E327" s="16" t="s">
        <v>228</v>
      </c>
      <c r="F327" s="16" t="s">
        <v>727</v>
      </c>
      <c r="G327" s="16" t="s">
        <v>408</v>
      </c>
      <c r="H327" s="16" t="s">
        <v>731</v>
      </c>
    </row>
    <row r="328" ht="20.25" customHeight="1">
      <c r="A328" s="32" t="str">
        <f>IMAGE("https://gymvisual.com/19711-catalog_default/bar-band-split-squat.jpg",4,500,500)</f>
        <v/>
      </c>
      <c r="B328" s="30">
        <v>327.0</v>
      </c>
      <c r="C328" s="16" t="s">
        <v>744</v>
      </c>
      <c r="D328" s="16" t="s">
        <v>184</v>
      </c>
      <c r="E328" s="16" t="s">
        <v>285</v>
      </c>
      <c r="F328" s="16" t="s">
        <v>727</v>
      </c>
      <c r="G328" s="16" t="s">
        <v>189</v>
      </c>
      <c r="H328" s="16" t="s">
        <v>190</v>
      </c>
    </row>
    <row r="329" ht="20.25" customHeight="1">
      <c r="A329" s="32" t="str">
        <f>IMAGE("https://gymvisual.com/19719-catalog_default/bar-band-squat.jpg",4,500,500)</f>
        <v/>
      </c>
      <c r="B329" s="30">
        <v>328.0</v>
      </c>
      <c r="C329" s="16" t="s">
        <v>745</v>
      </c>
      <c r="D329" s="16" t="s">
        <v>184</v>
      </c>
      <c r="E329" s="16" t="s">
        <v>285</v>
      </c>
      <c r="F329" s="16" t="s">
        <v>727</v>
      </c>
      <c r="G329" s="16" t="s">
        <v>189</v>
      </c>
      <c r="H329" s="16" t="s">
        <v>190</v>
      </c>
    </row>
    <row r="330" ht="20.25" customHeight="1">
      <c r="A330" s="32" t="str">
        <f>IMAGE("https://gymvisual.com/19725-catalog_default/bar-band-standing-behind-head-military-press.jpg",4,500,500)</f>
        <v/>
      </c>
      <c r="B330" s="30">
        <v>329.0</v>
      </c>
      <c r="C330" s="16" t="s">
        <v>746</v>
      </c>
      <c r="D330" s="16" t="s">
        <v>184</v>
      </c>
      <c r="E330" s="16" t="s">
        <v>228</v>
      </c>
      <c r="F330" s="16" t="s">
        <v>727</v>
      </c>
      <c r="G330" s="16" t="s">
        <v>229</v>
      </c>
      <c r="H330" s="16" t="s">
        <v>230</v>
      </c>
    </row>
    <row r="331" ht="20.25" customHeight="1">
      <c r="A331" s="32" t="str">
        <f>IMAGE("https://gymvisual.com/19723-catalog_default/bar-band-standing-side-bend.jpg",4,500,500)</f>
        <v/>
      </c>
      <c r="B331" s="30">
        <v>330.0</v>
      </c>
      <c r="C331" s="16" t="s">
        <v>747</v>
      </c>
      <c r="D331" s="16" t="s">
        <v>184</v>
      </c>
      <c r="E331" s="16" t="s">
        <v>254</v>
      </c>
      <c r="F331" s="16" t="s">
        <v>727</v>
      </c>
      <c r="G331" s="16" t="s">
        <v>257</v>
      </c>
      <c r="H331" s="16" t="s">
        <v>220</v>
      </c>
    </row>
    <row r="332" ht="20.25" customHeight="1">
      <c r="A332" s="32" t="str">
        <f>IMAGE("https://gymvisual.com/19740-catalog_default/bar-band-standing-single-arm-upright-row.jpg",4,500,500)</f>
        <v/>
      </c>
      <c r="B332" s="30">
        <v>331.0</v>
      </c>
      <c r="C332" s="16" t="s">
        <v>748</v>
      </c>
      <c r="D332" s="16" t="s">
        <v>184</v>
      </c>
      <c r="E332" s="16" t="s">
        <v>228</v>
      </c>
      <c r="F332" s="16" t="s">
        <v>727</v>
      </c>
      <c r="G332" s="16" t="s">
        <v>544</v>
      </c>
      <c r="H332" s="16" t="s">
        <v>713</v>
      </c>
    </row>
    <row r="333" ht="20.25" customHeight="1">
      <c r="A333" s="32" t="str">
        <f>IMAGE("https://gymvisual.com/19713-catalog_default/bar-band-standing-triceps-extension.jpg",4,500,500)</f>
        <v/>
      </c>
      <c r="B333" s="30">
        <v>332.0</v>
      </c>
      <c r="C333" s="16" t="s">
        <v>749</v>
      </c>
      <c r="D333" s="16" t="s">
        <v>184</v>
      </c>
      <c r="E333" s="16" t="s">
        <v>219</v>
      </c>
      <c r="F333" s="16" t="s">
        <v>727</v>
      </c>
      <c r="G333" s="16" t="s">
        <v>223</v>
      </c>
      <c r="H333" s="16" t="s">
        <v>220</v>
      </c>
    </row>
    <row r="334" ht="20.25" customHeight="1">
      <c r="A334" s="32" t="str">
        <f>IMAGE("https://gymvisual.com/19709-catalog_default/bar-band-swing.jpg",4,500,500)</f>
        <v/>
      </c>
      <c r="B334" s="30">
        <v>333.0</v>
      </c>
      <c r="C334" s="16" t="s">
        <v>750</v>
      </c>
      <c r="D334" s="16" t="s">
        <v>184</v>
      </c>
      <c r="E334" s="16" t="s">
        <v>185</v>
      </c>
      <c r="F334" s="16" t="s">
        <v>727</v>
      </c>
      <c r="G334" s="16" t="s">
        <v>751</v>
      </c>
      <c r="H334" s="16" t="s">
        <v>752</v>
      </c>
    </row>
    <row r="335" ht="20.25" customHeight="1">
      <c r="A335" s="32" t="str">
        <f>IMAGE("https://gymvisual.com/22195-catalog_default/bar-biceps-curl.jpg",4,500,500)</f>
        <v/>
      </c>
      <c r="B335" s="30">
        <v>334.0</v>
      </c>
      <c r="C335" s="16" t="s">
        <v>753</v>
      </c>
      <c r="D335" s="16" t="s">
        <v>184</v>
      </c>
      <c r="E335" s="16" t="s">
        <v>219</v>
      </c>
      <c r="F335" s="16" t="s">
        <v>255</v>
      </c>
      <c r="G335" s="16" t="s">
        <v>220</v>
      </c>
      <c r="H335" s="16" t="s">
        <v>220</v>
      </c>
    </row>
    <row r="336" ht="20.25" customHeight="1">
      <c r="A336" s="32" t="str">
        <f>IMAGE("https://gymvisual.com/22512-catalog_default/bar-close-grip-biceps-curl.jpg",4,500,500)</f>
        <v/>
      </c>
      <c r="B336" s="30">
        <v>335.0</v>
      </c>
      <c r="C336" s="16" t="s">
        <v>754</v>
      </c>
      <c r="D336" s="16" t="s">
        <v>184</v>
      </c>
      <c r="E336" s="16" t="s">
        <v>219</v>
      </c>
      <c r="F336" s="16" t="s">
        <v>255</v>
      </c>
      <c r="G336" s="16" t="s">
        <v>220</v>
      </c>
      <c r="H336" s="16" t="s">
        <v>220</v>
      </c>
    </row>
    <row r="337" ht="20.25" customHeight="1">
      <c r="A337" s="32" t="str">
        <f>IMAGE("https://gymvisual.com/99-catalog_default/barbell-alternate-biceps-curl.jpg",4,500,500)</f>
        <v/>
      </c>
      <c r="B337" s="30">
        <v>336.0</v>
      </c>
      <c r="C337" s="16" t="s">
        <v>755</v>
      </c>
      <c r="D337" s="16" t="s">
        <v>184</v>
      </c>
      <c r="E337" s="16" t="s">
        <v>219</v>
      </c>
      <c r="F337" s="16" t="s">
        <v>186</v>
      </c>
      <c r="G337" s="16" t="s">
        <v>241</v>
      </c>
      <c r="H337" s="16" t="s">
        <v>292</v>
      </c>
    </row>
    <row r="338" ht="20.25" customHeight="1">
      <c r="A338" s="32" t="str">
        <f>IMAGE("https://gymvisual.com/24997-catalog_default/barbell-anderson-squat.jpg",4,500,500)</f>
        <v/>
      </c>
      <c r="B338" s="30">
        <v>337.0</v>
      </c>
      <c r="C338" s="16" t="s">
        <v>756</v>
      </c>
      <c r="D338" s="16" t="s">
        <v>184</v>
      </c>
      <c r="E338" s="16" t="s">
        <v>285</v>
      </c>
      <c r="F338" s="16" t="s">
        <v>186</v>
      </c>
      <c r="G338" s="16" t="s">
        <v>220</v>
      </c>
      <c r="H338" s="16" t="s">
        <v>220</v>
      </c>
    </row>
    <row r="339" ht="20.25" customHeight="1">
      <c r="A339" s="32" t="str">
        <f>IMAGE("https://gymvisual.com/20417-catalog_default/barbell-back-wide-shrug.jpg",4,500,500)</f>
        <v/>
      </c>
      <c r="B339" s="30">
        <v>338.0</v>
      </c>
      <c r="C339" s="16" t="s">
        <v>237</v>
      </c>
      <c r="D339" s="16" t="s">
        <v>184</v>
      </c>
      <c r="E339" s="16" t="s">
        <v>192</v>
      </c>
      <c r="F339" s="16" t="s">
        <v>186</v>
      </c>
      <c r="G339" s="16" t="s">
        <v>238</v>
      </c>
      <c r="H339" s="16" t="s">
        <v>239</v>
      </c>
    </row>
    <row r="340" ht="20.25" customHeight="1">
      <c r="A340" s="32" t="str">
        <f>IMAGE("https://gymvisual.com/22367-catalog_default/barbell-band-assisted-deadlift.jpg",4,500,500)</f>
        <v/>
      </c>
      <c r="B340" s="30">
        <v>339.0</v>
      </c>
      <c r="C340" s="16" t="s">
        <v>757</v>
      </c>
      <c r="D340" s="16" t="s">
        <v>184</v>
      </c>
      <c r="E340" s="16" t="s">
        <v>185</v>
      </c>
      <c r="F340" s="16" t="s">
        <v>186</v>
      </c>
      <c r="G340" s="16" t="s">
        <v>220</v>
      </c>
      <c r="H340" s="16" t="s">
        <v>220</v>
      </c>
    </row>
    <row r="341" ht="20.25" customHeight="1">
      <c r="A341" s="32" t="str">
        <f>IMAGE("https://gymvisual.com/17855-catalog_default/barbell-banded-bench-squat.jpg",4,500,500)</f>
        <v/>
      </c>
      <c r="B341" s="30">
        <v>340.0</v>
      </c>
      <c r="C341" s="16" t="s">
        <v>758</v>
      </c>
      <c r="D341" s="16" t="s">
        <v>184</v>
      </c>
      <c r="E341" s="16" t="s">
        <v>285</v>
      </c>
      <c r="F341" s="16" t="s">
        <v>186</v>
      </c>
      <c r="G341" s="16" t="s">
        <v>220</v>
      </c>
      <c r="H341" s="16" t="s">
        <v>220</v>
      </c>
    </row>
    <row r="342" ht="20.25" customHeight="1">
      <c r="A342" s="32" t="str">
        <f>IMAGE("https://gymvisual.com/17989-catalog_default/barbell-banded-romanian-deadlift.jpg",4,500,500)</f>
        <v/>
      </c>
      <c r="B342" s="30">
        <v>341.0</v>
      </c>
      <c r="C342" s="16" t="s">
        <v>759</v>
      </c>
      <c r="D342" s="16" t="s">
        <v>184</v>
      </c>
      <c r="E342" s="16" t="s">
        <v>185</v>
      </c>
      <c r="F342" s="16" t="s">
        <v>186</v>
      </c>
      <c r="G342" s="16" t="s">
        <v>220</v>
      </c>
      <c r="H342" s="16" t="s">
        <v>220</v>
      </c>
    </row>
    <row r="343" ht="20.25" customHeight="1">
      <c r="A343" s="32" t="str">
        <f>IMAGE("https://gymvisual.com/14072-catalog_default/barbell-banded-squat.jpg",4,500,500)</f>
        <v/>
      </c>
      <c r="B343" s="30">
        <v>342.0</v>
      </c>
      <c r="C343" s="16" t="s">
        <v>760</v>
      </c>
      <c r="D343" s="16" t="s">
        <v>184</v>
      </c>
      <c r="E343" s="16" t="s">
        <v>294</v>
      </c>
      <c r="F343" s="16" t="s">
        <v>186</v>
      </c>
      <c r="G343" s="16" t="s">
        <v>189</v>
      </c>
      <c r="H343" s="16" t="s">
        <v>190</v>
      </c>
    </row>
    <row r="344" ht="20.25" customHeight="1">
      <c r="A344" s="32" t="str">
        <f>IMAGE("https://gymvisual.com/18041-catalog_default/barbell-banded-sumo-deadlift.jpg",4,500,500)</f>
        <v/>
      </c>
      <c r="B344" s="30">
        <v>343.0</v>
      </c>
      <c r="C344" s="16" t="s">
        <v>761</v>
      </c>
      <c r="D344" s="16" t="s">
        <v>184</v>
      </c>
      <c r="E344" s="16" t="s">
        <v>185</v>
      </c>
      <c r="F344" s="16" t="s">
        <v>186</v>
      </c>
      <c r="G344" s="16" t="s">
        <v>220</v>
      </c>
      <c r="H344" s="16" t="s">
        <v>220</v>
      </c>
    </row>
    <row r="345" ht="20.25" customHeight="1">
      <c r="A345" s="32" t="str">
        <f>IMAGE("https://gymvisual.com/6956-catalog_default/barbell-behind-back-finger-curl.jpg",4,500,500)</f>
        <v/>
      </c>
      <c r="B345" s="30">
        <v>344.0</v>
      </c>
      <c r="C345" s="16" t="s">
        <v>240</v>
      </c>
      <c r="D345" s="16" t="s">
        <v>184</v>
      </c>
      <c r="E345" s="16" t="s">
        <v>214</v>
      </c>
      <c r="F345" s="16" t="s">
        <v>186</v>
      </c>
      <c r="G345" s="16" t="s">
        <v>220</v>
      </c>
      <c r="H345" s="16" t="s">
        <v>220</v>
      </c>
    </row>
    <row r="346" ht="20.25" customHeight="1">
      <c r="A346" s="32" t="str">
        <f>IMAGE("https://gymvisual.com/25005-catalog_default/barbell-behind-the-back-deadlift.jpg",4,500,500)</f>
        <v/>
      </c>
      <c r="B346" s="30">
        <v>345.0</v>
      </c>
      <c r="C346" s="16" t="s">
        <v>762</v>
      </c>
      <c r="D346" s="16" t="s">
        <v>184</v>
      </c>
      <c r="E346" s="16" t="s">
        <v>185</v>
      </c>
      <c r="F346" s="16" t="s">
        <v>186</v>
      </c>
      <c r="G346" s="16" t="s">
        <v>220</v>
      </c>
      <c r="H346" s="16" t="s">
        <v>220</v>
      </c>
    </row>
    <row r="347" ht="20.25" customHeight="1">
      <c r="A347" s="32" t="str">
        <f>IMAGE("https://gymvisual.com/22399-catalog_default/barbell-behind-the-back-push-press.jpg",4,500,500)</f>
        <v/>
      </c>
      <c r="B347" s="30">
        <v>346.0</v>
      </c>
      <c r="C347" s="16" t="s">
        <v>763</v>
      </c>
      <c r="D347" s="16" t="s">
        <v>184</v>
      </c>
      <c r="E347" s="16" t="s">
        <v>764</v>
      </c>
      <c r="F347" s="16" t="s">
        <v>186</v>
      </c>
      <c r="G347" s="16" t="s">
        <v>229</v>
      </c>
      <c r="H347" s="16" t="s">
        <v>230</v>
      </c>
    </row>
    <row r="348" ht="20.25" customHeight="1">
      <c r="A348" s="32" t="str">
        <f>IMAGE("https://gymvisual.com/16392-catalog_default/barbell-behind-the-back-shrug.jpg",4,500,500)</f>
        <v/>
      </c>
      <c r="B348" s="30">
        <v>347.0</v>
      </c>
      <c r="C348" s="16" t="s">
        <v>765</v>
      </c>
      <c r="D348" s="16" t="s">
        <v>184</v>
      </c>
      <c r="E348" s="16" t="s">
        <v>192</v>
      </c>
      <c r="F348" s="16" t="s">
        <v>186</v>
      </c>
      <c r="G348" s="16" t="s">
        <v>238</v>
      </c>
      <c r="H348" s="16" t="s">
        <v>239</v>
      </c>
    </row>
    <row r="349" ht="20.25" customHeight="1">
      <c r="A349" s="32" t="str">
        <f>IMAGE("https://gymvisual.com/102-catalog_default/barbell-bench-front-squat.jpg",4,500,500)</f>
        <v/>
      </c>
      <c r="B349" s="30">
        <v>348.0</v>
      </c>
      <c r="C349" s="16" t="s">
        <v>766</v>
      </c>
      <c r="D349" s="16" t="s">
        <v>184</v>
      </c>
      <c r="E349" s="16" t="s">
        <v>285</v>
      </c>
      <c r="F349" s="16" t="s">
        <v>186</v>
      </c>
      <c r="G349" s="16" t="s">
        <v>552</v>
      </c>
      <c r="H349" s="16" t="s">
        <v>190</v>
      </c>
    </row>
    <row r="350" ht="20.25" customHeight="1">
      <c r="A350" s="32" t="str">
        <f>IMAGE("https://gymvisual.com/13319-catalog_default/barbell-bench-front-squat-female.jpg",4,500,500)</f>
        <v/>
      </c>
      <c r="B350" s="30">
        <v>349.0</v>
      </c>
      <c r="C350" s="16" t="s">
        <v>767</v>
      </c>
      <c r="D350" s="16" t="s">
        <v>184</v>
      </c>
      <c r="E350" s="16" t="s">
        <v>294</v>
      </c>
      <c r="F350" s="16" t="s">
        <v>186</v>
      </c>
      <c r="G350" s="16" t="s">
        <v>220</v>
      </c>
      <c r="H350" s="16" t="s">
        <v>220</v>
      </c>
    </row>
    <row r="351" ht="20.25" customHeight="1">
      <c r="A351" s="32" t="str">
        <f>IMAGE("https://gymvisual.com/19307-catalog_default/barbell-bench-press.jpg",4,500,500)</f>
        <v/>
      </c>
      <c r="B351" s="30">
        <v>350.0</v>
      </c>
      <c r="C351" s="16" t="s">
        <v>768</v>
      </c>
      <c r="D351" s="16" t="s">
        <v>184</v>
      </c>
      <c r="E351" s="16" t="s">
        <v>234</v>
      </c>
      <c r="F351" s="16" t="s">
        <v>186</v>
      </c>
      <c r="G351" s="16" t="s">
        <v>347</v>
      </c>
      <c r="H351" s="16" t="s">
        <v>382</v>
      </c>
    </row>
    <row r="352" ht="20.25" customHeight="1">
      <c r="A352" s="32" t="str">
        <f>IMAGE("https://gymvisual.com/10945-catalog_default/barbell-bench-press-female.jpg",4,500,500)</f>
        <v/>
      </c>
      <c r="B352" s="30">
        <v>351.0</v>
      </c>
      <c r="C352" s="16" t="s">
        <v>769</v>
      </c>
      <c r="D352" s="16" t="s">
        <v>184</v>
      </c>
      <c r="E352" s="16" t="s">
        <v>234</v>
      </c>
      <c r="F352" s="16" t="s">
        <v>186</v>
      </c>
      <c r="G352" s="16" t="s">
        <v>235</v>
      </c>
      <c r="H352" s="16" t="s">
        <v>243</v>
      </c>
    </row>
    <row r="353" ht="20.25" customHeight="1">
      <c r="A353" s="32" t="str">
        <f>IMAGE("https://gymvisual.com/12746-catalog_default/barbell-bench-press-knees-at-90-degrees.jpg",4,500,500)</f>
        <v/>
      </c>
      <c r="B353" s="30">
        <v>352.0</v>
      </c>
      <c r="C353" s="16" t="s">
        <v>770</v>
      </c>
      <c r="D353" s="16" t="s">
        <v>184</v>
      </c>
      <c r="E353" s="16" t="s">
        <v>234</v>
      </c>
      <c r="F353" s="16" t="s">
        <v>186</v>
      </c>
      <c r="G353" s="16" t="s">
        <v>235</v>
      </c>
      <c r="H353" s="16" t="s">
        <v>243</v>
      </c>
    </row>
    <row r="354" ht="20.25" customHeight="1">
      <c r="A354" s="32" t="str">
        <f>IMAGE("https://gymvisual.com/12832-catalog_default/barbell-bench-press-with-hanging-band-technique.jpg",4,500,500)</f>
        <v/>
      </c>
      <c r="B354" s="30">
        <v>353.0</v>
      </c>
      <c r="C354" s="16" t="s">
        <v>771</v>
      </c>
      <c r="D354" s="16" t="s">
        <v>184</v>
      </c>
      <c r="E354" s="16" t="s">
        <v>234</v>
      </c>
      <c r="F354" s="16" t="s">
        <v>186</v>
      </c>
      <c r="G354" s="16" t="s">
        <v>235</v>
      </c>
      <c r="H354" s="16" t="s">
        <v>243</v>
      </c>
    </row>
    <row r="355" ht="20.25" customHeight="1">
      <c r="A355" s="32" t="str">
        <f>IMAGE("https://gymvisual.com/18037-catalog_default/barbell-bench-press-against-chains.jpg",4,500,500)</f>
        <v/>
      </c>
      <c r="B355" s="30">
        <v>354.0</v>
      </c>
      <c r="C355" s="16" t="s">
        <v>772</v>
      </c>
      <c r="D355" s="16" t="s">
        <v>184</v>
      </c>
      <c r="E355" s="16" t="s">
        <v>234</v>
      </c>
      <c r="F355" s="16" t="s">
        <v>186</v>
      </c>
      <c r="G355" s="16" t="s">
        <v>220</v>
      </c>
      <c r="H355" s="16" t="s">
        <v>220</v>
      </c>
    </row>
    <row r="356" ht="20.25" customHeight="1">
      <c r="A356" s="32" t="str">
        <f>IMAGE("https://gymvisual.com/17873-catalog_default/barbell-bench-press-with-1-board.jpg",4,500,500)</f>
        <v/>
      </c>
      <c r="B356" s="30">
        <v>355.0</v>
      </c>
      <c r="C356" s="16" t="s">
        <v>773</v>
      </c>
      <c r="D356" s="16" t="s">
        <v>184</v>
      </c>
      <c r="E356" s="16" t="s">
        <v>234</v>
      </c>
      <c r="F356" s="16" t="s">
        <v>186</v>
      </c>
      <c r="G356" s="16" t="s">
        <v>220</v>
      </c>
      <c r="H356" s="16" t="s">
        <v>220</v>
      </c>
    </row>
    <row r="357" ht="20.25" customHeight="1">
      <c r="A357" s="32" t="str">
        <f>IMAGE("https://gymvisual.com/17871-catalog_default/barbell-bench-press-with-2-board.jpg",4,500,500)</f>
        <v/>
      </c>
      <c r="B357" s="30">
        <v>356.0</v>
      </c>
      <c r="C357" s="16" t="s">
        <v>774</v>
      </c>
      <c r="D357" s="16" t="s">
        <v>184</v>
      </c>
      <c r="E357" s="16" t="s">
        <v>234</v>
      </c>
      <c r="F357" s="16" t="s">
        <v>186</v>
      </c>
      <c r="G357" s="16" t="s">
        <v>220</v>
      </c>
      <c r="H357" s="16" t="s">
        <v>220</v>
      </c>
    </row>
    <row r="358" ht="20.25" customHeight="1">
      <c r="A358" s="32" t="str">
        <f>IMAGE("https://gymvisual.com/17869-catalog_default/barbell-bench-press-with-3-board.jpg",4,500,500)</f>
        <v/>
      </c>
      <c r="B358" s="30">
        <v>357.0</v>
      </c>
      <c r="C358" s="16" t="s">
        <v>775</v>
      </c>
      <c r="D358" s="16" t="s">
        <v>184</v>
      </c>
      <c r="E358" s="16" t="s">
        <v>234</v>
      </c>
      <c r="F358" s="16" t="s">
        <v>186</v>
      </c>
      <c r="G358" s="16" t="s">
        <v>220</v>
      </c>
      <c r="H358" s="16" t="s">
        <v>220</v>
      </c>
    </row>
    <row r="359" ht="20.25" customHeight="1">
      <c r="A359" s="32" t="str">
        <f>IMAGE("https://gymvisual.com/19495-catalog_default/barbell-bench-press-with-band-suspended-kettlebell.jpg",4,500,500)</f>
        <v/>
      </c>
      <c r="B359" s="30">
        <v>358.0</v>
      </c>
      <c r="C359" s="16" t="s">
        <v>776</v>
      </c>
      <c r="D359" s="16" t="s">
        <v>184</v>
      </c>
      <c r="E359" s="16" t="s">
        <v>234</v>
      </c>
      <c r="F359" s="16" t="s">
        <v>186</v>
      </c>
      <c r="G359" s="16" t="s">
        <v>220</v>
      </c>
      <c r="H359" s="16" t="s">
        <v>220</v>
      </c>
    </row>
    <row r="360" ht="20.25" customHeight="1">
      <c r="A360" s="32" t="str">
        <f>IMAGE("https://gymvisual.com/108-catalog_default/barbell-bench-squat.jpg",4,500,500)</f>
        <v/>
      </c>
      <c r="B360" s="30">
        <v>359.0</v>
      </c>
      <c r="C360" s="16" t="s">
        <v>777</v>
      </c>
      <c r="D360" s="16" t="s">
        <v>184</v>
      </c>
      <c r="E360" s="16" t="s">
        <v>185</v>
      </c>
      <c r="F360" s="16" t="s">
        <v>186</v>
      </c>
      <c r="G360" s="16" t="s">
        <v>552</v>
      </c>
      <c r="H360" s="16" t="s">
        <v>190</v>
      </c>
    </row>
    <row r="361" ht="20.25" customHeight="1">
      <c r="A361" s="32" t="str">
        <f>IMAGE("https://gymvisual.com/9589-catalog_default/barbell-bench-squat-female.jpg",4,500,500)</f>
        <v/>
      </c>
      <c r="B361" s="30">
        <v>360.0</v>
      </c>
      <c r="C361" s="16" t="s">
        <v>778</v>
      </c>
      <c r="D361" s="16" t="s">
        <v>184</v>
      </c>
      <c r="E361" s="16" t="s">
        <v>294</v>
      </c>
      <c r="F361" s="16" t="s">
        <v>186</v>
      </c>
      <c r="G361" s="16" t="s">
        <v>189</v>
      </c>
      <c r="H361" s="16" t="s">
        <v>190</v>
      </c>
    </row>
    <row r="362" ht="20.25" customHeight="1">
      <c r="A362" s="32" t="str">
        <f>IMAGE("https://gymvisual.com/6751-catalog_default/barbell-bench-squat-with-chains.jpg",4,500,500)</f>
        <v/>
      </c>
      <c r="B362" s="30">
        <v>361.0</v>
      </c>
      <c r="C362" s="16" t="s">
        <v>779</v>
      </c>
      <c r="D362" s="16" t="s">
        <v>184</v>
      </c>
      <c r="E362" s="16" t="s">
        <v>285</v>
      </c>
      <c r="F362" s="16" t="s">
        <v>186</v>
      </c>
      <c r="G362" s="16" t="s">
        <v>220</v>
      </c>
      <c r="H362" s="16" t="s">
        <v>220</v>
      </c>
    </row>
    <row r="363" ht="20.25" customHeight="1">
      <c r="A363" s="32" t="str">
        <f>IMAGE("https://gymvisual.com/6007-catalog_default/barbell-bent-arm-pullover.jpg",4,500,500)</f>
        <v/>
      </c>
      <c r="B363" s="30">
        <v>362.0</v>
      </c>
      <c r="C363" s="16" t="s">
        <v>780</v>
      </c>
      <c r="D363" s="16" t="s">
        <v>184</v>
      </c>
      <c r="E363" s="16" t="s">
        <v>192</v>
      </c>
      <c r="F363" s="16" t="s">
        <v>186</v>
      </c>
      <c r="G363" s="16" t="s">
        <v>300</v>
      </c>
      <c r="H363" s="16" t="s">
        <v>781</v>
      </c>
    </row>
    <row r="364" ht="20.25" customHeight="1">
      <c r="A364" s="32" t="str">
        <f>IMAGE("https://gymvisual.com/19309-catalog_default/barbell-bent-over-row.jpg",4,500,500)</f>
        <v/>
      </c>
      <c r="B364" s="30">
        <v>363.0</v>
      </c>
      <c r="C364" s="16" t="s">
        <v>782</v>
      </c>
      <c r="D364" s="16" t="s">
        <v>184</v>
      </c>
      <c r="E364" s="16" t="s">
        <v>192</v>
      </c>
      <c r="F364" s="16" t="s">
        <v>186</v>
      </c>
      <c r="G364" s="16" t="s">
        <v>570</v>
      </c>
      <c r="H364" s="16" t="s">
        <v>447</v>
      </c>
    </row>
    <row r="365" ht="20.25" customHeight="1">
      <c r="A365" s="32" t="str">
        <f>IMAGE("https://gymvisual.com/9640-catalog_default/barbell-bent-over-row-female.jpg",4,500,500)</f>
        <v/>
      </c>
      <c r="B365" s="30">
        <v>364.0</v>
      </c>
      <c r="C365" s="16" t="s">
        <v>783</v>
      </c>
      <c r="D365" s="16" t="s">
        <v>184</v>
      </c>
      <c r="E365" s="16" t="s">
        <v>192</v>
      </c>
      <c r="F365" s="16" t="s">
        <v>186</v>
      </c>
      <c r="G365" s="16" t="s">
        <v>570</v>
      </c>
      <c r="H365" s="16" t="s">
        <v>447</v>
      </c>
    </row>
    <row r="366" ht="20.25" customHeight="1">
      <c r="A366" s="32" t="str">
        <f>IMAGE("https://gymvisual.com/17405-catalog_default/barbell-bent-over-wide-alternate-row-plus.jpg",4,500,500)</f>
        <v/>
      </c>
      <c r="B366" s="30">
        <v>365.0</v>
      </c>
      <c r="C366" s="16" t="s">
        <v>784</v>
      </c>
      <c r="D366" s="16" t="s">
        <v>184</v>
      </c>
      <c r="E366" s="16" t="s">
        <v>192</v>
      </c>
      <c r="F366" s="16" t="s">
        <v>186</v>
      </c>
      <c r="G366" s="16" t="s">
        <v>329</v>
      </c>
      <c r="H366" s="16" t="s">
        <v>447</v>
      </c>
    </row>
    <row r="367" ht="20.25" customHeight="1">
      <c r="A367" s="32" t="str">
        <f>IMAGE("https://gymvisual.com/16374-catalog_default/barbell-bent-over-wide-grip-row.jpg",4,500,500)</f>
        <v/>
      </c>
      <c r="B367" s="30">
        <v>366.0</v>
      </c>
      <c r="C367" s="16" t="s">
        <v>785</v>
      </c>
      <c r="D367" s="16" t="s">
        <v>184</v>
      </c>
      <c r="E367" s="16" t="s">
        <v>192</v>
      </c>
      <c r="F367" s="16" t="s">
        <v>186</v>
      </c>
      <c r="G367" s="16" t="s">
        <v>329</v>
      </c>
      <c r="H367" s="16" t="s">
        <v>447</v>
      </c>
    </row>
    <row r="368" ht="20.25" customHeight="1">
      <c r="A368" s="32" t="str">
        <f>IMAGE("https://gymvisual.com/17407-catalog_default/barbell-bent-over-wide-row-plus.jpg",4,500,500)</f>
        <v/>
      </c>
      <c r="B368" s="30">
        <v>367.0</v>
      </c>
      <c r="C368" s="16" t="s">
        <v>786</v>
      </c>
      <c r="D368" s="16" t="s">
        <v>184</v>
      </c>
      <c r="E368" s="16" t="s">
        <v>192</v>
      </c>
      <c r="F368" s="16" t="s">
        <v>186</v>
      </c>
      <c r="G368" s="16" t="s">
        <v>329</v>
      </c>
      <c r="H368" s="16" t="s">
        <v>447</v>
      </c>
    </row>
    <row r="369" ht="20.25" customHeight="1">
      <c r="A369" s="32" t="str">
        <f>IMAGE("https://gymvisual.com/10460-catalog_default/barbell-biceps-curl-with-arm-blaster.jpg",4,500,500)</f>
        <v/>
      </c>
      <c r="B369" s="30">
        <v>368.0</v>
      </c>
      <c r="C369" s="16" t="s">
        <v>787</v>
      </c>
      <c r="D369" s="16" t="s">
        <v>184</v>
      </c>
      <c r="E369" s="16" t="s">
        <v>219</v>
      </c>
      <c r="F369" s="16" t="s">
        <v>186</v>
      </c>
      <c r="G369" s="16" t="s">
        <v>241</v>
      </c>
      <c r="H369" s="16" t="s">
        <v>292</v>
      </c>
    </row>
    <row r="370" ht="20.25" customHeight="1">
      <c r="A370" s="32" t="str">
        <f>IMAGE("https://gymvisual.com/22492-catalog_default/barbell-box-squat.jpg",4,500,500)</f>
        <v/>
      </c>
      <c r="B370" s="30">
        <v>369.0</v>
      </c>
      <c r="C370" s="16" t="s">
        <v>788</v>
      </c>
      <c r="D370" s="16" t="s">
        <v>184</v>
      </c>
      <c r="E370" s="16" t="s">
        <v>185</v>
      </c>
      <c r="F370" s="16" t="s">
        <v>186</v>
      </c>
      <c r="G370" s="16" t="s">
        <v>189</v>
      </c>
      <c r="H370" s="16" t="s">
        <v>190</v>
      </c>
    </row>
    <row r="371" ht="20.25" customHeight="1">
      <c r="A371" s="32" t="str">
        <f>IMAGE("https://gymvisual.com/16390-catalog_default/barbell-chest-press-on-stability-ball.jpg",4,500,500)</f>
        <v/>
      </c>
      <c r="B371" s="30">
        <v>370.0</v>
      </c>
      <c r="C371" s="16" t="s">
        <v>789</v>
      </c>
      <c r="D371" s="16" t="s">
        <v>184</v>
      </c>
      <c r="E371" s="16" t="s">
        <v>234</v>
      </c>
      <c r="F371" s="16" t="s">
        <v>790</v>
      </c>
      <c r="G371" s="16" t="s">
        <v>235</v>
      </c>
      <c r="H371" s="16" t="s">
        <v>243</v>
      </c>
    </row>
    <row r="372" ht="20.25" customHeight="1">
      <c r="A372" s="32" t="str">
        <f>IMAGE("https://gymvisual.com/22540-catalog_default/barbell-clean-and-jerk.jpg",4,500,500)</f>
        <v/>
      </c>
      <c r="B372" s="30">
        <v>371.0</v>
      </c>
      <c r="C372" s="16" t="s">
        <v>791</v>
      </c>
      <c r="D372" s="16" t="s">
        <v>184</v>
      </c>
      <c r="E372" s="16" t="s">
        <v>764</v>
      </c>
      <c r="F372" s="16" t="s">
        <v>186</v>
      </c>
      <c r="G372" s="16" t="s">
        <v>220</v>
      </c>
      <c r="H372" s="16" t="s">
        <v>220</v>
      </c>
    </row>
    <row r="373" ht="20.25" customHeight="1">
      <c r="A373" s="32" t="str">
        <f>IMAGE("https://gymvisual.com/114-catalog_default/barbell-clean-and-press.jpg",4,500,500)</f>
        <v/>
      </c>
      <c r="B373" s="30">
        <v>372.0</v>
      </c>
      <c r="C373" s="16" t="s">
        <v>792</v>
      </c>
      <c r="D373" s="16" t="s">
        <v>184</v>
      </c>
      <c r="E373" s="16" t="s">
        <v>228</v>
      </c>
      <c r="F373" s="16" t="s">
        <v>186</v>
      </c>
      <c r="G373" s="16" t="s">
        <v>793</v>
      </c>
      <c r="H373" s="16" t="s">
        <v>220</v>
      </c>
    </row>
    <row r="374" ht="20.25" customHeight="1">
      <c r="A374" s="32" t="str">
        <f>IMAGE("https://gymvisual.com/14386-catalog_default/barbell-clean-and-press-female.jpg",4,500,500)</f>
        <v/>
      </c>
      <c r="B374" s="30">
        <v>373.0</v>
      </c>
      <c r="C374" s="16" t="s">
        <v>794</v>
      </c>
      <c r="D374" s="16" t="s">
        <v>184</v>
      </c>
      <c r="E374" s="16" t="s">
        <v>691</v>
      </c>
      <c r="F374" s="16" t="s">
        <v>186</v>
      </c>
      <c r="G374" s="16" t="s">
        <v>795</v>
      </c>
      <c r="H374" s="16" t="s">
        <v>220</v>
      </c>
    </row>
    <row r="375" ht="20.25" customHeight="1">
      <c r="A375" s="32" t="str">
        <f>IMAGE("https://gymvisual.com/6763-catalog_default/barbell-clean-deadlift.jpg",4,500,500)</f>
        <v/>
      </c>
      <c r="B375" s="30">
        <v>374.0</v>
      </c>
      <c r="C375" s="16" t="s">
        <v>796</v>
      </c>
      <c r="D375" s="16" t="s">
        <v>184</v>
      </c>
      <c r="E375" s="16" t="s">
        <v>285</v>
      </c>
      <c r="F375" s="16" t="s">
        <v>186</v>
      </c>
      <c r="G375" s="16" t="s">
        <v>220</v>
      </c>
      <c r="H375" s="16" t="s">
        <v>220</v>
      </c>
    </row>
    <row r="376" ht="20.25" customHeight="1">
      <c r="A376" s="32" t="str">
        <f>IMAGE("https://gymvisual.com/6764-catalog_default/barbell-clean-from-blocks.jpg",4,500,500)</f>
        <v/>
      </c>
      <c r="B376" s="30">
        <v>375.0</v>
      </c>
      <c r="C376" s="16" t="s">
        <v>797</v>
      </c>
      <c r="D376" s="16" t="s">
        <v>184</v>
      </c>
      <c r="E376" s="16" t="s">
        <v>764</v>
      </c>
      <c r="F376" s="16" t="s">
        <v>186</v>
      </c>
      <c r="G376" s="16" t="s">
        <v>220</v>
      </c>
      <c r="H376" s="16" t="s">
        <v>220</v>
      </c>
    </row>
    <row r="377" ht="20.25" customHeight="1">
      <c r="A377" s="32" t="str">
        <f>IMAGE("https://gymvisual.com/25138-catalog_default/barbell-clean-high-pull.jpg",4,500,500)</f>
        <v/>
      </c>
      <c r="B377" s="30">
        <v>376.0</v>
      </c>
      <c r="C377" s="16" t="s">
        <v>798</v>
      </c>
      <c r="D377" s="16" t="s">
        <v>184</v>
      </c>
      <c r="E377" s="16" t="s">
        <v>764</v>
      </c>
      <c r="F377" s="16" t="s">
        <v>186</v>
      </c>
      <c r="G377" s="16" t="s">
        <v>799</v>
      </c>
      <c r="H377" s="16" t="s">
        <v>800</v>
      </c>
    </row>
    <row r="378" ht="20.25" customHeight="1">
      <c r="A378" s="32" t="str">
        <f>IMAGE("https://gymvisual.com/25134-catalog_default/barbell-clean-pull.jpg",4,500,500)</f>
        <v/>
      </c>
      <c r="B378" s="30">
        <v>377.0</v>
      </c>
      <c r="C378" s="16" t="s">
        <v>801</v>
      </c>
      <c r="D378" s="16" t="s">
        <v>184</v>
      </c>
      <c r="E378" s="16" t="s">
        <v>764</v>
      </c>
      <c r="F378" s="16" t="s">
        <v>186</v>
      </c>
      <c r="G378" s="16" t="s">
        <v>220</v>
      </c>
      <c r="H378" s="16" t="s">
        <v>220</v>
      </c>
    </row>
    <row r="379" ht="20.25" customHeight="1">
      <c r="A379" s="32" t="str">
        <f>IMAGE("https://gymvisual.com/24450-catalog_default/barbell-clean-grip-front-squat.jpg",4,500,500)</f>
        <v/>
      </c>
      <c r="B379" s="30">
        <v>378.0</v>
      </c>
      <c r="C379" s="16" t="s">
        <v>802</v>
      </c>
      <c r="D379" s="16" t="s">
        <v>184</v>
      </c>
      <c r="E379" s="16" t="s">
        <v>285</v>
      </c>
      <c r="F379" s="16" t="s">
        <v>186</v>
      </c>
      <c r="G379" s="16" t="s">
        <v>189</v>
      </c>
      <c r="H379" s="16" t="s">
        <v>190</v>
      </c>
    </row>
    <row r="380" ht="20.25" customHeight="1">
      <c r="A380" s="32" t="str">
        <f>IMAGE("https://gymvisual.com/10369-catalog_default/barbell-close-grip-bench-press-female.jpg",4,500,500)</f>
        <v/>
      </c>
      <c r="B380" s="30">
        <v>379.0</v>
      </c>
      <c r="C380" s="16" t="s">
        <v>803</v>
      </c>
      <c r="D380" s="16" t="s">
        <v>184</v>
      </c>
      <c r="E380" s="16" t="s">
        <v>219</v>
      </c>
      <c r="F380" s="16" t="s">
        <v>186</v>
      </c>
      <c r="G380" s="16" t="s">
        <v>223</v>
      </c>
      <c r="H380" s="16" t="s">
        <v>804</v>
      </c>
    </row>
    <row r="381" ht="20.25" customHeight="1">
      <c r="A381" s="32" t="str">
        <f>IMAGE("https://gymvisual.com/20048-catalog_default/barbell-close-grip-bench-press.jpg",4,500,500)</f>
        <v/>
      </c>
      <c r="B381" s="30">
        <v>380.0</v>
      </c>
      <c r="C381" s="16" t="s">
        <v>805</v>
      </c>
      <c r="D381" s="16" t="s">
        <v>184</v>
      </c>
      <c r="E381" s="16" t="s">
        <v>219</v>
      </c>
      <c r="F381" s="16" t="s">
        <v>186</v>
      </c>
      <c r="G381" s="16" t="s">
        <v>223</v>
      </c>
      <c r="H381" s="16" t="s">
        <v>472</v>
      </c>
    </row>
    <row r="382" ht="20.25" customHeight="1">
      <c r="A382" s="32" t="str">
        <f>IMAGE("https://gymvisual.com/13582-catalog_default/illustration.jpg",4,500,500)</f>
        <v/>
      </c>
      <c r="B382" s="30">
        <v>381.0</v>
      </c>
      <c r="C382" s="16" t="s">
        <v>806</v>
      </c>
      <c r="D382" s="16" t="s">
        <v>184</v>
      </c>
      <c r="E382" s="16" t="s">
        <v>691</v>
      </c>
      <c r="F382" s="16" t="s">
        <v>186</v>
      </c>
      <c r="G382" s="16" t="s">
        <v>220</v>
      </c>
      <c r="H382" s="16" t="s">
        <v>220</v>
      </c>
    </row>
    <row r="383" ht="20.25" customHeight="1">
      <c r="A383" s="32" t="str">
        <f>IMAGE("https://gymvisual.com/18998-catalog_default/barbell-curl.jpg",4,500,500)</f>
        <v/>
      </c>
      <c r="B383" s="30">
        <v>382.0</v>
      </c>
      <c r="C383" s="16" t="s">
        <v>13</v>
      </c>
      <c r="D383" s="16" t="s">
        <v>184</v>
      </c>
      <c r="E383" s="16" t="s">
        <v>219</v>
      </c>
      <c r="F383" s="16" t="s">
        <v>186</v>
      </c>
      <c r="G383" s="16" t="s">
        <v>241</v>
      </c>
      <c r="H383" s="16" t="s">
        <v>292</v>
      </c>
    </row>
    <row r="384" ht="20.25" customHeight="1">
      <c r="A384" s="32" t="str">
        <f>IMAGE("https://gymvisual.com/14248-catalog_default/barbell-curl-female.jpg",4,500,500)</f>
        <v/>
      </c>
      <c r="B384" s="30">
        <v>383.0</v>
      </c>
      <c r="C384" s="16" t="s">
        <v>807</v>
      </c>
      <c r="D384" s="16" t="s">
        <v>184</v>
      </c>
      <c r="E384" s="16" t="s">
        <v>219</v>
      </c>
      <c r="F384" s="16" t="s">
        <v>186</v>
      </c>
      <c r="G384" s="16" t="s">
        <v>217</v>
      </c>
      <c r="H384" s="16" t="s">
        <v>216</v>
      </c>
    </row>
    <row r="385" ht="20.25" customHeight="1">
      <c r="A385" s="32" t="str">
        <f>IMAGE("https://gymvisual.com/26116-catalog_default/barbell-curl-press-extension-male.jpg",4,500,500)</f>
        <v/>
      </c>
      <c r="B385" s="30">
        <v>384.0</v>
      </c>
      <c r="C385" s="16" t="s">
        <v>808</v>
      </c>
      <c r="D385" s="16" t="s">
        <v>184</v>
      </c>
      <c r="E385" s="16" t="s">
        <v>219</v>
      </c>
      <c r="F385" s="16" t="s">
        <v>186</v>
      </c>
      <c r="G385" s="16" t="s">
        <v>220</v>
      </c>
      <c r="H385" s="16" t="s">
        <v>220</v>
      </c>
    </row>
    <row r="386" ht="20.25" customHeight="1">
      <c r="A386" s="32" t="str">
        <f>IMAGE("https://gymvisual.com/16378-catalog_default/barbell-curtsey-lunge.jpg",4,500,500)</f>
        <v/>
      </c>
      <c r="B386" s="30">
        <v>385.0</v>
      </c>
      <c r="C386" s="16" t="s">
        <v>809</v>
      </c>
      <c r="D386" s="16" t="s">
        <v>184</v>
      </c>
      <c r="E386" s="16" t="s">
        <v>294</v>
      </c>
      <c r="F386" s="16" t="s">
        <v>186</v>
      </c>
      <c r="G386" s="16" t="s">
        <v>295</v>
      </c>
      <c r="H386" s="16" t="s">
        <v>810</v>
      </c>
    </row>
    <row r="387" ht="20.25" customHeight="1">
      <c r="A387" s="32" t="str">
        <f>IMAGE("https://gymvisual.com/20608-catalog_default/barbell-deadlift.jpg",4,500,500)</f>
        <v/>
      </c>
      <c r="B387" s="30">
        <v>386.0</v>
      </c>
      <c r="C387" s="16" t="s">
        <v>811</v>
      </c>
      <c r="D387" s="16" t="s">
        <v>184</v>
      </c>
      <c r="E387" s="16" t="s">
        <v>185</v>
      </c>
      <c r="F387" s="16" t="s">
        <v>186</v>
      </c>
      <c r="G387" s="16" t="s">
        <v>187</v>
      </c>
      <c r="H387" s="16" t="s">
        <v>482</v>
      </c>
    </row>
    <row r="388" ht="20.25" customHeight="1">
      <c r="A388" s="32" t="str">
        <f>IMAGE("https://gymvisual.com/9556-catalog_default/barbell-deadlift-female.jpg",4,500,500)</f>
        <v/>
      </c>
      <c r="B388" s="30">
        <v>387.0</v>
      </c>
      <c r="C388" s="16" t="s">
        <v>812</v>
      </c>
      <c r="D388" s="16" t="s">
        <v>184</v>
      </c>
      <c r="E388" s="16" t="s">
        <v>294</v>
      </c>
      <c r="F388" s="16" t="s">
        <v>186</v>
      </c>
      <c r="G388" s="16" t="s">
        <v>187</v>
      </c>
      <c r="H388" s="16" t="s">
        <v>482</v>
      </c>
    </row>
    <row r="389" ht="20.25" customHeight="1">
      <c r="A389" s="32" t="str">
        <f>IMAGE("https://gymvisual.com/18033-catalog_default/barbell-deadlift-against-chains.jpg",4,500,500)</f>
        <v/>
      </c>
      <c r="B389" s="30">
        <v>388.0</v>
      </c>
      <c r="C389" s="16" t="s">
        <v>813</v>
      </c>
      <c r="D389" s="16" t="s">
        <v>184</v>
      </c>
      <c r="E389" s="16" t="s">
        <v>185</v>
      </c>
      <c r="F389" s="16" t="s">
        <v>186</v>
      </c>
      <c r="G389" s="16" t="s">
        <v>220</v>
      </c>
      <c r="H389" s="16" t="s">
        <v>220</v>
      </c>
    </row>
    <row r="390" ht="20.25" customHeight="1">
      <c r="A390" s="32" t="str">
        <f>IMAGE("https://gymvisual.com/25124-catalog_default/barbell-deadlift-from-deficit.jpg",4,500,500)</f>
        <v/>
      </c>
      <c r="B390" s="30">
        <v>389.0</v>
      </c>
      <c r="C390" s="16" t="s">
        <v>814</v>
      </c>
      <c r="D390" s="16" t="s">
        <v>184</v>
      </c>
      <c r="E390" s="16" t="s">
        <v>185</v>
      </c>
      <c r="F390" s="16" t="s">
        <v>186</v>
      </c>
      <c r="G390" s="16" t="s">
        <v>220</v>
      </c>
      <c r="H390" s="16" t="s">
        <v>220</v>
      </c>
    </row>
    <row r="391" ht="20.25" customHeight="1">
      <c r="A391" s="32" t="str">
        <f>IMAGE("https://gymvisual.com/17953-catalog_default/barbell-deadstop-row-with-rack-male.jpg",4,500,500)</f>
        <v/>
      </c>
      <c r="B391" s="30">
        <v>390.0</v>
      </c>
      <c r="C391" s="16" t="s">
        <v>815</v>
      </c>
      <c r="D391" s="16" t="s">
        <v>184</v>
      </c>
      <c r="E391" s="16" t="s">
        <v>192</v>
      </c>
      <c r="F391" s="16" t="s">
        <v>186</v>
      </c>
      <c r="G391" s="16" t="s">
        <v>220</v>
      </c>
      <c r="H391" s="16" t="s">
        <v>220</v>
      </c>
    </row>
    <row r="392" ht="20.25" customHeight="1">
      <c r="A392" s="32" t="str">
        <f>IMAGE("https://gymvisual.com/6766-catalog_default/barbell-decline-bench-lunge.jpg",4,500,500)</f>
        <v/>
      </c>
      <c r="B392" s="30">
        <v>391.0</v>
      </c>
      <c r="C392" s="16" t="s">
        <v>816</v>
      </c>
      <c r="D392" s="16" t="s">
        <v>184</v>
      </c>
      <c r="E392" s="16" t="s">
        <v>285</v>
      </c>
      <c r="F392" s="16" t="s">
        <v>186</v>
      </c>
      <c r="G392" s="16" t="s">
        <v>220</v>
      </c>
      <c r="H392" s="16" t="s">
        <v>220</v>
      </c>
    </row>
    <row r="393" ht="20.25" customHeight="1">
      <c r="A393" s="32" t="str">
        <f>IMAGE("https://gymvisual.com/19000-catalog_default/barbell-decline-bench-press.jpg",4,500,500)</f>
        <v/>
      </c>
      <c r="B393" s="30">
        <v>392.0</v>
      </c>
      <c r="C393" s="16" t="s">
        <v>817</v>
      </c>
      <c r="D393" s="16" t="s">
        <v>184</v>
      </c>
      <c r="E393" s="16" t="s">
        <v>234</v>
      </c>
      <c r="F393" s="16" t="s">
        <v>186</v>
      </c>
      <c r="G393" s="16" t="s">
        <v>347</v>
      </c>
      <c r="H393" s="16" t="s">
        <v>382</v>
      </c>
    </row>
    <row r="394" ht="20.25" customHeight="1">
      <c r="A394" s="32" t="str">
        <f>IMAGE("https://gymvisual.com/10984-catalog_default/barbell-decline-bench-press-female.jpg",4,500,500)</f>
        <v/>
      </c>
      <c r="B394" s="30">
        <v>393.0</v>
      </c>
      <c r="C394" s="16" t="s">
        <v>818</v>
      </c>
      <c r="D394" s="16" t="s">
        <v>184</v>
      </c>
      <c r="E394" s="16" t="s">
        <v>234</v>
      </c>
      <c r="F394" s="16" t="s">
        <v>186</v>
      </c>
      <c r="G394" s="16" t="s">
        <v>347</v>
      </c>
      <c r="H394" s="16" t="s">
        <v>382</v>
      </c>
    </row>
    <row r="395" ht="20.25" customHeight="1">
      <c r="A395" s="32" t="str">
        <f>IMAGE("https://gymvisual.com/131-catalog_default/barbell-decline-bent-arm-pullover.jpg",4,500,500)</f>
        <v/>
      </c>
      <c r="B395" s="30">
        <v>394.0</v>
      </c>
      <c r="C395" s="16" t="s">
        <v>819</v>
      </c>
      <c r="D395" s="16" t="s">
        <v>184</v>
      </c>
      <c r="E395" s="16" t="s">
        <v>192</v>
      </c>
      <c r="F395" s="16" t="s">
        <v>186</v>
      </c>
      <c r="G395" s="16" t="s">
        <v>300</v>
      </c>
      <c r="H395" s="16" t="s">
        <v>820</v>
      </c>
    </row>
    <row r="396" ht="20.25" customHeight="1">
      <c r="A396" s="32" t="str">
        <f>IMAGE("https://gymvisual.com/134-catalog_default/barbell-decline-close-grip-to-skull-press.jpg",4,500,500)</f>
        <v/>
      </c>
      <c r="B396" s="30">
        <v>395.0</v>
      </c>
      <c r="C396" s="16" t="s">
        <v>821</v>
      </c>
      <c r="D396" s="16" t="s">
        <v>184</v>
      </c>
      <c r="E396" s="16" t="s">
        <v>219</v>
      </c>
      <c r="F396" s="16" t="s">
        <v>186</v>
      </c>
      <c r="G396" s="16" t="s">
        <v>223</v>
      </c>
      <c r="H396" s="16" t="s">
        <v>220</v>
      </c>
    </row>
    <row r="397" ht="20.25" customHeight="1">
      <c r="A397" s="32" t="str">
        <f>IMAGE("https://gymvisual.com/13321-catalog_default/barbell-decline-close-grip-to-skull-press-female.jpg",4,500,500)</f>
        <v/>
      </c>
      <c r="B397" s="30">
        <v>396.0</v>
      </c>
      <c r="C397" s="16" t="s">
        <v>822</v>
      </c>
      <c r="D397" s="16" t="s">
        <v>184</v>
      </c>
      <c r="E397" s="16" t="s">
        <v>219</v>
      </c>
      <c r="F397" s="16" t="s">
        <v>186</v>
      </c>
      <c r="G397" s="16" t="s">
        <v>220</v>
      </c>
      <c r="H397" s="16" t="s">
        <v>220</v>
      </c>
    </row>
    <row r="398" ht="20.25" customHeight="1">
      <c r="A398" s="32" t="str">
        <f>IMAGE("https://gymvisual.com/5944-catalog_default/barbell-decline-pullover.jpg",4,500,500)</f>
        <v/>
      </c>
      <c r="B398" s="30">
        <v>397.0</v>
      </c>
      <c r="C398" s="16" t="s">
        <v>823</v>
      </c>
      <c r="D398" s="16" t="s">
        <v>184</v>
      </c>
      <c r="E398" s="16" t="s">
        <v>234</v>
      </c>
      <c r="F398" s="16" t="s">
        <v>186</v>
      </c>
      <c r="G398" s="16" t="s">
        <v>347</v>
      </c>
      <c r="H398" s="16" t="s">
        <v>824</v>
      </c>
    </row>
    <row r="399" ht="20.25" customHeight="1">
      <c r="A399" s="32" t="str">
        <f>IMAGE("https://gymvisual.com/137-catalog_default/barbell-decline-wide-grip-press.jpg",4,500,500)</f>
        <v/>
      </c>
      <c r="B399" s="30">
        <v>398.0</v>
      </c>
      <c r="C399" s="16" t="s">
        <v>825</v>
      </c>
      <c r="D399" s="16" t="s">
        <v>184</v>
      </c>
      <c r="E399" s="16" t="s">
        <v>234</v>
      </c>
      <c r="F399" s="16" t="s">
        <v>186</v>
      </c>
      <c r="G399" s="16" t="s">
        <v>347</v>
      </c>
      <c r="H399" s="16" t="s">
        <v>382</v>
      </c>
    </row>
    <row r="400" ht="20.25" customHeight="1">
      <c r="A400" s="32" t="str">
        <f>IMAGE("https://gymvisual.com/140-catalog_default/barbell-decline-wide-grip-pullover.jpg",4,500,500)</f>
        <v/>
      </c>
      <c r="B400" s="30">
        <v>399.0</v>
      </c>
      <c r="C400" s="16" t="s">
        <v>826</v>
      </c>
      <c r="D400" s="16" t="s">
        <v>184</v>
      </c>
      <c r="E400" s="16" t="s">
        <v>192</v>
      </c>
      <c r="F400" s="16" t="s">
        <v>186</v>
      </c>
      <c r="G400" s="16" t="s">
        <v>300</v>
      </c>
      <c r="H400" s="16" t="s">
        <v>827</v>
      </c>
    </row>
    <row r="401" ht="20.25" customHeight="1">
      <c r="A401" s="32" t="str">
        <f>IMAGE("https://gymvisual.com/143-catalog_default/barbell-drag-curl.jpg",4,500,500)</f>
        <v/>
      </c>
      <c r="B401" s="30">
        <v>400.0</v>
      </c>
      <c r="C401" s="16" t="s">
        <v>145</v>
      </c>
      <c r="D401" s="16" t="s">
        <v>184</v>
      </c>
      <c r="E401" s="16" t="s">
        <v>219</v>
      </c>
      <c r="F401" s="16" t="s">
        <v>186</v>
      </c>
      <c r="G401" s="16" t="s">
        <v>241</v>
      </c>
      <c r="H401" s="16" t="s">
        <v>242</v>
      </c>
    </row>
    <row r="402" ht="20.25" customHeight="1">
      <c r="A402" s="32" t="str">
        <f>IMAGE("https://gymvisual.com/13323-catalog_default/barbell-drag-curl-female.jpg",4,500,500)</f>
        <v/>
      </c>
      <c r="B402" s="30">
        <v>401.0</v>
      </c>
      <c r="C402" s="16" t="s">
        <v>828</v>
      </c>
      <c r="D402" s="16" t="s">
        <v>184</v>
      </c>
      <c r="E402" s="16" t="s">
        <v>829</v>
      </c>
      <c r="F402" s="16" t="s">
        <v>186</v>
      </c>
      <c r="G402" s="16" t="s">
        <v>236</v>
      </c>
      <c r="H402" s="16" t="s">
        <v>292</v>
      </c>
    </row>
    <row r="403" ht="20.25" customHeight="1">
      <c r="A403" s="32" t="str">
        <f>IMAGE("https://gymvisual.com/17999-catalog_default/barbell-elevated-heel-squat.jpg",4,500,500)</f>
        <v/>
      </c>
      <c r="B403" s="30">
        <v>402.0</v>
      </c>
      <c r="C403" s="16" t="s">
        <v>830</v>
      </c>
      <c r="D403" s="16" t="s">
        <v>184</v>
      </c>
      <c r="E403" s="16" t="s">
        <v>285</v>
      </c>
      <c r="F403" s="16" t="s">
        <v>186</v>
      </c>
      <c r="G403" s="16" t="s">
        <v>220</v>
      </c>
      <c r="H403" s="16" t="s">
        <v>220</v>
      </c>
    </row>
    <row r="404" ht="20.25" customHeight="1">
      <c r="A404" s="32" t="str">
        <f>IMAGE("https://gymvisual.com/22633-catalog_default/barbell-elevated-split-squat-female.jpg",4,500,500)</f>
        <v/>
      </c>
      <c r="B404" s="30">
        <v>403.0</v>
      </c>
      <c r="C404" s="16" t="s">
        <v>831</v>
      </c>
      <c r="D404" s="16" t="s">
        <v>184</v>
      </c>
      <c r="E404" s="16" t="s">
        <v>285</v>
      </c>
      <c r="F404" s="16" t="s">
        <v>186</v>
      </c>
      <c r="G404" s="16" t="s">
        <v>220</v>
      </c>
      <c r="H404" s="16" t="s">
        <v>220</v>
      </c>
    </row>
    <row r="405" ht="20.25" customHeight="1">
      <c r="A405" s="32" t="str">
        <f>IMAGE("https://gymvisual.com/6065-catalog_default/barbell-floor-calf-raise.jpg",4,500,500)</f>
        <v/>
      </c>
      <c r="B405" s="30">
        <v>404.0</v>
      </c>
      <c r="C405" s="16" t="s">
        <v>832</v>
      </c>
      <c r="D405" s="16" t="s">
        <v>184</v>
      </c>
      <c r="E405" s="16" t="s">
        <v>325</v>
      </c>
      <c r="F405" s="16" t="s">
        <v>186</v>
      </c>
      <c r="G405" s="16" t="s">
        <v>368</v>
      </c>
      <c r="H405" s="16" t="s">
        <v>463</v>
      </c>
    </row>
    <row r="406" ht="20.25" customHeight="1">
      <c r="A406" s="32" t="str">
        <f>IMAGE("https://gymvisual.com/16380-catalog_default/barbell-floor-chest-press.jpg",4,500,500)</f>
        <v/>
      </c>
      <c r="B406" s="30">
        <v>405.0</v>
      </c>
      <c r="C406" s="16" t="s">
        <v>181</v>
      </c>
      <c r="D406" s="16" t="s">
        <v>184</v>
      </c>
      <c r="E406" s="16" t="s">
        <v>234</v>
      </c>
      <c r="F406" s="16" t="s">
        <v>186</v>
      </c>
      <c r="G406" s="16" t="s">
        <v>235</v>
      </c>
      <c r="H406" s="16" t="s">
        <v>243</v>
      </c>
    </row>
    <row r="407" ht="20.25" customHeight="1">
      <c r="A407" s="32" t="str">
        <f>IMAGE("https://gymvisual.com/16386-catalog_default/barbell-front-bench-squat.jpg",4,500,500)</f>
        <v/>
      </c>
      <c r="B407" s="30">
        <v>406.0</v>
      </c>
      <c r="C407" s="16" t="s">
        <v>833</v>
      </c>
      <c r="D407" s="16" t="s">
        <v>184</v>
      </c>
      <c r="E407" s="16" t="s">
        <v>285</v>
      </c>
      <c r="F407" s="16" t="s">
        <v>186</v>
      </c>
      <c r="G407" s="16" t="s">
        <v>189</v>
      </c>
      <c r="H407" s="16" t="s">
        <v>190</v>
      </c>
    </row>
    <row r="408" ht="20.25" customHeight="1">
      <c r="A408" s="32" t="str">
        <f>IMAGE("https://gymvisual.com/146-catalog_default/barbell-front-chest-squat.jpg",4,500,500)</f>
        <v/>
      </c>
      <c r="B408" s="30">
        <v>407.0</v>
      </c>
      <c r="C408" s="16" t="s">
        <v>834</v>
      </c>
      <c r="D408" s="16" t="s">
        <v>184</v>
      </c>
      <c r="E408" s="16" t="s">
        <v>285</v>
      </c>
      <c r="F408" s="16" t="s">
        <v>186</v>
      </c>
      <c r="G408" s="16" t="s">
        <v>189</v>
      </c>
      <c r="H408" s="16" t="s">
        <v>190</v>
      </c>
    </row>
    <row r="409" ht="20.25" customHeight="1">
      <c r="A409" s="32" t="str">
        <f>IMAGE("https://gymvisual.com/17741-catalog_default/barbell-front-chest-squat-with-resistance-band.jpg",4,500,500)</f>
        <v/>
      </c>
      <c r="B409" s="30">
        <v>408.0</v>
      </c>
      <c r="C409" s="16" t="s">
        <v>835</v>
      </c>
      <c r="D409" s="16" t="s">
        <v>184</v>
      </c>
      <c r="E409" s="16" t="s">
        <v>285</v>
      </c>
      <c r="F409" s="16" t="s">
        <v>186</v>
      </c>
      <c r="G409" s="16" t="s">
        <v>220</v>
      </c>
      <c r="H409" s="16" t="s">
        <v>220</v>
      </c>
    </row>
    <row r="410" ht="20.25" customHeight="1">
      <c r="A410" s="32" t="str">
        <f>IMAGE("https://gymvisual.com/19433-catalog_default/barbell-front-rack-lunge.jpg",4,500,500)</f>
        <v/>
      </c>
      <c r="B410" s="30">
        <v>409.0</v>
      </c>
      <c r="C410" s="16" t="s">
        <v>836</v>
      </c>
      <c r="D410" s="16" t="s">
        <v>184</v>
      </c>
      <c r="E410" s="16" t="s">
        <v>285</v>
      </c>
      <c r="F410" s="16" t="s">
        <v>186</v>
      </c>
      <c r="G410" s="16" t="s">
        <v>220</v>
      </c>
      <c r="H410" s="16" t="s">
        <v>220</v>
      </c>
    </row>
    <row r="411" ht="20.25" customHeight="1">
      <c r="A411" s="32" t="str">
        <f>IMAGE("https://gymvisual.com/22093-catalog_default/barbell-front-rack-lunge.jpg",4,500,500)</f>
        <v/>
      </c>
      <c r="B411" s="30">
        <v>410.0</v>
      </c>
      <c r="C411" s="16" t="s">
        <v>836</v>
      </c>
      <c r="D411" s="16" t="s">
        <v>184</v>
      </c>
      <c r="E411" s="16" t="s">
        <v>285</v>
      </c>
      <c r="F411" s="16" t="s">
        <v>186</v>
      </c>
      <c r="G411" s="16" t="s">
        <v>189</v>
      </c>
      <c r="H411" s="16" t="s">
        <v>190</v>
      </c>
    </row>
    <row r="412" ht="20.25" customHeight="1">
      <c r="A412" s="32" t="str">
        <f>IMAGE("https://gymvisual.com/19449-catalog_default/barbell-front-rack-rear-lunge.jpg",4,500,500)</f>
        <v/>
      </c>
      <c r="B412" s="30">
        <v>411.0</v>
      </c>
      <c r="C412" s="16" t="s">
        <v>837</v>
      </c>
      <c r="D412" s="16" t="s">
        <v>184</v>
      </c>
      <c r="E412" s="16" t="s">
        <v>285</v>
      </c>
      <c r="F412" s="16" t="s">
        <v>186</v>
      </c>
      <c r="G412" s="16" t="s">
        <v>220</v>
      </c>
      <c r="H412" s="16" t="s">
        <v>220</v>
      </c>
    </row>
    <row r="413" ht="20.25" customHeight="1">
      <c r="A413" s="32" t="str">
        <f>IMAGE("https://gymvisual.com/19463-catalog_default/barbell-front-rack-split-squat.jpg",4,500,500)</f>
        <v/>
      </c>
      <c r="B413" s="30">
        <v>412.0</v>
      </c>
      <c r="C413" s="16" t="s">
        <v>838</v>
      </c>
      <c r="D413" s="16" t="s">
        <v>184</v>
      </c>
      <c r="E413" s="16" t="s">
        <v>285</v>
      </c>
      <c r="F413" s="16" t="s">
        <v>186</v>
      </c>
      <c r="G413" s="16" t="s">
        <v>220</v>
      </c>
      <c r="H413" s="16" t="s">
        <v>220</v>
      </c>
    </row>
    <row r="414" ht="20.25" customHeight="1">
      <c r="A414" s="32" t="str">
        <f>IMAGE("https://gymvisual.com/152-catalog_default/barbell-front-raise.jpg",4,500,500)</f>
        <v/>
      </c>
      <c r="B414" s="30">
        <v>413.0</v>
      </c>
      <c r="C414" s="16" t="s">
        <v>166</v>
      </c>
      <c r="D414" s="16" t="s">
        <v>184</v>
      </c>
      <c r="E414" s="16" t="s">
        <v>228</v>
      </c>
      <c r="F414" s="16" t="s">
        <v>186</v>
      </c>
      <c r="G414" s="16" t="s">
        <v>229</v>
      </c>
      <c r="H414" s="16" t="s">
        <v>244</v>
      </c>
    </row>
    <row r="415" ht="20.25" customHeight="1">
      <c r="A415" s="32" t="str">
        <f>IMAGE("https://gymvisual.com/11002-catalog_default/barbell-front-raise-female.jpg",4,500,500)</f>
        <v/>
      </c>
      <c r="B415" s="30">
        <v>414.0</v>
      </c>
      <c r="C415" s="16" t="s">
        <v>839</v>
      </c>
      <c r="D415" s="16" t="s">
        <v>184</v>
      </c>
      <c r="E415" s="16" t="s">
        <v>228</v>
      </c>
      <c r="F415" s="16" t="s">
        <v>186</v>
      </c>
      <c r="G415" s="16" t="s">
        <v>229</v>
      </c>
      <c r="H415" s="16" t="s">
        <v>244</v>
      </c>
    </row>
    <row r="416" ht="20.25" customHeight="1">
      <c r="A416" s="32" t="str">
        <f>IMAGE("https://gymvisual.com/149-catalog_default/barbell-front-raise-and-pullover.jpg",4,500,500)</f>
        <v/>
      </c>
      <c r="B416" s="30">
        <v>415.0</v>
      </c>
      <c r="C416" s="16" t="s">
        <v>840</v>
      </c>
      <c r="D416" s="16" t="s">
        <v>184</v>
      </c>
      <c r="E416" s="16" t="s">
        <v>234</v>
      </c>
      <c r="F416" s="16" t="s">
        <v>186</v>
      </c>
      <c r="G416" s="16" t="s">
        <v>235</v>
      </c>
      <c r="H416" s="16" t="s">
        <v>841</v>
      </c>
    </row>
    <row r="417" ht="20.25" customHeight="1">
      <c r="A417" s="32" t="str">
        <f>IMAGE("https://gymvisual.com/10574-catalog_default/barbell-front-squat.jpg",4,500,500)</f>
        <v/>
      </c>
      <c r="B417" s="30">
        <v>416.0</v>
      </c>
      <c r="C417" s="16" t="s">
        <v>842</v>
      </c>
      <c r="D417" s="16" t="s">
        <v>184</v>
      </c>
      <c r="E417" s="16" t="s">
        <v>185</v>
      </c>
      <c r="F417" s="16" t="s">
        <v>186</v>
      </c>
      <c r="G417" s="16" t="s">
        <v>189</v>
      </c>
      <c r="H417" s="16" t="s">
        <v>190</v>
      </c>
    </row>
    <row r="418" ht="20.25" customHeight="1">
      <c r="A418" s="32" t="str">
        <f>IMAGE("https://gymvisual.com/11077-catalog_default/barbell-front-squat-female.jpg",4,500,500)</f>
        <v/>
      </c>
      <c r="B418" s="30">
        <v>417.0</v>
      </c>
      <c r="C418" s="16" t="s">
        <v>843</v>
      </c>
      <c r="D418" s="16" t="s">
        <v>184</v>
      </c>
      <c r="E418" s="16" t="s">
        <v>294</v>
      </c>
      <c r="F418" s="16" t="s">
        <v>186</v>
      </c>
      <c r="G418" s="16" t="s">
        <v>189</v>
      </c>
      <c r="H418" s="16" t="s">
        <v>190</v>
      </c>
    </row>
    <row r="419" ht="20.25" customHeight="1">
      <c r="A419" s="32" t="str">
        <f>IMAGE("https://gymvisual.com/13163-catalog_default/barbell-front-squat-from-blocks.jpg",4,500,500)</f>
        <v/>
      </c>
      <c r="B419" s="30">
        <v>418.0</v>
      </c>
      <c r="C419" s="16" t="s">
        <v>844</v>
      </c>
      <c r="D419" s="16" t="s">
        <v>184</v>
      </c>
      <c r="E419" s="16" t="s">
        <v>285</v>
      </c>
      <c r="F419" s="16" t="s">
        <v>186</v>
      </c>
      <c r="G419" s="16" t="s">
        <v>189</v>
      </c>
      <c r="H419" s="16" t="s">
        <v>314</v>
      </c>
    </row>
    <row r="420" ht="20.25" customHeight="1">
      <c r="A420" s="32" t="str">
        <f>IMAGE("https://gymvisual.com/16388-catalog_default/barbell-front-step-up.jpg",4,500,500)</f>
        <v/>
      </c>
      <c r="B420" s="30">
        <v>419.0</v>
      </c>
      <c r="C420" s="16" t="s">
        <v>845</v>
      </c>
      <c r="D420" s="16" t="s">
        <v>184</v>
      </c>
      <c r="E420" s="16" t="s">
        <v>285</v>
      </c>
      <c r="F420" s="16" t="s">
        <v>186</v>
      </c>
      <c r="G420" s="16" t="s">
        <v>189</v>
      </c>
      <c r="H420" s="16" t="s">
        <v>190</v>
      </c>
    </row>
    <row r="421" ht="20.25" customHeight="1">
      <c r="A421" s="32" t="str">
        <f>IMAGE("https://gymvisual.com/20586-catalog_default/barbell-full-clean.jpg",4,500,500)</f>
        <v/>
      </c>
      <c r="B421" s="30">
        <v>420.0</v>
      </c>
      <c r="C421" s="16" t="s">
        <v>846</v>
      </c>
      <c r="D421" s="16" t="s">
        <v>184</v>
      </c>
      <c r="E421" s="16" t="s">
        <v>764</v>
      </c>
      <c r="F421" s="16" t="s">
        <v>186</v>
      </c>
      <c r="G421" s="16" t="s">
        <v>220</v>
      </c>
      <c r="H421" s="16" t="s">
        <v>220</v>
      </c>
    </row>
    <row r="422" ht="20.25" customHeight="1">
      <c r="A422" s="32" t="str">
        <f>IMAGE("https://gymvisual.com/158-catalog_default/barbell-full-squat.jpg",4,500,500)</f>
        <v/>
      </c>
      <c r="B422" s="30">
        <v>421.0</v>
      </c>
      <c r="C422" s="16" t="s">
        <v>847</v>
      </c>
      <c r="D422" s="16" t="s">
        <v>184</v>
      </c>
      <c r="E422" s="16" t="s">
        <v>285</v>
      </c>
      <c r="F422" s="16" t="s">
        <v>186</v>
      </c>
      <c r="G422" s="16" t="s">
        <v>189</v>
      </c>
      <c r="H422" s="16" t="s">
        <v>190</v>
      </c>
    </row>
    <row r="423" ht="20.25" customHeight="1">
      <c r="A423" s="32" t="str">
        <f>IMAGE("https://gymvisual.com/6480-catalog_default/barbell-full-squat-back-pov.jpg",4,500,500)</f>
        <v/>
      </c>
      <c r="B423" s="30">
        <v>422.0</v>
      </c>
      <c r="C423" s="16" t="s">
        <v>848</v>
      </c>
      <c r="D423" s="16" t="s">
        <v>184</v>
      </c>
      <c r="E423" s="16" t="s">
        <v>285</v>
      </c>
      <c r="F423" s="16" t="s">
        <v>186</v>
      </c>
      <c r="G423" s="16" t="s">
        <v>189</v>
      </c>
      <c r="H423" s="16" t="s">
        <v>190</v>
      </c>
    </row>
    <row r="424" ht="20.25" customHeight="1">
      <c r="A424" s="32" t="str">
        <f>IMAGE("https://gymvisual.com/6478-catalog_default/barbell-full-squat-side-pov.jpg",4,500,500)</f>
        <v/>
      </c>
      <c r="B424" s="30">
        <v>423.0</v>
      </c>
      <c r="C424" s="16" t="s">
        <v>849</v>
      </c>
      <c r="D424" s="16" t="s">
        <v>184</v>
      </c>
      <c r="E424" s="16" t="s">
        <v>285</v>
      </c>
      <c r="F424" s="16" t="s">
        <v>186</v>
      </c>
      <c r="G424" s="16" t="s">
        <v>189</v>
      </c>
      <c r="H424" s="16" t="s">
        <v>190</v>
      </c>
    </row>
    <row r="425" ht="20.25" customHeight="1">
      <c r="A425" s="32" t="str">
        <f>IMAGE("https://gymvisual.com/2768-catalog_default/barbell-full-squat-with-rack.jpg",4,500,500)</f>
        <v/>
      </c>
      <c r="B425" s="30">
        <v>424.0</v>
      </c>
      <c r="C425" s="16" t="s">
        <v>850</v>
      </c>
      <c r="D425" s="16" t="s">
        <v>184</v>
      </c>
      <c r="E425" s="16" t="s">
        <v>285</v>
      </c>
      <c r="F425" s="16" t="s">
        <v>186</v>
      </c>
      <c r="G425" s="16" t="s">
        <v>189</v>
      </c>
      <c r="H425" s="16" t="s">
        <v>190</v>
      </c>
    </row>
    <row r="426" ht="20.25" customHeight="1">
      <c r="A426" s="32" t="str">
        <f>IMAGE("https://gymvisual.com/10022-catalog_default/barbell-full-zercher-squat.jpg",4,500,500)</f>
        <v/>
      </c>
      <c r="B426" s="30">
        <v>425.0</v>
      </c>
      <c r="C426" s="16" t="s">
        <v>851</v>
      </c>
      <c r="D426" s="16" t="s">
        <v>184</v>
      </c>
      <c r="E426" s="16" t="s">
        <v>285</v>
      </c>
      <c r="F426" s="16" t="s">
        <v>186</v>
      </c>
      <c r="G426" s="16" t="s">
        <v>189</v>
      </c>
      <c r="H426" s="16" t="s">
        <v>190</v>
      </c>
    </row>
    <row r="427" ht="20.25" customHeight="1">
      <c r="A427" s="32" t="str">
        <f>IMAGE("https://gymvisual.com/6261-catalog_default/barbell-glute-bridge.jpg",4,500,500)</f>
        <v/>
      </c>
      <c r="B427" s="30">
        <v>426.0</v>
      </c>
      <c r="C427" s="16" t="s">
        <v>172</v>
      </c>
      <c r="D427" s="16" t="s">
        <v>184</v>
      </c>
      <c r="E427" s="16" t="s">
        <v>185</v>
      </c>
      <c r="F427" s="16" t="s">
        <v>186</v>
      </c>
      <c r="G427" s="16" t="s">
        <v>187</v>
      </c>
      <c r="H427" s="16" t="s">
        <v>188</v>
      </c>
    </row>
    <row r="428" ht="20.25" customHeight="1">
      <c r="A428" s="32" t="str">
        <f>IMAGE("https://gymvisual.com/13273-catalog_default/barbell-glute-bridge-hands-on-bar.jpg",4,500,500)</f>
        <v/>
      </c>
      <c r="B428" s="30">
        <v>427.0</v>
      </c>
      <c r="C428" s="16" t="s">
        <v>852</v>
      </c>
      <c r="D428" s="16" t="s">
        <v>184</v>
      </c>
      <c r="E428" s="16" t="s">
        <v>185</v>
      </c>
      <c r="F428" s="16" t="s">
        <v>186</v>
      </c>
      <c r="G428" s="16" t="s">
        <v>220</v>
      </c>
      <c r="H428" s="16" t="s">
        <v>220</v>
      </c>
    </row>
    <row r="429" ht="20.25" customHeight="1">
      <c r="A429" s="32" t="str">
        <f>IMAGE("https://gymvisual.com/13275-catalog_default/barbell-glute-bridge-hands-on-bar-female.jpg",4,500,500)</f>
        <v/>
      </c>
      <c r="B429" s="30">
        <v>428.0</v>
      </c>
      <c r="C429" s="16" t="s">
        <v>853</v>
      </c>
      <c r="D429" s="16" t="s">
        <v>184</v>
      </c>
      <c r="E429" s="16" t="s">
        <v>185</v>
      </c>
      <c r="F429" s="16" t="s">
        <v>186</v>
      </c>
      <c r="G429" s="16" t="s">
        <v>187</v>
      </c>
      <c r="H429" s="16" t="s">
        <v>854</v>
      </c>
    </row>
    <row r="430" ht="20.25" customHeight="1">
      <c r="A430" s="32" t="str">
        <f>IMAGE("https://gymvisual.com/14151-catalog_default/barbell-glute-bridge-two-legs-on-bench-male.jpg",4,500,500)</f>
        <v/>
      </c>
      <c r="B430" s="30">
        <v>429.0</v>
      </c>
      <c r="C430" s="16" t="s">
        <v>855</v>
      </c>
      <c r="D430" s="16" t="s">
        <v>184</v>
      </c>
      <c r="E430" s="16" t="s">
        <v>185</v>
      </c>
      <c r="F430" s="16" t="s">
        <v>186</v>
      </c>
      <c r="G430" s="16" t="s">
        <v>187</v>
      </c>
      <c r="H430" s="16" t="s">
        <v>188</v>
      </c>
    </row>
    <row r="431" ht="20.25" customHeight="1">
      <c r="A431" s="32" t="str">
        <f>IMAGE("https://gymvisual.com/19311-catalog_default/barbell-good-morning.jpg",4,500,500)</f>
        <v/>
      </c>
      <c r="B431" s="30">
        <v>430.0</v>
      </c>
      <c r="C431" s="16" t="s">
        <v>856</v>
      </c>
      <c r="D431" s="16" t="s">
        <v>184</v>
      </c>
      <c r="E431" s="16" t="s">
        <v>285</v>
      </c>
      <c r="F431" s="16" t="s">
        <v>186</v>
      </c>
      <c r="G431" s="16" t="s">
        <v>188</v>
      </c>
      <c r="H431" s="16" t="s">
        <v>857</v>
      </c>
    </row>
    <row r="432" ht="20.25" customHeight="1">
      <c r="A432" s="32" t="str">
        <f>IMAGE("https://gymvisual.com/9559-catalog_default/barbell-good-morning-female.jpg",4,500,500)</f>
        <v/>
      </c>
      <c r="B432" s="30">
        <v>431.0</v>
      </c>
      <c r="C432" s="16" t="s">
        <v>858</v>
      </c>
      <c r="D432" s="16" t="s">
        <v>184</v>
      </c>
      <c r="E432" s="16" t="s">
        <v>185</v>
      </c>
      <c r="F432" s="16" t="s">
        <v>186</v>
      </c>
      <c r="G432" s="16" t="s">
        <v>188</v>
      </c>
      <c r="H432" s="16" t="s">
        <v>857</v>
      </c>
    </row>
    <row r="433" ht="20.25" customHeight="1">
      <c r="A433" s="32" t="str">
        <f>IMAGE("https://gymvisual.com/164-catalog_default/barbell-guillotine-bench-press.jpg",4,500,500)</f>
        <v/>
      </c>
      <c r="B433" s="30">
        <v>432.0</v>
      </c>
      <c r="C433" s="16" t="s">
        <v>859</v>
      </c>
      <c r="D433" s="16" t="s">
        <v>184</v>
      </c>
      <c r="E433" s="16" t="s">
        <v>234</v>
      </c>
      <c r="F433" s="16" t="s">
        <v>186</v>
      </c>
      <c r="G433" s="16" t="s">
        <v>347</v>
      </c>
      <c r="H433" s="16" t="s">
        <v>382</v>
      </c>
    </row>
    <row r="434" ht="20.25" customHeight="1">
      <c r="A434" s="32" t="str">
        <f>IMAGE("https://gymvisual.com/167-catalog_default/barbell-hack-squat.jpg",4,500,500)</f>
        <v/>
      </c>
      <c r="B434" s="30">
        <v>433.0</v>
      </c>
      <c r="C434" s="16" t="s">
        <v>175</v>
      </c>
      <c r="D434" s="16" t="s">
        <v>184</v>
      </c>
      <c r="E434" s="16" t="s">
        <v>185</v>
      </c>
      <c r="F434" s="16" t="s">
        <v>186</v>
      </c>
      <c r="G434" s="16" t="s">
        <v>189</v>
      </c>
      <c r="H434" s="16" t="s">
        <v>190</v>
      </c>
    </row>
    <row r="435" ht="20.25" customHeight="1">
      <c r="A435" s="32" t="str">
        <f>IMAGE("https://gymvisual.com/11444-catalog_default/barbell-hack-squat-female.jpg",4,500,500)</f>
        <v/>
      </c>
      <c r="B435" s="30">
        <v>434.0</v>
      </c>
      <c r="C435" s="16" t="s">
        <v>860</v>
      </c>
      <c r="D435" s="16" t="s">
        <v>184</v>
      </c>
      <c r="E435" s="16" t="s">
        <v>294</v>
      </c>
      <c r="F435" s="16" t="s">
        <v>186</v>
      </c>
      <c r="G435" s="16" t="s">
        <v>220</v>
      </c>
      <c r="H435" s="16" t="s">
        <v>220</v>
      </c>
    </row>
    <row r="436" ht="20.25" customHeight="1">
      <c r="A436" s="32" t="str">
        <f>IMAGE("https://gymvisual.com/6768-catalog_default/barbell-hang-clean.jpg",4,500,500)</f>
        <v/>
      </c>
      <c r="B436" s="30">
        <v>435.0</v>
      </c>
      <c r="C436" s="16" t="s">
        <v>861</v>
      </c>
      <c r="D436" s="16" t="s">
        <v>184</v>
      </c>
      <c r="E436" s="16" t="s">
        <v>764</v>
      </c>
      <c r="F436" s="16" t="s">
        <v>186</v>
      </c>
      <c r="G436" s="16" t="s">
        <v>220</v>
      </c>
      <c r="H436" s="16" t="s">
        <v>220</v>
      </c>
    </row>
    <row r="437" ht="20.25" customHeight="1">
      <c r="A437" s="32" t="str">
        <f>IMAGE("https://gymvisual.com/20430-catalog_default/barbell-hang-clean-below-the-knees.jpg",4,500,500)</f>
        <v/>
      </c>
      <c r="B437" s="30">
        <v>436.0</v>
      </c>
      <c r="C437" s="16" t="s">
        <v>862</v>
      </c>
      <c r="D437" s="16" t="s">
        <v>184</v>
      </c>
      <c r="E437" s="16" t="s">
        <v>764</v>
      </c>
      <c r="F437" s="16" t="s">
        <v>186</v>
      </c>
      <c r="G437" s="16" t="s">
        <v>220</v>
      </c>
      <c r="H437" s="16" t="s">
        <v>220</v>
      </c>
    </row>
    <row r="438" ht="20.25" customHeight="1">
      <c r="A438" s="32" t="str">
        <f>IMAGE("https://gymvisual.com/12828-catalog_default/barbell-hang-clean-below-the-knees-version-2.jpg",4,500,500)</f>
        <v/>
      </c>
      <c r="B438" s="30">
        <v>437.0</v>
      </c>
      <c r="C438" s="16" t="s">
        <v>863</v>
      </c>
      <c r="D438" s="16" t="s">
        <v>184</v>
      </c>
      <c r="E438" s="16" t="s">
        <v>764</v>
      </c>
      <c r="F438" s="16" t="s">
        <v>186</v>
      </c>
      <c r="G438" s="16" t="s">
        <v>220</v>
      </c>
      <c r="H438" s="16" t="s">
        <v>220</v>
      </c>
    </row>
    <row r="439" ht="20.25" customHeight="1">
      <c r="A439" s="32" t="str">
        <f>IMAGE("https://gymvisual.com/25136-catalog_default/barbell-hang-power-clean.jpg",4,500,500)</f>
        <v/>
      </c>
      <c r="B439" s="30">
        <v>438.0</v>
      </c>
      <c r="C439" s="16" t="s">
        <v>864</v>
      </c>
      <c r="D439" s="16" t="s">
        <v>184</v>
      </c>
      <c r="E439" s="16" t="s">
        <v>764</v>
      </c>
      <c r="F439" s="16" t="s">
        <v>186</v>
      </c>
      <c r="G439" s="16" t="s">
        <v>220</v>
      </c>
      <c r="H439" s="16" t="s">
        <v>220</v>
      </c>
    </row>
    <row r="440" ht="20.25" customHeight="1">
      <c r="A440" s="32" t="str">
        <f>IMAGE("https://gymvisual.com/6770-catalog_default/barbell-hang-snatch.jpg",4,500,500)</f>
        <v/>
      </c>
      <c r="B440" s="30">
        <v>439.0</v>
      </c>
      <c r="C440" s="16" t="s">
        <v>865</v>
      </c>
      <c r="D440" s="16" t="s">
        <v>184</v>
      </c>
      <c r="E440" s="16" t="s">
        <v>764</v>
      </c>
      <c r="F440" s="16" t="s">
        <v>186</v>
      </c>
      <c r="G440" s="16" t="s">
        <v>866</v>
      </c>
      <c r="H440" s="16" t="s">
        <v>220</v>
      </c>
    </row>
    <row r="441" ht="20.25" customHeight="1">
      <c r="A441" s="32" t="str">
        <f>IMAGE("https://gymvisual.com/20652-catalog_default/barbell-hang-snatch-below-the-knees.jpg",4,500,500)</f>
        <v/>
      </c>
      <c r="B441" s="30">
        <v>440.0</v>
      </c>
      <c r="C441" s="16" t="s">
        <v>867</v>
      </c>
      <c r="D441" s="16" t="s">
        <v>184</v>
      </c>
      <c r="E441" s="16" t="s">
        <v>764</v>
      </c>
      <c r="F441" s="16" t="s">
        <v>186</v>
      </c>
      <c r="G441" s="16" t="s">
        <v>220</v>
      </c>
      <c r="H441" s="16" t="s">
        <v>220</v>
      </c>
    </row>
    <row r="442" ht="20.25" customHeight="1">
      <c r="A442" s="32" t="str">
        <f>IMAGE("https://gymvisual.com/6772-catalog_default/barbell-heaving-snatch-balance.jpg",4,500,500)</f>
        <v/>
      </c>
      <c r="B442" s="30">
        <v>441.0</v>
      </c>
      <c r="C442" s="16" t="s">
        <v>868</v>
      </c>
      <c r="D442" s="16" t="s">
        <v>184</v>
      </c>
      <c r="E442" s="16" t="s">
        <v>764</v>
      </c>
      <c r="F442" s="16" t="s">
        <v>186</v>
      </c>
      <c r="G442" s="16" t="s">
        <v>220</v>
      </c>
      <c r="H442" s="16" t="s">
        <v>220</v>
      </c>
    </row>
    <row r="443" ht="20.25" customHeight="1">
      <c r="A443" s="32" t="str">
        <f>IMAGE("https://gymvisual.com/6448-catalog_default/barbell-high-bar-squat.jpg",4,500,500)</f>
        <v/>
      </c>
      <c r="B443" s="30">
        <v>442.0</v>
      </c>
      <c r="C443" s="16" t="s">
        <v>869</v>
      </c>
      <c r="D443" s="16" t="s">
        <v>184</v>
      </c>
      <c r="E443" s="16" t="s">
        <v>285</v>
      </c>
      <c r="F443" s="16" t="s">
        <v>186</v>
      </c>
      <c r="G443" s="16" t="s">
        <v>189</v>
      </c>
      <c r="H443" s="16" t="s">
        <v>190</v>
      </c>
    </row>
    <row r="444" ht="20.25" customHeight="1">
      <c r="A444" s="32" t="str">
        <f>IMAGE("https://gymvisual.com/4073-catalog_default/barbell-hip-thrust.jpg",4,500,500)</f>
        <v/>
      </c>
      <c r="B444" s="30">
        <v>443.0</v>
      </c>
      <c r="C444" s="16" t="s">
        <v>870</v>
      </c>
      <c r="D444" s="16" t="s">
        <v>184</v>
      </c>
      <c r="E444" s="16" t="s">
        <v>185</v>
      </c>
      <c r="F444" s="16" t="s">
        <v>186</v>
      </c>
      <c r="G444" s="16" t="s">
        <v>187</v>
      </c>
      <c r="H444" s="16" t="s">
        <v>854</v>
      </c>
    </row>
    <row r="445" ht="20.25" customHeight="1">
      <c r="A445" s="32" t="str">
        <f>IMAGE("https://gymvisual.com/9562-catalog_default/barbell-hip-thrust-female.jpg",4,500,500)</f>
        <v/>
      </c>
      <c r="B445" s="30">
        <v>444.0</v>
      </c>
      <c r="C445" s="16" t="s">
        <v>871</v>
      </c>
      <c r="D445" s="16" t="s">
        <v>184</v>
      </c>
      <c r="E445" s="16" t="s">
        <v>185</v>
      </c>
      <c r="F445" s="16" t="s">
        <v>186</v>
      </c>
      <c r="G445" s="16" t="s">
        <v>187</v>
      </c>
      <c r="H445" s="16" t="s">
        <v>188</v>
      </c>
    </row>
    <row r="446" ht="20.25" customHeight="1">
      <c r="A446" s="32" t="str">
        <f>IMAGE("https://gymvisual.com/17745-catalog_default/barbell-hip-thrust-with-resistance-band.jpg",4,500,500)</f>
        <v/>
      </c>
      <c r="B446" s="30">
        <v>445.0</v>
      </c>
      <c r="C446" s="16" t="s">
        <v>872</v>
      </c>
      <c r="D446" s="16" t="s">
        <v>184</v>
      </c>
      <c r="E446" s="16" t="s">
        <v>185</v>
      </c>
      <c r="F446" s="16" t="s">
        <v>186</v>
      </c>
      <c r="G446" s="16" t="s">
        <v>220</v>
      </c>
      <c r="H446" s="16" t="s">
        <v>220</v>
      </c>
    </row>
    <row r="447" ht="20.25" customHeight="1">
      <c r="A447" s="32" t="str">
        <f>IMAGE("https://gymvisual.com/19313-catalog_default/barbell-incline-bench-press.jpg",4,500,500)</f>
        <v/>
      </c>
      <c r="B447" s="30">
        <v>446.0</v>
      </c>
      <c r="C447" s="16" t="s">
        <v>873</v>
      </c>
      <c r="D447" s="16" t="s">
        <v>184</v>
      </c>
      <c r="E447" s="16" t="s">
        <v>234</v>
      </c>
      <c r="F447" s="16" t="s">
        <v>186</v>
      </c>
      <c r="G447" s="16" t="s">
        <v>415</v>
      </c>
      <c r="H447" s="16" t="s">
        <v>243</v>
      </c>
    </row>
    <row r="448" ht="20.25" customHeight="1">
      <c r="A448" s="32" t="str">
        <f>IMAGE("https://gymvisual.com/10366-catalog_default/barbell-incline-bench-press-female.jpg",4,500,500)</f>
        <v/>
      </c>
      <c r="B448" s="30">
        <v>447.0</v>
      </c>
      <c r="C448" s="16" t="s">
        <v>874</v>
      </c>
      <c r="D448" s="16" t="s">
        <v>184</v>
      </c>
      <c r="E448" s="16" t="s">
        <v>234</v>
      </c>
      <c r="F448" s="16" t="s">
        <v>186</v>
      </c>
      <c r="G448" s="16" t="s">
        <v>415</v>
      </c>
      <c r="H448" s="16" t="s">
        <v>243</v>
      </c>
    </row>
    <row r="449" ht="20.25" customHeight="1">
      <c r="A449" s="32" t="str">
        <f>IMAGE("https://gymvisual.com/7438-catalog_default/barbell-incline-close-grip-bench-press.jpg",4,500,500)</f>
        <v/>
      </c>
      <c r="B449" s="30">
        <v>448.0</v>
      </c>
      <c r="C449" s="16" t="s">
        <v>875</v>
      </c>
      <c r="D449" s="16" t="s">
        <v>184</v>
      </c>
      <c r="E449" s="16" t="s">
        <v>219</v>
      </c>
      <c r="F449" s="16" t="s">
        <v>186</v>
      </c>
      <c r="G449" s="16" t="s">
        <v>223</v>
      </c>
      <c r="H449" s="16" t="s">
        <v>472</v>
      </c>
    </row>
    <row r="450" ht="20.25" customHeight="1">
      <c r="A450" s="32" t="str">
        <f>IMAGE("https://gymvisual.com/11128-catalog_default/barbell-incline-close-grip-bench-press-female.jpg",4,500,500)</f>
        <v/>
      </c>
      <c r="B450" s="30">
        <v>449.0</v>
      </c>
      <c r="C450" s="16" t="s">
        <v>876</v>
      </c>
      <c r="D450" s="16" t="s">
        <v>184</v>
      </c>
      <c r="E450" s="16" t="s">
        <v>234</v>
      </c>
      <c r="F450" s="16" t="s">
        <v>186</v>
      </c>
      <c r="G450" s="16" t="s">
        <v>220</v>
      </c>
      <c r="H450" s="16" t="s">
        <v>220</v>
      </c>
    </row>
    <row r="451" ht="20.25" customHeight="1">
      <c r="A451" s="32" t="str">
        <f>IMAGE("https://gymvisual.com/16376-catalog_default/barbell-incline-lying-rear-delt-raise.jpg",4,500,500)</f>
        <v/>
      </c>
      <c r="B451" s="30">
        <v>450.0</v>
      </c>
      <c r="C451" s="16" t="s">
        <v>877</v>
      </c>
      <c r="D451" s="16" t="s">
        <v>184</v>
      </c>
      <c r="E451" s="16" t="s">
        <v>228</v>
      </c>
      <c r="F451" s="16" t="s">
        <v>186</v>
      </c>
      <c r="G451" s="16" t="s">
        <v>229</v>
      </c>
      <c r="H451" s="16" t="s">
        <v>878</v>
      </c>
    </row>
    <row r="452" ht="20.25" customHeight="1">
      <c r="A452" s="32" t="str">
        <f>IMAGE("https://gymvisual.com/26080-catalog_default/barbell-incline-rear-delt-row.jpg",4,500,500)</f>
        <v/>
      </c>
      <c r="B452" s="30">
        <v>451.0</v>
      </c>
      <c r="C452" s="16" t="s">
        <v>879</v>
      </c>
      <c r="D452" s="16" t="s">
        <v>184</v>
      </c>
      <c r="E452" s="16" t="s">
        <v>192</v>
      </c>
      <c r="F452" s="16" t="s">
        <v>186</v>
      </c>
      <c r="G452" s="16" t="s">
        <v>220</v>
      </c>
      <c r="H452" s="16" t="s">
        <v>220</v>
      </c>
    </row>
    <row r="453" ht="20.25" customHeight="1">
      <c r="A453" s="32" t="str">
        <f>IMAGE("https://gymvisual.com/17399-catalog_default/barbell-incline-reverse-grip-spider-curl-with-chest-support.jpg",4,500,500)</f>
        <v/>
      </c>
      <c r="B453" s="30">
        <v>452.0</v>
      </c>
      <c r="C453" s="16" t="s">
        <v>880</v>
      </c>
      <c r="D453" s="16" t="s">
        <v>184</v>
      </c>
      <c r="E453" s="16" t="s">
        <v>214</v>
      </c>
      <c r="F453" s="16" t="s">
        <v>186</v>
      </c>
      <c r="G453" s="16" t="s">
        <v>216</v>
      </c>
      <c r="H453" s="16" t="s">
        <v>217</v>
      </c>
    </row>
    <row r="454" ht="20.25" customHeight="1">
      <c r="A454" s="32" t="str">
        <f>IMAGE("https://gymvisual.com/173-catalog_default/barbell-incline-reverse-grip-press.jpg",4,500,500)</f>
        <v/>
      </c>
      <c r="B454" s="30">
        <v>453.0</v>
      </c>
      <c r="C454" s="16" t="s">
        <v>881</v>
      </c>
      <c r="D454" s="16" t="s">
        <v>184</v>
      </c>
      <c r="E454" s="16" t="s">
        <v>219</v>
      </c>
      <c r="F454" s="16" t="s">
        <v>186</v>
      </c>
      <c r="G454" s="16" t="s">
        <v>223</v>
      </c>
      <c r="H454" s="16" t="s">
        <v>882</v>
      </c>
    </row>
    <row r="455" ht="20.25" customHeight="1">
      <c r="A455" s="32" t="str">
        <f>IMAGE("https://gymvisual.com/23495-catalog_default/barbell-incline-row.jpg",4,500,500)</f>
        <v/>
      </c>
      <c r="B455" s="30">
        <v>454.0</v>
      </c>
      <c r="C455" s="16" t="s">
        <v>191</v>
      </c>
      <c r="D455" s="16" t="s">
        <v>184</v>
      </c>
      <c r="E455" s="16" t="s">
        <v>192</v>
      </c>
      <c r="F455" s="16" t="s">
        <v>186</v>
      </c>
      <c r="G455" s="16" t="s">
        <v>193</v>
      </c>
      <c r="H455" s="16" t="s">
        <v>194</v>
      </c>
    </row>
    <row r="456" ht="20.25" customHeight="1">
      <c r="A456" s="32" t="str">
        <f>IMAGE("https://gymvisual.com/11080-catalog_default/barbell-incline-row-female.jpg",4,500,500)</f>
        <v/>
      </c>
      <c r="B456" s="30">
        <v>455.0</v>
      </c>
      <c r="C456" s="16" t="s">
        <v>883</v>
      </c>
      <c r="D456" s="16" t="s">
        <v>184</v>
      </c>
      <c r="E456" s="16" t="s">
        <v>192</v>
      </c>
      <c r="F456" s="16" t="s">
        <v>186</v>
      </c>
      <c r="G456" s="16" t="s">
        <v>220</v>
      </c>
      <c r="H456" s="16" t="s">
        <v>220</v>
      </c>
    </row>
    <row r="457" ht="20.25" customHeight="1">
      <c r="A457" s="32" t="str">
        <f>IMAGE("https://gymvisual.com/179-catalog_default/barbell-incline-shoulder-raise.jpg",4,500,500)</f>
        <v/>
      </c>
      <c r="B457" s="30">
        <v>456.0</v>
      </c>
      <c r="C457" s="16" t="s">
        <v>884</v>
      </c>
      <c r="D457" s="16" t="s">
        <v>184</v>
      </c>
      <c r="E457" s="16" t="s">
        <v>234</v>
      </c>
      <c r="F457" s="16" t="s">
        <v>186</v>
      </c>
      <c r="G457" s="16" t="s">
        <v>885</v>
      </c>
      <c r="H457" s="16" t="s">
        <v>415</v>
      </c>
    </row>
    <row r="458" ht="20.25" customHeight="1">
      <c r="A458" s="32" t="str">
        <f>IMAGE("https://gymvisual.com/18760-catalog_default/barbell-incline-triceps-extension-skull-crusher.jpg",4,500,500)</f>
        <v/>
      </c>
      <c r="B458" s="30">
        <v>457.0</v>
      </c>
      <c r="C458" s="16" t="s">
        <v>886</v>
      </c>
      <c r="D458" s="16" t="s">
        <v>184</v>
      </c>
      <c r="E458" s="16" t="s">
        <v>219</v>
      </c>
      <c r="F458" s="16" t="s">
        <v>186</v>
      </c>
      <c r="G458" s="16" t="s">
        <v>223</v>
      </c>
      <c r="H458" s="16" t="s">
        <v>220</v>
      </c>
    </row>
    <row r="459" ht="20.25" customHeight="1">
      <c r="A459" s="32" t="str">
        <f>IMAGE("https://gymvisual.com/4419-catalog_default/barbell-incline-wide-reverse-grip-bench-press.jpg",4,500,500)</f>
        <v/>
      </c>
      <c r="B459" s="30">
        <v>458.0</v>
      </c>
      <c r="C459" s="16" t="s">
        <v>887</v>
      </c>
      <c r="D459" s="16" t="s">
        <v>184</v>
      </c>
      <c r="E459" s="16" t="s">
        <v>234</v>
      </c>
      <c r="F459" s="16" t="s">
        <v>186</v>
      </c>
      <c r="G459" s="16" t="s">
        <v>415</v>
      </c>
      <c r="H459" s="16" t="s">
        <v>888</v>
      </c>
    </row>
    <row r="460" ht="20.25" customHeight="1">
      <c r="A460" s="32" t="str">
        <f>IMAGE("https://gymvisual.com/17397-catalog_default/barbell-incline-wrist-curl-with-chest-support.jpg",4,500,500)</f>
        <v/>
      </c>
      <c r="B460" s="30">
        <v>459.0</v>
      </c>
      <c r="C460" s="16" t="s">
        <v>889</v>
      </c>
      <c r="D460" s="16" t="s">
        <v>184</v>
      </c>
      <c r="E460" s="16" t="s">
        <v>214</v>
      </c>
      <c r="F460" s="16" t="s">
        <v>186</v>
      </c>
      <c r="G460" s="16" t="s">
        <v>720</v>
      </c>
      <c r="H460" s="16" t="s">
        <v>220</v>
      </c>
    </row>
    <row r="461" ht="20.25" customHeight="1">
      <c r="A461" s="32" t="str">
        <f>IMAGE("https://gymvisual.com/25140-catalog_default/barbell-jefferson-deadlift.jpg",4,500,500)</f>
        <v/>
      </c>
      <c r="B461" s="30">
        <v>460.0</v>
      </c>
      <c r="C461" s="16" t="s">
        <v>890</v>
      </c>
      <c r="D461" s="16" t="s">
        <v>184</v>
      </c>
      <c r="E461" s="16" t="s">
        <v>185</v>
      </c>
      <c r="F461" s="16" t="s">
        <v>186</v>
      </c>
      <c r="G461" s="16" t="s">
        <v>891</v>
      </c>
      <c r="H461" s="16" t="s">
        <v>892</v>
      </c>
    </row>
    <row r="462" ht="20.25" customHeight="1">
      <c r="A462" s="32" t="str">
        <f>IMAGE("https://gymvisual.com/14728-catalog_default/barbell-jefferson-squat.jpg",4,500,500)</f>
        <v/>
      </c>
      <c r="B462" s="30">
        <v>461.0</v>
      </c>
      <c r="C462" s="16" t="s">
        <v>893</v>
      </c>
      <c r="D462" s="16" t="s">
        <v>184</v>
      </c>
      <c r="E462" s="16" t="s">
        <v>285</v>
      </c>
      <c r="F462" s="16" t="s">
        <v>186</v>
      </c>
      <c r="G462" s="16" t="s">
        <v>189</v>
      </c>
      <c r="H462" s="16" t="s">
        <v>190</v>
      </c>
    </row>
    <row r="463" ht="20.25" customHeight="1">
      <c r="A463" s="32" t="str">
        <f>IMAGE("https://gymvisual.com/6773-catalog_default/barbell-jerk-dip-squat.jpg",4,500,500)</f>
        <v/>
      </c>
      <c r="B463" s="30">
        <v>462.0</v>
      </c>
      <c r="C463" s="16" t="s">
        <v>894</v>
      </c>
      <c r="D463" s="16" t="s">
        <v>184</v>
      </c>
      <c r="E463" s="16" t="s">
        <v>285</v>
      </c>
      <c r="F463" s="16" t="s">
        <v>186</v>
      </c>
      <c r="G463" s="16" t="s">
        <v>220</v>
      </c>
      <c r="H463" s="16" t="s">
        <v>220</v>
      </c>
    </row>
    <row r="464" ht="20.25" customHeight="1">
      <c r="A464" s="32" t="str">
        <f>IMAGE("https://gymvisual.com/25132-catalog_default/barbell-jm-bench-press.jpg",4,500,500)</f>
        <v/>
      </c>
      <c r="B464" s="30">
        <v>463.0</v>
      </c>
      <c r="C464" s="16" t="s">
        <v>895</v>
      </c>
      <c r="D464" s="16" t="s">
        <v>184</v>
      </c>
      <c r="E464" s="16" t="s">
        <v>219</v>
      </c>
      <c r="F464" s="16" t="s">
        <v>186</v>
      </c>
      <c r="G464" s="16" t="s">
        <v>223</v>
      </c>
      <c r="H464" s="16" t="s">
        <v>896</v>
      </c>
    </row>
    <row r="465" ht="20.25" customHeight="1">
      <c r="A465" s="32" t="str">
        <f>IMAGE("https://gymvisual.com/13325-catalog_default/barbell-jm-bench-press-female.jpg",4,500,500)</f>
        <v/>
      </c>
      <c r="B465" s="30">
        <v>464.0</v>
      </c>
      <c r="C465" s="16" t="s">
        <v>897</v>
      </c>
      <c r="D465" s="16" t="s">
        <v>184</v>
      </c>
      <c r="E465" s="16" t="s">
        <v>219</v>
      </c>
      <c r="F465" s="16" t="s">
        <v>186</v>
      </c>
      <c r="G465" s="16" t="s">
        <v>220</v>
      </c>
      <c r="H465" s="16" t="s">
        <v>220</v>
      </c>
    </row>
    <row r="466" ht="20.25" customHeight="1">
      <c r="A466" s="32" t="str">
        <f>IMAGE("https://gymvisual.com/23467-catalog_default/barbell-kas-glute-bridge-female.jpg",4,500,500)</f>
        <v/>
      </c>
      <c r="B466" s="30">
        <v>465.0</v>
      </c>
      <c r="C466" s="16" t="s">
        <v>898</v>
      </c>
      <c r="D466" s="16" t="s">
        <v>184</v>
      </c>
      <c r="E466" s="16" t="s">
        <v>185</v>
      </c>
      <c r="F466" s="16" t="s">
        <v>186</v>
      </c>
      <c r="G466" s="16" t="s">
        <v>187</v>
      </c>
      <c r="H466" s="16" t="s">
        <v>854</v>
      </c>
    </row>
    <row r="467" ht="20.25" customHeight="1">
      <c r="A467" s="32" t="str">
        <f>IMAGE("https://gymvisual.com/19471-catalog_default/barbell-knee-raise-step-up.jpg",4,500,500)</f>
        <v/>
      </c>
      <c r="B467" s="30">
        <v>466.0</v>
      </c>
      <c r="C467" s="16" t="s">
        <v>899</v>
      </c>
      <c r="D467" s="16" t="s">
        <v>184</v>
      </c>
      <c r="E467" s="16" t="s">
        <v>285</v>
      </c>
      <c r="F467" s="16" t="s">
        <v>186</v>
      </c>
      <c r="G467" s="16" t="s">
        <v>220</v>
      </c>
      <c r="H467" s="16" t="s">
        <v>220</v>
      </c>
    </row>
    <row r="468" ht="20.25" customHeight="1">
      <c r="A468" s="32" t="str">
        <f>IMAGE("https://gymvisual.com/6262-catalog_default/barbell-lateral-lunge.jpg",4,500,500)</f>
        <v/>
      </c>
      <c r="B468" s="30">
        <v>467.0</v>
      </c>
      <c r="C468" s="16" t="s">
        <v>900</v>
      </c>
      <c r="D468" s="16" t="s">
        <v>184</v>
      </c>
      <c r="E468" s="16" t="s">
        <v>185</v>
      </c>
      <c r="F468" s="16" t="s">
        <v>186</v>
      </c>
      <c r="G468" s="16" t="s">
        <v>189</v>
      </c>
      <c r="H468" s="16" t="s">
        <v>190</v>
      </c>
    </row>
    <row r="469" ht="20.25" customHeight="1">
      <c r="A469" s="32" t="str">
        <f>IMAGE("https://gymvisual.com/9598-catalog_default/barbell-lateral-lunge-female.jpg",4,500,500)</f>
        <v/>
      </c>
      <c r="B469" s="30">
        <v>468.0</v>
      </c>
      <c r="C469" s="16" t="s">
        <v>901</v>
      </c>
      <c r="D469" s="16" t="s">
        <v>184</v>
      </c>
      <c r="E469" s="16" t="s">
        <v>294</v>
      </c>
      <c r="F469" s="16" t="s">
        <v>186</v>
      </c>
      <c r="G469" s="16" t="s">
        <v>189</v>
      </c>
      <c r="H469" s="16" t="s">
        <v>902</v>
      </c>
    </row>
    <row r="470" ht="20.25" customHeight="1">
      <c r="A470" s="32" t="str">
        <f>IMAGE("https://gymvisual.com/11974-catalog_default/barbell-leg-twist-press.jpg",4,500,500)</f>
        <v/>
      </c>
      <c r="B470" s="30">
        <v>469.0</v>
      </c>
      <c r="C470" s="16" t="s">
        <v>903</v>
      </c>
      <c r="D470" s="16" t="s">
        <v>184</v>
      </c>
      <c r="E470" s="16" t="s">
        <v>254</v>
      </c>
      <c r="F470" s="16" t="s">
        <v>186</v>
      </c>
      <c r="G470" s="16" t="s">
        <v>220</v>
      </c>
      <c r="H470" s="16" t="s">
        <v>220</v>
      </c>
    </row>
    <row r="471" ht="20.25" customHeight="1">
      <c r="A471" s="32" t="str">
        <f>IMAGE("https://gymvisual.com/6446-catalog_default/barbell-low-bar-squat.jpg",4,500,500)</f>
        <v/>
      </c>
      <c r="B471" s="30">
        <v>470.0</v>
      </c>
      <c r="C471" s="16" t="s">
        <v>904</v>
      </c>
      <c r="D471" s="16" t="s">
        <v>184</v>
      </c>
      <c r="E471" s="16" t="s">
        <v>285</v>
      </c>
      <c r="F471" s="16" t="s">
        <v>186</v>
      </c>
      <c r="G471" s="16" t="s">
        <v>189</v>
      </c>
      <c r="H471" s="16" t="s">
        <v>190</v>
      </c>
    </row>
    <row r="472" ht="20.25" customHeight="1">
      <c r="A472" s="32" t="str">
        <f>IMAGE("https://gymvisual.com/7720-catalog_default/barbell-low-bar-squat-with-rack.jpg",4,500,500)</f>
        <v/>
      </c>
      <c r="B472" s="30">
        <v>471.0</v>
      </c>
      <c r="C472" s="16" t="s">
        <v>905</v>
      </c>
      <c r="D472" s="16" t="s">
        <v>184</v>
      </c>
      <c r="E472" s="16" t="s">
        <v>285</v>
      </c>
      <c r="F472" s="16" t="s">
        <v>186</v>
      </c>
      <c r="G472" s="16" t="s">
        <v>220</v>
      </c>
      <c r="H472" s="16" t="s">
        <v>220</v>
      </c>
    </row>
    <row r="473" ht="20.25" customHeight="1">
      <c r="A473" s="32" t="str">
        <f>IMAGE("https://gymvisual.com/190-catalog_default/barbell-lunge.jpg",4,500,500)</f>
        <v/>
      </c>
      <c r="B473" s="30">
        <v>472.0</v>
      </c>
      <c r="C473" s="16" t="s">
        <v>906</v>
      </c>
      <c r="D473" s="16" t="s">
        <v>184</v>
      </c>
      <c r="E473" s="16" t="s">
        <v>285</v>
      </c>
      <c r="F473" s="16" t="s">
        <v>186</v>
      </c>
      <c r="G473" s="16" t="s">
        <v>189</v>
      </c>
      <c r="H473" s="16" t="s">
        <v>190</v>
      </c>
    </row>
    <row r="474" ht="20.25" customHeight="1">
      <c r="A474" s="32" t="str">
        <f>IMAGE("https://gymvisual.com/11005-catalog_default/barbell-lunge-female.jpg",4,500,500)</f>
        <v/>
      </c>
      <c r="B474" s="30">
        <v>473.0</v>
      </c>
      <c r="C474" s="16" t="s">
        <v>907</v>
      </c>
      <c r="D474" s="16" t="s">
        <v>184</v>
      </c>
      <c r="E474" s="16" t="s">
        <v>294</v>
      </c>
      <c r="F474" s="16" t="s">
        <v>186</v>
      </c>
      <c r="G474" s="16" t="s">
        <v>189</v>
      </c>
      <c r="H474" s="16" t="s">
        <v>190</v>
      </c>
    </row>
    <row r="475" ht="20.25" customHeight="1">
      <c r="A475" s="32" t="str">
        <f>IMAGE("https://gymvisual.com/7439-catalog_default/barbell-lying-back-of-the-head-tricep-extension.jpg",4,500,500)</f>
        <v/>
      </c>
      <c r="B475" s="30">
        <v>474.0</v>
      </c>
      <c r="C475" s="16" t="s">
        <v>218</v>
      </c>
      <c r="D475" s="16" t="s">
        <v>184</v>
      </c>
      <c r="E475" s="16" t="s">
        <v>219</v>
      </c>
      <c r="F475" s="16" t="s">
        <v>186</v>
      </c>
      <c r="G475" s="16" t="s">
        <v>220</v>
      </c>
      <c r="H475" s="16" t="s">
        <v>220</v>
      </c>
    </row>
    <row r="476" ht="20.25" customHeight="1">
      <c r="A476" s="32" t="str">
        <f>IMAGE("https://gymvisual.com/11369-catalog_default/barbell-lying-close-grip-triceps-extension-female.jpg",4,500,500)</f>
        <v/>
      </c>
      <c r="B476" s="30">
        <v>475.0</v>
      </c>
      <c r="C476" s="16" t="s">
        <v>908</v>
      </c>
      <c r="D476" s="16" t="s">
        <v>184</v>
      </c>
      <c r="E476" s="16" t="s">
        <v>219</v>
      </c>
      <c r="F476" s="16" t="s">
        <v>186</v>
      </c>
      <c r="G476" s="16" t="s">
        <v>220</v>
      </c>
      <c r="H476" s="16" t="s">
        <v>220</v>
      </c>
    </row>
    <row r="477" ht="20.25" customHeight="1">
      <c r="A477" s="32" t="str">
        <f>IMAGE("https://gymvisual.com/18971-catalog_default/barbell-lying-close-grip-overhand-row-on-rack.jpg",4,500,500)</f>
        <v/>
      </c>
      <c r="B477" s="30">
        <v>476.0</v>
      </c>
      <c r="C477" s="16" t="s">
        <v>909</v>
      </c>
      <c r="D477" s="16" t="s">
        <v>184</v>
      </c>
      <c r="E477" s="16" t="s">
        <v>192</v>
      </c>
      <c r="F477" s="16" t="s">
        <v>186</v>
      </c>
      <c r="G477" s="16" t="s">
        <v>329</v>
      </c>
      <c r="H477" s="16" t="s">
        <v>447</v>
      </c>
    </row>
    <row r="478" ht="20.25" customHeight="1">
      <c r="A478" s="32" t="str">
        <f>IMAGE("https://gymvisual.com/193-catalog_default/barbell-lying-close-grip-press.jpg",4,500,500)</f>
        <v/>
      </c>
      <c r="B478" s="30">
        <v>477.0</v>
      </c>
      <c r="C478" s="16" t="s">
        <v>910</v>
      </c>
      <c r="D478" s="16" t="s">
        <v>184</v>
      </c>
      <c r="E478" s="16" t="s">
        <v>219</v>
      </c>
      <c r="F478" s="16" t="s">
        <v>186</v>
      </c>
      <c r="G478" s="16" t="s">
        <v>223</v>
      </c>
      <c r="H478" s="16" t="s">
        <v>896</v>
      </c>
    </row>
    <row r="479" ht="20.25" customHeight="1">
      <c r="A479" s="32" t="str">
        <f>IMAGE("https://gymvisual.com/196-catalog_default/barbell-lying-close-grip-triceps-extension.jpg",4,500,500)</f>
        <v/>
      </c>
      <c r="B479" s="30">
        <v>478.0</v>
      </c>
      <c r="C479" s="16" t="s">
        <v>911</v>
      </c>
      <c r="D479" s="16" t="s">
        <v>184</v>
      </c>
      <c r="E479" s="16" t="s">
        <v>219</v>
      </c>
      <c r="F479" s="16" t="s">
        <v>186</v>
      </c>
      <c r="G479" s="16" t="s">
        <v>223</v>
      </c>
      <c r="H479" s="16" t="s">
        <v>220</v>
      </c>
    </row>
    <row r="480" ht="20.25" customHeight="1">
      <c r="A480" s="32" t="str">
        <f>IMAGE("https://gymvisual.com/18969-catalog_default/barbell-lying-close-grip-underhand-row-on-rack.jpg",4,500,500)</f>
        <v/>
      </c>
      <c r="B480" s="30">
        <v>479.0</v>
      </c>
      <c r="C480" s="16" t="s">
        <v>912</v>
      </c>
      <c r="D480" s="16" t="s">
        <v>184</v>
      </c>
      <c r="E480" s="16" t="s">
        <v>192</v>
      </c>
      <c r="F480" s="16" t="s">
        <v>186</v>
      </c>
      <c r="G480" s="16" t="s">
        <v>329</v>
      </c>
      <c r="H480" s="16" t="s">
        <v>357</v>
      </c>
    </row>
    <row r="481" ht="20.25" customHeight="1">
      <c r="A481" s="32" t="str">
        <f>IMAGE("https://gymvisual.com/2940-catalog_default/barbell-lying-extension.jpg",4,500,500)</f>
        <v/>
      </c>
      <c r="B481" s="30">
        <v>480.0</v>
      </c>
      <c r="C481" s="16" t="s">
        <v>913</v>
      </c>
      <c r="D481" s="16" t="s">
        <v>184</v>
      </c>
      <c r="E481" s="16" t="s">
        <v>219</v>
      </c>
      <c r="F481" s="16" t="s">
        <v>186</v>
      </c>
      <c r="G481" s="16" t="s">
        <v>223</v>
      </c>
      <c r="H481" s="16" t="s">
        <v>220</v>
      </c>
    </row>
    <row r="482" ht="20.25" customHeight="1">
      <c r="A482" s="32" t="str">
        <f>IMAGE("https://gymvisual.com/202-catalog_default/barbell-lying-lifting-on-hip.jpg",4,500,500)</f>
        <v/>
      </c>
      <c r="B482" s="30">
        <v>481.0</v>
      </c>
      <c r="C482" s="16" t="s">
        <v>914</v>
      </c>
      <c r="D482" s="16" t="s">
        <v>184</v>
      </c>
      <c r="E482" s="16" t="s">
        <v>185</v>
      </c>
      <c r="F482" s="16" t="s">
        <v>186</v>
      </c>
      <c r="G482" s="16" t="s">
        <v>187</v>
      </c>
      <c r="H482" s="16" t="s">
        <v>665</v>
      </c>
    </row>
    <row r="483" ht="20.25" customHeight="1">
      <c r="A483" s="32" t="str">
        <f>IMAGE("https://gymvisual.com/205-catalog_default/barbell-lying-preacher-curl.jpg",4,500,500)</f>
        <v/>
      </c>
      <c r="B483" s="30">
        <v>482.0</v>
      </c>
      <c r="C483" s="16" t="s">
        <v>915</v>
      </c>
      <c r="D483" s="16" t="s">
        <v>184</v>
      </c>
      <c r="E483" s="16" t="s">
        <v>219</v>
      </c>
      <c r="F483" s="16" t="s">
        <v>186</v>
      </c>
      <c r="G483" s="16" t="s">
        <v>232</v>
      </c>
      <c r="H483" s="16" t="s">
        <v>233</v>
      </c>
    </row>
    <row r="484" ht="20.25" customHeight="1">
      <c r="A484" s="32" t="str">
        <f>IMAGE("https://gymvisual.com/14420-catalog_default/barbell-lying-row-on-rack.jpg",4,500,500)</f>
        <v/>
      </c>
      <c r="B484" s="30">
        <v>483.0</v>
      </c>
      <c r="C484" s="16" t="s">
        <v>916</v>
      </c>
      <c r="D484" s="16" t="s">
        <v>184</v>
      </c>
      <c r="E484" s="16" t="s">
        <v>192</v>
      </c>
      <c r="F484" s="16" t="s">
        <v>186</v>
      </c>
      <c r="G484" s="16" t="s">
        <v>329</v>
      </c>
      <c r="H484" s="16" t="s">
        <v>447</v>
      </c>
    </row>
    <row r="485" ht="20.25" customHeight="1">
      <c r="A485" s="32" t="str">
        <f>IMAGE("https://gymvisual.com/211-catalog_default/barbell-lying-triceps-extension.jpg",4,500,500)</f>
        <v/>
      </c>
      <c r="B485" s="30">
        <v>484.0</v>
      </c>
      <c r="C485" s="16" t="s">
        <v>917</v>
      </c>
      <c r="D485" s="16" t="s">
        <v>184</v>
      </c>
      <c r="E485" s="16" t="s">
        <v>219</v>
      </c>
      <c r="F485" s="16" t="s">
        <v>186</v>
      </c>
      <c r="G485" s="16" t="s">
        <v>223</v>
      </c>
      <c r="H485" s="16" t="s">
        <v>220</v>
      </c>
    </row>
    <row r="486" ht="20.25" customHeight="1">
      <c r="A486" s="32" t="str">
        <f>IMAGE("https://gymvisual.com/11573-catalog_default/barbell-lying-triceps-extension-female.jpg",4,500,500)</f>
        <v/>
      </c>
      <c r="B486" s="30">
        <v>485.0</v>
      </c>
      <c r="C486" s="16" t="s">
        <v>918</v>
      </c>
      <c r="D486" s="16" t="s">
        <v>184</v>
      </c>
      <c r="E486" s="16" t="s">
        <v>219</v>
      </c>
      <c r="F486" s="16" t="s">
        <v>186</v>
      </c>
      <c r="G486" s="16" t="s">
        <v>223</v>
      </c>
      <c r="H486" s="16" t="s">
        <v>220</v>
      </c>
    </row>
    <row r="487" ht="20.25" customHeight="1">
      <c r="A487" s="32" t="str">
        <f>IMAGE("https://gymvisual.com/18241-catalog_default/barbell-lying-triceps-extension-skull-crusher.jpg",4,500,500)</f>
        <v/>
      </c>
      <c r="B487" s="30">
        <v>486.0</v>
      </c>
      <c r="C487" s="16" t="s">
        <v>919</v>
      </c>
      <c r="D487" s="16" t="s">
        <v>184</v>
      </c>
      <c r="E487" s="16" t="s">
        <v>219</v>
      </c>
      <c r="F487" s="16" t="s">
        <v>186</v>
      </c>
      <c r="G487" s="16" t="s">
        <v>223</v>
      </c>
      <c r="H487" s="16" t="s">
        <v>472</v>
      </c>
    </row>
    <row r="488" ht="20.25" customHeight="1">
      <c r="A488" s="32" t="str">
        <f>IMAGE("https://gymvisual.com/12834-catalog_default/barbell-military-press-with-hanging-band-technique.jpg",4,500,500)</f>
        <v/>
      </c>
      <c r="B488" s="30">
        <v>487.0</v>
      </c>
      <c r="C488" s="16" t="s">
        <v>920</v>
      </c>
      <c r="D488" s="16" t="s">
        <v>184</v>
      </c>
      <c r="E488" s="16" t="s">
        <v>228</v>
      </c>
      <c r="F488" s="16" t="s">
        <v>186</v>
      </c>
      <c r="G488" s="16" t="s">
        <v>229</v>
      </c>
      <c r="H488" s="16" t="s">
        <v>626</v>
      </c>
    </row>
    <row r="489" ht="20.25" customHeight="1">
      <c r="A489" s="32" t="str">
        <f>IMAGE("https://gymvisual.com/20432-catalog_default/barbell-muscle-snatch.jpg",4,500,500)</f>
        <v/>
      </c>
      <c r="B489" s="30">
        <v>488.0</v>
      </c>
      <c r="C489" s="16" t="s">
        <v>921</v>
      </c>
      <c r="D489" s="16" t="s">
        <v>184</v>
      </c>
      <c r="E489" s="16" t="s">
        <v>764</v>
      </c>
      <c r="F489" s="16" t="s">
        <v>186</v>
      </c>
      <c r="G489" s="16" t="s">
        <v>220</v>
      </c>
      <c r="H489" s="16" t="s">
        <v>220</v>
      </c>
    </row>
    <row r="490" ht="20.25" customHeight="1">
      <c r="A490" s="32" t="str">
        <f>IMAGE("https://gymvisual.com/214-catalog_default/barbell-narrow-row.jpg",4,500,500)</f>
        <v/>
      </c>
      <c r="B490" s="30">
        <v>489.0</v>
      </c>
      <c r="C490" s="16" t="s">
        <v>922</v>
      </c>
      <c r="D490" s="16" t="s">
        <v>184</v>
      </c>
      <c r="E490" s="16" t="s">
        <v>192</v>
      </c>
      <c r="F490" s="16" t="s">
        <v>186</v>
      </c>
      <c r="G490" s="16" t="s">
        <v>570</v>
      </c>
      <c r="H490" s="16" t="s">
        <v>447</v>
      </c>
    </row>
    <row r="491" ht="20.25" customHeight="1">
      <c r="A491" s="32" t="str">
        <f>IMAGE("https://gymvisual.com/217-catalog_default/barbell-narrow-stance-squat.jpg",4,500,500)</f>
        <v/>
      </c>
      <c r="B491" s="30">
        <v>490.0</v>
      </c>
      <c r="C491" s="16" t="s">
        <v>923</v>
      </c>
      <c r="D491" s="16" t="s">
        <v>184</v>
      </c>
      <c r="E491" s="16" t="s">
        <v>285</v>
      </c>
      <c r="F491" s="16" t="s">
        <v>186</v>
      </c>
      <c r="G491" s="16" t="s">
        <v>189</v>
      </c>
      <c r="H491" s="16" t="s">
        <v>190</v>
      </c>
    </row>
    <row r="492" ht="20.25" customHeight="1">
      <c r="A492" s="32" t="str">
        <f>IMAGE("https://gymvisual.com/10367-catalog_default/barbell-narrow-stance-squat-female.jpg",4,500,500)</f>
        <v/>
      </c>
      <c r="B492" s="30">
        <v>491.0</v>
      </c>
      <c r="C492" s="16" t="s">
        <v>924</v>
      </c>
      <c r="D492" s="16" t="s">
        <v>184</v>
      </c>
      <c r="E492" s="16" t="s">
        <v>285</v>
      </c>
      <c r="F492" s="16" t="s">
        <v>186</v>
      </c>
      <c r="G492" s="16" t="s">
        <v>189</v>
      </c>
      <c r="H492" s="16" t="s">
        <v>190</v>
      </c>
    </row>
    <row r="493" ht="20.25" customHeight="1">
      <c r="A493" s="32" t="str">
        <f>IMAGE("https://gymvisual.com/24828-catalog_default/barbell-narrow-stance-squat-male.jpg",4,500,500)</f>
        <v/>
      </c>
      <c r="B493" s="30">
        <v>492.0</v>
      </c>
      <c r="C493" s="16" t="s">
        <v>925</v>
      </c>
      <c r="D493" s="16" t="s">
        <v>184</v>
      </c>
      <c r="E493" s="16" t="s">
        <v>285</v>
      </c>
      <c r="F493" s="16" t="s">
        <v>186</v>
      </c>
      <c r="G493" s="16" t="s">
        <v>552</v>
      </c>
      <c r="H493" s="16" t="s">
        <v>553</v>
      </c>
    </row>
    <row r="494" ht="20.25" customHeight="1">
      <c r="A494" s="32" t="str">
        <f>IMAGE("https://gymvisual.com/6775-catalog_default/barbell-olympic-squat.jpg",4,500,500)</f>
        <v/>
      </c>
      <c r="B494" s="30">
        <v>493.0</v>
      </c>
      <c r="C494" s="16" t="s">
        <v>926</v>
      </c>
      <c r="D494" s="16" t="s">
        <v>184</v>
      </c>
      <c r="E494" s="16" t="s">
        <v>285</v>
      </c>
      <c r="F494" s="16" t="s">
        <v>186</v>
      </c>
      <c r="G494" s="16" t="s">
        <v>220</v>
      </c>
      <c r="H494" s="16" t="s">
        <v>220</v>
      </c>
    </row>
    <row r="495" ht="20.25" customHeight="1">
      <c r="A495" s="32" t="str">
        <f>IMAGE("https://gymvisual.com/220-catalog_default/barbell-one-arm-bent-over-row.jpg",4,500,500)</f>
        <v/>
      </c>
      <c r="B495" s="30">
        <v>494.0</v>
      </c>
      <c r="C495" s="16" t="s">
        <v>927</v>
      </c>
      <c r="D495" s="16" t="s">
        <v>184</v>
      </c>
      <c r="E495" s="16" t="s">
        <v>192</v>
      </c>
      <c r="F495" s="16" t="s">
        <v>186</v>
      </c>
      <c r="G495" s="16" t="s">
        <v>329</v>
      </c>
      <c r="H495" s="16" t="s">
        <v>330</v>
      </c>
    </row>
    <row r="496" ht="20.25" customHeight="1">
      <c r="A496" s="32" t="str">
        <f>IMAGE("https://gymvisual.com/223-catalog_default/barbell-one-arm-floor-press.jpg",4,500,500)</f>
        <v/>
      </c>
      <c r="B496" s="30">
        <v>495.0</v>
      </c>
      <c r="C496" s="16" t="s">
        <v>928</v>
      </c>
      <c r="D496" s="16" t="s">
        <v>184</v>
      </c>
      <c r="E496" s="16" t="s">
        <v>219</v>
      </c>
      <c r="F496" s="16" t="s">
        <v>186</v>
      </c>
      <c r="G496" s="16" t="s">
        <v>223</v>
      </c>
      <c r="H496" s="16" t="s">
        <v>408</v>
      </c>
    </row>
    <row r="497" ht="20.25" customHeight="1">
      <c r="A497" s="32" t="str">
        <f>IMAGE("https://gymvisual.com/20459-catalog_default/barbell-one-arm-side-deadlift.jpg",4,500,500)</f>
        <v/>
      </c>
      <c r="B497" s="30">
        <v>496.0</v>
      </c>
      <c r="C497" s="16" t="s">
        <v>929</v>
      </c>
      <c r="D497" s="16" t="s">
        <v>184</v>
      </c>
      <c r="E497" s="16" t="s">
        <v>285</v>
      </c>
      <c r="F497" s="16" t="s">
        <v>186</v>
      </c>
      <c r="G497" s="16" t="s">
        <v>189</v>
      </c>
      <c r="H497" s="16" t="s">
        <v>190</v>
      </c>
    </row>
    <row r="498" ht="20.25" customHeight="1">
      <c r="A498" s="32" t="str">
        <f>IMAGE("https://gymvisual.com/229-catalog_default/barbell-one-arm-snatch.jpg",4,500,500)</f>
        <v/>
      </c>
      <c r="B498" s="30">
        <v>497.0</v>
      </c>
      <c r="C498" s="16" t="s">
        <v>930</v>
      </c>
      <c r="D498" s="16" t="s">
        <v>184</v>
      </c>
      <c r="E498" s="16" t="s">
        <v>228</v>
      </c>
      <c r="F498" s="16" t="s">
        <v>186</v>
      </c>
      <c r="G498" s="16" t="s">
        <v>220</v>
      </c>
      <c r="H498" s="16" t="s">
        <v>220</v>
      </c>
    </row>
    <row r="499" ht="20.25" customHeight="1">
      <c r="A499" s="32" t="str">
        <f>IMAGE("https://gymvisual.com/4076-catalog_default/barbell-one-leg-hip-thrust.jpg",4,500,500)</f>
        <v/>
      </c>
      <c r="B499" s="30">
        <v>498.0</v>
      </c>
      <c r="C499" s="16" t="s">
        <v>931</v>
      </c>
      <c r="D499" s="16" t="s">
        <v>184</v>
      </c>
      <c r="E499" s="16" t="s">
        <v>185</v>
      </c>
      <c r="F499" s="16" t="s">
        <v>186</v>
      </c>
      <c r="G499" s="16" t="s">
        <v>187</v>
      </c>
      <c r="H499" s="16" t="s">
        <v>854</v>
      </c>
    </row>
    <row r="500" ht="20.25" customHeight="1">
      <c r="A500" s="32" t="str">
        <f>IMAGE("https://gymvisual.com/231-catalog_default/barbell-one-leg-squat.jpg",4,500,500)</f>
        <v/>
      </c>
      <c r="B500" s="30">
        <v>499.0</v>
      </c>
      <c r="C500" s="16" t="s">
        <v>932</v>
      </c>
      <c r="D500" s="16" t="s">
        <v>184</v>
      </c>
      <c r="E500" s="16" t="s">
        <v>285</v>
      </c>
      <c r="F500" s="16" t="s">
        <v>186</v>
      </c>
      <c r="G500" s="16" t="s">
        <v>552</v>
      </c>
      <c r="H500" s="16" t="s">
        <v>553</v>
      </c>
    </row>
    <row r="501" ht="20.25" customHeight="1">
      <c r="A501" s="32" t="str">
        <f>IMAGE("https://gymvisual.com/12176-catalog_default/barbell-overhead-carry.jpg",4,500,500)</f>
        <v/>
      </c>
      <c r="B501" s="30">
        <v>500.0</v>
      </c>
      <c r="C501" s="16" t="s">
        <v>933</v>
      </c>
      <c r="D501" s="16" t="s">
        <v>184</v>
      </c>
      <c r="E501" s="16" t="s">
        <v>285</v>
      </c>
      <c r="F501" s="16" t="s">
        <v>186</v>
      </c>
      <c r="G501" s="16" t="s">
        <v>220</v>
      </c>
      <c r="H501" s="16" t="s">
        <v>220</v>
      </c>
    </row>
    <row r="502" ht="20.25" customHeight="1">
      <c r="A502" s="32" t="str">
        <f>IMAGE("https://gymvisual.com/16382-catalog_default/barbell-overhead-lunge.jpg",4,500,500)</f>
        <v/>
      </c>
      <c r="B502" s="30">
        <v>501.0</v>
      </c>
      <c r="C502" s="16" t="s">
        <v>934</v>
      </c>
      <c r="D502" s="16" t="s">
        <v>184</v>
      </c>
      <c r="E502" s="16" t="s">
        <v>285</v>
      </c>
      <c r="F502" s="16" t="s">
        <v>186</v>
      </c>
      <c r="G502" s="16" t="s">
        <v>189</v>
      </c>
      <c r="H502" s="16" t="s">
        <v>190</v>
      </c>
    </row>
    <row r="503" ht="20.25" customHeight="1">
      <c r="A503" s="32" t="str">
        <f>IMAGE("https://gymvisual.com/12193-catalog_default/barbell-overhead-shrug.jpg",4,500,500)</f>
        <v/>
      </c>
      <c r="B503" s="30">
        <v>502.0</v>
      </c>
      <c r="C503" s="16" t="s">
        <v>935</v>
      </c>
      <c r="D503" s="16" t="s">
        <v>184</v>
      </c>
      <c r="E503" s="16" t="s">
        <v>192</v>
      </c>
      <c r="F503" s="16" t="s">
        <v>186</v>
      </c>
      <c r="G503" s="16" t="s">
        <v>238</v>
      </c>
      <c r="H503" s="16" t="s">
        <v>618</v>
      </c>
    </row>
    <row r="504" ht="20.25" customHeight="1">
      <c r="A504" s="32" t="str">
        <f>IMAGE("https://gymvisual.com/234-catalog_default/barbell-overhead-squat.jpg",4,500,500)</f>
        <v/>
      </c>
      <c r="B504" s="30">
        <v>503.0</v>
      </c>
      <c r="C504" s="16" t="s">
        <v>936</v>
      </c>
      <c r="D504" s="16" t="s">
        <v>184</v>
      </c>
      <c r="E504" s="16" t="s">
        <v>285</v>
      </c>
      <c r="F504" s="16" t="s">
        <v>186</v>
      </c>
      <c r="G504" s="16" t="s">
        <v>552</v>
      </c>
      <c r="H504" s="16" t="s">
        <v>553</v>
      </c>
    </row>
    <row r="505" ht="20.25" customHeight="1">
      <c r="A505" s="32" t="str">
        <f>IMAGE("https://gymvisual.com/6263-catalog_default/barbell-palms-down-wrist-curl-over-a-bench.jpg",4,500,500)</f>
        <v/>
      </c>
      <c r="B505" s="30">
        <v>504.0</v>
      </c>
      <c r="C505" s="16" t="s">
        <v>937</v>
      </c>
      <c r="D505" s="16" t="s">
        <v>184</v>
      </c>
      <c r="E505" s="16" t="s">
        <v>214</v>
      </c>
      <c r="F505" s="16" t="s">
        <v>186</v>
      </c>
      <c r="G505" s="16" t="s">
        <v>604</v>
      </c>
      <c r="H505" s="16" t="s">
        <v>220</v>
      </c>
    </row>
    <row r="506" ht="20.25" customHeight="1">
      <c r="A506" s="32" t="str">
        <f>IMAGE("https://gymvisual.com/11540-catalog_default/barbell-palms-down-wrist-curl-over-a-bench-female.jpg",4,500,500)</f>
        <v/>
      </c>
      <c r="B506" s="30">
        <v>505.0</v>
      </c>
      <c r="C506" s="16" t="s">
        <v>938</v>
      </c>
      <c r="D506" s="16" t="s">
        <v>184</v>
      </c>
      <c r="E506" s="16" t="s">
        <v>214</v>
      </c>
      <c r="F506" s="16" t="s">
        <v>186</v>
      </c>
      <c r="G506" s="16" t="s">
        <v>220</v>
      </c>
      <c r="H506" s="16" t="s">
        <v>220</v>
      </c>
    </row>
    <row r="507" ht="20.25" customHeight="1">
      <c r="A507" s="32" t="str">
        <f>IMAGE("https://gymvisual.com/6264-catalog_default/barbell-palms-up-wrist-curl-over-a-bench.jpg",4,500,500)</f>
        <v/>
      </c>
      <c r="B507" s="30">
        <v>506.0</v>
      </c>
      <c r="C507" s="16" t="s">
        <v>939</v>
      </c>
      <c r="D507" s="16" t="s">
        <v>184</v>
      </c>
      <c r="E507" s="16" t="s">
        <v>214</v>
      </c>
      <c r="F507" s="16" t="s">
        <v>186</v>
      </c>
      <c r="G507" s="16" t="s">
        <v>720</v>
      </c>
      <c r="H507" s="16" t="s">
        <v>220</v>
      </c>
    </row>
    <row r="508" ht="20.25" customHeight="1">
      <c r="A508" s="32" t="str">
        <f>IMAGE("https://gymvisual.com/11543-catalog_default/barbell-palms-up-wrist-curl-over-a-bench-female.jpg",4,500,500)</f>
        <v/>
      </c>
      <c r="B508" s="30">
        <v>507.0</v>
      </c>
      <c r="C508" s="16" t="s">
        <v>940</v>
      </c>
      <c r="D508" s="16" t="s">
        <v>184</v>
      </c>
      <c r="E508" s="16" t="s">
        <v>214</v>
      </c>
      <c r="F508" s="16" t="s">
        <v>186</v>
      </c>
      <c r="G508" s="16" t="s">
        <v>220</v>
      </c>
      <c r="H508" s="16" t="s">
        <v>220</v>
      </c>
    </row>
    <row r="509" ht="20.25" customHeight="1">
      <c r="A509" s="32" t="str">
        <f>IMAGE("https://gymvisual.com/22532-catalog_default/barbell-pause-bench-press.jpg",4,500,500)</f>
        <v/>
      </c>
      <c r="B509" s="30">
        <v>508.0</v>
      </c>
      <c r="C509" s="16" t="s">
        <v>941</v>
      </c>
      <c r="D509" s="16" t="s">
        <v>184</v>
      </c>
      <c r="E509" s="16" t="s">
        <v>234</v>
      </c>
      <c r="F509" s="16" t="s">
        <v>186</v>
      </c>
      <c r="G509" s="16" t="s">
        <v>347</v>
      </c>
      <c r="H509" s="16" t="s">
        <v>382</v>
      </c>
    </row>
    <row r="510" ht="20.25" customHeight="1">
      <c r="A510" s="32" t="str">
        <f>IMAGE("https://gymvisual.com/25122-catalog_default/barbell-pause-deadlift.jpg",4,500,500)</f>
        <v/>
      </c>
      <c r="B510" s="30">
        <v>509.0</v>
      </c>
      <c r="C510" s="16" t="s">
        <v>942</v>
      </c>
      <c r="D510" s="16" t="s">
        <v>184</v>
      </c>
      <c r="E510" s="16" t="s">
        <v>185</v>
      </c>
      <c r="F510" s="16" t="s">
        <v>186</v>
      </c>
      <c r="G510" s="16" t="s">
        <v>220</v>
      </c>
      <c r="H510" s="16" t="s">
        <v>220</v>
      </c>
    </row>
    <row r="511" ht="20.25" customHeight="1">
      <c r="A511" s="32" t="str">
        <f>IMAGE("https://gymvisual.com/22528-catalog_default/barbell-pause-decline-bench-press.jpg",4,500,500)</f>
        <v/>
      </c>
      <c r="B511" s="30">
        <v>510.0</v>
      </c>
      <c r="C511" s="16" t="s">
        <v>943</v>
      </c>
      <c r="D511" s="16" t="s">
        <v>184</v>
      </c>
      <c r="E511" s="16" t="s">
        <v>234</v>
      </c>
      <c r="F511" s="16" t="s">
        <v>186</v>
      </c>
      <c r="G511" s="16" t="s">
        <v>347</v>
      </c>
      <c r="H511" s="16" t="s">
        <v>382</v>
      </c>
    </row>
    <row r="512" ht="20.25" customHeight="1">
      <c r="A512" s="32" t="str">
        <f>IMAGE("https://gymvisual.com/22530-catalog_default/barbell-pause-incline-bench-press.jpg",4,500,500)</f>
        <v/>
      </c>
      <c r="B512" s="30">
        <v>511.0</v>
      </c>
      <c r="C512" s="16" t="s">
        <v>944</v>
      </c>
      <c r="D512" s="16" t="s">
        <v>184</v>
      </c>
      <c r="E512" s="16" t="s">
        <v>234</v>
      </c>
      <c r="F512" s="16" t="s">
        <v>186</v>
      </c>
      <c r="G512" s="16" t="s">
        <v>415</v>
      </c>
      <c r="H512" s="16" t="s">
        <v>243</v>
      </c>
    </row>
    <row r="513" ht="20.25" customHeight="1">
      <c r="A513" s="32" t="str">
        <f>IMAGE("https://gymvisual.com/26078-catalog_default/barbell-paused-sumo-deadlift.jpg",4,500,500)</f>
        <v/>
      </c>
      <c r="B513" s="30">
        <v>512.0</v>
      </c>
      <c r="C513" s="16" t="s">
        <v>945</v>
      </c>
      <c r="D513" s="16" t="s">
        <v>184</v>
      </c>
      <c r="E513" s="16" t="s">
        <v>185</v>
      </c>
      <c r="F513" s="16" t="s">
        <v>186</v>
      </c>
      <c r="G513" s="16" t="s">
        <v>220</v>
      </c>
      <c r="H513" s="16" t="s">
        <v>220</v>
      </c>
    </row>
    <row r="514" ht="20.25" customHeight="1">
      <c r="A514" s="32" t="str">
        <f>IMAGE("https://gymvisual.com/12418-catalog_default/barbell-pendlay-row.jpg",4,500,500)</f>
        <v/>
      </c>
      <c r="B514" s="30">
        <v>513.0</v>
      </c>
      <c r="C514" s="16" t="s">
        <v>946</v>
      </c>
      <c r="D514" s="16" t="s">
        <v>184</v>
      </c>
      <c r="E514" s="16" t="s">
        <v>192</v>
      </c>
      <c r="F514" s="16" t="s">
        <v>186</v>
      </c>
      <c r="G514" s="16" t="s">
        <v>329</v>
      </c>
      <c r="H514" s="16" t="s">
        <v>447</v>
      </c>
    </row>
    <row r="515" ht="20.25" customHeight="1">
      <c r="A515" s="32" t="str">
        <f>IMAGE("https://gymvisual.com/24999-catalog_default/barbell-pin-chest-press.jpg",4,500,500)</f>
        <v/>
      </c>
      <c r="B515" s="30">
        <v>514.0</v>
      </c>
      <c r="C515" s="16" t="s">
        <v>947</v>
      </c>
      <c r="D515" s="16" t="s">
        <v>184</v>
      </c>
      <c r="E515" s="16" t="s">
        <v>234</v>
      </c>
      <c r="F515" s="16" t="s">
        <v>186</v>
      </c>
      <c r="G515" s="16" t="s">
        <v>220</v>
      </c>
      <c r="H515" s="16" t="s">
        <v>220</v>
      </c>
    </row>
    <row r="516" ht="20.25" customHeight="1">
      <c r="A516" s="32" t="str">
        <f>IMAGE("https://gymvisual.com/22397-catalog_default/barbell-pin-close-grip-bench-press.jpg",4,500,500)</f>
        <v/>
      </c>
      <c r="B516" s="30">
        <v>515.0</v>
      </c>
      <c r="C516" s="16" t="s">
        <v>948</v>
      </c>
      <c r="D516" s="16" t="s">
        <v>184</v>
      </c>
      <c r="E516" s="16" t="s">
        <v>219</v>
      </c>
      <c r="F516" s="16" t="s">
        <v>186</v>
      </c>
      <c r="G516" s="16" t="s">
        <v>220</v>
      </c>
      <c r="H516" s="16" t="s">
        <v>220</v>
      </c>
    </row>
    <row r="517" ht="20.25" customHeight="1">
      <c r="A517" s="32" t="str">
        <f>IMAGE("https://gymvisual.com/22381-catalog_default/barbell-pin-front-squat.jpg",4,500,500)</f>
        <v/>
      </c>
      <c r="B517" s="30">
        <v>516.0</v>
      </c>
      <c r="C517" s="16" t="s">
        <v>949</v>
      </c>
      <c r="D517" s="16" t="s">
        <v>184</v>
      </c>
      <c r="E517" s="16" t="s">
        <v>285</v>
      </c>
      <c r="F517" s="16" t="s">
        <v>186</v>
      </c>
      <c r="G517" s="16" t="s">
        <v>220</v>
      </c>
      <c r="H517" s="16" t="s">
        <v>220</v>
      </c>
    </row>
    <row r="518" ht="20.25" customHeight="1">
      <c r="A518" s="32" t="str">
        <f>IMAGE("https://gymvisual.com/22387-catalog_default/barbell-pin-good-morning.jpg",4,500,500)</f>
        <v/>
      </c>
      <c r="B518" s="30">
        <v>517.0</v>
      </c>
      <c r="C518" s="16" t="s">
        <v>950</v>
      </c>
      <c r="D518" s="16" t="s">
        <v>184</v>
      </c>
      <c r="E518" s="16" t="s">
        <v>285</v>
      </c>
      <c r="F518" s="16" t="s">
        <v>186</v>
      </c>
      <c r="G518" s="16" t="s">
        <v>220</v>
      </c>
      <c r="H518" s="16" t="s">
        <v>220</v>
      </c>
    </row>
    <row r="519" ht="20.25" customHeight="1">
      <c r="A519" s="32" t="str">
        <f>IMAGE("https://gymvisual.com/7470-catalog_default/barbell-pin-presses.jpg",4,500,500)</f>
        <v/>
      </c>
      <c r="B519" s="30">
        <v>518.0</v>
      </c>
      <c r="C519" s="16" t="s">
        <v>951</v>
      </c>
      <c r="D519" s="16" t="s">
        <v>184</v>
      </c>
      <c r="E519" s="16" t="s">
        <v>219</v>
      </c>
      <c r="F519" s="16" t="s">
        <v>186</v>
      </c>
      <c r="G519" s="16" t="s">
        <v>220</v>
      </c>
      <c r="H519" s="16" t="s">
        <v>220</v>
      </c>
    </row>
    <row r="520" ht="20.25" customHeight="1">
      <c r="A520" s="32" t="str">
        <f>IMAGE("https://gymvisual.com/25123-catalog_default/barbell-pin-squat.jpg",4,500,500)</f>
        <v/>
      </c>
      <c r="B520" s="30">
        <v>519.0</v>
      </c>
      <c r="C520" s="16" t="s">
        <v>952</v>
      </c>
      <c r="D520" s="16" t="s">
        <v>184</v>
      </c>
      <c r="E520" s="16" t="s">
        <v>285</v>
      </c>
      <c r="F520" s="16" t="s">
        <v>186</v>
      </c>
      <c r="G520" s="16" t="s">
        <v>220</v>
      </c>
      <c r="H520" s="16" t="s">
        <v>220</v>
      </c>
    </row>
    <row r="521" ht="20.25" customHeight="1">
      <c r="A521" s="32" t="str">
        <f>IMAGE("https://gymvisual.com/6776-catalog_default/barbell-power-clean-from-blocks.jpg",4,500,500)</f>
        <v/>
      </c>
      <c r="B521" s="30">
        <v>520.0</v>
      </c>
      <c r="C521" s="16" t="s">
        <v>953</v>
      </c>
      <c r="D521" s="16" t="s">
        <v>184</v>
      </c>
      <c r="E521" s="16" t="s">
        <v>764</v>
      </c>
      <c r="F521" s="16" t="s">
        <v>186</v>
      </c>
      <c r="G521" s="16" t="s">
        <v>954</v>
      </c>
      <c r="H521" s="16" t="s">
        <v>220</v>
      </c>
    </row>
    <row r="522" ht="20.25" customHeight="1">
      <c r="A522" s="32" t="str">
        <f>IMAGE("https://gymvisual.com/6777-catalog_default/barbell-power-jerk.jpg",4,500,500)</f>
        <v/>
      </c>
      <c r="B522" s="30">
        <v>521.0</v>
      </c>
      <c r="C522" s="16" t="s">
        <v>955</v>
      </c>
      <c r="D522" s="16" t="s">
        <v>184</v>
      </c>
      <c r="E522" s="16" t="s">
        <v>764</v>
      </c>
      <c r="F522" s="16" t="s">
        <v>186</v>
      </c>
      <c r="G522" s="16" t="s">
        <v>956</v>
      </c>
      <c r="H522" s="16" t="s">
        <v>220</v>
      </c>
    </row>
    <row r="523" ht="20.25" customHeight="1">
      <c r="A523" s="32" t="str">
        <f>IMAGE("https://gymvisual.com/11200-catalog_default/barbell-power-jerk-female.jpg",4,500,500)</f>
        <v/>
      </c>
      <c r="B523" s="30">
        <v>522.0</v>
      </c>
      <c r="C523" s="16" t="s">
        <v>957</v>
      </c>
      <c r="D523" s="16" t="s">
        <v>184</v>
      </c>
      <c r="E523" s="16" t="s">
        <v>691</v>
      </c>
      <c r="F523" s="16" t="s">
        <v>186</v>
      </c>
      <c r="G523" s="16" t="s">
        <v>220</v>
      </c>
      <c r="H523" s="16" t="s">
        <v>220</v>
      </c>
    </row>
    <row r="524" ht="20.25" customHeight="1">
      <c r="A524" s="32" t="str">
        <f>IMAGE("https://gymvisual.com/25003-catalog_default/barbell-power-shrug.jpg",4,500,500)</f>
        <v/>
      </c>
      <c r="B524" s="30">
        <v>523.0</v>
      </c>
      <c r="C524" s="16" t="s">
        <v>958</v>
      </c>
      <c r="D524" s="16" t="s">
        <v>184</v>
      </c>
      <c r="E524" s="16" t="s">
        <v>192</v>
      </c>
      <c r="F524" s="16" t="s">
        <v>186</v>
      </c>
      <c r="G524" s="16" t="s">
        <v>220</v>
      </c>
      <c r="H524" s="16" t="s">
        <v>220</v>
      </c>
    </row>
    <row r="525" ht="20.25" customHeight="1">
      <c r="A525" s="32" t="str">
        <f>IMAGE("https://gymvisual.com/20434-catalog_default/barbell-power-snatch.jpg",4,500,500)</f>
        <v/>
      </c>
      <c r="B525" s="30">
        <v>524.0</v>
      </c>
      <c r="C525" s="16" t="s">
        <v>959</v>
      </c>
      <c r="D525" s="16" t="s">
        <v>184</v>
      </c>
      <c r="E525" s="16" t="s">
        <v>764</v>
      </c>
      <c r="F525" s="16" t="s">
        <v>186</v>
      </c>
      <c r="G525" s="16" t="s">
        <v>954</v>
      </c>
      <c r="H525" s="16" t="s">
        <v>220</v>
      </c>
    </row>
    <row r="526" ht="20.25" customHeight="1">
      <c r="A526" s="32" t="str">
        <f>IMAGE("https://gymvisual.com/6779-catalog_default/barbell-power-snatch-from-blocks.jpg",4,500,500)</f>
        <v/>
      </c>
      <c r="B526" s="30">
        <v>525.0</v>
      </c>
      <c r="C526" s="16" t="s">
        <v>960</v>
      </c>
      <c r="D526" s="16" t="s">
        <v>184</v>
      </c>
      <c r="E526" s="16" t="s">
        <v>764</v>
      </c>
      <c r="F526" s="16" t="s">
        <v>186</v>
      </c>
      <c r="G526" s="16" t="s">
        <v>961</v>
      </c>
      <c r="H526" s="16" t="s">
        <v>220</v>
      </c>
    </row>
    <row r="527" ht="20.25" customHeight="1">
      <c r="A527" s="32" t="str">
        <f>IMAGE("https://gymvisual.com/15632-catalog_default/barbell-preacher-curl.jpg",4,500,500)</f>
        <v/>
      </c>
      <c r="B527" s="30">
        <v>526.0</v>
      </c>
      <c r="C527" s="16" t="s">
        <v>962</v>
      </c>
      <c r="D527" s="16" t="s">
        <v>184</v>
      </c>
      <c r="E527" s="16" t="s">
        <v>219</v>
      </c>
      <c r="F527" s="16" t="s">
        <v>186</v>
      </c>
      <c r="G527" s="16" t="s">
        <v>232</v>
      </c>
      <c r="H527" s="16" t="s">
        <v>233</v>
      </c>
    </row>
    <row r="528" ht="20.25" customHeight="1">
      <c r="A528" s="32" t="str">
        <f>IMAGE("https://gymvisual.com/11062-catalog_default/barbell-preacher-curl-female.jpg",4,500,500)</f>
        <v/>
      </c>
      <c r="B528" s="30">
        <v>527.0</v>
      </c>
      <c r="C528" s="16" t="s">
        <v>963</v>
      </c>
      <c r="D528" s="16" t="s">
        <v>184</v>
      </c>
      <c r="E528" s="16" t="s">
        <v>219</v>
      </c>
      <c r="F528" s="16" t="s">
        <v>186</v>
      </c>
      <c r="G528" s="16" t="s">
        <v>232</v>
      </c>
      <c r="H528" s="16" t="s">
        <v>233</v>
      </c>
    </row>
    <row r="529" ht="20.25" customHeight="1">
      <c r="A529" s="32" t="str">
        <f>IMAGE("https://gymvisual.com/240-catalog_default/barbell-press-sit-up.jpg",4,500,500)</f>
        <v/>
      </c>
      <c r="B529" s="30">
        <v>528.0</v>
      </c>
      <c r="C529" s="16" t="s">
        <v>964</v>
      </c>
      <c r="D529" s="16" t="s">
        <v>184</v>
      </c>
      <c r="E529" s="16" t="s">
        <v>254</v>
      </c>
      <c r="F529" s="16" t="s">
        <v>186</v>
      </c>
      <c r="G529" s="16" t="s">
        <v>965</v>
      </c>
      <c r="H529" s="16" t="s">
        <v>966</v>
      </c>
    </row>
    <row r="530" ht="20.25" customHeight="1">
      <c r="A530" s="32" t="str">
        <f>IMAGE("https://gymvisual.com/243-catalog_default/barbell-prone-incline-curl.jpg",4,500,500)</f>
        <v/>
      </c>
      <c r="B530" s="30">
        <v>529.0</v>
      </c>
      <c r="C530" s="16" t="s">
        <v>967</v>
      </c>
      <c r="D530" s="16" t="s">
        <v>184</v>
      </c>
      <c r="E530" s="16" t="s">
        <v>219</v>
      </c>
      <c r="F530" s="16" t="s">
        <v>186</v>
      </c>
      <c r="G530" s="16" t="s">
        <v>232</v>
      </c>
      <c r="H530" s="16" t="s">
        <v>233</v>
      </c>
    </row>
    <row r="531" ht="20.25" customHeight="1">
      <c r="A531" s="32" t="str">
        <f>IMAGE("https://gymvisual.com/11089-catalog_default/barbell-prone-incline-curl-female.jpg",4,500,500)</f>
        <v/>
      </c>
      <c r="B531" s="30">
        <v>530.0</v>
      </c>
      <c r="C531" s="16" t="s">
        <v>968</v>
      </c>
      <c r="D531" s="16" t="s">
        <v>184</v>
      </c>
      <c r="E531" s="16" t="s">
        <v>219</v>
      </c>
      <c r="F531" s="16" t="s">
        <v>186</v>
      </c>
      <c r="G531" s="16" t="s">
        <v>241</v>
      </c>
      <c r="H531" s="16" t="s">
        <v>292</v>
      </c>
    </row>
    <row r="532" ht="20.25" customHeight="1">
      <c r="A532" s="32" t="str">
        <f>IMAGE("https://gymvisual.com/246-catalog_default/barbell-pullover.jpg",4,500,500)</f>
        <v/>
      </c>
      <c r="B532" s="30">
        <v>531.0</v>
      </c>
      <c r="C532" s="16" t="s">
        <v>969</v>
      </c>
      <c r="D532" s="16" t="s">
        <v>184</v>
      </c>
      <c r="E532" s="16" t="s">
        <v>192</v>
      </c>
      <c r="F532" s="16" t="s">
        <v>186</v>
      </c>
      <c r="G532" s="16" t="s">
        <v>300</v>
      </c>
      <c r="H532" s="16" t="s">
        <v>970</v>
      </c>
    </row>
    <row r="533" ht="20.25" customHeight="1">
      <c r="A533" s="32" t="str">
        <f>IMAGE("https://gymvisual.com/18750-catalog_default/barbell-pullover.jpg",4,500,500)</f>
        <v/>
      </c>
      <c r="B533" s="30">
        <v>532.0</v>
      </c>
      <c r="C533" s="16" t="s">
        <v>969</v>
      </c>
      <c r="D533" s="16" t="s">
        <v>184</v>
      </c>
      <c r="E533" s="16" t="s">
        <v>192</v>
      </c>
      <c r="F533" s="16" t="s">
        <v>186</v>
      </c>
      <c r="G533" s="16" t="s">
        <v>220</v>
      </c>
      <c r="H533" s="16" t="s">
        <v>220</v>
      </c>
    </row>
    <row r="534" ht="20.25" customHeight="1">
      <c r="A534" s="32" t="str">
        <f>IMAGE("https://gymvisual.com/23542-catalog_default/barbell-pullover-to-press.jpg",4,500,500)</f>
        <v/>
      </c>
      <c r="B534" s="30">
        <v>533.0</v>
      </c>
      <c r="C534" s="16" t="s">
        <v>971</v>
      </c>
      <c r="D534" s="16" t="s">
        <v>184</v>
      </c>
      <c r="E534" s="16" t="s">
        <v>192</v>
      </c>
      <c r="F534" s="16" t="s">
        <v>186</v>
      </c>
      <c r="G534" s="16" t="s">
        <v>300</v>
      </c>
      <c r="H534" s="16" t="s">
        <v>972</v>
      </c>
    </row>
    <row r="535" ht="20.25" customHeight="1">
      <c r="A535" s="32" t="str">
        <f>IMAGE("https://gymvisual.com/6762-catalog_default/barbell-quarter-squat.jpg",4,500,500)</f>
        <v/>
      </c>
      <c r="B535" s="30">
        <v>534.0</v>
      </c>
      <c r="C535" s="16" t="s">
        <v>973</v>
      </c>
      <c r="D535" s="16" t="s">
        <v>184</v>
      </c>
      <c r="E535" s="16" t="s">
        <v>285</v>
      </c>
      <c r="F535" s="16" t="s">
        <v>186</v>
      </c>
      <c r="G535" s="16" t="s">
        <v>189</v>
      </c>
      <c r="H535" s="16" t="s">
        <v>190</v>
      </c>
    </row>
    <row r="536" ht="20.25" customHeight="1">
      <c r="A536" s="32" t="str">
        <f>IMAGE("https://gymvisual.com/13132-catalog_default/barbell-rack-pull.jpg",4,500,500)</f>
        <v/>
      </c>
      <c r="B536" s="30">
        <v>535.0</v>
      </c>
      <c r="C536" s="16" t="s">
        <v>974</v>
      </c>
      <c r="D536" s="16" t="s">
        <v>184</v>
      </c>
      <c r="E536" s="16" t="s">
        <v>185</v>
      </c>
      <c r="F536" s="16" t="s">
        <v>186</v>
      </c>
      <c r="G536" s="16" t="s">
        <v>267</v>
      </c>
      <c r="H536" s="16" t="s">
        <v>975</v>
      </c>
    </row>
    <row r="537" ht="20.25" customHeight="1">
      <c r="A537" s="32" t="str">
        <f>IMAGE("https://gymvisual.com/252-catalog_default/barbell-rear-delt-raise.jpg",4,500,500)</f>
        <v/>
      </c>
      <c r="B537" s="30">
        <v>536.0</v>
      </c>
      <c r="C537" s="16" t="s">
        <v>976</v>
      </c>
      <c r="D537" s="16" t="s">
        <v>184</v>
      </c>
      <c r="E537" s="16" t="s">
        <v>228</v>
      </c>
      <c r="F537" s="16" t="s">
        <v>186</v>
      </c>
      <c r="G537" s="16" t="s">
        <v>408</v>
      </c>
      <c r="H537" s="16" t="s">
        <v>977</v>
      </c>
    </row>
    <row r="538" ht="20.25" customHeight="1">
      <c r="A538" s="32" t="str">
        <f>IMAGE("https://gymvisual.com/11441-catalog_default/barbell-rear-delt-raise-femaleshoulder.jpg",4,500,500)</f>
        <v/>
      </c>
      <c r="B538" s="30">
        <v>537.0</v>
      </c>
      <c r="C538" s="16" t="s">
        <v>978</v>
      </c>
      <c r="D538" s="16" t="s">
        <v>184</v>
      </c>
      <c r="E538" s="16" t="s">
        <v>228</v>
      </c>
      <c r="F538" s="16" t="s">
        <v>186</v>
      </c>
      <c r="G538" s="16" t="s">
        <v>408</v>
      </c>
      <c r="H538" s="16" t="s">
        <v>452</v>
      </c>
    </row>
    <row r="539" ht="20.25" customHeight="1">
      <c r="A539" s="32" t="str">
        <f>IMAGE("https://gymvisual.com/19315-catalog_default/barbell-rear-delt-row.jpg",4,500,500)</f>
        <v/>
      </c>
      <c r="B539" s="30">
        <v>538.0</v>
      </c>
      <c r="C539" s="16" t="s">
        <v>979</v>
      </c>
      <c r="D539" s="16" t="s">
        <v>184</v>
      </c>
      <c r="E539" s="16" t="s">
        <v>228</v>
      </c>
      <c r="F539" s="16" t="s">
        <v>186</v>
      </c>
      <c r="G539" s="16" t="s">
        <v>408</v>
      </c>
      <c r="H539" s="16" t="s">
        <v>980</v>
      </c>
    </row>
    <row r="540" ht="20.25" customHeight="1">
      <c r="A540" s="32" t="str">
        <f>IMAGE("https://gymvisual.com/261-catalog_default/barbell-rear-lunge.jpg",4,500,500)</f>
        <v/>
      </c>
      <c r="B540" s="30">
        <v>539.0</v>
      </c>
      <c r="C540" s="16" t="s">
        <v>97</v>
      </c>
      <c r="D540" s="16" t="s">
        <v>184</v>
      </c>
      <c r="E540" s="16" t="s">
        <v>285</v>
      </c>
      <c r="F540" s="16" t="s">
        <v>186</v>
      </c>
      <c r="G540" s="16" t="s">
        <v>189</v>
      </c>
      <c r="H540" s="16" t="s">
        <v>190</v>
      </c>
    </row>
    <row r="541" ht="20.25" customHeight="1">
      <c r="A541" s="32" t="str">
        <f>IMAGE("https://gymvisual.com/9592-catalog_default/barbell-rear-lunge-female.jpg",4,500,500)</f>
        <v/>
      </c>
      <c r="B541" s="30">
        <v>540.0</v>
      </c>
      <c r="C541" s="16" t="s">
        <v>981</v>
      </c>
      <c r="D541" s="16" t="s">
        <v>184</v>
      </c>
      <c r="E541" s="16" t="s">
        <v>294</v>
      </c>
      <c r="F541" s="16" t="s">
        <v>186</v>
      </c>
      <c r="G541" s="16" t="s">
        <v>189</v>
      </c>
      <c r="H541" s="16" t="s">
        <v>190</v>
      </c>
    </row>
    <row r="542" ht="20.25" customHeight="1">
      <c r="A542" s="32" t="str">
        <f>IMAGE("https://gymvisual.com/258-catalog_default/barbell-rear-lunge-version-2.jpg",4,500,500)</f>
        <v/>
      </c>
      <c r="B542" s="30">
        <v>541.0</v>
      </c>
      <c r="C542" s="16" t="s">
        <v>982</v>
      </c>
      <c r="D542" s="16" t="s">
        <v>184</v>
      </c>
      <c r="E542" s="16" t="s">
        <v>285</v>
      </c>
      <c r="F542" s="16" t="s">
        <v>186</v>
      </c>
      <c r="G542" s="16" t="s">
        <v>189</v>
      </c>
      <c r="H542" s="16" t="s">
        <v>190</v>
      </c>
    </row>
    <row r="543" ht="20.25" customHeight="1">
      <c r="A543" s="32" t="str">
        <f>IMAGE("https://gymvisual.com/17933-catalog_default/barbell-reeves-deadlift-male.jpg",4,500,500)</f>
        <v/>
      </c>
      <c r="B543" s="30">
        <v>542.0</v>
      </c>
      <c r="C543" s="16" t="s">
        <v>983</v>
      </c>
      <c r="D543" s="16" t="s">
        <v>184</v>
      </c>
      <c r="E543" s="16" t="s">
        <v>185</v>
      </c>
      <c r="F543" s="16" t="s">
        <v>186</v>
      </c>
      <c r="G543" s="16" t="s">
        <v>220</v>
      </c>
      <c r="H543" s="16" t="s">
        <v>220</v>
      </c>
    </row>
    <row r="544" ht="20.25" customHeight="1">
      <c r="A544" s="32" t="str">
        <f>IMAGE("https://gymvisual.com/19517-catalog_default/barbell-resistance-band-hip-thrust.jpg",4,500,500)</f>
        <v/>
      </c>
      <c r="B544" s="30">
        <v>543.0</v>
      </c>
      <c r="C544" s="16" t="s">
        <v>984</v>
      </c>
      <c r="D544" s="16" t="s">
        <v>184</v>
      </c>
      <c r="E544" s="16" t="s">
        <v>185</v>
      </c>
      <c r="F544" s="16" t="s">
        <v>186</v>
      </c>
      <c r="G544" s="16" t="s">
        <v>220</v>
      </c>
      <c r="H544" s="16" t="s">
        <v>220</v>
      </c>
    </row>
    <row r="545" ht="20.25" customHeight="1">
      <c r="A545" s="32" t="str">
        <f>IMAGE("https://gymvisual.com/264-catalog_default/barbell-revers-wrist-curl-version-2.jpg",4,500,500)</f>
        <v/>
      </c>
      <c r="B545" s="30">
        <v>544.0</v>
      </c>
      <c r="C545" s="16" t="s">
        <v>985</v>
      </c>
      <c r="D545" s="16" t="s">
        <v>184</v>
      </c>
      <c r="E545" s="16" t="s">
        <v>214</v>
      </c>
      <c r="F545" s="16" t="s">
        <v>186</v>
      </c>
      <c r="G545" s="16" t="s">
        <v>604</v>
      </c>
      <c r="H545" s="16" t="s">
        <v>220</v>
      </c>
    </row>
    <row r="546" ht="20.25" customHeight="1">
      <c r="A546" s="32" t="str">
        <f>IMAGE("https://gymvisual.com/11546-catalog_default/barbell-revers-wrist-curl-version-2-female.jpg",4,500,500)</f>
        <v/>
      </c>
      <c r="B546" s="30">
        <v>545.0</v>
      </c>
      <c r="C546" s="16" t="s">
        <v>986</v>
      </c>
      <c r="D546" s="16" t="s">
        <v>184</v>
      </c>
      <c r="E546" s="16" t="s">
        <v>214</v>
      </c>
      <c r="F546" s="16" t="s">
        <v>186</v>
      </c>
      <c r="G546" s="16" t="s">
        <v>220</v>
      </c>
      <c r="H546" s="16" t="s">
        <v>220</v>
      </c>
    </row>
    <row r="547" ht="20.25" customHeight="1">
      <c r="A547" s="32" t="str">
        <f>IMAGE("https://gymvisual.com/6725-catalog_default/barbell-reverse-band-bench-press.jpg",4,500,500)</f>
        <v/>
      </c>
      <c r="B547" s="30">
        <v>546.0</v>
      </c>
      <c r="C547" s="16" t="s">
        <v>987</v>
      </c>
      <c r="D547" s="16" t="s">
        <v>184</v>
      </c>
      <c r="E547" s="16" t="s">
        <v>219</v>
      </c>
      <c r="F547" s="16" t="s">
        <v>291</v>
      </c>
      <c r="G547" s="16" t="s">
        <v>223</v>
      </c>
      <c r="H547" s="16" t="s">
        <v>472</v>
      </c>
    </row>
    <row r="548" ht="20.25" customHeight="1">
      <c r="A548" s="32" t="str">
        <f>IMAGE("https://gymvisual.com/8824-catalog_default/barbell-reverse-close-grip-bench-press.jpg",4,500,500)</f>
        <v/>
      </c>
      <c r="B548" s="30">
        <v>547.0</v>
      </c>
      <c r="C548" s="16" t="s">
        <v>988</v>
      </c>
      <c r="D548" s="16" t="s">
        <v>184</v>
      </c>
      <c r="E548" s="16" t="s">
        <v>219</v>
      </c>
      <c r="F548" s="16" t="s">
        <v>186</v>
      </c>
      <c r="G548" s="16" t="s">
        <v>223</v>
      </c>
      <c r="H548" s="16" t="s">
        <v>472</v>
      </c>
    </row>
    <row r="549" ht="20.25" customHeight="1">
      <c r="A549" s="32" t="str">
        <f>IMAGE("https://gymvisual.com/24756-catalog_default/barbell-reverse-curl.jpg",4,500,500)</f>
        <v/>
      </c>
      <c r="B549" s="30">
        <v>548.0</v>
      </c>
      <c r="C549" s="16" t="s">
        <v>989</v>
      </c>
      <c r="D549" s="16" t="s">
        <v>184</v>
      </c>
      <c r="E549" s="16" t="s">
        <v>214</v>
      </c>
      <c r="F549" s="16" t="s">
        <v>186</v>
      </c>
      <c r="G549" s="16" t="s">
        <v>216</v>
      </c>
      <c r="H549" s="16" t="s">
        <v>217</v>
      </c>
    </row>
    <row r="550" ht="20.25" customHeight="1">
      <c r="A550" s="32" t="str">
        <f>IMAGE("https://gymvisual.com/11008-catalog_default/barbell-reverse-curl-female.jpg",4,500,500)</f>
        <v/>
      </c>
      <c r="B550" s="30">
        <v>549.0</v>
      </c>
      <c r="C550" s="16" t="s">
        <v>990</v>
      </c>
      <c r="D550" s="16" t="s">
        <v>184</v>
      </c>
      <c r="E550" s="16" t="s">
        <v>214</v>
      </c>
      <c r="F550" s="16" t="s">
        <v>186</v>
      </c>
      <c r="G550" s="16" t="s">
        <v>216</v>
      </c>
      <c r="H550" s="16" t="s">
        <v>217</v>
      </c>
    </row>
    <row r="551" ht="20.25" customHeight="1">
      <c r="A551" s="32" t="str">
        <f>IMAGE("https://gymvisual.com/23891-catalog_default/barbell-reverse-grip-bench-press.jpg",4,500,500)</f>
        <v/>
      </c>
      <c r="B551" s="30">
        <v>550.0</v>
      </c>
      <c r="C551" s="16" t="s">
        <v>991</v>
      </c>
      <c r="D551" s="16" t="s">
        <v>184</v>
      </c>
      <c r="E551" s="16" t="s">
        <v>234</v>
      </c>
      <c r="F551" s="16" t="s">
        <v>186</v>
      </c>
      <c r="G551" s="16" t="s">
        <v>347</v>
      </c>
      <c r="H551" s="16" t="s">
        <v>382</v>
      </c>
    </row>
    <row r="552" ht="20.25" customHeight="1">
      <c r="A552" s="32" t="str">
        <f>IMAGE("https://gymvisual.com/10575-catalog_default/barbell-reverse-grip-bent-over-row.jpg",4,500,500)</f>
        <v/>
      </c>
      <c r="B552" s="30">
        <v>551.0</v>
      </c>
      <c r="C552" s="16" t="s">
        <v>992</v>
      </c>
      <c r="D552" s="16" t="s">
        <v>184</v>
      </c>
      <c r="E552" s="16" t="s">
        <v>192</v>
      </c>
      <c r="F552" s="16" t="s">
        <v>186</v>
      </c>
      <c r="G552" s="16" t="s">
        <v>329</v>
      </c>
      <c r="H552" s="16" t="s">
        <v>330</v>
      </c>
    </row>
    <row r="553" ht="20.25" customHeight="1">
      <c r="A553" s="32" t="str">
        <f>IMAGE("https://gymvisual.com/19369-catalog_default/barbell-reverse-grip-bent-over-row-female.jpg",4,500,500)</f>
        <v/>
      </c>
      <c r="B553" s="30">
        <v>552.0</v>
      </c>
      <c r="C553" s="16" t="s">
        <v>993</v>
      </c>
      <c r="D553" s="16" t="s">
        <v>184</v>
      </c>
      <c r="E553" s="16" t="s">
        <v>192</v>
      </c>
      <c r="F553" s="16" t="s">
        <v>186</v>
      </c>
      <c r="G553" s="16" t="s">
        <v>329</v>
      </c>
      <c r="H553" s="16" t="s">
        <v>457</v>
      </c>
    </row>
    <row r="554" ht="20.25" customHeight="1">
      <c r="A554" s="32" t="str">
        <f>IMAGE("https://gymvisual.com/5945-catalog_default/barbell-reverse-grip-decline-bench-press.jpg",4,500,500)</f>
        <v/>
      </c>
      <c r="B554" s="30">
        <v>553.0</v>
      </c>
      <c r="C554" s="16" t="s">
        <v>823</v>
      </c>
      <c r="D554" s="16" t="s">
        <v>184</v>
      </c>
      <c r="E554" s="16" t="s">
        <v>234</v>
      </c>
      <c r="F554" s="16" t="s">
        <v>186</v>
      </c>
      <c r="G554" s="16" t="s">
        <v>347</v>
      </c>
      <c r="H554" s="16" t="s">
        <v>382</v>
      </c>
    </row>
    <row r="555" ht="20.25" customHeight="1">
      <c r="A555" s="32" t="str">
        <f>IMAGE("https://gymvisual.com/5946-catalog_default/barbell-reverse-grip-incline-bench-press.jpg",4,500,500)</f>
        <v/>
      </c>
      <c r="B555" s="30">
        <v>554.0</v>
      </c>
      <c r="C555" s="16" t="s">
        <v>823</v>
      </c>
      <c r="D555" s="16" t="s">
        <v>184</v>
      </c>
      <c r="E555" s="16" t="s">
        <v>234</v>
      </c>
      <c r="F555" s="16" t="s">
        <v>186</v>
      </c>
      <c r="G555" s="16" t="s">
        <v>415</v>
      </c>
      <c r="H555" s="16" t="s">
        <v>243</v>
      </c>
    </row>
    <row r="556" ht="20.25" customHeight="1">
      <c r="A556" s="32" t="str">
        <f>IMAGE("https://gymvisual.com/6008-catalog_default/barbell-reverse-grip-incline-bench-row.jpg",4,500,500)</f>
        <v/>
      </c>
      <c r="B556" s="30">
        <v>555.0</v>
      </c>
      <c r="C556" s="16" t="s">
        <v>994</v>
      </c>
      <c r="D556" s="16" t="s">
        <v>184</v>
      </c>
      <c r="E556" s="16" t="s">
        <v>192</v>
      </c>
      <c r="F556" s="16" t="s">
        <v>186</v>
      </c>
      <c r="G556" s="16" t="s">
        <v>329</v>
      </c>
      <c r="H556" s="16" t="s">
        <v>447</v>
      </c>
    </row>
    <row r="557" ht="20.25" customHeight="1">
      <c r="A557" s="32" t="str">
        <f>IMAGE("https://gymvisual.com/11098-catalog_default/barbell-reverse-grip-incline-row-female.jpg",4,500,500)</f>
        <v/>
      </c>
      <c r="B557" s="30">
        <v>556.0</v>
      </c>
      <c r="C557" s="16" t="s">
        <v>995</v>
      </c>
      <c r="D557" s="16" t="s">
        <v>184</v>
      </c>
      <c r="E557" s="16" t="s">
        <v>192</v>
      </c>
      <c r="F557" s="16" t="s">
        <v>186</v>
      </c>
      <c r="G557" s="16" t="s">
        <v>220</v>
      </c>
      <c r="H557" s="16" t="s">
        <v>220</v>
      </c>
    </row>
    <row r="558" ht="20.25" customHeight="1">
      <c r="A558" s="32" t="str">
        <f>IMAGE("https://gymvisual.com/7440-catalog_default/barbell-reverse-grip-skullcrusher.jpg",4,500,500)</f>
        <v/>
      </c>
      <c r="B558" s="30">
        <v>557.0</v>
      </c>
      <c r="C558" s="16" t="s">
        <v>996</v>
      </c>
      <c r="D558" s="16" t="s">
        <v>184</v>
      </c>
      <c r="E558" s="16" t="s">
        <v>219</v>
      </c>
      <c r="F558" s="16" t="s">
        <v>186</v>
      </c>
      <c r="G558" s="16" t="s">
        <v>220</v>
      </c>
      <c r="H558" s="16" t="s">
        <v>220</v>
      </c>
    </row>
    <row r="559" ht="20.25" customHeight="1">
      <c r="A559" s="32" t="str">
        <f>IMAGE("https://gymvisual.com/25851-catalog_default/barbell-reverse-preacher-curl.jpg",4,500,500)</f>
        <v/>
      </c>
      <c r="B559" s="30">
        <v>558.0</v>
      </c>
      <c r="C559" s="16" t="s">
        <v>997</v>
      </c>
      <c r="D559" s="16" t="s">
        <v>184</v>
      </c>
      <c r="E559" s="16" t="s">
        <v>214</v>
      </c>
      <c r="F559" s="16" t="s">
        <v>186</v>
      </c>
      <c r="G559" s="16" t="s">
        <v>216</v>
      </c>
      <c r="H559" s="16" t="s">
        <v>217</v>
      </c>
    </row>
    <row r="560" ht="20.25" customHeight="1">
      <c r="A560" s="32" t="str">
        <f>IMAGE("https://gymvisual.com/11095-catalog_default/barbell-reverse-preacher-curl-femaleforearm.jpg",4,500,500)</f>
        <v/>
      </c>
      <c r="B560" s="30">
        <v>559.0</v>
      </c>
      <c r="C560" s="16" t="s">
        <v>998</v>
      </c>
      <c r="D560" s="16" t="s">
        <v>184</v>
      </c>
      <c r="E560" s="16" t="s">
        <v>214</v>
      </c>
      <c r="F560" s="16" t="s">
        <v>186</v>
      </c>
      <c r="G560" s="16" t="s">
        <v>220</v>
      </c>
      <c r="H560" s="16" t="s">
        <v>220</v>
      </c>
    </row>
    <row r="561" ht="20.25" customHeight="1">
      <c r="A561" s="32" t="str">
        <f>IMAGE("https://gymvisual.com/273-catalog_default/barbell-reverse-wrist-curl.jpg",4,500,500)</f>
        <v/>
      </c>
      <c r="B561" s="30">
        <v>560.0</v>
      </c>
      <c r="C561" s="16" t="s">
        <v>125</v>
      </c>
      <c r="D561" s="16" t="s">
        <v>184</v>
      </c>
      <c r="E561" s="16" t="s">
        <v>214</v>
      </c>
      <c r="F561" s="16" t="s">
        <v>186</v>
      </c>
      <c r="G561" s="16" t="s">
        <v>604</v>
      </c>
      <c r="H561" s="16" t="s">
        <v>220</v>
      </c>
    </row>
    <row r="562" ht="20.25" customHeight="1">
      <c r="A562" s="32" t="str">
        <f>IMAGE("https://gymvisual.com/13327-catalog_default/barbell-reverse-wrist-curl-female.jpg",4,500,500)</f>
        <v/>
      </c>
      <c r="B562" s="30">
        <v>561.0</v>
      </c>
      <c r="C562" s="16" t="s">
        <v>999</v>
      </c>
      <c r="D562" s="16" t="s">
        <v>184</v>
      </c>
      <c r="E562" s="16" t="s">
        <v>214</v>
      </c>
      <c r="F562" s="16" t="s">
        <v>186</v>
      </c>
      <c r="G562" s="16" t="s">
        <v>604</v>
      </c>
      <c r="H562" s="16" t="s">
        <v>220</v>
      </c>
    </row>
    <row r="563" ht="20.25" customHeight="1">
      <c r="A563" s="32" t="str">
        <f>IMAGE("https://gymvisual.com/17181-catalog_default/barbell-reverse-grip-floor-press.jpg",4,500,500)</f>
        <v/>
      </c>
      <c r="B563" s="30">
        <v>562.0</v>
      </c>
      <c r="C563" s="16" t="s">
        <v>1000</v>
      </c>
      <c r="D563" s="16" t="s">
        <v>184</v>
      </c>
      <c r="E563" s="16" t="s">
        <v>219</v>
      </c>
      <c r="F563" s="16" t="s">
        <v>186</v>
      </c>
      <c r="G563" s="16" t="s">
        <v>223</v>
      </c>
      <c r="H563" s="16" t="s">
        <v>472</v>
      </c>
    </row>
    <row r="564" ht="20.25" customHeight="1">
      <c r="A564" s="32" t="str">
        <f>IMAGE("https://gymvisual.com/279-catalog_default/barbell-rollout.jpg",4,500,500)</f>
        <v/>
      </c>
      <c r="B564" s="30">
        <v>563.0</v>
      </c>
      <c r="C564" s="16" t="s">
        <v>1001</v>
      </c>
      <c r="D564" s="16" t="s">
        <v>184</v>
      </c>
      <c r="E564" s="16" t="s">
        <v>185</v>
      </c>
      <c r="F564" s="16" t="s">
        <v>186</v>
      </c>
      <c r="G564" s="16" t="s">
        <v>305</v>
      </c>
      <c r="H564" s="16" t="s">
        <v>1002</v>
      </c>
    </row>
    <row r="565" ht="20.25" customHeight="1">
      <c r="A565" s="32" t="str">
        <f>IMAGE("https://gymvisual.com/11594-catalog_default/barbell-rollout-female.jpg",4,500,500)</f>
        <v/>
      </c>
      <c r="B565" s="30">
        <v>564.0</v>
      </c>
      <c r="C565" s="16" t="s">
        <v>1003</v>
      </c>
      <c r="D565" s="16" t="s">
        <v>184</v>
      </c>
      <c r="E565" s="16" t="s">
        <v>254</v>
      </c>
      <c r="F565" s="16" t="s">
        <v>186</v>
      </c>
      <c r="G565" s="16" t="s">
        <v>220</v>
      </c>
      <c r="H565" s="16" t="s">
        <v>220</v>
      </c>
    </row>
    <row r="566" ht="20.25" customHeight="1">
      <c r="A566" s="32" t="str">
        <f>IMAGE("https://gymvisual.com/276-catalog_default/barbell-rollout-from-bench.jpg",4,500,500)</f>
        <v/>
      </c>
      <c r="B566" s="30">
        <v>565.0</v>
      </c>
      <c r="C566" s="16" t="s">
        <v>1004</v>
      </c>
      <c r="D566" s="16" t="s">
        <v>184</v>
      </c>
      <c r="E566" s="16" t="s">
        <v>254</v>
      </c>
      <c r="F566" s="16" t="s">
        <v>186</v>
      </c>
      <c r="G566" s="16" t="s">
        <v>305</v>
      </c>
      <c r="H566" s="16" t="s">
        <v>1005</v>
      </c>
    </row>
    <row r="567" ht="20.25" customHeight="1">
      <c r="A567" s="32" t="str">
        <f>IMAGE("https://gymvisual.com/2574-catalog_default/barbell-romanian-deadlift.jpg",4,500,500)</f>
        <v/>
      </c>
      <c r="B567" s="30">
        <v>566.0</v>
      </c>
      <c r="C567" s="16" t="s">
        <v>1006</v>
      </c>
      <c r="D567" s="16" t="s">
        <v>184</v>
      </c>
      <c r="E567" s="16" t="s">
        <v>185</v>
      </c>
      <c r="F567" s="16" t="s">
        <v>186</v>
      </c>
      <c r="G567" s="16" t="s">
        <v>267</v>
      </c>
      <c r="H567" s="16" t="s">
        <v>975</v>
      </c>
    </row>
    <row r="568" ht="20.25" customHeight="1">
      <c r="A568" s="32" t="str">
        <f>IMAGE("https://gymvisual.com/13267-catalog_default/barbell-romanian-deadlift-female.jpg",4,500,500)</f>
        <v/>
      </c>
      <c r="B568" s="30">
        <v>567.0</v>
      </c>
      <c r="C568" s="16" t="s">
        <v>1007</v>
      </c>
      <c r="D568" s="16" t="s">
        <v>184</v>
      </c>
      <c r="E568" s="16" t="s">
        <v>294</v>
      </c>
      <c r="F568" s="16" t="s">
        <v>186</v>
      </c>
      <c r="G568" s="16" t="s">
        <v>267</v>
      </c>
      <c r="H568" s="16" t="s">
        <v>975</v>
      </c>
    </row>
    <row r="569" ht="20.25" customHeight="1">
      <c r="A569" s="32" t="str">
        <f>IMAGE("https://gymvisual.com/6780-catalog_default/barbell-romanian-deadlift-from-deficit.jpg",4,500,500)</f>
        <v/>
      </c>
      <c r="B569" s="30">
        <v>568.0</v>
      </c>
      <c r="C569" s="16" t="s">
        <v>1008</v>
      </c>
      <c r="D569" s="16" t="s">
        <v>184</v>
      </c>
      <c r="E569" s="16" t="s">
        <v>185</v>
      </c>
      <c r="F569" s="16" t="s">
        <v>186</v>
      </c>
      <c r="G569" s="16" t="s">
        <v>220</v>
      </c>
      <c r="H569" s="16" t="s">
        <v>220</v>
      </c>
    </row>
    <row r="570" ht="20.25" customHeight="1">
      <c r="A570" s="32" t="str">
        <f>IMAGE("https://gymvisual.com/285-catalog_default/barbell-seated-behind-head-military-press.jpg",4,500,500)</f>
        <v/>
      </c>
      <c r="B570" s="30">
        <v>569.0</v>
      </c>
      <c r="C570" s="16" t="s">
        <v>1009</v>
      </c>
      <c r="D570" s="16" t="s">
        <v>184</v>
      </c>
      <c r="E570" s="16" t="s">
        <v>228</v>
      </c>
      <c r="F570" s="16" t="s">
        <v>186</v>
      </c>
      <c r="G570" s="16" t="s">
        <v>229</v>
      </c>
      <c r="H570" s="16" t="s">
        <v>230</v>
      </c>
    </row>
    <row r="571" ht="20.25" customHeight="1">
      <c r="A571" s="32" t="str">
        <f>IMAGE("https://gymvisual.com/11357-catalog_default/barbell-seated-behind-head-military-press-female.jpg",4,500,500)</f>
        <v/>
      </c>
      <c r="B571" s="30">
        <v>570.0</v>
      </c>
      <c r="C571" s="16" t="s">
        <v>1010</v>
      </c>
      <c r="D571" s="16" t="s">
        <v>184</v>
      </c>
      <c r="E571" s="16" t="s">
        <v>228</v>
      </c>
      <c r="F571" s="16" t="s">
        <v>186</v>
      </c>
      <c r="G571" s="16" t="s">
        <v>229</v>
      </c>
      <c r="H571" s="16" t="s">
        <v>230</v>
      </c>
    </row>
    <row r="572" ht="20.25" customHeight="1">
      <c r="A572" s="32" t="str">
        <f>IMAGE("https://gymvisual.com/288-catalog_default/barbell-seated-bradford-rocky-press.jpg",4,500,500)</f>
        <v/>
      </c>
      <c r="B572" s="30">
        <v>571.0</v>
      </c>
      <c r="C572" s="16" t="s">
        <v>1011</v>
      </c>
      <c r="D572" s="16" t="s">
        <v>184</v>
      </c>
      <c r="E572" s="16" t="s">
        <v>228</v>
      </c>
      <c r="F572" s="16" t="s">
        <v>186</v>
      </c>
      <c r="G572" s="16" t="s">
        <v>229</v>
      </c>
      <c r="H572" s="16" t="s">
        <v>230</v>
      </c>
    </row>
    <row r="573" ht="20.25" customHeight="1">
      <c r="A573" s="32" t="str">
        <f>IMAGE("https://gymvisual.com/290-catalog_default/barbell-seated-calf-raise.jpg",4,500,500)</f>
        <v/>
      </c>
      <c r="B573" s="30">
        <v>572.0</v>
      </c>
      <c r="C573" s="16" t="s">
        <v>1012</v>
      </c>
      <c r="D573" s="16" t="s">
        <v>184</v>
      </c>
      <c r="E573" s="16" t="s">
        <v>325</v>
      </c>
      <c r="F573" s="16" t="s">
        <v>186</v>
      </c>
      <c r="G573" s="16" t="s">
        <v>368</v>
      </c>
      <c r="H573" s="16" t="s">
        <v>463</v>
      </c>
    </row>
    <row r="574" ht="20.25" customHeight="1">
      <c r="A574" s="32" t="str">
        <f>IMAGE("https://gymvisual.com/6066-catalog_default/barbell-seated-calf-raise.jpg",4,500,500)</f>
        <v/>
      </c>
      <c r="B574" s="30">
        <v>573.0</v>
      </c>
      <c r="C574" s="16" t="s">
        <v>1012</v>
      </c>
      <c r="D574" s="16" t="s">
        <v>184</v>
      </c>
      <c r="E574" s="16" t="s">
        <v>325</v>
      </c>
      <c r="F574" s="16" t="s">
        <v>186</v>
      </c>
      <c r="G574" s="16" t="s">
        <v>368</v>
      </c>
      <c r="H574" s="16" t="s">
        <v>463</v>
      </c>
    </row>
    <row r="575" ht="20.25" customHeight="1">
      <c r="A575" s="32" t="str">
        <f>IMAGE("https://gymvisual.com/11525-catalog_default/barbell-seated-calf-raise-female.jpg",4,500,500)</f>
        <v/>
      </c>
      <c r="B575" s="30">
        <v>574.0</v>
      </c>
      <c r="C575" s="16" t="s">
        <v>1013</v>
      </c>
      <c r="D575" s="16" t="s">
        <v>184</v>
      </c>
      <c r="E575" s="16" t="s">
        <v>325</v>
      </c>
      <c r="F575" s="16" t="s">
        <v>186</v>
      </c>
      <c r="G575" s="16" t="s">
        <v>220</v>
      </c>
      <c r="H575" s="16" t="s">
        <v>220</v>
      </c>
    </row>
    <row r="576" ht="20.25" customHeight="1">
      <c r="A576" s="32" t="str">
        <f>IMAGE("https://gymvisual.com/7436-catalog_default/barbell-seated-close-grip-behind-neck-triceps-extension.jpg",4,500,500)</f>
        <v/>
      </c>
      <c r="B576" s="30">
        <v>575.0</v>
      </c>
      <c r="C576" s="16" t="s">
        <v>1014</v>
      </c>
      <c r="D576" s="16" t="s">
        <v>184</v>
      </c>
      <c r="E576" s="16" t="s">
        <v>219</v>
      </c>
      <c r="F576" s="16" t="s">
        <v>186</v>
      </c>
      <c r="G576" s="16" t="s">
        <v>220</v>
      </c>
      <c r="H576" s="16" t="s">
        <v>220</v>
      </c>
    </row>
    <row r="577" ht="20.25" customHeight="1">
      <c r="A577" s="32" t="str">
        <f>IMAGE("https://gymvisual.com/7158-catalog_default/barbell-seated-close-grip-concentration-curl.jpg",4,500,500)</f>
        <v/>
      </c>
      <c r="B577" s="30">
        <v>576.0</v>
      </c>
      <c r="C577" s="16" t="s">
        <v>1015</v>
      </c>
      <c r="D577" s="16" t="s">
        <v>184</v>
      </c>
      <c r="E577" s="16" t="s">
        <v>219</v>
      </c>
      <c r="F577" s="16" t="s">
        <v>186</v>
      </c>
      <c r="G577" s="16" t="s">
        <v>232</v>
      </c>
      <c r="H577" s="16" t="s">
        <v>233</v>
      </c>
    </row>
    <row r="578" ht="20.25" customHeight="1">
      <c r="A578" s="32" t="str">
        <f>IMAGE("https://gymvisual.com/16384-catalog_default/barbell-seated-front-raise.jpg",4,500,500)</f>
        <v/>
      </c>
      <c r="B578" s="30">
        <v>577.0</v>
      </c>
      <c r="C578" s="16" t="s">
        <v>1016</v>
      </c>
      <c r="D578" s="16" t="s">
        <v>184</v>
      </c>
      <c r="E578" s="16" t="s">
        <v>228</v>
      </c>
      <c r="F578" s="16" t="s">
        <v>186</v>
      </c>
      <c r="G578" s="16" t="s">
        <v>229</v>
      </c>
      <c r="H578" s="16" t="s">
        <v>244</v>
      </c>
    </row>
    <row r="579" ht="20.25" customHeight="1">
      <c r="A579" s="32" t="str">
        <f>IMAGE("https://gymvisual.com/296-catalog_default/barbell-seated-good-morning.jpg",4,500,500)</f>
        <v/>
      </c>
      <c r="B579" s="30">
        <v>578.0</v>
      </c>
      <c r="C579" s="16" t="s">
        <v>1017</v>
      </c>
      <c r="D579" s="16" t="s">
        <v>184</v>
      </c>
      <c r="E579" s="16" t="s">
        <v>185</v>
      </c>
      <c r="F579" s="16" t="s">
        <v>186</v>
      </c>
      <c r="G579" s="16" t="s">
        <v>187</v>
      </c>
      <c r="H579" s="16" t="s">
        <v>188</v>
      </c>
    </row>
    <row r="580" ht="20.25" customHeight="1">
      <c r="A580" s="32" t="str">
        <f>IMAGE("https://gymvisual.com/11354-catalog_default/barbell-seated-good-morning-female.jpg",4,500,500)</f>
        <v/>
      </c>
      <c r="B580" s="30">
        <v>579.0</v>
      </c>
      <c r="C580" s="16" t="s">
        <v>1018</v>
      </c>
      <c r="D580" s="16" t="s">
        <v>184</v>
      </c>
      <c r="E580" s="16" t="s">
        <v>185</v>
      </c>
      <c r="F580" s="16" t="s">
        <v>186</v>
      </c>
      <c r="G580" s="16" t="s">
        <v>220</v>
      </c>
      <c r="H580" s="16" t="s">
        <v>220</v>
      </c>
    </row>
    <row r="581" ht="20.25" customHeight="1">
      <c r="A581" s="32" t="str">
        <f>IMAGE("https://gymvisual.com/19491-catalog_default/barbell-seated-high-front-raise.jpg",4,500,500)</f>
        <v/>
      </c>
      <c r="B581" s="30">
        <v>580.0</v>
      </c>
      <c r="C581" s="16" t="s">
        <v>1019</v>
      </c>
      <c r="D581" s="16" t="s">
        <v>184</v>
      </c>
      <c r="E581" s="16" t="s">
        <v>228</v>
      </c>
      <c r="F581" s="16" t="s">
        <v>186</v>
      </c>
      <c r="G581" s="16" t="s">
        <v>220</v>
      </c>
      <c r="H581" s="16" t="s">
        <v>220</v>
      </c>
    </row>
    <row r="582" ht="20.25" customHeight="1">
      <c r="A582" s="32" t="str">
        <f>IMAGE("https://gymvisual.com/2956-catalog_default/barbell-seated-military-press-inside-squat-cage.jpg",4,500,500)</f>
        <v/>
      </c>
      <c r="B582" s="30">
        <v>581.0</v>
      </c>
      <c r="C582" s="16" t="s">
        <v>1020</v>
      </c>
      <c r="D582" s="16" t="s">
        <v>184</v>
      </c>
      <c r="E582" s="16" t="s">
        <v>228</v>
      </c>
      <c r="F582" s="16" t="s">
        <v>186</v>
      </c>
      <c r="G582" s="16" t="s">
        <v>229</v>
      </c>
      <c r="H582" s="16" t="s">
        <v>626</v>
      </c>
    </row>
    <row r="583" ht="20.25" customHeight="1">
      <c r="A583" s="32" t="str">
        <f>IMAGE("https://gymvisual.com/299-catalog_default/barbell-seated-overhead-press.jpg",4,500,500)</f>
        <v/>
      </c>
      <c r="B583" s="30">
        <v>582.0</v>
      </c>
      <c r="C583" s="16" t="s">
        <v>1021</v>
      </c>
      <c r="D583" s="16" t="s">
        <v>184</v>
      </c>
      <c r="E583" s="16" t="s">
        <v>228</v>
      </c>
      <c r="F583" s="16" t="s">
        <v>186</v>
      </c>
      <c r="G583" s="16" t="s">
        <v>229</v>
      </c>
      <c r="H583" s="16" t="s">
        <v>230</v>
      </c>
    </row>
    <row r="584" ht="20.25" customHeight="1">
      <c r="A584" s="32" t="str">
        <f>IMAGE("https://gymvisual.com/11360-catalog_default/barbell-seated-overhead-press-female.jpg",4,500,500)</f>
        <v/>
      </c>
      <c r="B584" s="30">
        <v>583.0</v>
      </c>
      <c r="C584" s="16" t="s">
        <v>1022</v>
      </c>
      <c r="D584" s="16" t="s">
        <v>184</v>
      </c>
      <c r="E584" s="16" t="s">
        <v>228</v>
      </c>
      <c r="F584" s="16" t="s">
        <v>186</v>
      </c>
      <c r="G584" s="16" t="s">
        <v>229</v>
      </c>
      <c r="H584" s="16" t="s">
        <v>230</v>
      </c>
    </row>
    <row r="585" ht="20.25" customHeight="1">
      <c r="A585" s="32" t="str">
        <f>IMAGE("https://gymvisual.com/302-catalog_default/barbell-seated-overhead-triceps-extension.jpg",4,500,500)</f>
        <v/>
      </c>
      <c r="B585" s="30">
        <v>584.0</v>
      </c>
      <c r="C585" s="16" t="s">
        <v>1023</v>
      </c>
      <c r="D585" s="16" t="s">
        <v>184</v>
      </c>
      <c r="E585" s="16" t="s">
        <v>219</v>
      </c>
      <c r="F585" s="16" t="s">
        <v>186</v>
      </c>
      <c r="G585" s="16" t="s">
        <v>223</v>
      </c>
      <c r="H585" s="16" t="s">
        <v>220</v>
      </c>
    </row>
    <row r="586" ht="20.25" customHeight="1">
      <c r="A586" s="32" t="str">
        <f>IMAGE("https://gymvisual.com/11366-catalog_default/barbell-seated-overhead-triceps-extension-female.jpg",4,500,500)</f>
        <v/>
      </c>
      <c r="B586" s="30">
        <v>585.0</v>
      </c>
      <c r="C586" s="16" t="s">
        <v>1024</v>
      </c>
      <c r="D586" s="16" t="s">
        <v>184</v>
      </c>
      <c r="E586" s="16" t="s">
        <v>219</v>
      </c>
      <c r="F586" s="16" t="s">
        <v>186</v>
      </c>
      <c r="G586" s="16" t="s">
        <v>223</v>
      </c>
      <c r="H586" s="16" t="s">
        <v>220</v>
      </c>
    </row>
    <row r="587" ht="20.25" customHeight="1">
      <c r="A587" s="32" t="str">
        <f>IMAGE("https://gymvisual.com/17464-catalog_default/barbell-seated-shrug.jpg",4,500,500)</f>
        <v/>
      </c>
      <c r="B587" s="30">
        <v>586.0</v>
      </c>
      <c r="C587" s="16" t="s">
        <v>1025</v>
      </c>
      <c r="D587" s="16" t="s">
        <v>184</v>
      </c>
      <c r="E587" s="16" t="s">
        <v>192</v>
      </c>
      <c r="F587" s="16" t="s">
        <v>186</v>
      </c>
      <c r="G587" s="16" t="s">
        <v>238</v>
      </c>
      <c r="H587" s="16" t="s">
        <v>239</v>
      </c>
    </row>
    <row r="588" ht="20.25" customHeight="1">
      <c r="A588" s="32" t="str">
        <f>IMAGE("https://gymvisual.com/308-catalog_default/barbell-seated-twist.jpg",4,500,500)</f>
        <v/>
      </c>
      <c r="B588" s="30">
        <v>587.0</v>
      </c>
      <c r="C588" s="16" t="s">
        <v>1026</v>
      </c>
      <c r="D588" s="16" t="s">
        <v>184</v>
      </c>
      <c r="E588" s="16" t="s">
        <v>254</v>
      </c>
      <c r="F588" s="16" t="s">
        <v>186</v>
      </c>
      <c r="G588" s="16" t="s">
        <v>257</v>
      </c>
      <c r="H588" s="16" t="s">
        <v>271</v>
      </c>
    </row>
    <row r="589" ht="20.25" customHeight="1">
      <c r="A589" s="32" t="str">
        <f>IMAGE("https://gymvisual.com/305-catalog_default/barbell-seated-twist-on-stability-ball.jpg",4,500,500)</f>
        <v/>
      </c>
      <c r="B589" s="30">
        <v>588.0</v>
      </c>
      <c r="C589" s="16" t="s">
        <v>1027</v>
      </c>
      <c r="D589" s="16" t="s">
        <v>184</v>
      </c>
      <c r="E589" s="16" t="s">
        <v>254</v>
      </c>
      <c r="F589" s="16" t="s">
        <v>186</v>
      </c>
      <c r="G589" s="16" t="s">
        <v>257</v>
      </c>
      <c r="H589" s="16" t="s">
        <v>271</v>
      </c>
    </row>
    <row r="590" ht="20.25" customHeight="1">
      <c r="A590" s="32" t="str">
        <f>IMAGE("https://gymvisual.com/10255-catalog_default/barbell-shoulder-grip-upright-row-female.jpg",4,500,500)</f>
        <v/>
      </c>
      <c r="B590" s="30">
        <v>589.0</v>
      </c>
      <c r="C590" s="16" t="s">
        <v>1028</v>
      </c>
      <c r="D590" s="16" t="s">
        <v>184</v>
      </c>
      <c r="E590" s="16" t="s">
        <v>228</v>
      </c>
      <c r="F590" s="16" t="s">
        <v>186</v>
      </c>
      <c r="G590" s="16" t="s">
        <v>544</v>
      </c>
      <c r="H590" s="16" t="s">
        <v>713</v>
      </c>
    </row>
    <row r="591" ht="20.25" customHeight="1">
      <c r="A591" s="32" t="str">
        <f>IMAGE("https://gymvisual.com/24812-catalog_default/barbell-shoulder-grip-upright-row-male.jpg",4,500,500)</f>
        <v/>
      </c>
      <c r="B591" s="30">
        <v>590.0</v>
      </c>
      <c r="C591" s="16" t="s">
        <v>1029</v>
      </c>
      <c r="D591" s="16" t="s">
        <v>184</v>
      </c>
      <c r="E591" s="16" t="s">
        <v>228</v>
      </c>
      <c r="F591" s="16" t="s">
        <v>186</v>
      </c>
      <c r="G591" s="16" t="s">
        <v>544</v>
      </c>
      <c r="H591" s="16" t="s">
        <v>715</v>
      </c>
    </row>
    <row r="592" ht="20.25" customHeight="1">
      <c r="A592" s="32" t="str">
        <f>IMAGE("https://gymvisual.com/311-catalog_default/barbell-shrug.jpg",4,500,500)</f>
        <v/>
      </c>
      <c r="B592" s="30">
        <v>591.0</v>
      </c>
      <c r="C592" s="16" t="s">
        <v>1030</v>
      </c>
      <c r="D592" s="16" t="s">
        <v>184</v>
      </c>
      <c r="E592" s="16" t="s">
        <v>192</v>
      </c>
      <c r="F592" s="16" t="s">
        <v>186</v>
      </c>
      <c r="G592" s="16" t="s">
        <v>238</v>
      </c>
      <c r="H592" s="16" t="s">
        <v>618</v>
      </c>
    </row>
    <row r="593" ht="20.25" customHeight="1">
      <c r="A593" s="32" t="str">
        <f>IMAGE("https://gymvisual.com/11011-catalog_default/barbell-shrug-female.jpg",4,500,500)</f>
        <v/>
      </c>
      <c r="B593" s="30">
        <v>592.0</v>
      </c>
      <c r="C593" s="16" t="s">
        <v>1031</v>
      </c>
      <c r="D593" s="16" t="s">
        <v>184</v>
      </c>
      <c r="E593" s="16" t="s">
        <v>192</v>
      </c>
      <c r="F593" s="16" t="s">
        <v>186</v>
      </c>
      <c r="G593" s="16" t="s">
        <v>238</v>
      </c>
      <c r="H593" s="16" t="s">
        <v>618</v>
      </c>
    </row>
    <row r="594" ht="20.25" customHeight="1">
      <c r="A594" s="32" t="str">
        <f>IMAGE("https://gymvisual.com/314-catalog_default/barbell-side-bent-version-2.jpg",4,500,500)</f>
        <v/>
      </c>
      <c r="B594" s="30">
        <v>593.0</v>
      </c>
      <c r="C594" s="16" t="s">
        <v>1032</v>
      </c>
      <c r="D594" s="16" t="s">
        <v>184</v>
      </c>
      <c r="E594" s="16" t="s">
        <v>254</v>
      </c>
      <c r="F594" s="16" t="s">
        <v>186</v>
      </c>
      <c r="G594" s="16" t="s">
        <v>257</v>
      </c>
      <c r="H594" s="16" t="s">
        <v>271</v>
      </c>
    </row>
    <row r="595" ht="20.25" customHeight="1">
      <c r="A595" s="32" t="str">
        <f>IMAGE("https://gymvisual.com/320-catalog_default/barbell-side-split-squat.jpg",4,500,500)</f>
        <v/>
      </c>
      <c r="B595" s="30">
        <v>594.0</v>
      </c>
      <c r="C595" s="16" t="s">
        <v>1033</v>
      </c>
      <c r="D595" s="16" t="s">
        <v>184</v>
      </c>
      <c r="E595" s="16" t="s">
        <v>285</v>
      </c>
      <c r="F595" s="16" t="s">
        <v>186</v>
      </c>
      <c r="G595" s="16" t="s">
        <v>189</v>
      </c>
      <c r="H595" s="16" t="s">
        <v>1034</v>
      </c>
    </row>
    <row r="596" ht="20.25" customHeight="1">
      <c r="A596" s="32" t="str">
        <f>IMAGE("https://gymvisual.com/317-catalog_default/barbell-side-split-squat-version-2.jpg",4,500,500)</f>
        <v/>
      </c>
      <c r="B596" s="30">
        <v>595.0</v>
      </c>
      <c r="C596" s="16" t="s">
        <v>1035</v>
      </c>
      <c r="D596" s="16" t="s">
        <v>184</v>
      </c>
      <c r="E596" s="16" t="s">
        <v>285</v>
      </c>
      <c r="F596" s="16" t="s">
        <v>186</v>
      </c>
      <c r="G596" s="16" t="s">
        <v>189</v>
      </c>
      <c r="H596" s="16" t="s">
        <v>190</v>
      </c>
    </row>
    <row r="597" ht="20.25" customHeight="1">
      <c r="A597" s="32" t="str">
        <f>IMAGE("https://gymvisual.com/7516-catalog_default/barbell-single-leg-deadlift.jpg",4,500,500)</f>
        <v/>
      </c>
      <c r="B597" s="30">
        <v>596.0</v>
      </c>
      <c r="C597" s="16" t="s">
        <v>1036</v>
      </c>
      <c r="D597" s="16" t="s">
        <v>184</v>
      </c>
      <c r="E597" s="16" t="s">
        <v>185</v>
      </c>
      <c r="F597" s="16" t="s">
        <v>186</v>
      </c>
      <c r="G597" s="16" t="s">
        <v>187</v>
      </c>
      <c r="H597" s="16" t="s">
        <v>482</v>
      </c>
    </row>
    <row r="598" ht="20.25" customHeight="1">
      <c r="A598" s="32" t="str">
        <f>IMAGE("https://gymvisual.com/11432-catalog_default/barbell-single-leg-deadlift-female.jpg",4,500,500)</f>
        <v/>
      </c>
      <c r="B598" s="30">
        <v>597.0</v>
      </c>
      <c r="C598" s="16" t="s">
        <v>1037</v>
      </c>
      <c r="D598" s="16" t="s">
        <v>184</v>
      </c>
      <c r="E598" s="16" t="s">
        <v>185</v>
      </c>
      <c r="F598" s="16" t="s">
        <v>186</v>
      </c>
      <c r="G598" s="16" t="s">
        <v>220</v>
      </c>
      <c r="H598" s="16" t="s">
        <v>220</v>
      </c>
    </row>
    <row r="599" ht="20.25" customHeight="1">
      <c r="A599" s="32" t="str">
        <f>IMAGE("https://gymvisual.com/22385-catalog_default/barbell-single-leg-good-morning.jpg",4,500,500)</f>
        <v/>
      </c>
      <c r="B599" s="30">
        <v>598.0</v>
      </c>
      <c r="C599" s="16" t="s">
        <v>1038</v>
      </c>
      <c r="D599" s="16" t="s">
        <v>184</v>
      </c>
      <c r="E599" s="16" t="s">
        <v>285</v>
      </c>
      <c r="F599" s="16" t="s">
        <v>186</v>
      </c>
      <c r="G599" s="16" t="s">
        <v>220</v>
      </c>
      <c r="H599" s="16" t="s">
        <v>220</v>
      </c>
    </row>
    <row r="600" ht="20.25" customHeight="1">
      <c r="A600" s="32" t="str">
        <f>IMAGE("https://gymvisual.com/24721-catalog_default/barbell-single-leg-split-squat.jpg",4,500,500)</f>
        <v/>
      </c>
      <c r="B600" s="30">
        <v>599.0</v>
      </c>
      <c r="C600" s="16" t="s">
        <v>1039</v>
      </c>
      <c r="D600" s="16" t="s">
        <v>184</v>
      </c>
      <c r="E600" s="16" t="s">
        <v>185</v>
      </c>
      <c r="F600" s="16" t="s">
        <v>186</v>
      </c>
      <c r="G600" s="16" t="s">
        <v>189</v>
      </c>
      <c r="H600" s="16" t="s">
        <v>190</v>
      </c>
    </row>
    <row r="601" ht="20.25" customHeight="1">
      <c r="A601" s="32" t="str">
        <f>IMAGE("https://gymvisual.com/9595-catalog_default/barbell-single-leg-split-squat-female.jpg",4,500,500)</f>
        <v/>
      </c>
      <c r="B601" s="30">
        <v>600.0</v>
      </c>
      <c r="C601" s="16" t="s">
        <v>1040</v>
      </c>
      <c r="D601" s="16" t="s">
        <v>184</v>
      </c>
      <c r="E601" s="16" t="s">
        <v>294</v>
      </c>
      <c r="F601" s="16" t="s">
        <v>186</v>
      </c>
      <c r="G601" s="16" t="s">
        <v>189</v>
      </c>
      <c r="H601" s="16" t="s">
        <v>190</v>
      </c>
    </row>
    <row r="602" ht="20.25" customHeight="1">
      <c r="A602" s="32" t="str">
        <f>IMAGE("https://gymvisual.com/18770-catalog_default/barbell-single-leg-squat.jpg",4,500,500)</f>
        <v/>
      </c>
      <c r="B602" s="30">
        <v>601.0</v>
      </c>
      <c r="C602" s="16" t="s">
        <v>1041</v>
      </c>
      <c r="D602" s="16" t="s">
        <v>184</v>
      </c>
      <c r="E602" s="16" t="s">
        <v>285</v>
      </c>
      <c r="F602" s="16" t="s">
        <v>186</v>
      </c>
      <c r="G602" s="16" t="s">
        <v>220</v>
      </c>
      <c r="H602" s="16" t="s">
        <v>220</v>
      </c>
    </row>
    <row r="603" ht="20.25" customHeight="1">
      <c r="A603" s="32" t="str">
        <f>IMAGE("https://gymvisual.com/11962-catalog_default/barbell-sitted-alternate-leg-raise.jpg",4,500,500)</f>
        <v/>
      </c>
      <c r="B603" s="30">
        <v>602.0</v>
      </c>
      <c r="C603" s="16" t="s">
        <v>1042</v>
      </c>
      <c r="D603" s="16" t="s">
        <v>184</v>
      </c>
      <c r="E603" s="16" t="s">
        <v>254</v>
      </c>
      <c r="F603" s="16" t="s">
        <v>186</v>
      </c>
      <c r="G603" s="16" t="s">
        <v>220</v>
      </c>
      <c r="H603" s="16" t="s">
        <v>220</v>
      </c>
    </row>
    <row r="604" ht="20.25" customHeight="1">
      <c r="A604" s="32" t="str">
        <f>IMAGE("https://gymvisual.com/11963-catalog_default/barbell-sitted-alternate-leg-raise-female.jpg",4,500,500)</f>
        <v/>
      </c>
      <c r="B604" s="30">
        <v>603.0</v>
      </c>
      <c r="C604" s="16" t="s">
        <v>1043</v>
      </c>
      <c r="D604" s="16" t="s">
        <v>184</v>
      </c>
      <c r="E604" s="16" t="s">
        <v>254</v>
      </c>
      <c r="F604" s="16" t="s">
        <v>186</v>
      </c>
      <c r="G604" s="16" t="s">
        <v>220</v>
      </c>
      <c r="H604" s="16" t="s">
        <v>220</v>
      </c>
    </row>
    <row r="605" ht="20.25" customHeight="1">
      <c r="A605" s="32" t="str">
        <f>IMAGE("https://gymvisual.com/22393-catalog_default/barbell-sitting-on-floor-oblique-twist.jpg",4,500,500)</f>
        <v/>
      </c>
      <c r="B605" s="30">
        <v>604.0</v>
      </c>
      <c r="C605" s="16" t="s">
        <v>1044</v>
      </c>
      <c r="D605" s="16" t="s">
        <v>184</v>
      </c>
      <c r="E605" s="16" t="s">
        <v>254</v>
      </c>
      <c r="F605" s="16" t="s">
        <v>186</v>
      </c>
      <c r="G605" s="16" t="s">
        <v>220</v>
      </c>
      <c r="H605" s="16" t="s">
        <v>220</v>
      </c>
    </row>
    <row r="606" ht="20.25" customHeight="1">
      <c r="A606" s="32" t="str">
        <f>IMAGE("https://gymvisual.com/326-catalog_default/barbell-skier.jpg",4,500,500)</f>
        <v/>
      </c>
      <c r="B606" s="30">
        <v>605.0</v>
      </c>
      <c r="C606" s="16" t="s">
        <v>1045</v>
      </c>
      <c r="D606" s="16" t="s">
        <v>184</v>
      </c>
      <c r="E606" s="16" t="s">
        <v>228</v>
      </c>
      <c r="F606" s="16" t="s">
        <v>186</v>
      </c>
      <c r="G606" s="16" t="s">
        <v>408</v>
      </c>
      <c r="H606" s="16" t="s">
        <v>1046</v>
      </c>
    </row>
    <row r="607" ht="20.25" customHeight="1">
      <c r="A607" s="32" t="str">
        <f>IMAGE("https://gymvisual.com/12056-catalog_default/barbell-skier-female.jpg",4,500,500)</f>
        <v/>
      </c>
      <c r="B607" s="30">
        <v>606.0</v>
      </c>
      <c r="C607" s="16" t="s">
        <v>1047</v>
      </c>
      <c r="D607" s="16" t="s">
        <v>184</v>
      </c>
      <c r="E607" s="16" t="s">
        <v>228</v>
      </c>
      <c r="F607" s="16" t="s">
        <v>186</v>
      </c>
      <c r="G607" s="16" t="s">
        <v>220</v>
      </c>
      <c r="H607" s="16" t="s">
        <v>220</v>
      </c>
    </row>
    <row r="608" ht="20.25" customHeight="1">
      <c r="A608" s="32" t="str">
        <f>IMAGE("https://gymvisual.com/20436-catalog_default/barbell-snatch.jpg",4,500,500)</f>
        <v/>
      </c>
      <c r="B608" s="30">
        <v>607.0</v>
      </c>
      <c r="C608" s="16" t="s">
        <v>1048</v>
      </c>
      <c r="D608" s="16" t="s">
        <v>184</v>
      </c>
      <c r="E608" s="16" t="s">
        <v>764</v>
      </c>
      <c r="F608" s="16" t="s">
        <v>186</v>
      </c>
      <c r="G608" s="16" t="s">
        <v>1049</v>
      </c>
      <c r="H608" s="16" t="s">
        <v>220</v>
      </c>
    </row>
    <row r="609" ht="20.25" customHeight="1">
      <c r="A609" s="32" t="str">
        <f>IMAGE("https://gymvisual.com/6782-catalog_default/barbell-snatch-balance.jpg",4,500,500)</f>
        <v/>
      </c>
      <c r="B609" s="30">
        <v>608.0</v>
      </c>
      <c r="C609" s="16" t="s">
        <v>1050</v>
      </c>
      <c r="D609" s="16" t="s">
        <v>184</v>
      </c>
      <c r="E609" s="16" t="s">
        <v>764</v>
      </c>
      <c r="F609" s="16" t="s">
        <v>186</v>
      </c>
      <c r="G609" s="16" t="s">
        <v>1051</v>
      </c>
      <c r="H609" s="16" t="s">
        <v>220</v>
      </c>
    </row>
    <row r="610" ht="20.25" customHeight="1">
      <c r="A610" s="32" t="str">
        <f>IMAGE("https://gymvisual.com/6783-catalog_default/barbell-snatch-deadlift.jpg",4,500,500)</f>
        <v/>
      </c>
      <c r="B610" s="30">
        <v>609.0</v>
      </c>
      <c r="C610" s="16" t="s">
        <v>1052</v>
      </c>
      <c r="D610" s="16" t="s">
        <v>184</v>
      </c>
      <c r="E610" s="16" t="s">
        <v>285</v>
      </c>
      <c r="F610" s="16" t="s">
        <v>186</v>
      </c>
      <c r="G610" s="16" t="s">
        <v>1053</v>
      </c>
      <c r="H610" s="16" t="s">
        <v>220</v>
      </c>
    </row>
    <row r="611" ht="20.25" customHeight="1">
      <c r="A611" s="32" t="str">
        <f>IMAGE("https://gymvisual.com/6784-catalog_default/barbell-snatch-from-blocks.jpg",4,500,500)</f>
        <v/>
      </c>
      <c r="B611" s="30">
        <v>610.0</v>
      </c>
      <c r="C611" s="16" t="s">
        <v>1054</v>
      </c>
      <c r="D611" s="16" t="s">
        <v>184</v>
      </c>
      <c r="E611" s="16" t="s">
        <v>764</v>
      </c>
      <c r="F611" s="16" t="s">
        <v>186</v>
      </c>
      <c r="G611" s="16" t="s">
        <v>1055</v>
      </c>
      <c r="H611" s="16" t="s">
        <v>220</v>
      </c>
    </row>
    <row r="612" ht="20.25" customHeight="1">
      <c r="A612" s="32" t="str">
        <f>IMAGE("https://gymvisual.com/329-catalog_default/barbell-speed-squat.jpg",4,500,500)</f>
        <v/>
      </c>
      <c r="B612" s="30">
        <v>611.0</v>
      </c>
      <c r="C612" s="16" t="s">
        <v>1056</v>
      </c>
      <c r="D612" s="16" t="s">
        <v>184</v>
      </c>
      <c r="E612" s="16" t="s">
        <v>285</v>
      </c>
      <c r="F612" s="16" t="s">
        <v>186</v>
      </c>
      <c r="G612" s="16" t="s">
        <v>189</v>
      </c>
      <c r="H612" s="16" t="s">
        <v>190</v>
      </c>
    </row>
    <row r="613" ht="20.25" customHeight="1">
      <c r="A613" s="32" t="str">
        <f>IMAGE("https://gymvisual.com/18748-catalog_default/barbell-spider-curl.jpg",4,500,500)</f>
        <v/>
      </c>
      <c r="B613" s="30">
        <v>612.0</v>
      </c>
      <c r="C613" s="16" t="s">
        <v>1057</v>
      </c>
      <c r="D613" s="16" t="s">
        <v>184</v>
      </c>
      <c r="E613" s="16" t="s">
        <v>219</v>
      </c>
      <c r="F613" s="16" t="s">
        <v>186</v>
      </c>
      <c r="G613" s="16" t="s">
        <v>220</v>
      </c>
      <c r="H613" s="16" t="s">
        <v>220</v>
      </c>
    </row>
    <row r="614" ht="20.25" customHeight="1">
      <c r="A614" s="32" t="str">
        <f>IMAGE("https://gymvisual.com/6785-catalog_default/barbell-split-clean.jpg",4,500,500)</f>
        <v/>
      </c>
      <c r="B614" s="30">
        <v>613.0</v>
      </c>
      <c r="C614" s="16" t="s">
        <v>1058</v>
      </c>
      <c r="D614" s="16" t="s">
        <v>184</v>
      </c>
      <c r="E614" s="16" t="s">
        <v>764</v>
      </c>
      <c r="F614" s="16" t="s">
        <v>186</v>
      </c>
      <c r="G614" s="16" t="s">
        <v>1059</v>
      </c>
      <c r="H614" s="16" t="s">
        <v>220</v>
      </c>
    </row>
    <row r="615" ht="20.25" customHeight="1">
      <c r="A615" s="32" t="str">
        <f>IMAGE("https://gymvisual.com/6786-catalog_default/barbell-split-jerk.jpg",4,500,500)</f>
        <v/>
      </c>
      <c r="B615" s="30">
        <v>614.0</v>
      </c>
      <c r="C615" s="16" t="s">
        <v>1060</v>
      </c>
      <c r="D615" s="16" t="s">
        <v>184</v>
      </c>
      <c r="E615" s="16" t="s">
        <v>764</v>
      </c>
      <c r="F615" s="16" t="s">
        <v>186</v>
      </c>
      <c r="G615" s="16" t="s">
        <v>1061</v>
      </c>
      <c r="H615" s="16" t="s">
        <v>220</v>
      </c>
    </row>
    <row r="616" ht="20.25" customHeight="1">
      <c r="A616" s="32" t="str">
        <f>IMAGE("https://gymvisual.com/13329-catalog_default/barbell-split-squat.jpg",4,500,500)</f>
        <v/>
      </c>
      <c r="B616" s="30">
        <v>615.0</v>
      </c>
      <c r="C616" s="16" t="s">
        <v>1062</v>
      </c>
      <c r="D616" s="16" t="s">
        <v>184</v>
      </c>
      <c r="E616" s="16" t="s">
        <v>294</v>
      </c>
      <c r="F616" s="16" t="s">
        <v>186</v>
      </c>
      <c r="G616" s="16" t="s">
        <v>189</v>
      </c>
      <c r="H616" s="16" t="s">
        <v>190</v>
      </c>
    </row>
    <row r="617" ht="20.25" customHeight="1">
      <c r="A617" s="32" t="str">
        <f>IMAGE("https://gymvisual.com/10259-catalog_default/barbell-split-squat-female.jpg",4,500,500)</f>
        <v/>
      </c>
      <c r="B617" s="30">
        <v>616.0</v>
      </c>
      <c r="C617" s="16" t="s">
        <v>1063</v>
      </c>
      <c r="D617" s="16" t="s">
        <v>184</v>
      </c>
      <c r="E617" s="16" t="s">
        <v>294</v>
      </c>
      <c r="F617" s="16" t="s">
        <v>186</v>
      </c>
      <c r="G617" s="16" t="s">
        <v>189</v>
      </c>
      <c r="H617" s="16" t="s">
        <v>190</v>
      </c>
    </row>
    <row r="618" ht="20.25" customHeight="1">
      <c r="A618" s="32" t="str">
        <f>IMAGE("https://gymvisual.com/11972-catalog_default/barbell-split-squat-version-2.jpg",4,500,500)</f>
        <v/>
      </c>
      <c r="B618" s="30">
        <v>617.0</v>
      </c>
      <c r="C618" s="16" t="s">
        <v>1064</v>
      </c>
      <c r="D618" s="16" t="s">
        <v>184</v>
      </c>
      <c r="E618" s="16" t="s">
        <v>185</v>
      </c>
      <c r="F618" s="16" t="s">
        <v>186</v>
      </c>
      <c r="G618" s="16" t="s">
        <v>189</v>
      </c>
      <c r="H618" s="16" t="s">
        <v>190</v>
      </c>
    </row>
    <row r="619" ht="20.25" customHeight="1">
      <c r="A619" s="32" t="str">
        <f>IMAGE("https://gymvisual.com/11973-catalog_default/barbell-split-squat-version-2-female.jpg",4,500,500)</f>
        <v/>
      </c>
      <c r="B619" s="30">
        <v>618.0</v>
      </c>
      <c r="C619" s="16" t="s">
        <v>1065</v>
      </c>
      <c r="D619" s="16" t="s">
        <v>184</v>
      </c>
      <c r="E619" s="16" t="s">
        <v>185</v>
      </c>
      <c r="F619" s="16" t="s">
        <v>186</v>
      </c>
      <c r="G619" s="16" t="s">
        <v>220</v>
      </c>
      <c r="H619" s="16" t="s">
        <v>220</v>
      </c>
    </row>
    <row r="620" ht="20.25" customHeight="1">
      <c r="A620" s="32" t="str">
        <f>IMAGE("https://gymvisual.com/14250-catalog_default/barbell-squat-female.jpg",4,500,500)</f>
        <v/>
      </c>
      <c r="B620" s="30">
        <v>619.0</v>
      </c>
      <c r="C620" s="16" t="s">
        <v>1066</v>
      </c>
      <c r="D620" s="16" t="s">
        <v>184</v>
      </c>
      <c r="E620" s="16" t="s">
        <v>294</v>
      </c>
      <c r="F620" s="16" t="s">
        <v>186</v>
      </c>
      <c r="G620" s="16" t="s">
        <v>189</v>
      </c>
      <c r="H620" s="16" t="s">
        <v>190</v>
      </c>
    </row>
    <row r="621" ht="20.25" customHeight="1">
      <c r="A621" s="32" t="str">
        <f>IMAGE("https://gymvisual.com/332-catalog_default/barbell-squat-on-knees.jpg",4,500,500)</f>
        <v/>
      </c>
      <c r="B621" s="30">
        <v>620.0</v>
      </c>
      <c r="C621" s="16" t="s">
        <v>1067</v>
      </c>
      <c r="D621" s="16" t="s">
        <v>184</v>
      </c>
      <c r="E621" s="16" t="s">
        <v>285</v>
      </c>
      <c r="F621" s="16" t="s">
        <v>186</v>
      </c>
      <c r="G621" s="16" t="s">
        <v>552</v>
      </c>
      <c r="H621" s="16" t="s">
        <v>683</v>
      </c>
    </row>
    <row r="622" ht="20.25" customHeight="1">
      <c r="A622" s="32" t="str">
        <f>IMAGE("https://gymvisual.com/12830-catalog_default/barbell-squat-with-hanging-band-technique.jpg",4,500,500)</f>
        <v/>
      </c>
      <c r="B622" s="30">
        <v>621.0</v>
      </c>
      <c r="C622" s="16" t="s">
        <v>1068</v>
      </c>
      <c r="D622" s="16" t="s">
        <v>184</v>
      </c>
      <c r="E622" s="16" t="s">
        <v>285</v>
      </c>
      <c r="F622" s="16" t="s">
        <v>186</v>
      </c>
      <c r="G622" s="16" t="s">
        <v>189</v>
      </c>
      <c r="H622" s="16" t="s">
        <v>190</v>
      </c>
    </row>
    <row r="623" ht="20.25" customHeight="1">
      <c r="A623" s="32" t="str">
        <f>IMAGE("https://gymvisual.com/10233-catalog_default/barbell-squat-hips-wrong-right.jpg",4,500,500)</f>
        <v/>
      </c>
      <c r="B623" s="30">
        <v>622.0</v>
      </c>
      <c r="C623" s="16" t="s">
        <v>1069</v>
      </c>
      <c r="D623" s="16" t="s">
        <v>184</v>
      </c>
      <c r="E623" s="16" t="s">
        <v>294</v>
      </c>
      <c r="F623" s="16" t="s">
        <v>186</v>
      </c>
      <c r="G623" s="16" t="s">
        <v>220</v>
      </c>
      <c r="H623" s="16" t="s">
        <v>220</v>
      </c>
    </row>
    <row r="624" ht="20.25" customHeight="1">
      <c r="A624" s="32" t="str">
        <f>IMAGE("https://gymvisual.com/10229-catalog_default/barbell-squat-knees-end-position-wrong-right.jpg",4,500,500)</f>
        <v/>
      </c>
      <c r="B624" s="30">
        <v>623.0</v>
      </c>
      <c r="C624" s="16" t="s">
        <v>1070</v>
      </c>
      <c r="D624" s="16" t="s">
        <v>184</v>
      </c>
      <c r="E624" s="16" t="s">
        <v>285</v>
      </c>
      <c r="F624" s="16" t="s">
        <v>186</v>
      </c>
      <c r="G624" s="16" t="s">
        <v>220</v>
      </c>
      <c r="H624" s="16" t="s">
        <v>220</v>
      </c>
    </row>
    <row r="625" ht="20.25" customHeight="1">
      <c r="A625" s="32" t="str">
        <f>IMAGE("https://gymvisual.com/10231-catalog_default/barbell-squat-knees-middle-position-wrong-right.jpg",4,500,500)</f>
        <v/>
      </c>
      <c r="B625" s="30">
        <v>624.0</v>
      </c>
      <c r="C625" s="16" t="s">
        <v>1071</v>
      </c>
      <c r="D625" s="16" t="s">
        <v>184</v>
      </c>
      <c r="E625" s="16" t="s">
        <v>294</v>
      </c>
      <c r="F625" s="16" t="s">
        <v>186</v>
      </c>
      <c r="G625" s="16" t="s">
        <v>220</v>
      </c>
      <c r="H625" s="16" t="s">
        <v>220</v>
      </c>
    </row>
    <row r="626" ht="20.25" customHeight="1">
      <c r="A626" s="32" t="str">
        <f>IMAGE("https://gymvisual.com/19778-catalog_default/barbell-squat-2-sec-hold.jpg",4,500,500)</f>
        <v/>
      </c>
      <c r="B626" s="30">
        <v>625.0</v>
      </c>
      <c r="C626" s="16" t="s">
        <v>1072</v>
      </c>
      <c r="D626" s="16" t="s">
        <v>184</v>
      </c>
      <c r="E626" s="16" t="s">
        <v>285</v>
      </c>
      <c r="F626" s="16" t="s">
        <v>186</v>
      </c>
      <c r="G626" s="16" t="s">
        <v>189</v>
      </c>
      <c r="H626" s="16" t="s">
        <v>190</v>
      </c>
    </row>
    <row r="627" ht="20.25" customHeight="1">
      <c r="A627" s="32" t="str">
        <f>IMAGE("https://gymvisual.com/6788-catalog_default/barbell-squat-to-shoulder-press.jpg",4,500,500)</f>
        <v/>
      </c>
      <c r="B627" s="30">
        <v>626.0</v>
      </c>
      <c r="C627" s="16" t="s">
        <v>1073</v>
      </c>
      <c r="D627" s="16" t="s">
        <v>184</v>
      </c>
      <c r="E627" s="16" t="s">
        <v>285</v>
      </c>
      <c r="F627" s="16" t="s">
        <v>186</v>
      </c>
      <c r="G627" s="16" t="s">
        <v>220</v>
      </c>
      <c r="H627" s="16" t="s">
        <v>220</v>
      </c>
    </row>
    <row r="628" ht="20.25" customHeight="1">
      <c r="A628" s="32" t="str">
        <f>IMAGE("https://gymvisual.com/6789-catalog_default/barbell-squat-to-upright-row.jpg",4,500,500)</f>
        <v/>
      </c>
      <c r="B628" s="30">
        <v>627.0</v>
      </c>
      <c r="C628" s="16" t="s">
        <v>1074</v>
      </c>
      <c r="D628" s="16" t="s">
        <v>184</v>
      </c>
      <c r="E628" s="16" t="s">
        <v>285</v>
      </c>
      <c r="F628" s="16" t="s">
        <v>186</v>
      </c>
      <c r="G628" s="16" t="s">
        <v>220</v>
      </c>
      <c r="H628" s="16" t="s">
        <v>220</v>
      </c>
    </row>
    <row r="629" ht="20.25" customHeight="1">
      <c r="A629" s="32" t="str">
        <f>IMAGE("https://gymvisual.com/17861-catalog_default/barbell-squat-with-chains.jpg",4,500,500)</f>
        <v/>
      </c>
      <c r="B629" s="30">
        <v>628.0</v>
      </c>
      <c r="C629" s="16" t="s">
        <v>1075</v>
      </c>
      <c r="D629" s="16" t="s">
        <v>184</v>
      </c>
      <c r="E629" s="16" t="s">
        <v>285</v>
      </c>
      <c r="F629" s="16" t="s">
        <v>186</v>
      </c>
      <c r="G629" s="16" t="s">
        <v>220</v>
      </c>
      <c r="H629" s="16" t="s">
        <v>220</v>
      </c>
    </row>
    <row r="630" ht="20.25" customHeight="1">
      <c r="A630" s="32" t="str">
        <f>IMAGE("https://gymvisual.com/25017-catalog_default/barbell-srtict-curl.jpg",4,500,500)</f>
        <v/>
      </c>
      <c r="B630" s="30">
        <v>629.0</v>
      </c>
      <c r="C630" s="16" t="s">
        <v>1076</v>
      </c>
      <c r="D630" s="16" t="s">
        <v>184</v>
      </c>
      <c r="E630" s="16" t="s">
        <v>219</v>
      </c>
      <c r="F630" s="16" t="s">
        <v>186</v>
      </c>
      <c r="G630" s="16" t="s">
        <v>220</v>
      </c>
      <c r="H630" s="16" t="s">
        <v>220</v>
      </c>
    </row>
    <row r="631" ht="20.25" customHeight="1">
      <c r="A631" s="32" t="str">
        <f>IMAGE("https://gymvisual.com/23857-catalog_default/barbell-staggered-stance-hip-thrust.jpg",4,500,500)</f>
        <v/>
      </c>
      <c r="B631" s="30">
        <v>630.0</v>
      </c>
      <c r="C631" s="16" t="s">
        <v>1077</v>
      </c>
      <c r="D631" s="16" t="s">
        <v>184</v>
      </c>
      <c r="E631" s="16" t="s">
        <v>185</v>
      </c>
      <c r="F631" s="16" t="s">
        <v>186</v>
      </c>
      <c r="G631" s="16" t="s">
        <v>220</v>
      </c>
      <c r="H631" s="16" t="s">
        <v>220</v>
      </c>
    </row>
    <row r="632" ht="20.25" customHeight="1">
      <c r="A632" s="32" t="str">
        <f>IMAGE("https://gymvisual.com/335-catalog_default/barbell-standing-ab-rollout.jpg",4,500,500)</f>
        <v/>
      </c>
      <c r="B632" s="30">
        <v>631.0</v>
      </c>
      <c r="C632" s="16" t="s">
        <v>1078</v>
      </c>
      <c r="D632" s="16" t="s">
        <v>184</v>
      </c>
      <c r="E632" s="16" t="s">
        <v>254</v>
      </c>
      <c r="F632" s="16" t="s">
        <v>186</v>
      </c>
      <c r="G632" s="16" t="s">
        <v>305</v>
      </c>
      <c r="H632" s="16" t="s">
        <v>1079</v>
      </c>
    </row>
    <row r="633" ht="20.25" customHeight="1">
      <c r="A633" s="32" t="str">
        <f>IMAGE("https://gymvisual.com/12065-catalog_default/barbell-standing-ab-rollout-female.jpg",4,500,500)</f>
        <v/>
      </c>
      <c r="B633" s="30">
        <v>632.0</v>
      </c>
      <c r="C633" s="16" t="s">
        <v>1080</v>
      </c>
      <c r="D633" s="16" t="s">
        <v>184</v>
      </c>
      <c r="E633" s="16" t="s">
        <v>254</v>
      </c>
      <c r="F633" s="16" t="s">
        <v>186</v>
      </c>
      <c r="G633" s="16" t="s">
        <v>220</v>
      </c>
      <c r="H633" s="16" t="s">
        <v>220</v>
      </c>
    </row>
    <row r="634" ht="20.25" customHeight="1">
      <c r="A634" s="32" t="str">
        <f>IMAGE("https://gymvisual.com/338-catalog_default/barbell-standing-back-wrist-curl.jpg",4,500,500)</f>
        <v/>
      </c>
      <c r="B634" s="30">
        <v>633.0</v>
      </c>
      <c r="C634" s="16" t="s">
        <v>1081</v>
      </c>
      <c r="D634" s="16" t="s">
        <v>184</v>
      </c>
      <c r="E634" s="16" t="s">
        <v>214</v>
      </c>
      <c r="F634" s="16" t="s">
        <v>186</v>
      </c>
      <c r="G634" s="16" t="s">
        <v>720</v>
      </c>
      <c r="H634" s="16" t="s">
        <v>220</v>
      </c>
    </row>
    <row r="635" ht="20.25" customHeight="1">
      <c r="A635" s="32" t="str">
        <f>IMAGE("https://gymvisual.com/11014-catalog_default/barbell-standing-back-wrist-curl-female.jpg",4,500,500)</f>
        <v/>
      </c>
      <c r="B635" s="30">
        <v>634.0</v>
      </c>
      <c r="C635" s="16" t="s">
        <v>1082</v>
      </c>
      <c r="D635" s="16" t="s">
        <v>184</v>
      </c>
      <c r="E635" s="16" t="s">
        <v>214</v>
      </c>
      <c r="F635" s="16" t="s">
        <v>186</v>
      </c>
      <c r="G635" s="16" t="s">
        <v>720</v>
      </c>
      <c r="H635" s="16" t="s">
        <v>220</v>
      </c>
    </row>
    <row r="636" ht="20.25" customHeight="1">
      <c r="A636" s="32" t="str">
        <f>IMAGE("https://gymvisual.com/341-catalog_default/barbell-standing-bradford-press.jpg",4,500,500)</f>
        <v/>
      </c>
      <c r="B636" s="30">
        <v>635.0</v>
      </c>
      <c r="C636" s="16" t="s">
        <v>1083</v>
      </c>
      <c r="D636" s="16" t="s">
        <v>184</v>
      </c>
      <c r="E636" s="16" t="s">
        <v>228</v>
      </c>
      <c r="F636" s="16" t="s">
        <v>186</v>
      </c>
      <c r="G636" s="16" t="s">
        <v>229</v>
      </c>
      <c r="H636" s="16" t="s">
        <v>230</v>
      </c>
    </row>
    <row r="637" ht="20.25" customHeight="1">
      <c r="A637" s="32" t="str">
        <f>IMAGE("https://gymvisual.com/6067-catalog_default/barbell-standing-calf-raise.jpg",4,500,500)</f>
        <v/>
      </c>
      <c r="B637" s="30">
        <v>636.0</v>
      </c>
      <c r="C637" s="16" t="s">
        <v>1084</v>
      </c>
      <c r="D637" s="16" t="s">
        <v>184</v>
      </c>
      <c r="E637" s="16" t="s">
        <v>325</v>
      </c>
      <c r="F637" s="16" t="s">
        <v>186</v>
      </c>
      <c r="G637" s="16" t="s">
        <v>368</v>
      </c>
      <c r="H637" s="16" t="s">
        <v>463</v>
      </c>
    </row>
    <row r="638" ht="20.25" customHeight="1">
      <c r="A638" s="32" t="str">
        <f>IMAGE("https://gymvisual.com/11501-catalog_default/barbell-standing-calf-raise-female.jpg",4,500,500)</f>
        <v/>
      </c>
      <c r="B638" s="30">
        <v>637.0</v>
      </c>
      <c r="C638" s="16" t="s">
        <v>1085</v>
      </c>
      <c r="D638" s="16" t="s">
        <v>184</v>
      </c>
      <c r="E638" s="16" t="s">
        <v>325</v>
      </c>
      <c r="F638" s="16" t="s">
        <v>186</v>
      </c>
      <c r="G638" s="16" t="s">
        <v>220</v>
      </c>
      <c r="H638" s="16" t="s">
        <v>220</v>
      </c>
    </row>
    <row r="639" ht="20.25" customHeight="1">
      <c r="A639" s="32" t="str">
        <f>IMAGE("https://gymvisual.com/2943-catalog_default/barbell-standing-close-grip-curl.jpg",4,500,500)</f>
        <v/>
      </c>
      <c r="B639" s="30">
        <v>638.0</v>
      </c>
      <c r="C639" s="16" t="s">
        <v>1086</v>
      </c>
      <c r="D639" s="16" t="s">
        <v>184</v>
      </c>
      <c r="E639" s="16" t="s">
        <v>219</v>
      </c>
      <c r="F639" s="16" t="s">
        <v>186</v>
      </c>
      <c r="G639" s="16" t="s">
        <v>241</v>
      </c>
      <c r="H639" s="16" t="s">
        <v>292</v>
      </c>
    </row>
    <row r="640" ht="20.25" customHeight="1">
      <c r="A640" s="32" t="str">
        <f>IMAGE("https://gymvisual.com/11576-catalog_default/barbell-standing-close-grip-curl-female.jpg",4,500,500)</f>
        <v/>
      </c>
      <c r="B640" s="30">
        <v>639.0</v>
      </c>
      <c r="C640" s="16" t="s">
        <v>1087</v>
      </c>
      <c r="D640" s="16" t="s">
        <v>184</v>
      </c>
      <c r="E640" s="16" t="s">
        <v>219</v>
      </c>
      <c r="F640" s="16" t="s">
        <v>186</v>
      </c>
      <c r="G640" s="16" t="s">
        <v>220</v>
      </c>
      <c r="H640" s="16" t="s">
        <v>220</v>
      </c>
    </row>
    <row r="641" ht="20.25" customHeight="1">
      <c r="A641" s="32" t="str">
        <f>IMAGE("https://gymvisual.com/6470-catalog_default/barbell-standing-close-grip-military-press.jpg",4,500,500)</f>
        <v/>
      </c>
      <c r="B641" s="30">
        <v>640.0</v>
      </c>
      <c r="C641" s="16" t="s">
        <v>1088</v>
      </c>
      <c r="D641" s="16" t="s">
        <v>184</v>
      </c>
      <c r="E641" s="16" t="s">
        <v>228</v>
      </c>
      <c r="F641" s="16" t="s">
        <v>186</v>
      </c>
      <c r="G641" s="16" t="s">
        <v>243</v>
      </c>
      <c r="H641" s="16" t="s">
        <v>244</v>
      </c>
    </row>
    <row r="642" ht="20.25" customHeight="1">
      <c r="A642" s="32" t="str">
        <f>IMAGE("https://gymvisual.com/13331-catalog_default/barbell-standing-close-grip-military-press-female.jpg",4,500,500)</f>
        <v/>
      </c>
      <c r="B642" s="30">
        <v>641.0</v>
      </c>
      <c r="C642" s="16" t="s">
        <v>1089</v>
      </c>
      <c r="D642" s="16" t="s">
        <v>184</v>
      </c>
      <c r="E642" s="16" t="s">
        <v>228</v>
      </c>
      <c r="F642" s="16" t="s">
        <v>186</v>
      </c>
      <c r="G642" s="16" t="s">
        <v>220</v>
      </c>
      <c r="H642" s="16" t="s">
        <v>220</v>
      </c>
    </row>
    <row r="643" ht="20.25" customHeight="1">
      <c r="A643" s="32" t="str">
        <f>IMAGE("https://gymvisual.com/10488-catalog_default/barbell-standing-concentration-curl.jpg",4,500,500)</f>
        <v/>
      </c>
      <c r="B643" s="30">
        <v>642.0</v>
      </c>
      <c r="C643" s="16" t="s">
        <v>1090</v>
      </c>
      <c r="D643" s="16" t="s">
        <v>184</v>
      </c>
      <c r="E643" s="16" t="s">
        <v>219</v>
      </c>
      <c r="F643" s="16" t="s">
        <v>186</v>
      </c>
      <c r="G643" s="16" t="s">
        <v>232</v>
      </c>
      <c r="H643" s="16" t="s">
        <v>233</v>
      </c>
    </row>
    <row r="644" ht="20.25" customHeight="1">
      <c r="A644" s="32" t="str">
        <f>IMAGE("https://gymvisual.com/346-catalog_default/barbell-standing-front-raise-over-head.jpg",4,500,500)</f>
        <v/>
      </c>
      <c r="B644" s="30">
        <v>643.0</v>
      </c>
      <c r="C644" s="16" t="s">
        <v>1091</v>
      </c>
      <c r="D644" s="16" t="s">
        <v>184</v>
      </c>
      <c r="E644" s="16" t="s">
        <v>228</v>
      </c>
      <c r="F644" s="16" t="s">
        <v>186</v>
      </c>
      <c r="G644" s="16" t="s">
        <v>229</v>
      </c>
      <c r="H644" s="16" t="s">
        <v>626</v>
      </c>
    </row>
    <row r="645" ht="20.25" customHeight="1">
      <c r="A645" s="32" t="str">
        <f>IMAGE("https://gymvisual.com/11561-catalog_default/barbell-standing-front-raise-over-head-female.jpg",4,500,500)</f>
        <v/>
      </c>
      <c r="B645" s="30">
        <v>644.0</v>
      </c>
      <c r="C645" s="16" t="s">
        <v>1092</v>
      </c>
      <c r="D645" s="16" t="s">
        <v>184</v>
      </c>
      <c r="E645" s="16" t="s">
        <v>228</v>
      </c>
      <c r="F645" s="16" t="s">
        <v>186</v>
      </c>
      <c r="G645" s="16" t="s">
        <v>220</v>
      </c>
      <c r="H645" s="16" t="s">
        <v>220</v>
      </c>
    </row>
    <row r="646" ht="20.25" customHeight="1">
      <c r="A646" s="32" t="str">
        <f>IMAGE("https://gymvisual.com/349-catalog_default/barbell-standing-leg-calf-raise.jpg",4,500,500)</f>
        <v/>
      </c>
      <c r="B646" s="30">
        <v>645.0</v>
      </c>
      <c r="C646" s="16" t="s">
        <v>1093</v>
      </c>
      <c r="D646" s="16" t="s">
        <v>184</v>
      </c>
      <c r="E646" s="16" t="s">
        <v>325</v>
      </c>
      <c r="F646" s="16" t="s">
        <v>186</v>
      </c>
      <c r="G646" s="16" t="s">
        <v>368</v>
      </c>
      <c r="H646" s="16" t="s">
        <v>463</v>
      </c>
    </row>
    <row r="647" ht="20.25" customHeight="1">
      <c r="A647" s="32" t="str">
        <f>IMAGE("https://gymvisual.com/4375-catalog_default/barbell-standing-military-press.jpg",4,500,500)</f>
        <v/>
      </c>
      <c r="B647" s="30">
        <v>646.0</v>
      </c>
      <c r="C647" s="16" t="s">
        <v>1094</v>
      </c>
      <c r="D647" s="16" t="s">
        <v>184</v>
      </c>
      <c r="E647" s="16" t="s">
        <v>228</v>
      </c>
      <c r="F647" s="16" t="s">
        <v>186</v>
      </c>
      <c r="G647" s="16" t="s">
        <v>229</v>
      </c>
      <c r="H647" s="16" t="s">
        <v>626</v>
      </c>
    </row>
    <row r="648" ht="20.25" customHeight="1">
      <c r="A648" s="32" t="str">
        <f>IMAGE("https://gymvisual.com/20646-catalog_default/barbell-standing-military-press-without-rack.jpg",4,500,500)</f>
        <v/>
      </c>
      <c r="B648" s="30">
        <v>647.0</v>
      </c>
      <c r="C648" s="16" t="s">
        <v>1095</v>
      </c>
      <c r="D648" s="16" t="s">
        <v>184</v>
      </c>
      <c r="E648" s="16" t="s">
        <v>228</v>
      </c>
      <c r="F648" s="16" t="s">
        <v>186</v>
      </c>
      <c r="G648" s="16" t="s">
        <v>229</v>
      </c>
      <c r="H648" s="16" t="s">
        <v>626</v>
      </c>
    </row>
    <row r="649" ht="20.25" customHeight="1">
      <c r="A649" s="32" t="str">
        <f>IMAGE("https://gymvisual.com/352-catalog_default/barbell-standing-overhead-triceps-extension.jpg",4,500,500)</f>
        <v/>
      </c>
      <c r="B649" s="30">
        <v>648.0</v>
      </c>
      <c r="C649" s="16" t="s">
        <v>1096</v>
      </c>
      <c r="D649" s="16" t="s">
        <v>184</v>
      </c>
      <c r="E649" s="16" t="s">
        <v>219</v>
      </c>
      <c r="F649" s="16" t="s">
        <v>186</v>
      </c>
      <c r="G649" s="16" t="s">
        <v>223</v>
      </c>
      <c r="H649" s="16" t="s">
        <v>220</v>
      </c>
    </row>
    <row r="650" ht="20.25" customHeight="1">
      <c r="A650" s="32" t="str">
        <f>IMAGE("https://gymvisual.com/11363-catalog_default/barbell-standing-overhead-triceps-extension-female.jpg",4,500,500)</f>
        <v/>
      </c>
      <c r="B650" s="30">
        <v>649.0</v>
      </c>
      <c r="C650" s="16" t="s">
        <v>1097</v>
      </c>
      <c r="D650" s="16" t="s">
        <v>184</v>
      </c>
      <c r="E650" s="16" t="s">
        <v>219</v>
      </c>
      <c r="F650" s="16" t="s">
        <v>186</v>
      </c>
      <c r="G650" s="16" t="s">
        <v>223</v>
      </c>
      <c r="H650" s="16" t="s">
        <v>220</v>
      </c>
    </row>
    <row r="651" ht="20.25" customHeight="1">
      <c r="A651" s="32" t="str">
        <f>IMAGE("https://gymvisual.com/355-catalog_default/barbell-standing-reverse-grip-curl.jpg",4,500,500)</f>
        <v/>
      </c>
      <c r="B651" s="30">
        <v>650.0</v>
      </c>
      <c r="C651" s="16" t="s">
        <v>1098</v>
      </c>
      <c r="D651" s="16" t="s">
        <v>184</v>
      </c>
      <c r="E651" s="16" t="s">
        <v>214</v>
      </c>
      <c r="F651" s="16" t="s">
        <v>186</v>
      </c>
      <c r="G651" s="16" t="s">
        <v>216</v>
      </c>
      <c r="H651" s="16" t="s">
        <v>217</v>
      </c>
    </row>
    <row r="652" ht="20.25" customHeight="1">
      <c r="A652" s="32" t="str">
        <f>IMAGE("https://gymvisual.com/358-catalog_default/barbell-standing-rocking-leg-calf-raise.jpg",4,500,500)</f>
        <v/>
      </c>
      <c r="B652" s="30">
        <v>651.0</v>
      </c>
      <c r="C652" s="16" t="s">
        <v>1099</v>
      </c>
      <c r="D652" s="16" t="s">
        <v>184</v>
      </c>
      <c r="E652" s="16" t="s">
        <v>325</v>
      </c>
      <c r="F652" s="16" t="s">
        <v>186</v>
      </c>
      <c r="G652" s="16" t="s">
        <v>1100</v>
      </c>
      <c r="H652" s="16" t="s">
        <v>463</v>
      </c>
    </row>
    <row r="653" ht="20.25" customHeight="1">
      <c r="A653" s="32" t="str">
        <f>IMAGE("https://gymvisual.com/25015-catalog_default/barbell-standing-shoulder-pin-press.jpg",4,500,500)</f>
        <v/>
      </c>
      <c r="B653" s="30">
        <v>652.0</v>
      </c>
      <c r="C653" s="16" t="s">
        <v>1101</v>
      </c>
      <c r="D653" s="16" t="s">
        <v>184</v>
      </c>
      <c r="E653" s="16" t="s">
        <v>228</v>
      </c>
      <c r="F653" s="16" t="s">
        <v>186</v>
      </c>
      <c r="G653" s="16" t="s">
        <v>220</v>
      </c>
      <c r="H653" s="16" t="s">
        <v>220</v>
      </c>
    </row>
    <row r="654" ht="20.25" customHeight="1">
      <c r="A654" s="32" t="str">
        <f>IMAGE("https://gymvisual.com/24926-catalog_default/barbell-standing-shoulders-press.jpg",4,500,500)</f>
        <v/>
      </c>
      <c r="B654" s="30">
        <v>653.0</v>
      </c>
      <c r="C654" s="16" t="s">
        <v>1102</v>
      </c>
      <c r="D654" s="16" t="s">
        <v>184</v>
      </c>
      <c r="E654" s="16" t="s">
        <v>228</v>
      </c>
      <c r="F654" s="16" t="s">
        <v>186</v>
      </c>
      <c r="G654" s="16" t="s">
        <v>229</v>
      </c>
      <c r="H654" s="16" t="s">
        <v>230</v>
      </c>
    </row>
    <row r="655" ht="20.25" customHeight="1">
      <c r="A655" s="32" t="str">
        <f>IMAGE("https://gymvisual.com/22408-catalog_default/barbell-standing-snatch-grip-shrug.jpg",4,500,500)</f>
        <v/>
      </c>
      <c r="B655" s="30">
        <v>654.0</v>
      </c>
      <c r="C655" s="16" t="s">
        <v>1103</v>
      </c>
      <c r="D655" s="16" t="s">
        <v>184</v>
      </c>
      <c r="E655" s="16" t="s">
        <v>192</v>
      </c>
      <c r="F655" s="16" t="s">
        <v>186</v>
      </c>
      <c r="G655" s="16" t="s">
        <v>220</v>
      </c>
      <c r="H655" s="16" t="s">
        <v>220</v>
      </c>
    </row>
    <row r="656" ht="20.25" customHeight="1">
      <c r="A656" s="32" t="str">
        <f>IMAGE("https://gymvisual.com/361-catalog_default/barbell-standing-twist.jpg",4,500,500)</f>
        <v/>
      </c>
      <c r="B656" s="30">
        <v>655.0</v>
      </c>
      <c r="C656" s="16" t="s">
        <v>1104</v>
      </c>
      <c r="D656" s="16" t="s">
        <v>184</v>
      </c>
      <c r="E656" s="16" t="s">
        <v>254</v>
      </c>
      <c r="F656" s="16" t="s">
        <v>186</v>
      </c>
      <c r="G656" s="16" t="s">
        <v>257</v>
      </c>
      <c r="H656" s="16" t="s">
        <v>271</v>
      </c>
    </row>
    <row r="657" ht="20.25" customHeight="1">
      <c r="A657" s="32" t="str">
        <f>IMAGE("https://gymvisual.com/9820-catalog_default/barbell-standing-twist-female.jpg",4,500,500)</f>
        <v/>
      </c>
      <c r="B657" s="30">
        <v>656.0</v>
      </c>
      <c r="C657" s="16" t="s">
        <v>1105</v>
      </c>
      <c r="D657" s="16" t="s">
        <v>184</v>
      </c>
      <c r="E657" s="16" t="s">
        <v>254</v>
      </c>
      <c r="F657" s="16" t="s">
        <v>186</v>
      </c>
      <c r="G657" s="16" t="s">
        <v>257</v>
      </c>
      <c r="H657" s="16" t="s">
        <v>271</v>
      </c>
    </row>
    <row r="658" ht="20.25" customHeight="1">
      <c r="A658" s="32" t="str">
        <f>IMAGE("https://gymvisual.com/10025-catalog_default/barbell-standing-wide-grip-biceps-curl.jpg",4,500,500)</f>
        <v/>
      </c>
      <c r="B658" s="30">
        <v>657.0</v>
      </c>
      <c r="C658" s="16" t="s">
        <v>1106</v>
      </c>
      <c r="D658" s="16" t="s">
        <v>184</v>
      </c>
      <c r="E658" s="16" t="s">
        <v>219</v>
      </c>
      <c r="F658" s="16" t="s">
        <v>186</v>
      </c>
      <c r="G658" s="16" t="s">
        <v>241</v>
      </c>
      <c r="H658" s="16" t="s">
        <v>232</v>
      </c>
    </row>
    <row r="659" ht="20.25" customHeight="1">
      <c r="A659" s="32" t="str">
        <f>IMAGE("https://gymvisual.com/6488-catalog_default/barbell-standing-wide-military-press.jpg",4,500,500)</f>
        <v/>
      </c>
      <c r="B659" s="30">
        <v>658.0</v>
      </c>
      <c r="C659" s="16" t="s">
        <v>1107</v>
      </c>
      <c r="D659" s="16" t="s">
        <v>184</v>
      </c>
      <c r="E659" s="16" t="s">
        <v>228</v>
      </c>
      <c r="F659" s="16" t="s">
        <v>186</v>
      </c>
      <c r="G659" s="16" t="s">
        <v>229</v>
      </c>
      <c r="H659" s="16" t="s">
        <v>230</v>
      </c>
    </row>
    <row r="660" ht="20.25" customHeight="1">
      <c r="A660" s="32" t="str">
        <f>IMAGE("https://gymvisual.com/13333-catalog_default/barbell-standing-wide-military-press-female.jpg",4,500,500)</f>
        <v/>
      </c>
      <c r="B660" s="30">
        <v>659.0</v>
      </c>
      <c r="C660" s="16" t="s">
        <v>1108</v>
      </c>
      <c r="D660" s="16" t="s">
        <v>184</v>
      </c>
      <c r="E660" s="16" t="s">
        <v>228</v>
      </c>
      <c r="F660" s="16" t="s">
        <v>186</v>
      </c>
      <c r="G660" s="16" t="s">
        <v>220</v>
      </c>
      <c r="H660" s="16" t="s">
        <v>220</v>
      </c>
    </row>
    <row r="661" ht="20.25" customHeight="1">
      <c r="A661" s="32" t="str">
        <f>IMAGE("https://gymvisual.com/364-catalog_default/barbell-standing-wide-grip-curl.jpg",4,500,500)</f>
        <v/>
      </c>
      <c r="B661" s="30">
        <v>660.0</v>
      </c>
      <c r="C661" s="16" t="s">
        <v>1109</v>
      </c>
      <c r="D661" s="16" t="s">
        <v>184</v>
      </c>
      <c r="E661" s="16" t="s">
        <v>219</v>
      </c>
      <c r="F661" s="16" t="s">
        <v>186</v>
      </c>
      <c r="G661" s="16" t="s">
        <v>217</v>
      </c>
      <c r="H661" s="16" t="s">
        <v>216</v>
      </c>
    </row>
    <row r="662" ht="20.25" customHeight="1">
      <c r="A662" s="32" t="str">
        <f>IMAGE("https://gymvisual.com/11074-catalog_default/barbell-step-up-female.jpg",4,500,500)</f>
        <v/>
      </c>
      <c r="B662" s="30">
        <v>661.0</v>
      </c>
      <c r="C662" s="16" t="s">
        <v>1110</v>
      </c>
      <c r="D662" s="16" t="s">
        <v>184</v>
      </c>
      <c r="E662" s="16" t="s">
        <v>294</v>
      </c>
      <c r="F662" s="16" t="s">
        <v>186</v>
      </c>
      <c r="G662" s="16" t="s">
        <v>220</v>
      </c>
      <c r="H662" s="16" t="s">
        <v>220</v>
      </c>
    </row>
    <row r="663" ht="20.25" customHeight="1">
      <c r="A663" s="32" t="str">
        <f>IMAGE("https://gymvisual.com/367-catalog_default/barbell-step-up.jpg",4,500,500)</f>
        <v/>
      </c>
      <c r="B663" s="30">
        <v>662.0</v>
      </c>
      <c r="C663" s="16" t="s">
        <v>1111</v>
      </c>
      <c r="D663" s="16" t="s">
        <v>184</v>
      </c>
      <c r="E663" s="16" t="s">
        <v>285</v>
      </c>
      <c r="F663" s="16" t="s">
        <v>186</v>
      </c>
      <c r="G663" s="16" t="s">
        <v>189</v>
      </c>
      <c r="H663" s="16" t="s">
        <v>190</v>
      </c>
    </row>
    <row r="664" ht="20.25" customHeight="1">
      <c r="A664" s="32" t="str">
        <f>IMAGE("https://gymvisual.com/6790-catalog_default/barbell-stiff-leg-deadlift-on-bench.jpg",4,500,500)</f>
        <v/>
      </c>
      <c r="B664" s="30">
        <v>663.0</v>
      </c>
      <c r="C664" s="16" t="s">
        <v>1112</v>
      </c>
      <c r="D664" s="16" t="s">
        <v>184</v>
      </c>
      <c r="E664" s="16" t="s">
        <v>185</v>
      </c>
      <c r="F664" s="16" t="s">
        <v>186</v>
      </c>
      <c r="G664" s="16" t="s">
        <v>220</v>
      </c>
      <c r="H664" s="16" t="s">
        <v>220</v>
      </c>
    </row>
    <row r="665" ht="20.25" customHeight="1">
      <c r="A665" s="32" t="str">
        <f>IMAGE("https://gymvisual.com/370-catalog_default/barbell-stiff-leg-good-morning.jpg",4,500,500)</f>
        <v/>
      </c>
      <c r="B665" s="30">
        <v>664.0</v>
      </c>
      <c r="C665" s="16" t="s">
        <v>1113</v>
      </c>
      <c r="D665" s="16" t="s">
        <v>184</v>
      </c>
      <c r="E665" s="16" t="s">
        <v>285</v>
      </c>
      <c r="F665" s="16" t="s">
        <v>186</v>
      </c>
      <c r="G665" s="16" t="s">
        <v>1114</v>
      </c>
      <c r="H665" s="16" t="s">
        <v>1115</v>
      </c>
    </row>
    <row r="666" ht="20.25" customHeight="1">
      <c r="A666" s="32" t="str">
        <f>IMAGE("https://gymvisual.com/6791-catalog_default/barbell-stiff-legged-deadlift.jpg",4,500,500)</f>
        <v/>
      </c>
      <c r="B666" s="30">
        <v>665.0</v>
      </c>
      <c r="C666" s="16" t="s">
        <v>1116</v>
      </c>
      <c r="D666" s="16" t="s">
        <v>184</v>
      </c>
      <c r="E666" s="16" t="s">
        <v>185</v>
      </c>
      <c r="F666" s="16" t="s">
        <v>186</v>
      </c>
      <c r="G666" s="16" t="s">
        <v>267</v>
      </c>
      <c r="H666" s="16" t="s">
        <v>188</v>
      </c>
    </row>
    <row r="667" ht="20.25" customHeight="1">
      <c r="A667" s="32" t="str">
        <f>IMAGE("https://gymvisual.com/15635-catalog_default/barbell-straight-leg-deadlift.jpg",4,500,500)</f>
        <v/>
      </c>
      <c r="B667" s="30">
        <v>666.0</v>
      </c>
      <c r="C667" s="16" t="s">
        <v>1117</v>
      </c>
      <c r="D667" s="16" t="s">
        <v>184</v>
      </c>
      <c r="E667" s="16" t="s">
        <v>285</v>
      </c>
      <c r="F667" s="16" t="s">
        <v>186</v>
      </c>
      <c r="G667" s="16" t="s">
        <v>227</v>
      </c>
      <c r="H667" s="16" t="s">
        <v>857</v>
      </c>
    </row>
    <row r="668" ht="20.25" customHeight="1">
      <c r="A668" s="32" t="str">
        <f>IMAGE("https://gymvisual.com/14252-catalog_default/barbell-straight-leg-deadlift-female.jpg",4,500,500)</f>
        <v/>
      </c>
      <c r="B668" s="30">
        <v>667.0</v>
      </c>
      <c r="C668" s="16" t="s">
        <v>1118</v>
      </c>
      <c r="D668" s="16" t="s">
        <v>184</v>
      </c>
      <c r="E668" s="16" t="s">
        <v>185</v>
      </c>
      <c r="F668" s="16" t="s">
        <v>186</v>
      </c>
      <c r="G668" s="16" t="s">
        <v>267</v>
      </c>
      <c r="H668" s="16" t="s">
        <v>188</v>
      </c>
    </row>
    <row r="669" ht="20.25" customHeight="1">
      <c r="A669" s="32" t="str">
        <f>IMAGE("https://gymvisual.com/12180-catalog_default/barbell-suitcase-carry.jpg",4,500,500)</f>
        <v/>
      </c>
      <c r="B669" s="30">
        <v>668.0</v>
      </c>
      <c r="C669" s="16" t="s">
        <v>1119</v>
      </c>
      <c r="D669" s="16" t="s">
        <v>184</v>
      </c>
      <c r="E669" s="16" t="s">
        <v>285</v>
      </c>
      <c r="F669" s="16" t="s">
        <v>186</v>
      </c>
      <c r="G669" s="16" t="s">
        <v>220</v>
      </c>
      <c r="H669" s="16" t="s">
        <v>220</v>
      </c>
    </row>
    <row r="670" ht="20.25" customHeight="1">
      <c r="A670" s="32" t="str">
        <f>IMAGE("https://gymvisual.com/24726-catalog_default/barbell-sumo-deadlift.jpg",4,500,500)</f>
        <v/>
      </c>
      <c r="B670" s="30">
        <v>669.0</v>
      </c>
      <c r="C670" s="16" t="s">
        <v>1120</v>
      </c>
      <c r="D670" s="16" t="s">
        <v>184</v>
      </c>
      <c r="E670" s="16" t="s">
        <v>185</v>
      </c>
      <c r="F670" s="16" t="s">
        <v>186</v>
      </c>
      <c r="G670" s="16" t="s">
        <v>189</v>
      </c>
      <c r="H670" s="16" t="s">
        <v>1121</v>
      </c>
    </row>
    <row r="671" ht="20.25" customHeight="1">
      <c r="A671" s="32" t="str">
        <f>IMAGE("https://gymvisual.com/11122-catalog_default/barbell-sumo-deadlift-female.jpg",4,500,500)</f>
        <v/>
      </c>
      <c r="B671" s="30">
        <v>670.0</v>
      </c>
      <c r="C671" s="16" t="s">
        <v>1122</v>
      </c>
      <c r="D671" s="16" t="s">
        <v>184</v>
      </c>
      <c r="E671" s="16" t="s">
        <v>294</v>
      </c>
      <c r="F671" s="16" t="s">
        <v>186</v>
      </c>
      <c r="G671" s="16" t="s">
        <v>189</v>
      </c>
      <c r="H671" s="16" t="s">
        <v>1121</v>
      </c>
    </row>
    <row r="672" ht="20.25" customHeight="1">
      <c r="A672" s="32" t="str">
        <f>IMAGE("https://gymvisual.com/17915-catalog_default/barbell-sumo-deadlift-from-blocks-male.jpg",4,500,500)</f>
        <v/>
      </c>
      <c r="B672" s="30">
        <v>671.0</v>
      </c>
      <c r="C672" s="16" t="s">
        <v>1123</v>
      </c>
      <c r="D672" s="16" t="s">
        <v>184</v>
      </c>
      <c r="E672" s="16" t="s">
        <v>185</v>
      </c>
      <c r="F672" s="16" t="s">
        <v>186</v>
      </c>
      <c r="G672" s="16" t="s">
        <v>220</v>
      </c>
      <c r="H672" s="16" t="s">
        <v>220</v>
      </c>
    </row>
    <row r="673" ht="20.25" customHeight="1">
      <c r="A673" s="32" t="str">
        <f>IMAGE("https://gymvisual.com/22412-catalog_default/barbell-sumo-deadlift-from-deficit.jpg",4,500,500)</f>
        <v/>
      </c>
      <c r="B673" s="30">
        <v>672.0</v>
      </c>
      <c r="C673" s="16" t="s">
        <v>1124</v>
      </c>
      <c r="D673" s="16" t="s">
        <v>184</v>
      </c>
      <c r="E673" s="16" t="s">
        <v>185</v>
      </c>
      <c r="F673" s="16" t="s">
        <v>186</v>
      </c>
      <c r="G673" s="16" t="s">
        <v>220</v>
      </c>
      <c r="H673" s="16" t="s">
        <v>220</v>
      </c>
    </row>
    <row r="674" ht="20.25" customHeight="1">
      <c r="A674" s="32" t="str">
        <f>IMAGE("https://gymvisual.com/16394-catalog_default/barbell-sumo-romanian-deadlift.jpg",4,500,500)</f>
        <v/>
      </c>
      <c r="B674" s="30">
        <v>673.0</v>
      </c>
      <c r="C674" s="16" t="s">
        <v>1125</v>
      </c>
      <c r="D674" s="16" t="s">
        <v>184</v>
      </c>
      <c r="E674" s="16" t="s">
        <v>185</v>
      </c>
      <c r="F674" s="16" t="s">
        <v>186</v>
      </c>
      <c r="G674" s="16" t="s">
        <v>267</v>
      </c>
      <c r="H674" s="16" t="s">
        <v>975</v>
      </c>
    </row>
    <row r="675" ht="20.25" customHeight="1">
      <c r="A675" s="32" t="str">
        <f>IMAGE("https://gymvisual.com/15659-catalog_default/barbell-sumo-squat.jpg",4,500,500)</f>
        <v/>
      </c>
      <c r="B675" s="30">
        <v>674.0</v>
      </c>
      <c r="C675" s="16" t="s">
        <v>1126</v>
      </c>
      <c r="D675" s="16" t="s">
        <v>184</v>
      </c>
      <c r="E675" s="16" t="s">
        <v>285</v>
      </c>
      <c r="F675" s="16" t="s">
        <v>186</v>
      </c>
      <c r="G675" s="16" t="s">
        <v>189</v>
      </c>
      <c r="H675" s="16" t="s">
        <v>1127</v>
      </c>
    </row>
    <row r="676" ht="20.25" customHeight="1">
      <c r="A676" s="32" t="str">
        <f>IMAGE("https://gymvisual.com/13547-catalog_default/barbell-thruster.jpg",4,500,500)</f>
        <v/>
      </c>
      <c r="B676" s="30">
        <v>675.0</v>
      </c>
      <c r="C676" s="16" t="s">
        <v>1128</v>
      </c>
      <c r="D676" s="16" t="s">
        <v>184</v>
      </c>
      <c r="E676" s="16" t="s">
        <v>1129</v>
      </c>
      <c r="F676" s="16" t="s">
        <v>186</v>
      </c>
      <c r="G676" s="16" t="s">
        <v>793</v>
      </c>
      <c r="H676" s="16" t="s">
        <v>1130</v>
      </c>
    </row>
    <row r="677" ht="20.25" customHeight="1">
      <c r="A677" s="32" t="str">
        <f>IMAGE("https://gymvisual.com/385-catalog_default/barbell-upright-row.jpg",4,500,500)</f>
        <v/>
      </c>
      <c r="B677" s="30">
        <v>676.0</v>
      </c>
      <c r="C677" s="16" t="s">
        <v>50</v>
      </c>
      <c r="D677" s="16" t="s">
        <v>184</v>
      </c>
      <c r="E677" s="16" t="s">
        <v>228</v>
      </c>
      <c r="F677" s="16" t="s">
        <v>186</v>
      </c>
      <c r="G677" s="16" t="s">
        <v>544</v>
      </c>
      <c r="H677" s="16" t="s">
        <v>713</v>
      </c>
    </row>
    <row r="678" ht="20.25" customHeight="1">
      <c r="A678" s="32" t="str">
        <f>IMAGE("https://gymvisual.com/9601-catalog_default/barbell-upright-row-female.jpg",4,500,500)</f>
        <v/>
      </c>
      <c r="B678" s="30">
        <v>677.0</v>
      </c>
      <c r="C678" s="16" t="s">
        <v>1131</v>
      </c>
      <c r="D678" s="16" t="s">
        <v>184</v>
      </c>
      <c r="E678" s="16" t="s">
        <v>228</v>
      </c>
      <c r="F678" s="16" t="s">
        <v>186</v>
      </c>
      <c r="G678" s="16" t="s">
        <v>220</v>
      </c>
      <c r="H678" s="16" t="s">
        <v>220</v>
      </c>
    </row>
    <row r="679" ht="20.25" customHeight="1">
      <c r="A679" s="32" t="str">
        <f>IMAGE("https://gymvisual.com/382-catalog_default/barbell-upright-row-version-2.jpg",4,500,500)</f>
        <v/>
      </c>
      <c r="B679" s="30">
        <v>678.0</v>
      </c>
      <c r="C679" s="16" t="s">
        <v>1132</v>
      </c>
      <c r="D679" s="16" t="s">
        <v>184</v>
      </c>
      <c r="E679" s="16" t="s">
        <v>228</v>
      </c>
      <c r="F679" s="16" t="s">
        <v>186</v>
      </c>
      <c r="G679" s="16" t="s">
        <v>544</v>
      </c>
      <c r="H679" s="16" t="s">
        <v>1133</v>
      </c>
    </row>
    <row r="680" ht="20.25" customHeight="1">
      <c r="A680" s="32" t="str">
        <f>IMAGE("https://gymvisual.com/24788-catalog_default/barbell-upright-row-version-3.jpg",4,500,500)</f>
        <v/>
      </c>
      <c r="B680" s="30">
        <v>679.0</v>
      </c>
      <c r="C680" s="16" t="s">
        <v>1134</v>
      </c>
      <c r="D680" s="16" t="s">
        <v>184</v>
      </c>
      <c r="E680" s="16" t="s">
        <v>228</v>
      </c>
      <c r="F680" s="16" t="s">
        <v>186</v>
      </c>
      <c r="G680" s="16" t="s">
        <v>544</v>
      </c>
      <c r="H680" s="16" t="s">
        <v>713</v>
      </c>
    </row>
    <row r="681" ht="20.25" customHeight="1">
      <c r="A681" s="32" t="str">
        <f>IMAGE("https://gymvisual.com/13161-catalog_default/barbell-weighted-bench-press.jpg",4,500,500)</f>
        <v/>
      </c>
      <c r="B681" s="30">
        <v>680.0</v>
      </c>
      <c r="C681" s="16" t="s">
        <v>1135</v>
      </c>
      <c r="D681" s="16" t="s">
        <v>184</v>
      </c>
      <c r="E681" s="16" t="s">
        <v>234</v>
      </c>
      <c r="F681" s="16" t="s">
        <v>186</v>
      </c>
      <c r="G681" s="16" t="s">
        <v>235</v>
      </c>
      <c r="H681" s="16" t="s">
        <v>243</v>
      </c>
    </row>
    <row r="682" ht="20.25" customHeight="1">
      <c r="A682" s="32" t="str">
        <f>IMAGE("https://gymvisual.com/26128-catalog_default/barbell-weighted-chains-sumo-deadlift.jpg",4,500,500)</f>
        <v/>
      </c>
      <c r="B682" s="30">
        <v>681.0</v>
      </c>
      <c r="C682" s="16" t="s">
        <v>1136</v>
      </c>
      <c r="D682" s="16" t="s">
        <v>184</v>
      </c>
      <c r="E682" s="16" t="s">
        <v>185</v>
      </c>
      <c r="F682" s="16" t="s">
        <v>186</v>
      </c>
      <c r="G682" s="16" t="s">
        <v>220</v>
      </c>
      <c r="H682" s="16" t="s">
        <v>220</v>
      </c>
    </row>
    <row r="683" ht="20.25" customHeight="1">
      <c r="A683" s="32" t="str">
        <f>IMAGE("https://gymvisual.com/13157-catalog_default/barbell-weighted-deadlift.jpg",4,500,500)</f>
        <v/>
      </c>
      <c r="B683" s="30">
        <v>682.0</v>
      </c>
      <c r="C683" s="16" t="s">
        <v>1137</v>
      </c>
      <c r="D683" s="16" t="s">
        <v>184</v>
      </c>
      <c r="E683" s="16" t="s">
        <v>185</v>
      </c>
      <c r="F683" s="16" t="s">
        <v>186</v>
      </c>
      <c r="G683" s="16" t="s">
        <v>189</v>
      </c>
      <c r="H683" s="16" t="s">
        <v>314</v>
      </c>
    </row>
    <row r="684" ht="20.25" customHeight="1">
      <c r="A684" s="32" t="str">
        <f>IMAGE("https://gymvisual.com/13159-catalog_default/barbell-weighted-front-chest-squat.jpg",4,500,500)</f>
        <v/>
      </c>
      <c r="B684" s="30">
        <v>683.0</v>
      </c>
      <c r="C684" s="16" t="s">
        <v>1138</v>
      </c>
      <c r="D684" s="16" t="s">
        <v>184</v>
      </c>
      <c r="E684" s="16" t="s">
        <v>285</v>
      </c>
      <c r="F684" s="16" t="s">
        <v>186</v>
      </c>
      <c r="G684" s="16" t="s">
        <v>189</v>
      </c>
      <c r="H684" s="16" t="s">
        <v>314</v>
      </c>
    </row>
    <row r="685" ht="20.25" customHeight="1">
      <c r="A685" s="32" t="str">
        <f>IMAGE("https://gymvisual.com/13561-catalog_default/barbell-weightlifting-complex.jpg",4,500,500)</f>
        <v/>
      </c>
      <c r="B685" s="30">
        <v>684.0</v>
      </c>
      <c r="C685" s="16" t="s">
        <v>1139</v>
      </c>
      <c r="D685" s="16" t="s">
        <v>184</v>
      </c>
      <c r="E685" s="16" t="s">
        <v>691</v>
      </c>
      <c r="F685" s="16" t="s">
        <v>186</v>
      </c>
      <c r="G685" s="16" t="s">
        <v>793</v>
      </c>
      <c r="H685" s="16" t="s">
        <v>1140</v>
      </c>
    </row>
    <row r="686" ht="20.25" customHeight="1">
      <c r="A686" s="32" t="str">
        <f>IMAGE("https://gymvisual.com/391-catalog_default/barbell-wide-bench-press.jpg",4,500,500)</f>
        <v/>
      </c>
      <c r="B686" s="30">
        <v>685.0</v>
      </c>
      <c r="C686" s="16" t="s">
        <v>1141</v>
      </c>
      <c r="D686" s="16" t="s">
        <v>184</v>
      </c>
      <c r="E686" s="16" t="s">
        <v>234</v>
      </c>
      <c r="F686" s="16" t="s">
        <v>186</v>
      </c>
      <c r="G686" s="16" t="s">
        <v>347</v>
      </c>
      <c r="H686" s="16" t="s">
        <v>382</v>
      </c>
    </row>
    <row r="687" ht="20.25" customHeight="1">
      <c r="A687" s="32" t="str">
        <f>IMAGE("https://gymvisual.com/14254-catalog_default/barbell-wide-grip-upright-row-female.jpg",4,500,500)</f>
        <v/>
      </c>
      <c r="B687" s="30">
        <v>686.0</v>
      </c>
      <c r="C687" s="16" t="s">
        <v>1142</v>
      </c>
      <c r="D687" s="16" t="s">
        <v>184</v>
      </c>
      <c r="E687" s="16" t="s">
        <v>228</v>
      </c>
      <c r="F687" s="16" t="s">
        <v>186</v>
      </c>
      <c r="G687" s="16" t="s">
        <v>544</v>
      </c>
      <c r="H687" s="16" t="s">
        <v>1143</v>
      </c>
    </row>
    <row r="688" ht="20.25" customHeight="1">
      <c r="A688" s="32" t="str">
        <f>IMAGE("https://gymvisual.com/18752-catalog_default/barbell-wide-pullover.jpg",4,500,500)</f>
        <v/>
      </c>
      <c r="B688" s="30">
        <v>687.0</v>
      </c>
      <c r="C688" s="16" t="s">
        <v>1144</v>
      </c>
      <c r="D688" s="16" t="s">
        <v>184</v>
      </c>
      <c r="E688" s="16" t="s">
        <v>192</v>
      </c>
      <c r="F688" s="16" t="s">
        <v>186</v>
      </c>
      <c r="G688" s="16" t="s">
        <v>220</v>
      </c>
      <c r="H688" s="16" t="s">
        <v>220</v>
      </c>
    </row>
    <row r="689" ht="20.25" customHeight="1">
      <c r="A689" s="32" t="str">
        <f>IMAGE("https://gymvisual.com/5947-catalog_default/barbell-wide-reverse-grip-bench-press.jpg",4,500,500)</f>
        <v/>
      </c>
      <c r="B689" s="30">
        <v>688.0</v>
      </c>
      <c r="C689" s="16" t="s">
        <v>823</v>
      </c>
      <c r="D689" s="16" t="s">
        <v>184</v>
      </c>
      <c r="E689" s="16" t="s">
        <v>234</v>
      </c>
      <c r="F689" s="16" t="s">
        <v>186</v>
      </c>
      <c r="G689" s="16" t="s">
        <v>347</v>
      </c>
      <c r="H689" s="16" t="s">
        <v>382</v>
      </c>
    </row>
    <row r="690" ht="20.25" customHeight="1">
      <c r="A690" s="32" t="str">
        <f>IMAGE("https://gymvisual.com/20413-catalog_default/barbell-wide-shrug.jpg",4,500,500)</f>
        <v/>
      </c>
      <c r="B690" s="30">
        <v>689.0</v>
      </c>
      <c r="C690" s="16" t="s">
        <v>1145</v>
      </c>
      <c r="D690" s="16" t="s">
        <v>184</v>
      </c>
      <c r="E690" s="16" t="s">
        <v>192</v>
      </c>
      <c r="F690" s="16" t="s">
        <v>186</v>
      </c>
      <c r="G690" s="16" t="s">
        <v>238</v>
      </c>
      <c r="H690" s="16" t="s">
        <v>239</v>
      </c>
    </row>
    <row r="691" ht="20.25" customHeight="1">
      <c r="A691" s="32" t="str">
        <f>IMAGE("https://gymvisual.com/24918-catalog_default/barbell-wide-squat.jpg",4,500,500)</f>
        <v/>
      </c>
      <c r="B691" s="30">
        <v>690.0</v>
      </c>
      <c r="C691" s="16" t="s">
        <v>1146</v>
      </c>
      <c r="D691" s="16" t="s">
        <v>184</v>
      </c>
      <c r="E691" s="16" t="s">
        <v>285</v>
      </c>
      <c r="F691" s="16" t="s">
        <v>186</v>
      </c>
      <c r="G691" s="16" t="s">
        <v>552</v>
      </c>
      <c r="H691" s="16" t="s">
        <v>553</v>
      </c>
    </row>
    <row r="692" ht="20.25" customHeight="1">
      <c r="A692" s="32" t="str">
        <f>IMAGE("https://gymvisual.com/11125-catalog_default/barbell-wide-squat-female.jpg",4,500,500)</f>
        <v/>
      </c>
      <c r="B692" s="30">
        <v>691.0</v>
      </c>
      <c r="C692" s="16" t="s">
        <v>1147</v>
      </c>
      <c r="D692" s="16" t="s">
        <v>184</v>
      </c>
      <c r="E692" s="16" t="s">
        <v>294</v>
      </c>
      <c r="F692" s="16" t="s">
        <v>186</v>
      </c>
      <c r="G692" s="16" t="s">
        <v>220</v>
      </c>
      <c r="H692" s="16" t="s">
        <v>220</v>
      </c>
    </row>
    <row r="693" ht="20.25" customHeight="1">
      <c r="A693" s="32" t="str">
        <f>IMAGE("https://gymvisual.com/6792-catalog_default/barbell-wide-stance-stiff-leg-deadlift.jpg",4,500,500)</f>
        <v/>
      </c>
      <c r="B693" s="30">
        <v>692.0</v>
      </c>
      <c r="C693" s="16" t="s">
        <v>1148</v>
      </c>
      <c r="D693" s="16" t="s">
        <v>184</v>
      </c>
      <c r="E693" s="16" t="s">
        <v>185</v>
      </c>
      <c r="F693" s="16" t="s">
        <v>186</v>
      </c>
      <c r="G693" s="16" t="s">
        <v>220</v>
      </c>
      <c r="H693" s="16" t="s">
        <v>220</v>
      </c>
    </row>
    <row r="694" ht="20.25" customHeight="1">
      <c r="A694" s="32" t="str">
        <f>IMAGE("https://gymvisual.com/10533-catalog_default/barbell-wide-grip-drag-curl.jpg",4,500,500)</f>
        <v/>
      </c>
      <c r="B694" s="30">
        <v>693.0</v>
      </c>
      <c r="C694" s="16" t="s">
        <v>1149</v>
      </c>
      <c r="D694" s="16" t="s">
        <v>184</v>
      </c>
      <c r="E694" s="16" t="s">
        <v>219</v>
      </c>
      <c r="F694" s="16" t="s">
        <v>186</v>
      </c>
      <c r="G694" s="16" t="s">
        <v>241</v>
      </c>
      <c r="H694" s="16" t="s">
        <v>242</v>
      </c>
    </row>
    <row r="695" ht="20.25" customHeight="1">
      <c r="A695" s="32" t="str">
        <f>IMAGE("https://gymvisual.com/394-catalog_default/barbell-wide-grip-upright-row.jpg",4,500,500)</f>
        <v/>
      </c>
      <c r="B695" s="30">
        <v>694.0</v>
      </c>
      <c r="C695" s="16" t="s">
        <v>1150</v>
      </c>
      <c r="D695" s="16" t="s">
        <v>184</v>
      </c>
      <c r="E695" s="16" t="s">
        <v>228</v>
      </c>
      <c r="F695" s="16" t="s">
        <v>186</v>
      </c>
      <c r="G695" s="16" t="s">
        <v>544</v>
      </c>
      <c r="H695" s="16" t="s">
        <v>1151</v>
      </c>
    </row>
    <row r="696" ht="20.25" customHeight="1">
      <c r="A696" s="32" t="str">
        <f>IMAGE("https://gymvisual.com/403-catalog_default/barbell-wrist-curl.jpg",4,500,500)</f>
        <v/>
      </c>
      <c r="B696" s="30">
        <v>695.0</v>
      </c>
      <c r="C696" s="16" t="s">
        <v>1152</v>
      </c>
      <c r="D696" s="16" t="s">
        <v>184</v>
      </c>
      <c r="E696" s="16" t="s">
        <v>214</v>
      </c>
      <c r="F696" s="16" t="s">
        <v>186</v>
      </c>
      <c r="G696" s="16" t="s">
        <v>720</v>
      </c>
      <c r="H696" s="16" t="s">
        <v>220</v>
      </c>
    </row>
    <row r="697" ht="20.25" customHeight="1">
      <c r="A697" s="32" t="str">
        <f>IMAGE("https://gymvisual.com/13335-catalog_default/barbell-wrist-curl-female.jpg",4,500,500)</f>
        <v/>
      </c>
      <c r="B697" s="30">
        <v>696.0</v>
      </c>
      <c r="C697" s="16" t="s">
        <v>1153</v>
      </c>
      <c r="D697" s="16" t="s">
        <v>184</v>
      </c>
      <c r="E697" s="16" t="s">
        <v>214</v>
      </c>
      <c r="F697" s="16" t="s">
        <v>186</v>
      </c>
      <c r="G697" s="16" t="s">
        <v>720</v>
      </c>
      <c r="H697" s="16" t="s">
        <v>220</v>
      </c>
    </row>
    <row r="698" ht="20.25" customHeight="1">
      <c r="A698" s="32" t="str">
        <f>IMAGE("https://gymvisual.com/400-catalog_default/barbell-wrist-curl-version-2.jpg",4,500,500)</f>
        <v/>
      </c>
      <c r="B698" s="30">
        <v>697.0</v>
      </c>
      <c r="C698" s="16" t="s">
        <v>1154</v>
      </c>
      <c r="D698" s="16" t="s">
        <v>184</v>
      </c>
      <c r="E698" s="16" t="s">
        <v>214</v>
      </c>
      <c r="F698" s="16" t="s">
        <v>186</v>
      </c>
      <c r="G698" s="16" t="s">
        <v>720</v>
      </c>
      <c r="H698" s="16" t="s">
        <v>220</v>
      </c>
    </row>
    <row r="699" ht="20.25" customHeight="1">
      <c r="A699" s="32" t="str">
        <f>IMAGE("https://gymvisual.com/22416-catalog_default/barbell-z-press.jpg",4,500,500)</f>
        <v/>
      </c>
      <c r="B699" s="30">
        <v>698.0</v>
      </c>
      <c r="C699" s="16" t="s">
        <v>1155</v>
      </c>
      <c r="D699" s="16" t="s">
        <v>184</v>
      </c>
      <c r="E699" s="16" t="s">
        <v>228</v>
      </c>
      <c r="F699" s="16" t="s">
        <v>186</v>
      </c>
      <c r="G699" s="16" t="s">
        <v>220</v>
      </c>
      <c r="H699" s="16" t="s">
        <v>220</v>
      </c>
    </row>
    <row r="700" ht="20.25" customHeight="1">
      <c r="A700" s="32" t="str">
        <f>IMAGE("https://gymvisual.com/12177-catalog_default/barbell-zercher-carry.jpg",4,500,500)</f>
        <v/>
      </c>
      <c r="B700" s="30">
        <v>699.0</v>
      </c>
      <c r="C700" s="16" t="s">
        <v>1156</v>
      </c>
      <c r="D700" s="16" t="s">
        <v>184</v>
      </c>
      <c r="E700" s="16" t="s">
        <v>285</v>
      </c>
      <c r="F700" s="16" t="s">
        <v>186</v>
      </c>
      <c r="G700" s="16" t="s">
        <v>220</v>
      </c>
      <c r="H700" s="16" t="s">
        <v>220</v>
      </c>
    </row>
    <row r="701" ht="20.25" customHeight="1">
      <c r="A701" s="32" t="str">
        <f>IMAGE("https://gymvisual.com/25019-catalog_default/barbell-zercher-deadlift.jpg",4,500,500)</f>
        <v/>
      </c>
      <c r="B701" s="30">
        <v>700.0</v>
      </c>
      <c r="C701" s="16" t="s">
        <v>1157</v>
      </c>
      <c r="D701" s="16" t="s">
        <v>184</v>
      </c>
      <c r="E701" s="16" t="s">
        <v>185</v>
      </c>
      <c r="F701" s="16" t="s">
        <v>186</v>
      </c>
      <c r="G701" s="16" t="s">
        <v>220</v>
      </c>
      <c r="H701" s="16" t="s">
        <v>220</v>
      </c>
    </row>
    <row r="702" ht="20.25" customHeight="1">
      <c r="A702" s="32" t="str">
        <f>IMAGE("https://gymvisual.com/406-catalog_default/barbell-zercher-squat.jpg",4,500,500)</f>
        <v/>
      </c>
      <c r="B702" s="30">
        <v>701.0</v>
      </c>
      <c r="C702" s="16" t="s">
        <v>1158</v>
      </c>
      <c r="D702" s="16" t="s">
        <v>184</v>
      </c>
      <c r="E702" s="16" t="s">
        <v>185</v>
      </c>
      <c r="F702" s="16" t="s">
        <v>186</v>
      </c>
      <c r="G702" s="16" t="s">
        <v>189</v>
      </c>
      <c r="H702" s="16" t="s">
        <v>190</v>
      </c>
    </row>
    <row r="703" ht="20.25" customHeight="1">
      <c r="A703" s="32" t="str">
        <f>IMAGE("https://gymvisual.com/9415-catalog_default/battling-ropes.jpg",4,500,500)</f>
        <v/>
      </c>
      <c r="B703" s="30">
        <v>702.0</v>
      </c>
      <c r="C703" s="16" t="s">
        <v>1159</v>
      </c>
      <c r="D703" s="16" t="s">
        <v>184</v>
      </c>
      <c r="E703" s="16" t="s">
        <v>228</v>
      </c>
      <c r="F703" s="16" t="s">
        <v>1160</v>
      </c>
      <c r="G703" s="16" t="s">
        <v>408</v>
      </c>
      <c r="H703" s="16" t="s">
        <v>490</v>
      </c>
    </row>
    <row r="704" ht="20.25" customHeight="1">
      <c r="A704" s="32" t="str">
        <f>IMAGE("https://gymvisual.com/11254-catalog_default/battling-ropes-female.jpg",4,500,500)</f>
        <v/>
      </c>
      <c r="B704" s="30">
        <v>703.0</v>
      </c>
      <c r="C704" s="16" t="s">
        <v>1161</v>
      </c>
      <c r="D704" s="16" t="s">
        <v>184</v>
      </c>
      <c r="E704" s="16" t="s">
        <v>1162</v>
      </c>
      <c r="F704" s="16" t="s">
        <v>1163</v>
      </c>
      <c r="G704" s="16" t="s">
        <v>220</v>
      </c>
      <c r="H704" s="16" t="s">
        <v>220</v>
      </c>
    </row>
    <row r="705" ht="20.25" customHeight="1">
      <c r="A705" s="32" t="str">
        <f>IMAGE("https://gymvisual.com/13707-catalog_default/battling-ropes-alternate-arms-side-lunge.jpg",4,500,500)</f>
        <v/>
      </c>
      <c r="B705" s="30">
        <v>704.0</v>
      </c>
      <c r="C705" s="16" t="s">
        <v>1164</v>
      </c>
      <c r="D705" s="16" t="s">
        <v>184</v>
      </c>
      <c r="E705" s="16" t="s">
        <v>1165</v>
      </c>
      <c r="F705" s="16" t="s">
        <v>1163</v>
      </c>
      <c r="G705" s="16" t="s">
        <v>220</v>
      </c>
      <c r="H705" s="16" t="s">
        <v>220</v>
      </c>
    </row>
    <row r="706" ht="20.25" customHeight="1">
      <c r="A706" s="32" t="str">
        <f>IMAGE("https://gymvisual.com/13701-catalog_default/battling-ropes-alternate-arms-squat.jpg",4,500,500)</f>
        <v/>
      </c>
      <c r="B706" s="30">
        <v>705.0</v>
      </c>
      <c r="C706" s="16" t="s">
        <v>1166</v>
      </c>
      <c r="D706" s="16" t="s">
        <v>184</v>
      </c>
      <c r="E706" s="16" t="s">
        <v>1165</v>
      </c>
      <c r="F706" s="16" t="s">
        <v>1163</v>
      </c>
      <c r="G706" s="16" t="s">
        <v>220</v>
      </c>
      <c r="H706" s="16" t="s">
        <v>220</v>
      </c>
    </row>
    <row r="707" ht="20.25" customHeight="1">
      <c r="A707" s="32" t="str">
        <f>IMAGE("https://gymvisual.com/13713-catalog_default/battling-ropes-fly.jpg",4,500,500)</f>
        <v/>
      </c>
      <c r="B707" s="30">
        <v>706.0</v>
      </c>
      <c r="C707" s="16" t="s">
        <v>1167</v>
      </c>
      <c r="D707" s="16" t="s">
        <v>184</v>
      </c>
      <c r="E707" s="16" t="s">
        <v>1168</v>
      </c>
      <c r="F707" s="16" t="s">
        <v>1163</v>
      </c>
      <c r="G707" s="16" t="s">
        <v>220</v>
      </c>
      <c r="H707" s="16" t="s">
        <v>220</v>
      </c>
    </row>
    <row r="708" ht="20.25" customHeight="1">
      <c r="A708" s="32" t="str">
        <f>IMAGE("https://gymvisual.com/13721-catalog_default/battling-ropes-high-waves.jpg",4,500,500)</f>
        <v/>
      </c>
      <c r="B708" s="30">
        <v>707.0</v>
      </c>
      <c r="C708" s="16" t="s">
        <v>1169</v>
      </c>
      <c r="D708" s="16" t="s">
        <v>184</v>
      </c>
      <c r="E708" s="16" t="s">
        <v>1170</v>
      </c>
      <c r="F708" s="16" t="s">
        <v>1163</v>
      </c>
      <c r="G708" s="16" t="s">
        <v>220</v>
      </c>
      <c r="H708" s="16" t="s">
        <v>220</v>
      </c>
    </row>
    <row r="709" ht="20.25" customHeight="1">
      <c r="A709" s="32" t="str">
        <f>IMAGE("https://gymvisual.com/13709-catalog_default/battling-ropes-inside-circle.jpg",4,500,500)</f>
        <v/>
      </c>
      <c r="B709" s="30">
        <v>708.0</v>
      </c>
      <c r="C709" s="16" t="s">
        <v>1171</v>
      </c>
      <c r="D709" s="16" t="s">
        <v>184</v>
      </c>
      <c r="E709" s="16" t="s">
        <v>1172</v>
      </c>
      <c r="F709" s="16" t="s">
        <v>1163</v>
      </c>
      <c r="G709" s="16" t="s">
        <v>220</v>
      </c>
      <c r="H709" s="16" t="s">
        <v>220</v>
      </c>
    </row>
    <row r="710" ht="20.25" customHeight="1">
      <c r="A710" s="32" t="str">
        <f>IMAGE("https://gymvisual.com/13723-catalog_default/battling-ropes-low-waves.jpg",4,500,500)</f>
        <v/>
      </c>
      <c r="B710" s="30">
        <v>709.0</v>
      </c>
      <c r="C710" s="16" t="s">
        <v>1173</v>
      </c>
      <c r="D710" s="16" t="s">
        <v>184</v>
      </c>
      <c r="E710" s="16" t="s">
        <v>1174</v>
      </c>
      <c r="F710" s="16" t="s">
        <v>1163</v>
      </c>
      <c r="G710" s="16" t="s">
        <v>220</v>
      </c>
      <c r="H710" s="16" t="s">
        <v>220</v>
      </c>
    </row>
    <row r="711" ht="20.25" customHeight="1">
      <c r="A711" s="32" t="str">
        <f>IMAGE("https://gymvisual.com/13711-catalog_default/battling-ropes-outside-circle.jpg",4,500,500)</f>
        <v/>
      </c>
      <c r="B711" s="30">
        <v>710.0</v>
      </c>
      <c r="C711" s="16" t="s">
        <v>1175</v>
      </c>
      <c r="D711" s="16" t="s">
        <v>184</v>
      </c>
      <c r="E711" s="16" t="s">
        <v>1172</v>
      </c>
      <c r="F711" s="16" t="s">
        <v>1163</v>
      </c>
      <c r="G711" s="16" t="s">
        <v>220</v>
      </c>
      <c r="H711" s="16" t="s">
        <v>220</v>
      </c>
    </row>
    <row r="712" ht="20.25" customHeight="1">
      <c r="A712" s="32" t="str">
        <f>IMAGE("https://gymvisual.com/13731-catalog_default/battling-ropes-power-slam.jpg",4,500,500)</f>
        <v/>
      </c>
      <c r="B712" s="30">
        <v>711.0</v>
      </c>
      <c r="C712" s="16" t="s">
        <v>1176</v>
      </c>
      <c r="D712" s="16" t="s">
        <v>184</v>
      </c>
      <c r="E712" s="16" t="s">
        <v>1177</v>
      </c>
      <c r="F712" s="16" t="s">
        <v>1163</v>
      </c>
      <c r="G712" s="16" t="s">
        <v>220</v>
      </c>
      <c r="H712" s="16" t="s">
        <v>220</v>
      </c>
    </row>
    <row r="713" ht="20.25" customHeight="1">
      <c r="A713" s="32" t="str">
        <f>IMAGE("https://gymvisual.com/13717-catalog_default/battling-ropes-russian-twist.jpg",4,500,500)</f>
        <v/>
      </c>
      <c r="B713" s="30">
        <v>712.0</v>
      </c>
      <c r="C713" s="16" t="s">
        <v>1178</v>
      </c>
      <c r="D713" s="16" t="s">
        <v>184</v>
      </c>
      <c r="E713" s="16" t="s">
        <v>254</v>
      </c>
      <c r="F713" s="16" t="s">
        <v>1163</v>
      </c>
      <c r="G713" s="16" t="s">
        <v>220</v>
      </c>
      <c r="H713" s="16" t="s">
        <v>220</v>
      </c>
    </row>
    <row r="714" ht="20.25" customHeight="1">
      <c r="A714" s="32" t="str">
        <f>IMAGE("https://gymvisual.com/13705-catalog_default/battling-ropes-side-to-side-arms.jpg",4,500,500)</f>
        <v/>
      </c>
      <c r="B714" s="30">
        <v>713.0</v>
      </c>
      <c r="C714" s="16" t="s">
        <v>1179</v>
      </c>
      <c r="D714" s="16" t="s">
        <v>184</v>
      </c>
      <c r="E714" s="16" t="s">
        <v>1177</v>
      </c>
      <c r="F714" s="16" t="s">
        <v>1163</v>
      </c>
      <c r="G714" s="16" t="s">
        <v>220</v>
      </c>
      <c r="H714" s="16" t="s">
        <v>220</v>
      </c>
    </row>
    <row r="715" ht="20.25" customHeight="1">
      <c r="A715" s="32" t="str">
        <f>IMAGE("https://gymvisual.com/412-catalog_default/bench-dip-knees-bent.jpg",4,500,500)</f>
        <v/>
      </c>
      <c r="B715" s="30">
        <v>714.0</v>
      </c>
      <c r="C715" s="16" t="s">
        <v>1180</v>
      </c>
      <c r="D715" s="16" t="s">
        <v>184</v>
      </c>
      <c r="E715" s="16" t="s">
        <v>219</v>
      </c>
      <c r="F715" s="16" t="s">
        <v>255</v>
      </c>
      <c r="G715" s="16" t="s">
        <v>223</v>
      </c>
      <c r="H715" s="16" t="s">
        <v>1181</v>
      </c>
    </row>
    <row r="716" ht="20.25" customHeight="1">
      <c r="A716" s="32" t="str">
        <f>IMAGE("https://gymvisual.com/10303-catalog_default/bench-dip-knees-bent-female.jpg",4,500,500)</f>
        <v/>
      </c>
      <c r="B716" s="30">
        <v>715.0</v>
      </c>
      <c r="C716" s="16" t="s">
        <v>1182</v>
      </c>
      <c r="D716" s="16" t="s">
        <v>184</v>
      </c>
      <c r="E716" s="16" t="s">
        <v>219</v>
      </c>
      <c r="F716" s="16" t="s">
        <v>255</v>
      </c>
      <c r="G716" s="16" t="s">
        <v>223</v>
      </c>
      <c r="H716" s="16" t="s">
        <v>1183</v>
      </c>
    </row>
    <row r="717" ht="20.25" customHeight="1">
      <c r="A717" s="32" t="str">
        <f>IMAGE("https://gymvisual.com/10192-catalog_default/bench-dip-back-arms-wrong-right.jpg",4,500,500)</f>
        <v/>
      </c>
      <c r="B717" s="30">
        <v>716.0</v>
      </c>
      <c r="C717" s="16" t="s">
        <v>1184</v>
      </c>
      <c r="D717" s="16" t="s">
        <v>184</v>
      </c>
      <c r="E717" s="16" t="s">
        <v>219</v>
      </c>
      <c r="F717" s="16" t="s">
        <v>255</v>
      </c>
      <c r="G717" s="16" t="s">
        <v>220</v>
      </c>
      <c r="H717" s="16" t="s">
        <v>220</v>
      </c>
    </row>
    <row r="718" ht="20.25" customHeight="1">
      <c r="A718" s="32" t="str">
        <f>IMAGE("https://gymvisual.com/6240-catalog_default/bench-dip-on-floor.jpg",4,500,500)</f>
        <v/>
      </c>
      <c r="B718" s="30">
        <v>717.0</v>
      </c>
      <c r="C718" s="16" t="s">
        <v>1185</v>
      </c>
      <c r="D718" s="16" t="s">
        <v>184</v>
      </c>
      <c r="E718" s="16" t="s">
        <v>219</v>
      </c>
      <c r="F718" s="16" t="s">
        <v>255</v>
      </c>
      <c r="G718" s="16" t="s">
        <v>223</v>
      </c>
      <c r="H718" s="16" t="s">
        <v>394</v>
      </c>
    </row>
    <row r="719" ht="20.25" customHeight="1">
      <c r="A719" s="32" t="str">
        <f>IMAGE("https://gymvisual.com/20672-catalog_default/bench-dip-on-floor-female.jpg",4,500,500)</f>
        <v/>
      </c>
      <c r="B719" s="30">
        <v>718.0</v>
      </c>
      <c r="C719" s="16" t="s">
        <v>1186</v>
      </c>
      <c r="D719" s="16" t="s">
        <v>184</v>
      </c>
      <c r="E719" s="16" t="s">
        <v>219</v>
      </c>
      <c r="F719" s="16" t="s">
        <v>255</v>
      </c>
      <c r="G719" s="16" t="s">
        <v>223</v>
      </c>
      <c r="H719" s="16" t="s">
        <v>394</v>
      </c>
    </row>
    <row r="720" ht="20.25" customHeight="1">
      <c r="A720" s="32" t="str">
        <f>IMAGE("https://gymvisual.com/18779-catalog_default/bench-dip-on-floor-version-2.jpg",4,500,500)</f>
        <v/>
      </c>
      <c r="B720" s="30">
        <v>719.0</v>
      </c>
      <c r="C720" s="16" t="s">
        <v>1187</v>
      </c>
      <c r="D720" s="16" t="s">
        <v>184</v>
      </c>
      <c r="E720" s="16" t="s">
        <v>219</v>
      </c>
      <c r="F720" s="16" t="s">
        <v>255</v>
      </c>
      <c r="G720" s="16" t="s">
        <v>223</v>
      </c>
      <c r="H720" s="16" t="s">
        <v>1188</v>
      </c>
    </row>
    <row r="721" ht="20.25" customHeight="1">
      <c r="A721" s="32" t="str">
        <f>IMAGE("https://gymvisual.com/24286-catalog_default/bench-dip-on-stability-ball.jpg",4,500,500)</f>
        <v/>
      </c>
      <c r="B721" s="30">
        <v>720.0</v>
      </c>
      <c r="C721" s="16" t="s">
        <v>1189</v>
      </c>
      <c r="D721" s="16" t="s">
        <v>184</v>
      </c>
      <c r="E721" s="16" t="s">
        <v>219</v>
      </c>
      <c r="F721" s="16" t="s">
        <v>255</v>
      </c>
      <c r="G721" s="16" t="s">
        <v>223</v>
      </c>
      <c r="H721" s="16" t="s">
        <v>1190</v>
      </c>
    </row>
    <row r="722" ht="20.25" customHeight="1">
      <c r="A722" s="32" t="str">
        <f>IMAGE("https://gymvisual.com/18925-catalog_default/bench-dip-with-legs-on-bench.jpg",4,500,500)</f>
        <v/>
      </c>
      <c r="B722" s="30">
        <v>721.0</v>
      </c>
      <c r="C722" s="16" t="s">
        <v>1191</v>
      </c>
      <c r="D722" s="16" t="s">
        <v>184</v>
      </c>
      <c r="E722" s="16" t="s">
        <v>219</v>
      </c>
      <c r="F722" s="16" t="s">
        <v>255</v>
      </c>
      <c r="G722" s="16" t="s">
        <v>223</v>
      </c>
      <c r="H722" s="16" t="s">
        <v>1188</v>
      </c>
    </row>
    <row r="723" ht="20.25" customHeight="1">
      <c r="A723" s="32" t="str">
        <f>IMAGE("https://gymvisual.com/11239-catalog_default/bench-full-squat-female.jpg",4,500,500)</f>
        <v/>
      </c>
      <c r="B723" s="30">
        <v>722.0</v>
      </c>
      <c r="C723" s="16" t="s">
        <v>1192</v>
      </c>
      <c r="D723" s="16" t="s">
        <v>184</v>
      </c>
      <c r="E723" s="16" t="s">
        <v>294</v>
      </c>
      <c r="F723" s="16" t="s">
        <v>255</v>
      </c>
      <c r="G723" s="16" t="s">
        <v>220</v>
      </c>
      <c r="H723" s="16" t="s">
        <v>220</v>
      </c>
    </row>
    <row r="724" ht="20.25" customHeight="1">
      <c r="A724" s="32" t="str">
        <f>IMAGE("https://gymvisual.com/415-catalog_default/bench-hip-extension.jpg",4,500,500)</f>
        <v/>
      </c>
      <c r="B724" s="30">
        <v>723.0</v>
      </c>
      <c r="C724" s="16" t="s">
        <v>1193</v>
      </c>
      <c r="D724" s="16" t="s">
        <v>184</v>
      </c>
      <c r="E724" s="16" t="s">
        <v>185</v>
      </c>
      <c r="F724" s="16" t="s">
        <v>255</v>
      </c>
      <c r="G724" s="16" t="s">
        <v>187</v>
      </c>
      <c r="H724" s="16" t="s">
        <v>188</v>
      </c>
    </row>
    <row r="725" ht="20.25" customHeight="1">
      <c r="A725" s="32" t="str">
        <f>IMAGE("https://gymvisual.com/12424-catalog_default/bench-pull-ups.jpg",4,500,500)</f>
        <v/>
      </c>
      <c r="B725" s="30">
        <v>724.0</v>
      </c>
      <c r="C725" s="16" t="s">
        <v>1194</v>
      </c>
      <c r="D725" s="16" t="s">
        <v>184</v>
      </c>
      <c r="E725" s="16" t="s">
        <v>192</v>
      </c>
      <c r="F725" s="16" t="s">
        <v>255</v>
      </c>
      <c r="G725" s="16" t="s">
        <v>300</v>
      </c>
      <c r="H725" s="16" t="s">
        <v>387</v>
      </c>
    </row>
    <row r="726" ht="20.25" customHeight="1">
      <c r="A726" s="32" t="str">
        <f>IMAGE("https://gymvisual.com/12427-catalog_default/bench-pull-ups-female.jpg",4,500,500)</f>
        <v/>
      </c>
      <c r="B726" s="30">
        <v>725.0</v>
      </c>
      <c r="C726" s="16" t="s">
        <v>1195</v>
      </c>
      <c r="D726" s="16" t="s">
        <v>184</v>
      </c>
      <c r="E726" s="16" t="s">
        <v>192</v>
      </c>
      <c r="F726" s="16" t="s">
        <v>255</v>
      </c>
      <c r="G726" s="16" t="s">
        <v>300</v>
      </c>
      <c r="H726" s="16" t="s">
        <v>387</v>
      </c>
    </row>
    <row r="727" ht="20.25" customHeight="1">
      <c r="A727" s="32" t="str">
        <f>IMAGE("https://gymvisual.com/18256-catalog_default/bench-reverse-crunch-circle.jpg",4,500,500)</f>
        <v/>
      </c>
      <c r="B727" s="30">
        <v>726.0</v>
      </c>
      <c r="C727" s="16" t="s">
        <v>1196</v>
      </c>
      <c r="D727" s="16" t="s">
        <v>184</v>
      </c>
      <c r="E727" s="16" t="s">
        <v>310</v>
      </c>
      <c r="F727" s="16" t="s">
        <v>255</v>
      </c>
      <c r="G727" s="16" t="s">
        <v>1197</v>
      </c>
      <c r="H727" s="16" t="s">
        <v>1198</v>
      </c>
    </row>
    <row r="728" ht="20.25" customHeight="1">
      <c r="A728" s="32" t="str">
        <f>IMAGE("https://gymvisual.com/23949-catalog_default/bent-arms-chin-up.jpg",4,500,500)</f>
        <v/>
      </c>
      <c r="B728" s="30">
        <v>727.0</v>
      </c>
      <c r="C728" s="16" t="s">
        <v>1199</v>
      </c>
      <c r="D728" s="16" t="s">
        <v>184</v>
      </c>
      <c r="E728" s="16" t="s">
        <v>192</v>
      </c>
      <c r="F728" s="16" t="s">
        <v>255</v>
      </c>
      <c r="G728" s="16" t="s">
        <v>220</v>
      </c>
      <c r="H728" s="16" t="s">
        <v>220</v>
      </c>
    </row>
    <row r="729" ht="20.25" customHeight="1">
      <c r="A729" s="32" t="str">
        <f>IMAGE("https://gymvisual.com/23653-catalog_default/bent-knee-back-to-side-kick-female.jpg",4,500,500)</f>
        <v/>
      </c>
      <c r="B729" s="30">
        <v>728.0</v>
      </c>
      <c r="C729" s="16" t="s">
        <v>1200</v>
      </c>
      <c r="D729" s="16" t="s">
        <v>184</v>
      </c>
      <c r="E729" s="16" t="s">
        <v>185</v>
      </c>
      <c r="F729" s="16" t="s">
        <v>255</v>
      </c>
      <c r="G729" s="16" t="s">
        <v>1201</v>
      </c>
      <c r="H729" s="16" t="s">
        <v>1202</v>
      </c>
    </row>
    <row r="730" ht="20.25" customHeight="1">
      <c r="A730" s="32" t="str">
        <f>IMAGE("https://gymvisual.com/23659-catalog_default/bent-knee-back-to-side-kick-male.jpg",4,500,500)</f>
        <v/>
      </c>
      <c r="B730" s="30">
        <v>729.0</v>
      </c>
      <c r="C730" s="16" t="s">
        <v>1203</v>
      </c>
      <c r="D730" s="16" t="s">
        <v>184</v>
      </c>
      <c r="E730" s="16" t="s">
        <v>185</v>
      </c>
      <c r="F730" s="16" t="s">
        <v>255</v>
      </c>
      <c r="G730" s="16" t="s">
        <v>1201</v>
      </c>
      <c r="H730" s="16" t="s">
        <v>1204</v>
      </c>
    </row>
    <row r="731" ht="20.25" customHeight="1">
      <c r="A731" s="32" t="str">
        <f>IMAGE("https://gymvisual.com/14368-catalog_default/bent-knee-lying-twist-male.jpg",4,500,500)</f>
        <v/>
      </c>
      <c r="B731" s="30">
        <v>730.0</v>
      </c>
      <c r="C731" s="16" t="s">
        <v>1205</v>
      </c>
      <c r="D731" s="16" t="s">
        <v>184</v>
      </c>
      <c r="E731" s="16" t="s">
        <v>185</v>
      </c>
      <c r="F731" s="16" t="s">
        <v>255</v>
      </c>
      <c r="G731" s="16" t="s">
        <v>475</v>
      </c>
      <c r="H731" s="16" t="s">
        <v>1206</v>
      </c>
    </row>
    <row r="732" ht="20.25" customHeight="1">
      <c r="A732" s="32" t="str">
        <f>IMAGE("https://gymvisual.com/11265-catalog_default/bent-leg-circle-kick-kneeling-female.jpg",4,500,500)</f>
        <v/>
      </c>
      <c r="B732" s="30">
        <v>731.0</v>
      </c>
      <c r="C732" s="16" t="s">
        <v>1207</v>
      </c>
      <c r="D732" s="16" t="s">
        <v>184</v>
      </c>
      <c r="E732" s="16" t="s">
        <v>185</v>
      </c>
      <c r="F732" s="16" t="s">
        <v>255</v>
      </c>
      <c r="G732" s="16" t="s">
        <v>220</v>
      </c>
      <c r="H732" s="16" t="s">
        <v>220</v>
      </c>
    </row>
    <row r="733" ht="20.25" customHeight="1">
      <c r="A733" s="32" t="str">
        <f>IMAGE("https://gymvisual.com/6415-catalog_default/bent-leg-kickback-kneeling.jpg",4,500,500)</f>
        <v/>
      </c>
      <c r="B733" s="30">
        <v>732.0</v>
      </c>
      <c r="C733" s="16" t="s">
        <v>1208</v>
      </c>
      <c r="D733" s="16" t="s">
        <v>184</v>
      </c>
      <c r="E733" s="16" t="s">
        <v>185</v>
      </c>
      <c r="F733" s="16" t="s">
        <v>255</v>
      </c>
      <c r="G733" s="16" t="s">
        <v>187</v>
      </c>
      <c r="H733" s="16" t="s">
        <v>220</v>
      </c>
    </row>
    <row r="734" ht="20.25" customHeight="1">
      <c r="A734" s="32" t="str">
        <f>IMAGE("https://gymvisual.com/13337-catalog_default/bent-leg-kickback-kneeling-male.jpg",4,500,500)</f>
        <v/>
      </c>
      <c r="B734" s="30">
        <v>733.0</v>
      </c>
      <c r="C734" s="16" t="s">
        <v>1209</v>
      </c>
      <c r="D734" s="16" t="s">
        <v>184</v>
      </c>
      <c r="E734" s="16" t="s">
        <v>185</v>
      </c>
      <c r="F734" s="16" t="s">
        <v>255</v>
      </c>
      <c r="G734" s="16" t="s">
        <v>187</v>
      </c>
      <c r="H734" s="16" t="s">
        <v>220</v>
      </c>
    </row>
    <row r="735" ht="20.25" customHeight="1">
      <c r="A735" s="32" t="str">
        <f>IMAGE("https://gymvisual.com/6417-catalog_default/bent-leg-side-kick-kneeling.jpg",4,500,500)</f>
        <v/>
      </c>
      <c r="B735" s="30">
        <v>734.0</v>
      </c>
      <c r="C735" s="16" t="s">
        <v>1210</v>
      </c>
      <c r="D735" s="16" t="s">
        <v>184</v>
      </c>
      <c r="E735" s="16" t="s">
        <v>185</v>
      </c>
      <c r="F735" s="16" t="s">
        <v>255</v>
      </c>
      <c r="G735" s="16" t="s">
        <v>475</v>
      </c>
      <c r="H735" s="16" t="s">
        <v>476</v>
      </c>
    </row>
    <row r="736" ht="20.25" customHeight="1">
      <c r="A736" s="32" t="str">
        <f>IMAGE("https://gymvisual.com/13339-catalog_default/bent-leg-side-kick-kneeling-male.jpg",4,500,500)</f>
        <v/>
      </c>
      <c r="B736" s="30">
        <v>735.0</v>
      </c>
      <c r="C736" s="16" t="s">
        <v>1211</v>
      </c>
      <c r="D736" s="16" t="s">
        <v>184</v>
      </c>
      <c r="E736" s="16" t="s">
        <v>185</v>
      </c>
      <c r="F736" s="16" t="s">
        <v>255</v>
      </c>
      <c r="G736" s="16" t="s">
        <v>475</v>
      </c>
      <c r="H736" s="16" t="s">
        <v>476</v>
      </c>
    </row>
    <row r="737" ht="20.25" customHeight="1">
      <c r="A737" s="32" t="str">
        <f>IMAGE("https://gymvisual.com/427-catalog_default/bent-side-knee-push-up.jpg",4,500,500)</f>
        <v/>
      </c>
      <c r="B737" s="30">
        <v>736.0</v>
      </c>
      <c r="C737" s="16" t="s">
        <v>1212</v>
      </c>
      <c r="D737" s="16" t="s">
        <v>184</v>
      </c>
      <c r="E737" s="16" t="s">
        <v>185</v>
      </c>
      <c r="F737" s="16" t="s">
        <v>255</v>
      </c>
      <c r="G737" s="16" t="s">
        <v>1213</v>
      </c>
      <c r="H737" s="16" t="s">
        <v>1214</v>
      </c>
    </row>
    <row r="738" ht="20.25" customHeight="1">
      <c r="A738" s="32" t="str">
        <f>IMAGE("https://gymvisual.com/13109-catalog_default/bent-knee-lying-twist.jpg",4,500,500)</f>
        <v/>
      </c>
      <c r="B738" s="30">
        <v>737.0</v>
      </c>
      <c r="C738" s="16" t="s">
        <v>1215</v>
      </c>
      <c r="D738" s="16" t="s">
        <v>184</v>
      </c>
      <c r="E738" s="16" t="s">
        <v>254</v>
      </c>
      <c r="F738" s="16" t="s">
        <v>255</v>
      </c>
      <c r="G738" s="16" t="s">
        <v>257</v>
      </c>
      <c r="H738" s="16" t="s">
        <v>220</v>
      </c>
    </row>
    <row r="739" ht="20.25" customHeight="1">
      <c r="A739" s="32" t="str">
        <f>IMAGE("https://gymvisual.com/418-catalog_default/bent-knee-lying-twist-on-stability-ball.jpg",4,500,500)</f>
        <v/>
      </c>
      <c r="B739" s="30">
        <v>738.0</v>
      </c>
      <c r="C739" s="16" t="s">
        <v>1216</v>
      </c>
      <c r="D739" s="16" t="s">
        <v>184</v>
      </c>
      <c r="E739" s="16" t="s">
        <v>254</v>
      </c>
      <c r="F739" s="16" t="s">
        <v>399</v>
      </c>
      <c r="G739" s="16" t="s">
        <v>257</v>
      </c>
      <c r="H739" s="16" t="s">
        <v>220</v>
      </c>
    </row>
    <row r="740" ht="20.25" customHeight="1">
      <c r="A740" s="32" t="str">
        <f>IMAGE("https://gymvisual.com/424-catalog_default/bent-knee-side-plank.jpg",4,500,500)</f>
        <v/>
      </c>
      <c r="B740" s="30">
        <v>739.0</v>
      </c>
      <c r="C740" s="16" t="s">
        <v>1217</v>
      </c>
      <c r="D740" s="16" t="s">
        <v>184</v>
      </c>
      <c r="E740" s="16" t="s">
        <v>254</v>
      </c>
      <c r="F740" s="16" t="s">
        <v>255</v>
      </c>
      <c r="G740" s="16" t="s">
        <v>257</v>
      </c>
      <c r="H740" s="16" t="s">
        <v>220</v>
      </c>
    </row>
    <row r="741" ht="20.25" customHeight="1">
      <c r="A741" s="32" t="str">
        <f>IMAGE("https://gymvisual.com/10186-catalog_default/bent-over-row-back-wrong-right.jpg",4,500,500)</f>
        <v/>
      </c>
      <c r="B741" s="30">
        <v>740.0</v>
      </c>
      <c r="C741" s="16" t="s">
        <v>1218</v>
      </c>
      <c r="D741" s="16" t="s">
        <v>184</v>
      </c>
      <c r="E741" s="16" t="s">
        <v>192</v>
      </c>
      <c r="F741" s="16" t="s">
        <v>222</v>
      </c>
      <c r="G741" s="16" t="s">
        <v>220</v>
      </c>
      <c r="H741" s="16" t="s">
        <v>220</v>
      </c>
    </row>
    <row r="742" ht="20.25" customHeight="1">
      <c r="A742" s="32" t="str">
        <f>IMAGE("https://gymvisual.com/19387-catalog_default/bent-over-row-with-towel.jpg",4,500,500)</f>
        <v/>
      </c>
      <c r="B742" s="30">
        <v>741.0</v>
      </c>
      <c r="C742" s="16" t="s">
        <v>1219</v>
      </c>
      <c r="D742" s="16" t="s">
        <v>184</v>
      </c>
      <c r="E742" s="16" t="s">
        <v>192</v>
      </c>
      <c r="F742" s="16" t="s">
        <v>255</v>
      </c>
      <c r="G742" s="16" t="s">
        <v>570</v>
      </c>
      <c r="H742" s="16" t="s">
        <v>447</v>
      </c>
    </row>
    <row r="743" ht="20.25" customHeight="1">
      <c r="A743" s="32" t="str">
        <f>IMAGE("https://gymvisual.com/10207-catalog_default/biceps-curl-arms-body-wrong-right.jpg",4,500,500)</f>
        <v/>
      </c>
      <c r="B743" s="30">
        <v>742.0</v>
      </c>
      <c r="C743" s="16" t="s">
        <v>1220</v>
      </c>
      <c r="D743" s="16" t="s">
        <v>184</v>
      </c>
      <c r="E743" s="16" t="s">
        <v>219</v>
      </c>
      <c r="F743" s="16" t="s">
        <v>222</v>
      </c>
      <c r="G743" s="16" t="s">
        <v>220</v>
      </c>
      <c r="H743" s="16" t="s">
        <v>220</v>
      </c>
    </row>
    <row r="744" ht="20.25" customHeight="1">
      <c r="A744" s="32" t="str">
        <f>IMAGE("https://gymvisual.com/16538-catalog_default/biceps-curl-with-bed-sheet.jpg",4,500,500)</f>
        <v/>
      </c>
      <c r="B744" s="30">
        <v>743.0</v>
      </c>
      <c r="C744" s="16" t="s">
        <v>1221</v>
      </c>
      <c r="D744" s="16" t="s">
        <v>184</v>
      </c>
      <c r="E744" s="16" t="s">
        <v>219</v>
      </c>
      <c r="F744" s="16" t="s">
        <v>255</v>
      </c>
      <c r="G744" s="16" t="s">
        <v>241</v>
      </c>
      <c r="H744" s="16" t="s">
        <v>292</v>
      </c>
    </row>
    <row r="745" ht="20.25" customHeight="1">
      <c r="A745" s="32" t="str">
        <f>IMAGE("https://gymvisual.com/7619-catalog_default/biceps-leg-concentration-curl.jpg",4,500,500)</f>
        <v/>
      </c>
      <c r="B745" s="30">
        <v>744.0</v>
      </c>
      <c r="C745" s="16" t="s">
        <v>1222</v>
      </c>
      <c r="D745" s="16" t="s">
        <v>184</v>
      </c>
      <c r="E745" s="16" t="s">
        <v>219</v>
      </c>
      <c r="F745" s="16" t="s">
        <v>255</v>
      </c>
      <c r="G745" s="16" t="s">
        <v>241</v>
      </c>
      <c r="H745" s="16" t="s">
        <v>292</v>
      </c>
    </row>
    <row r="746" ht="20.25" customHeight="1">
      <c r="A746" s="32" t="str">
        <f>IMAGE("https://gymvisual.com/430-catalog_default/bird-dog.jpg",4,500,500)</f>
        <v/>
      </c>
      <c r="B746" s="30">
        <v>745.0</v>
      </c>
      <c r="C746" s="16" t="s">
        <v>1223</v>
      </c>
      <c r="D746" s="16" t="s">
        <v>184</v>
      </c>
      <c r="E746" s="16" t="s">
        <v>254</v>
      </c>
      <c r="F746" s="16" t="s">
        <v>255</v>
      </c>
      <c r="G746" s="16" t="s">
        <v>275</v>
      </c>
      <c r="H746" s="16" t="s">
        <v>1224</v>
      </c>
    </row>
    <row r="747" ht="20.25" customHeight="1">
      <c r="A747" s="32" t="str">
        <f>IMAGE("https://gymvisual.com/14187-catalog_default/bird-dog-female.jpg",4,500,500)</f>
        <v/>
      </c>
      <c r="B747" s="30">
        <v>746.0</v>
      </c>
      <c r="C747" s="16" t="s">
        <v>1225</v>
      </c>
      <c r="D747" s="16" t="s">
        <v>184</v>
      </c>
      <c r="E747" s="16" t="s">
        <v>185</v>
      </c>
      <c r="F747" s="16" t="s">
        <v>255</v>
      </c>
      <c r="G747" s="16" t="s">
        <v>220</v>
      </c>
      <c r="H747" s="16" t="s">
        <v>220</v>
      </c>
    </row>
    <row r="748" ht="20.25" customHeight="1">
      <c r="A748" s="32" t="str">
        <f>IMAGE("https://gymvisual.com/18921-catalog_default/bird-dog-male.jpg",4,500,500)</f>
        <v/>
      </c>
      <c r="B748" s="30">
        <v>747.0</v>
      </c>
      <c r="C748" s="16" t="s">
        <v>1226</v>
      </c>
      <c r="D748" s="16" t="s">
        <v>184</v>
      </c>
      <c r="E748" s="16" t="s">
        <v>192</v>
      </c>
      <c r="F748" s="16" t="s">
        <v>255</v>
      </c>
      <c r="G748" s="16" t="s">
        <v>267</v>
      </c>
      <c r="H748" s="16" t="s">
        <v>1227</v>
      </c>
    </row>
    <row r="749" ht="20.25" customHeight="1">
      <c r="A749" s="32" t="str">
        <f>IMAGE("https://gymvisual.com/17853-catalog_default/bird-dog-push-up.jpg",4,500,500)</f>
        <v/>
      </c>
      <c r="B749" s="30">
        <v>748.0</v>
      </c>
      <c r="C749" s="16" t="s">
        <v>1228</v>
      </c>
      <c r="D749" s="16" t="s">
        <v>184</v>
      </c>
      <c r="E749" s="16" t="s">
        <v>234</v>
      </c>
      <c r="F749" s="16" t="s">
        <v>255</v>
      </c>
      <c r="G749" s="16" t="s">
        <v>220</v>
      </c>
      <c r="H749" s="16" t="s">
        <v>220</v>
      </c>
    </row>
    <row r="750" ht="20.25" customHeight="1">
      <c r="A750" s="32" t="str">
        <f>IMAGE("https://gymvisual.com/19437-catalog_default/body-saw-plank.jpg",4,500,500)</f>
        <v/>
      </c>
      <c r="B750" s="30">
        <v>749.0</v>
      </c>
      <c r="C750" s="16" t="s">
        <v>1229</v>
      </c>
      <c r="D750" s="16" t="s">
        <v>184</v>
      </c>
      <c r="E750" s="16" t="s">
        <v>228</v>
      </c>
      <c r="F750" s="16" t="s">
        <v>255</v>
      </c>
      <c r="G750" s="16" t="s">
        <v>1230</v>
      </c>
      <c r="H750" s="16" t="s">
        <v>1231</v>
      </c>
    </row>
    <row r="751" ht="20.25" customHeight="1">
      <c r="A751" s="32" t="str">
        <f>IMAGE("https://gymvisual.com/20610-catalog_default/body-up.jpg",4,500,500)</f>
        <v/>
      </c>
      <c r="B751" s="30">
        <v>750.0</v>
      </c>
      <c r="C751" s="16" t="s">
        <v>1232</v>
      </c>
      <c r="D751" s="16" t="s">
        <v>184</v>
      </c>
      <c r="E751" s="16" t="s">
        <v>228</v>
      </c>
      <c r="F751" s="16" t="s">
        <v>255</v>
      </c>
      <c r="G751" s="16" t="s">
        <v>223</v>
      </c>
      <c r="H751" s="16" t="s">
        <v>472</v>
      </c>
    </row>
    <row r="752" ht="20.25" customHeight="1">
      <c r="A752" s="32" t="str">
        <f>IMAGE("https://gymvisual.com/25061-catalog_default/bodyweight-b-stance-good-morning.jpg",4,500,500)</f>
        <v/>
      </c>
      <c r="B752" s="30">
        <v>751.0</v>
      </c>
      <c r="C752" s="16" t="s">
        <v>1233</v>
      </c>
      <c r="D752" s="16" t="s">
        <v>184</v>
      </c>
      <c r="E752" s="16" t="s">
        <v>185</v>
      </c>
      <c r="F752" s="16" t="s">
        <v>255</v>
      </c>
      <c r="G752" s="16" t="s">
        <v>220</v>
      </c>
      <c r="H752" s="16" t="s">
        <v>220</v>
      </c>
    </row>
    <row r="753" ht="20.25" customHeight="1">
      <c r="A753" s="32" t="str">
        <f>IMAGE("https://gymvisual.com/17987-catalog_default/bodyweight-bent-over-rear-delt-fly.jpg",4,500,500)</f>
        <v/>
      </c>
      <c r="B753" s="30">
        <v>752.0</v>
      </c>
      <c r="C753" s="16" t="s">
        <v>1234</v>
      </c>
      <c r="D753" s="16" t="s">
        <v>184</v>
      </c>
      <c r="E753" s="16" t="s">
        <v>228</v>
      </c>
      <c r="F753" s="16" t="s">
        <v>255</v>
      </c>
      <c r="G753" s="16" t="s">
        <v>220</v>
      </c>
      <c r="H753" s="16" t="s">
        <v>220</v>
      </c>
    </row>
    <row r="754" ht="20.25" customHeight="1">
      <c r="A754" s="32" t="str">
        <f>IMAGE("https://gymvisual.com/19215-catalog_default/bodyweight-elevanted-heel-squat.jpg",4,500,500)</f>
        <v/>
      </c>
      <c r="B754" s="30">
        <v>753.0</v>
      </c>
      <c r="C754" s="16" t="s">
        <v>1235</v>
      </c>
      <c r="D754" s="16" t="s">
        <v>184</v>
      </c>
      <c r="E754" s="16" t="s">
        <v>1236</v>
      </c>
      <c r="F754" s="16" t="s">
        <v>255</v>
      </c>
      <c r="G754" s="16" t="s">
        <v>220</v>
      </c>
      <c r="H754" s="16" t="s">
        <v>220</v>
      </c>
    </row>
    <row r="755" ht="20.25" customHeight="1">
      <c r="A755" s="32" t="str">
        <f>IMAGE("https://gymvisual.com/20029-catalog_default/bodyweight-forward-lunge-hinge-at-hips.jpg",4,500,500)</f>
        <v/>
      </c>
      <c r="B755" s="30">
        <v>754.0</v>
      </c>
      <c r="C755" s="16" t="s">
        <v>1237</v>
      </c>
      <c r="D755" s="16" t="s">
        <v>184</v>
      </c>
      <c r="E755" s="16" t="s">
        <v>294</v>
      </c>
      <c r="F755" s="16" t="s">
        <v>255</v>
      </c>
      <c r="G755" s="16" t="s">
        <v>189</v>
      </c>
      <c r="H755" s="16" t="s">
        <v>190</v>
      </c>
    </row>
    <row r="756" ht="20.25" customHeight="1">
      <c r="A756" s="32" t="str">
        <f>IMAGE("https://gymvisual.com/20031-catalog_default/bodyweight-forward-lunge-smaller-stance-upright-torso.jpg",4,500,500)</f>
        <v/>
      </c>
      <c r="B756" s="30">
        <v>755.0</v>
      </c>
      <c r="C756" s="16" t="s">
        <v>1238</v>
      </c>
      <c r="D756" s="16" t="s">
        <v>184</v>
      </c>
      <c r="E756" s="16" t="s">
        <v>285</v>
      </c>
      <c r="F756" s="16" t="s">
        <v>255</v>
      </c>
      <c r="G756" s="16" t="s">
        <v>552</v>
      </c>
      <c r="H756" s="16" t="s">
        <v>553</v>
      </c>
    </row>
    <row r="757" ht="20.25" customHeight="1">
      <c r="A757" s="32" t="str">
        <f>IMAGE("https://gymvisual.com/12754-catalog_default/bodyweight-frog-pump.jpg",4,500,500)</f>
        <v/>
      </c>
      <c r="B757" s="30">
        <v>756.0</v>
      </c>
      <c r="C757" s="16" t="s">
        <v>1239</v>
      </c>
      <c r="D757" s="16" t="s">
        <v>184</v>
      </c>
      <c r="E757" s="16" t="s">
        <v>185</v>
      </c>
      <c r="F757" s="16" t="s">
        <v>255</v>
      </c>
      <c r="G757" s="16" t="s">
        <v>1240</v>
      </c>
      <c r="H757" s="16" t="s">
        <v>1241</v>
      </c>
    </row>
    <row r="758" ht="20.25" customHeight="1">
      <c r="A758" s="32" t="str">
        <f>IMAGE("https://gymvisual.com/23611-catalog_default/bodyweight-full-squat-with-overhead-press.jpg",4,500,500)</f>
        <v/>
      </c>
      <c r="B758" s="30">
        <v>757.0</v>
      </c>
      <c r="C758" s="16" t="s">
        <v>1242</v>
      </c>
      <c r="D758" s="16" t="s">
        <v>184</v>
      </c>
      <c r="E758" s="16" t="s">
        <v>321</v>
      </c>
      <c r="F758" s="16" t="s">
        <v>255</v>
      </c>
      <c r="G758" s="16" t="s">
        <v>220</v>
      </c>
      <c r="H758" s="16" t="s">
        <v>220</v>
      </c>
    </row>
    <row r="759" ht="20.25" customHeight="1">
      <c r="A759" s="32" t="str">
        <f>IMAGE("https://gymvisual.com/20547-catalog_default/bodyweight-glute-dominant-step-up.jpg",4,500,500)</f>
        <v/>
      </c>
      <c r="B759" s="30">
        <v>758.0</v>
      </c>
      <c r="C759" s="16" t="s">
        <v>1243</v>
      </c>
      <c r="D759" s="16" t="s">
        <v>184</v>
      </c>
      <c r="E759" s="16" t="s">
        <v>294</v>
      </c>
      <c r="F759" s="16" t="s">
        <v>255</v>
      </c>
      <c r="G759" s="16" t="s">
        <v>189</v>
      </c>
      <c r="H759" s="16" t="s">
        <v>190</v>
      </c>
    </row>
    <row r="760" ht="20.25" customHeight="1">
      <c r="A760" s="32" t="str">
        <f>IMAGE("https://gymvisual.com/24689-catalog_default/bodyweight-good-morning.jpg",4,500,500)</f>
        <v/>
      </c>
      <c r="B760" s="30">
        <v>759.0</v>
      </c>
      <c r="C760" s="16" t="s">
        <v>1244</v>
      </c>
      <c r="D760" s="16" t="s">
        <v>184</v>
      </c>
      <c r="E760" s="16" t="s">
        <v>185</v>
      </c>
      <c r="F760" s="16" t="s">
        <v>255</v>
      </c>
      <c r="G760" s="16" t="s">
        <v>220</v>
      </c>
      <c r="H760" s="16" t="s">
        <v>220</v>
      </c>
    </row>
    <row r="761" ht="20.25" customHeight="1">
      <c r="A761" s="32" t="str">
        <f>IMAGE("https://gymvisual.com/14100-catalog_default/bodyweight-incline-side-plank.jpg",4,500,500)</f>
        <v/>
      </c>
      <c r="B761" s="30">
        <v>760.0</v>
      </c>
      <c r="C761" s="16" t="s">
        <v>1245</v>
      </c>
      <c r="D761" s="16" t="s">
        <v>184</v>
      </c>
      <c r="E761" s="16" t="s">
        <v>254</v>
      </c>
      <c r="F761" s="16" t="s">
        <v>255</v>
      </c>
      <c r="G761" s="16" t="s">
        <v>257</v>
      </c>
      <c r="H761" s="16" t="s">
        <v>1246</v>
      </c>
    </row>
    <row r="762" ht="20.25" customHeight="1">
      <c r="A762" s="32" t="str">
        <f>IMAGE("https://gymvisual.com/23919-catalog_default/bodyweight-kneeling-hold-to-stand.jpg",4,500,500)</f>
        <v/>
      </c>
      <c r="B762" s="30">
        <v>761.0</v>
      </c>
      <c r="C762" s="16" t="s">
        <v>1247</v>
      </c>
      <c r="D762" s="16" t="s">
        <v>184</v>
      </c>
      <c r="E762" s="16" t="s">
        <v>285</v>
      </c>
      <c r="F762" s="16" t="s">
        <v>255</v>
      </c>
      <c r="G762" s="16" t="s">
        <v>189</v>
      </c>
      <c r="H762" s="16" t="s">
        <v>190</v>
      </c>
    </row>
    <row r="763" ht="20.25" customHeight="1">
      <c r="A763" s="32" t="str">
        <f>IMAGE("https://gymvisual.com/22716-catalog_default/bodyweight-kneeling-push-up-row.jpg",4,500,500)</f>
        <v/>
      </c>
      <c r="B763" s="30">
        <v>762.0</v>
      </c>
      <c r="C763" s="16" t="s">
        <v>1248</v>
      </c>
      <c r="D763" s="16" t="s">
        <v>184</v>
      </c>
      <c r="E763" s="16" t="s">
        <v>234</v>
      </c>
      <c r="F763" s="16" t="s">
        <v>255</v>
      </c>
      <c r="G763" s="16" t="s">
        <v>1249</v>
      </c>
      <c r="H763" s="16" t="s">
        <v>1250</v>
      </c>
    </row>
    <row r="764" ht="20.25" customHeight="1">
      <c r="A764" s="32" t="str">
        <f>IMAGE("https://gymvisual.com/20698-catalog_default/bodyweight-kneeling-sissy-squat.jpg",4,500,500)</f>
        <v/>
      </c>
      <c r="B764" s="30">
        <v>763.0</v>
      </c>
      <c r="C764" s="16" t="s">
        <v>1251</v>
      </c>
      <c r="D764" s="16" t="s">
        <v>184</v>
      </c>
      <c r="E764" s="16" t="s">
        <v>285</v>
      </c>
      <c r="F764" s="16" t="s">
        <v>255</v>
      </c>
      <c r="G764" s="16" t="s">
        <v>552</v>
      </c>
      <c r="H764" s="16" t="s">
        <v>220</v>
      </c>
    </row>
    <row r="765" ht="20.25" customHeight="1">
      <c r="A765" s="32" t="str">
        <f>IMAGE("https://gymvisual.com/7617-catalog_default/bodyweight-kneeling-triceps-extension.jpg",4,500,500)</f>
        <v/>
      </c>
      <c r="B765" s="30">
        <v>764.0</v>
      </c>
      <c r="C765" s="16" t="s">
        <v>1252</v>
      </c>
      <c r="D765" s="16" t="s">
        <v>184</v>
      </c>
      <c r="E765" s="16" t="s">
        <v>219</v>
      </c>
      <c r="F765" s="16" t="s">
        <v>255</v>
      </c>
      <c r="G765" s="16" t="s">
        <v>223</v>
      </c>
      <c r="H765" s="16" t="s">
        <v>220</v>
      </c>
    </row>
    <row r="766" ht="20.25" customHeight="1">
      <c r="A766" s="32" t="str">
        <f>IMAGE("https://gymvisual.com/13341-catalog_default/bodyweight-kneeling-triceps-extension-female.jpg",4,500,500)</f>
        <v/>
      </c>
      <c r="B766" s="30">
        <v>765.0</v>
      </c>
      <c r="C766" s="16" t="s">
        <v>1253</v>
      </c>
      <c r="D766" s="16" t="s">
        <v>184</v>
      </c>
      <c r="E766" s="16" t="s">
        <v>219</v>
      </c>
      <c r="F766" s="16" t="s">
        <v>255</v>
      </c>
      <c r="G766" s="16" t="s">
        <v>223</v>
      </c>
      <c r="H766" s="16" t="s">
        <v>220</v>
      </c>
    </row>
    <row r="767" ht="20.25" customHeight="1">
      <c r="A767" s="32" t="str">
        <f>IMAGE("https://gymvisual.com/25651-catalog_default/bodyweight-lying-prone-ys.jpg",4,500,500)</f>
        <v/>
      </c>
      <c r="B767" s="30">
        <v>766.0</v>
      </c>
      <c r="C767" s="16" t="s">
        <v>1254</v>
      </c>
      <c r="D767" s="16" t="s">
        <v>184</v>
      </c>
      <c r="E767" s="16" t="s">
        <v>192</v>
      </c>
      <c r="F767" s="16" t="s">
        <v>255</v>
      </c>
      <c r="G767" s="16" t="s">
        <v>220</v>
      </c>
      <c r="H767" s="16" t="s">
        <v>220</v>
      </c>
    </row>
    <row r="768" ht="20.25" customHeight="1">
      <c r="A768" s="32" t="str">
        <f>IMAGE("https://gymvisual.com/24808-catalog_default/bodyweight-narrow-stance-squat-male.jpg",4,500,500)</f>
        <v/>
      </c>
      <c r="B768" s="30">
        <v>767.0</v>
      </c>
      <c r="C768" s="16" t="s">
        <v>1255</v>
      </c>
      <c r="D768" s="16" t="s">
        <v>184</v>
      </c>
      <c r="E768" s="16" t="s">
        <v>285</v>
      </c>
      <c r="F768" s="16" t="s">
        <v>255</v>
      </c>
      <c r="G768" s="16" t="s">
        <v>189</v>
      </c>
      <c r="H768" s="16" t="s">
        <v>190</v>
      </c>
    </row>
    <row r="769" ht="20.25" customHeight="1">
      <c r="A769" s="32" t="str">
        <f>IMAGE("https://gymvisual.com/22762-catalog_default/bodyweight-overhead-squat.jpg",4,500,500)</f>
        <v/>
      </c>
      <c r="B769" s="30">
        <v>768.0</v>
      </c>
      <c r="C769" s="16" t="s">
        <v>1256</v>
      </c>
      <c r="D769" s="16" t="s">
        <v>184</v>
      </c>
      <c r="E769" s="16" t="s">
        <v>285</v>
      </c>
      <c r="F769" s="16" t="s">
        <v>255</v>
      </c>
      <c r="G769" s="16" t="s">
        <v>189</v>
      </c>
      <c r="H769" s="16" t="s">
        <v>190</v>
      </c>
    </row>
    <row r="770" ht="20.25" customHeight="1">
      <c r="A770" s="32" t="str">
        <f>IMAGE("https://gymvisual.com/23651-catalog_default/bodyweight-overhead-triceps-extension-female.jpg",4,500,500)</f>
        <v/>
      </c>
      <c r="B770" s="30">
        <v>769.0</v>
      </c>
      <c r="C770" s="16" t="s">
        <v>1257</v>
      </c>
      <c r="D770" s="16" t="s">
        <v>184</v>
      </c>
      <c r="E770" s="16" t="s">
        <v>219</v>
      </c>
      <c r="F770" s="16" t="s">
        <v>255</v>
      </c>
      <c r="G770" s="16" t="s">
        <v>223</v>
      </c>
      <c r="H770" s="16" t="s">
        <v>220</v>
      </c>
    </row>
    <row r="771" ht="20.25" customHeight="1">
      <c r="A771" s="32" t="str">
        <f>IMAGE("https://gymvisual.com/14082-catalog_default/bodyweight-pulse-squat.jpg",4,500,500)</f>
        <v/>
      </c>
      <c r="B771" s="30">
        <v>770.0</v>
      </c>
      <c r="C771" s="16" t="s">
        <v>1258</v>
      </c>
      <c r="D771" s="16" t="s">
        <v>184</v>
      </c>
      <c r="E771" s="16" t="s">
        <v>294</v>
      </c>
      <c r="F771" s="16" t="s">
        <v>255</v>
      </c>
      <c r="G771" s="16" t="s">
        <v>189</v>
      </c>
      <c r="H771" s="16" t="s">
        <v>190</v>
      </c>
    </row>
    <row r="772" ht="20.25" customHeight="1">
      <c r="A772" s="32" t="str">
        <f>IMAGE("https://gymvisual.com/22704-catalog_default/bodyweight-pulse-squat-female.jpg",4,500,500)</f>
        <v/>
      </c>
      <c r="B772" s="30">
        <v>771.0</v>
      </c>
      <c r="C772" s="16" t="s">
        <v>1259</v>
      </c>
      <c r="D772" s="16" t="s">
        <v>184</v>
      </c>
      <c r="E772" s="16" t="s">
        <v>285</v>
      </c>
      <c r="F772" s="16" t="s">
        <v>255</v>
      </c>
      <c r="G772" s="16" t="s">
        <v>189</v>
      </c>
      <c r="H772" s="16" t="s">
        <v>190</v>
      </c>
    </row>
    <row r="773" ht="20.25" customHeight="1">
      <c r="A773" s="32" t="str">
        <f>IMAGE("https://gymvisual.com/14060-catalog_default/bodyweight-rear-lunge.jpg",4,500,500)</f>
        <v/>
      </c>
      <c r="B773" s="30">
        <v>772.0</v>
      </c>
      <c r="C773" s="16" t="s">
        <v>1260</v>
      </c>
      <c r="D773" s="16" t="s">
        <v>184</v>
      </c>
      <c r="E773" s="16" t="s">
        <v>285</v>
      </c>
      <c r="F773" s="16" t="s">
        <v>255</v>
      </c>
      <c r="G773" s="16" t="s">
        <v>189</v>
      </c>
      <c r="H773" s="16" t="s">
        <v>190</v>
      </c>
    </row>
    <row r="774" ht="20.25" customHeight="1">
      <c r="A774" s="32" t="str">
        <f>IMAGE("https://gymvisual.com/13791-catalog_default/bodyweight-row-in-doorway.jpg",4,500,500)</f>
        <v/>
      </c>
      <c r="B774" s="30">
        <v>773.0</v>
      </c>
      <c r="C774" s="16" t="s">
        <v>1261</v>
      </c>
      <c r="D774" s="16" t="s">
        <v>184</v>
      </c>
      <c r="E774" s="16" t="s">
        <v>192</v>
      </c>
      <c r="F774" s="16" t="s">
        <v>255</v>
      </c>
      <c r="G774" s="16" t="s">
        <v>329</v>
      </c>
      <c r="H774" s="16" t="s">
        <v>447</v>
      </c>
    </row>
    <row r="775" ht="20.25" customHeight="1">
      <c r="A775" s="32" t="str">
        <f>IMAGE("https://gymvisual.com/18927-catalog_default/bodyweight-shrug.jpg",4,500,500)</f>
        <v/>
      </c>
      <c r="B775" s="30">
        <v>774.0</v>
      </c>
      <c r="C775" s="16" t="s">
        <v>1262</v>
      </c>
      <c r="D775" s="16" t="s">
        <v>184</v>
      </c>
      <c r="E775" s="16" t="s">
        <v>192</v>
      </c>
      <c r="F775" s="16" t="s">
        <v>255</v>
      </c>
      <c r="G775" s="16" t="s">
        <v>238</v>
      </c>
      <c r="H775" s="16" t="s">
        <v>239</v>
      </c>
    </row>
    <row r="776" ht="20.25" customHeight="1">
      <c r="A776" s="32" t="str">
        <f>IMAGE("https://gymvisual.com/7621-catalog_default/bodyweight-side-lying-biceps-curl.jpg",4,500,500)</f>
        <v/>
      </c>
      <c r="B776" s="30">
        <v>775.0</v>
      </c>
      <c r="C776" s="16" t="s">
        <v>1263</v>
      </c>
      <c r="D776" s="16" t="s">
        <v>184</v>
      </c>
      <c r="E776" s="16" t="s">
        <v>219</v>
      </c>
      <c r="F776" s="16" t="s">
        <v>255</v>
      </c>
      <c r="G776" s="16" t="s">
        <v>220</v>
      </c>
      <c r="H776" s="16" t="s">
        <v>220</v>
      </c>
    </row>
    <row r="777" ht="20.25" customHeight="1">
      <c r="A777" s="32" t="str">
        <f>IMAGE("https://gymvisual.com/22722-catalog_default/bodyweight-single-leg-deadlift.jpg",4,500,500)</f>
        <v/>
      </c>
      <c r="B777" s="30">
        <v>776.0</v>
      </c>
      <c r="C777" s="16" t="s">
        <v>1264</v>
      </c>
      <c r="D777" s="16" t="s">
        <v>184</v>
      </c>
      <c r="E777" s="16" t="s">
        <v>285</v>
      </c>
      <c r="F777" s="16" t="s">
        <v>255</v>
      </c>
      <c r="G777" s="16" t="s">
        <v>187</v>
      </c>
      <c r="H777" s="16" t="s">
        <v>482</v>
      </c>
    </row>
    <row r="778" ht="20.25" customHeight="1">
      <c r="A778" s="32" t="str">
        <f>IMAGE("https://gymvisual.com/25059-catalog_default/bodyweight-single-leg-kas-glute-bridge.jpg",4,500,500)</f>
        <v/>
      </c>
      <c r="B778" s="30">
        <v>777.0</v>
      </c>
      <c r="C778" s="16" t="s">
        <v>1265</v>
      </c>
      <c r="D778" s="16" t="s">
        <v>184</v>
      </c>
      <c r="E778" s="16" t="s">
        <v>185</v>
      </c>
      <c r="F778" s="16" t="s">
        <v>255</v>
      </c>
      <c r="G778" s="16" t="s">
        <v>220</v>
      </c>
      <c r="H778" s="16" t="s">
        <v>220</v>
      </c>
    </row>
    <row r="779" ht="20.25" customHeight="1">
      <c r="A779" s="32" t="str">
        <f>IMAGE("https://gymvisual.com/22496-catalog_default/bodyweight-single-leg-rdl.jpg",4,500,500)</f>
        <v/>
      </c>
      <c r="B779" s="30">
        <v>778.0</v>
      </c>
      <c r="C779" s="16" t="s">
        <v>1266</v>
      </c>
      <c r="D779" s="16" t="s">
        <v>184</v>
      </c>
      <c r="E779" s="16" t="s">
        <v>185</v>
      </c>
      <c r="F779" s="16" t="s">
        <v>255</v>
      </c>
      <c r="G779" s="16" t="s">
        <v>220</v>
      </c>
      <c r="H779" s="16" t="s">
        <v>220</v>
      </c>
    </row>
    <row r="780" ht="20.25" customHeight="1">
      <c r="A780" s="32" t="str">
        <f>IMAGE("https://gymvisual.com/17877-catalog_default/bodyweight-single-leg-wall-squat.jpg",4,500,500)</f>
        <v/>
      </c>
      <c r="B780" s="30">
        <v>779.0</v>
      </c>
      <c r="C780" s="16" t="s">
        <v>1267</v>
      </c>
      <c r="D780" s="16" t="s">
        <v>184</v>
      </c>
      <c r="E780" s="16" t="s">
        <v>285</v>
      </c>
      <c r="F780" s="16" t="s">
        <v>255</v>
      </c>
      <c r="G780" s="16" t="s">
        <v>220</v>
      </c>
      <c r="H780" s="16" t="s">
        <v>220</v>
      </c>
    </row>
    <row r="781" ht="20.25" customHeight="1">
      <c r="A781" s="32" t="str">
        <f>IMAGE("https://gymvisual.com/12723-catalog_default/bodyweight-squatting-row.jpg",4,500,500)</f>
        <v/>
      </c>
      <c r="B781" s="30">
        <v>780.0</v>
      </c>
      <c r="C781" s="16" t="s">
        <v>1268</v>
      </c>
      <c r="D781" s="16" t="s">
        <v>184</v>
      </c>
      <c r="E781" s="16" t="s">
        <v>192</v>
      </c>
      <c r="F781" s="16" t="s">
        <v>255</v>
      </c>
      <c r="G781" s="16" t="s">
        <v>329</v>
      </c>
      <c r="H781" s="16" t="s">
        <v>447</v>
      </c>
    </row>
    <row r="782" ht="20.25" customHeight="1">
      <c r="A782" s="32" t="str">
        <f>IMAGE("https://gymvisual.com/12725-catalog_default/bodyweight-squatting-row-female.jpg",4,500,500)</f>
        <v/>
      </c>
      <c r="B782" s="30">
        <v>781.0</v>
      </c>
      <c r="C782" s="16" t="s">
        <v>1269</v>
      </c>
      <c r="D782" s="16" t="s">
        <v>184</v>
      </c>
      <c r="E782" s="16" t="s">
        <v>192</v>
      </c>
      <c r="F782" s="16" t="s">
        <v>255</v>
      </c>
      <c r="G782" s="16" t="s">
        <v>329</v>
      </c>
      <c r="H782" s="16" t="s">
        <v>447</v>
      </c>
    </row>
    <row r="783" ht="20.25" customHeight="1">
      <c r="A783" s="32" t="str">
        <f>IMAGE("https://gymvisual.com/12722-catalog_default/bodyweight-squatting-row-with-towel.jpg",4,500,500)</f>
        <v/>
      </c>
      <c r="B783" s="30">
        <v>782.0</v>
      </c>
      <c r="C783" s="16" t="s">
        <v>1270</v>
      </c>
      <c r="D783" s="16" t="s">
        <v>184</v>
      </c>
      <c r="E783" s="16" t="s">
        <v>192</v>
      </c>
      <c r="F783" s="16" t="s">
        <v>255</v>
      </c>
      <c r="G783" s="16" t="s">
        <v>329</v>
      </c>
      <c r="H783" s="16" t="s">
        <v>447</v>
      </c>
    </row>
    <row r="784" ht="20.25" customHeight="1">
      <c r="A784" s="32" t="str">
        <f>IMAGE("https://gymvisual.com/12724-catalog_default/bodyweight-squatting-row-with-towel-female.jpg",4,500,500)</f>
        <v/>
      </c>
      <c r="B784" s="30">
        <v>783.0</v>
      </c>
      <c r="C784" s="16" t="s">
        <v>1271</v>
      </c>
      <c r="D784" s="16" t="s">
        <v>184</v>
      </c>
      <c r="E784" s="16" t="s">
        <v>192</v>
      </c>
      <c r="F784" s="16" t="s">
        <v>255</v>
      </c>
      <c r="G784" s="16" t="s">
        <v>329</v>
      </c>
      <c r="H784" s="16" t="s">
        <v>447</v>
      </c>
    </row>
    <row r="785" ht="20.25" customHeight="1">
      <c r="A785" s="32" t="str">
        <f>IMAGE("https://gymvisual.com/23627-catalog_default/bodyweight-standing-around-world-wall-supported.jpg",4,500,500)</f>
        <v/>
      </c>
      <c r="B785" s="30">
        <v>784.0</v>
      </c>
      <c r="C785" s="16" t="s">
        <v>1272</v>
      </c>
      <c r="D785" s="16" t="s">
        <v>184</v>
      </c>
      <c r="E785" s="16" t="s">
        <v>228</v>
      </c>
      <c r="F785" s="16" t="s">
        <v>255</v>
      </c>
      <c r="G785" s="16" t="s">
        <v>333</v>
      </c>
      <c r="H785" s="16" t="s">
        <v>1273</v>
      </c>
    </row>
    <row r="786" ht="20.25" customHeight="1">
      <c r="A786" s="32" t="str">
        <f>IMAGE("https://gymvisual.com/12187-catalog_default/bodyweight-standing-biceps-curl.jpg",4,500,500)</f>
        <v/>
      </c>
      <c r="B786" s="30">
        <v>785.0</v>
      </c>
      <c r="C786" s="16" t="s">
        <v>1274</v>
      </c>
      <c r="D786" s="16" t="s">
        <v>184</v>
      </c>
      <c r="E786" s="16" t="s">
        <v>219</v>
      </c>
      <c r="F786" s="16" t="s">
        <v>255</v>
      </c>
      <c r="G786" s="16" t="s">
        <v>220</v>
      </c>
      <c r="H786" s="16" t="s">
        <v>220</v>
      </c>
    </row>
    <row r="787" ht="20.25" customHeight="1">
      <c r="A787" s="32" t="str">
        <f>IMAGE("https://gymvisual.com/19407-catalog_default/bodyweight-standing-biceps-curl-version-2.jpg",4,500,500)</f>
        <v/>
      </c>
      <c r="B787" s="30">
        <v>786.0</v>
      </c>
      <c r="C787" s="16" t="s">
        <v>1275</v>
      </c>
      <c r="D787" s="16" t="s">
        <v>184</v>
      </c>
      <c r="E787" s="16" t="s">
        <v>219</v>
      </c>
      <c r="F787" s="16" t="s">
        <v>255</v>
      </c>
      <c r="G787" s="16" t="s">
        <v>220</v>
      </c>
      <c r="H787" s="16" t="s">
        <v>220</v>
      </c>
    </row>
    <row r="788" ht="20.25" customHeight="1">
      <c r="A788" s="32" t="str">
        <f>IMAGE("https://gymvisual.com/6068-catalog_default/bodyweight-standing-calf-raise.jpg",4,500,500)</f>
        <v/>
      </c>
      <c r="B788" s="30">
        <v>787.0</v>
      </c>
      <c r="C788" s="16" t="s">
        <v>1276</v>
      </c>
      <c r="D788" s="16" t="s">
        <v>184</v>
      </c>
      <c r="E788" s="16" t="s">
        <v>325</v>
      </c>
      <c r="F788" s="16" t="s">
        <v>255</v>
      </c>
      <c r="G788" s="16" t="s">
        <v>368</v>
      </c>
      <c r="H788" s="16" t="s">
        <v>463</v>
      </c>
    </row>
    <row r="789" ht="20.25" customHeight="1">
      <c r="A789" s="32" t="str">
        <f>IMAGE("https://gymvisual.com/12684-catalog_default/bodyweight-standing-close-grip-one-arm-row.jpg",4,500,500)</f>
        <v/>
      </c>
      <c r="B789" s="30">
        <v>788.0</v>
      </c>
      <c r="C789" s="16" t="s">
        <v>1277</v>
      </c>
      <c r="D789" s="16" t="s">
        <v>184</v>
      </c>
      <c r="E789" s="16" t="s">
        <v>192</v>
      </c>
      <c r="F789" s="16" t="s">
        <v>255</v>
      </c>
      <c r="G789" s="16" t="s">
        <v>329</v>
      </c>
      <c r="H789" s="16" t="s">
        <v>447</v>
      </c>
    </row>
    <row r="790" ht="20.25" customHeight="1">
      <c r="A790" s="32" t="str">
        <f>IMAGE("https://gymvisual.com/12683-catalog_default/bodyweight-standing-close-grip-one-arm-row-female.jpg",4,500,500)</f>
        <v/>
      </c>
      <c r="B790" s="30">
        <v>789.0</v>
      </c>
      <c r="C790" s="16" t="s">
        <v>1278</v>
      </c>
      <c r="D790" s="16" t="s">
        <v>184</v>
      </c>
      <c r="E790" s="16" t="s">
        <v>192</v>
      </c>
      <c r="F790" s="16" t="s">
        <v>255</v>
      </c>
      <c r="G790" s="16" t="s">
        <v>329</v>
      </c>
      <c r="H790" s="16" t="s">
        <v>447</v>
      </c>
    </row>
    <row r="791" ht="20.25" customHeight="1">
      <c r="A791" s="32" t="str">
        <f>IMAGE("https://gymvisual.com/25212-catalog_default/cable-kneeling-crunch.jpg",4,500,500)</f>
        <v/>
      </c>
      <c r="B791" s="30">
        <v>790.0</v>
      </c>
      <c r="C791" s="16" t="s">
        <v>1279</v>
      </c>
      <c r="D791" s="16" t="s">
        <v>184</v>
      </c>
      <c r="E791" s="16" t="s">
        <v>254</v>
      </c>
      <c r="F791" s="16" t="s">
        <v>215</v>
      </c>
      <c r="G791" s="16" t="s">
        <v>256</v>
      </c>
      <c r="H791" s="16" t="s">
        <v>257</v>
      </c>
    </row>
    <row r="792" ht="20.25" customHeight="1">
      <c r="A792" s="32" t="str">
        <f>IMAGE("https://gymvisual.com/12685-catalog_default/bodyweight-standing-close-grip-row-female.jpg",4,500,500)</f>
        <v/>
      </c>
      <c r="B792" s="30">
        <v>791.0</v>
      </c>
      <c r="C792" s="16" t="s">
        <v>1280</v>
      </c>
      <c r="D792" s="16" t="s">
        <v>184</v>
      </c>
      <c r="E792" s="16" t="s">
        <v>192</v>
      </c>
      <c r="F792" s="16" t="s">
        <v>255</v>
      </c>
      <c r="G792" s="16" t="s">
        <v>329</v>
      </c>
      <c r="H792" s="16" t="s">
        <v>447</v>
      </c>
    </row>
    <row r="793" ht="20.25" customHeight="1">
      <c r="A793" s="32" t="str">
        <f>IMAGE("https://gymvisual.com/23941-catalog_default/bodyweight-standing-fly-male.jpg",4,500,500)</f>
        <v/>
      </c>
      <c r="B793" s="30">
        <v>792.0</v>
      </c>
      <c r="C793" s="16" t="s">
        <v>1281</v>
      </c>
      <c r="D793" s="16" t="s">
        <v>184</v>
      </c>
      <c r="E793" s="16" t="s">
        <v>234</v>
      </c>
      <c r="F793" s="16" t="s">
        <v>255</v>
      </c>
      <c r="G793" s="16" t="s">
        <v>235</v>
      </c>
      <c r="H793" s="16" t="s">
        <v>236</v>
      </c>
    </row>
    <row r="794" ht="20.25" customHeight="1">
      <c r="A794" s="32" t="str">
        <f>IMAGE("https://gymvisual.com/18764-catalog_default/bodyweight-standing-military-press.jpg",4,500,500)</f>
        <v/>
      </c>
      <c r="B794" s="30">
        <v>793.0</v>
      </c>
      <c r="C794" s="16" t="s">
        <v>1282</v>
      </c>
      <c r="D794" s="16" t="s">
        <v>184</v>
      </c>
      <c r="E794" s="16" t="s">
        <v>228</v>
      </c>
      <c r="F794" s="16" t="s">
        <v>255</v>
      </c>
      <c r="G794" s="16" t="s">
        <v>220</v>
      </c>
      <c r="H794" s="16" t="s">
        <v>220</v>
      </c>
    </row>
    <row r="795" ht="20.25" customHeight="1">
      <c r="A795" s="32" t="str">
        <f>IMAGE("https://gymvisual.com/22616-catalog_default/bodyweight-standing-military-press-wall-supported.jpg",4,500,500)</f>
        <v/>
      </c>
      <c r="B795" s="30">
        <v>794.0</v>
      </c>
      <c r="C795" s="16" t="s">
        <v>1283</v>
      </c>
      <c r="D795" s="16" t="s">
        <v>184</v>
      </c>
      <c r="E795" s="16" t="s">
        <v>228</v>
      </c>
      <c r="F795" s="16" t="s">
        <v>255</v>
      </c>
      <c r="G795" s="16" t="s">
        <v>229</v>
      </c>
      <c r="H795" s="16" t="s">
        <v>230</v>
      </c>
    </row>
    <row r="796" ht="20.25" customHeight="1">
      <c r="A796" s="32" t="str">
        <f>IMAGE("https://gymvisual.com/22395-catalog_default/bodyweight-standing-oblique-twist.jpg",4,500,500)</f>
        <v/>
      </c>
      <c r="B796" s="30">
        <v>795.0</v>
      </c>
      <c r="C796" s="16" t="s">
        <v>1284</v>
      </c>
      <c r="D796" s="16" t="s">
        <v>184</v>
      </c>
      <c r="E796" s="16" t="s">
        <v>254</v>
      </c>
      <c r="F796" s="16" t="s">
        <v>255</v>
      </c>
      <c r="G796" s="16" t="s">
        <v>220</v>
      </c>
      <c r="H796" s="16" t="s">
        <v>220</v>
      </c>
    </row>
    <row r="797" ht="20.25" customHeight="1">
      <c r="A797" s="32" t="str">
        <f>IMAGE("https://gymvisual.com/12688-catalog_default/bodyweight-standing-one-arm-row.jpg",4,500,500)</f>
        <v/>
      </c>
      <c r="B797" s="30">
        <v>796.0</v>
      </c>
      <c r="C797" s="16" t="s">
        <v>1285</v>
      </c>
      <c r="D797" s="16" t="s">
        <v>184</v>
      </c>
      <c r="E797" s="16" t="s">
        <v>192</v>
      </c>
      <c r="F797" s="16" t="s">
        <v>255</v>
      </c>
      <c r="G797" s="16" t="s">
        <v>329</v>
      </c>
      <c r="H797" s="16" t="s">
        <v>447</v>
      </c>
    </row>
    <row r="798" ht="20.25" customHeight="1">
      <c r="A798" s="32" t="str">
        <f>IMAGE("https://gymvisual.com/12687-catalog_default/bodyweight-standing-one-arm-row-female.jpg",4,500,500)</f>
        <v/>
      </c>
      <c r="B798" s="30">
        <v>797.0</v>
      </c>
      <c r="C798" s="16" t="s">
        <v>1286</v>
      </c>
      <c r="D798" s="16" t="s">
        <v>184</v>
      </c>
      <c r="E798" s="16" t="s">
        <v>192</v>
      </c>
      <c r="F798" s="16" t="s">
        <v>255</v>
      </c>
      <c r="G798" s="16" t="s">
        <v>329</v>
      </c>
      <c r="H798" s="16" t="s">
        <v>447</v>
      </c>
    </row>
    <row r="799" ht="20.25" customHeight="1">
      <c r="A799" s="32" t="str">
        <f>IMAGE("https://gymvisual.com/12690-catalog_default/bodyweight-standing-one-arm-row-with-towel.jpg",4,500,500)</f>
        <v/>
      </c>
      <c r="B799" s="30">
        <v>798.0</v>
      </c>
      <c r="C799" s="16" t="s">
        <v>1287</v>
      </c>
      <c r="D799" s="16" t="s">
        <v>184</v>
      </c>
      <c r="E799" s="16" t="s">
        <v>192</v>
      </c>
      <c r="F799" s="16" t="s">
        <v>255</v>
      </c>
      <c r="G799" s="16" t="s">
        <v>329</v>
      </c>
      <c r="H799" s="16" t="s">
        <v>447</v>
      </c>
    </row>
    <row r="800" ht="20.25" customHeight="1">
      <c r="A800" s="32" t="str">
        <f>IMAGE("https://gymvisual.com/12689-catalog_default/bodyweight-standing-one-arm-row-with-towel-female.jpg",4,500,500)</f>
        <v/>
      </c>
      <c r="B800" s="30">
        <v>799.0</v>
      </c>
      <c r="C800" s="16" t="s">
        <v>1288</v>
      </c>
      <c r="D800" s="16" t="s">
        <v>184</v>
      </c>
      <c r="E800" s="16" t="s">
        <v>192</v>
      </c>
      <c r="F800" s="16" t="s">
        <v>255</v>
      </c>
      <c r="G800" s="16" t="s">
        <v>329</v>
      </c>
      <c r="H800" s="16" t="s">
        <v>447</v>
      </c>
    </row>
    <row r="801" ht="20.25" customHeight="1">
      <c r="A801" s="32" t="str">
        <f>IMAGE("https://gymvisual.com/14080-catalog_default/bodyweight-standing-pulse-calf-raise.jpg",4,500,500)</f>
        <v/>
      </c>
      <c r="B801" s="30">
        <v>800.0</v>
      </c>
      <c r="C801" s="16" t="s">
        <v>1289</v>
      </c>
      <c r="D801" s="16" t="s">
        <v>184</v>
      </c>
      <c r="E801" s="16" t="s">
        <v>325</v>
      </c>
      <c r="F801" s="16" t="s">
        <v>255</v>
      </c>
      <c r="G801" s="16" t="s">
        <v>561</v>
      </c>
      <c r="H801" s="16" t="s">
        <v>220</v>
      </c>
    </row>
    <row r="802" ht="20.25" customHeight="1">
      <c r="A802" s="32" t="str">
        <f>IMAGE("https://gymvisual.com/12692-catalog_default/bodyweight-standing-row.jpg",4,500,500)</f>
        <v/>
      </c>
      <c r="B802" s="30">
        <v>801.0</v>
      </c>
      <c r="C802" s="16" t="s">
        <v>1290</v>
      </c>
      <c r="D802" s="16" t="s">
        <v>184</v>
      </c>
      <c r="E802" s="16" t="s">
        <v>192</v>
      </c>
      <c r="F802" s="16" t="s">
        <v>255</v>
      </c>
      <c r="G802" s="16" t="s">
        <v>329</v>
      </c>
      <c r="H802" s="16" t="s">
        <v>447</v>
      </c>
    </row>
    <row r="803" ht="20.25" customHeight="1">
      <c r="A803" s="32" t="str">
        <f>IMAGE("https://gymvisual.com/12691-catalog_default/bodyweight-standing-row-female.jpg",4,500,500)</f>
        <v/>
      </c>
      <c r="B803" s="30">
        <v>802.0</v>
      </c>
      <c r="C803" s="16" t="s">
        <v>1291</v>
      </c>
      <c r="D803" s="16" t="s">
        <v>184</v>
      </c>
      <c r="E803" s="16" t="s">
        <v>192</v>
      </c>
      <c r="F803" s="16" t="s">
        <v>255</v>
      </c>
      <c r="G803" s="16" t="s">
        <v>329</v>
      </c>
      <c r="H803" s="16" t="s">
        <v>447</v>
      </c>
    </row>
    <row r="804" ht="20.25" customHeight="1">
      <c r="A804" s="32" t="str">
        <f>IMAGE("https://gymvisual.com/12694-catalog_default/bodyweight-standing-row-with-towel.jpg",4,500,500)</f>
        <v/>
      </c>
      <c r="B804" s="30">
        <v>803.0</v>
      </c>
      <c r="C804" s="16" t="s">
        <v>1292</v>
      </c>
      <c r="D804" s="16" t="s">
        <v>184</v>
      </c>
      <c r="E804" s="16" t="s">
        <v>192</v>
      </c>
      <c r="F804" s="16" t="s">
        <v>255</v>
      </c>
      <c r="G804" s="16" t="s">
        <v>329</v>
      </c>
      <c r="H804" s="16" t="s">
        <v>447</v>
      </c>
    </row>
    <row r="805" ht="20.25" customHeight="1">
      <c r="A805" s="32" t="str">
        <f>IMAGE("https://gymvisual.com/12693-catalog_default/bodyweight-standing-row-with-towel-female.jpg",4,500,500)</f>
        <v/>
      </c>
      <c r="B805" s="30">
        <v>804.0</v>
      </c>
      <c r="C805" s="16" t="s">
        <v>1293</v>
      </c>
      <c r="D805" s="16" t="s">
        <v>184</v>
      </c>
      <c r="E805" s="16" t="s">
        <v>192</v>
      </c>
      <c r="F805" s="16" t="s">
        <v>255</v>
      </c>
      <c r="G805" s="16" t="s">
        <v>329</v>
      </c>
      <c r="H805" s="16" t="s">
        <v>447</v>
      </c>
    </row>
    <row r="806" ht="20.25" customHeight="1">
      <c r="A806" s="32" t="str">
        <f>IMAGE("https://gymvisual.com/22197-catalog_default/bodyweight-standing-sissy-squat.jpg",4,500,500)</f>
        <v/>
      </c>
      <c r="B806" s="30">
        <v>805.0</v>
      </c>
      <c r="C806" s="16" t="s">
        <v>1294</v>
      </c>
      <c r="D806" s="16" t="s">
        <v>184</v>
      </c>
      <c r="E806" s="16" t="s">
        <v>285</v>
      </c>
      <c r="F806" s="16" t="s">
        <v>255</v>
      </c>
      <c r="G806" s="16" t="s">
        <v>220</v>
      </c>
      <c r="H806" s="16" t="s">
        <v>220</v>
      </c>
    </row>
    <row r="807" ht="20.25" customHeight="1">
      <c r="A807" s="32" t="str">
        <f>IMAGE("https://gymvisual.com/22165-catalog_default/bodyweight-step-up-on-stepbox.jpg",4,500,500)</f>
        <v/>
      </c>
      <c r="B807" s="30">
        <v>806.0</v>
      </c>
      <c r="C807" s="16" t="s">
        <v>1295</v>
      </c>
      <c r="D807" s="16" t="s">
        <v>184</v>
      </c>
      <c r="E807" s="16" t="s">
        <v>285</v>
      </c>
      <c r="F807" s="16" t="s">
        <v>255</v>
      </c>
      <c r="G807" s="16" t="s">
        <v>189</v>
      </c>
      <c r="H807" s="16" t="s">
        <v>190</v>
      </c>
    </row>
    <row r="808" ht="20.25" customHeight="1">
      <c r="A808" s="32" t="str">
        <f>IMAGE("https://gymvisual.com/24117-catalog_default/bodyweight-svend-press.jpg",4,500,500)</f>
        <v/>
      </c>
      <c r="B808" s="30">
        <v>807.0</v>
      </c>
      <c r="C808" s="16" t="s">
        <v>1296</v>
      </c>
      <c r="D808" s="16" t="s">
        <v>184</v>
      </c>
      <c r="E808" s="16" t="s">
        <v>234</v>
      </c>
      <c r="F808" s="16" t="s">
        <v>255</v>
      </c>
      <c r="G808" s="16" t="s">
        <v>220</v>
      </c>
      <c r="H808" s="16" t="s">
        <v>220</v>
      </c>
    </row>
    <row r="809" ht="20.25" customHeight="1">
      <c r="A809" s="32" t="str">
        <f>IMAGE("https://gymvisual.com/26102-catalog_default/bodyweight-swing.jpg",4,500,500)</f>
        <v/>
      </c>
      <c r="B809" s="30">
        <v>808.0</v>
      </c>
      <c r="C809" s="16" t="s">
        <v>1297</v>
      </c>
      <c r="D809" s="16" t="s">
        <v>184</v>
      </c>
      <c r="E809" s="16" t="s">
        <v>185</v>
      </c>
      <c r="F809" s="16" t="s">
        <v>255</v>
      </c>
      <c r="G809" s="16" t="s">
        <v>220</v>
      </c>
      <c r="H809" s="16" t="s">
        <v>220</v>
      </c>
    </row>
    <row r="810" ht="20.25" customHeight="1">
      <c r="A810" s="32" t="str">
        <f>IMAGE("https://gymvisual.com/25071-catalog_default/bodyweight-walking-calf-raise.jpg",4,500,500)</f>
        <v/>
      </c>
      <c r="B810" s="30">
        <v>809.0</v>
      </c>
      <c r="C810" s="16" t="s">
        <v>1298</v>
      </c>
      <c r="D810" s="16" t="s">
        <v>184</v>
      </c>
      <c r="E810" s="16" t="s">
        <v>325</v>
      </c>
      <c r="F810" s="16" t="s">
        <v>255</v>
      </c>
      <c r="G810" s="16" t="s">
        <v>220</v>
      </c>
      <c r="H810" s="16" t="s">
        <v>220</v>
      </c>
    </row>
    <row r="811" ht="20.25" customHeight="1">
      <c r="A811" s="32" t="str">
        <f>IMAGE("https://gymvisual.com/6793-catalog_default/bodyweight-wall-squat.jpg",4,500,500)</f>
        <v/>
      </c>
      <c r="B811" s="30">
        <v>810.0</v>
      </c>
      <c r="C811" s="16" t="s">
        <v>1299</v>
      </c>
      <c r="D811" s="16" t="s">
        <v>184</v>
      </c>
      <c r="E811" s="16" t="s">
        <v>285</v>
      </c>
      <c r="F811" s="16" t="s">
        <v>255</v>
      </c>
      <c r="G811" s="16" t="s">
        <v>189</v>
      </c>
      <c r="H811" s="16" t="s">
        <v>190</v>
      </c>
    </row>
    <row r="812" ht="20.25" customHeight="1">
      <c r="A812" s="32" t="str">
        <f>IMAGE("https://gymvisual.com/22718-catalog_default/bodyweight-windmill.jpg",4,500,500)</f>
        <v/>
      </c>
      <c r="B812" s="30">
        <v>811.0</v>
      </c>
      <c r="C812" s="16" t="s">
        <v>1300</v>
      </c>
      <c r="D812" s="16" t="s">
        <v>184</v>
      </c>
      <c r="E812" s="16" t="s">
        <v>254</v>
      </c>
      <c r="F812" s="16" t="s">
        <v>255</v>
      </c>
      <c r="G812" s="16" t="s">
        <v>260</v>
      </c>
      <c r="H812" s="16" t="s">
        <v>271</v>
      </c>
    </row>
    <row r="813" ht="20.25" customHeight="1">
      <c r="A813" s="32" t="str">
        <f>IMAGE("https://gymvisual.com/17787-catalog_default/bodyweight-windmill-female.jpg",4,500,500)</f>
        <v/>
      </c>
      <c r="B813" s="30">
        <v>812.0</v>
      </c>
      <c r="C813" s="16" t="s">
        <v>1301</v>
      </c>
      <c r="D813" s="16" t="s">
        <v>184</v>
      </c>
      <c r="E813" s="16" t="s">
        <v>254</v>
      </c>
      <c r="F813" s="16" t="s">
        <v>255</v>
      </c>
      <c r="G813" s="16" t="s">
        <v>424</v>
      </c>
      <c r="H813" s="16" t="s">
        <v>1302</v>
      </c>
    </row>
    <row r="814" ht="20.25" customHeight="1">
      <c r="A814" s="32" t="str">
        <f>IMAGE("https://gymvisual.com/26114-catalog_default/bodyweight-wood-chop-squat.jpg",4,500,500)</f>
        <v/>
      </c>
      <c r="B814" s="30">
        <v>813.0</v>
      </c>
      <c r="C814" s="16" t="s">
        <v>1303</v>
      </c>
      <c r="D814" s="16" t="s">
        <v>184</v>
      </c>
      <c r="E814" s="16" t="s">
        <v>254</v>
      </c>
      <c r="F814" s="16" t="s">
        <v>255</v>
      </c>
      <c r="G814" s="16" t="s">
        <v>220</v>
      </c>
      <c r="H814" s="16" t="s">
        <v>220</v>
      </c>
    </row>
    <row r="815" ht="20.25" customHeight="1">
      <c r="A815" s="32" t="str">
        <f>IMAGE("https://gymvisual.com/14135-catalog_default/bottle-hammer-curl.jpg",4,500,500)</f>
        <v/>
      </c>
      <c r="B815" s="30">
        <v>814.0</v>
      </c>
      <c r="C815" s="16" t="s">
        <v>1304</v>
      </c>
      <c r="D815" s="16" t="s">
        <v>184</v>
      </c>
      <c r="E815" s="16" t="s">
        <v>219</v>
      </c>
      <c r="F815" s="16" t="s">
        <v>396</v>
      </c>
      <c r="G815" s="16" t="s">
        <v>232</v>
      </c>
      <c r="H815" s="16" t="s">
        <v>233</v>
      </c>
    </row>
    <row r="816" ht="20.25" customHeight="1">
      <c r="A816" s="32" t="str">
        <f>IMAGE("https://gymvisual.com/10933-catalog_default/bottoms-up-female.jpg",4,500,500)</f>
        <v/>
      </c>
      <c r="B816" s="30">
        <v>815.0</v>
      </c>
      <c r="C816" s="16" t="s">
        <v>1305</v>
      </c>
      <c r="D816" s="16" t="s">
        <v>184</v>
      </c>
      <c r="E816" s="16" t="s">
        <v>310</v>
      </c>
      <c r="F816" s="16" t="s">
        <v>255</v>
      </c>
      <c r="G816" s="16" t="s">
        <v>305</v>
      </c>
      <c r="H816" s="16" t="s">
        <v>1306</v>
      </c>
    </row>
    <row r="817" ht="20.25" customHeight="1">
      <c r="A817" s="32" t="str">
        <f>IMAGE("https://gymvisual.com/438-catalog_default/bottoms-up.jpg",4,500,500)</f>
        <v/>
      </c>
      <c r="B817" s="30">
        <v>816.0</v>
      </c>
      <c r="C817" s="16" t="s">
        <v>1307</v>
      </c>
      <c r="D817" s="16" t="s">
        <v>184</v>
      </c>
      <c r="E817" s="16" t="s">
        <v>254</v>
      </c>
      <c r="F817" s="16" t="s">
        <v>255</v>
      </c>
      <c r="G817" s="16" t="s">
        <v>256</v>
      </c>
      <c r="H817" s="16" t="s">
        <v>1308</v>
      </c>
    </row>
    <row r="818" ht="20.25" customHeight="1">
      <c r="A818" s="32" t="str">
        <f>IMAGE("https://gymvisual.com/11579-catalog_default/brachialis-narrow-pull-ups-female.jpg",4,500,500)</f>
        <v/>
      </c>
      <c r="B818" s="30">
        <v>817.0</v>
      </c>
      <c r="C818" s="16" t="s">
        <v>1309</v>
      </c>
      <c r="D818" s="16" t="s">
        <v>184</v>
      </c>
      <c r="E818" s="16" t="s">
        <v>192</v>
      </c>
      <c r="F818" s="16" t="s">
        <v>255</v>
      </c>
      <c r="G818" s="16" t="s">
        <v>220</v>
      </c>
      <c r="H818" s="16" t="s">
        <v>220</v>
      </c>
    </row>
    <row r="819" ht="20.25" customHeight="1">
      <c r="A819" s="32" t="str">
        <f>IMAGE("https://gymvisual.com/441-catalog_default/brachialis-narrow-pull-ups.jpg",4,500,500)</f>
        <v/>
      </c>
      <c r="B819" s="30">
        <v>818.0</v>
      </c>
      <c r="C819" s="16" t="s">
        <v>1310</v>
      </c>
      <c r="D819" s="16" t="s">
        <v>184</v>
      </c>
      <c r="E819" s="16" t="s">
        <v>219</v>
      </c>
      <c r="F819" s="16" t="s">
        <v>255</v>
      </c>
      <c r="G819" s="16" t="s">
        <v>216</v>
      </c>
      <c r="H819" s="16" t="s">
        <v>217</v>
      </c>
    </row>
    <row r="820" ht="20.25" customHeight="1">
      <c r="A820" s="32" t="str">
        <f>IMAGE("https://gymvisual.com/444-catalog_default/brachialis-pull-up.jpg",4,500,500)</f>
        <v/>
      </c>
      <c r="B820" s="30">
        <v>819.0</v>
      </c>
      <c r="C820" s="16" t="s">
        <v>1311</v>
      </c>
      <c r="D820" s="16" t="s">
        <v>184</v>
      </c>
      <c r="E820" s="16" t="s">
        <v>214</v>
      </c>
      <c r="F820" s="16" t="s">
        <v>255</v>
      </c>
      <c r="G820" s="16" t="s">
        <v>292</v>
      </c>
      <c r="H820" s="16" t="s">
        <v>1312</v>
      </c>
    </row>
    <row r="821" ht="20.25" customHeight="1">
      <c r="A821" s="32" t="str">
        <f>IMAGE("https://gymvisual.com/450-catalog_default/bridge-on-knees.jpg",4,500,500)</f>
        <v/>
      </c>
      <c r="B821" s="30">
        <v>820.0</v>
      </c>
      <c r="C821" s="16" t="s">
        <v>1313</v>
      </c>
      <c r="D821" s="16" t="s">
        <v>184</v>
      </c>
      <c r="E821" s="16" t="s">
        <v>254</v>
      </c>
      <c r="F821" s="16" t="s">
        <v>255</v>
      </c>
      <c r="G821" s="16" t="s">
        <v>256</v>
      </c>
      <c r="H821" s="16" t="s">
        <v>1314</v>
      </c>
    </row>
    <row r="822" ht="20.25" customHeight="1">
      <c r="A822" s="32" t="str">
        <f>IMAGE("https://gymvisual.com/452-catalog_default/bridge-straight-arm.jpg",4,500,500)</f>
        <v/>
      </c>
      <c r="B822" s="30">
        <v>821.0</v>
      </c>
      <c r="C822" s="16" t="s">
        <v>1315</v>
      </c>
      <c r="D822" s="16" t="s">
        <v>184</v>
      </c>
      <c r="E822" s="16" t="s">
        <v>254</v>
      </c>
      <c r="F822" s="16" t="s">
        <v>255</v>
      </c>
      <c r="G822" s="16" t="s">
        <v>256</v>
      </c>
      <c r="H822" s="16" t="s">
        <v>1316</v>
      </c>
    </row>
    <row r="823" ht="20.25" customHeight="1">
      <c r="A823" s="32" t="str">
        <f>IMAGE("https://gymvisual.com/10577-catalog_default/bridge-mountain-climber-cross-body.jpg",4,500,500)</f>
        <v/>
      </c>
      <c r="B823" s="30">
        <v>822.0</v>
      </c>
      <c r="C823" s="16" t="s">
        <v>1317</v>
      </c>
      <c r="D823" s="16" t="s">
        <v>184</v>
      </c>
      <c r="E823" s="16" t="s">
        <v>254</v>
      </c>
      <c r="F823" s="16" t="s">
        <v>255</v>
      </c>
      <c r="G823" s="16" t="s">
        <v>260</v>
      </c>
      <c r="H823" s="16" t="s">
        <v>220</v>
      </c>
    </row>
    <row r="824" ht="20.25" customHeight="1">
      <c r="A824" s="32" t="str">
        <f>IMAGE("https://gymvisual.com/10576-catalog_default/bridge-mountain-climber-cross-body-female.jpg",4,500,500)</f>
        <v/>
      </c>
      <c r="B824" s="30">
        <v>823.0</v>
      </c>
      <c r="C824" s="16" t="s">
        <v>1318</v>
      </c>
      <c r="D824" s="16" t="s">
        <v>184</v>
      </c>
      <c r="E824" s="16" t="s">
        <v>254</v>
      </c>
      <c r="F824" s="16" t="s">
        <v>255</v>
      </c>
      <c r="G824" s="16" t="s">
        <v>257</v>
      </c>
      <c r="H824" s="16" t="s">
        <v>1319</v>
      </c>
    </row>
    <row r="825" ht="20.25" customHeight="1">
      <c r="A825" s="32" t="str">
        <f>IMAGE("https://gymvisual.com/454-catalog_default/bridge-hip-abduction.jpg",4,500,500)</f>
        <v/>
      </c>
      <c r="B825" s="30">
        <v>824.0</v>
      </c>
      <c r="C825" s="16" t="s">
        <v>1320</v>
      </c>
      <c r="D825" s="16" t="s">
        <v>184</v>
      </c>
      <c r="E825" s="16" t="s">
        <v>185</v>
      </c>
      <c r="F825" s="16" t="s">
        <v>255</v>
      </c>
      <c r="G825" s="16" t="s">
        <v>508</v>
      </c>
      <c r="H825" s="16" t="s">
        <v>220</v>
      </c>
    </row>
    <row r="826" ht="20.25" customHeight="1">
      <c r="A826" s="32" t="str">
        <f>IMAGE("https://gymvisual.com/22805-catalog_default/bridge-hip-abduction-male.jpg",4,500,500)</f>
        <v/>
      </c>
      <c r="B826" s="30">
        <v>825.0</v>
      </c>
      <c r="C826" s="16" t="s">
        <v>1321</v>
      </c>
      <c r="D826" s="16" t="s">
        <v>184</v>
      </c>
      <c r="E826" s="16" t="s">
        <v>185</v>
      </c>
      <c r="F826" s="16" t="s">
        <v>255</v>
      </c>
      <c r="G826" s="16" t="s">
        <v>1322</v>
      </c>
      <c r="H826" s="16" t="s">
        <v>1323</v>
      </c>
    </row>
    <row r="827" ht="20.25" customHeight="1">
      <c r="A827" s="32" t="str">
        <f>IMAGE("https://gymvisual.com/14078-catalog_default/bulgarian-split-squat.jpg",4,500,500)</f>
        <v/>
      </c>
      <c r="B827" s="30">
        <v>826.0</v>
      </c>
      <c r="C827" s="16" t="s">
        <v>1324</v>
      </c>
      <c r="D827" s="16" t="s">
        <v>184</v>
      </c>
      <c r="E827" s="16" t="s">
        <v>294</v>
      </c>
      <c r="F827" s="16" t="s">
        <v>255</v>
      </c>
      <c r="G827" s="16" t="s">
        <v>189</v>
      </c>
      <c r="H827" s="16" t="s">
        <v>190</v>
      </c>
    </row>
    <row r="828" ht="20.25" customHeight="1">
      <c r="A828" s="32" t="str">
        <f>IMAGE("https://gymvisual.com/16524-catalog_default/bulgarian-split-squat-with-chair.jpg",4,500,500)</f>
        <v/>
      </c>
      <c r="B828" s="30">
        <v>827.0</v>
      </c>
      <c r="C828" s="16" t="s">
        <v>1325</v>
      </c>
      <c r="D828" s="16" t="s">
        <v>184</v>
      </c>
      <c r="E828" s="16" t="s">
        <v>285</v>
      </c>
      <c r="F828" s="16" t="s">
        <v>255</v>
      </c>
      <c r="G828" s="16" t="s">
        <v>189</v>
      </c>
      <c r="H828" s="16" t="s">
        <v>190</v>
      </c>
    </row>
    <row r="829" ht="20.25" customHeight="1">
      <c r="A829" s="32" t="str">
        <f>IMAGE("https://gymvisual.com/457-catalog_default/butt-bridge.jpg",4,500,500)</f>
        <v/>
      </c>
      <c r="B829" s="30">
        <v>828.0</v>
      </c>
      <c r="C829" s="16" t="s">
        <v>1326</v>
      </c>
      <c r="D829" s="16" t="s">
        <v>184</v>
      </c>
      <c r="E829" s="16" t="s">
        <v>254</v>
      </c>
      <c r="F829" s="16" t="s">
        <v>255</v>
      </c>
      <c r="G829" s="16" t="s">
        <v>1327</v>
      </c>
      <c r="H829" s="16" t="s">
        <v>1328</v>
      </c>
    </row>
    <row r="830" ht="20.25" customHeight="1">
      <c r="A830" s="32" t="str">
        <f>IMAGE("https://gymvisual.com/2648-catalog_default/butt-ups.jpg",4,500,500)</f>
        <v/>
      </c>
      <c r="B830" s="30">
        <v>829.0</v>
      </c>
      <c r="C830" s="16" t="s">
        <v>1329</v>
      </c>
      <c r="D830" s="16" t="s">
        <v>184</v>
      </c>
      <c r="E830" s="16" t="s">
        <v>254</v>
      </c>
      <c r="F830" s="16" t="s">
        <v>255</v>
      </c>
      <c r="G830" s="16" t="s">
        <v>305</v>
      </c>
      <c r="H830" s="16" t="s">
        <v>1330</v>
      </c>
    </row>
    <row r="831" ht="20.25" customHeight="1">
      <c r="A831" s="32" t="str">
        <f>IMAGE("https://gymvisual.com/463-catalog_default/bycicle-twisting-crunch.jpg",4,500,500)</f>
        <v/>
      </c>
      <c r="B831" s="30">
        <v>830.0</v>
      </c>
      <c r="C831" s="16" t="s">
        <v>1331</v>
      </c>
      <c r="D831" s="16" t="s">
        <v>184</v>
      </c>
      <c r="E831" s="16" t="s">
        <v>254</v>
      </c>
      <c r="F831" s="16" t="s">
        <v>255</v>
      </c>
      <c r="G831" s="16" t="s">
        <v>260</v>
      </c>
      <c r="H831" s="16" t="s">
        <v>1332</v>
      </c>
    </row>
    <row r="832" ht="20.25" customHeight="1">
      <c r="A832" s="32" t="str">
        <f>IMAGE("https://gymvisual.com/466-catalog_default/cable-alternate-shoulder-press.jpg",4,500,500)</f>
        <v/>
      </c>
      <c r="B832" s="30">
        <v>831.0</v>
      </c>
      <c r="C832" s="16" t="s">
        <v>1333</v>
      </c>
      <c r="D832" s="16" t="s">
        <v>184</v>
      </c>
      <c r="E832" s="16" t="s">
        <v>228</v>
      </c>
      <c r="F832" s="16" t="s">
        <v>215</v>
      </c>
      <c r="G832" s="16" t="s">
        <v>229</v>
      </c>
      <c r="H832" s="16" t="s">
        <v>1334</v>
      </c>
    </row>
    <row r="833" ht="20.25" customHeight="1">
      <c r="A833" s="32" t="str">
        <f>IMAGE("https://gymvisual.com/13345-catalog_default/cable-alternate-shoulder-press-female.jpg",4,500,500)</f>
        <v/>
      </c>
      <c r="B833" s="30">
        <v>832.0</v>
      </c>
      <c r="C833" s="16" t="s">
        <v>1335</v>
      </c>
      <c r="D833" s="16" t="s">
        <v>184</v>
      </c>
      <c r="E833" s="16" t="s">
        <v>228</v>
      </c>
      <c r="F833" s="16" t="s">
        <v>215</v>
      </c>
      <c r="G833" s="16" t="s">
        <v>220</v>
      </c>
      <c r="H833" s="16" t="s">
        <v>220</v>
      </c>
    </row>
    <row r="834" ht="20.25" customHeight="1">
      <c r="A834" s="32" t="str">
        <f>IMAGE("https://gymvisual.com/469-catalog_default/cable-alternate-triceps-extension.jpg",4,500,500)</f>
        <v/>
      </c>
      <c r="B834" s="30">
        <v>833.0</v>
      </c>
      <c r="C834" s="16" t="s">
        <v>1336</v>
      </c>
      <c r="D834" s="16" t="s">
        <v>184</v>
      </c>
      <c r="E834" s="16" t="s">
        <v>219</v>
      </c>
      <c r="F834" s="16" t="s">
        <v>215</v>
      </c>
      <c r="G834" s="16" t="s">
        <v>223</v>
      </c>
      <c r="H834" s="16" t="s">
        <v>220</v>
      </c>
    </row>
    <row r="835" ht="20.25" customHeight="1">
      <c r="A835" s="32" t="str">
        <f>IMAGE("https://gymvisual.com/13347-catalog_default/cable-alternate-triceps-extension-female.jpg",4,500,500)</f>
        <v/>
      </c>
      <c r="B835" s="30">
        <v>834.0</v>
      </c>
      <c r="C835" s="16" t="s">
        <v>1337</v>
      </c>
      <c r="D835" s="16" t="s">
        <v>184</v>
      </c>
      <c r="E835" s="16" t="s">
        <v>219</v>
      </c>
      <c r="F835" s="16" t="s">
        <v>215</v>
      </c>
      <c r="G835" s="16" t="s">
        <v>220</v>
      </c>
      <c r="H835" s="16" t="s">
        <v>220</v>
      </c>
    </row>
    <row r="836" ht="20.25" customHeight="1">
      <c r="A836" s="32" t="str">
        <f>IMAGE("https://gymvisual.com/12982-catalog_default/cable-assisted-inverse-leg-curl.jpg",4,500,500)</f>
        <v/>
      </c>
      <c r="B836" s="30">
        <v>835.0</v>
      </c>
      <c r="C836" s="16" t="s">
        <v>1338</v>
      </c>
      <c r="D836" s="16" t="s">
        <v>184</v>
      </c>
      <c r="E836" s="16" t="s">
        <v>285</v>
      </c>
      <c r="F836" s="16" t="s">
        <v>215</v>
      </c>
      <c r="G836" s="16" t="s">
        <v>854</v>
      </c>
      <c r="H836" s="16" t="s">
        <v>1339</v>
      </c>
    </row>
    <row r="837" ht="20.25" customHeight="1">
      <c r="A837" s="32" t="str">
        <f>IMAGE("https://gymvisual.com/13349-catalog_default/cable-bar-high-pulley-overhead-tricep-extension-female.jpg",4,500,500)</f>
        <v/>
      </c>
      <c r="B837" s="30">
        <v>836.0</v>
      </c>
      <c r="C837" s="16" t="s">
        <v>1340</v>
      </c>
      <c r="D837" s="16" t="s">
        <v>184</v>
      </c>
      <c r="E837" s="16" t="s">
        <v>219</v>
      </c>
      <c r="F837" s="16" t="s">
        <v>215</v>
      </c>
      <c r="G837" s="16" t="s">
        <v>220</v>
      </c>
      <c r="H837" s="16" t="s">
        <v>220</v>
      </c>
    </row>
    <row r="838" ht="20.25" customHeight="1">
      <c r="A838" s="32" t="str">
        <f>IMAGE("https://gymvisual.com/472-catalog_default/cable-bar-lateral-pulldown.jpg",4,500,500)</f>
        <v/>
      </c>
      <c r="B838" s="30">
        <v>837.0</v>
      </c>
      <c r="C838" s="16" t="s">
        <v>1341</v>
      </c>
      <c r="D838" s="16" t="s">
        <v>184</v>
      </c>
      <c r="E838" s="16" t="s">
        <v>192</v>
      </c>
      <c r="F838" s="16" t="s">
        <v>215</v>
      </c>
      <c r="G838" s="16" t="s">
        <v>300</v>
      </c>
      <c r="H838" s="16" t="s">
        <v>387</v>
      </c>
    </row>
    <row r="839" ht="20.25" customHeight="1">
      <c r="A839" s="32" t="str">
        <f>IMAGE("https://gymvisual.com/9655-catalog_default/cable-bar-lateral-pulldown-female.jpg",4,500,500)</f>
        <v/>
      </c>
      <c r="B839" s="30">
        <v>838.0</v>
      </c>
      <c r="C839" s="16" t="s">
        <v>1342</v>
      </c>
      <c r="D839" s="16" t="s">
        <v>184</v>
      </c>
      <c r="E839" s="16" t="s">
        <v>192</v>
      </c>
      <c r="F839" s="16" t="s">
        <v>215</v>
      </c>
      <c r="G839" s="16" t="s">
        <v>220</v>
      </c>
      <c r="H839" s="16" t="s">
        <v>220</v>
      </c>
    </row>
    <row r="840" ht="20.25" customHeight="1">
      <c r="A840" s="32" t="str">
        <f>IMAGE("https://gymvisual.com/475-catalog_default/cable-bench-press.jpg",4,500,500)</f>
        <v/>
      </c>
      <c r="B840" s="30">
        <v>839.0</v>
      </c>
      <c r="C840" s="16" t="s">
        <v>113</v>
      </c>
      <c r="D840" s="16" t="s">
        <v>184</v>
      </c>
      <c r="E840" s="16" t="s">
        <v>234</v>
      </c>
      <c r="F840" s="16" t="s">
        <v>215</v>
      </c>
      <c r="G840" s="16" t="s">
        <v>235</v>
      </c>
      <c r="H840" s="16" t="s">
        <v>243</v>
      </c>
    </row>
    <row r="841" ht="20.25" customHeight="1">
      <c r="A841" s="32" t="str">
        <f>IMAGE("https://gymvisual.com/11531-catalog_default/cable-bench-press-female.jpg",4,500,500)</f>
        <v/>
      </c>
      <c r="B841" s="30">
        <v>840.0</v>
      </c>
      <c r="C841" s="16" t="s">
        <v>1343</v>
      </c>
      <c r="D841" s="16" t="s">
        <v>184</v>
      </c>
      <c r="E841" s="16" t="s">
        <v>234</v>
      </c>
      <c r="F841" s="16" t="s">
        <v>215</v>
      </c>
      <c r="G841" s="16" t="s">
        <v>220</v>
      </c>
      <c r="H841" s="16" t="s">
        <v>220</v>
      </c>
    </row>
    <row r="842" ht="20.25" customHeight="1">
      <c r="A842" s="32" t="str">
        <f>IMAGE("https://gymvisual.com/17717-catalog_default/cable-bent-over-row.jpg",4,500,500)</f>
        <v/>
      </c>
      <c r="B842" s="30">
        <v>841.0</v>
      </c>
      <c r="C842" s="16" t="s">
        <v>1344</v>
      </c>
      <c r="D842" s="16" t="s">
        <v>184</v>
      </c>
      <c r="E842" s="16" t="s">
        <v>192</v>
      </c>
      <c r="F842" s="16" t="s">
        <v>215</v>
      </c>
      <c r="G842" s="16" t="s">
        <v>220</v>
      </c>
      <c r="H842" s="16" t="s">
        <v>220</v>
      </c>
    </row>
    <row r="843" ht="20.25" customHeight="1">
      <c r="A843" s="32" t="str">
        <f>IMAGE("https://gymvisual.com/17454-catalog_default/cable-bent-over-row-with-bar.jpg",4,500,500)</f>
        <v/>
      </c>
      <c r="B843" s="30">
        <v>842.0</v>
      </c>
      <c r="C843" s="16" t="s">
        <v>1345</v>
      </c>
      <c r="D843" s="16" t="s">
        <v>184</v>
      </c>
      <c r="E843" s="16" t="s">
        <v>192</v>
      </c>
      <c r="F843" s="16" t="s">
        <v>215</v>
      </c>
      <c r="G843" s="16" t="s">
        <v>329</v>
      </c>
      <c r="H843" s="16" t="s">
        <v>447</v>
      </c>
    </row>
    <row r="844" ht="20.25" customHeight="1">
      <c r="A844" s="32" t="str">
        <f>IMAGE("https://gymvisual.com/19573-catalog_default/cable-bent-over-neutral-grip-kickback-with-rope-attachment.jpg",4,500,500)</f>
        <v/>
      </c>
      <c r="B844" s="30">
        <v>843.0</v>
      </c>
      <c r="C844" s="16" t="s">
        <v>1346</v>
      </c>
      <c r="D844" s="16" t="s">
        <v>184</v>
      </c>
      <c r="E844" s="16" t="s">
        <v>219</v>
      </c>
      <c r="F844" s="16" t="s">
        <v>215</v>
      </c>
      <c r="G844" s="16" t="s">
        <v>220</v>
      </c>
      <c r="H844" s="16" t="s">
        <v>220</v>
      </c>
    </row>
    <row r="845" ht="20.25" customHeight="1">
      <c r="A845" s="32" t="str">
        <f>IMAGE("https://gymvisual.com/17175-catalog_default/cable-bent-over-one-arm-lateral-raise.jpg",4,500,500)</f>
        <v/>
      </c>
      <c r="B845" s="30">
        <v>844.0</v>
      </c>
      <c r="C845" s="16" t="s">
        <v>1347</v>
      </c>
      <c r="D845" s="16" t="s">
        <v>184</v>
      </c>
      <c r="E845" s="16" t="s">
        <v>228</v>
      </c>
      <c r="F845" s="16" t="s">
        <v>215</v>
      </c>
      <c r="G845" s="16" t="s">
        <v>408</v>
      </c>
      <c r="H845" s="16" t="s">
        <v>1348</v>
      </c>
    </row>
    <row r="846" ht="20.25" customHeight="1">
      <c r="A846" s="32" t="str">
        <f>IMAGE("https://gymvisual.com/19403-catalog_default/cable-bent-over-reverse-grip-row.jpg",4,500,500)</f>
        <v/>
      </c>
      <c r="B846" s="30">
        <v>845.0</v>
      </c>
      <c r="C846" s="16" t="s">
        <v>1349</v>
      </c>
      <c r="D846" s="16" t="s">
        <v>184</v>
      </c>
      <c r="E846" s="16" t="s">
        <v>192</v>
      </c>
      <c r="F846" s="16" t="s">
        <v>215</v>
      </c>
      <c r="G846" s="16" t="s">
        <v>570</v>
      </c>
      <c r="H846" s="16" t="s">
        <v>447</v>
      </c>
    </row>
    <row r="847" ht="20.25" customHeight="1">
      <c r="A847" s="32" t="str">
        <f>IMAGE("https://gymvisual.com/19405-catalog_default/cable-bent-over-row-with-rope-attachment.jpg",4,500,500)</f>
        <v/>
      </c>
      <c r="B847" s="30">
        <v>846.0</v>
      </c>
      <c r="C847" s="16" t="s">
        <v>1350</v>
      </c>
      <c r="D847" s="16" t="s">
        <v>184</v>
      </c>
      <c r="E847" s="16" t="s">
        <v>192</v>
      </c>
      <c r="F847" s="16" t="s">
        <v>215</v>
      </c>
      <c r="G847" s="16" t="s">
        <v>220</v>
      </c>
      <c r="H847" s="16" t="s">
        <v>220</v>
      </c>
    </row>
    <row r="848" ht="20.25" customHeight="1">
      <c r="A848" s="32" t="str">
        <f>IMAGE("https://gymvisual.com/19567-catalog_default/cable-bent-over-single-arm-kickback.jpg",4,500,500)</f>
        <v/>
      </c>
      <c r="B848" s="30">
        <v>847.0</v>
      </c>
      <c r="C848" s="16" t="s">
        <v>1351</v>
      </c>
      <c r="D848" s="16" t="s">
        <v>184</v>
      </c>
      <c r="E848" s="16" t="s">
        <v>219</v>
      </c>
      <c r="F848" s="16" t="s">
        <v>215</v>
      </c>
      <c r="G848" s="16" t="s">
        <v>220</v>
      </c>
      <c r="H848" s="16" t="s">
        <v>220</v>
      </c>
    </row>
    <row r="849" ht="20.25" customHeight="1">
      <c r="A849" s="32" t="str">
        <f>IMAGE("https://gymvisual.com/19571-catalog_default/cable-bent-over-single-arm-neutral-grip-kickback-with-rope-attachment.jpg",4,500,500)</f>
        <v/>
      </c>
      <c r="B849" s="30">
        <v>848.0</v>
      </c>
      <c r="C849" s="16" t="s">
        <v>1352</v>
      </c>
      <c r="D849" s="16" t="s">
        <v>184</v>
      </c>
      <c r="E849" s="16" t="s">
        <v>219</v>
      </c>
      <c r="F849" s="16" t="s">
        <v>215</v>
      </c>
      <c r="G849" s="16" t="s">
        <v>220</v>
      </c>
      <c r="H849" s="16" t="s">
        <v>220</v>
      </c>
    </row>
    <row r="850" ht="20.25" customHeight="1">
      <c r="A850" s="32" t="str">
        <f>IMAGE("https://gymvisual.com/6950-catalog_default/cable-biceps-curl-sz-bar.jpg",4,500,500)</f>
        <v/>
      </c>
      <c r="B850" s="30">
        <v>849.0</v>
      </c>
      <c r="C850" s="16" t="s">
        <v>1353</v>
      </c>
      <c r="D850" s="16" t="s">
        <v>184</v>
      </c>
      <c r="E850" s="16" t="s">
        <v>219</v>
      </c>
      <c r="F850" s="16" t="s">
        <v>215</v>
      </c>
      <c r="G850" s="16" t="s">
        <v>241</v>
      </c>
      <c r="H850" s="16" t="s">
        <v>292</v>
      </c>
    </row>
    <row r="851" ht="20.25" customHeight="1">
      <c r="A851" s="32" t="str">
        <f>IMAGE("https://gymvisual.com/7104-catalog_default/cable-close-grip-curl.jpg",4,500,500)</f>
        <v/>
      </c>
      <c r="B851" s="30">
        <v>850.0</v>
      </c>
      <c r="C851" s="16" t="s">
        <v>1354</v>
      </c>
      <c r="D851" s="16" t="s">
        <v>184</v>
      </c>
      <c r="E851" s="16" t="s">
        <v>219</v>
      </c>
      <c r="F851" s="16" t="s">
        <v>215</v>
      </c>
      <c r="G851" s="16" t="s">
        <v>220</v>
      </c>
      <c r="H851" s="16" t="s">
        <v>220</v>
      </c>
    </row>
    <row r="852" ht="20.25" customHeight="1">
      <c r="A852" s="32" t="str">
        <f>IMAGE("https://gymvisual.com/13351-catalog_default/cable-close-grip-curl-female.jpg",4,500,500)</f>
        <v/>
      </c>
      <c r="B852" s="30">
        <v>851.0</v>
      </c>
      <c r="C852" s="16" t="s">
        <v>1355</v>
      </c>
      <c r="D852" s="16" t="s">
        <v>184</v>
      </c>
      <c r="E852" s="16" t="s">
        <v>219</v>
      </c>
      <c r="F852" s="16" t="s">
        <v>215</v>
      </c>
      <c r="G852" s="16" t="s">
        <v>220</v>
      </c>
      <c r="H852" s="16" t="s">
        <v>220</v>
      </c>
    </row>
    <row r="853" ht="20.25" customHeight="1">
      <c r="A853" s="32" t="str">
        <f>IMAGE("https://gymvisual.com/2958-catalog_default/cable-close-grip-front-lat-pulldown.jpg",4,500,500)</f>
        <v/>
      </c>
      <c r="B853" s="30">
        <v>852.0</v>
      </c>
      <c r="C853" s="16" t="s">
        <v>1356</v>
      </c>
      <c r="D853" s="16" t="s">
        <v>184</v>
      </c>
      <c r="E853" s="16" t="s">
        <v>192</v>
      </c>
      <c r="F853" s="16" t="s">
        <v>215</v>
      </c>
      <c r="G853" s="16" t="s">
        <v>300</v>
      </c>
      <c r="H853" s="16" t="s">
        <v>1357</v>
      </c>
    </row>
    <row r="854" ht="20.25" customHeight="1">
      <c r="A854" s="32" t="str">
        <f>IMAGE("https://gymvisual.com/16618-catalog_default/cable-close-grip-front-lat-pulldown-female.jpg",4,500,500)</f>
        <v/>
      </c>
      <c r="B854" s="30">
        <v>853.0</v>
      </c>
      <c r="C854" s="16" t="s">
        <v>1358</v>
      </c>
      <c r="D854" s="16" t="s">
        <v>184</v>
      </c>
      <c r="E854" s="16" t="s">
        <v>192</v>
      </c>
      <c r="F854" s="16" t="s">
        <v>215</v>
      </c>
      <c r="G854" s="16" t="s">
        <v>300</v>
      </c>
      <c r="H854" s="16" t="s">
        <v>445</v>
      </c>
    </row>
    <row r="855" ht="20.25" customHeight="1">
      <c r="A855" s="32" t="str">
        <f>IMAGE("https://gymvisual.com/7105-catalog_default/cable-concentration-curl.jpg",4,500,500)</f>
        <v/>
      </c>
      <c r="B855" s="30">
        <v>854.0</v>
      </c>
      <c r="C855" s="16" t="s">
        <v>1359</v>
      </c>
      <c r="D855" s="16" t="s">
        <v>184</v>
      </c>
      <c r="E855" s="16" t="s">
        <v>219</v>
      </c>
      <c r="F855" s="16" t="s">
        <v>215</v>
      </c>
      <c r="G855" s="16" t="s">
        <v>220</v>
      </c>
      <c r="H855" s="16" t="s">
        <v>220</v>
      </c>
    </row>
    <row r="856" ht="20.25" customHeight="1">
      <c r="A856" s="32" t="str">
        <f>IMAGE("https://gymvisual.com/13353-catalog_default/cable-concentration-curl-female.jpg",4,500,500)</f>
        <v/>
      </c>
      <c r="B856" s="30">
        <v>855.0</v>
      </c>
      <c r="C856" s="16" t="s">
        <v>1360</v>
      </c>
      <c r="D856" s="16" t="s">
        <v>184</v>
      </c>
      <c r="E856" s="16" t="s">
        <v>219</v>
      </c>
      <c r="F856" s="16" t="s">
        <v>215</v>
      </c>
      <c r="G856" s="16" t="s">
        <v>220</v>
      </c>
      <c r="H856" s="16" t="s">
        <v>220</v>
      </c>
    </row>
    <row r="857" ht="20.25" customHeight="1">
      <c r="A857" s="32" t="str">
        <f>IMAGE("https://gymvisual.com/478-catalog_default/cable-concentration-extension-on-knee.jpg",4,500,500)</f>
        <v/>
      </c>
      <c r="B857" s="30">
        <v>856.0</v>
      </c>
      <c r="C857" s="16" t="s">
        <v>1361</v>
      </c>
      <c r="D857" s="16" t="s">
        <v>184</v>
      </c>
      <c r="E857" s="16" t="s">
        <v>219</v>
      </c>
      <c r="F857" s="16" t="s">
        <v>215</v>
      </c>
      <c r="G857" s="16" t="s">
        <v>223</v>
      </c>
      <c r="H857" s="16" t="s">
        <v>220</v>
      </c>
    </row>
    <row r="858" ht="20.25" customHeight="1">
      <c r="A858" s="32" t="str">
        <f>IMAGE("https://gymvisual.com/13355-catalog_default/cable-concentration-extension-on-knee-female.jpg",4,500,500)</f>
        <v/>
      </c>
      <c r="B858" s="30">
        <v>857.0</v>
      </c>
      <c r="C858" s="16" t="s">
        <v>1362</v>
      </c>
      <c r="D858" s="16" t="s">
        <v>184</v>
      </c>
      <c r="E858" s="16" t="s">
        <v>219</v>
      </c>
      <c r="F858" s="16" t="s">
        <v>215</v>
      </c>
      <c r="G858" s="16" t="s">
        <v>220</v>
      </c>
      <c r="H858" s="16" t="s">
        <v>220</v>
      </c>
    </row>
    <row r="859" ht="20.25" customHeight="1">
      <c r="A859" s="32" t="str">
        <f>IMAGE("https://gymvisual.com/13357-catalog_default/cable-cross-over-lateral-pulldown-female.jpg",4,500,500)</f>
        <v/>
      </c>
      <c r="B859" s="30">
        <v>858.0</v>
      </c>
      <c r="C859" s="16" t="s">
        <v>1363</v>
      </c>
      <c r="D859" s="16" t="s">
        <v>184</v>
      </c>
      <c r="E859" s="16" t="s">
        <v>192</v>
      </c>
      <c r="F859" s="16" t="s">
        <v>215</v>
      </c>
      <c r="G859" s="16" t="s">
        <v>220</v>
      </c>
      <c r="H859" s="16" t="s">
        <v>220</v>
      </c>
    </row>
    <row r="860" ht="20.25" customHeight="1">
      <c r="A860" s="32" t="str">
        <f>IMAGE("https://gymvisual.com/11050-catalog_default/cable-cross-over-revers-fly-female.jpg",4,500,500)</f>
        <v/>
      </c>
      <c r="B860" s="30">
        <v>859.0</v>
      </c>
      <c r="C860" s="16" t="s">
        <v>1364</v>
      </c>
      <c r="D860" s="16" t="s">
        <v>184</v>
      </c>
      <c r="E860" s="16" t="s">
        <v>228</v>
      </c>
      <c r="F860" s="16" t="s">
        <v>215</v>
      </c>
      <c r="G860" s="16" t="s">
        <v>408</v>
      </c>
      <c r="H860" s="16" t="s">
        <v>452</v>
      </c>
    </row>
    <row r="861" ht="20.25" customHeight="1">
      <c r="A861" s="32" t="str">
        <f>IMAGE("https://gymvisual.com/481-catalog_default/cable-cross-over-lateral-pulldown.jpg",4,500,500)</f>
        <v/>
      </c>
      <c r="B861" s="30">
        <v>860.0</v>
      </c>
      <c r="C861" s="16" t="s">
        <v>1365</v>
      </c>
      <c r="D861" s="16" t="s">
        <v>184</v>
      </c>
      <c r="E861" s="16" t="s">
        <v>192</v>
      </c>
      <c r="F861" s="16" t="s">
        <v>215</v>
      </c>
      <c r="G861" s="16" t="s">
        <v>300</v>
      </c>
      <c r="H861" s="16" t="s">
        <v>535</v>
      </c>
    </row>
    <row r="862" ht="20.25" customHeight="1">
      <c r="A862" s="32" t="str">
        <f>IMAGE("https://gymvisual.com/484-catalog_default/cable-cross-over-revers-fly.jpg",4,500,500)</f>
        <v/>
      </c>
      <c r="B862" s="30">
        <v>861.0</v>
      </c>
      <c r="C862" s="16" t="s">
        <v>1366</v>
      </c>
      <c r="D862" s="16" t="s">
        <v>184</v>
      </c>
      <c r="E862" s="16" t="s">
        <v>228</v>
      </c>
      <c r="F862" s="16" t="s">
        <v>215</v>
      </c>
      <c r="G862" s="16" t="s">
        <v>408</v>
      </c>
      <c r="H862" s="16" t="s">
        <v>452</v>
      </c>
    </row>
    <row r="863" ht="20.25" customHeight="1">
      <c r="A863" s="32" t="str">
        <f>IMAGE("https://gymvisual.com/487-catalog_default/cable-cross-over-variation.jpg",4,500,500)</f>
        <v/>
      </c>
      <c r="B863" s="30">
        <v>862.0</v>
      </c>
      <c r="C863" s="16" t="s">
        <v>1367</v>
      </c>
      <c r="D863" s="16" t="s">
        <v>184</v>
      </c>
      <c r="E863" s="16" t="s">
        <v>234</v>
      </c>
      <c r="F863" s="16" t="s">
        <v>215</v>
      </c>
      <c r="G863" s="16" t="s">
        <v>235</v>
      </c>
      <c r="H863" s="16" t="s">
        <v>229</v>
      </c>
    </row>
    <row r="864" ht="20.25" customHeight="1">
      <c r="A864" s="32" t="str">
        <f>IMAGE("https://gymvisual.com/490-catalog_default/cable-curl.jpg",4,500,500)</f>
        <v/>
      </c>
      <c r="B864" s="30">
        <v>863.0</v>
      </c>
      <c r="C864" s="16" t="s">
        <v>1368</v>
      </c>
      <c r="D864" s="16" t="s">
        <v>184</v>
      </c>
      <c r="E864" s="16" t="s">
        <v>219</v>
      </c>
      <c r="F864" s="16" t="s">
        <v>215</v>
      </c>
      <c r="G864" s="16" t="s">
        <v>241</v>
      </c>
      <c r="H864" s="16" t="s">
        <v>292</v>
      </c>
    </row>
    <row r="865" ht="20.25" customHeight="1">
      <c r="A865" s="32" t="str">
        <f>IMAGE("https://gymvisual.com/18896-catalog_default/cable-curl.jpg",4,500,500)</f>
        <v/>
      </c>
      <c r="B865" s="30">
        <v>864.0</v>
      </c>
      <c r="C865" s="16" t="s">
        <v>1368</v>
      </c>
      <c r="D865" s="16" t="s">
        <v>184</v>
      </c>
      <c r="E865" s="16" t="s">
        <v>219</v>
      </c>
      <c r="F865" s="16" t="s">
        <v>215</v>
      </c>
      <c r="G865" s="16" t="s">
        <v>241</v>
      </c>
      <c r="H865" s="16" t="s">
        <v>292</v>
      </c>
    </row>
    <row r="866" ht="20.25" customHeight="1">
      <c r="A866" s="32" t="str">
        <f>IMAGE("https://gymvisual.com/7713-catalog_default/cable-curl-with-multipurpose-v-bar.jpg",4,500,500)</f>
        <v/>
      </c>
      <c r="B866" s="30">
        <v>865.0</v>
      </c>
      <c r="C866" s="16" t="s">
        <v>1369</v>
      </c>
      <c r="D866" s="16" t="s">
        <v>184</v>
      </c>
      <c r="E866" s="16" t="s">
        <v>214</v>
      </c>
      <c r="F866" s="16" t="s">
        <v>215</v>
      </c>
      <c r="G866" s="16" t="s">
        <v>220</v>
      </c>
      <c r="H866" s="16" t="s">
        <v>220</v>
      </c>
    </row>
    <row r="867" ht="20.25" customHeight="1">
      <c r="A867" s="32" t="str">
        <f>IMAGE("https://gymvisual.com/493-catalog_default/cable-deadlift.jpg",4,500,500)</f>
        <v/>
      </c>
      <c r="B867" s="30">
        <v>866.0</v>
      </c>
      <c r="C867" s="16" t="s">
        <v>1370</v>
      </c>
      <c r="D867" s="16" t="s">
        <v>184</v>
      </c>
      <c r="E867" s="16" t="s">
        <v>285</v>
      </c>
      <c r="F867" s="16" t="s">
        <v>215</v>
      </c>
      <c r="G867" s="16" t="s">
        <v>189</v>
      </c>
      <c r="H867" s="16" t="s">
        <v>190</v>
      </c>
    </row>
    <row r="868" ht="20.25" customHeight="1">
      <c r="A868" s="32" t="str">
        <f>IMAGE("https://gymvisual.com/13359-catalog_default/cable-deadlift-female.jpg",4,500,500)</f>
        <v/>
      </c>
      <c r="B868" s="30">
        <v>867.0</v>
      </c>
      <c r="C868" s="16" t="s">
        <v>1371</v>
      </c>
      <c r="D868" s="16" t="s">
        <v>184</v>
      </c>
      <c r="E868" s="16" t="s">
        <v>294</v>
      </c>
      <c r="F868" s="16" t="s">
        <v>215</v>
      </c>
      <c r="G868" s="16" t="s">
        <v>220</v>
      </c>
      <c r="H868" s="16" t="s">
        <v>220</v>
      </c>
    </row>
    <row r="869" ht="20.25" customHeight="1">
      <c r="A869" s="32" t="str">
        <f>IMAGE("https://gymvisual.com/19317-catalog_default/cable-decline-fly.jpg",4,500,500)</f>
        <v/>
      </c>
      <c r="B869" s="30">
        <v>868.0</v>
      </c>
      <c r="C869" s="16" t="s">
        <v>1372</v>
      </c>
      <c r="D869" s="16" t="s">
        <v>184</v>
      </c>
      <c r="E869" s="16" t="s">
        <v>234</v>
      </c>
      <c r="F869" s="16" t="s">
        <v>215</v>
      </c>
      <c r="G869" s="16" t="s">
        <v>347</v>
      </c>
      <c r="H869" s="16" t="s">
        <v>420</v>
      </c>
    </row>
    <row r="870" ht="20.25" customHeight="1">
      <c r="A870" s="32" t="str">
        <f>IMAGE("https://gymvisual.com/11107-catalog_default/cable-decline-fly-female.jpg",4,500,500)</f>
        <v/>
      </c>
      <c r="B870" s="30">
        <v>869.0</v>
      </c>
      <c r="C870" s="16" t="s">
        <v>1373</v>
      </c>
      <c r="D870" s="16" t="s">
        <v>184</v>
      </c>
      <c r="E870" s="16" t="s">
        <v>234</v>
      </c>
      <c r="F870" s="16" t="s">
        <v>215</v>
      </c>
      <c r="G870" s="16" t="s">
        <v>347</v>
      </c>
      <c r="H870" s="16" t="s">
        <v>420</v>
      </c>
    </row>
    <row r="871" ht="20.25" customHeight="1">
      <c r="A871" s="32" t="str">
        <f>IMAGE("https://gymvisual.com/5949-catalog_default/cable-decline-one-arm-press.jpg",4,500,500)</f>
        <v/>
      </c>
      <c r="B871" s="30">
        <v>870.0</v>
      </c>
      <c r="C871" s="16" t="s">
        <v>823</v>
      </c>
      <c r="D871" s="16" t="s">
        <v>184</v>
      </c>
      <c r="E871" s="16" t="s">
        <v>234</v>
      </c>
      <c r="F871" s="16" t="s">
        <v>215</v>
      </c>
      <c r="G871" s="16" t="s">
        <v>347</v>
      </c>
      <c r="H871" s="16" t="s">
        <v>382</v>
      </c>
    </row>
    <row r="872" ht="20.25" customHeight="1">
      <c r="A872" s="32" t="str">
        <f>IMAGE("https://gymvisual.com/5950-catalog_default/cable-decline-press.jpg",4,500,500)</f>
        <v/>
      </c>
      <c r="B872" s="30">
        <v>871.0</v>
      </c>
      <c r="C872" s="16" t="s">
        <v>823</v>
      </c>
      <c r="D872" s="16" t="s">
        <v>184</v>
      </c>
      <c r="E872" s="16" t="s">
        <v>234</v>
      </c>
      <c r="F872" s="16" t="s">
        <v>215</v>
      </c>
      <c r="G872" s="16" t="s">
        <v>347</v>
      </c>
      <c r="H872" s="16" t="s">
        <v>382</v>
      </c>
    </row>
    <row r="873" ht="20.25" customHeight="1">
      <c r="A873" s="32" t="str">
        <f>IMAGE("https://gymvisual.com/13361-catalog_default/cable-decline-press-female.jpg",4,500,500)</f>
        <v/>
      </c>
      <c r="B873" s="30">
        <v>872.0</v>
      </c>
      <c r="C873" s="16" t="s">
        <v>1374</v>
      </c>
      <c r="D873" s="16" t="s">
        <v>184</v>
      </c>
      <c r="E873" s="16" t="s">
        <v>234</v>
      </c>
      <c r="F873" s="16" t="s">
        <v>215</v>
      </c>
      <c r="G873" s="16" t="s">
        <v>220</v>
      </c>
      <c r="H873" s="16" t="s">
        <v>220</v>
      </c>
    </row>
    <row r="874" ht="20.25" customHeight="1">
      <c r="A874" s="32" t="str">
        <f>IMAGE("https://gymvisual.com/499-catalog_default/cable-decline-seated-wide-grip-row.jpg",4,500,500)</f>
        <v/>
      </c>
      <c r="B874" s="30">
        <v>873.0</v>
      </c>
      <c r="C874" s="16" t="s">
        <v>1375</v>
      </c>
      <c r="D874" s="16" t="s">
        <v>184</v>
      </c>
      <c r="E874" s="16" t="s">
        <v>192</v>
      </c>
      <c r="F874" s="16" t="s">
        <v>215</v>
      </c>
      <c r="G874" s="16" t="s">
        <v>329</v>
      </c>
      <c r="H874" s="16" t="s">
        <v>447</v>
      </c>
    </row>
    <row r="875" ht="20.25" customHeight="1">
      <c r="A875" s="32" t="str">
        <f>IMAGE("https://gymvisual.com/18949-catalog_default/cable-donkey-kickback-female.jpg",4,500,500)</f>
        <v/>
      </c>
      <c r="B875" s="30">
        <v>874.0</v>
      </c>
      <c r="C875" s="16" t="s">
        <v>1376</v>
      </c>
      <c r="D875" s="16" t="s">
        <v>184</v>
      </c>
      <c r="E875" s="16" t="s">
        <v>185</v>
      </c>
      <c r="F875" s="16" t="s">
        <v>215</v>
      </c>
      <c r="G875" s="16" t="s">
        <v>187</v>
      </c>
      <c r="H875" s="16" t="s">
        <v>188</v>
      </c>
    </row>
    <row r="876" ht="20.25" customHeight="1">
      <c r="A876" s="32" t="str">
        <f>IMAGE("https://gymvisual.com/7106-catalog_default/cable-drag-curl.jpg",4,500,500)</f>
        <v/>
      </c>
      <c r="B876" s="30">
        <v>875.0</v>
      </c>
      <c r="C876" s="16" t="s">
        <v>1377</v>
      </c>
      <c r="D876" s="16" t="s">
        <v>184</v>
      </c>
      <c r="E876" s="16" t="s">
        <v>219</v>
      </c>
      <c r="F876" s="16" t="s">
        <v>215</v>
      </c>
      <c r="G876" s="16" t="s">
        <v>220</v>
      </c>
      <c r="H876" s="16" t="s">
        <v>220</v>
      </c>
    </row>
    <row r="877" ht="20.25" customHeight="1">
      <c r="A877" s="32" t="str">
        <f>IMAGE("https://gymvisual.com/2957-catalog_default/cable-elevated-row.jpg",4,500,500)</f>
        <v/>
      </c>
      <c r="B877" s="30">
        <v>876.0</v>
      </c>
      <c r="C877" s="16" t="s">
        <v>1378</v>
      </c>
      <c r="D877" s="16" t="s">
        <v>184</v>
      </c>
      <c r="E877" s="16" t="s">
        <v>192</v>
      </c>
      <c r="F877" s="16" t="s">
        <v>215</v>
      </c>
      <c r="G877" s="16" t="s">
        <v>300</v>
      </c>
      <c r="H877" s="16" t="s">
        <v>1379</v>
      </c>
    </row>
    <row r="878" ht="20.25" customHeight="1">
      <c r="A878" s="32" t="str">
        <f>IMAGE("https://gymvisual.com/502-catalog_default/cable-floor-seated-wide-grip-row.jpg",4,500,500)</f>
        <v/>
      </c>
      <c r="B878" s="30">
        <v>877.0</v>
      </c>
      <c r="C878" s="16" t="s">
        <v>1380</v>
      </c>
      <c r="D878" s="16" t="s">
        <v>184</v>
      </c>
      <c r="E878" s="16" t="s">
        <v>192</v>
      </c>
      <c r="F878" s="16" t="s">
        <v>215</v>
      </c>
      <c r="G878" s="16" t="s">
        <v>329</v>
      </c>
      <c r="H878" s="16" t="s">
        <v>447</v>
      </c>
    </row>
    <row r="879" ht="20.25" customHeight="1">
      <c r="A879" s="32" t="str">
        <f>IMAGE("https://gymvisual.com/17735-catalog_default/cable-fly-with-chest-supported.jpg",4,500,500)</f>
        <v/>
      </c>
      <c r="B879" s="30">
        <v>878.0</v>
      </c>
      <c r="C879" s="16" t="s">
        <v>1381</v>
      </c>
      <c r="D879" s="16" t="s">
        <v>184</v>
      </c>
      <c r="E879" s="16" t="s">
        <v>234</v>
      </c>
      <c r="F879" s="16" t="s">
        <v>215</v>
      </c>
      <c r="G879" s="16" t="s">
        <v>220</v>
      </c>
      <c r="H879" s="16" t="s">
        <v>220</v>
      </c>
    </row>
    <row r="880" ht="20.25" customHeight="1">
      <c r="A880" s="32" t="str">
        <f>IMAGE("https://gymvisual.com/13661-catalog_default/cable-forward-lunge.jpg",4,500,500)</f>
        <v/>
      </c>
      <c r="B880" s="30">
        <v>879.0</v>
      </c>
      <c r="C880" s="16" t="s">
        <v>1382</v>
      </c>
      <c r="D880" s="16" t="s">
        <v>184</v>
      </c>
      <c r="E880" s="16" t="s">
        <v>285</v>
      </c>
      <c r="F880" s="16" t="s">
        <v>215</v>
      </c>
      <c r="G880" s="16" t="s">
        <v>189</v>
      </c>
      <c r="H880" s="16" t="s">
        <v>220</v>
      </c>
    </row>
    <row r="881" ht="20.25" customHeight="1">
      <c r="A881" s="32" t="str">
        <f>IMAGE("https://gymvisual.com/505-catalog_default/cable-forward-raise.jpg",4,500,500)</f>
        <v/>
      </c>
      <c r="B881" s="30">
        <v>880.0</v>
      </c>
      <c r="C881" s="16" t="s">
        <v>1383</v>
      </c>
      <c r="D881" s="16" t="s">
        <v>184</v>
      </c>
      <c r="E881" s="16" t="s">
        <v>228</v>
      </c>
      <c r="F881" s="16" t="s">
        <v>215</v>
      </c>
      <c r="G881" s="16" t="s">
        <v>229</v>
      </c>
      <c r="H881" s="16" t="s">
        <v>244</v>
      </c>
    </row>
    <row r="882" ht="20.25" customHeight="1">
      <c r="A882" s="32" t="str">
        <f>IMAGE("https://gymvisual.com/508-catalog_default/cable-front-raise.jpg",4,500,500)</f>
        <v/>
      </c>
      <c r="B882" s="30">
        <v>881.0</v>
      </c>
      <c r="C882" s="16" t="s">
        <v>57</v>
      </c>
      <c r="D882" s="16" t="s">
        <v>184</v>
      </c>
      <c r="E882" s="16" t="s">
        <v>228</v>
      </c>
      <c r="F882" s="16" t="s">
        <v>215</v>
      </c>
      <c r="G882" s="16" t="s">
        <v>229</v>
      </c>
      <c r="H882" s="16" t="s">
        <v>244</v>
      </c>
    </row>
    <row r="883" ht="20.25" customHeight="1">
      <c r="A883" s="32" t="str">
        <f>IMAGE("https://gymvisual.com/9604-catalog_default/cable-front-raise-female.jpg",4,500,500)</f>
        <v/>
      </c>
      <c r="B883" s="30">
        <v>882.0</v>
      </c>
      <c r="C883" s="16" t="s">
        <v>1384</v>
      </c>
      <c r="D883" s="16" t="s">
        <v>184</v>
      </c>
      <c r="E883" s="16" t="s">
        <v>228</v>
      </c>
      <c r="F883" s="16" t="s">
        <v>215</v>
      </c>
      <c r="G883" s="16" t="s">
        <v>229</v>
      </c>
      <c r="H883" s="16" t="s">
        <v>244</v>
      </c>
    </row>
    <row r="884" ht="20.25" customHeight="1">
      <c r="A884" s="32" t="str">
        <f>IMAGE("https://gymvisual.com/11116-catalog_default/cable-front-raise-female.jpg",4,500,500)</f>
        <v/>
      </c>
      <c r="B884" s="30">
        <v>883.0</v>
      </c>
      <c r="C884" s="16" t="s">
        <v>1384</v>
      </c>
      <c r="D884" s="16" t="s">
        <v>184</v>
      </c>
      <c r="E884" s="16" t="s">
        <v>234</v>
      </c>
      <c r="F884" s="16" t="s">
        <v>215</v>
      </c>
      <c r="G884" s="16" t="s">
        <v>220</v>
      </c>
      <c r="H884" s="16" t="s">
        <v>220</v>
      </c>
    </row>
    <row r="885" ht="20.25" customHeight="1">
      <c r="A885" s="32" t="str">
        <f>IMAGE("https://gymvisual.com/511-catalog_default/cable-front-seated-row.jpg",4,500,500)</f>
        <v/>
      </c>
      <c r="B885" s="30">
        <v>884.0</v>
      </c>
      <c r="C885" s="16" t="s">
        <v>1385</v>
      </c>
      <c r="D885" s="16" t="s">
        <v>184</v>
      </c>
      <c r="E885" s="16" t="s">
        <v>192</v>
      </c>
      <c r="F885" s="16" t="s">
        <v>215</v>
      </c>
      <c r="G885" s="16" t="s">
        <v>329</v>
      </c>
      <c r="H885" s="16" t="s">
        <v>357</v>
      </c>
    </row>
    <row r="886" ht="20.25" customHeight="1">
      <c r="A886" s="32" t="str">
        <f>IMAGE("https://gymvisual.com/514-catalog_default/cable-front-shoulder-raise.jpg",4,500,500)</f>
        <v/>
      </c>
      <c r="B886" s="30">
        <v>885.0</v>
      </c>
      <c r="C886" s="16" t="s">
        <v>1386</v>
      </c>
      <c r="D886" s="16" t="s">
        <v>184</v>
      </c>
      <c r="E886" s="16" t="s">
        <v>228</v>
      </c>
      <c r="F886" s="16" t="s">
        <v>215</v>
      </c>
      <c r="G886" s="16" t="s">
        <v>229</v>
      </c>
      <c r="H886" s="16" t="s">
        <v>244</v>
      </c>
    </row>
    <row r="887" ht="20.25" customHeight="1">
      <c r="A887" s="32" t="str">
        <f>IMAGE("https://gymvisual.com/13652-catalog_default/cable-front-squat.jpg",4,500,500)</f>
        <v/>
      </c>
      <c r="B887" s="30">
        <v>886.0</v>
      </c>
      <c r="C887" s="16" t="s">
        <v>1387</v>
      </c>
      <c r="D887" s="16" t="s">
        <v>184</v>
      </c>
      <c r="E887" s="16" t="s">
        <v>285</v>
      </c>
      <c r="F887" s="16" t="s">
        <v>215</v>
      </c>
      <c r="G887" s="16" t="s">
        <v>189</v>
      </c>
      <c r="H887" s="16" t="s">
        <v>190</v>
      </c>
    </row>
    <row r="888" ht="20.25" customHeight="1">
      <c r="A888" s="32" t="str">
        <f>IMAGE("https://gymvisual.com/13659-catalog_default/cable-front-squat-version-2.jpg",4,500,500)</f>
        <v/>
      </c>
      <c r="B888" s="30">
        <v>887.0</v>
      </c>
      <c r="C888" s="16" t="s">
        <v>1388</v>
      </c>
      <c r="D888" s="16" t="s">
        <v>184</v>
      </c>
      <c r="E888" s="16" t="s">
        <v>285</v>
      </c>
      <c r="F888" s="16" t="s">
        <v>215</v>
      </c>
      <c r="G888" s="16" t="s">
        <v>189</v>
      </c>
      <c r="H888" s="16" t="s">
        <v>220</v>
      </c>
    </row>
    <row r="889" ht="20.25" customHeight="1">
      <c r="A889" s="32" t="str">
        <f>IMAGE("https://gymvisual.com/20992-catalog_default/cable-glute-dominant-step-up-female.jpg",4,500,500)</f>
        <v/>
      </c>
      <c r="B889" s="30">
        <v>888.0</v>
      </c>
      <c r="C889" s="16" t="s">
        <v>1389</v>
      </c>
      <c r="D889" s="16" t="s">
        <v>184</v>
      </c>
      <c r="E889" s="16" t="s">
        <v>294</v>
      </c>
      <c r="F889" s="16" t="s">
        <v>215</v>
      </c>
      <c r="G889" s="16" t="s">
        <v>189</v>
      </c>
      <c r="H889" s="16" t="s">
        <v>190</v>
      </c>
    </row>
    <row r="890" ht="20.25" customHeight="1">
      <c r="A890" s="32" t="str">
        <f>IMAGE("https://gymvisual.com/18027-catalog_default/cable-half-kneeling-adductor-pallof-press.jpg",4,500,500)</f>
        <v/>
      </c>
      <c r="B890" s="30">
        <v>889.0</v>
      </c>
      <c r="C890" s="16" t="s">
        <v>1390</v>
      </c>
      <c r="D890" s="16" t="s">
        <v>184</v>
      </c>
      <c r="E890" s="16" t="s">
        <v>254</v>
      </c>
      <c r="F890" s="16" t="s">
        <v>215</v>
      </c>
      <c r="G890" s="16" t="s">
        <v>220</v>
      </c>
      <c r="H890" s="16" t="s">
        <v>220</v>
      </c>
    </row>
    <row r="891" ht="20.25" customHeight="1">
      <c r="A891" s="32" t="str">
        <f>IMAGE("https://gymvisual.com/18023-catalog_default/cable-half-kneeling-external-rotation.jpg",4,500,500)</f>
        <v/>
      </c>
      <c r="B891" s="30">
        <v>890.0</v>
      </c>
      <c r="C891" s="16" t="s">
        <v>1391</v>
      </c>
      <c r="D891" s="16" t="s">
        <v>184</v>
      </c>
      <c r="E891" s="16" t="s">
        <v>192</v>
      </c>
      <c r="F891" s="16" t="s">
        <v>215</v>
      </c>
      <c r="G891" s="16" t="s">
        <v>220</v>
      </c>
      <c r="H891" s="16" t="s">
        <v>220</v>
      </c>
    </row>
    <row r="892" ht="20.25" customHeight="1">
      <c r="A892" s="32" t="str">
        <f>IMAGE("https://gymvisual.com/18021-catalog_default/cable-half-kneeling-pallof-press.jpg",4,500,500)</f>
        <v/>
      </c>
      <c r="B892" s="30">
        <v>891.0</v>
      </c>
      <c r="C892" s="16" t="s">
        <v>1392</v>
      </c>
      <c r="D892" s="16" t="s">
        <v>184</v>
      </c>
      <c r="E892" s="16" t="s">
        <v>254</v>
      </c>
      <c r="F892" s="16" t="s">
        <v>215</v>
      </c>
      <c r="G892" s="16" t="s">
        <v>220</v>
      </c>
      <c r="H892" s="16" t="s">
        <v>220</v>
      </c>
    </row>
    <row r="893" ht="20.25" customHeight="1">
      <c r="A893" s="32" t="str">
        <f>IMAGE("https://gymvisual.com/18089-catalog_default/cable-half-kneeling-push-pull.jpg",4,500,500)</f>
        <v/>
      </c>
      <c r="B893" s="30">
        <v>892.0</v>
      </c>
      <c r="C893" s="16" t="s">
        <v>1393</v>
      </c>
      <c r="D893" s="16" t="s">
        <v>184</v>
      </c>
      <c r="E893" s="16" t="s">
        <v>192</v>
      </c>
      <c r="F893" s="16" t="s">
        <v>215</v>
      </c>
      <c r="G893" s="16" t="s">
        <v>220</v>
      </c>
      <c r="H893" s="16" t="s">
        <v>220</v>
      </c>
    </row>
    <row r="894" ht="20.25" customHeight="1">
      <c r="A894" s="32" t="str">
        <f>IMAGE("https://gymvisual.com/520-catalog_default/cable-hammer-curl.jpg",4,500,500)</f>
        <v/>
      </c>
      <c r="B894" s="30">
        <v>893.0</v>
      </c>
      <c r="C894" s="16" t="s">
        <v>1394</v>
      </c>
      <c r="D894" s="16" t="s">
        <v>184</v>
      </c>
      <c r="E894" s="16" t="s">
        <v>214</v>
      </c>
      <c r="F894" s="16" t="s">
        <v>215</v>
      </c>
      <c r="G894" s="16" t="s">
        <v>216</v>
      </c>
      <c r="H894" s="16" t="s">
        <v>217</v>
      </c>
    </row>
    <row r="895" ht="20.25" customHeight="1">
      <c r="A895" s="32" t="str">
        <f>IMAGE("https://gymvisual.com/20978-catalog_default/cable-hammer-curl-with-rope.jpg",4,500,500)</f>
        <v/>
      </c>
      <c r="B895" s="30">
        <v>894.0</v>
      </c>
      <c r="C895" s="16" t="s">
        <v>213</v>
      </c>
      <c r="D895" s="16" t="s">
        <v>184</v>
      </c>
      <c r="E895" s="16" t="s">
        <v>214</v>
      </c>
      <c r="F895" s="16" t="s">
        <v>215</v>
      </c>
      <c r="G895" s="16" t="s">
        <v>216</v>
      </c>
      <c r="H895" s="16" t="s">
        <v>217</v>
      </c>
    </row>
    <row r="896" ht="20.25" customHeight="1">
      <c r="A896" s="32" t="str">
        <f>IMAGE("https://gymvisual.com/12069-catalog_default/cable-hanging-leg-raise.jpg",4,500,500)</f>
        <v/>
      </c>
      <c r="B896" s="30">
        <v>895.0</v>
      </c>
      <c r="C896" s="16" t="s">
        <v>1395</v>
      </c>
      <c r="D896" s="16" t="s">
        <v>184</v>
      </c>
      <c r="E896" s="16" t="s">
        <v>254</v>
      </c>
      <c r="F896" s="16" t="s">
        <v>215</v>
      </c>
      <c r="G896" s="16" t="s">
        <v>305</v>
      </c>
      <c r="H896" s="16" t="s">
        <v>600</v>
      </c>
    </row>
    <row r="897" ht="20.25" customHeight="1">
      <c r="A897" s="32" t="str">
        <f>IMAGE("https://gymvisual.com/12068-catalog_default/cable-hanging-leg-raise-female.jpg",4,500,500)</f>
        <v/>
      </c>
      <c r="B897" s="30">
        <v>896.0</v>
      </c>
      <c r="C897" s="16" t="s">
        <v>1396</v>
      </c>
      <c r="D897" s="16" t="s">
        <v>184</v>
      </c>
      <c r="E897" s="16" t="s">
        <v>254</v>
      </c>
      <c r="F897" s="16" t="s">
        <v>215</v>
      </c>
      <c r="G897" s="16" t="s">
        <v>305</v>
      </c>
      <c r="H897" s="16" t="s">
        <v>600</v>
      </c>
    </row>
    <row r="898" ht="20.25" customHeight="1">
      <c r="A898" s="32" t="str">
        <f>IMAGE("https://gymvisual.com/9727-catalog_default/cable-high-pulley-overhead-tricep-extension.jpg",4,500,500)</f>
        <v/>
      </c>
      <c r="B898" s="30">
        <v>897.0</v>
      </c>
      <c r="C898" s="16" t="s">
        <v>1397</v>
      </c>
      <c r="D898" s="16" t="s">
        <v>184</v>
      </c>
      <c r="E898" s="16" t="s">
        <v>219</v>
      </c>
      <c r="F898" s="16" t="s">
        <v>215</v>
      </c>
      <c r="G898" s="16" t="s">
        <v>223</v>
      </c>
      <c r="H898" s="16" t="s">
        <v>220</v>
      </c>
    </row>
    <row r="899" ht="20.25" customHeight="1">
      <c r="A899" s="32" t="str">
        <f>IMAGE("https://gymvisual.com/13363-catalog_default/cable-high-pulley-overhead-tricep-extension-female.jpg",4,500,500)</f>
        <v/>
      </c>
      <c r="B899" s="30">
        <v>898.0</v>
      </c>
      <c r="C899" s="16" t="s">
        <v>1398</v>
      </c>
      <c r="D899" s="16" t="s">
        <v>184</v>
      </c>
      <c r="E899" s="16" t="s">
        <v>219</v>
      </c>
      <c r="F899" s="16" t="s">
        <v>215</v>
      </c>
      <c r="G899" s="16" t="s">
        <v>223</v>
      </c>
      <c r="H899" s="16" t="s">
        <v>220</v>
      </c>
    </row>
    <row r="900" ht="20.25" customHeight="1">
      <c r="A900" s="32" t="str">
        <f>IMAGE("https://gymvisual.com/9646-catalog_default/cable-high-row-kneeling-rope-attachment-female.jpg",4,500,500)</f>
        <v/>
      </c>
      <c r="B900" s="30">
        <v>899.0</v>
      </c>
      <c r="C900" s="16" t="s">
        <v>1399</v>
      </c>
      <c r="D900" s="16" t="s">
        <v>184</v>
      </c>
      <c r="E900" s="16" t="s">
        <v>228</v>
      </c>
      <c r="F900" s="16" t="s">
        <v>215</v>
      </c>
      <c r="G900" s="16" t="s">
        <v>220</v>
      </c>
      <c r="H900" s="16" t="s">
        <v>220</v>
      </c>
    </row>
    <row r="901" ht="20.25" customHeight="1">
      <c r="A901" s="32" t="str">
        <f>IMAGE("https://gymvisual.com/523-catalog_default/cable-high-row-kneeling.jpg",4,500,500)</f>
        <v/>
      </c>
      <c r="B901" s="30">
        <v>900.0</v>
      </c>
      <c r="C901" s="16" t="s">
        <v>1400</v>
      </c>
      <c r="D901" s="16" t="s">
        <v>184</v>
      </c>
      <c r="E901" s="16" t="s">
        <v>192</v>
      </c>
      <c r="F901" s="16" t="s">
        <v>215</v>
      </c>
      <c r="G901" s="16" t="s">
        <v>329</v>
      </c>
      <c r="H901" s="16" t="s">
        <v>447</v>
      </c>
    </row>
    <row r="902" ht="20.25" customHeight="1">
      <c r="A902" s="32" t="str">
        <f>IMAGE("https://gymvisual.com/20056-catalog_default/cable-high-triceps-extension.jpg",4,500,500)</f>
        <v/>
      </c>
      <c r="B902" s="30">
        <v>901.0</v>
      </c>
      <c r="C902" s="16" t="s">
        <v>1401</v>
      </c>
      <c r="D902" s="16" t="s">
        <v>184</v>
      </c>
      <c r="E902" s="16" t="s">
        <v>219</v>
      </c>
      <c r="F902" s="16" t="s">
        <v>215</v>
      </c>
      <c r="G902" s="16" t="s">
        <v>223</v>
      </c>
      <c r="H902" s="16" t="s">
        <v>220</v>
      </c>
    </row>
    <row r="903" ht="20.25" customHeight="1">
      <c r="A903" s="32" t="str">
        <f>IMAGE("https://gymvisual.com/11833-catalog_default/cable-hip-abduction-toe-in-female.jpg",4,500,500)</f>
        <v/>
      </c>
      <c r="B903" s="30">
        <v>902.0</v>
      </c>
      <c r="C903" s="16" t="s">
        <v>1402</v>
      </c>
      <c r="D903" s="16" t="s">
        <v>184</v>
      </c>
      <c r="E903" s="16" t="s">
        <v>185</v>
      </c>
      <c r="F903" s="16" t="s">
        <v>215</v>
      </c>
      <c r="G903" s="16" t="s">
        <v>220</v>
      </c>
      <c r="H903" s="16" t="s">
        <v>220</v>
      </c>
    </row>
    <row r="904" ht="20.25" customHeight="1">
      <c r="A904" s="32" t="str">
        <f>IMAGE("https://gymvisual.com/11832-catalog_default/cable-hip-abduction-toe-out-female.jpg",4,500,500)</f>
        <v/>
      </c>
      <c r="B904" s="30">
        <v>903.0</v>
      </c>
      <c r="C904" s="16" t="s">
        <v>1403</v>
      </c>
      <c r="D904" s="16" t="s">
        <v>184</v>
      </c>
      <c r="E904" s="16" t="s">
        <v>185</v>
      </c>
      <c r="F904" s="16" t="s">
        <v>215</v>
      </c>
      <c r="G904" s="16" t="s">
        <v>220</v>
      </c>
      <c r="H904" s="16" t="s">
        <v>220</v>
      </c>
    </row>
    <row r="905" ht="20.25" customHeight="1">
      <c r="A905" s="32" t="str">
        <f>IMAGE("https://gymvisual.com/2769-catalog_default/cable-hip-abduction-version-2.jpg",4,500,500)</f>
        <v/>
      </c>
      <c r="B905" s="30">
        <v>904.0</v>
      </c>
      <c r="C905" s="16" t="s">
        <v>1404</v>
      </c>
      <c r="D905" s="16" t="s">
        <v>184</v>
      </c>
      <c r="E905" s="16" t="s">
        <v>185</v>
      </c>
      <c r="F905" s="16" t="s">
        <v>215</v>
      </c>
      <c r="G905" s="16" t="s">
        <v>508</v>
      </c>
      <c r="H905" s="16" t="s">
        <v>220</v>
      </c>
    </row>
    <row r="906" ht="20.25" customHeight="1">
      <c r="A906" s="32" t="str">
        <f>IMAGE("https://gymvisual.com/13365-catalog_default/cable-hip-abduction-version-2-male.jpg",4,500,500)</f>
        <v/>
      </c>
      <c r="B906" s="30">
        <v>905.0</v>
      </c>
      <c r="C906" s="16" t="s">
        <v>1405</v>
      </c>
      <c r="D906" s="16" t="s">
        <v>184</v>
      </c>
      <c r="E906" s="16" t="s">
        <v>185</v>
      </c>
      <c r="F906" s="16" t="s">
        <v>215</v>
      </c>
      <c r="G906" s="16" t="s">
        <v>475</v>
      </c>
      <c r="H906" s="16" t="s">
        <v>476</v>
      </c>
    </row>
    <row r="907" ht="20.25" customHeight="1">
      <c r="A907" s="32" t="str">
        <f>IMAGE("https://gymvisual.com/526-catalog_default/cable-hip-adduction.jpg",4,500,500)</f>
        <v/>
      </c>
      <c r="B907" s="30">
        <v>906.0</v>
      </c>
      <c r="C907" s="16" t="s">
        <v>1406</v>
      </c>
      <c r="D907" s="16" t="s">
        <v>184</v>
      </c>
      <c r="E907" s="16" t="s">
        <v>285</v>
      </c>
      <c r="F907" s="16" t="s">
        <v>215</v>
      </c>
      <c r="G907" s="16" t="s">
        <v>1407</v>
      </c>
      <c r="H907" s="16" t="s">
        <v>1408</v>
      </c>
    </row>
    <row r="908" ht="20.25" customHeight="1">
      <c r="A908" s="32" t="str">
        <f>IMAGE("https://gymvisual.com/10135-catalog_default/cable-hip-adduction-female.jpg",4,500,500)</f>
        <v/>
      </c>
      <c r="B908" s="30">
        <v>907.0</v>
      </c>
      <c r="C908" s="16" t="s">
        <v>1409</v>
      </c>
      <c r="D908" s="16" t="s">
        <v>184</v>
      </c>
      <c r="E908" s="16" t="s">
        <v>185</v>
      </c>
      <c r="F908" s="16" t="s">
        <v>215</v>
      </c>
      <c r="G908" s="16" t="s">
        <v>1410</v>
      </c>
      <c r="H908" s="16" t="s">
        <v>515</v>
      </c>
    </row>
    <row r="909" ht="20.25" customHeight="1">
      <c r="A909" s="32" t="str">
        <f>IMAGE("https://gymvisual.com/4570-catalog_default/cable-horizontal-pallof-press.jpg",4,500,500)</f>
        <v/>
      </c>
      <c r="B909" s="30">
        <v>908.0</v>
      </c>
      <c r="C909" s="16" t="s">
        <v>1411</v>
      </c>
      <c r="D909" s="16" t="s">
        <v>184</v>
      </c>
      <c r="E909" s="16" t="s">
        <v>254</v>
      </c>
      <c r="F909" s="16" t="s">
        <v>215</v>
      </c>
      <c r="G909" s="16" t="s">
        <v>257</v>
      </c>
      <c r="H909" s="16" t="s">
        <v>220</v>
      </c>
    </row>
    <row r="910" ht="20.25" customHeight="1">
      <c r="A910" s="32" t="str">
        <f>IMAGE("https://gymvisual.com/19397-catalog_default/cable-horizontal-pallof-press-version-2.jpg",4,500,500)</f>
        <v/>
      </c>
      <c r="B910" s="30">
        <v>909.0</v>
      </c>
      <c r="C910" s="16" t="s">
        <v>1412</v>
      </c>
      <c r="D910" s="16" t="s">
        <v>184</v>
      </c>
      <c r="E910" s="16" t="s">
        <v>254</v>
      </c>
      <c r="F910" s="16" t="s">
        <v>215</v>
      </c>
      <c r="G910" s="16" t="s">
        <v>220</v>
      </c>
      <c r="H910" s="16" t="s">
        <v>220</v>
      </c>
    </row>
    <row r="911" ht="20.25" customHeight="1">
      <c r="A911" s="32" t="str">
        <f>IMAGE("https://gymvisual.com/529-catalog_default/cable-incline-bench-press.jpg",4,500,500)</f>
        <v/>
      </c>
      <c r="B911" s="30">
        <v>910.0</v>
      </c>
      <c r="C911" s="16" t="s">
        <v>1413</v>
      </c>
      <c r="D911" s="16" t="s">
        <v>184</v>
      </c>
      <c r="E911" s="16" t="s">
        <v>234</v>
      </c>
      <c r="F911" s="16" t="s">
        <v>215</v>
      </c>
      <c r="G911" s="16" t="s">
        <v>415</v>
      </c>
      <c r="H911" s="16" t="s">
        <v>243</v>
      </c>
    </row>
    <row r="912" ht="20.25" customHeight="1">
      <c r="A912" s="32" t="str">
        <f>IMAGE("https://gymvisual.com/13367-catalog_default/cable-incline-bench-press-female.jpg",4,500,500)</f>
        <v/>
      </c>
      <c r="B912" s="30">
        <v>911.0</v>
      </c>
      <c r="C912" s="16" t="s">
        <v>1414</v>
      </c>
      <c r="D912" s="16" t="s">
        <v>184</v>
      </c>
      <c r="E912" s="16" t="s">
        <v>234</v>
      </c>
      <c r="F912" s="16" t="s">
        <v>215</v>
      </c>
      <c r="G912" s="16" t="s">
        <v>415</v>
      </c>
      <c r="H912" s="16" t="s">
        <v>243</v>
      </c>
    </row>
    <row r="913" ht="20.25" customHeight="1">
      <c r="A913" s="32" t="str">
        <f>IMAGE("https://gymvisual.com/6009-catalog_default/cable-incline-bench-row.jpg",4,500,500)</f>
        <v/>
      </c>
      <c r="B913" s="30">
        <v>912.0</v>
      </c>
      <c r="C913" s="16" t="s">
        <v>1415</v>
      </c>
      <c r="D913" s="16" t="s">
        <v>184</v>
      </c>
      <c r="E913" s="16" t="s">
        <v>192</v>
      </c>
      <c r="F913" s="16" t="s">
        <v>215</v>
      </c>
      <c r="G913" s="16" t="s">
        <v>329</v>
      </c>
      <c r="H913" s="16" t="s">
        <v>457</v>
      </c>
    </row>
    <row r="914" ht="20.25" customHeight="1">
      <c r="A914" s="32" t="str">
        <f>IMAGE("https://gymvisual.com/25125-catalog_default/cable-incline-biceps-curl.jpg",4,500,500)</f>
        <v/>
      </c>
      <c r="B914" s="30">
        <v>913.0</v>
      </c>
      <c r="C914" s="16" t="s">
        <v>1416</v>
      </c>
      <c r="D914" s="16" t="s">
        <v>184</v>
      </c>
      <c r="E914" s="16" t="s">
        <v>219</v>
      </c>
      <c r="F914" s="16" t="s">
        <v>215</v>
      </c>
      <c r="G914" s="16" t="s">
        <v>220</v>
      </c>
      <c r="H914" s="16" t="s">
        <v>220</v>
      </c>
    </row>
    <row r="915" ht="20.25" customHeight="1">
      <c r="A915" s="32" t="str">
        <f>IMAGE("https://gymvisual.com/18762-catalog_default/cable-incline-close-grip-curl.jpg",4,500,500)</f>
        <v/>
      </c>
      <c r="B915" s="30">
        <v>914.0</v>
      </c>
      <c r="C915" s="16" t="s">
        <v>1417</v>
      </c>
      <c r="D915" s="16" t="s">
        <v>184</v>
      </c>
      <c r="E915" s="16" t="s">
        <v>219</v>
      </c>
      <c r="F915" s="16" t="s">
        <v>215</v>
      </c>
      <c r="G915" s="16" t="s">
        <v>220</v>
      </c>
      <c r="H915" s="16" t="s">
        <v>220</v>
      </c>
    </row>
    <row r="916" ht="20.25" customHeight="1">
      <c r="A916" s="32" t="str">
        <f>IMAGE("https://gymvisual.com/17456-catalog_default/cable-incline-cross-rear-fly.jpg",4,500,500)</f>
        <v/>
      </c>
      <c r="B916" s="30">
        <v>915.0</v>
      </c>
      <c r="C916" s="16" t="s">
        <v>1418</v>
      </c>
      <c r="D916" s="16" t="s">
        <v>184</v>
      </c>
      <c r="E916" s="16" t="s">
        <v>228</v>
      </c>
      <c r="F916" s="16" t="s">
        <v>215</v>
      </c>
      <c r="G916" s="16" t="s">
        <v>408</v>
      </c>
      <c r="H916" s="16" t="s">
        <v>731</v>
      </c>
    </row>
    <row r="917" ht="20.25" customHeight="1">
      <c r="A917" s="32" t="str">
        <f>IMAGE("https://gymvisual.com/535-catalog_default/cable-incline-fly.jpg",4,500,500)</f>
        <v/>
      </c>
      <c r="B917" s="30">
        <v>916.0</v>
      </c>
      <c r="C917" s="16" t="s">
        <v>1419</v>
      </c>
      <c r="D917" s="16" t="s">
        <v>184</v>
      </c>
      <c r="E917" s="16" t="s">
        <v>234</v>
      </c>
      <c r="F917" s="16" t="s">
        <v>215</v>
      </c>
      <c r="G917" s="16" t="s">
        <v>415</v>
      </c>
      <c r="H917" s="16" t="s">
        <v>236</v>
      </c>
    </row>
    <row r="918" ht="20.25" customHeight="1">
      <c r="A918" s="32" t="str">
        <f>IMAGE("https://gymvisual.com/13369-catalog_default/cable-incline-fly-female.jpg",4,500,500)</f>
        <v/>
      </c>
      <c r="B918" s="30">
        <v>917.0</v>
      </c>
      <c r="C918" s="16" t="s">
        <v>1420</v>
      </c>
      <c r="D918" s="16" t="s">
        <v>184</v>
      </c>
      <c r="E918" s="16" t="s">
        <v>234</v>
      </c>
      <c r="F918" s="16" t="s">
        <v>215</v>
      </c>
      <c r="G918" s="16" t="s">
        <v>415</v>
      </c>
      <c r="H918" s="16" t="s">
        <v>236</v>
      </c>
    </row>
    <row r="919" ht="20.25" customHeight="1">
      <c r="A919" s="32" t="str">
        <f>IMAGE("https://gymvisual.com/2580-catalog_default/cable-incline-fly-on-stability-ball.jpg",4,500,500)</f>
        <v/>
      </c>
      <c r="B919" s="30">
        <v>918.0</v>
      </c>
      <c r="C919" s="16" t="s">
        <v>1421</v>
      </c>
      <c r="D919" s="16" t="s">
        <v>184</v>
      </c>
      <c r="E919" s="16" t="s">
        <v>234</v>
      </c>
      <c r="F919" s="16" t="s">
        <v>215</v>
      </c>
      <c r="G919" s="16" t="s">
        <v>415</v>
      </c>
      <c r="H919" s="16" t="s">
        <v>236</v>
      </c>
    </row>
    <row r="920" ht="20.25" customHeight="1">
      <c r="A920" s="32" t="str">
        <f>IMAGE("https://gymvisual.com/538-catalog_default/cable-incline-pushdown.jpg",4,500,500)</f>
        <v/>
      </c>
      <c r="B920" s="30">
        <v>919.0</v>
      </c>
      <c r="C920" s="16" t="s">
        <v>1422</v>
      </c>
      <c r="D920" s="16" t="s">
        <v>184</v>
      </c>
      <c r="E920" s="16" t="s">
        <v>192</v>
      </c>
      <c r="F920" s="16" t="s">
        <v>215</v>
      </c>
      <c r="G920" s="16" t="s">
        <v>300</v>
      </c>
      <c r="H920" s="16" t="s">
        <v>1423</v>
      </c>
    </row>
    <row r="921" ht="20.25" customHeight="1">
      <c r="A921" s="32" t="str">
        <f>IMAGE("https://gymvisual.com/13371-catalog_default/cable-incline-pushdown-female.jpg",4,500,500)</f>
        <v/>
      </c>
      <c r="B921" s="30">
        <v>920.0</v>
      </c>
      <c r="C921" s="16" t="s">
        <v>1424</v>
      </c>
      <c r="D921" s="16" t="s">
        <v>184</v>
      </c>
      <c r="E921" s="16" t="s">
        <v>192</v>
      </c>
      <c r="F921" s="16" t="s">
        <v>215</v>
      </c>
      <c r="G921" s="16" t="s">
        <v>300</v>
      </c>
      <c r="H921" s="16" t="s">
        <v>1423</v>
      </c>
    </row>
    <row r="922" ht="20.25" customHeight="1">
      <c r="A922" s="32" t="str">
        <f>IMAGE("https://gymvisual.com/18777-catalog_default/cable-incline-skull-crusher.jpg",4,500,500)</f>
        <v/>
      </c>
      <c r="B922" s="30">
        <v>921.0</v>
      </c>
      <c r="C922" s="16" t="s">
        <v>1425</v>
      </c>
      <c r="D922" s="16" t="s">
        <v>184</v>
      </c>
      <c r="E922" s="16" t="s">
        <v>219</v>
      </c>
      <c r="F922" s="16" t="s">
        <v>215</v>
      </c>
      <c r="G922" s="16" t="s">
        <v>220</v>
      </c>
      <c r="H922" s="16" t="s">
        <v>220</v>
      </c>
    </row>
    <row r="923" ht="20.25" customHeight="1">
      <c r="A923" s="32" t="str">
        <f>IMAGE("https://gymvisual.com/541-catalog_default/cable-incline-triceps-extension.jpg",4,500,500)</f>
        <v/>
      </c>
      <c r="B923" s="30">
        <v>922.0</v>
      </c>
      <c r="C923" s="16" t="s">
        <v>1426</v>
      </c>
      <c r="D923" s="16" t="s">
        <v>184</v>
      </c>
      <c r="E923" s="16" t="s">
        <v>219</v>
      </c>
      <c r="F923" s="16" t="s">
        <v>215</v>
      </c>
      <c r="G923" s="16" t="s">
        <v>223</v>
      </c>
      <c r="H923" s="16" t="s">
        <v>220</v>
      </c>
    </row>
    <row r="924" ht="20.25" customHeight="1">
      <c r="A924" s="32" t="str">
        <f>IMAGE("https://gymvisual.com/13373-catalog_default/cable-incline-triceps-extension-female.jpg",4,500,500)</f>
        <v/>
      </c>
      <c r="B924" s="30">
        <v>923.0</v>
      </c>
      <c r="C924" s="16" t="s">
        <v>1427</v>
      </c>
      <c r="D924" s="16" t="s">
        <v>184</v>
      </c>
      <c r="E924" s="16" t="s">
        <v>219</v>
      </c>
      <c r="F924" s="16" t="s">
        <v>215</v>
      </c>
      <c r="G924" s="16" t="s">
        <v>223</v>
      </c>
      <c r="H924" s="16" t="s">
        <v>220</v>
      </c>
    </row>
    <row r="925" ht="20.25" customHeight="1">
      <c r="A925" s="32" t="str">
        <f>IMAGE("https://gymvisual.com/544-catalog_default/cable-judo-flip.jpg",4,500,500)</f>
        <v/>
      </c>
      <c r="B925" s="30">
        <v>924.0</v>
      </c>
      <c r="C925" s="16" t="s">
        <v>1428</v>
      </c>
      <c r="D925" s="16" t="s">
        <v>184</v>
      </c>
      <c r="E925" s="16" t="s">
        <v>254</v>
      </c>
      <c r="F925" s="16" t="s">
        <v>215</v>
      </c>
      <c r="G925" s="16" t="s">
        <v>257</v>
      </c>
      <c r="H925" s="16" t="s">
        <v>256</v>
      </c>
    </row>
    <row r="926" ht="20.25" customHeight="1">
      <c r="A926" s="32" t="str">
        <f>IMAGE("https://gymvisual.com/13375-catalog_default/cable-judo-flip-female.jpg",4,500,500)</f>
        <v/>
      </c>
      <c r="B926" s="30">
        <v>925.0</v>
      </c>
      <c r="C926" s="16" t="s">
        <v>1429</v>
      </c>
      <c r="D926" s="16" t="s">
        <v>184</v>
      </c>
      <c r="E926" s="16" t="s">
        <v>254</v>
      </c>
      <c r="F926" s="16" t="s">
        <v>215</v>
      </c>
      <c r="G926" s="16" t="s">
        <v>220</v>
      </c>
      <c r="H926" s="16" t="s">
        <v>220</v>
      </c>
    </row>
    <row r="927" ht="20.25" customHeight="1">
      <c r="A927" s="32" t="str">
        <f>IMAGE("https://gymvisual.com/17179-catalog_default/cable-kickback.jpg",4,500,500)</f>
        <v/>
      </c>
      <c r="B927" s="30">
        <v>926.0</v>
      </c>
      <c r="C927" s="16" t="s">
        <v>1430</v>
      </c>
      <c r="D927" s="16" t="s">
        <v>184</v>
      </c>
      <c r="E927" s="16" t="s">
        <v>219</v>
      </c>
      <c r="F927" s="16" t="s">
        <v>215</v>
      </c>
      <c r="G927" s="16" t="s">
        <v>223</v>
      </c>
      <c r="H927" s="16" t="s">
        <v>220</v>
      </c>
    </row>
    <row r="928" ht="20.25" customHeight="1">
      <c r="A928" s="32" t="str">
        <f>IMAGE("https://gymvisual.com/11450-catalog_default/cable-kickback-female.jpg",4,500,500)</f>
        <v/>
      </c>
      <c r="B928" s="30">
        <v>927.0</v>
      </c>
      <c r="C928" s="16" t="s">
        <v>1431</v>
      </c>
      <c r="D928" s="16" t="s">
        <v>184</v>
      </c>
      <c r="E928" s="16" t="s">
        <v>219</v>
      </c>
      <c r="F928" s="16" t="s">
        <v>215</v>
      </c>
      <c r="G928" s="16" t="s">
        <v>220</v>
      </c>
      <c r="H928" s="16" t="s">
        <v>220</v>
      </c>
    </row>
    <row r="929" ht="20.25" customHeight="1">
      <c r="A929" s="32" t="str">
        <f>IMAGE("https://gymvisual.com/21115-catalog_default/cable-kickback-male.jpg",4,500,500)</f>
        <v/>
      </c>
      <c r="B929" s="30">
        <v>928.0</v>
      </c>
      <c r="C929" s="16" t="s">
        <v>1432</v>
      </c>
      <c r="D929" s="16" t="s">
        <v>184</v>
      </c>
      <c r="E929" s="16" t="s">
        <v>185</v>
      </c>
      <c r="F929" s="16" t="s">
        <v>215</v>
      </c>
      <c r="G929" s="16" t="s">
        <v>220</v>
      </c>
      <c r="H929" s="16" t="s">
        <v>220</v>
      </c>
    </row>
    <row r="930" ht="20.25" customHeight="1">
      <c r="A930" s="32" t="str">
        <f>IMAGE("https://gymvisual.com/4097-catalog_default/cable-kickback-version-2.jpg",4,500,500)</f>
        <v/>
      </c>
      <c r="B930" s="30">
        <v>929.0</v>
      </c>
      <c r="C930" s="16" t="s">
        <v>1433</v>
      </c>
      <c r="D930" s="16" t="s">
        <v>184</v>
      </c>
      <c r="E930" s="16" t="s">
        <v>219</v>
      </c>
      <c r="F930" s="16" t="s">
        <v>215</v>
      </c>
      <c r="G930" s="16" t="s">
        <v>223</v>
      </c>
      <c r="H930" s="16" t="s">
        <v>220</v>
      </c>
    </row>
    <row r="931" ht="20.25" customHeight="1">
      <c r="A931" s="32" t="str">
        <f>IMAGE("https://gymvisual.com/25212-catalog_default/cable-kneeling-crunch.jpg",4,500,500)</f>
        <v/>
      </c>
      <c r="B931" s="30">
        <v>930.0</v>
      </c>
      <c r="C931" s="16" t="s">
        <v>1279</v>
      </c>
      <c r="D931" s="16" t="s">
        <v>184</v>
      </c>
      <c r="E931" s="16" t="s">
        <v>254</v>
      </c>
      <c r="F931" s="16" t="s">
        <v>215</v>
      </c>
      <c r="G931" s="16" t="s">
        <v>256</v>
      </c>
      <c r="H931" s="16" t="s">
        <v>257</v>
      </c>
    </row>
    <row r="932" ht="20.25" customHeight="1">
      <c r="A932" s="32" t="str">
        <f>IMAGE("https://gymvisual.com/10258-catalog_default/cable-kneeling-crunch-female.jpg",4,500,500)</f>
        <v/>
      </c>
      <c r="B932" s="30">
        <v>931.0</v>
      </c>
      <c r="C932" s="16" t="s">
        <v>1434</v>
      </c>
      <c r="D932" s="16" t="s">
        <v>184</v>
      </c>
      <c r="E932" s="16" t="s">
        <v>254</v>
      </c>
      <c r="F932" s="16" t="s">
        <v>215</v>
      </c>
      <c r="G932" s="16" t="s">
        <v>256</v>
      </c>
      <c r="H932" s="16" t="s">
        <v>257</v>
      </c>
    </row>
    <row r="933" ht="20.25" customHeight="1">
      <c r="A933" s="32" t="str">
        <f>IMAGE("https://gymvisual.com/25210-catalog_default/cable-kneeling-crunch-version-2.jpg",4,500,500)</f>
        <v/>
      </c>
      <c r="B933" s="30">
        <v>932.0</v>
      </c>
      <c r="C933" s="16" t="s">
        <v>1435</v>
      </c>
      <c r="D933" s="16" t="s">
        <v>184</v>
      </c>
      <c r="E933" s="16" t="s">
        <v>254</v>
      </c>
      <c r="F933" s="16" t="s">
        <v>215</v>
      </c>
      <c r="G933" s="16" t="s">
        <v>305</v>
      </c>
      <c r="H933" s="16" t="s">
        <v>257</v>
      </c>
    </row>
    <row r="934" ht="20.25" customHeight="1">
      <c r="A934" s="32" t="str">
        <f>IMAGE("https://gymvisual.com/24338-catalog_default/cable-kneeling-leaning-forward-one-arm-row.jpg",4,500,500)</f>
        <v/>
      </c>
      <c r="B934" s="30">
        <v>933.0</v>
      </c>
      <c r="C934" s="16" t="s">
        <v>1436</v>
      </c>
      <c r="D934" s="16" t="s">
        <v>184</v>
      </c>
      <c r="E934" s="16" t="s">
        <v>192</v>
      </c>
      <c r="F934" s="16" t="s">
        <v>215</v>
      </c>
      <c r="G934" s="16" t="s">
        <v>220</v>
      </c>
      <c r="H934" s="16" t="s">
        <v>220</v>
      </c>
    </row>
    <row r="935" ht="20.25" customHeight="1">
      <c r="A935" s="32" t="str">
        <f>IMAGE("https://gymvisual.com/20027-catalog_default/cable-kneeling-one-arm-lat-pulldown.jpg",4,500,500)</f>
        <v/>
      </c>
      <c r="B935" s="30">
        <v>934.0</v>
      </c>
      <c r="C935" s="16" t="s">
        <v>1437</v>
      </c>
      <c r="D935" s="16" t="s">
        <v>184</v>
      </c>
      <c r="E935" s="16" t="s">
        <v>192</v>
      </c>
      <c r="F935" s="16" t="s">
        <v>215</v>
      </c>
      <c r="G935" s="16" t="s">
        <v>300</v>
      </c>
      <c r="H935" s="16" t="s">
        <v>535</v>
      </c>
    </row>
    <row r="936" ht="20.25" customHeight="1">
      <c r="A936" s="32" t="str">
        <f>IMAGE("https://gymvisual.com/23044-catalog_default/cable-kneeling-one-arm-row.jpg",4,500,500)</f>
        <v/>
      </c>
      <c r="B936" s="30">
        <v>935.0</v>
      </c>
      <c r="C936" s="16" t="s">
        <v>1438</v>
      </c>
      <c r="D936" s="16" t="s">
        <v>184</v>
      </c>
      <c r="E936" s="16" t="s">
        <v>192</v>
      </c>
      <c r="F936" s="16" t="s">
        <v>215</v>
      </c>
      <c r="G936" s="16" t="s">
        <v>220</v>
      </c>
      <c r="H936" s="16" t="s">
        <v>220</v>
      </c>
    </row>
    <row r="937" ht="20.25" customHeight="1">
      <c r="A937" s="32" t="str">
        <f>IMAGE("https://gymvisual.com/20590-catalog_default/cable-kneeling-preacher-curl-male.jpg",4,500,500)</f>
        <v/>
      </c>
      <c r="B937" s="30">
        <v>936.0</v>
      </c>
      <c r="C937" s="16" t="s">
        <v>1439</v>
      </c>
      <c r="D937" s="16" t="s">
        <v>184</v>
      </c>
      <c r="E937" s="16" t="s">
        <v>219</v>
      </c>
      <c r="F937" s="16" t="s">
        <v>215</v>
      </c>
      <c r="G937" s="16" t="s">
        <v>241</v>
      </c>
      <c r="H937" s="16" t="s">
        <v>292</v>
      </c>
    </row>
    <row r="938" ht="20.25" customHeight="1">
      <c r="A938" s="32" t="str">
        <f>IMAGE("https://gymvisual.com/13655-catalog_default/cable-kneeling-pull-through.jpg",4,500,500)</f>
        <v/>
      </c>
      <c r="B938" s="30">
        <v>937.0</v>
      </c>
      <c r="C938" s="16" t="s">
        <v>1440</v>
      </c>
      <c r="D938" s="16" t="s">
        <v>184</v>
      </c>
      <c r="E938" s="16" t="s">
        <v>185</v>
      </c>
      <c r="F938" s="16" t="s">
        <v>215</v>
      </c>
      <c r="G938" s="16" t="s">
        <v>187</v>
      </c>
      <c r="H938" s="16" t="s">
        <v>188</v>
      </c>
    </row>
    <row r="939" ht="20.25" customHeight="1">
      <c r="A939" s="32" t="str">
        <f>IMAGE("https://gymvisual.com/14695-catalog_default/cable-kneeling-rear-delt-row-with-rope-male.jpg",4,500,500)</f>
        <v/>
      </c>
      <c r="B939" s="30">
        <v>938.0</v>
      </c>
      <c r="C939" s="16" t="s">
        <v>1441</v>
      </c>
      <c r="D939" s="16" t="s">
        <v>184</v>
      </c>
      <c r="E939" s="16" t="s">
        <v>228</v>
      </c>
      <c r="F939" s="16" t="s">
        <v>215</v>
      </c>
      <c r="G939" s="16" t="s">
        <v>408</v>
      </c>
      <c r="H939" s="16" t="s">
        <v>490</v>
      </c>
    </row>
    <row r="940" ht="20.25" customHeight="1">
      <c r="A940" s="32" t="str">
        <f>IMAGE("https://gymvisual.com/25669-catalog_default/cable-kneeling-shoulder-90-degrees-external-rotation-press.jpg",4,500,500)</f>
        <v/>
      </c>
      <c r="B940" s="30">
        <v>939.0</v>
      </c>
      <c r="C940" s="16" t="s">
        <v>1442</v>
      </c>
      <c r="D940" s="16" t="s">
        <v>184</v>
      </c>
      <c r="E940" s="16" t="s">
        <v>192</v>
      </c>
      <c r="F940" s="16" t="s">
        <v>215</v>
      </c>
      <c r="G940" s="16" t="s">
        <v>220</v>
      </c>
      <c r="H940" s="16" t="s">
        <v>220</v>
      </c>
    </row>
    <row r="941" ht="20.25" customHeight="1">
      <c r="A941" s="32" t="str">
        <f>IMAGE("https://gymvisual.com/17452-catalog_default/cable-kneeling-shoulder-press.jpg",4,500,500)</f>
        <v/>
      </c>
      <c r="B941" s="30">
        <v>940.0</v>
      </c>
      <c r="C941" s="16" t="s">
        <v>1443</v>
      </c>
      <c r="D941" s="16" t="s">
        <v>184</v>
      </c>
      <c r="E941" s="16" t="s">
        <v>228</v>
      </c>
      <c r="F941" s="16" t="s">
        <v>215</v>
      </c>
      <c r="G941" s="16" t="s">
        <v>243</v>
      </c>
      <c r="H941" s="16" t="s">
        <v>1444</v>
      </c>
    </row>
    <row r="942" ht="20.25" customHeight="1">
      <c r="A942" s="32" t="str">
        <f>IMAGE("https://gymvisual.com/24768-catalog_default/cable-kneeling-single-lat-pulldown.jpg",4,500,500)</f>
        <v/>
      </c>
      <c r="B942" s="30">
        <v>941.0</v>
      </c>
      <c r="C942" s="16" t="s">
        <v>1445</v>
      </c>
      <c r="D942" s="16" t="s">
        <v>184</v>
      </c>
      <c r="E942" s="16" t="s">
        <v>192</v>
      </c>
      <c r="F942" s="16" t="s">
        <v>215</v>
      </c>
      <c r="G942" s="16" t="s">
        <v>220</v>
      </c>
      <c r="H942" s="16" t="s">
        <v>220</v>
      </c>
    </row>
    <row r="943" ht="20.25" customHeight="1">
      <c r="A943" s="32" t="str">
        <f>IMAGE("https://gymvisual.com/550-catalog_default/cable-kneeling-triceps-extension.jpg",4,500,500)</f>
        <v/>
      </c>
      <c r="B943" s="30">
        <v>942.0</v>
      </c>
      <c r="C943" s="16" t="s">
        <v>1446</v>
      </c>
      <c r="D943" s="16" t="s">
        <v>184</v>
      </c>
      <c r="E943" s="16" t="s">
        <v>219</v>
      </c>
      <c r="F943" s="16" t="s">
        <v>215</v>
      </c>
      <c r="G943" s="16" t="s">
        <v>223</v>
      </c>
      <c r="H943" s="16" t="s">
        <v>220</v>
      </c>
    </row>
    <row r="944" ht="20.25" customHeight="1">
      <c r="A944" s="32" t="str">
        <f>IMAGE("https://gymvisual.com/7711-catalog_default/cable-kneeling-triceps-extension-version-2.jpg",4,500,500)</f>
        <v/>
      </c>
      <c r="B944" s="30">
        <v>943.0</v>
      </c>
      <c r="C944" s="16" t="s">
        <v>1447</v>
      </c>
      <c r="D944" s="16" t="s">
        <v>184</v>
      </c>
      <c r="E944" s="16" t="s">
        <v>219</v>
      </c>
      <c r="F944" s="16" t="s">
        <v>215</v>
      </c>
      <c r="G944" s="16" t="s">
        <v>223</v>
      </c>
      <c r="H944" s="16" t="s">
        <v>220</v>
      </c>
    </row>
    <row r="945" ht="20.25" customHeight="1">
      <c r="A945" s="32" t="str">
        <f>IMAGE("https://gymvisual.com/10037-catalog_default/cable-lat-pulldown-full-range-of-motion.jpg",4,500,500)</f>
        <v/>
      </c>
      <c r="B945" s="30">
        <v>944.0</v>
      </c>
      <c r="C945" s="16" t="s">
        <v>1448</v>
      </c>
      <c r="D945" s="16" t="s">
        <v>184</v>
      </c>
      <c r="E945" s="16" t="s">
        <v>192</v>
      </c>
      <c r="F945" s="16" t="s">
        <v>215</v>
      </c>
      <c r="G945" s="16" t="s">
        <v>300</v>
      </c>
      <c r="H945" s="16" t="s">
        <v>1449</v>
      </c>
    </row>
    <row r="946" ht="20.25" customHeight="1">
      <c r="A946" s="32" t="str">
        <f>IMAGE("https://gymvisual.com/13653-catalog_default/cable-lateral-lunge.jpg",4,500,500)</f>
        <v/>
      </c>
      <c r="B946" s="30">
        <v>945.0</v>
      </c>
      <c r="C946" s="16" t="s">
        <v>1450</v>
      </c>
      <c r="D946" s="16" t="s">
        <v>184</v>
      </c>
      <c r="E946" s="16" t="s">
        <v>285</v>
      </c>
      <c r="F946" s="16" t="s">
        <v>215</v>
      </c>
      <c r="G946" s="16" t="s">
        <v>295</v>
      </c>
      <c r="H946" s="16" t="s">
        <v>220</v>
      </c>
    </row>
    <row r="947" ht="20.25" customHeight="1">
      <c r="A947" s="32" t="str">
        <f>IMAGE("https://gymvisual.com/13660-catalog_default/cable-lateral-lunge-version-2.jpg",4,500,500)</f>
        <v/>
      </c>
      <c r="B947" s="30">
        <v>946.0</v>
      </c>
      <c r="C947" s="16" t="s">
        <v>1451</v>
      </c>
      <c r="D947" s="16" t="s">
        <v>184</v>
      </c>
      <c r="E947" s="16" t="s">
        <v>285</v>
      </c>
      <c r="F947" s="16" t="s">
        <v>215</v>
      </c>
      <c r="G947" s="16" t="s">
        <v>295</v>
      </c>
      <c r="H947" s="16" t="s">
        <v>220</v>
      </c>
    </row>
    <row r="948" ht="20.25" customHeight="1">
      <c r="A948" s="32" t="str">
        <f>IMAGE("https://gymvisual.com/553-catalog_default/cable-lateral-pulldown-with-rope-attachment.jpg",4,500,500)</f>
        <v/>
      </c>
      <c r="B948" s="30">
        <v>947.0</v>
      </c>
      <c r="C948" s="16" t="s">
        <v>1452</v>
      </c>
      <c r="D948" s="16" t="s">
        <v>184</v>
      </c>
      <c r="E948" s="16" t="s">
        <v>192</v>
      </c>
      <c r="F948" s="16" t="s">
        <v>215</v>
      </c>
      <c r="G948" s="16" t="s">
        <v>300</v>
      </c>
      <c r="H948" s="16" t="s">
        <v>1357</v>
      </c>
    </row>
    <row r="949" ht="20.25" customHeight="1">
      <c r="A949" s="32" t="str">
        <f>IMAGE("https://gymvisual.com/10798-catalog_default/cable-lateral-pulldown-with-v-bar.jpg",4,500,500)</f>
        <v/>
      </c>
      <c r="B949" s="30">
        <v>948.0</v>
      </c>
      <c r="C949" s="16" t="s">
        <v>1453</v>
      </c>
      <c r="D949" s="16" t="s">
        <v>184</v>
      </c>
      <c r="E949" s="16" t="s">
        <v>192</v>
      </c>
      <c r="F949" s="16" t="s">
        <v>215</v>
      </c>
      <c r="G949" s="16" t="s">
        <v>300</v>
      </c>
      <c r="H949" s="16" t="s">
        <v>1357</v>
      </c>
    </row>
    <row r="950" ht="20.25" customHeight="1">
      <c r="A950" s="32" t="str">
        <f>IMAGE("https://gymvisual.com/556-catalog_default/cable-lateral-raise.jpg",4,500,500)</f>
        <v/>
      </c>
      <c r="B950" s="30">
        <v>949.0</v>
      </c>
      <c r="C950" s="16" t="s">
        <v>54</v>
      </c>
      <c r="D950" s="16" t="s">
        <v>184</v>
      </c>
      <c r="E950" s="16" t="s">
        <v>228</v>
      </c>
      <c r="F950" s="16" t="s">
        <v>215</v>
      </c>
      <c r="G950" s="16" t="s">
        <v>544</v>
      </c>
      <c r="H950" s="16" t="s">
        <v>545</v>
      </c>
    </row>
    <row r="951" ht="20.25" customHeight="1">
      <c r="A951" s="32" t="str">
        <f>IMAGE("https://gymvisual.com/13377-catalog_default/cable-lateral-raise-female.jpg",4,500,500)</f>
        <v/>
      </c>
      <c r="B951" s="30">
        <v>950.0</v>
      </c>
      <c r="C951" s="16" t="s">
        <v>1454</v>
      </c>
      <c r="D951" s="16" t="s">
        <v>184</v>
      </c>
      <c r="E951" s="16" t="s">
        <v>228</v>
      </c>
      <c r="F951" s="16" t="s">
        <v>215</v>
      </c>
      <c r="G951" s="16" t="s">
        <v>544</v>
      </c>
      <c r="H951" s="16" t="s">
        <v>545</v>
      </c>
    </row>
    <row r="952" ht="20.25" customHeight="1">
      <c r="A952" s="32" t="str">
        <f>IMAGE("https://gymvisual.com/17759-catalog_default/cable-leaning-lateral-raise.jpg",4,500,500)</f>
        <v/>
      </c>
      <c r="B952" s="30">
        <v>951.0</v>
      </c>
      <c r="C952" s="16" t="s">
        <v>1455</v>
      </c>
      <c r="D952" s="16" t="s">
        <v>184</v>
      </c>
      <c r="E952" s="16" t="s">
        <v>228</v>
      </c>
      <c r="F952" s="16" t="s">
        <v>215</v>
      </c>
      <c r="G952" s="16" t="s">
        <v>220</v>
      </c>
      <c r="H952" s="16" t="s">
        <v>220</v>
      </c>
    </row>
    <row r="953" ht="20.25" customHeight="1">
      <c r="A953" s="32" t="str">
        <f>IMAGE("https://gymvisual.com/25655-catalog_default/cable-low-chest-press-male.jpg",4,500,500)</f>
        <v/>
      </c>
      <c r="B953" s="30">
        <v>952.0</v>
      </c>
      <c r="C953" s="16" t="s">
        <v>1456</v>
      </c>
      <c r="D953" s="16" t="s">
        <v>184</v>
      </c>
      <c r="E953" s="16" t="s">
        <v>234</v>
      </c>
      <c r="F953" s="16" t="s">
        <v>215</v>
      </c>
      <c r="G953" s="16" t="s">
        <v>220</v>
      </c>
      <c r="H953" s="16" t="s">
        <v>220</v>
      </c>
    </row>
    <row r="954" ht="20.25" customHeight="1">
      <c r="A954" s="32" t="str">
        <f>IMAGE("https://gymvisual.com/19319-catalog_default/cable-low-fly.jpg",4,500,500)</f>
        <v/>
      </c>
      <c r="B954" s="30">
        <v>953.0</v>
      </c>
      <c r="C954" s="16" t="s">
        <v>1457</v>
      </c>
      <c r="D954" s="16" t="s">
        <v>184</v>
      </c>
      <c r="E954" s="16" t="s">
        <v>234</v>
      </c>
      <c r="F954" s="16" t="s">
        <v>215</v>
      </c>
      <c r="G954" s="16" t="s">
        <v>415</v>
      </c>
      <c r="H954" s="16" t="s">
        <v>236</v>
      </c>
    </row>
    <row r="955" ht="20.25" customHeight="1">
      <c r="A955" s="32" t="str">
        <f>IMAGE("https://gymvisual.com/9670-catalog_default/cable-low-fly-female.jpg",4,500,500)</f>
        <v/>
      </c>
      <c r="B955" s="30">
        <v>954.0</v>
      </c>
      <c r="C955" s="16" t="s">
        <v>1458</v>
      </c>
      <c r="D955" s="16" t="s">
        <v>184</v>
      </c>
      <c r="E955" s="16" t="s">
        <v>234</v>
      </c>
      <c r="F955" s="16" t="s">
        <v>215</v>
      </c>
      <c r="G955" s="16" t="s">
        <v>347</v>
      </c>
      <c r="H955" s="16" t="s">
        <v>420</v>
      </c>
    </row>
    <row r="956" ht="20.25" customHeight="1">
      <c r="A956" s="32" t="str">
        <f>IMAGE("https://gymvisual.com/19451-catalog_default/cable-low-row-with-rope-attachment.jpg",4,500,500)</f>
        <v/>
      </c>
      <c r="B956" s="30">
        <v>955.0</v>
      </c>
      <c r="C956" s="16" t="s">
        <v>1459</v>
      </c>
      <c r="D956" s="16" t="s">
        <v>184</v>
      </c>
      <c r="E956" s="16" t="s">
        <v>192</v>
      </c>
      <c r="F956" s="16" t="s">
        <v>215</v>
      </c>
      <c r="G956" s="16" t="s">
        <v>220</v>
      </c>
      <c r="H956" s="16" t="s">
        <v>220</v>
      </c>
    </row>
    <row r="957" ht="20.25" customHeight="1">
      <c r="A957" s="32" t="str">
        <f>IMAGE("https://gymvisual.com/562-catalog_default/cable-low-seated-row.jpg",4,500,500)</f>
        <v/>
      </c>
      <c r="B957" s="30">
        <v>956.0</v>
      </c>
      <c r="C957" s="16" t="s">
        <v>1460</v>
      </c>
      <c r="D957" s="16" t="s">
        <v>184</v>
      </c>
      <c r="E957" s="16" t="s">
        <v>192</v>
      </c>
      <c r="F957" s="16" t="s">
        <v>215</v>
      </c>
      <c r="G957" s="16" t="s">
        <v>329</v>
      </c>
      <c r="H957" s="16" t="s">
        <v>457</v>
      </c>
    </row>
    <row r="958" ht="20.25" customHeight="1">
      <c r="A958" s="32" t="str">
        <f>IMAGE("https://gymvisual.com/26458-catalog_default/cable-low-seated-row-female.jpg",4,500,500)</f>
        <v/>
      </c>
      <c r="B958" s="30">
        <v>957.0</v>
      </c>
      <c r="C958" s="16" t="s">
        <v>1461</v>
      </c>
      <c r="D958" s="16" t="s">
        <v>184</v>
      </c>
      <c r="E958" s="16" t="s">
        <v>192</v>
      </c>
      <c r="F958" s="16" t="s">
        <v>215</v>
      </c>
      <c r="G958" s="16" t="s">
        <v>329</v>
      </c>
      <c r="H958" s="16" t="s">
        <v>447</v>
      </c>
    </row>
    <row r="959" ht="20.25" customHeight="1">
      <c r="A959" s="32" t="str">
        <f>IMAGE("https://gymvisual.com/13654-catalog_default/cable-lunge.jpg",4,500,500)</f>
        <v/>
      </c>
      <c r="B959" s="30">
        <v>958.0</v>
      </c>
      <c r="C959" s="16" t="s">
        <v>1462</v>
      </c>
      <c r="D959" s="16" t="s">
        <v>184</v>
      </c>
      <c r="E959" s="16" t="s">
        <v>285</v>
      </c>
      <c r="F959" s="16" t="s">
        <v>215</v>
      </c>
      <c r="G959" s="16" t="s">
        <v>189</v>
      </c>
      <c r="H959" s="16" t="s">
        <v>220</v>
      </c>
    </row>
    <row r="960" ht="20.25" customHeight="1">
      <c r="A960" s="32" t="str">
        <f>IMAGE("https://gymvisual.com/20467-catalog_default/cable-lying-bicep-curl.jpg",4,500,500)</f>
        <v/>
      </c>
      <c r="B960" s="30">
        <v>959.0</v>
      </c>
      <c r="C960" s="16" t="s">
        <v>1463</v>
      </c>
      <c r="D960" s="16" t="s">
        <v>184</v>
      </c>
      <c r="E960" s="16" t="s">
        <v>219</v>
      </c>
      <c r="F960" s="16" t="s">
        <v>215</v>
      </c>
      <c r="G960" s="16" t="s">
        <v>241</v>
      </c>
      <c r="H960" s="16" t="s">
        <v>292</v>
      </c>
    </row>
    <row r="961" ht="20.25" customHeight="1">
      <c r="A961" s="32" t="str">
        <f>IMAGE("https://gymvisual.com/13379-catalog_default/cable-lying-bicep-curl-female.jpg",4,500,500)</f>
        <v/>
      </c>
      <c r="B961" s="30">
        <v>960.0</v>
      </c>
      <c r="C961" s="16" t="s">
        <v>1464</v>
      </c>
      <c r="D961" s="16" t="s">
        <v>184</v>
      </c>
      <c r="E961" s="16" t="s">
        <v>219</v>
      </c>
      <c r="F961" s="16" t="s">
        <v>215</v>
      </c>
      <c r="G961" s="16" t="s">
        <v>220</v>
      </c>
      <c r="H961" s="16" t="s">
        <v>220</v>
      </c>
    </row>
    <row r="962" ht="20.25" customHeight="1">
      <c r="A962" s="32" t="str">
        <f>IMAGE("https://gymvisual.com/10374-catalog_default/cable-lying-biceps-curl-version-2.jpg",4,500,500)</f>
        <v/>
      </c>
      <c r="B962" s="30">
        <v>961.0</v>
      </c>
      <c r="C962" s="16" t="s">
        <v>1465</v>
      </c>
      <c r="D962" s="16" t="s">
        <v>184</v>
      </c>
      <c r="E962" s="16" t="s">
        <v>219</v>
      </c>
      <c r="F962" s="16" t="s">
        <v>215</v>
      </c>
      <c r="G962" s="16" t="s">
        <v>241</v>
      </c>
      <c r="H962" s="16" t="s">
        <v>292</v>
      </c>
    </row>
    <row r="963" ht="20.25" customHeight="1">
      <c r="A963" s="32" t="str">
        <f>IMAGE("https://gymvisual.com/13680-catalog_default/cable-lying-close-press.jpg",4,500,500)</f>
        <v/>
      </c>
      <c r="B963" s="30">
        <v>962.0</v>
      </c>
      <c r="C963" s="16" t="s">
        <v>1466</v>
      </c>
      <c r="D963" s="16" t="s">
        <v>184</v>
      </c>
      <c r="E963" s="16" t="s">
        <v>219</v>
      </c>
      <c r="F963" s="16" t="s">
        <v>215</v>
      </c>
      <c r="G963" s="16" t="s">
        <v>223</v>
      </c>
      <c r="H963" s="16" t="s">
        <v>472</v>
      </c>
    </row>
    <row r="964" ht="20.25" customHeight="1">
      <c r="A964" s="32" t="str">
        <f>IMAGE("https://gymvisual.com/19321-catalog_default/cable-lying-close-grip-curl.jpg",4,500,500)</f>
        <v/>
      </c>
      <c r="B964" s="30">
        <v>963.0</v>
      </c>
      <c r="C964" s="16" t="s">
        <v>1467</v>
      </c>
      <c r="D964" s="16" t="s">
        <v>184</v>
      </c>
      <c r="E964" s="16" t="s">
        <v>219</v>
      </c>
      <c r="F964" s="16" t="s">
        <v>215</v>
      </c>
      <c r="G964" s="16" t="s">
        <v>241</v>
      </c>
      <c r="H964" s="16" t="s">
        <v>292</v>
      </c>
    </row>
    <row r="965" ht="20.25" customHeight="1">
      <c r="A965" s="32" t="str">
        <f>IMAGE("https://gymvisual.com/568-catalog_default/cable-lying-close-grip-curl.jpg",4,500,500)</f>
        <v/>
      </c>
      <c r="B965" s="30">
        <v>964.0</v>
      </c>
      <c r="C965" s="16" t="s">
        <v>1467</v>
      </c>
      <c r="D965" s="16" t="s">
        <v>184</v>
      </c>
      <c r="E965" s="16" t="s">
        <v>219</v>
      </c>
      <c r="F965" s="16" t="s">
        <v>215</v>
      </c>
      <c r="G965" s="16" t="s">
        <v>241</v>
      </c>
      <c r="H965" s="16" t="s">
        <v>292</v>
      </c>
    </row>
    <row r="966" ht="20.25" customHeight="1">
      <c r="A966" s="32" t="str">
        <f>IMAGE("https://gymvisual.com/17458-catalog_default/cable-lying-cross-lateral-raise.jpg",4,500,500)</f>
        <v/>
      </c>
      <c r="B966" s="30">
        <v>965.0</v>
      </c>
      <c r="C966" s="16" t="s">
        <v>1468</v>
      </c>
      <c r="D966" s="16" t="s">
        <v>184</v>
      </c>
      <c r="E966" s="16" t="s">
        <v>228</v>
      </c>
      <c r="F966" s="16" t="s">
        <v>215</v>
      </c>
      <c r="G966" s="16" t="s">
        <v>544</v>
      </c>
      <c r="H966" s="16" t="s">
        <v>545</v>
      </c>
    </row>
    <row r="967" ht="20.25" customHeight="1">
      <c r="A967" s="32" t="str">
        <f>IMAGE("https://gymvisual.com/571-catalog_default/cable-lying-curl.jpg",4,500,500)</f>
        <v/>
      </c>
      <c r="B967" s="30">
        <v>966.0</v>
      </c>
      <c r="C967" s="16" t="s">
        <v>1469</v>
      </c>
      <c r="D967" s="16" t="s">
        <v>184</v>
      </c>
      <c r="E967" s="16" t="s">
        <v>219</v>
      </c>
      <c r="F967" s="16" t="s">
        <v>215</v>
      </c>
      <c r="G967" s="16" t="s">
        <v>241</v>
      </c>
      <c r="H967" s="16" t="s">
        <v>292</v>
      </c>
    </row>
    <row r="968" ht="20.25" customHeight="1">
      <c r="A968" s="32" t="str">
        <f>IMAGE("https://gymvisual.com/6002-catalog_default/cable-lying-extension-pullover-with-rope-attachment.jpg",4,500,500)</f>
        <v/>
      </c>
      <c r="B968" s="30">
        <v>967.0</v>
      </c>
      <c r="C968" s="16" t="s">
        <v>1470</v>
      </c>
      <c r="D968" s="16" t="s">
        <v>184</v>
      </c>
      <c r="E968" s="16" t="s">
        <v>192</v>
      </c>
      <c r="F968" s="16" t="s">
        <v>215</v>
      </c>
      <c r="G968" s="16" t="s">
        <v>300</v>
      </c>
      <c r="H968" s="16" t="s">
        <v>781</v>
      </c>
    </row>
    <row r="969" ht="20.25" customHeight="1">
      <c r="A969" s="32" t="str">
        <f>IMAGE("https://gymvisual.com/13381-catalog_default/cable-lying-extension-pullover-with-rope-attachment-female.jpg",4,500,500)</f>
        <v/>
      </c>
      <c r="B969" s="30">
        <v>968.0</v>
      </c>
      <c r="C969" s="16" t="s">
        <v>1471</v>
      </c>
      <c r="D969" s="16" t="s">
        <v>184</v>
      </c>
      <c r="E969" s="16" t="s">
        <v>192</v>
      </c>
      <c r="F969" s="16" t="s">
        <v>215</v>
      </c>
      <c r="G969" s="16" t="s">
        <v>220</v>
      </c>
      <c r="H969" s="16" t="s">
        <v>220</v>
      </c>
    </row>
    <row r="970" ht="20.25" customHeight="1">
      <c r="A970" s="32" t="str">
        <f>IMAGE("https://gymvisual.com/577-catalog_default/cable-lying-fly.jpg",4,500,500)</f>
        <v/>
      </c>
      <c r="B970" s="30">
        <v>969.0</v>
      </c>
      <c r="C970" s="16" t="s">
        <v>1472</v>
      </c>
      <c r="D970" s="16" t="s">
        <v>184</v>
      </c>
      <c r="E970" s="16" t="s">
        <v>234</v>
      </c>
      <c r="F970" s="16" t="s">
        <v>215</v>
      </c>
      <c r="G970" s="16" t="s">
        <v>235</v>
      </c>
      <c r="H970" s="16" t="s">
        <v>236</v>
      </c>
    </row>
    <row r="971" ht="20.25" customHeight="1">
      <c r="A971" s="32" t="str">
        <f>IMAGE("https://gymvisual.com/10519-catalog_default/cable-lying-fly-female.jpg",4,500,500)</f>
        <v/>
      </c>
      <c r="B971" s="30">
        <v>970.0</v>
      </c>
      <c r="C971" s="16" t="s">
        <v>1473</v>
      </c>
      <c r="D971" s="16" t="s">
        <v>184</v>
      </c>
      <c r="E971" s="16" t="s">
        <v>234</v>
      </c>
      <c r="F971" s="16" t="s">
        <v>215</v>
      </c>
      <c r="G971" s="16" t="s">
        <v>235</v>
      </c>
      <c r="H971" s="16" t="s">
        <v>236</v>
      </c>
    </row>
    <row r="972" ht="20.25" customHeight="1">
      <c r="A972" s="32" t="str">
        <f>IMAGE("https://gymvisual.com/18087-catalog_default/cable-lying-front-raise.jpg",4,500,500)</f>
        <v/>
      </c>
      <c r="B972" s="30">
        <v>971.0</v>
      </c>
      <c r="C972" s="16" t="s">
        <v>1474</v>
      </c>
      <c r="D972" s="16" t="s">
        <v>184</v>
      </c>
      <c r="E972" s="16" t="s">
        <v>228</v>
      </c>
      <c r="F972" s="16" t="s">
        <v>215</v>
      </c>
      <c r="G972" s="16" t="s">
        <v>220</v>
      </c>
      <c r="H972" s="16" t="s">
        <v>220</v>
      </c>
    </row>
    <row r="973" ht="20.25" customHeight="1">
      <c r="A973" s="32" t="str">
        <f>IMAGE("https://gymvisual.com/18081-catalog_default/cable-lying-pallof-press.jpg",4,500,500)</f>
        <v/>
      </c>
      <c r="B973" s="30">
        <v>972.0</v>
      </c>
      <c r="C973" s="16" t="s">
        <v>1475</v>
      </c>
      <c r="D973" s="16" t="s">
        <v>184</v>
      </c>
      <c r="E973" s="16" t="s">
        <v>254</v>
      </c>
      <c r="F973" s="16" t="s">
        <v>215</v>
      </c>
      <c r="G973" s="16" t="s">
        <v>220</v>
      </c>
      <c r="H973" s="16" t="s">
        <v>220</v>
      </c>
    </row>
    <row r="974" ht="20.25" customHeight="1">
      <c r="A974" s="32" t="str">
        <f>IMAGE("https://gymvisual.com/18772-catalog_default/cable-lying-regular-grip-curl-female.jpg",4,500,500)</f>
        <v/>
      </c>
      <c r="B974" s="30">
        <v>973.0</v>
      </c>
      <c r="C974" s="16" t="s">
        <v>1476</v>
      </c>
      <c r="D974" s="16" t="s">
        <v>184</v>
      </c>
      <c r="E974" s="16" t="s">
        <v>219</v>
      </c>
      <c r="F974" s="16" t="s">
        <v>215</v>
      </c>
      <c r="G974" s="16" t="s">
        <v>220</v>
      </c>
      <c r="H974" s="16" t="s">
        <v>220</v>
      </c>
    </row>
    <row r="975" ht="20.25" customHeight="1">
      <c r="A975" s="32" t="str">
        <f>IMAGE("https://gymvisual.com/18085-catalog_default/cable-lying-shrug.jpg",4,500,500)</f>
        <v/>
      </c>
      <c r="B975" s="30">
        <v>974.0</v>
      </c>
      <c r="C975" s="16" t="s">
        <v>1477</v>
      </c>
      <c r="D975" s="16" t="s">
        <v>184</v>
      </c>
      <c r="E975" s="16" t="s">
        <v>192</v>
      </c>
      <c r="F975" s="16" t="s">
        <v>215</v>
      </c>
      <c r="G975" s="16" t="s">
        <v>220</v>
      </c>
      <c r="H975" s="16" t="s">
        <v>220</v>
      </c>
    </row>
    <row r="976" ht="20.25" customHeight="1">
      <c r="A976" s="32" t="str">
        <f>IMAGE("https://gymvisual.com/20463-catalog_default/cable-lying-triceps-extension.jpg",4,500,500)</f>
        <v/>
      </c>
      <c r="B976" s="30">
        <v>975.0</v>
      </c>
      <c r="C976" s="16" t="s">
        <v>1478</v>
      </c>
      <c r="D976" s="16" t="s">
        <v>184</v>
      </c>
      <c r="E976" s="16" t="s">
        <v>219</v>
      </c>
      <c r="F976" s="16" t="s">
        <v>215</v>
      </c>
      <c r="G976" s="16" t="s">
        <v>223</v>
      </c>
      <c r="H976" s="16" t="s">
        <v>220</v>
      </c>
    </row>
    <row r="977" ht="20.25" customHeight="1">
      <c r="A977" s="32" t="str">
        <f>IMAGE("https://gymvisual.com/20481-catalog_default/cable-lying-triceps-extension-low.jpg",4,500,500)</f>
        <v/>
      </c>
      <c r="B977" s="30">
        <v>976.0</v>
      </c>
      <c r="C977" s="16" t="s">
        <v>1479</v>
      </c>
      <c r="D977" s="16" t="s">
        <v>184</v>
      </c>
      <c r="E977" s="16" t="s">
        <v>219</v>
      </c>
      <c r="F977" s="16" t="s">
        <v>215</v>
      </c>
      <c r="G977" s="16" t="s">
        <v>223</v>
      </c>
      <c r="H977" s="16" t="s">
        <v>220</v>
      </c>
    </row>
    <row r="978" ht="20.25" customHeight="1">
      <c r="A978" s="32" t="str">
        <f>IMAGE("https://gymvisual.com/20537-catalog_default/cable-lying-triceps-extension-low-female.jpg",4,500,500)</f>
        <v/>
      </c>
      <c r="B978" s="30">
        <v>977.0</v>
      </c>
      <c r="C978" s="16" t="s">
        <v>1480</v>
      </c>
      <c r="D978" s="16" t="s">
        <v>184</v>
      </c>
      <c r="E978" s="16" t="s">
        <v>219</v>
      </c>
      <c r="F978" s="16" t="s">
        <v>215</v>
      </c>
      <c r="G978" s="16" t="s">
        <v>223</v>
      </c>
      <c r="H978" s="16" t="s">
        <v>220</v>
      </c>
    </row>
    <row r="979" ht="20.25" customHeight="1">
      <c r="A979" s="32" t="str">
        <f>IMAGE("https://gymvisual.com/580-catalog_default/cable-lying-triceps-extension-version-2.jpg",4,500,500)</f>
        <v/>
      </c>
      <c r="B979" s="30">
        <v>978.0</v>
      </c>
      <c r="C979" s="16" t="s">
        <v>1481</v>
      </c>
      <c r="D979" s="16" t="s">
        <v>184</v>
      </c>
      <c r="E979" s="16" t="s">
        <v>219</v>
      </c>
      <c r="F979" s="16" t="s">
        <v>215</v>
      </c>
      <c r="G979" s="16" t="s">
        <v>223</v>
      </c>
      <c r="H979" s="16" t="s">
        <v>220</v>
      </c>
    </row>
    <row r="980" ht="20.25" customHeight="1">
      <c r="A980" s="32" t="str">
        <f>IMAGE("https://gymvisual.com/18871-catalog_default/cable-lying-triceps-extension-with-rope.jpg",4,500,500)</f>
        <v/>
      </c>
      <c r="B980" s="30">
        <v>979.0</v>
      </c>
      <c r="C980" s="16" t="s">
        <v>1482</v>
      </c>
      <c r="D980" s="16" t="s">
        <v>184</v>
      </c>
      <c r="E980" s="16" t="s">
        <v>219</v>
      </c>
      <c r="F980" s="16" t="s">
        <v>215</v>
      </c>
      <c r="G980" s="16" t="s">
        <v>223</v>
      </c>
      <c r="H980" s="16" t="s">
        <v>220</v>
      </c>
    </row>
    <row r="981" ht="20.25" customHeight="1">
      <c r="A981" s="32" t="str">
        <f>IMAGE("https://gymvisual.com/18083-catalog_default/cable-lying-upright-row.jpg",4,500,500)</f>
        <v/>
      </c>
      <c r="B981" s="30">
        <v>980.0</v>
      </c>
      <c r="C981" s="16" t="s">
        <v>1483</v>
      </c>
      <c r="D981" s="16" t="s">
        <v>184</v>
      </c>
      <c r="E981" s="16" t="s">
        <v>228</v>
      </c>
      <c r="F981" s="16" t="s">
        <v>215</v>
      </c>
      <c r="G981" s="16" t="s">
        <v>220</v>
      </c>
      <c r="H981" s="16" t="s">
        <v>220</v>
      </c>
    </row>
    <row r="982" ht="20.25" customHeight="1">
      <c r="A982" s="32" t="str">
        <f>IMAGE("https://gymvisual.com/23849-catalog_default/cable-medius-kickback.jpg",4,500,500)</f>
        <v/>
      </c>
      <c r="B982" s="30">
        <v>981.0</v>
      </c>
      <c r="C982" s="16" t="s">
        <v>1484</v>
      </c>
      <c r="D982" s="16" t="s">
        <v>184</v>
      </c>
      <c r="E982" s="16" t="s">
        <v>185</v>
      </c>
      <c r="F982" s="16" t="s">
        <v>215</v>
      </c>
      <c r="G982" s="16" t="s">
        <v>220</v>
      </c>
      <c r="H982" s="16" t="s">
        <v>220</v>
      </c>
    </row>
    <row r="983" ht="20.25" customHeight="1">
      <c r="A983" s="32" t="str">
        <f>IMAGE("https://gymvisual.com/19323-catalog_default/cable-middle-fly.jpg",4,500,500)</f>
        <v/>
      </c>
      <c r="B983" s="30">
        <v>982.0</v>
      </c>
      <c r="C983" s="16" t="s">
        <v>1485</v>
      </c>
      <c r="D983" s="16" t="s">
        <v>184</v>
      </c>
      <c r="E983" s="16" t="s">
        <v>234</v>
      </c>
      <c r="F983" s="16" t="s">
        <v>215</v>
      </c>
      <c r="G983" s="16" t="s">
        <v>347</v>
      </c>
      <c r="H983" s="16" t="s">
        <v>568</v>
      </c>
    </row>
    <row r="984" ht="20.25" customHeight="1">
      <c r="A984" s="32" t="str">
        <f>IMAGE("https://gymvisual.com/10942-catalog_default/cable-middle-fly-female.jpg",4,500,500)</f>
        <v/>
      </c>
      <c r="B984" s="30">
        <v>983.0</v>
      </c>
      <c r="C984" s="16" t="s">
        <v>1486</v>
      </c>
      <c r="D984" s="16" t="s">
        <v>184</v>
      </c>
      <c r="E984" s="16" t="s">
        <v>234</v>
      </c>
      <c r="F984" s="16" t="s">
        <v>215</v>
      </c>
      <c r="G984" s="16" t="s">
        <v>220</v>
      </c>
      <c r="H984" s="16" t="s">
        <v>220</v>
      </c>
    </row>
    <row r="985" ht="20.25" customHeight="1">
      <c r="A985" s="32" t="str">
        <f>IMAGE("https://gymvisual.com/11996-catalog_default/cable-narrow-chair-stand-up.jpg",4,500,500)</f>
        <v/>
      </c>
      <c r="B985" s="30">
        <v>984.0</v>
      </c>
      <c r="C985" s="16" t="s">
        <v>1487</v>
      </c>
      <c r="D985" s="16" t="s">
        <v>184</v>
      </c>
      <c r="E985" s="16" t="s">
        <v>185</v>
      </c>
      <c r="F985" s="16" t="s">
        <v>215</v>
      </c>
      <c r="G985" s="16" t="s">
        <v>189</v>
      </c>
      <c r="H985" s="16" t="s">
        <v>190</v>
      </c>
    </row>
    <row r="986" ht="20.25" customHeight="1">
      <c r="A986" s="32" t="str">
        <f>IMAGE("https://gymvisual.com/22163-catalog_default/cable-neutral-grip-kickback.jpg",4,500,500)</f>
        <v/>
      </c>
      <c r="B986" s="30">
        <v>985.0</v>
      </c>
      <c r="C986" s="16" t="s">
        <v>1488</v>
      </c>
      <c r="D986" s="16" t="s">
        <v>184</v>
      </c>
      <c r="E986" s="16" t="s">
        <v>219</v>
      </c>
      <c r="F986" s="16" t="s">
        <v>215</v>
      </c>
      <c r="G986" s="16" t="s">
        <v>223</v>
      </c>
      <c r="H986" s="16" t="s">
        <v>220</v>
      </c>
    </row>
    <row r="987" ht="20.25" customHeight="1">
      <c r="A987" s="32" t="str">
        <f>IMAGE("https://gymvisual.com/13656-catalog_default/cable-one-arm-bent-over-row.jpg",4,500,500)</f>
        <v/>
      </c>
      <c r="B987" s="30">
        <v>986.0</v>
      </c>
      <c r="C987" s="16" t="s">
        <v>1489</v>
      </c>
      <c r="D987" s="16" t="s">
        <v>184</v>
      </c>
      <c r="E987" s="16" t="s">
        <v>192</v>
      </c>
      <c r="F987" s="16" t="s">
        <v>215</v>
      </c>
      <c r="G987" s="16" t="s">
        <v>329</v>
      </c>
      <c r="H987" s="16" t="s">
        <v>457</v>
      </c>
    </row>
    <row r="988" ht="20.25" customHeight="1">
      <c r="A988" s="32" t="str">
        <f>IMAGE("https://gymvisual.com/10781-catalog_default/cable-one-arm-biceps-curl-version-2.jpg",4,500,500)</f>
        <v/>
      </c>
      <c r="B988" s="30">
        <v>987.0</v>
      </c>
      <c r="C988" s="16" t="s">
        <v>1490</v>
      </c>
      <c r="D988" s="16" t="s">
        <v>184</v>
      </c>
      <c r="E988" s="16" t="s">
        <v>219</v>
      </c>
      <c r="F988" s="16" t="s">
        <v>215</v>
      </c>
      <c r="G988" s="16" t="s">
        <v>241</v>
      </c>
      <c r="H988" s="16" t="s">
        <v>292</v>
      </c>
    </row>
    <row r="989" ht="20.25" customHeight="1">
      <c r="A989" s="32" t="str">
        <f>IMAGE("https://gymvisual.com/10784-catalog_default/cable-one-arm-biceps-curl-version-2-female.jpg",4,500,500)</f>
        <v/>
      </c>
      <c r="B989" s="30">
        <v>988.0</v>
      </c>
      <c r="C989" s="16" t="s">
        <v>1491</v>
      </c>
      <c r="D989" s="16" t="s">
        <v>184</v>
      </c>
      <c r="E989" s="16" t="s">
        <v>219</v>
      </c>
      <c r="F989" s="16" t="s">
        <v>215</v>
      </c>
      <c r="G989" s="16" t="s">
        <v>241</v>
      </c>
      <c r="H989" s="16" t="s">
        <v>292</v>
      </c>
    </row>
    <row r="990" ht="20.25" customHeight="1">
      <c r="A990" s="32" t="str">
        <f>IMAGE("https://gymvisual.com/592-catalog_default/cable-one-arm-curl.jpg",4,500,500)</f>
        <v/>
      </c>
      <c r="B990" s="30">
        <v>989.0</v>
      </c>
      <c r="C990" s="16" t="s">
        <v>1492</v>
      </c>
      <c r="D990" s="16" t="s">
        <v>184</v>
      </c>
      <c r="E990" s="16" t="s">
        <v>219</v>
      </c>
      <c r="F990" s="16" t="s">
        <v>215</v>
      </c>
      <c r="G990" s="16" t="s">
        <v>241</v>
      </c>
      <c r="H990" s="16" t="s">
        <v>292</v>
      </c>
    </row>
    <row r="991" ht="20.25" customHeight="1">
      <c r="A991" s="32" t="str">
        <f>IMAGE("https://gymvisual.com/11297-catalog_default/cable-one-arm-curl-female.jpg",4,500,500)</f>
        <v/>
      </c>
      <c r="B991" s="30">
        <v>990.0</v>
      </c>
      <c r="C991" s="16" t="s">
        <v>1493</v>
      </c>
      <c r="D991" s="16" t="s">
        <v>184</v>
      </c>
      <c r="E991" s="16" t="s">
        <v>219</v>
      </c>
      <c r="F991" s="16" t="s">
        <v>215</v>
      </c>
      <c r="G991" s="16" t="s">
        <v>241</v>
      </c>
      <c r="H991" s="16" t="s">
        <v>292</v>
      </c>
    </row>
    <row r="992" ht="20.25" customHeight="1">
      <c r="A992" s="32" t="str">
        <f>IMAGE("https://gymvisual.com/5951-catalog_default/cable-one-arm-decline-chest-fly.jpg",4,500,500)</f>
        <v/>
      </c>
      <c r="B992" s="30">
        <v>991.0</v>
      </c>
      <c r="C992" s="16" t="s">
        <v>823</v>
      </c>
      <c r="D992" s="16" t="s">
        <v>184</v>
      </c>
      <c r="E992" s="16" t="s">
        <v>234</v>
      </c>
      <c r="F992" s="16" t="s">
        <v>215</v>
      </c>
      <c r="G992" s="16" t="s">
        <v>347</v>
      </c>
      <c r="H992" s="16" t="s">
        <v>420</v>
      </c>
    </row>
    <row r="993" ht="20.25" customHeight="1">
      <c r="A993" s="32" t="str">
        <f>IMAGE("https://gymvisual.com/5952-catalog_default/cable-one-arm-fly-on-exercise-ball.jpg",4,500,500)</f>
        <v/>
      </c>
      <c r="B993" s="30">
        <v>992.0</v>
      </c>
      <c r="C993" s="16" t="s">
        <v>823</v>
      </c>
      <c r="D993" s="16" t="s">
        <v>184</v>
      </c>
      <c r="E993" s="16" t="s">
        <v>234</v>
      </c>
      <c r="F993" s="16" t="s">
        <v>215</v>
      </c>
      <c r="G993" s="16" t="s">
        <v>347</v>
      </c>
      <c r="H993" s="16" t="s">
        <v>420</v>
      </c>
    </row>
    <row r="994" ht="20.25" customHeight="1">
      <c r="A994" s="32" t="str">
        <f>IMAGE("https://gymvisual.com/11564-catalog_default/cable-one-arm-front-raise-female.jpg",4,500,500)</f>
        <v/>
      </c>
      <c r="B994" s="30">
        <v>993.0</v>
      </c>
      <c r="C994" s="16" t="s">
        <v>1494</v>
      </c>
      <c r="D994" s="16" t="s">
        <v>184</v>
      </c>
      <c r="E994" s="16" t="s">
        <v>228</v>
      </c>
      <c r="F994" s="16" t="s">
        <v>215</v>
      </c>
      <c r="G994" s="16" t="s">
        <v>229</v>
      </c>
      <c r="H994" s="16" t="s">
        <v>244</v>
      </c>
    </row>
    <row r="995" ht="20.25" customHeight="1">
      <c r="A995" s="32" t="str">
        <f>IMAGE("https://gymvisual.com/13658-catalog_default/cable-one-arm-high-pulley-overhead-tricep-extension.jpg",4,500,500)</f>
        <v/>
      </c>
      <c r="B995" s="30">
        <v>994.0</v>
      </c>
      <c r="C995" s="16" t="s">
        <v>1495</v>
      </c>
      <c r="D995" s="16" t="s">
        <v>184</v>
      </c>
      <c r="E995" s="16" t="s">
        <v>219</v>
      </c>
      <c r="F995" s="16" t="s">
        <v>215</v>
      </c>
      <c r="G995" s="16" t="s">
        <v>223</v>
      </c>
      <c r="H995" s="16" t="s">
        <v>220</v>
      </c>
    </row>
    <row r="996" ht="20.25" customHeight="1">
      <c r="A996" s="32" t="str">
        <f>IMAGE("https://gymvisual.com/5953-catalog_default/cable-one-arm-incline-fly-on-exercise-ball.jpg",4,500,500)</f>
        <v/>
      </c>
      <c r="B996" s="30">
        <v>995.0</v>
      </c>
      <c r="C996" s="16" t="s">
        <v>823</v>
      </c>
      <c r="D996" s="16" t="s">
        <v>184</v>
      </c>
      <c r="E996" s="16" t="s">
        <v>234</v>
      </c>
      <c r="F996" s="16" t="s">
        <v>215</v>
      </c>
      <c r="G996" s="16" t="s">
        <v>415</v>
      </c>
      <c r="H996" s="16" t="s">
        <v>236</v>
      </c>
    </row>
    <row r="997" ht="20.25" customHeight="1">
      <c r="A997" s="32" t="str">
        <f>IMAGE("https://gymvisual.com/5954-catalog_default/cable-one-arm-incline-press.jpg",4,500,500)</f>
        <v/>
      </c>
      <c r="B997" s="30">
        <v>996.0</v>
      </c>
      <c r="C997" s="16" t="s">
        <v>823</v>
      </c>
      <c r="D997" s="16" t="s">
        <v>184</v>
      </c>
      <c r="E997" s="16" t="s">
        <v>234</v>
      </c>
      <c r="F997" s="16" t="s">
        <v>215</v>
      </c>
      <c r="G997" s="16" t="s">
        <v>415</v>
      </c>
      <c r="H997" s="16" t="s">
        <v>243</v>
      </c>
    </row>
    <row r="998" ht="20.25" customHeight="1">
      <c r="A998" s="32" t="str">
        <f>IMAGE("https://gymvisual.com/5955-catalog_default/cable-one-arm-incline-press-on-exercise-ball.jpg",4,500,500)</f>
        <v/>
      </c>
      <c r="B998" s="30">
        <v>997.0</v>
      </c>
      <c r="C998" s="16" t="s">
        <v>823</v>
      </c>
      <c r="D998" s="16" t="s">
        <v>184</v>
      </c>
      <c r="E998" s="16" t="s">
        <v>234</v>
      </c>
      <c r="F998" s="16" t="s">
        <v>215</v>
      </c>
      <c r="G998" s="16" t="s">
        <v>415</v>
      </c>
      <c r="H998" s="16" t="s">
        <v>243</v>
      </c>
    </row>
    <row r="999" ht="20.25" customHeight="1">
      <c r="A999" s="32" t="str">
        <f>IMAGE("https://gymvisual.com/4571-catalog_default/cable-one-arm-inner-biceps-curl.jpg",4,500,500)</f>
        <v/>
      </c>
      <c r="B999" s="30">
        <v>998.0</v>
      </c>
      <c r="C999" s="16" t="s">
        <v>1496</v>
      </c>
      <c r="D999" s="16" t="s">
        <v>184</v>
      </c>
      <c r="E999" s="16" t="s">
        <v>219</v>
      </c>
      <c r="F999" s="16" t="s">
        <v>215</v>
      </c>
      <c r="G999" s="16" t="s">
        <v>232</v>
      </c>
      <c r="H999" s="16" t="s">
        <v>233</v>
      </c>
    </row>
    <row r="1000" ht="20.25" customHeight="1">
      <c r="A1000" s="32" t="str">
        <f>IMAGE("https://gymvisual.com/4572-catalog_default/cable-one-arm-lat-pulldown.jpg",4,500,500)</f>
        <v/>
      </c>
      <c r="B1000" s="30">
        <v>999.0</v>
      </c>
      <c r="C1000" s="16" t="s">
        <v>1497</v>
      </c>
      <c r="D1000" s="16" t="s">
        <v>184</v>
      </c>
      <c r="E1000" s="16" t="s">
        <v>192</v>
      </c>
      <c r="F1000" s="16" t="s">
        <v>215</v>
      </c>
      <c r="G1000" s="16" t="s">
        <v>300</v>
      </c>
      <c r="H1000" s="16" t="s">
        <v>1498</v>
      </c>
    </row>
    <row r="1001" ht="20.25" customHeight="1">
      <c r="A1001" s="32" t="str">
        <f>IMAGE("https://gymvisual.com/14256-catalog_default/cable-one-arm-lat-pulldown-female.jpg",4,500,500)</f>
        <v/>
      </c>
      <c r="B1001" s="30">
        <v>1000.0</v>
      </c>
      <c r="C1001" s="16" t="s">
        <v>1499</v>
      </c>
      <c r="D1001" s="16" t="s">
        <v>184</v>
      </c>
      <c r="E1001" s="16" t="s">
        <v>192</v>
      </c>
      <c r="F1001" s="16" t="s">
        <v>215</v>
      </c>
      <c r="G1001" s="16" t="s">
        <v>300</v>
      </c>
      <c r="H1001" s="16" t="s">
        <v>1500</v>
      </c>
    </row>
    <row r="1002" ht="20.25" customHeight="1">
      <c r="A1002" s="32" t="str">
        <f>IMAGE("https://gymvisual.com/11110-catalog_default/cable-one-arm-lateral-bent-over-female.jpg",4,500,500)</f>
        <v/>
      </c>
      <c r="B1002" s="30">
        <v>1001.0</v>
      </c>
      <c r="C1002" s="16" t="s">
        <v>1501</v>
      </c>
      <c r="D1002" s="16" t="s">
        <v>184</v>
      </c>
      <c r="E1002" s="16" t="s">
        <v>234</v>
      </c>
      <c r="F1002" s="16" t="s">
        <v>215</v>
      </c>
      <c r="G1002" s="16" t="s">
        <v>220</v>
      </c>
      <c r="H1002" s="16" t="s">
        <v>220</v>
      </c>
    </row>
    <row r="1003" ht="20.25" customHeight="1">
      <c r="A1003" s="32" t="str">
        <f>IMAGE("https://gymvisual.com/595-catalog_default/cable-one-arm-lateral-bent-over.jpg",4,500,500)</f>
        <v/>
      </c>
      <c r="B1003" s="30">
        <v>1002.0</v>
      </c>
      <c r="C1003" s="16" t="s">
        <v>1502</v>
      </c>
      <c r="D1003" s="16" t="s">
        <v>184</v>
      </c>
      <c r="E1003" s="16" t="s">
        <v>234</v>
      </c>
      <c r="F1003" s="16" t="s">
        <v>215</v>
      </c>
      <c r="G1003" s="16" t="s">
        <v>347</v>
      </c>
      <c r="H1003" s="16" t="s">
        <v>505</v>
      </c>
    </row>
    <row r="1004" ht="20.25" customHeight="1">
      <c r="A1004" s="32" t="str">
        <f>IMAGE("https://gymvisual.com/598-catalog_default/cable-one-arm-lateral-raise.jpg",4,500,500)</f>
        <v/>
      </c>
      <c r="B1004" s="30">
        <v>1003.0</v>
      </c>
      <c r="C1004" s="16" t="s">
        <v>1503</v>
      </c>
      <c r="D1004" s="16" t="s">
        <v>184</v>
      </c>
      <c r="E1004" s="16" t="s">
        <v>228</v>
      </c>
      <c r="F1004" s="16" t="s">
        <v>215</v>
      </c>
      <c r="G1004" s="16" t="s">
        <v>544</v>
      </c>
      <c r="H1004" s="16" t="s">
        <v>545</v>
      </c>
    </row>
    <row r="1005" ht="20.25" customHeight="1">
      <c r="A1005" s="32" t="str">
        <f>IMAGE("https://gymvisual.com/9607-catalog_default/cable-one-arm-lateral-raise-female.jpg",4,500,500)</f>
        <v/>
      </c>
      <c r="B1005" s="30">
        <v>1004.0</v>
      </c>
      <c r="C1005" s="16" t="s">
        <v>1504</v>
      </c>
      <c r="D1005" s="16" t="s">
        <v>184</v>
      </c>
      <c r="E1005" s="16" t="s">
        <v>228</v>
      </c>
      <c r="F1005" s="16" t="s">
        <v>215</v>
      </c>
      <c r="G1005" s="16" t="s">
        <v>544</v>
      </c>
      <c r="H1005" s="16" t="s">
        <v>545</v>
      </c>
    </row>
    <row r="1006" ht="20.25" customHeight="1">
      <c r="A1006" s="32" t="str">
        <f>IMAGE("https://gymvisual.com/7107-catalog_default/cable-one-arm-preacher-curl.jpg",4,500,500)</f>
        <v/>
      </c>
      <c r="B1006" s="30">
        <v>1005.0</v>
      </c>
      <c r="C1006" s="16" t="s">
        <v>1505</v>
      </c>
      <c r="D1006" s="16" t="s">
        <v>184</v>
      </c>
      <c r="E1006" s="16" t="s">
        <v>219</v>
      </c>
      <c r="F1006" s="16" t="s">
        <v>215</v>
      </c>
      <c r="G1006" s="16" t="s">
        <v>220</v>
      </c>
      <c r="H1006" s="16" t="s">
        <v>220</v>
      </c>
    </row>
    <row r="1007" ht="20.25" customHeight="1">
      <c r="A1007" s="32" t="str">
        <f>IMAGE("https://gymvisual.com/5956-catalog_default/cable-one-arm-press-on-exercise-ball.jpg",4,500,500)</f>
        <v/>
      </c>
      <c r="B1007" s="30">
        <v>1006.0</v>
      </c>
      <c r="C1007" s="16" t="s">
        <v>823</v>
      </c>
      <c r="D1007" s="16" t="s">
        <v>184</v>
      </c>
      <c r="E1007" s="16" t="s">
        <v>234</v>
      </c>
      <c r="F1007" s="16" t="s">
        <v>215</v>
      </c>
      <c r="G1007" s="16" t="s">
        <v>347</v>
      </c>
      <c r="H1007" s="16" t="s">
        <v>382</v>
      </c>
    </row>
    <row r="1008" ht="20.25" customHeight="1">
      <c r="A1008" s="32" t="str">
        <f>IMAGE("https://gymvisual.com/14153-catalog_default/cable-one-arm-pulldown.jpg",4,500,500)</f>
        <v/>
      </c>
      <c r="B1008" s="30">
        <v>1007.0</v>
      </c>
      <c r="C1008" s="16" t="s">
        <v>1506</v>
      </c>
      <c r="D1008" s="16" t="s">
        <v>184</v>
      </c>
      <c r="E1008" s="16" t="s">
        <v>192</v>
      </c>
      <c r="F1008" s="16" t="s">
        <v>215</v>
      </c>
      <c r="G1008" s="16" t="s">
        <v>300</v>
      </c>
      <c r="H1008" s="16" t="s">
        <v>1507</v>
      </c>
    </row>
    <row r="1009" ht="20.25" customHeight="1">
      <c r="A1009" s="32" t="str">
        <f>IMAGE("https://gymvisual.com/17945-catalog_default/cable-one-arm-reverse-fly-male.jpg",4,500,500)</f>
        <v/>
      </c>
      <c r="B1009" s="30">
        <v>1008.0</v>
      </c>
      <c r="C1009" s="16" t="s">
        <v>1508</v>
      </c>
      <c r="D1009" s="16" t="s">
        <v>184</v>
      </c>
      <c r="E1009" s="16" t="s">
        <v>228</v>
      </c>
      <c r="F1009" s="16" t="s">
        <v>215</v>
      </c>
      <c r="G1009" s="16" t="s">
        <v>220</v>
      </c>
      <c r="H1009" s="16" t="s">
        <v>220</v>
      </c>
    </row>
    <row r="1010" ht="20.25" customHeight="1">
      <c r="A1010" s="32" t="str">
        <f>IMAGE("https://gymvisual.com/7109-catalog_default/cable-one-arm-reverse-preacher-curl.jpg",4,500,500)</f>
        <v/>
      </c>
      <c r="B1010" s="30">
        <v>1009.0</v>
      </c>
      <c r="C1010" s="16" t="s">
        <v>1509</v>
      </c>
      <c r="D1010" s="16" t="s">
        <v>184</v>
      </c>
      <c r="E1010" s="16" t="s">
        <v>219</v>
      </c>
      <c r="F1010" s="16" t="s">
        <v>215</v>
      </c>
      <c r="G1010" s="16" t="s">
        <v>220</v>
      </c>
      <c r="H1010" s="16" t="s">
        <v>220</v>
      </c>
    </row>
    <row r="1011" ht="20.25" customHeight="1">
      <c r="A1011" s="32" t="str">
        <f>IMAGE("https://gymvisual.com/6954-catalog_default/cable-one-arm-side-triceps-pushdown.jpg",4,500,500)</f>
        <v/>
      </c>
      <c r="B1011" s="30">
        <v>1010.0</v>
      </c>
      <c r="C1011" s="16" t="s">
        <v>1510</v>
      </c>
      <c r="D1011" s="16" t="s">
        <v>184</v>
      </c>
      <c r="E1011" s="16" t="s">
        <v>219</v>
      </c>
      <c r="F1011" s="16" t="s">
        <v>215</v>
      </c>
      <c r="G1011" s="16" t="s">
        <v>223</v>
      </c>
      <c r="H1011" s="16" t="s">
        <v>220</v>
      </c>
    </row>
    <row r="1012" ht="20.25" customHeight="1">
      <c r="A1012" s="32" t="str">
        <f>IMAGE("https://gymvisual.com/601-catalog_default/cable-one-arm-straight-back-high-row-kneeling.jpg",4,500,500)</f>
        <v/>
      </c>
      <c r="B1012" s="30">
        <v>1011.0</v>
      </c>
      <c r="C1012" s="16" t="s">
        <v>1511</v>
      </c>
      <c r="D1012" s="16" t="s">
        <v>184</v>
      </c>
      <c r="E1012" s="16" t="s">
        <v>192</v>
      </c>
      <c r="F1012" s="16" t="s">
        <v>215</v>
      </c>
      <c r="G1012" s="16" t="s">
        <v>329</v>
      </c>
      <c r="H1012" s="16" t="s">
        <v>457</v>
      </c>
    </row>
    <row r="1013" ht="20.25" customHeight="1">
      <c r="A1013" s="32" t="str">
        <f>IMAGE("https://gymvisual.com/7442-catalog_default/cable-one-arm-tricep-pushdown.jpg",4,500,500)</f>
        <v/>
      </c>
      <c r="B1013" s="30">
        <v>1012.0</v>
      </c>
      <c r="C1013" s="16" t="s">
        <v>1512</v>
      </c>
      <c r="D1013" s="16" t="s">
        <v>184</v>
      </c>
      <c r="E1013" s="16" t="s">
        <v>219</v>
      </c>
      <c r="F1013" s="16" t="s">
        <v>215</v>
      </c>
      <c r="G1013" s="16" t="s">
        <v>223</v>
      </c>
      <c r="H1013" s="16" t="s">
        <v>220</v>
      </c>
    </row>
    <row r="1014" ht="20.25" customHeight="1">
      <c r="A1014" s="32" t="str">
        <f>IMAGE("https://gymvisual.com/4573-catalog_default/cable-one-arm-twisting-seated-row.jpg",4,500,500)</f>
        <v/>
      </c>
      <c r="B1014" s="30">
        <v>1013.0</v>
      </c>
      <c r="C1014" s="16" t="s">
        <v>1513</v>
      </c>
      <c r="D1014" s="16" t="s">
        <v>184</v>
      </c>
      <c r="E1014" s="16" t="s">
        <v>192</v>
      </c>
      <c r="F1014" s="16" t="s">
        <v>215</v>
      </c>
      <c r="G1014" s="16" t="s">
        <v>329</v>
      </c>
      <c r="H1014" s="16" t="s">
        <v>1514</v>
      </c>
    </row>
    <row r="1015" ht="20.25" customHeight="1">
      <c r="A1015" s="32" t="str">
        <f>IMAGE("https://gymvisual.com/14258-catalog_default/cable-one-arm-twisting-seated-row-female.jpg",4,500,500)</f>
        <v/>
      </c>
      <c r="B1015" s="30">
        <v>1014.0</v>
      </c>
      <c r="C1015" s="16" t="s">
        <v>1515</v>
      </c>
      <c r="D1015" s="16" t="s">
        <v>184</v>
      </c>
      <c r="E1015" s="16" t="s">
        <v>192</v>
      </c>
      <c r="F1015" s="16" t="s">
        <v>215</v>
      </c>
      <c r="G1015" s="16" t="s">
        <v>300</v>
      </c>
      <c r="H1015" s="16" t="s">
        <v>1516</v>
      </c>
    </row>
    <row r="1016" ht="20.25" customHeight="1">
      <c r="A1016" s="32" t="str">
        <f>IMAGE("https://gymvisual.com/17587-catalog_default/cable-one-arm-wrist-curl.jpg",4,500,500)</f>
        <v/>
      </c>
      <c r="B1016" s="30">
        <v>1015.0</v>
      </c>
      <c r="C1016" s="16" t="s">
        <v>1517</v>
      </c>
      <c r="D1016" s="16" t="s">
        <v>184</v>
      </c>
      <c r="E1016" s="16" t="s">
        <v>214</v>
      </c>
      <c r="F1016" s="16" t="s">
        <v>215</v>
      </c>
      <c r="G1016" s="16" t="s">
        <v>720</v>
      </c>
      <c r="H1016" s="16" t="s">
        <v>220</v>
      </c>
    </row>
    <row r="1017" ht="20.25" customHeight="1">
      <c r="A1017" s="32" t="str">
        <f>IMAGE("https://gymvisual.com/7110-catalog_default/cable-overhead-curl.jpg",4,500,500)</f>
        <v/>
      </c>
      <c r="B1017" s="30">
        <v>1016.0</v>
      </c>
      <c r="C1017" s="16" t="s">
        <v>1518</v>
      </c>
      <c r="D1017" s="16" t="s">
        <v>184</v>
      </c>
      <c r="E1017" s="16" t="s">
        <v>219</v>
      </c>
      <c r="F1017" s="16" t="s">
        <v>215</v>
      </c>
      <c r="G1017" s="16" t="s">
        <v>241</v>
      </c>
      <c r="H1017" s="16" t="s">
        <v>292</v>
      </c>
    </row>
    <row r="1018" ht="20.25" customHeight="1">
      <c r="A1018" s="32" t="str">
        <f>IMAGE("https://gymvisual.com/7111-catalog_default/cable-overhead-curl-on-exercise-ball.jpg",4,500,500)</f>
        <v/>
      </c>
      <c r="B1018" s="30">
        <v>1017.0</v>
      </c>
      <c r="C1018" s="16" t="s">
        <v>1519</v>
      </c>
      <c r="D1018" s="16" t="s">
        <v>184</v>
      </c>
      <c r="E1018" s="16" t="s">
        <v>219</v>
      </c>
      <c r="F1018" s="16" t="s">
        <v>215</v>
      </c>
      <c r="G1018" s="16" t="s">
        <v>220</v>
      </c>
      <c r="H1018" s="16" t="s">
        <v>220</v>
      </c>
    </row>
    <row r="1019" ht="20.25" customHeight="1">
      <c r="A1019" s="32" t="str">
        <f>IMAGE("https://gymvisual.com/20054-catalog_default/cable-overhead-single-arm-triceps-extension-rope-attachment.jpg",4,500,500)</f>
        <v/>
      </c>
      <c r="B1019" s="30">
        <v>1018.0</v>
      </c>
      <c r="C1019" s="16" t="s">
        <v>1520</v>
      </c>
      <c r="D1019" s="16" t="s">
        <v>184</v>
      </c>
      <c r="E1019" s="16" t="s">
        <v>219</v>
      </c>
      <c r="F1019" s="16" t="s">
        <v>215</v>
      </c>
      <c r="G1019" s="16" t="s">
        <v>223</v>
      </c>
      <c r="H1019" s="16" t="s">
        <v>220</v>
      </c>
    </row>
    <row r="1020" ht="20.25" customHeight="1">
      <c r="A1020" s="32" t="str">
        <f>IMAGE("https://gymvisual.com/17931-catalog_default/cable-overhead-tricep-extension-straight-bar-male.jpg",4,500,500)</f>
        <v/>
      </c>
      <c r="B1020" s="30">
        <v>1019.0</v>
      </c>
      <c r="C1020" s="16" t="s">
        <v>1521</v>
      </c>
      <c r="D1020" s="16" t="s">
        <v>184</v>
      </c>
      <c r="E1020" s="16" t="s">
        <v>219</v>
      </c>
      <c r="F1020" s="16" t="s">
        <v>215</v>
      </c>
      <c r="G1020" s="16" t="s">
        <v>220</v>
      </c>
      <c r="H1020" s="16" t="s">
        <v>220</v>
      </c>
    </row>
    <row r="1021" ht="20.25" customHeight="1">
      <c r="A1021" s="32" t="str">
        <f>IMAGE("https://gymvisual.com/604-catalog_default/cable-overhead-triceps-extension-rope-attachment.jpg",4,500,500)</f>
        <v/>
      </c>
      <c r="B1021" s="30">
        <v>1020.0</v>
      </c>
      <c r="C1021" s="16" t="s">
        <v>225</v>
      </c>
      <c r="D1021" s="16" t="s">
        <v>184</v>
      </c>
      <c r="E1021" s="16" t="s">
        <v>219</v>
      </c>
      <c r="F1021" s="16" t="s">
        <v>215</v>
      </c>
      <c r="G1021" s="16" t="s">
        <v>223</v>
      </c>
      <c r="H1021" s="16" t="s">
        <v>220</v>
      </c>
    </row>
    <row r="1022" ht="20.25" customHeight="1">
      <c r="A1022" s="32" t="str">
        <f>IMAGE("https://gymvisual.com/9658-catalog_default/cable-overhead-triceps-extension-rope-attachment-female.jpg",4,500,500)</f>
        <v/>
      </c>
      <c r="B1022" s="30">
        <v>1021.0</v>
      </c>
      <c r="C1022" s="16" t="s">
        <v>1522</v>
      </c>
      <c r="D1022" s="16" t="s">
        <v>184</v>
      </c>
      <c r="E1022" s="16" t="s">
        <v>219</v>
      </c>
      <c r="F1022" s="16" t="s">
        <v>215</v>
      </c>
      <c r="G1022" s="16" t="s">
        <v>223</v>
      </c>
      <c r="H1022" s="16" t="s">
        <v>220</v>
      </c>
    </row>
    <row r="1023" ht="20.25" customHeight="1">
      <c r="A1023" s="32" t="str">
        <f>IMAGE("https://gymvisual.com/18029-catalog_default/cable-pallof-press-with-glute-bridge.jpg",4,500,500)</f>
        <v/>
      </c>
      <c r="B1023" s="30">
        <v>1022.0</v>
      </c>
      <c r="C1023" s="16" t="s">
        <v>224</v>
      </c>
      <c r="D1023" s="16" t="s">
        <v>184</v>
      </c>
      <c r="E1023" s="16" t="s">
        <v>254</v>
      </c>
      <c r="F1023" s="16" t="s">
        <v>215</v>
      </c>
      <c r="G1023" s="16" t="s">
        <v>220</v>
      </c>
      <c r="H1023" s="16" t="s">
        <v>220</v>
      </c>
    </row>
    <row r="1024" ht="20.25" customHeight="1">
      <c r="A1024" s="32" t="str">
        <f>IMAGE("https://gymvisual.com/6010-catalog_default/cable-palm-rotational-row.jpg",4,500,500)</f>
        <v/>
      </c>
      <c r="B1024" s="30">
        <v>1023.0</v>
      </c>
      <c r="C1024" s="16" t="s">
        <v>1523</v>
      </c>
      <c r="D1024" s="16" t="s">
        <v>184</v>
      </c>
      <c r="E1024" s="16" t="s">
        <v>192</v>
      </c>
      <c r="F1024" s="16" t="s">
        <v>215</v>
      </c>
      <c r="G1024" s="16" t="s">
        <v>329</v>
      </c>
      <c r="H1024" s="16" t="s">
        <v>457</v>
      </c>
    </row>
    <row r="1025" ht="20.25" customHeight="1">
      <c r="A1025" s="32" t="str">
        <f>IMAGE("https://gymvisual.com/13669-catalog_default/cable-parallel-grip-lat-pulldown-on-floor.jpg",4,500,500)</f>
        <v/>
      </c>
      <c r="B1025" s="30">
        <v>1024.0</v>
      </c>
      <c r="C1025" s="16" t="s">
        <v>1524</v>
      </c>
      <c r="D1025" s="16" t="s">
        <v>184</v>
      </c>
      <c r="E1025" s="16" t="s">
        <v>192</v>
      </c>
      <c r="F1025" s="16" t="s">
        <v>215</v>
      </c>
      <c r="G1025" s="16" t="s">
        <v>300</v>
      </c>
      <c r="H1025" s="16" t="s">
        <v>220</v>
      </c>
    </row>
    <row r="1026" ht="20.25" customHeight="1">
      <c r="A1026" s="32" t="str">
        <f>IMAGE("https://gymvisual.com/607-catalog_default/cable-preacher-curl.jpg",4,500,500)</f>
        <v/>
      </c>
      <c r="B1026" s="30">
        <v>1025.0</v>
      </c>
      <c r="C1026" s="16" t="s">
        <v>1525</v>
      </c>
      <c r="D1026" s="16" t="s">
        <v>184</v>
      </c>
      <c r="E1026" s="16" t="s">
        <v>219</v>
      </c>
      <c r="F1026" s="16" t="s">
        <v>215</v>
      </c>
      <c r="G1026" s="16" t="s">
        <v>232</v>
      </c>
      <c r="H1026" s="16" t="s">
        <v>233</v>
      </c>
    </row>
    <row r="1027" ht="20.25" customHeight="1">
      <c r="A1027" s="32" t="str">
        <f>IMAGE("https://gymvisual.com/5957-catalog_default/cable-press-on-exercise-ball.jpg",4,500,500)</f>
        <v/>
      </c>
      <c r="B1027" s="30">
        <v>1026.0</v>
      </c>
      <c r="C1027" s="16" t="s">
        <v>823</v>
      </c>
      <c r="D1027" s="16" t="s">
        <v>184</v>
      </c>
      <c r="E1027" s="16" t="s">
        <v>234</v>
      </c>
      <c r="F1027" s="16" t="s">
        <v>215</v>
      </c>
      <c r="G1027" s="16" t="s">
        <v>347</v>
      </c>
      <c r="H1027" s="16" t="s">
        <v>382</v>
      </c>
    </row>
    <row r="1028" ht="20.25" customHeight="1">
      <c r="A1028" s="32" t="str">
        <f>IMAGE("https://gymvisual.com/4574-catalog_default/cable-pull-through.jpg",4,500,500)</f>
        <v/>
      </c>
      <c r="B1028" s="30">
        <v>1027.0</v>
      </c>
      <c r="C1028" s="16" t="s">
        <v>226</v>
      </c>
      <c r="D1028" s="16" t="s">
        <v>184</v>
      </c>
      <c r="E1028" s="16" t="s">
        <v>185</v>
      </c>
      <c r="F1028" s="16" t="s">
        <v>215</v>
      </c>
      <c r="G1028" s="16" t="s">
        <v>187</v>
      </c>
      <c r="H1028" s="16" t="s">
        <v>227</v>
      </c>
    </row>
    <row r="1029" ht="20.25" customHeight="1">
      <c r="A1029" s="32" t="str">
        <f>IMAGE("https://gymvisual.com/2583-catalog_default/cable-pull-through-with-rope.jpg",4,500,500)</f>
        <v/>
      </c>
      <c r="B1029" s="30">
        <v>1028.0</v>
      </c>
      <c r="C1029" s="16" t="s">
        <v>1526</v>
      </c>
      <c r="D1029" s="16" t="s">
        <v>184</v>
      </c>
      <c r="E1029" s="16" t="s">
        <v>185</v>
      </c>
      <c r="F1029" s="16" t="s">
        <v>215</v>
      </c>
      <c r="G1029" s="16" t="s">
        <v>187</v>
      </c>
      <c r="H1029" s="16" t="s">
        <v>227</v>
      </c>
    </row>
    <row r="1030" ht="20.25" customHeight="1">
      <c r="A1030" s="32" t="str">
        <f>IMAGE("https://gymvisual.com/616-catalog_default/cable-pulldown.jpg",4,500,500)</f>
        <v/>
      </c>
      <c r="B1030" s="30">
        <v>1029.0</v>
      </c>
      <c r="C1030" s="16" t="s">
        <v>1527</v>
      </c>
      <c r="D1030" s="16" t="s">
        <v>184</v>
      </c>
      <c r="E1030" s="16" t="s">
        <v>192</v>
      </c>
      <c r="F1030" s="16" t="s">
        <v>215</v>
      </c>
      <c r="G1030" s="16" t="s">
        <v>300</v>
      </c>
      <c r="H1030" s="16" t="s">
        <v>387</v>
      </c>
    </row>
    <row r="1031" ht="20.25" customHeight="1">
      <c r="A1031" s="32" t="str">
        <f>IMAGE("https://gymvisual.com/9643-catalog_default/cable-pulldown-female.jpg",4,500,500)</f>
        <v/>
      </c>
      <c r="B1031" s="30">
        <v>1030.0</v>
      </c>
      <c r="C1031" s="16" t="s">
        <v>1528</v>
      </c>
      <c r="D1031" s="16" t="s">
        <v>184</v>
      </c>
      <c r="E1031" s="16" t="s">
        <v>192</v>
      </c>
      <c r="F1031" s="16" t="s">
        <v>215</v>
      </c>
      <c r="G1031" s="16" t="s">
        <v>220</v>
      </c>
      <c r="H1031" s="16" t="s">
        <v>220</v>
      </c>
    </row>
    <row r="1032" ht="20.25" customHeight="1">
      <c r="A1032" s="32" t="str">
        <f>IMAGE("https://gymvisual.com/7112-catalog_default/cable-pulldown-bicep-curl.jpg",4,500,500)</f>
        <v/>
      </c>
      <c r="B1032" s="30">
        <v>1031.0</v>
      </c>
      <c r="C1032" s="16" t="s">
        <v>1529</v>
      </c>
      <c r="D1032" s="16" t="s">
        <v>184</v>
      </c>
      <c r="E1032" s="16" t="s">
        <v>219</v>
      </c>
      <c r="F1032" s="16" t="s">
        <v>215</v>
      </c>
      <c r="G1032" s="16" t="s">
        <v>220</v>
      </c>
      <c r="H1032" s="16" t="s">
        <v>220</v>
      </c>
    </row>
    <row r="1033" ht="20.25" customHeight="1">
      <c r="A1033" s="32" t="str">
        <f>IMAGE("https://gymvisual.com/13383-catalog_default/cable-pulldown-bicep-curl-female.jpg",4,500,500)</f>
        <v/>
      </c>
      <c r="B1033" s="30">
        <v>1032.0</v>
      </c>
      <c r="C1033" s="16" t="s">
        <v>1530</v>
      </c>
      <c r="D1033" s="16" t="s">
        <v>184</v>
      </c>
      <c r="E1033" s="16" t="s">
        <v>219</v>
      </c>
      <c r="F1033" s="16" t="s">
        <v>215</v>
      </c>
      <c r="G1033" s="16" t="s">
        <v>220</v>
      </c>
      <c r="H1033" s="16" t="s">
        <v>220</v>
      </c>
    </row>
    <row r="1034" ht="20.25" customHeight="1">
      <c r="A1034" s="32" t="str">
        <f>IMAGE("https://gymvisual.com/625-catalog_default/cable-pushdown.jpg",4,500,500)</f>
        <v/>
      </c>
      <c r="B1034" s="30">
        <v>1033.0</v>
      </c>
      <c r="C1034" s="16" t="s">
        <v>1531</v>
      </c>
      <c r="D1034" s="16" t="s">
        <v>184</v>
      </c>
      <c r="E1034" s="16" t="s">
        <v>219</v>
      </c>
      <c r="F1034" s="16" t="s">
        <v>215</v>
      </c>
      <c r="G1034" s="16" t="s">
        <v>223</v>
      </c>
      <c r="H1034" s="16" t="s">
        <v>220</v>
      </c>
    </row>
    <row r="1035" ht="20.25" customHeight="1">
      <c r="A1035" s="32" t="str">
        <f>IMAGE("https://gymvisual.com/619-catalog_default/cable-pushdown-straight-arm-version-2.jpg",4,500,500)</f>
        <v/>
      </c>
      <c r="B1035" s="30">
        <v>1034.0</v>
      </c>
      <c r="C1035" s="16" t="s">
        <v>1532</v>
      </c>
      <c r="D1035" s="16" t="s">
        <v>184</v>
      </c>
      <c r="E1035" s="16" t="s">
        <v>192</v>
      </c>
      <c r="F1035" s="16" t="s">
        <v>215</v>
      </c>
      <c r="G1035" s="16" t="s">
        <v>300</v>
      </c>
      <c r="H1035" s="16" t="s">
        <v>1533</v>
      </c>
    </row>
    <row r="1036" ht="20.25" customHeight="1">
      <c r="A1036" s="32" t="str">
        <f>IMAGE("https://gymvisual.com/622-catalog_default/cable-pushdown-with-rope-attachment.jpg",4,500,500)</f>
        <v/>
      </c>
      <c r="B1036" s="30">
        <v>1035.0</v>
      </c>
      <c r="C1036" s="16" t="s">
        <v>1534</v>
      </c>
      <c r="D1036" s="16" t="s">
        <v>184</v>
      </c>
      <c r="E1036" s="16" t="s">
        <v>219</v>
      </c>
      <c r="F1036" s="16" t="s">
        <v>215</v>
      </c>
      <c r="G1036" s="16" t="s">
        <v>223</v>
      </c>
      <c r="H1036" s="16" t="s">
        <v>220</v>
      </c>
    </row>
    <row r="1037" ht="20.25" customHeight="1">
      <c r="A1037" s="32" t="str">
        <f>IMAGE("https://gymvisual.com/10939-catalog_default/cable-pushdown-with-rope-attachment-female.jpg",4,500,500)</f>
        <v/>
      </c>
      <c r="B1037" s="30">
        <v>1036.0</v>
      </c>
      <c r="C1037" s="16" t="s">
        <v>1535</v>
      </c>
      <c r="D1037" s="16" t="s">
        <v>184</v>
      </c>
      <c r="E1037" s="16" t="s">
        <v>219</v>
      </c>
      <c r="F1037" s="16" t="s">
        <v>215</v>
      </c>
      <c r="G1037" s="16" t="s">
        <v>223</v>
      </c>
      <c r="H1037" s="16" t="s">
        <v>220</v>
      </c>
    </row>
    <row r="1038" ht="20.25" customHeight="1">
      <c r="A1038" s="32" t="str">
        <f>IMAGE("https://gymvisual.com/17775-catalog_default/cable-rear-delt-row.jpg",4,500,500)</f>
        <v/>
      </c>
      <c r="B1038" s="30">
        <v>1037.0</v>
      </c>
      <c r="C1038" s="16" t="s">
        <v>1536</v>
      </c>
      <c r="D1038" s="16" t="s">
        <v>184</v>
      </c>
      <c r="E1038" s="16" t="s">
        <v>228</v>
      </c>
      <c r="F1038" s="16" t="s">
        <v>215</v>
      </c>
      <c r="G1038" s="16" t="s">
        <v>220</v>
      </c>
      <c r="H1038" s="16" t="s">
        <v>220</v>
      </c>
    </row>
    <row r="1039" ht="20.25" customHeight="1">
      <c r="A1039" s="32" t="str">
        <f>IMAGE("https://gymvisual.com/628-catalog_default/cable-rear-delt-row-stirrups.jpg",4,500,500)</f>
        <v/>
      </c>
      <c r="B1039" s="30">
        <v>1038.0</v>
      </c>
      <c r="C1039" s="16" t="s">
        <v>1537</v>
      </c>
      <c r="D1039" s="16" t="s">
        <v>184</v>
      </c>
      <c r="E1039" s="16" t="s">
        <v>228</v>
      </c>
      <c r="F1039" s="16" t="s">
        <v>215</v>
      </c>
      <c r="G1039" s="16" t="s">
        <v>408</v>
      </c>
      <c r="H1039" s="16" t="s">
        <v>490</v>
      </c>
    </row>
    <row r="1040" ht="20.25" customHeight="1">
      <c r="A1040" s="32" t="str">
        <f>IMAGE("https://gymvisual.com/13385-catalog_default/cable-rear-delt-row-stirrups-female.jpg",4,500,500)</f>
        <v/>
      </c>
      <c r="B1040" s="30">
        <v>1039.0</v>
      </c>
      <c r="C1040" s="16" t="s">
        <v>1538</v>
      </c>
      <c r="D1040" s="16" t="s">
        <v>184</v>
      </c>
      <c r="E1040" s="16" t="s">
        <v>228</v>
      </c>
      <c r="F1040" s="16" t="s">
        <v>215</v>
      </c>
      <c r="G1040" s="16" t="s">
        <v>220</v>
      </c>
      <c r="H1040" s="16" t="s">
        <v>220</v>
      </c>
    </row>
    <row r="1041" ht="20.25" customHeight="1">
      <c r="A1041" s="32" t="str">
        <f>IMAGE("https://gymvisual.com/631-catalog_default/cable-rear-delt-row-with-rope.jpg",4,500,500)</f>
        <v/>
      </c>
      <c r="B1041" s="30">
        <v>1040.0</v>
      </c>
      <c r="C1041" s="16" t="s">
        <v>1539</v>
      </c>
      <c r="D1041" s="16" t="s">
        <v>184</v>
      </c>
      <c r="E1041" s="16" t="s">
        <v>228</v>
      </c>
      <c r="F1041" s="16" t="s">
        <v>215</v>
      </c>
      <c r="G1041" s="16" t="s">
        <v>408</v>
      </c>
      <c r="H1041" s="16" t="s">
        <v>490</v>
      </c>
    </row>
    <row r="1042" ht="20.25" customHeight="1">
      <c r="A1042" s="32" t="str">
        <f>IMAGE("https://gymvisual.com/634-catalog_default/cable-rear-drive.jpg",4,500,500)</f>
        <v/>
      </c>
      <c r="B1042" s="30">
        <v>1041.0</v>
      </c>
      <c r="C1042" s="16" t="s">
        <v>1540</v>
      </c>
      <c r="D1042" s="16" t="s">
        <v>184</v>
      </c>
      <c r="E1042" s="16" t="s">
        <v>219</v>
      </c>
      <c r="F1042" s="16" t="s">
        <v>215</v>
      </c>
      <c r="G1042" s="16" t="s">
        <v>223</v>
      </c>
      <c r="H1042" s="16" t="s">
        <v>1541</v>
      </c>
    </row>
    <row r="1043" ht="20.25" customHeight="1">
      <c r="A1043" s="32" t="str">
        <f>IMAGE("https://gymvisual.com/13387-catalog_default/cable-rear-drive-female.jpg",4,500,500)</f>
        <v/>
      </c>
      <c r="B1043" s="30">
        <v>1042.0</v>
      </c>
      <c r="C1043" s="16" t="s">
        <v>1542</v>
      </c>
      <c r="D1043" s="16" t="s">
        <v>184</v>
      </c>
      <c r="E1043" s="16" t="s">
        <v>219</v>
      </c>
      <c r="F1043" s="16" t="s">
        <v>215</v>
      </c>
      <c r="G1043" s="16" t="s">
        <v>220</v>
      </c>
      <c r="H1043" s="16" t="s">
        <v>220</v>
      </c>
    </row>
    <row r="1044" ht="20.25" customHeight="1">
      <c r="A1044" s="32" t="str">
        <f>IMAGE("https://gymvisual.com/11998-catalog_default/cable-rear-lunge-from-stepbox.jpg",4,500,500)</f>
        <v/>
      </c>
      <c r="B1044" s="30">
        <v>1043.0</v>
      </c>
      <c r="C1044" s="16" t="s">
        <v>1543</v>
      </c>
      <c r="D1044" s="16" t="s">
        <v>184</v>
      </c>
      <c r="E1044" s="16" t="s">
        <v>285</v>
      </c>
      <c r="F1044" s="16" t="s">
        <v>215</v>
      </c>
      <c r="G1044" s="16" t="s">
        <v>220</v>
      </c>
      <c r="H1044" s="16" t="s">
        <v>220</v>
      </c>
    </row>
    <row r="1045" ht="20.25" customHeight="1">
      <c r="A1045" s="32" t="str">
        <f>IMAGE("https://gymvisual.com/637-catalog_default/cable-rear-pulldown.jpg",4,500,500)</f>
        <v/>
      </c>
      <c r="B1045" s="30">
        <v>1044.0</v>
      </c>
      <c r="C1045" s="16" t="s">
        <v>1544</v>
      </c>
      <c r="D1045" s="16" t="s">
        <v>184</v>
      </c>
      <c r="E1045" s="16" t="s">
        <v>192</v>
      </c>
      <c r="F1045" s="16" t="s">
        <v>215</v>
      </c>
      <c r="G1045" s="16" t="s">
        <v>300</v>
      </c>
      <c r="H1045" s="16" t="s">
        <v>1545</v>
      </c>
    </row>
    <row r="1046" ht="20.25" customHeight="1">
      <c r="A1046" s="32" t="str">
        <f>IMAGE("https://gymvisual.com/2657-catalog_default/cable-reverse-crunch.jpg",4,500,500)</f>
        <v/>
      </c>
      <c r="B1046" s="30">
        <v>1045.0</v>
      </c>
      <c r="C1046" s="16" t="s">
        <v>1546</v>
      </c>
      <c r="D1046" s="16" t="s">
        <v>184</v>
      </c>
      <c r="E1046" s="16" t="s">
        <v>254</v>
      </c>
      <c r="F1046" s="16" t="s">
        <v>215</v>
      </c>
      <c r="G1046" s="16" t="s">
        <v>256</v>
      </c>
      <c r="H1046" s="16" t="s">
        <v>257</v>
      </c>
    </row>
    <row r="1047" ht="20.25" customHeight="1">
      <c r="A1047" s="32" t="str">
        <f>IMAGE("https://gymvisual.com/11480-catalog_default/cable-reverse-crunch-female.jpg",4,500,500)</f>
        <v/>
      </c>
      <c r="B1047" s="30">
        <v>1046.0</v>
      </c>
      <c r="C1047" s="16" t="s">
        <v>1547</v>
      </c>
      <c r="D1047" s="16" t="s">
        <v>184</v>
      </c>
      <c r="E1047" s="16" t="s">
        <v>254</v>
      </c>
      <c r="F1047" s="16" t="s">
        <v>215</v>
      </c>
      <c r="G1047" s="16" t="s">
        <v>220</v>
      </c>
      <c r="H1047" s="16" t="s">
        <v>220</v>
      </c>
    </row>
    <row r="1048" ht="20.25" customHeight="1">
      <c r="A1048" s="32" t="str">
        <f>IMAGE("https://gymvisual.com/640-catalog_default/cable-reverse-curl.jpg",4,500,500)</f>
        <v/>
      </c>
      <c r="B1048" s="30">
        <v>1047.0</v>
      </c>
      <c r="C1048" s="16" t="s">
        <v>1548</v>
      </c>
      <c r="D1048" s="16" t="s">
        <v>184</v>
      </c>
      <c r="E1048" s="16" t="s">
        <v>214</v>
      </c>
      <c r="F1048" s="16" t="s">
        <v>215</v>
      </c>
      <c r="G1048" s="16" t="s">
        <v>216</v>
      </c>
      <c r="H1048" s="16" t="s">
        <v>217</v>
      </c>
    </row>
    <row r="1049" ht="20.25" customHeight="1">
      <c r="A1049" s="32" t="str">
        <f>IMAGE("https://gymvisual.com/6952-catalog_default/cable-reverse-grip-biceps-curl-sz-bar.jpg",4,500,500)</f>
        <v/>
      </c>
      <c r="B1049" s="30">
        <v>1048.0</v>
      </c>
      <c r="C1049" s="16" t="s">
        <v>1549</v>
      </c>
      <c r="D1049" s="16" t="s">
        <v>184</v>
      </c>
      <c r="E1049" s="16" t="s">
        <v>219</v>
      </c>
      <c r="F1049" s="16" t="s">
        <v>215</v>
      </c>
      <c r="G1049" s="16" t="s">
        <v>220</v>
      </c>
      <c r="H1049" s="16" t="s">
        <v>220</v>
      </c>
    </row>
    <row r="1050" ht="20.25" customHeight="1">
      <c r="A1050" s="32" t="str">
        <f>IMAGE("https://gymvisual.com/21022-catalog_default/cable-reverse-grip-pulldown.jpg",4,500,500)</f>
        <v/>
      </c>
      <c r="B1050" s="30">
        <v>1049.0</v>
      </c>
      <c r="C1050" s="16" t="s">
        <v>1550</v>
      </c>
      <c r="D1050" s="16" t="s">
        <v>184</v>
      </c>
      <c r="E1050" s="16" t="s">
        <v>192</v>
      </c>
      <c r="F1050" s="16" t="s">
        <v>215</v>
      </c>
      <c r="G1050" s="16" t="s">
        <v>220</v>
      </c>
      <c r="H1050" s="16" t="s">
        <v>220</v>
      </c>
    </row>
    <row r="1051" ht="20.25" customHeight="1">
      <c r="A1051" s="32" t="str">
        <f>IMAGE("https://gymvisual.com/11047-catalog_default/cable-reverse-grip-pulldown-female.jpg",4,500,500)</f>
        <v/>
      </c>
      <c r="B1051" s="30">
        <v>1050.0</v>
      </c>
      <c r="C1051" s="16" t="s">
        <v>1551</v>
      </c>
      <c r="D1051" s="16" t="s">
        <v>184</v>
      </c>
      <c r="E1051" s="16" t="s">
        <v>192</v>
      </c>
      <c r="F1051" s="16" t="s">
        <v>215</v>
      </c>
      <c r="G1051" s="16" t="s">
        <v>329</v>
      </c>
      <c r="H1051" s="16" t="s">
        <v>447</v>
      </c>
    </row>
    <row r="1052" ht="20.25" customHeight="1">
      <c r="A1052" s="32" t="str">
        <f>IMAGE("https://gymvisual.com/11131-catalog_default/cable-reverse-grip-pushdown-female.jpg",4,500,500)</f>
        <v/>
      </c>
      <c r="B1052" s="30">
        <v>1051.0</v>
      </c>
      <c r="C1052" s="16" t="s">
        <v>1552</v>
      </c>
      <c r="D1052" s="16" t="s">
        <v>184</v>
      </c>
      <c r="E1052" s="16" t="s">
        <v>219</v>
      </c>
      <c r="F1052" s="16" t="s">
        <v>215</v>
      </c>
      <c r="G1052" s="16" t="s">
        <v>223</v>
      </c>
      <c r="H1052" s="16" t="s">
        <v>220</v>
      </c>
    </row>
    <row r="1053" ht="20.25" customHeight="1">
      <c r="A1053" s="32" t="str">
        <f>IMAGE("https://gymvisual.com/6948-catalog_default/cable-reverse-grip-triceps-pushdown-sz-bar.jpg",4,500,500)</f>
        <v/>
      </c>
      <c r="B1053" s="30">
        <v>1052.0</v>
      </c>
      <c r="C1053" s="16" t="s">
        <v>1553</v>
      </c>
      <c r="D1053" s="16" t="s">
        <v>184</v>
      </c>
      <c r="E1053" s="16" t="s">
        <v>219</v>
      </c>
      <c r="F1053" s="16" t="s">
        <v>215</v>
      </c>
      <c r="G1053" s="16" t="s">
        <v>223</v>
      </c>
      <c r="H1053" s="16" t="s">
        <v>220</v>
      </c>
    </row>
    <row r="1054" ht="20.25" customHeight="1">
      <c r="A1054" s="32" t="str">
        <f>IMAGE("https://gymvisual.com/10459-catalog_default/cable-reverse-grip-triceps-pushdown-sz-bar-with-arm-blaster.jpg",4,500,500)</f>
        <v/>
      </c>
      <c r="B1054" s="30">
        <v>1053.0</v>
      </c>
      <c r="C1054" s="16" t="s">
        <v>1554</v>
      </c>
      <c r="D1054" s="16" t="s">
        <v>184</v>
      </c>
      <c r="E1054" s="16" t="s">
        <v>219</v>
      </c>
      <c r="F1054" s="16" t="s">
        <v>215</v>
      </c>
      <c r="G1054" s="16" t="s">
        <v>223</v>
      </c>
      <c r="H1054" s="16" t="s">
        <v>220</v>
      </c>
    </row>
    <row r="1055" ht="20.25" customHeight="1">
      <c r="A1055" s="32" t="str">
        <f>IMAGE("https://gymvisual.com/6265-catalog_default/cable-reverse-one-arm-curl.jpg",4,500,500)</f>
        <v/>
      </c>
      <c r="B1055" s="30">
        <v>1054.0</v>
      </c>
      <c r="C1055" s="16" t="s">
        <v>1555</v>
      </c>
      <c r="D1055" s="16" t="s">
        <v>184</v>
      </c>
      <c r="E1055" s="16" t="s">
        <v>214</v>
      </c>
      <c r="F1055" s="16" t="s">
        <v>215</v>
      </c>
      <c r="G1055" s="16" t="s">
        <v>216</v>
      </c>
      <c r="H1055" s="16" t="s">
        <v>217</v>
      </c>
    </row>
    <row r="1056" ht="20.25" customHeight="1">
      <c r="A1056" s="32" t="str">
        <f>IMAGE("https://gymvisual.com/11582-catalog_default/cable-reverse-one-arm-curl-female.jpg",4,500,500)</f>
        <v/>
      </c>
      <c r="B1056" s="30">
        <v>1055.0</v>
      </c>
      <c r="C1056" s="16" t="s">
        <v>1556</v>
      </c>
      <c r="D1056" s="16" t="s">
        <v>184</v>
      </c>
      <c r="E1056" s="16" t="s">
        <v>219</v>
      </c>
      <c r="F1056" s="16" t="s">
        <v>215</v>
      </c>
      <c r="G1056" s="16" t="s">
        <v>220</v>
      </c>
      <c r="H1056" s="16" t="s">
        <v>220</v>
      </c>
    </row>
    <row r="1057" ht="20.25" customHeight="1">
      <c r="A1057" s="32" t="str">
        <f>IMAGE("https://gymvisual.com/25838-catalog_default/cable-reverse-preacher-curl.jpg",4,500,500)</f>
        <v/>
      </c>
      <c r="B1057" s="30">
        <v>1056.0</v>
      </c>
      <c r="C1057" s="16" t="s">
        <v>1557</v>
      </c>
      <c r="D1057" s="16" t="s">
        <v>184</v>
      </c>
      <c r="E1057" s="16" t="s">
        <v>214</v>
      </c>
      <c r="F1057" s="16" t="s">
        <v>215</v>
      </c>
      <c r="G1057" s="16" t="s">
        <v>216</v>
      </c>
      <c r="H1057" s="16" t="s">
        <v>217</v>
      </c>
    </row>
    <row r="1058" ht="20.25" customHeight="1">
      <c r="A1058" s="32" t="str">
        <f>IMAGE("https://gymvisual.com/652-catalog_default/cable-reverse-wrist-curl.jpg",4,500,500)</f>
        <v/>
      </c>
      <c r="B1058" s="30">
        <v>1057.0</v>
      </c>
      <c r="C1058" s="16" t="s">
        <v>1558</v>
      </c>
      <c r="D1058" s="16" t="s">
        <v>184</v>
      </c>
      <c r="E1058" s="16" t="s">
        <v>214</v>
      </c>
      <c r="F1058" s="16" t="s">
        <v>215</v>
      </c>
      <c r="G1058" s="16" t="s">
        <v>604</v>
      </c>
      <c r="H1058" s="16" t="s">
        <v>220</v>
      </c>
    </row>
    <row r="1059" ht="20.25" customHeight="1">
      <c r="A1059" s="32" t="str">
        <f>IMAGE("https://gymvisual.com/24784-catalog_default/cable-reverse-grip-pushdown.jpg",4,500,500)</f>
        <v/>
      </c>
      <c r="B1059" s="30">
        <v>1058.0</v>
      </c>
      <c r="C1059" s="16" t="s">
        <v>1559</v>
      </c>
      <c r="D1059" s="16" t="s">
        <v>184</v>
      </c>
      <c r="E1059" s="16" t="s">
        <v>219</v>
      </c>
      <c r="F1059" s="16" t="s">
        <v>215</v>
      </c>
      <c r="G1059" s="16" t="s">
        <v>223</v>
      </c>
      <c r="H1059" s="16" t="s">
        <v>220</v>
      </c>
    </row>
    <row r="1060" ht="20.25" customHeight="1">
      <c r="A1060" s="32" t="str">
        <f>IMAGE("https://gymvisual.com/15641-catalog_default/cable-reverse-grip-straight-back-seated-high-row.jpg",4,500,500)</f>
        <v/>
      </c>
      <c r="B1060" s="30">
        <v>1059.0</v>
      </c>
      <c r="C1060" s="16" t="s">
        <v>1560</v>
      </c>
      <c r="D1060" s="16" t="s">
        <v>184</v>
      </c>
      <c r="E1060" s="16" t="s">
        <v>192</v>
      </c>
      <c r="F1060" s="16" t="s">
        <v>215</v>
      </c>
      <c r="G1060" s="16" t="s">
        <v>329</v>
      </c>
      <c r="H1060" s="16" t="s">
        <v>447</v>
      </c>
    </row>
    <row r="1061" ht="20.25" customHeight="1">
      <c r="A1061" s="32" t="str">
        <f>IMAGE("https://gymvisual.com/6011-catalog_default/cable-rope-crossover-seated-row.jpg",4,500,500)</f>
        <v/>
      </c>
      <c r="B1061" s="30">
        <v>1060.0</v>
      </c>
      <c r="C1061" s="16" t="s">
        <v>1561</v>
      </c>
      <c r="D1061" s="16" t="s">
        <v>184</v>
      </c>
      <c r="E1061" s="16" t="s">
        <v>192</v>
      </c>
      <c r="F1061" s="16" t="s">
        <v>215</v>
      </c>
      <c r="G1061" s="16" t="s">
        <v>404</v>
      </c>
      <c r="H1061" s="16" t="s">
        <v>457</v>
      </c>
    </row>
    <row r="1062" ht="20.25" customHeight="1">
      <c r="A1062" s="32" t="str">
        <f>IMAGE("https://gymvisual.com/6012-catalog_default/cable-rope-elevated-seated-row.jpg",4,500,500)</f>
        <v/>
      </c>
      <c r="B1062" s="30">
        <v>1061.0</v>
      </c>
      <c r="C1062" s="16" t="s">
        <v>1562</v>
      </c>
      <c r="D1062" s="16" t="s">
        <v>184</v>
      </c>
      <c r="E1062" s="16" t="s">
        <v>192</v>
      </c>
      <c r="F1062" s="16" t="s">
        <v>215</v>
      </c>
      <c r="G1062" s="16" t="s">
        <v>329</v>
      </c>
      <c r="H1062" s="16" t="s">
        <v>457</v>
      </c>
    </row>
    <row r="1063" ht="20.25" customHeight="1">
      <c r="A1063" s="32" t="str">
        <f>IMAGE("https://gymvisual.com/6013-catalog_default/cable-rope-extension-incline-bench-row.jpg",4,500,500)</f>
        <v/>
      </c>
      <c r="B1063" s="30">
        <v>1062.0</v>
      </c>
      <c r="C1063" s="16" t="s">
        <v>1563</v>
      </c>
      <c r="D1063" s="16" t="s">
        <v>184</v>
      </c>
      <c r="E1063" s="16" t="s">
        <v>192</v>
      </c>
      <c r="F1063" s="16" t="s">
        <v>215</v>
      </c>
      <c r="G1063" s="16" t="s">
        <v>570</v>
      </c>
      <c r="H1063" s="16" t="s">
        <v>457</v>
      </c>
    </row>
    <row r="1064" ht="20.25" customHeight="1">
      <c r="A1064" s="32" t="str">
        <f>IMAGE("https://gymvisual.com/7113-catalog_default/cable-rope-hammer-preacher-curl.jpg",4,500,500)</f>
        <v/>
      </c>
      <c r="B1064" s="30">
        <v>1063.0</v>
      </c>
      <c r="C1064" s="16" t="s">
        <v>1564</v>
      </c>
      <c r="D1064" s="16" t="s">
        <v>184</v>
      </c>
      <c r="E1064" s="16" t="s">
        <v>219</v>
      </c>
      <c r="F1064" s="16" t="s">
        <v>215</v>
      </c>
      <c r="G1064" s="16" t="s">
        <v>220</v>
      </c>
      <c r="H1064" s="16" t="s">
        <v>220</v>
      </c>
    </row>
    <row r="1065" ht="20.25" customHeight="1">
      <c r="A1065" s="32" t="str">
        <f>IMAGE("https://gymvisual.com/7443-catalog_default/cable-rope-high-pulley-overhead-tricep-extension.jpg",4,500,500)</f>
        <v/>
      </c>
      <c r="B1065" s="30">
        <v>1064.0</v>
      </c>
      <c r="C1065" s="16" t="s">
        <v>1565</v>
      </c>
      <c r="D1065" s="16" t="s">
        <v>184</v>
      </c>
      <c r="E1065" s="16" t="s">
        <v>219</v>
      </c>
      <c r="F1065" s="16" t="s">
        <v>215</v>
      </c>
      <c r="G1065" s="16" t="s">
        <v>223</v>
      </c>
      <c r="H1065" s="16" t="s">
        <v>220</v>
      </c>
    </row>
    <row r="1066" ht="20.25" customHeight="1">
      <c r="A1066" s="32" t="str">
        <f>IMAGE("https://gymvisual.com/7444-catalog_default/cable-rope-incline-tricep-extension.jpg",4,500,500)</f>
        <v/>
      </c>
      <c r="B1066" s="30">
        <v>1065.0</v>
      </c>
      <c r="C1066" s="16" t="s">
        <v>1566</v>
      </c>
      <c r="D1066" s="16" t="s">
        <v>184</v>
      </c>
      <c r="E1066" s="16" t="s">
        <v>219</v>
      </c>
      <c r="F1066" s="16" t="s">
        <v>215</v>
      </c>
      <c r="G1066" s="16" t="s">
        <v>220</v>
      </c>
      <c r="H1066" s="16" t="s">
        <v>220</v>
      </c>
    </row>
    <row r="1067" ht="20.25" customHeight="1">
      <c r="A1067" s="32" t="str">
        <f>IMAGE("https://gymvisual.com/7445-catalog_default/cable-rope-lying-on-floor-tricep-extension.jpg",4,500,500)</f>
        <v/>
      </c>
      <c r="B1067" s="30">
        <v>1066.0</v>
      </c>
      <c r="C1067" s="16" t="s">
        <v>1567</v>
      </c>
      <c r="D1067" s="16" t="s">
        <v>184</v>
      </c>
      <c r="E1067" s="16" t="s">
        <v>219</v>
      </c>
      <c r="F1067" s="16" t="s">
        <v>215</v>
      </c>
      <c r="G1067" s="16" t="s">
        <v>220</v>
      </c>
      <c r="H1067" s="16" t="s">
        <v>220</v>
      </c>
    </row>
    <row r="1068" ht="20.25" customHeight="1">
      <c r="A1068" s="32" t="str">
        <f>IMAGE("https://gymvisual.com/7114-catalog_default/cable-rope-one-arm-hammer-preacher-curl.jpg",4,500,500)</f>
        <v/>
      </c>
      <c r="B1068" s="30">
        <v>1067.0</v>
      </c>
      <c r="C1068" s="16" t="s">
        <v>1568</v>
      </c>
      <c r="D1068" s="16" t="s">
        <v>184</v>
      </c>
      <c r="E1068" s="16" t="s">
        <v>219</v>
      </c>
      <c r="F1068" s="16" t="s">
        <v>215</v>
      </c>
      <c r="G1068" s="16" t="s">
        <v>220</v>
      </c>
      <c r="H1068" s="16" t="s">
        <v>220</v>
      </c>
    </row>
    <row r="1069" ht="20.25" customHeight="1">
      <c r="A1069" s="32" t="str">
        <f>IMAGE("https://gymvisual.com/6014-catalog_default/cable-rope-seated-row.jpg",4,500,500)</f>
        <v/>
      </c>
      <c r="B1069" s="30">
        <v>1068.0</v>
      </c>
      <c r="C1069" s="16" t="s">
        <v>1569</v>
      </c>
      <c r="D1069" s="16" t="s">
        <v>184</v>
      </c>
      <c r="E1069" s="16" t="s">
        <v>192</v>
      </c>
      <c r="F1069" s="16" t="s">
        <v>215</v>
      </c>
      <c r="G1069" s="16" t="s">
        <v>329</v>
      </c>
      <c r="H1069" s="16" t="s">
        <v>457</v>
      </c>
    </row>
    <row r="1070" ht="20.25" customHeight="1">
      <c r="A1070" s="32" t="str">
        <f>IMAGE("https://gymvisual.com/655-catalog_default/cable-russian-twists-on-stability-ball.jpg",4,500,500)</f>
        <v/>
      </c>
      <c r="B1070" s="30">
        <v>1069.0</v>
      </c>
      <c r="C1070" s="16" t="s">
        <v>1570</v>
      </c>
      <c r="D1070" s="16" t="s">
        <v>184</v>
      </c>
      <c r="E1070" s="16" t="s">
        <v>254</v>
      </c>
      <c r="F1070" s="16" t="s">
        <v>215</v>
      </c>
      <c r="G1070" s="16" t="s">
        <v>257</v>
      </c>
      <c r="H1070" s="16" t="s">
        <v>220</v>
      </c>
    </row>
    <row r="1071" ht="20.25" customHeight="1">
      <c r="A1071" s="32" t="str">
        <f>IMAGE("https://gymvisual.com/13389-catalog_default/cable-russian-twists-on-stability-ball-female.jpg",4,500,500)</f>
        <v/>
      </c>
      <c r="B1071" s="30">
        <v>1070.0</v>
      </c>
      <c r="C1071" s="16" t="s">
        <v>1571</v>
      </c>
      <c r="D1071" s="16" t="s">
        <v>184</v>
      </c>
      <c r="E1071" s="16" t="s">
        <v>254</v>
      </c>
      <c r="F1071" s="16" t="s">
        <v>1572</v>
      </c>
      <c r="G1071" s="16" t="s">
        <v>220</v>
      </c>
      <c r="H1071" s="16" t="s">
        <v>220</v>
      </c>
    </row>
    <row r="1072" ht="20.25" customHeight="1">
      <c r="A1072" s="32" t="str">
        <f>IMAGE("https://gymvisual.com/17737-catalog_default/cable-seated-chest-fly.jpg",4,500,500)</f>
        <v/>
      </c>
      <c r="B1072" s="30">
        <v>1071.0</v>
      </c>
      <c r="C1072" s="16" t="s">
        <v>1573</v>
      </c>
      <c r="D1072" s="16" t="s">
        <v>184</v>
      </c>
      <c r="E1072" s="16" t="s">
        <v>234</v>
      </c>
      <c r="F1072" s="16" t="s">
        <v>215</v>
      </c>
      <c r="G1072" s="16" t="s">
        <v>220</v>
      </c>
      <c r="H1072" s="16" t="s">
        <v>220</v>
      </c>
    </row>
    <row r="1073" ht="20.25" customHeight="1">
      <c r="A1073" s="32" t="str">
        <f>IMAGE("https://gymvisual.com/8767-catalog_default/cable-seated-chest-press.jpg",4,500,500)</f>
        <v/>
      </c>
      <c r="B1073" s="30">
        <v>1072.0</v>
      </c>
      <c r="C1073" s="16" t="s">
        <v>1574</v>
      </c>
      <c r="D1073" s="16" t="s">
        <v>184</v>
      </c>
      <c r="E1073" s="16" t="s">
        <v>234</v>
      </c>
      <c r="F1073" s="16" t="s">
        <v>215</v>
      </c>
      <c r="G1073" s="16" t="s">
        <v>220</v>
      </c>
      <c r="H1073" s="16" t="s">
        <v>220</v>
      </c>
    </row>
    <row r="1074" ht="20.25" customHeight="1">
      <c r="A1074" s="32" t="str">
        <f>IMAGE("https://gymvisual.com/13391-catalog_default/cable-seated-chest-press-female.jpg",4,500,500)</f>
        <v/>
      </c>
      <c r="B1074" s="30">
        <v>1073.0</v>
      </c>
      <c r="C1074" s="16" t="s">
        <v>1575</v>
      </c>
      <c r="D1074" s="16" t="s">
        <v>184</v>
      </c>
      <c r="E1074" s="16" t="s">
        <v>234</v>
      </c>
      <c r="F1074" s="16" t="s">
        <v>215</v>
      </c>
      <c r="G1074" s="16" t="s">
        <v>220</v>
      </c>
      <c r="H1074" s="16" t="s">
        <v>220</v>
      </c>
    </row>
    <row r="1075" ht="20.25" customHeight="1">
      <c r="A1075" s="32" t="str">
        <f>IMAGE("https://gymvisual.com/17817-catalog_default/cable-seated-cross-arm-twist.jpg",4,500,500)</f>
        <v/>
      </c>
      <c r="B1075" s="30">
        <v>1074.0</v>
      </c>
      <c r="C1075" s="16" t="s">
        <v>1576</v>
      </c>
      <c r="D1075" s="16" t="s">
        <v>184</v>
      </c>
      <c r="E1075" s="16" t="s">
        <v>254</v>
      </c>
      <c r="F1075" s="16" t="s">
        <v>215</v>
      </c>
      <c r="G1075" s="16" t="s">
        <v>220</v>
      </c>
      <c r="H1075" s="16" t="s">
        <v>220</v>
      </c>
    </row>
    <row r="1076" ht="20.25" customHeight="1">
      <c r="A1076" s="32" t="str">
        <f>IMAGE("https://gymvisual.com/25214-catalog_default/cable-seated-crunch.jpg",4,500,500)</f>
        <v/>
      </c>
      <c r="B1076" s="30">
        <v>1075.0</v>
      </c>
      <c r="C1076" s="16" t="s">
        <v>1577</v>
      </c>
      <c r="D1076" s="16" t="s">
        <v>184</v>
      </c>
      <c r="E1076" s="16" t="s">
        <v>254</v>
      </c>
      <c r="F1076" s="16" t="s">
        <v>215</v>
      </c>
      <c r="G1076" s="16" t="s">
        <v>256</v>
      </c>
      <c r="H1076" s="16" t="s">
        <v>257</v>
      </c>
    </row>
    <row r="1077" ht="20.25" customHeight="1">
      <c r="A1077" s="32" t="str">
        <f>IMAGE("https://gymvisual.com/11601-catalog_default/cable-seated-crunch-female.jpg",4,500,500)</f>
        <v/>
      </c>
      <c r="B1077" s="30">
        <v>1076.0</v>
      </c>
      <c r="C1077" s="16" t="s">
        <v>1578</v>
      </c>
      <c r="D1077" s="16" t="s">
        <v>184</v>
      </c>
      <c r="E1077" s="16" t="s">
        <v>254</v>
      </c>
      <c r="F1077" s="16" t="s">
        <v>215</v>
      </c>
      <c r="G1077" s="16" t="s">
        <v>220</v>
      </c>
      <c r="H1077" s="16" t="s">
        <v>220</v>
      </c>
    </row>
    <row r="1078" ht="20.25" customHeight="1">
      <c r="A1078" s="32" t="str">
        <f>IMAGE("https://gymvisual.com/7115-catalog_default/cable-seated-curl.jpg",4,500,500)</f>
        <v/>
      </c>
      <c r="B1078" s="30">
        <v>1077.0</v>
      </c>
      <c r="C1078" s="16" t="s">
        <v>1579</v>
      </c>
      <c r="D1078" s="16" t="s">
        <v>184</v>
      </c>
      <c r="E1078" s="16" t="s">
        <v>219</v>
      </c>
      <c r="F1078" s="16" t="s">
        <v>215</v>
      </c>
      <c r="G1078" s="16" t="s">
        <v>220</v>
      </c>
      <c r="H1078" s="16" t="s">
        <v>220</v>
      </c>
    </row>
    <row r="1079" ht="20.25" customHeight="1">
      <c r="A1079" s="32" t="str">
        <f>IMAGE("https://gymvisual.com/13393-catalog_default/cable-seated-curl-female.jpg",4,500,500)</f>
        <v/>
      </c>
      <c r="B1079" s="30">
        <v>1078.0</v>
      </c>
      <c r="C1079" s="16" t="s">
        <v>1580</v>
      </c>
      <c r="D1079" s="16" t="s">
        <v>184</v>
      </c>
      <c r="E1079" s="16" t="s">
        <v>219</v>
      </c>
      <c r="F1079" s="16" t="s">
        <v>215</v>
      </c>
      <c r="G1079" s="16" t="s">
        <v>220</v>
      </c>
      <c r="H1079" s="16" t="s">
        <v>220</v>
      </c>
    </row>
    <row r="1080" ht="20.25" customHeight="1">
      <c r="A1080" s="32" t="str">
        <f>IMAGE("https://gymvisual.com/24995-catalog_default/cable-seated-face-pull-with-rope-male.jpg",4,500,500)</f>
        <v/>
      </c>
      <c r="B1080" s="30">
        <v>1079.0</v>
      </c>
      <c r="C1080" s="16" t="s">
        <v>1581</v>
      </c>
      <c r="D1080" s="16" t="s">
        <v>184</v>
      </c>
      <c r="E1080" s="16" t="s">
        <v>228</v>
      </c>
      <c r="F1080" s="16" t="s">
        <v>215</v>
      </c>
      <c r="G1080" s="16" t="s">
        <v>220</v>
      </c>
      <c r="H1080" s="16" t="s">
        <v>220</v>
      </c>
    </row>
    <row r="1081" ht="20.25" customHeight="1">
      <c r="A1081" s="32" t="str">
        <f>IMAGE("https://gymvisual.com/17197-catalog_default/cable-seated-floor-one-arm-concentration-curl.jpg",4,500,500)</f>
        <v/>
      </c>
      <c r="B1081" s="30">
        <v>1080.0</v>
      </c>
      <c r="C1081" s="16" t="s">
        <v>1582</v>
      </c>
      <c r="D1081" s="16" t="s">
        <v>184</v>
      </c>
      <c r="E1081" s="16" t="s">
        <v>219</v>
      </c>
      <c r="F1081" s="16" t="s">
        <v>215</v>
      </c>
      <c r="G1081" s="16" t="s">
        <v>241</v>
      </c>
      <c r="H1081" s="16" t="s">
        <v>292</v>
      </c>
    </row>
    <row r="1082" ht="20.25" customHeight="1">
      <c r="A1082" s="32" t="str">
        <f>IMAGE("https://gymvisual.com/25964-catalog_default/cable-seated-high-pulley-overhead-triceps-extension.jpg",4,500,500)</f>
        <v/>
      </c>
      <c r="B1082" s="30">
        <v>1081.0</v>
      </c>
      <c r="C1082" s="16" t="s">
        <v>1583</v>
      </c>
      <c r="D1082" s="16" t="s">
        <v>184</v>
      </c>
      <c r="E1082" s="16" t="s">
        <v>219</v>
      </c>
      <c r="F1082" s="16" t="s">
        <v>215</v>
      </c>
      <c r="G1082" s="16" t="s">
        <v>223</v>
      </c>
      <c r="H1082" s="16" t="s">
        <v>220</v>
      </c>
    </row>
    <row r="1083" ht="20.25" customHeight="1">
      <c r="A1083" s="32" t="str">
        <f>IMAGE("https://gymvisual.com/13395-catalog_default/cable-seated-high-row-v-bar-female.jpg",4,500,500)</f>
        <v/>
      </c>
      <c r="B1083" s="30">
        <v>1082.0</v>
      </c>
      <c r="C1083" s="16" t="s">
        <v>1584</v>
      </c>
      <c r="D1083" s="16" t="s">
        <v>184</v>
      </c>
      <c r="E1083" s="16" t="s">
        <v>192</v>
      </c>
      <c r="F1083" s="16" t="s">
        <v>215</v>
      </c>
      <c r="G1083" s="16" t="s">
        <v>570</v>
      </c>
      <c r="H1083" s="16" t="s">
        <v>447</v>
      </c>
    </row>
    <row r="1084" ht="20.25" customHeight="1">
      <c r="A1084" s="32" t="str">
        <f>IMAGE("https://gymvisual.com/661-catalog_default/cable-seated-high-row-v-bar.jpg",4,500,500)</f>
        <v/>
      </c>
      <c r="B1084" s="30">
        <v>1083.0</v>
      </c>
      <c r="C1084" s="16" t="s">
        <v>1585</v>
      </c>
      <c r="D1084" s="16" t="s">
        <v>184</v>
      </c>
      <c r="E1084" s="16" t="s">
        <v>192</v>
      </c>
      <c r="F1084" s="16" t="s">
        <v>215</v>
      </c>
      <c r="G1084" s="16" t="s">
        <v>300</v>
      </c>
      <c r="H1084" s="16" t="s">
        <v>1357</v>
      </c>
    </row>
    <row r="1085" ht="20.25" customHeight="1">
      <c r="A1085" s="32" t="str">
        <f>IMAGE("https://gymvisual.com/17923-catalog_default/cable-seated-horizontal-shrug-male.jpg",4,500,500)</f>
        <v/>
      </c>
      <c r="B1085" s="30">
        <v>1084.0</v>
      </c>
      <c r="C1085" s="16" t="s">
        <v>1586</v>
      </c>
      <c r="D1085" s="16" t="s">
        <v>184</v>
      </c>
      <c r="E1085" s="16" t="s">
        <v>192</v>
      </c>
      <c r="F1085" s="16" t="s">
        <v>215</v>
      </c>
      <c r="G1085" s="16" t="s">
        <v>220</v>
      </c>
      <c r="H1085" s="16" t="s">
        <v>220</v>
      </c>
    </row>
    <row r="1086" ht="20.25" customHeight="1">
      <c r="A1086" s="32" t="str">
        <f>IMAGE("https://gymvisual.com/24462-catalog_default/cable-seated-lats-focused-row.jpg",4,500,500)</f>
        <v/>
      </c>
      <c r="B1086" s="30">
        <v>1085.0</v>
      </c>
      <c r="C1086" s="16" t="s">
        <v>1587</v>
      </c>
      <c r="D1086" s="16" t="s">
        <v>184</v>
      </c>
      <c r="E1086" s="16" t="s">
        <v>192</v>
      </c>
      <c r="F1086" s="16" t="s">
        <v>215</v>
      </c>
      <c r="G1086" s="16" t="s">
        <v>300</v>
      </c>
      <c r="H1086" s="16" t="s">
        <v>387</v>
      </c>
    </row>
    <row r="1087" ht="20.25" customHeight="1">
      <c r="A1087" s="32" t="str">
        <f>IMAGE("https://gymvisual.com/25007-catalog_default/cable-seated-leg-extension.jpg",4,500,500)</f>
        <v/>
      </c>
      <c r="B1087" s="30">
        <v>1086.0</v>
      </c>
      <c r="C1087" s="16" t="s">
        <v>1588</v>
      </c>
      <c r="D1087" s="16" t="s">
        <v>184</v>
      </c>
      <c r="E1087" s="16" t="s">
        <v>285</v>
      </c>
      <c r="F1087" s="16" t="s">
        <v>215</v>
      </c>
      <c r="G1087" s="16" t="s">
        <v>220</v>
      </c>
      <c r="H1087" s="16" t="s">
        <v>220</v>
      </c>
    </row>
    <row r="1088" ht="20.25" customHeight="1">
      <c r="A1088" s="32" t="str">
        <f>IMAGE("https://gymvisual.com/10489-catalog_default/cable-seated-neck-extension-with-head-harness.jpg",4,500,500)</f>
        <v/>
      </c>
      <c r="B1088" s="30">
        <v>1087.0</v>
      </c>
      <c r="C1088" s="16" t="s">
        <v>1589</v>
      </c>
      <c r="D1088" s="16" t="s">
        <v>184</v>
      </c>
      <c r="E1088" s="16" t="s">
        <v>351</v>
      </c>
      <c r="F1088" s="16" t="s">
        <v>215</v>
      </c>
      <c r="G1088" s="16" t="s">
        <v>1590</v>
      </c>
      <c r="H1088" s="16" t="s">
        <v>220</v>
      </c>
    </row>
    <row r="1089" ht="20.25" customHeight="1">
      <c r="A1089" s="32" t="str">
        <f>IMAGE("https://gymvisual.com/10490-catalog_default/cable-seated-neck-flexion-with-head-harness.jpg",4,500,500)</f>
        <v/>
      </c>
      <c r="B1089" s="30">
        <v>1088.0</v>
      </c>
      <c r="C1089" s="16" t="s">
        <v>1591</v>
      </c>
      <c r="D1089" s="16" t="s">
        <v>184</v>
      </c>
      <c r="E1089" s="16" t="s">
        <v>351</v>
      </c>
      <c r="F1089" s="16" t="s">
        <v>215</v>
      </c>
      <c r="G1089" s="16" t="s">
        <v>220</v>
      </c>
      <c r="H1089" s="16" t="s">
        <v>220</v>
      </c>
    </row>
    <row r="1090" ht="20.25" customHeight="1">
      <c r="A1090" s="32" t="str">
        <f>IMAGE("https://gymvisual.com/13662-catalog_default/cable-seated-on-floor-row-with-rope.jpg",4,500,500)</f>
        <v/>
      </c>
      <c r="B1090" s="30">
        <v>1089.0</v>
      </c>
      <c r="C1090" s="16" t="s">
        <v>1592</v>
      </c>
      <c r="D1090" s="16" t="s">
        <v>184</v>
      </c>
      <c r="E1090" s="16" t="s">
        <v>192</v>
      </c>
      <c r="F1090" s="16" t="s">
        <v>215</v>
      </c>
      <c r="G1090" s="16" t="s">
        <v>329</v>
      </c>
      <c r="H1090" s="16" t="s">
        <v>220</v>
      </c>
    </row>
    <row r="1091" ht="20.25" customHeight="1">
      <c r="A1091" s="32" t="str">
        <f>IMAGE("https://gymvisual.com/664-catalog_default/cable-seated-one-arm-alternate-row.jpg",4,500,500)</f>
        <v/>
      </c>
      <c r="B1091" s="30">
        <v>1090.0</v>
      </c>
      <c r="C1091" s="16" t="s">
        <v>1593</v>
      </c>
      <c r="D1091" s="16" t="s">
        <v>184</v>
      </c>
      <c r="E1091" s="16" t="s">
        <v>192</v>
      </c>
      <c r="F1091" s="16" t="s">
        <v>215</v>
      </c>
      <c r="G1091" s="16" t="s">
        <v>329</v>
      </c>
      <c r="H1091" s="16" t="s">
        <v>330</v>
      </c>
    </row>
    <row r="1092" ht="20.25" customHeight="1">
      <c r="A1092" s="32" t="str">
        <f>IMAGE("https://gymvisual.com/7116-catalog_default/cable-seated-one-arm-concentration-curl.jpg",4,500,500)</f>
        <v/>
      </c>
      <c r="B1092" s="30">
        <v>1091.0</v>
      </c>
      <c r="C1092" s="16" t="s">
        <v>1594</v>
      </c>
      <c r="D1092" s="16" t="s">
        <v>184</v>
      </c>
      <c r="E1092" s="16" t="s">
        <v>219</v>
      </c>
      <c r="F1092" s="16" t="s">
        <v>215</v>
      </c>
      <c r="G1092" s="16" t="s">
        <v>220</v>
      </c>
      <c r="H1092" s="16" t="s">
        <v>220</v>
      </c>
    </row>
    <row r="1093" ht="20.25" customHeight="1">
      <c r="A1093" s="32" t="str">
        <f>IMAGE("https://gymvisual.com/13397-catalog_default/cable-seated-one-arm-concentration-curl-female.jpg",4,500,500)</f>
        <v/>
      </c>
      <c r="B1093" s="30">
        <v>1092.0</v>
      </c>
      <c r="C1093" s="16" t="s">
        <v>1595</v>
      </c>
      <c r="D1093" s="16" t="s">
        <v>184</v>
      </c>
      <c r="E1093" s="16" t="s">
        <v>219</v>
      </c>
      <c r="F1093" s="16" t="s">
        <v>215</v>
      </c>
      <c r="G1093" s="16" t="s">
        <v>220</v>
      </c>
      <c r="H1093" s="16" t="s">
        <v>220</v>
      </c>
    </row>
    <row r="1094" ht="20.25" customHeight="1">
      <c r="A1094" s="32" t="str">
        <f>IMAGE("https://gymvisual.com/7117-catalog_default/cable-seated-overhead-curl.jpg",4,500,500)</f>
        <v/>
      </c>
      <c r="B1094" s="30">
        <v>1093.0</v>
      </c>
      <c r="C1094" s="16" t="s">
        <v>1596</v>
      </c>
      <c r="D1094" s="16" t="s">
        <v>184</v>
      </c>
      <c r="E1094" s="16" t="s">
        <v>219</v>
      </c>
      <c r="F1094" s="16" t="s">
        <v>215</v>
      </c>
      <c r="G1094" s="16" t="s">
        <v>220</v>
      </c>
      <c r="H1094" s="16" t="s">
        <v>220</v>
      </c>
    </row>
    <row r="1095" ht="20.25" customHeight="1">
      <c r="A1095" s="32" t="str">
        <f>IMAGE("https://gymvisual.com/13399-catalog_default/cable-seated-overhead-curl-female.jpg",4,500,500)</f>
        <v/>
      </c>
      <c r="B1095" s="30">
        <v>1094.0</v>
      </c>
      <c r="C1095" s="16" t="s">
        <v>1597</v>
      </c>
      <c r="D1095" s="16" t="s">
        <v>184</v>
      </c>
      <c r="E1095" s="16" t="s">
        <v>219</v>
      </c>
      <c r="F1095" s="16" t="s">
        <v>215</v>
      </c>
      <c r="G1095" s="16" t="s">
        <v>220</v>
      </c>
      <c r="H1095" s="16" t="s">
        <v>220</v>
      </c>
    </row>
    <row r="1096" ht="20.25" customHeight="1">
      <c r="A1096" s="32" t="str">
        <f>IMAGE("https://gymvisual.com/18003-catalog_default/cable-seated-pullover.jpg",4,500,500)</f>
        <v/>
      </c>
      <c r="B1096" s="30">
        <v>1095.0</v>
      </c>
      <c r="C1096" s="16" t="s">
        <v>1598</v>
      </c>
      <c r="D1096" s="16" t="s">
        <v>184</v>
      </c>
      <c r="E1096" s="16" t="s">
        <v>192</v>
      </c>
      <c r="F1096" s="16" t="s">
        <v>215</v>
      </c>
      <c r="G1096" s="16" t="s">
        <v>220</v>
      </c>
      <c r="H1096" s="16" t="s">
        <v>220</v>
      </c>
    </row>
    <row r="1097" ht="20.25" customHeight="1">
      <c r="A1097" s="32" t="str">
        <f>IMAGE("https://gymvisual.com/17292-catalog_default/cable-seated-rear-delt-fly-with-chest-support.jpg",4,500,500)</f>
        <v/>
      </c>
      <c r="B1097" s="30">
        <v>1096.0</v>
      </c>
      <c r="C1097" s="16" t="s">
        <v>1599</v>
      </c>
      <c r="D1097" s="16" t="s">
        <v>184</v>
      </c>
      <c r="E1097" s="16" t="s">
        <v>228</v>
      </c>
      <c r="F1097" s="16" t="s">
        <v>215</v>
      </c>
      <c r="G1097" s="16" t="s">
        <v>408</v>
      </c>
      <c r="H1097" s="16" t="s">
        <v>452</v>
      </c>
    </row>
    <row r="1098" ht="20.25" customHeight="1">
      <c r="A1098" s="32" t="str">
        <f>IMAGE("https://gymvisual.com/2946-catalog_default/cable-seated-rear-lateral-raise.jpg",4,500,500)</f>
        <v/>
      </c>
      <c r="B1098" s="30">
        <v>1097.0</v>
      </c>
      <c r="C1098" s="16" t="s">
        <v>1600</v>
      </c>
      <c r="D1098" s="16" t="s">
        <v>184</v>
      </c>
      <c r="E1098" s="16" t="s">
        <v>228</v>
      </c>
      <c r="F1098" s="16" t="s">
        <v>215</v>
      </c>
      <c r="G1098" s="16" t="s">
        <v>408</v>
      </c>
      <c r="H1098" s="16" t="s">
        <v>1601</v>
      </c>
    </row>
    <row r="1099" ht="20.25" customHeight="1">
      <c r="A1099" s="32" t="str">
        <f>IMAGE("https://gymvisual.com/7320-catalog_default/cable-seated-row.jpg",4,500,500)</f>
        <v/>
      </c>
      <c r="B1099" s="30">
        <v>1098.0</v>
      </c>
      <c r="C1099" s="16" t="s">
        <v>1602</v>
      </c>
      <c r="D1099" s="16" t="s">
        <v>184</v>
      </c>
      <c r="E1099" s="16" t="s">
        <v>192</v>
      </c>
      <c r="F1099" s="16" t="s">
        <v>215</v>
      </c>
      <c r="G1099" s="16" t="s">
        <v>329</v>
      </c>
      <c r="H1099" s="16" t="s">
        <v>457</v>
      </c>
    </row>
    <row r="1100" ht="20.25" customHeight="1">
      <c r="A1100" s="32" t="str">
        <f>IMAGE("https://gymvisual.com/4609-catalog_default/cable-seated-row-bent-bar.jpg",4,500,500)</f>
        <v/>
      </c>
      <c r="B1100" s="30">
        <v>1099.0</v>
      </c>
      <c r="C1100" s="16" t="s">
        <v>1603</v>
      </c>
      <c r="D1100" s="16" t="s">
        <v>184</v>
      </c>
      <c r="E1100" s="16" t="s">
        <v>192</v>
      </c>
      <c r="F1100" s="16" t="s">
        <v>215</v>
      </c>
      <c r="G1100" s="16" t="s">
        <v>329</v>
      </c>
      <c r="H1100" s="16" t="s">
        <v>457</v>
      </c>
    </row>
    <row r="1101" ht="20.25" customHeight="1">
      <c r="A1101" s="32" t="str">
        <f>IMAGE("https://gymvisual.com/9649-catalog_default/cable-seated-row-female.jpg",4,500,500)</f>
        <v/>
      </c>
      <c r="B1101" s="30">
        <v>1100.0</v>
      </c>
      <c r="C1101" s="16" t="s">
        <v>1604</v>
      </c>
      <c r="D1101" s="16" t="s">
        <v>184</v>
      </c>
      <c r="E1101" s="16" t="s">
        <v>192</v>
      </c>
      <c r="F1101" s="16" t="s">
        <v>215</v>
      </c>
      <c r="G1101" s="16" t="s">
        <v>220</v>
      </c>
      <c r="H1101" s="16" t="s">
        <v>220</v>
      </c>
    </row>
    <row r="1102" ht="20.25" customHeight="1">
      <c r="A1102" s="32" t="str">
        <f>IMAGE("https://gymvisual.com/12224-catalog_default/cable-seated-row-with-v-bar.jpg",4,500,500)</f>
        <v/>
      </c>
      <c r="B1102" s="30">
        <v>1101.0</v>
      </c>
      <c r="C1102" s="16" t="s">
        <v>1605</v>
      </c>
      <c r="D1102" s="16" t="s">
        <v>184</v>
      </c>
      <c r="E1102" s="16" t="s">
        <v>192</v>
      </c>
      <c r="F1102" s="16" t="s">
        <v>215</v>
      </c>
      <c r="G1102" s="16" t="s">
        <v>329</v>
      </c>
      <c r="H1102" s="16" t="s">
        <v>447</v>
      </c>
    </row>
    <row r="1103" ht="20.25" customHeight="1">
      <c r="A1103" s="32" t="str">
        <f>IMAGE("https://gymvisual.com/670-catalog_default/cable-seated-shoulder-internal-rotation.jpg",4,500,500)</f>
        <v/>
      </c>
      <c r="B1103" s="30">
        <v>1102.0</v>
      </c>
      <c r="C1103" s="16" t="s">
        <v>1606</v>
      </c>
      <c r="D1103" s="16" t="s">
        <v>184</v>
      </c>
      <c r="E1103" s="16" t="s">
        <v>192</v>
      </c>
      <c r="F1103" s="16" t="s">
        <v>215</v>
      </c>
      <c r="G1103" s="16" t="s">
        <v>1607</v>
      </c>
      <c r="H1103" s="16" t="s">
        <v>662</v>
      </c>
    </row>
    <row r="1104" ht="20.25" customHeight="1">
      <c r="A1104" s="32" t="str">
        <f>IMAGE("https://gymvisual.com/673-catalog_default/cable-seated-supine-grip-row.jpg",4,500,500)</f>
        <v/>
      </c>
      <c r="B1104" s="30">
        <v>1103.0</v>
      </c>
      <c r="C1104" s="16" t="s">
        <v>1608</v>
      </c>
      <c r="D1104" s="16" t="s">
        <v>184</v>
      </c>
      <c r="E1104" s="16" t="s">
        <v>192</v>
      </c>
      <c r="F1104" s="16" t="s">
        <v>215</v>
      </c>
      <c r="G1104" s="16" t="s">
        <v>329</v>
      </c>
      <c r="H1104" s="16" t="s">
        <v>357</v>
      </c>
    </row>
    <row r="1105" ht="20.25" customHeight="1">
      <c r="A1105" s="32" t="str">
        <f>IMAGE("https://gymvisual.com/12979-catalog_default/cable-seated-supine-grip-row-male.jpg",4,500,500)</f>
        <v/>
      </c>
      <c r="B1105" s="30">
        <v>1104.0</v>
      </c>
      <c r="C1105" s="16" t="s">
        <v>1609</v>
      </c>
      <c r="D1105" s="16" t="s">
        <v>184</v>
      </c>
      <c r="E1105" s="16" t="s">
        <v>192</v>
      </c>
      <c r="F1105" s="16" t="s">
        <v>215</v>
      </c>
      <c r="G1105" s="16" t="s">
        <v>329</v>
      </c>
      <c r="H1105" s="16" t="s">
        <v>357</v>
      </c>
    </row>
    <row r="1106" ht="20.25" customHeight="1">
      <c r="A1106" s="32" t="str">
        <f>IMAGE("https://gymvisual.com/10412-catalog_default/cable-seated-twist.jpg",4,500,500)</f>
        <v/>
      </c>
      <c r="B1106" s="30">
        <v>1105.0</v>
      </c>
      <c r="C1106" s="16" t="s">
        <v>1610</v>
      </c>
      <c r="D1106" s="16" t="s">
        <v>184</v>
      </c>
      <c r="E1106" s="16" t="s">
        <v>254</v>
      </c>
      <c r="F1106" s="16" t="s">
        <v>215</v>
      </c>
      <c r="G1106" s="16" t="s">
        <v>257</v>
      </c>
      <c r="H1106" s="16" t="s">
        <v>271</v>
      </c>
    </row>
    <row r="1107" ht="20.25" customHeight="1">
      <c r="A1107" s="32" t="str">
        <f>IMAGE("https://gymvisual.com/10551-catalog_default/cable-seated-twist-on-floor-female.jpg",4,500,500)</f>
        <v/>
      </c>
      <c r="B1107" s="30">
        <v>1106.0</v>
      </c>
      <c r="C1107" s="16" t="s">
        <v>1611</v>
      </c>
      <c r="D1107" s="16" t="s">
        <v>184</v>
      </c>
      <c r="E1107" s="16" t="s">
        <v>254</v>
      </c>
      <c r="F1107" s="16" t="s">
        <v>215</v>
      </c>
      <c r="G1107" s="16" t="s">
        <v>257</v>
      </c>
      <c r="H1107" s="16" t="s">
        <v>271</v>
      </c>
    </row>
    <row r="1108" ht="20.25" customHeight="1">
      <c r="A1108" s="32" t="str">
        <f>IMAGE("https://gymvisual.com/14260-catalog_default/cable-seated-wide-grip-row-female.jpg",4,500,500)</f>
        <v/>
      </c>
      <c r="B1108" s="30">
        <v>1107.0</v>
      </c>
      <c r="C1108" s="16" t="s">
        <v>1612</v>
      </c>
      <c r="D1108" s="16" t="s">
        <v>184</v>
      </c>
      <c r="E1108" s="16" t="s">
        <v>192</v>
      </c>
      <c r="F1108" s="16" t="s">
        <v>215</v>
      </c>
      <c r="G1108" s="16" t="s">
        <v>329</v>
      </c>
      <c r="H1108" s="16" t="s">
        <v>357</v>
      </c>
    </row>
    <row r="1109" ht="20.25" customHeight="1">
      <c r="A1109" s="32" t="str">
        <f>IMAGE("https://gymvisual.com/676-catalog_default/cable-seated-wide-grip-row.jpg",4,500,500)</f>
        <v/>
      </c>
      <c r="B1109" s="30">
        <v>1108.0</v>
      </c>
      <c r="C1109" s="16" t="s">
        <v>1613</v>
      </c>
      <c r="D1109" s="16" t="s">
        <v>184</v>
      </c>
      <c r="E1109" s="16" t="s">
        <v>192</v>
      </c>
      <c r="F1109" s="16" t="s">
        <v>215</v>
      </c>
      <c r="G1109" s="16" t="s">
        <v>329</v>
      </c>
      <c r="H1109" s="16" t="s">
        <v>447</v>
      </c>
    </row>
    <row r="1110" ht="20.25" customHeight="1">
      <c r="A1110" s="32" t="str">
        <f>IMAGE("https://gymvisual.com/13682-catalog_default/cable-seating-close-press.jpg",4,500,500)</f>
        <v/>
      </c>
      <c r="B1110" s="30">
        <v>1109.0</v>
      </c>
      <c r="C1110" s="16" t="s">
        <v>1614</v>
      </c>
      <c r="D1110" s="16" t="s">
        <v>184</v>
      </c>
      <c r="E1110" s="16" t="s">
        <v>219</v>
      </c>
      <c r="F1110" s="16" t="s">
        <v>215</v>
      </c>
      <c r="G1110" s="16" t="s">
        <v>223</v>
      </c>
      <c r="H1110" s="16" t="s">
        <v>472</v>
      </c>
    </row>
    <row r="1111" ht="20.25" customHeight="1">
      <c r="A1111" s="32" t="str">
        <f>IMAGE("https://gymvisual.com/23885-catalog_default/cable-shoulder-90-degrees-external-rotation.jpg",4,500,500)</f>
        <v/>
      </c>
      <c r="B1111" s="30">
        <v>1110.0</v>
      </c>
      <c r="C1111" s="16" t="s">
        <v>1615</v>
      </c>
      <c r="D1111" s="16" t="s">
        <v>184</v>
      </c>
      <c r="E1111" s="16" t="s">
        <v>192</v>
      </c>
      <c r="F1111" s="16" t="s">
        <v>215</v>
      </c>
      <c r="G1111" s="16" t="s">
        <v>1607</v>
      </c>
      <c r="H1111" s="16" t="s">
        <v>408</v>
      </c>
    </row>
    <row r="1112" ht="20.25" customHeight="1">
      <c r="A1112" s="32" t="str">
        <f>IMAGE("https://gymvisual.com/23889-catalog_default/cable-shoulder-90-degrees-internal-rotation.jpg",4,500,500)</f>
        <v/>
      </c>
      <c r="B1112" s="30">
        <v>1111.0</v>
      </c>
      <c r="C1112" s="16" t="s">
        <v>1616</v>
      </c>
      <c r="D1112" s="16" t="s">
        <v>184</v>
      </c>
      <c r="E1112" s="16" t="s">
        <v>192</v>
      </c>
      <c r="F1112" s="16" t="s">
        <v>215</v>
      </c>
      <c r="G1112" s="16" t="s">
        <v>347</v>
      </c>
      <c r="H1112" s="16" t="s">
        <v>882</v>
      </c>
    </row>
    <row r="1113" ht="20.25" customHeight="1">
      <c r="A1113" s="32" t="str">
        <f>IMAGE("https://gymvisual.com/23887-catalog_default/cable-shoulder-internal-rotation.jpg",4,500,500)</f>
        <v/>
      </c>
      <c r="B1113" s="30">
        <v>1112.0</v>
      </c>
      <c r="C1113" s="16" t="s">
        <v>1617</v>
      </c>
      <c r="D1113" s="16" t="s">
        <v>184</v>
      </c>
      <c r="E1113" s="16" t="s">
        <v>228</v>
      </c>
      <c r="F1113" s="16" t="s">
        <v>215</v>
      </c>
      <c r="G1113" s="16" t="s">
        <v>472</v>
      </c>
      <c r="H1113" s="16" t="s">
        <v>220</v>
      </c>
    </row>
    <row r="1114" ht="20.25" customHeight="1">
      <c r="A1114" s="32" t="str">
        <f>IMAGE("https://gymvisual.com/679-catalog_default/cable-shoulder-press.jpg",4,500,500)</f>
        <v/>
      </c>
      <c r="B1114" s="30">
        <v>1113.0</v>
      </c>
      <c r="C1114" s="16" t="s">
        <v>1618</v>
      </c>
      <c r="D1114" s="16" t="s">
        <v>184</v>
      </c>
      <c r="E1114" s="16" t="s">
        <v>228</v>
      </c>
      <c r="F1114" s="16" t="s">
        <v>215</v>
      </c>
      <c r="G1114" s="16" t="s">
        <v>229</v>
      </c>
      <c r="H1114" s="16" t="s">
        <v>230</v>
      </c>
    </row>
    <row r="1115" ht="20.25" customHeight="1">
      <c r="A1115" s="32" t="str">
        <f>IMAGE("https://gymvisual.com/13401-catalog_default/cable-shoulder-press-female.jpg",4,500,500)</f>
        <v/>
      </c>
      <c r="B1115" s="30">
        <v>1114.0</v>
      </c>
      <c r="C1115" s="16" t="s">
        <v>1619</v>
      </c>
      <c r="D1115" s="16" t="s">
        <v>184</v>
      </c>
      <c r="E1115" s="16" t="s">
        <v>228</v>
      </c>
      <c r="F1115" s="16" t="s">
        <v>215</v>
      </c>
      <c r="G1115" s="16" t="s">
        <v>220</v>
      </c>
      <c r="H1115" s="16" t="s">
        <v>220</v>
      </c>
    </row>
    <row r="1116" ht="20.25" customHeight="1">
      <c r="A1116" s="32" t="str">
        <f>IMAGE("https://gymvisual.com/682-catalog_default/cable-shrug.jpg",4,500,500)</f>
        <v/>
      </c>
      <c r="B1116" s="30">
        <v>1115.0</v>
      </c>
      <c r="C1116" s="16" t="s">
        <v>1620</v>
      </c>
      <c r="D1116" s="16" t="s">
        <v>184</v>
      </c>
      <c r="E1116" s="16" t="s">
        <v>192</v>
      </c>
      <c r="F1116" s="16" t="s">
        <v>215</v>
      </c>
      <c r="G1116" s="16" t="s">
        <v>238</v>
      </c>
      <c r="H1116" s="16" t="s">
        <v>1621</v>
      </c>
    </row>
    <row r="1117" ht="20.25" customHeight="1">
      <c r="A1117" s="32" t="str">
        <f>IMAGE("https://gymvisual.com/11291-catalog_default/cable-shrug-female.jpg",4,500,500)</f>
        <v/>
      </c>
      <c r="B1117" s="30">
        <v>1116.0</v>
      </c>
      <c r="C1117" s="16" t="s">
        <v>1622</v>
      </c>
      <c r="D1117" s="16" t="s">
        <v>184</v>
      </c>
      <c r="E1117" s="16" t="s">
        <v>192</v>
      </c>
      <c r="F1117" s="16" t="s">
        <v>215</v>
      </c>
      <c r="G1117" s="16" t="s">
        <v>220</v>
      </c>
      <c r="H1117" s="16" t="s">
        <v>220</v>
      </c>
    </row>
    <row r="1118" ht="20.25" customHeight="1">
      <c r="A1118" s="32" t="str">
        <f>IMAGE("https://gymvisual.com/13112-catalog_default/cable-side-bend.jpg",4,500,500)</f>
        <v/>
      </c>
      <c r="B1118" s="30">
        <v>1117.0</v>
      </c>
      <c r="C1118" s="16" t="s">
        <v>1623</v>
      </c>
      <c r="D1118" s="16" t="s">
        <v>184</v>
      </c>
      <c r="E1118" s="16" t="s">
        <v>254</v>
      </c>
      <c r="F1118" s="16" t="s">
        <v>215</v>
      </c>
      <c r="G1118" s="16" t="s">
        <v>257</v>
      </c>
      <c r="H1118" s="16" t="s">
        <v>220</v>
      </c>
    </row>
    <row r="1119" ht="20.25" customHeight="1">
      <c r="A1119" s="32" t="str">
        <f>IMAGE("https://gymvisual.com/11282-catalog_default/cable-side-bend-female.jpg",4,500,500)</f>
        <v/>
      </c>
      <c r="B1119" s="30">
        <v>1118.0</v>
      </c>
      <c r="C1119" s="16" t="s">
        <v>1624</v>
      </c>
      <c r="D1119" s="16" t="s">
        <v>184</v>
      </c>
      <c r="E1119" s="16" t="s">
        <v>254</v>
      </c>
      <c r="F1119" s="16" t="s">
        <v>215</v>
      </c>
      <c r="G1119" s="16" t="s">
        <v>220</v>
      </c>
      <c r="H1119" s="16" t="s">
        <v>220</v>
      </c>
    </row>
    <row r="1120" ht="20.25" customHeight="1">
      <c r="A1120" s="32" t="str">
        <f>IMAGE("https://gymvisual.com/24930-catalog_default/cable-side-bend-version-2.jpg",4,500,500)</f>
        <v/>
      </c>
      <c r="B1120" s="30">
        <v>1119.0</v>
      </c>
      <c r="C1120" s="16" t="s">
        <v>1625</v>
      </c>
      <c r="D1120" s="16" t="s">
        <v>184</v>
      </c>
      <c r="E1120" s="16" t="s">
        <v>254</v>
      </c>
      <c r="F1120" s="16" t="s">
        <v>215</v>
      </c>
      <c r="G1120" s="16" t="s">
        <v>257</v>
      </c>
      <c r="H1120" s="16" t="s">
        <v>271</v>
      </c>
    </row>
    <row r="1121" ht="20.25" customHeight="1">
      <c r="A1121" s="32" t="str">
        <f>IMAGE("https://gymvisual.com/685-catalog_default/cable-side-bend-crunch-bosu-ball.jpg",4,500,500)</f>
        <v/>
      </c>
      <c r="B1121" s="30">
        <v>1120.0</v>
      </c>
      <c r="C1121" s="16" t="s">
        <v>1626</v>
      </c>
      <c r="D1121" s="16" t="s">
        <v>184</v>
      </c>
      <c r="E1121" s="16" t="s">
        <v>254</v>
      </c>
      <c r="F1121" s="16" t="s">
        <v>215</v>
      </c>
      <c r="G1121" s="16" t="s">
        <v>257</v>
      </c>
      <c r="H1121" s="16" t="s">
        <v>256</v>
      </c>
    </row>
    <row r="1122" ht="20.25" customHeight="1">
      <c r="A1122" s="32" t="str">
        <f>IMAGE("https://gymvisual.com/691-catalog_default/cable-side-crunch.jpg",4,500,500)</f>
        <v/>
      </c>
      <c r="B1122" s="30">
        <v>1121.0</v>
      </c>
      <c r="C1122" s="16" t="s">
        <v>1627</v>
      </c>
      <c r="D1122" s="16" t="s">
        <v>184</v>
      </c>
      <c r="E1122" s="16" t="s">
        <v>254</v>
      </c>
      <c r="F1122" s="16" t="s">
        <v>215</v>
      </c>
      <c r="G1122" s="16" t="s">
        <v>257</v>
      </c>
      <c r="H1122" s="16" t="s">
        <v>220</v>
      </c>
    </row>
    <row r="1123" ht="20.25" customHeight="1">
      <c r="A1123" s="32" t="str">
        <f>IMAGE("https://gymvisual.com/11285-catalog_default/cable-side-crunch-female.jpg",4,500,500)</f>
        <v/>
      </c>
      <c r="B1123" s="30">
        <v>1122.0</v>
      </c>
      <c r="C1123" s="16" t="s">
        <v>1628</v>
      </c>
      <c r="D1123" s="16" t="s">
        <v>184</v>
      </c>
      <c r="E1123" s="16" t="s">
        <v>254</v>
      </c>
      <c r="F1123" s="16" t="s">
        <v>215</v>
      </c>
      <c r="G1123" s="16" t="s">
        <v>220</v>
      </c>
      <c r="H1123" s="16" t="s">
        <v>220</v>
      </c>
    </row>
    <row r="1124" ht="20.25" customHeight="1">
      <c r="A1124" s="32" t="str">
        <f>IMAGE("https://gymvisual.com/12189-catalog_default/cable-side-lying-lateral-raise.jpg",4,500,500)</f>
        <v/>
      </c>
      <c r="B1124" s="30">
        <v>1123.0</v>
      </c>
      <c r="C1124" s="16" t="s">
        <v>1629</v>
      </c>
      <c r="D1124" s="16" t="s">
        <v>184</v>
      </c>
      <c r="E1124" s="16" t="s">
        <v>228</v>
      </c>
      <c r="F1124" s="16" t="s">
        <v>215</v>
      </c>
      <c r="G1124" s="16" t="s">
        <v>220</v>
      </c>
      <c r="H1124" s="16" t="s">
        <v>220</v>
      </c>
    </row>
    <row r="1125" ht="20.25" customHeight="1">
      <c r="A1125" s="32" t="str">
        <f>IMAGE("https://gymvisual.com/26371-catalog_default/cable-single-arm-neutral-grip-front-raise.jpg",4,500,500)</f>
        <v/>
      </c>
      <c r="B1125" s="30">
        <v>1124.0</v>
      </c>
      <c r="C1125" s="16" t="s">
        <v>1630</v>
      </c>
      <c r="D1125" s="16" t="s">
        <v>184</v>
      </c>
      <c r="E1125" s="16" t="s">
        <v>228</v>
      </c>
      <c r="F1125" s="16" t="s">
        <v>215</v>
      </c>
      <c r="G1125" s="16" t="s">
        <v>220</v>
      </c>
      <c r="H1125" s="16" t="s">
        <v>220</v>
      </c>
    </row>
    <row r="1126" ht="20.25" customHeight="1">
      <c r="A1126" s="32" t="str">
        <f>IMAGE("https://gymvisual.com/22841-catalog_default/cable-single-arm-triceps-pushdown-rope-attachment.jpg",4,500,500)</f>
        <v/>
      </c>
      <c r="B1126" s="30">
        <v>1125.0</v>
      </c>
      <c r="C1126" s="16" t="s">
        <v>1631</v>
      </c>
      <c r="D1126" s="16" t="s">
        <v>184</v>
      </c>
      <c r="E1126" s="16" t="s">
        <v>219</v>
      </c>
      <c r="F1126" s="16" t="s">
        <v>215</v>
      </c>
      <c r="G1126" s="16" t="s">
        <v>223</v>
      </c>
      <c r="H1126" s="16" t="s">
        <v>220</v>
      </c>
    </row>
    <row r="1127" ht="20.25" customHeight="1">
      <c r="A1127" s="32" t="str">
        <f>IMAGE("https://gymvisual.com/17913-catalog_default/cable-split-stance-horizontal-pallof-press-male.jpg",4,500,500)</f>
        <v/>
      </c>
      <c r="B1127" s="30">
        <v>1126.0</v>
      </c>
      <c r="C1127" s="16" t="s">
        <v>1632</v>
      </c>
      <c r="D1127" s="16" t="s">
        <v>184</v>
      </c>
      <c r="E1127" s="16" t="s">
        <v>254</v>
      </c>
      <c r="F1127" s="16" t="s">
        <v>215</v>
      </c>
      <c r="G1127" s="16" t="s">
        <v>220</v>
      </c>
      <c r="H1127" s="16" t="s">
        <v>220</v>
      </c>
    </row>
    <row r="1128" ht="20.25" customHeight="1">
      <c r="A1128" s="32" t="str">
        <f>IMAGE("https://gymvisual.com/7431-catalog_default/cable-squat-row-with-rope-attachment.jpg",4,500,500)</f>
        <v/>
      </c>
      <c r="B1128" s="30">
        <v>1127.0</v>
      </c>
      <c r="C1128" s="16" t="s">
        <v>1633</v>
      </c>
      <c r="D1128" s="16" t="s">
        <v>184</v>
      </c>
      <c r="E1128" s="16" t="s">
        <v>192</v>
      </c>
      <c r="F1128" s="16" t="s">
        <v>215</v>
      </c>
      <c r="G1128" s="16" t="s">
        <v>1634</v>
      </c>
      <c r="H1128" s="16" t="s">
        <v>1635</v>
      </c>
    </row>
    <row r="1129" ht="20.25" customHeight="1">
      <c r="A1129" s="32" t="str">
        <f>IMAGE("https://gymvisual.com/11209-catalog_default/cable-squat-row-with-rope-attachment-female.jpg",4,500,500)</f>
        <v/>
      </c>
      <c r="B1129" s="30">
        <v>1128.0</v>
      </c>
      <c r="C1129" s="16" t="s">
        <v>1636</v>
      </c>
      <c r="D1129" s="16" t="s">
        <v>184</v>
      </c>
      <c r="E1129" s="16" t="s">
        <v>484</v>
      </c>
      <c r="F1129" s="16" t="s">
        <v>215</v>
      </c>
      <c r="G1129" s="16" t="s">
        <v>220</v>
      </c>
      <c r="H1129" s="16" t="s">
        <v>220</v>
      </c>
    </row>
    <row r="1130" ht="20.25" customHeight="1">
      <c r="A1130" s="32" t="str">
        <f>IMAGE("https://gymvisual.com/7118-catalog_default/cable-squatting-curl.jpg",4,500,500)</f>
        <v/>
      </c>
      <c r="B1130" s="30">
        <v>1129.0</v>
      </c>
      <c r="C1130" s="16" t="s">
        <v>1637</v>
      </c>
      <c r="D1130" s="16" t="s">
        <v>184</v>
      </c>
      <c r="E1130" s="16" t="s">
        <v>219</v>
      </c>
      <c r="F1130" s="16" t="s">
        <v>215</v>
      </c>
      <c r="G1130" s="16" t="s">
        <v>232</v>
      </c>
      <c r="H1130" s="16" t="s">
        <v>233</v>
      </c>
    </row>
    <row r="1131" ht="20.25" customHeight="1">
      <c r="A1131" s="32" t="str">
        <f>IMAGE("https://gymvisual.com/13403-catalog_default/cable-squatting-curl-female.jpg",4,500,500)</f>
        <v/>
      </c>
      <c r="B1131" s="30">
        <v>1130.0</v>
      </c>
      <c r="C1131" s="16" t="s">
        <v>1638</v>
      </c>
      <c r="D1131" s="16" t="s">
        <v>184</v>
      </c>
      <c r="E1131" s="16" t="s">
        <v>219</v>
      </c>
      <c r="F1131" s="16" t="s">
        <v>215</v>
      </c>
      <c r="G1131" s="16" t="s">
        <v>220</v>
      </c>
      <c r="H1131" s="16" t="s">
        <v>220</v>
      </c>
    </row>
    <row r="1132" ht="20.25" customHeight="1">
      <c r="A1132" s="32" t="str">
        <f>IMAGE("https://gymvisual.com/11835-catalog_default/cable-stand-up-female.jpg",4,500,500)</f>
        <v/>
      </c>
      <c r="B1132" s="30">
        <v>1131.0</v>
      </c>
      <c r="C1132" s="16" t="s">
        <v>1639</v>
      </c>
      <c r="D1132" s="16" t="s">
        <v>184</v>
      </c>
      <c r="E1132" s="16" t="s">
        <v>185</v>
      </c>
      <c r="F1132" s="16" t="s">
        <v>215</v>
      </c>
      <c r="G1132" s="16" t="s">
        <v>189</v>
      </c>
      <c r="H1132" s="16" t="s">
        <v>190</v>
      </c>
    </row>
    <row r="1133" ht="20.25" customHeight="1">
      <c r="A1133" s="32" t="str">
        <f>IMAGE("https://gymvisual.com/19417-catalog_default/cable-standing-alternate-low-fly.jpg",4,500,500)</f>
        <v/>
      </c>
      <c r="B1133" s="30">
        <v>1132.0</v>
      </c>
      <c r="C1133" s="16" t="s">
        <v>1640</v>
      </c>
      <c r="D1133" s="16" t="s">
        <v>184</v>
      </c>
      <c r="E1133" s="16" t="s">
        <v>234</v>
      </c>
      <c r="F1133" s="16" t="s">
        <v>215</v>
      </c>
      <c r="G1133" s="16" t="s">
        <v>220</v>
      </c>
      <c r="H1133" s="16" t="s">
        <v>220</v>
      </c>
    </row>
    <row r="1134" ht="20.25" customHeight="1">
      <c r="A1134" s="32" t="str">
        <f>IMAGE("https://gymvisual.com/694-catalog_default/cable-standing-back-wrist-curl.jpg",4,500,500)</f>
        <v/>
      </c>
      <c r="B1134" s="30">
        <v>1133.0</v>
      </c>
      <c r="C1134" s="16" t="s">
        <v>1641</v>
      </c>
      <c r="D1134" s="16" t="s">
        <v>184</v>
      </c>
      <c r="E1134" s="16" t="s">
        <v>214</v>
      </c>
      <c r="F1134" s="16" t="s">
        <v>215</v>
      </c>
      <c r="G1134" s="16" t="s">
        <v>720</v>
      </c>
      <c r="H1134" s="16" t="s">
        <v>220</v>
      </c>
    </row>
    <row r="1135" ht="20.25" customHeight="1">
      <c r="A1135" s="32" t="str">
        <f>IMAGE("https://gymvisual.com/13405-catalog_default/cable-standing-biceps-curl-with-rope-female.jpg",4,500,500)</f>
        <v/>
      </c>
      <c r="B1135" s="30">
        <v>1134.0</v>
      </c>
      <c r="C1135" s="16" t="s">
        <v>1642</v>
      </c>
      <c r="D1135" s="16" t="s">
        <v>184</v>
      </c>
      <c r="E1135" s="16" t="s">
        <v>219</v>
      </c>
      <c r="F1135" s="16" t="s">
        <v>215</v>
      </c>
      <c r="G1135" s="16" t="s">
        <v>220</v>
      </c>
      <c r="H1135" s="16" t="s">
        <v>220</v>
      </c>
    </row>
    <row r="1136" ht="20.25" customHeight="1">
      <c r="A1136" s="32" t="str">
        <f>IMAGE("https://gymvisual.com/6070-catalog_default/cable-standing-calf-raise.jpg",4,500,500)</f>
        <v/>
      </c>
      <c r="B1136" s="30">
        <v>1135.0</v>
      </c>
      <c r="C1136" s="16" t="s">
        <v>1643</v>
      </c>
      <c r="D1136" s="16" t="s">
        <v>184</v>
      </c>
      <c r="E1136" s="16" t="s">
        <v>325</v>
      </c>
      <c r="F1136" s="16" t="s">
        <v>215</v>
      </c>
      <c r="G1136" s="16" t="s">
        <v>368</v>
      </c>
      <c r="H1136" s="16" t="s">
        <v>463</v>
      </c>
    </row>
    <row r="1137" ht="20.25" customHeight="1">
      <c r="A1137" s="32" t="str">
        <f>IMAGE("https://gymvisual.com/20557-catalog_default/cable-standing-chest-press.jpg",4,500,500)</f>
        <v/>
      </c>
      <c r="B1137" s="30">
        <v>1136.0</v>
      </c>
      <c r="C1137" s="16" t="s">
        <v>1644</v>
      </c>
      <c r="D1137" s="16" t="s">
        <v>184</v>
      </c>
      <c r="E1137" s="16" t="s">
        <v>234</v>
      </c>
      <c r="F1137" s="16" t="s">
        <v>215</v>
      </c>
      <c r="G1137" s="16" t="s">
        <v>347</v>
      </c>
      <c r="H1137" s="16" t="s">
        <v>382</v>
      </c>
    </row>
    <row r="1138" ht="20.25" customHeight="1">
      <c r="A1138" s="32" t="str">
        <f>IMAGE("https://gymvisual.com/13670-catalog_default/cable-standing-chest-press.jpg",4,500,500)</f>
        <v/>
      </c>
      <c r="B1138" s="30">
        <v>1137.0</v>
      </c>
      <c r="C1138" s="16" t="s">
        <v>1644</v>
      </c>
      <c r="D1138" s="16" t="s">
        <v>184</v>
      </c>
      <c r="E1138" s="16" t="s">
        <v>234</v>
      </c>
      <c r="F1138" s="16" t="s">
        <v>215</v>
      </c>
      <c r="G1138" s="16" t="s">
        <v>235</v>
      </c>
      <c r="H1138" s="16" t="s">
        <v>220</v>
      </c>
    </row>
    <row r="1139" ht="20.25" customHeight="1">
      <c r="A1139" s="32" t="str">
        <f>IMAGE("https://gymvisual.com/23947-catalog_default/cable-standing-close-grip-row.jpg",4,500,500)</f>
        <v/>
      </c>
      <c r="B1139" s="30">
        <v>1138.0</v>
      </c>
      <c r="C1139" s="16" t="s">
        <v>1645</v>
      </c>
      <c r="D1139" s="16" t="s">
        <v>184</v>
      </c>
      <c r="E1139" s="16" t="s">
        <v>192</v>
      </c>
      <c r="F1139" s="16" t="s">
        <v>215</v>
      </c>
      <c r="G1139" s="16" t="s">
        <v>570</v>
      </c>
      <c r="H1139" s="16" t="s">
        <v>447</v>
      </c>
    </row>
    <row r="1140" ht="20.25" customHeight="1">
      <c r="A1140" s="32" t="str">
        <f>IMAGE("https://gymvisual.com/13681-catalog_default/cable-standing-close-press.jpg",4,500,500)</f>
        <v/>
      </c>
      <c r="B1140" s="30">
        <v>1139.0</v>
      </c>
      <c r="C1140" s="16" t="s">
        <v>1646</v>
      </c>
      <c r="D1140" s="16" t="s">
        <v>184</v>
      </c>
      <c r="E1140" s="16" t="s">
        <v>219</v>
      </c>
      <c r="F1140" s="16" t="s">
        <v>215</v>
      </c>
      <c r="G1140" s="16" t="s">
        <v>223</v>
      </c>
      <c r="H1140" s="16" t="s">
        <v>472</v>
      </c>
    </row>
    <row r="1141" ht="20.25" customHeight="1">
      <c r="A1141" s="32" t="str">
        <f>IMAGE("https://gymvisual.com/697-catalog_default/cable-standing-cross-over-high-reverse-fly.jpg",4,500,500)</f>
        <v/>
      </c>
      <c r="B1141" s="30">
        <v>1140.0</v>
      </c>
      <c r="C1141" s="16" t="s">
        <v>1647</v>
      </c>
      <c r="D1141" s="16" t="s">
        <v>184</v>
      </c>
      <c r="E1141" s="16" t="s">
        <v>228</v>
      </c>
      <c r="F1141" s="16" t="s">
        <v>215</v>
      </c>
      <c r="G1141" s="16" t="s">
        <v>408</v>
      </c>
      <c r="H1141" s="16" t="s">
        <v>452</v>
      </c>
    </row>
    <row r="1142" ht="20.25" customHeight="1">
      <c r="A1142" s="32" t="str">
        <f>IMAGE("https://gymvisual.com/24454-catalog_default/cable-standing-crossover-overhead-tricep-extension.jpg",4,500,500)</f>
        <v/>
      </c>
      <c r="B1142" s="30">
        <v>1141.0</v>
      </c>
      <c r="C1142" s="16" t="s">
        <v>1648</v>
      </c>
      <c r="D1142" s="16" t="s">
        <v>184</v>
      </c>
      <c r="E1142" s="16" t="s">
        <v>219</v>
      </c>
      <c r="F1142" s="16" t="s">
        <v>215</v>
      </c>
      <c r="G1142" s="16" t="s">
        <v>223</v>
      </c>
      <c r="H1142" s="16" t="s">
        <v>220</v>
      </c>
    </row>
    <row r="1143" ht="20.25" customHeight="1">
      <c r="A1143" s="32" t="str">
        <f>IMAGE("https://gymvisual.com/700-catalog_default/cable-standing-crunch.jpg",4,500,500)</f>
        <v/>
      </c>
      <c r="B1143" s="30">
        <v>1142.0</v>
      </c>
      <c r="C1143" s="16" t="s">
        <v>1649</v>
      </c>
      <c r="D1143" s="16" t="s">
        <v>184</v>
      </c>
      <c r="E1143" s="16" t="s">
        <v>254</v>
      </c>
      <c r="F1143" s="16" t="s">
        <v>215</v>
      </c>
      <c r="G1143" s="16" t="s">
        <v>256</v>
      </c>
      <c r="H1143" s="16" t="s">
        <v>257</v>
      </c>
    </row>
    <row r="1144" ht="20.25" customHeight="1">
      <c r="A1144" s="32" t="str">
        <f>IMAGE("https://gymvisual.com/11288-catalog_default/cable-standing-crunch-female.jpg",4,500,500)</f>
        <v/>
      </c>
      <c r="B1144" s="30">
        <v>1143.0</v>
      </c>
      <c r="C1144" s="16" t="s">
        <v>1650</v>
      </c>
      <c r="D1144" s="16" t="s">
        <v>184</v>
      </c>
      <c r="E1144" s="16" t="s">
        <v>254</v>
      </c>
      <c r="F1144" s="16" t="s">
        <v>215</v>
      </c>
      <c r="G1144" s="16" t="s">
        <v>220</v>
      </c>
      <c r="H1144" s="16" t="s">
        <v>220</v>
      </c>
    </row>
    <row r="1145" ht="20.25" customHeight="1">
      <c r="A1145" s="32" t="str">
        <f>IMAGE("https://gymvisual.com/25216-catalog_default/cable-standing-crunch-with-rope-attachment.jpg",4,500,500)</f>
        <v/>
      </c>
      <c r="B1145" s="30">
        <v>1144.0</v>
      </c>
      <c r="C1145" s="16" t="s">
        <v>1651</v>
      </c>
      <c r="D1145" s="16" t="s">
        <v>184</v>
      </c>
      <c r="E1145" s="16" t="s">
        <v>254</v>
      </c>
      <c r="F1145" s="16" t="s">
        <v>215</v>
      </c>
      <c r="G1145" s="16" t="s">
        <v>256</v>
      </c>
      <c r="H1145" s="16" t="s">
        <v>257</v>
      </c>
    </row>
    <row r="1146" ht="20.25" customHeight="1">
      <c r="A1146" s="32" t="str">
        <f>IMAGE("https://gymvisual.com/11519-catalog_default/cable-standing-crunch-with-rope-attachment-female.jpg",4,500,500)</f>
        <v/>
      </c>
      <c r="B1146" s="30">
        <v>1145.0</v>
      </c>
      <c r="C1146" s="16" t="s">
        <v>1652</v>
      </c>
      <c r="D1146" s="16" t="s">
        <v>184</v>
      </c>
      <c r="E1146" s="16" t="s">
        <v>254</v>
      </c>
      <c r="F1146" s="16" t="s">
        <v>215</v>
      </c>
      <c r="G1146" s="16" t="s">
        <v>256</v>
      </c>
      <c r="H1146" s="16" t="s">
        <v>257</v>
      </c>
    </row>
    <row r="1147" ht="20.25" customHeight="1">
      <c r="A1147" s="32" t="str">
        <f>IMAGE("https://gymvisual.com/24801-catalog_default/cable-standing-face-pull.jpg",4,500,500)</f>
        <v/>
      </c>
      <c r="B1147" s="30">
        <v>1146.0</v>
      </c>
      <c r="C1147" s="16" t="s">
        <v>1653</v>
      </c>
      <c r="D1147" s="16" t="s">
        <v>184</v>
      </c>
      <c r="E1147" s="16" t="s">
        <v>228</v>
      </c>
      <c r="F1147" s="16" t="s">
        <v>215</v>
      </c>
      <c r="G1147" s="16" t="s">
        <v>408</v>
      </c>
      <c r="H1147" s="16" t="s">
        <v>490</v>
      </c>
    </row>
    <row r="1148" ht="20.25" customHeight="1">
      <c r="A1148" s="32" t="str">
        <f>IMAGE("https://gymvisual.com/24928-catalog_default/cable-standing-face-pull-with-rope.jpg",4,500,500)</f>
        <v/>
      </c>
      <c r="B1148" s="30">
        <v>1147.0</v>
      </c>
      <c r="C1148" s="16" t="s">
        <v>1654</v>
      </c>
      <c r="D1148" s="16" t="s">
        <v>184</v>
      </c>
      <c r="E1148" s="16" t="s">
        <v>228</v>
      </c>
      <c r="F1148" s="16" t="s">
        <v>215</v>
      </c>
      <c r="G1148" s="16" t="s">
        <v>408</v>
      </c>
      <c r="H1148" s="16" t="s">
        <v>490</v>
      </c>
    </row>
    <row r="1149" ht="20.25" customHeight="1">
      <c r="A1149" s="32" t="str">
        <f>IMAGE("https://gymvisual.com/19325-catalog_default/cable-standing-fly.jpg",4,500,500)</f>
        <v/>
      </c>
      <c r="B1149" s="30">
        <v>1148.0</v>
      </c>
      <c r="C1149" s="16" t="s">
        <v>1655</v>
      </c>
      <c r="D1149" s="16" t="s">
        <v>184</v>
      </c>
      <c r="E1149" s="16" t="s">
        <v>234</v>
      </c>
      <c r="F1149" s="16" t="s">
        <v>215</v>
      </c>
      <c r="G1149" s="16" t="s">
        <v>347</v>
      </c>
      <c r="H1149" s="16" t="s">
        <v>882</v>
      </c>
    </row>
    <row r="1150" ht="20.25" customHeight="1">
      <c r="A1150" s="32" t="str">
        <f>IMAGE("https://gymvisual.com/17460-catalog_default/cable-standing-front-raise-variation.jpg",4,500,500)</f>
        <v/>
      </c>
      <c r="B1150" s="30">
        <v>1149.0</v>
      </c>
      <c r="C1150" s="16" t="s">
        <v>1656</v>
      </c>
      <c r="D1150" s="16" t="s">
        <v>184</v>
      </c>
      <c r="E1150" s="16" t="s">
        <v>228</v>
      </c>
      <c r="F1150" s="16" t="s">
        <v>215</v>
      </c>
      <c r="G1150" s="16" t="s">
        <v>229</v>
      </c>
      <c r="H1150" s="16" t="s">
        <v>1657</v>
      </c>
    </row>
    <row r="1151" ht="20.25" customHeight="1">
      <c r="A1151" s="32" t="str">
        <f>IMAGE("https://gymvisual.com/20050-catalog_default/cable-standing-high-cross-triceps-extension.jpg",4,500,500)</f>
        <v/>
      </c>
      <c r="B1151" s="30">
        <v>1150.0</v>
      </c>
      <c r="C1151" s="16" t="s">
        <v>1658</v>
      </c>
      <c r="D1151" s="16" t="s">
        <v>184</v>
      </c>
      <c r="E1151" s="16" t="s">
        <v>219</v>
      </c>
      <c r="F1151" s="16" t="s">
        <v>215</v>
      </c>
      <c r="G1151" s="16" t="s">
        <v>223</v>
      </c>
      <c r="H1151" s="16" t="s">
        <v>220</v>
      </c>
    </row>
    <row r="1152" ht="20.25" customHeight="1">
      <c r="A1152" s="32" t="str">
        <f>IMAGE("https://gymvisual.com/706-catalog_default/cable-standing-hip-extension.jpg",4,500,500)</f>
        <v/>
      </c>
      <c r="B1152" s="30">
        <v>1151.0</v>
      </c>
      <c r="C1152" s="16" t="s">
        <v>1659</v>
      </c>
      <c r="D1152" s="16" t="s">
        <v>184</v>
      </c>
      <c r="E1152" s="16" t="s">
        <v>185</v>
      </c>
      <c r="F1152" s="16" t="s">
        <v>215</v>
      </c>
      <c r="G1152" s="16" t="s">
        <v>187</v>
      </c>
      <c r="H1152" s="16" t="s">
        <v>188</v>
      </c>
    </row>
    <row r="1153" ht="20.25" customHeight="1">
      <c r="A1153" s="32" t="str">
        <f>IMAGE("https://gymvisual.com/2770-catalog_default/cable-standing-hip-extension-version-2.jpg",4,500,500)</f>
        <v/>
      </c>
      <c r="B1153" s="30">
        <v>1152.0</v>
      </c>
      <c r="C1153" s="16" t="s">
        <v>1660</v>
      </c>
      <c r="D1153" s="16" t="s">
        <v>184</v>
      </c>
      <c r="E1153" s="16" t="s">
        <v>185</v>
      </c>
      <c r="F1153" s="16" t="s">
        <v>215</v>
      </c>
      <c r="G1153" s="16" t="s">
        <v>187</v>
      </c>
      <c r="H1153" s="16" t="s">
        <v>188</v>
      </c>
    </row>
    <row r="1154" ht="20.25" customHeight="1">
      <c r="A1154" s="32" t="str">
        <f>IMAGE("https://gymvisual.com/11801-catalog_default/cable-standing-hip-thrust-female.jpg",4,500,500)</f>
        <v/>
      </c>
      <c r="B1154" s="30">
        <v>1153.0</v>
      </c>
      <c r="C1154" s="16" t="s">
        <v>1661</v>
      </c>
      <c r="D1154" s="16" t="s">
        <v>184</v>
      </c>
      <c r="E1154" s="16" t="s">
        <v>185</v>
      </c>
      <c r="F1154" s="16" t="s">
        <v>346</v>
      </c>
      <c r="G1154" s="16" t="s">
        <v>220</v>
      </c>
      <c r="H1154" s="16" t="s">
        <v>220</v>
      </c>
    </row>
    <row r="1155" ht="20.25" customHeight="1">
      <c r="A1155" s="32" t="str">
        <f>IMAGE("https://gymvisual.com/709-catalog_default/cable-standing-inner-curl.jpg",4,500,500)</f>
        <v/>
      </c>
      <c r="B1155" s="30">
        <v>1154.0</v>
      </c>
      <c r="C1155" s="16" t="s">
        <v>1662</v>
      </c>
      <c r="D1155" s="16" t="s">
        <v>184</v>
      </c>
      <c r="E1155" s="16" t="s">
        <v>219</v>
      </c>
      <c r="F1155" s="16" t="s">
        <v>215</v>
      </c>
      <c r="G1155" s="16" t="s">
        <v>241</v>
      </c>
      <c r="H1155" s="16" t="s">
        <v>232</v>
      </c>
    </row>
    <row r="1156" ht="20.25" customHeight="1">
      <c r="A1156" s="32" t="str">
        <f>IMAGE("https://gymvisual.com/11294-catalog_default/cable-standing-inner-curl-female.jpg",4,500,500)</f>
        <v/>
      </c>
      <c r="B1156" s="30">
        <v>1155.0</v>
      </c>
      <c r="C1156" s="16" t="s">
        <v>1663</v>
      </c>
      <c r="D1156" s="16" t="s">
        <v>184</v>
      </c>
      <c r="E1156" s="16" t="s">
        <v>219</v>
      </c>
      <c r="F1156" s="16" t="s">
        <v>215</v>
      </c>
      <c r="G1156" s="16" t="s">
        <v>241</v>
      </c>
      <c r="H1156" s="16" t="s">
        <v>292</v>
      </c>
    </row>
    <row r="1157" ht="20.25" customHeight="1">
      <c r="A1157" s="32" t="str">
        <f>IMAGE("https://gymvisual.com/4600-catalog_default/cable-standing-lat-pushdown-rope-equipment.jpg",4,500,500)</f>
        <v/>
      </c>
      <c r="B1157" s="30">
        <v>1156.0</v>
      </c>
      <c r="C1157" s="16" t="s">
        <v>1664</v>
      </c>
      <c r="D1157" s="16" t="s">
        <v>184</v>
      </c>
      <c r="E1157" s="16" t="s">
        <v>192</v>
      </c>
      <c r="F1157" s="16" t="s">
        <v>215</v>
      </c>
      <c r="G1157" s="16" t="s">
        <v>300</v>
      </c>
      <c r="H1157" s="16" t="s">
        <v>781</v>
      </c>
    </row>
    <row r="1158" ht="20.25" customHeight="1">
      <c r="A1158" s="32" t="str">
        <f>IMAGE("https://gymvisual.com/6794-catalog_default/cable-standing-leg-curl.jpg",4,500,500)</f>
        <v/>
      </c>
      <c r="B1158" s="30">
        <v>1157.0</v>
      </c>
      <c r="C1158" s="16" t="s">
        <v>1665</v>
      </c>
      <c r="D1158" s="16" t="s">
        <v>184</v>
      </c>
      <c r="E1158" s="16" t="s">
        <v>285</v>
      </c>
      <c r="F1158" s="16" t="s">
        <v>215</v>
      </c>
      <c r="G1158" s="16" t="s">
        <v>220</v>
      </c>
      <c r="H1158" s="16" t="s">
        <v>220</v>
      </c>
    </row>
    <row r="1159" ht="20.25" customHeight="1">
      <c r="A1159" s="32" t="str">
        <f>IMAGE("https://gymvisual.com/712-catalog_default/cable-standing-lift.jpg",4,500,500)</f>
        <v/>
      </c>
      <c r="B1159" s="30">
        <v>1158.0</v>
      </c>
      <c r="C1159" s="16" t="s">
        <v>1666</v>
      </c>
      <c r="D1159" s="16" t="s">
        <v>184</v>
      </c>
      <c r="E1159" s="16" t="s">
        <v>254</v>
      </c>
      <c r="F1159" s="16" t="s">
        <v>215</v>
      </c>
      <c r="G1159" s="16" t="s">
        <v>257</v>
      </c>
      <c r="H1159" s="16" t="s">
        <v>1667</v>
      </c>
    </row>
    <row r="1160" ht="20.25" customHeight="1">
      <c r="A1160" s="32" t="str">
        <f>IMAGE("https://gymvisual.com/23041-catalog_default/cable-standing-one-arm-hammer-curl-with-rope-attachment.jpg",4,500,500)</f>
        <v/>
      </c>
      <c r="B1160" s="30">
        <v>1159.0</v>
      </c>
      <c r="C1160" s="16" t="s">
        <v>1668</v>
      </c>
      <c r="D1160" s="16" t="s">
        <v>184</v>
      </c>
      <c r="E1160" s="16" t="s">
        <v>219</v>
      </c>
      <c r="F1160" s="16" t="s">
        <v>215</v>
      </c>
      <c r="G1160" s="16" t="s">
        <v>220</v>
      </c>
      <c r="H1160" s="16" t="s">
        <v>220</v>
      </c>
    </row>
    <row r="1161" ht="20.25" customHeight="1">
      <c r="A1161" s="32" t="str">
        <f>IMAGE("https://gymvisual.com/4598-catalog_default/cable-standing-one-arm-tricep-pushdown-overhand-grip.jpg",4,500,500)</f>
        <v/>
      </c>
      <c r="B1161" s="30">
        <v>1160.0</v>
      </c>
      <c r="C1161" s="16" t="s">
        <v>1669</v>
      </c>
      <c r="D1161" s="16" t="s">
        <v>184</v>
      </c>
      <c r="E1161" s="16" t="s">
        <v>219</v>
      </c>
      <c r="F1161" s="16" t="s">
        <v>215</v>
      </c>
      <c r="G1161" s="16" t="s">
        <v>223</v>
      </c>
      <c r="H1161" s="16" t="s">
        <v>220</v>
      </c>
    </row>
    <row r="1162" ht="20.25" customHeight="1">
      <c r="A1162" s="32" t="str">
        <f>IMAGE("https://gymvisual.com/25649-catalog_default/cable-standing-one-arm-triceps-extension.jpg",4,500,500)</f>
        <v/>
      </c>
      <c r="B1162" s="30">
        <v>1161.0</v>
      </c>
      <c r="C1162" s="16" t="s">
        <v>1670</v>
      </c>
      <c r="D1162" s="16" t="s">
        <v>184</v>
      </c>
      <c r="E1162" s="16" t="s">
        <v>219</v>
      </c>
      <c r="F1162" s="16" t="s">
        <v>215</v>
      </c>
      <c r="G1162" s="16" t="s">
        <v>223</v>
      </c>
      <c r="H1162" s="16" t="s">
        <v>220</v>
      </c>
    </row>
    <row r="1163" ht="20.25" customHeight="1">
      <c r="A1163" s="32" t="str">
        <f>IMAGE("https://gymvisual.com/11585-catalog_default/cable-standing-one-arm-triceps-extension-female.jpg",4,500,500)</f>
        <v/>
      </c>
      <c r="B1163" s="30">
        <v>1162.0</v>
      </c>
      <c r="C1163" s="16" t="s">
        <v>1671</v>
      </c>
      <c r="D1163" s="16" t="s">
        <v>184</v>
      </c>
      <c r="E1163" s="16" t="s">
        <v>219</v>
      </c>
      <c r="F1163" s="16" t="s">
        <v>215</v>
      </c>
      <c r="G1163" s="16" t="s">
        <v>223</v>
      </c>
      <c r="H1163" s="16" t="s">
        <v>220</v>
      </c>
    </row>
    <row r="1164" ht="20.25" customHeight="1">
      <c r="A1164" s="32" t="str">
        <f>IMAGE("https://gymvisual.com/6071-catalog_default/cable-standing-one-leg-calf-raise.jpg",4,500,500)</f>
        <v/>
      </c>
      <c r="B1164" s="30">
        <v>1163.0</v>
      </c>
      <c r="C1164" s="16" t="s">
        <v>1672</v>
      </c>
      <c r="D1164" s="16" t="s">
        <v>184</v>
      </c>
      <c r="E1164" s="16" t="s">
        <v>325</v>
      </c>
      <c r="F1164" s="16" t="s">
        <v>215</v>
      </c>
      <c r="G1164" s="16" t="s">
        <v>368</v>
      </c>
      <c r="H1164" s="16" t="s">
        <v>463</v>
      </c>
    </row>
    <row r="1165" ht="20.25" customHeight="1">
      <c r="A1165" s="32" t="str">
        <f>IMAGE("https://gymvisual.com/718-catalog_default/cable-standing-pulldown-with-rope.jpg",4,500,500)</f>
        <v/>
      </c>
      <c r="B1165" s="30">
        <v>1164.0</v>
      </c>
      <c r="C1165" s="16" t="s">
        <v>1673</v>
      </c>
      <c r="D1165" s="16" t="s">
        <v>184</v>
      </c>
      <c r="E1165" s="16" t="s">
        <v>214</v>
      </c>
      <c r="F1165" s="16" t="s">
        <v>215</v>
      </c>
      <c r="G1165" s="16" t="s">
        <v>216</v>
      </c>
      <c r="H1165" s="16" t="s">
        <v>217</v>
      </c>
    </row>
    <row r="1166" ht="20.25" customHeight="1">
      <c r="A1166" s="32" t="str">
        <f>IMAGE("https://gymvisual.com/12978-catalog_default/cable-standing-rear-delt-horizontal-row-with-rope.jpg",4,500,500)</f>
        <v/>
      </c>
      <c r="B1166" s="30">
        <v>1165.0</v>
      </c>
      <c r="C1166" s="16" t="s">
        <v>1674</v>
      </c>
      <c r="D1166" s="16" t="s">
        <v>184</v>
      </c>
      <c r="E1166" s="16" t="s">
        <v>228</v>
      </c>
      <c r="F1166" s="16" t="s">
        <v>215</v>
      </c>
      <c r="G1166" s="16" t="s">
        <v>408</v>
      </c>
      <c r="H1166" s="16" t="s">
        <v>731</v>
      </c>
    </row>
    <row r="1167" ht="20.25" customHeight="1">
      <c r="A1167" s="32" t="str">
        <f>IMAGE("https://gymvisual.com/24816-catalog_default/cable-standing-rear-delt-row-with-rope.jpg",4,500,500)</f>
        <v/>
      </c>
      <c r="B1167" s="30">
        <v>1166.0</v>
      </c>
      <c r="C1167" s="16" t="s">
        <v>1675</v>
      </c>
      <c r="D1167" s="16" t="s">
        <v>184</v>
      </c>
      <c r="E1167" s="16" t="s">
        <v>228</v>
      </c>
      <c r="F1167" s="16" t="s">
        <v>215</v>
      </c>
      <c r="G1167" s="16" t="s">
        <v>408</v>
      </c>
      <c r="H1167" s="16" t="s">
        <v>490</v>
      </c>
    </row>
    <row r="1168" ht="20.25" customHeight="1">
      <c r="A1168" s="32" t="str">
        <f>IMAGE("https://gymvisual.com/12052-catalog_default/cable-standing-rear-delt-row-with-rope-female.jpg",4,500,500)</f>
        <v/>
      </c>
      <c r="B1168" s="30">
        <v>1167.0</v>
      </c>
      <c r="C1168" s="16" t="s">
        <v>1676</v>
      </c>
      <c r="D1168" s="16" t="s">
        <v>184</v>
      </c>
      <c r="E1168" s="16" t="s">
        <v>228</v>
      </c>
      <c r="F1168" s="16" t="s">
        <v>215</v>
      </c>
      <c r="G1168" s="16" t="s">
        <v>408</v>
      </c>
      <c r="H1168" s="16" t="s">
        <v>452</v>
      </c>
    </row>
    <row r="1169" ht="20.25" customHeight="1">
      <c r="A1169" s="32" t="str">
        <f>IMAGE("https://gymvisual.com/12240-catalog_default/cable-standing-reverse-grip-curl-straight-bar.jpg",4,500,500)</f>
        <v/>
      </c>
      <c r="B1169" s="30">
        <v>1168.0</v>
      </c>
      <c r="C1169" s="16" t="s">
        <v>1677</v>
      </c>
      <c r="D1169" s="16" t="s">
        <v>184</v>
      </c>
      <c r="E1169" s="16" t="s">
        <v>214</v>
      </c>
      <c r="F1169" s="16" t="s">
        <v>215</v>
      </c>
      <c r="G1169" s="16" t="s">
        <v>216</v>
      </c>
      <c r="H1169" s="16" t="s">
        <v>217</v>
      </c>
    </row>
    <row r="1170" ht="20.25" customHeight="1">
      <c r="A1170" s="32" t="str">
        <f>IMAGE("https://gymvisual.com/12239-catalog_default/cable-standing-reverse-grip-curl-straight-bar-female.jpg",4,500,500)</f>
        <v/>
      </c>
      <c r="B1170" s="30">
        <v>1169.0</v>
      </c>
      <c r="C1170" s="16" t="s">
        <v>1678</v>
      </c>
      <c r="D1170" s="16" t="s">
        <v>184</v>
      </c>
      <c r="E1170" s="16" t="s">
        <v>214</v>
      </c>
      <c r="F1170" s="16" t="s">
        <v>215</v>
      </c>
      <c r="G1170" s="16" t="s">
        <v>216</v>
      </c>
      <c r="H1170" s="16" t="s">
        <v>217</v>
      </c>
    </row>
    <row r="1171" ht="20.25" customHeight="1">
      <c r="A1171" s="32" t="str">
        <f>IMAGE("https://gymvisual.com/7446-catalog_default/cable-standing-reverse-grip-one-arm-overhead-tricep-extension.jpg",4,500,500)</f>
        <v/>
      </c>
      <c r="B1171" s="30">
        <v>1170.0</v>
      </c>
      <c r="C1171" s="16" t="s">
        <v>1679</v>
      </c>
      <c r="D1171" s="16" t="s">
        <v>184</v>
      </c>
      <c r="E1171" s="16" t="s">
        <v>219</v>
      </c>
      <c r="F1171" s="16" t="s">
        <v>215</v>
      </c>
      <c r="G1171" s="16" t="s">
        <v>220</v>
      </c>
      <c r="H1171" s="16" t="s">
        <v>220</v>
      </c>
    </row>
    <row r="1172" ht="20.25" customHeight="1">
      <c r="A1172" s="32" t="str">
        <f>IMAGE("https://gymvisual.com/21050-catalog_default/cable-standing-row.jpg",4,500,500)</f>
        <v/>
      </c>
      <c r="B1172" s="30">
        <v>1171.0</v>
      </c>
      <c r="C1172" s="16" t="s">
        <v>1680</v>
      </c>
      <c r="D1172" s="16" t="s">
        <v>184</v>
      </c>
      <c r="E1172" s="16" t="s">
        <v>192</v>
      </c>
      <c r="F1172" s="16" t="s">
        <v>215</v>
      </c>
      <c r="G1172" s="16" t="s">
        <v>570</v>
      </c>
      <c r="H1172" s="16" t="s">
        <v>447</v>
      </c>
    </row>
    <row r="1173" ht="20.25" customHeight="1">
      <c r="A1173" s="32" t="str">
        <f>IMAGE("https://gymvisual.com/724-catalog_default/cable-standing-row-v-bar.jpg",4,500,500)</f>
        <v/>
      </c>
      <c r="B1173" s="30">
        <v>1172.0</v>
      </c>
      <c r="C1173" s="16" t="s">
        <v>1681</v>
      </c>
      <c r="D1173" s="16" t="s">
        <v>184</v>
      </c>
      <c r="E1173" s="16" t="s">
        <v>192</v>
      </c>
      <c r="F1173" s="16" t="s">
        <v>215</v>
      </c>
      <c r="G1173" s="16" t="s">
        <v>329</v>
      </c>
      <c r="H1173" s="16" t="s">
        <v>457</v>
      </c>
    </row>
    <row r="1174" ht="20.25" customHeight="1">
      <c r="A1174" s="32" t="str">
        <f>IMAGE("https://gymvisual.com/26418-catalog_default/cable-standing-shoulder-external-rotation.jpg",4,500,500)</f>
        <v/>
      </c>
      <c r="B1174" s="30">
        <v>1173.0</v>
      </c>
      <c r="C1174" s="16" t="s">
        <v>1682</v>
      </c>
      <c r="D1174" s="16" t="s">
        <v>184</v>
      </c>
      <c r="E1174" s="16" t="s">
        <v>192</v>
      </c>
      <c r="F1174" s="16" t="s">
        <v>215</v>
      </c>
      <c r="G1174" s="16" t="s">
        <v>1607</v>
      </c>
      <c r="H1174" s="16" t="s">
        <v>408</v>
      </c>
    </row>
    <row r="1175" ht="20.25" customHeight="1">
      <c r="A1175" s="32" t="str">
        <f>IMAGE("https://gymvisual.com/11522-catalog_default/cable-standing-shoulder-external-rotation-female.jpg",4,500,500)</f>
        <v/>
      </c>
      <c r="B1175" s="30">
        <v>1174.0</v>
      </c>
      <c r="C1175" s="16" t="s">
        <v>1683</v>
      </c>
      <c r="D1175" s="16" t="s">
        <v>184</v>
      </c>
      <c r="E1175" s="16" t="s">
        <v>192</v>
      </c>
      <c r="F1175" s="16" t="s">
        <v>215</v>
      </c>
      <c r="G1175" s="16" t="s">
        <v>220</v>
      </c>
      <c r="H1175" s="16" t="s">
        <v>220</v>
      </c>
    </row>
    <row r="1176" ht="20.25" customHeight="1">
      <c r="A1176" s="32" t="str">
        <f>IMAGE("https://gymvisual.com/730-catalog_default/cable-standing-twist-row-v-bar.jpg",4,500,500)</f>
        <v/>
      </c>
      <c r="B1176" s="30">
        <v>1175.0</v>
      </c>
      <c r="C1176" s="16" t="s">
        <v>1684</v>
      </c>
      <c r="D1176" s="16" t="s">
        <v>184</v>
      </c>
      <c r="E1176" s="16" t="s">
        <v>192</v>
      </c>
      <c r="F1176" s="16" t="s">
        <v>215</v>
      </c>
      <c r="G1176" s="16" t="s">
        <v>329</v>
      </c>
      <c r="H1176" s="16" t="s">
        <v>579</v>
      </c>
    </row>
    <row r="1177" ht="20.25" customHeight="1">
      <c r="A1177" s="32" t="str">
        <f>IMAGE("https://gymvisual.com/5958-catalog_default/cable-standing-up-straight-crossovers.jpg",4,500,500)</f>
        <v/>
      </c>
      <c r="B1177" s="30">
        <v>1176.0</v>
      </c>
      <c r="C1177" s="16" t="s">
        <v>1685</v>
      </c>
      <c r="D1177" s="16" t="s">
        <v>184</v>
      </c>
      <c r="E1177" s="16" t="s">
        <v>234</v>
      </c>
      <c r="F1177" s="16" t="s">
        <v>215</v>
      </c>
      <c r="G1177" s="16" t="s">
        <v>347</v>
      </c>
      <c r="H1177" s="16" t="s">
        <v>420</v>
      </c>
    </row>
    <row r="1178" ht="20.25" customHeight="1">
      <c r="A1178" s="32" t="str">
        <f>IMAGE("https://gymvisual.com/10365-catalog_default/cable-standing-up-straight-crossovers-female.jpg",4,500,500)</f>
        <v/>
      </c>
      <c r="B1178" s="30">
        <v>1177.0</v>
      </c>
      <c r="C1178" s="16" t="s">
        <v>1686</v>
      </c>
      <c r="D1178" s="16" t="s">
        <v>184</v>
      </c>
      <c r="E1178" s="16" t="s">
        <v>234</v>
      </c>
      <c r="F1178" s="16" t="s">
        <v>215</v>
      </c>
      <c r="G1178" s="16" t="s">
        <v>347</v>
      </c>
      <c r="H1178" s="16" t="s">
        <v>420</v>
      </c>
    </row>
    <row r="1179" ht="20.25" customHeight="1">
      <c r="A1179" s="32" t="str">
        <f>IMAGE("https://gymvisual.com/11997-catalog_default/cable-stiff-leg-deadlift-from-stepbox.jpg",4,500,500)</f>
        <v/>
      </c>
      <c r="B1179" s="30">
        <v>1178.0</v>
      </c>
      <c r="C1179" s="16" t="s">
        <v>1687</v>
      </c>
      <c r="D1179" s="16" t="s">
        <v>184</v>
      </c>
      <c r="E1179" s="16" t="s">
        <v>185</v>
      </c>
      <c r="F1179" s="16" t="s">
        <v>215</v>
      </c>
      <c r="G1179" s="16" t="s">
        <v>267</v>
      </c>
      <c r="H1179" s="16" t="s">
        <v>188</v>
      </c>
    </row>
    <row r="1180" ht="20.25" customHeight="1">
      <c r="A1180" s="32" t="str">
        <f>IMAGE("https://gymvisual.com/736-catalog_default/cable-straight-arm-pulldown.jpg",4,500,500)</f>
        <v/>
      </c>
      <c r="B1180" s="30">
        <v>1179.0</v>
      </c>
      <c r="C1180" s="16" t="s">
        <v>1688</v>
      </c>
      <c r="D1180" s="16" t="s">
        <v>184</v>
      </c>
      <c r="E1180" s="16" t="s">
        <v>192</v>
      </c>
      <c r="F1180" s="16" t="s">
        <v>215</v>
      </c>
      <c r="G1180" s="16" t="s">
        <v>300</v>
      </c>
      <c r="H1180" s="16" t="s">
        <v>1507</v>
      </c>
    </row>
    <row r="1181" ht="20.25" customHeight="1">
      <c r="A1181" s="32" t="str">
        <f>IMAGE("https://gymvisual.com/4094-catalog_default/cable-straight-arm-pulldown-version-2.jpg",4,500,500)</f>
        <v/>
      </c>
      <c r="B1181" s="30">
        <v>1180.0</v>
      </c>
      <c r="C1181" s="16" t="s">
        <v>1689</v>
      </c>
      <c r="D1181" s="16" t="s">
        <v>184</v>
      </c>
      <c r="E1181" s="16" t="s">
        <v>192</v>
      </c>
      <c r="F1181" s="16" t="s">
        <v>215</v>
      </c>
      <c r="G1181" s="16" t="s">
        <v>300</v>
      </c>
      <c r="H1181" s="16" t="s">
        <v>687</v>
      </c>
    </row>
    <row r="1182" ht="20.25" customHeight="1">
      <c r="A1182" s="32" t="str">
        <f>IMAGE("https://gymvisual.com/16054-catalog_default/cable-straight-arm-pulldown-with-rope.jpg",4,500,500)</f>
        <v/>
      </c>
      <c r="B1182" s="30">
        <v>1181.0</v>
      </c>
      <c r="C1182" s="16" t="s">
        <v>1690</v>
      </c>
      <c r="D1182" s="16" t="s">
        <v>184</v>
      </c>
      <c r="E1182" s="16" t="s">
        <v>192</v>
      </c>
      <c r="F1182" s="16" t="s">
        <v>215</v>
      </c>
      <c r="G1182" s="16" t="s">
        <v>300</v>
      </c>
      <c r="H1182" s="16" t="s">
        <v>1507</v>
      </c>
    </row>
    <row r="1183" ht="20.25" customHeight="1">
      <c r="A1183" s="32" t="str">
        <f>IMAGE("https://gymvisual.com/7321-catalog_default/cable-straight-back-seated-row.jpg",4,500,500)</f>
        <v/>
      </c>
      <c r="B1183" s="30">
        <v>1182.0</v>
      </c>
      <c r="C1183" s="16" t="s">
        <v>1691</v>
      </c>
      <c r="D1183" s="16" t="s">
        <v>184</v>
      </c>
      <c r="E1183" s="16" t="s">
        <v>192</v>
      </c>
      <c r="F1183" s="16" t="s">
        <v>215</v>
      </c>
      <c r="G1183" s="16" t="s">
        <v>329</v>
      </c>
      <c r="H1183" s="16" t="s">
        <v>457</v>
      </c>
    </row>
    <row r="1184" ht="20.25" customHeight="1">
      <c r="A1184" s="32" t="str">
        <f>IMAGE("https://gymvisual.com/13407-catalog_default/cable-straight-back-seated-row-female.jpg",4,500,500)</f>
        <v/>
      </c>
      <c r="B1184" s="30">
        <v>1183.0</v>
      </c>
      <c r="C1184" s="16" t="s">
        <v>1692</v>
      </c>
      <c r="D1184" s="16" t="s">
        <v>184</v>
      </c>
      <c r="E1184" s="16" t="s">
        <v>192</v>
      </c>
      <c r="F1184" s="16" t="s">
        <v>215</v>
      </c>
      <c r="G1184" s="16" t="s">
        <v>570</v>
      </c>
      <c r="H1184" s="16" t="s">
        <v>447</v>
      </c>
    </row>
    <row r="1185" ht="20.25" customHeight="1">
      <c r="A1185" s="32" t="str">
        <f>IMAGE("https://gymvisual.com/10151-catalog_default/cable-straight-legs-pull-through-with-rope-female.jpg",4,500,500)</f>
        <v/>
      </c>
      <c r="B1185" s="30">
        <v>1184.0</v>
      </c>
      <c r="C1185" s="16" t="s">
        <v>1693</v>
      </c>
      <c r="D1185" s="16" t="s">
        <v>184</v>
      </c>
      <c r="E1185" s="16" t="s">
        <v>185</v>
      </c>
      <c r="F1185" s="16" t="s">
        <v>215</v>
      </c>
      <c r="G1185" s="16" t="s">
        <v>187</v>
      </c>
      <c r="H1185" s="16" t="s">
        <v>188</v>
      </c>
    </row>
    <row r="1186" ht="20.25" customHeight="1">
      <c r="A1186" s="32" t="str">
        <f>IMAGE("https://gymvisual.com/18892-catalog_default/cable-supine-reverse-fly.jpg",4,500,500)</f>
        <v/>
      </c>
      <c r="B1186" s="30">
        <v>1185.0</v>
      </c>
      <c r="C1186" s="16" t="s">
        <v>1694</v>
      </c>
      <c r="D1186" s="16" t="s">
        <v>184</v>
      </c>
      <c r="E1186" s="16" t="s">
        <v>228</v>
      </c>
      <c r="F1186" s="16" t="s">
        <v>215</v>
      </c>
      <c r="G1186" s="16" t="s">
        <v>408</v>
      </c>
      <c r="H1186" s="16" t="s">
        <v>1695</v>
      </c>
    </row>
    <row r="1187" ht="20.25" customHeight="1">
      <c r="A1187" s="32" t="str">
        <f>IMAGE("https://gymvisual.com/10571-catalog_default/cable-thibaudeau-kayak-row.jpg",4,500,500)</f>
        <v/>
      </c>
      <c r="B1187" s="30">
        <v>1186.0</v>
      </c>
      <c r="C1187" s="16" t="s">
        <v>1696</v>
      </c>
      <c r="D1187" s="16" t="s">
        <v>184</v>
      </c>
      <c r="E1187" s="16" t="s">
        <v>361</v>
      </c>
      <c r="F1187" s="16" t="s">
        <v>215</v>
      </c>
      <c r="G1187" s="16" t="s">
        <v>1697</v>
      </c>
      <c r="H1187" s="16" t="s">
        <v>1698</v>
      </c>
    </row>
    <row r="1188" ht="20.25" customHeight="1">
      <c r="A1188" s="32" t="str">
        <f>IMAGE("https://gymvisual.com/6946-catalog_default/cable-triceps-pushdown-sz-bar.jpg",4,500,500)</f>
        <v/>
      </c>
      <c r="B1188" s="30">
        <v>1187.0</v>
      </c>
      <c r="C1188" s="16" t="s">
        <v>1699</v>
      </c>
      <c r="D1188" s="16" t="s">
        <v>184</v>
      </c>
      <c r="E1188" s="16" t="s">
        <v>219</v>
      </c>
      <c r="F1188" s="16" t="s">
        <v>215</v>
      </c>
      <c r="G1188" s="16" t="s">
        <v>223</v>
      </c>
      <c r="H1188" s="16" t="s">
        <v>220</v>
      </c>
    </row>
    <row r="1189" ht="20.25" customHeight="1">
      <c r="A1189" s="32" t="str">
        <f>IMAGE("https://gymvisual.com/9661-catalog_default/cable-triceps-pushdown-v-bar-female.jpg",4,500,500)</f>
        <v/>
      </c>
      <c r="B1189" s="30">
        <v>1188.0</v>
      </c>
      <c r="C1189" s="16" t="s">
        <v>1700</v>
      </c>
      <c r="D1189" s="16" t="s">
        <v>184</v>
      </c>
      <c r="E1189" s="16" t="s">
        <v>219</v>
      </c>
      <c r="F1189" s="16" t="s">
        <v>215</v>
      </c>
      <c r="G1189" s="16" t="s">
        <v>223</v>
      </c>
      <c r="H1189" s="16" t="s">
        <v>220</v>
      </c>
    </row>
    <row r="1190" ht="20.25" customHeight="1">
      <c r="A1190" s="32" t="str">
        <f>IMAGE("https://gymvisual.com/745-catalog_default/cable-triceps-pushdown-v-bar.jpg",4,500,500)</f>
        <v/>
      </c>
      <c r="B1190" s="30">
        <v>1189.0</v>
      </c>
      <c r="C1190" s="16" t="s">
        <v>1701</v>
      </c>
      <c r="D1190" s="16" t="s">
        <v>184</v>
      </c>
      <c r="E1190" s="16" t="s">
        <v>219</v>
      </c>
      <c r="F1190" s="16" t="s">
        <v>215</v>
      </c>
      <c r="G1190" s="16" t="s">
        <v>223</v>
      </c>
      <c r="H1190" s="16" t="s">
        <v>220</v>
      </c>
    </row>
    <row r="1191" ht="20.25" customHeight="1">
      <c r="A1191" s="32" t="str">
        <f>IMAGE("https://gymvisual.com/18876-catalog_default/cable-triceps-pushdown-v-bar-version-2.jpg",4,500,500)</f>
        <v/>
      </c>
      <c r="B1191" s="30">
        <v>1190.0</v>
      </c>
      <c r="C1191" s="16" t="s">
        <v>1702</v>
      </c>
      <c r="D1191" s="16" t="s">
        <v>184</v>
      </c>
      <c r="E1191" s="16" t="s">
        <v>219</v>
      </c>
      <c r="F1191" s="16" t="s">
        <v>215</v>
      </c>
      <c r="G1191" s="16" t="s">
        <v>223</v>
      </c>
      <c r="H1191" s="16" t="s">
        <v>220</v>
      </c>
    </row>
    <row r="1192" ht="20.25" customHeight="1">
      <c r="A1192" s="32" t="str">
        <f>IMAGE("https://gymvisual.com/10458-catalog_default/cable-triceps-pushdown-v-bar-with-arm-blaster.jpg",4,500,500)</f>
        <v/>
      </c>
      <c r="B1192" s="30">
        <v>1191.0</v>
      </c>
      <c r="C1192" s="16" t="s">
        <v>1703</v>
      </c>
      <c r="D1192" s="16" t="s">
        <v>184</v>
      </c>
      <c r="E1192" s="16" t="s">
        <v>219</v>
      </c>
      <c r="F1192" s="16" t="s">
        <v>215</v>
      </c>
      <c r="G1192" s="16" t="s">
        <v>223</v>
      </c>
      <c r="H1192" s="16" t="s">
        <v>220</v>
      </c>
    </row>
    <row r="1193" ht="20.25" customHeight="1">
      <c r="A1193" s="32" t="str">
        <f>IMAGE("https://gymvisual.com/17187-catalog_default/cable-triceps-pushdown-on-floor.jpg",4,500,500)</f>
        <v/>
      </c>
      <c r="B1193" s="30">
        <v>1192.0</v>
      </c>
      <c r="C1193" s="16" t="s">
        <v>1704</v>
      </c>
      <c r="D1193" s="16" t="s">
        <v>184</v>
      </c>
      <c r="E1193" s="16" t="s">
        <v>219</v>
      </c>
      <c r="F1193" s="16" t="s">
        <v>215</v>
      </c>
      <c r="G1193" s="16" t="s">
        <v>223</v>
      </c>
      <c r="H1193" s="16" t="s">
        <v>220</v>
      </c>
    </row>
    <row r="1194" ht="20.25" customHeight="1">
      <c r="A1194" s="32" t="str">
        <f>IMAGE("https://gymvisual.com/748-catalog_default/cable-tuck-reverse-crunch.jpg",4,500,500)</f>
        <v/>
      </c>
      <c r="B1194" s="30">
        <v>1193.0</v>
      </c>
      <c r="C1194" s="16" t="s">
        <v>1705</v>
      </c>
      <c r="D1194" s="16" t="s">
        <v>184</v>
      </c>
      <c r="E1194" s="16" t="s">
        <v>254</v>
      </c>
      <c r="F1194" s="16" t="s">
        <v>215</v>
      </c>
      <c r="G1194" s="16" t="s">
        <v>305</v>
      </c>
      <c r="H1194" s="16" t="s">
        <v>524</v>
      </c>
    </row>
    <row r="1195" ht="20.25" customHeight="1">
      <c r="A1195" s="32" t="str">
        <f>IMAGE("https://gymvisual.com/751-catalog_default/cable-twist.jpg",4,500,500)</f>
        <v/>
      </c>
      <c r="B1195" s="30">
        <v>1194.0</v>
      </c>
      <c r="C1195" s="16" t="s">
        <v>1706</v>
      </c>
      <c r="D1195" s="16" t="s">
        <v>184</v>
      </c>
      <c r="E1195" s="16" t="s">
        <v>254</v>
      </c>
      <c r="F1195" s="16" t="s">
        <v>215</v>
      </c>
      <c r="G1195" s="16" t="s">
        <v>257</v>
      </c>
      <c r="H1195" s="16" t="s">
        <v>1707</v>
      </c>
    </row>
    <row r="1196" ht="20.25" customHeight="1">
      <c r="A1196" s="32" t="str">
        <f>IMAGE("https://gymvisual.com/4575-catalog_default/cable-twist-down-up.jpg",4,500,500)</f>
        <v/>
      </c>
      <c r="B1196" s="30">
        <v>1195.0</v>
      </c>
      <c r="C1196" s="16" t="s">
        <v>1708</v>
      </c>
      <c r="D1196" s="16" t="s">
        <v>184</v>
      </c>
      <c r="E1196" s="16" t="s">
        <v>254</v>
      </c>
      <c r="F1196" s="16" t="s">
        <v>215</v>
      </c>
      <c r="G1196" s="16" t="s">
        <v>257</v>
      </c>
      <c r="H1196" s="16" t="s">
        <v>1709</v>
      </c>
    </row>
    <row r="1197" ht="20.25" customHeight="1">
      <c r="A1197" s="32" t="str">
        <f>IMAGE("https://gymvisual.com/10978-catalog_default/cable-twist-female.jpg",4,500,500)</f>
        <v/>
      </c>
      <c r="B1197" s="30">
        <v>1196.0</v>
      </c>
      <c r="C1197" s="16" t="s">
        <v>1710</v>
      </c>
      <c r="D1197" s="16" t="s">
        <v>184</v>
      </c>
      <c r="E1197" s="16" t="s">
        <v>254</v>
      </c>
      <c r="F1197" s="16" t="s">
        <v>215</v>
      </c>
      <c r="G1197" s="16" t="s">
        <v>257</v>
      </c>
      <c r="H1197" s="16" t="s">
        <v>271</v>
      </c>
    </row>
    <row r="1198" ht="20.25" customHeight="1">
      <c r="A1198" s="32" t="str">
        <f>IMAGE("https://gymvisual.com/4576-catalog_default/cable-twist-up-down-version-2.jpg",4,500,500)</f>
        <v/>
      </c>
      <c r="B1198" s="30">
        <v>1197.0</v>
      </c>
      <c r="C1198" s="16" t="s">
        <v>1711</v>
      </c>
      <c r="D1198" s="16" t="s">
        <v>184</v>
      </c>
      <c r="E1198" s="16" t="s">
        <v>254</v>
      </c>
      <c r="F1198" s="16" t="s">
        <v>215</v>
      </c>
      <c r="G1198" s="16" t="s">
        <v>257</v>
      </c>
      <c r="H1198" s="16" t="s">
        <v>695</v>
      </c>
    </row>
    <row r="1199" ht="20.25" customHeight="1">
      <c r="A1199" s="32" t="str">
        <f>IMAGE("https://gymvisual.com/2625-catalog_default/cable-twist-up-down.jpg",4,500,500)</f>
        <v/>
      </c>
      <c r="B1199" s="30">
        <v>1198.0</v>
      </c>
      <c r="C1199" s="16" t="s">
        <v>1712</v>
      </c>
      <c r="D1199" s="16" t="s">
        <v>184</v>
      </c>
      <c r="E1199" s="16" t="s">
        <v>254</v>
      </c>
      <c r="F1199" s="16" t="s">
        <v>215</v>
      </c>
      <c r="G1199" s="16" t="s">
        <v>257</v>
      </c>
      <c r="H1199" s="16" t="s">
        <v>1713</v>
      </c>
    </row>
    <row r="1200" ht="20.25" customHeight="1">
      <c r="A1200" s="32" t="str">
        <f>IMAGE("https://gymvisual.com/4100-catalog_default/cable-twist-version-2.jpg",4,500,500)</f>
        <v/>
      </c>
      <c r="B1200" s="30">
        <v>1199.0</v>
      </c>
      <c r="C1200" s="16" t="s">
        <v>1714</v>
      </c>
      <c r="D1200" s="16" t="s">
        <v>184</v>
      </c>
      <c r="E1200" s="16" t="s">
        <v>254</v>
      </c>
      <c r="F1200" s="16" t="s">
        <v>215</v>
      </c>
      <c r="G1200" s="16" t="s">
        <v>257</v>
      </c>
      <c r="H1200" s="16" t="s">
        <v>1715</v>
      </c>
    </row>
    <row r="1201" ht="20.25" customHeight="1">
      <c r="A1201" s="32" t="str">
        <f>IMAGE("https://gymvisual.com/22536-catalog_default/cable-twist-version-2-male.jpg",4,500,500)</f>
        <v/>
      </c>
      <c r="B1201" s="30">
        <v>1200.0</v>
      </c>
      <c r="C1201" s="16" t="s">
        <v>1716</v>
      </c>
      <c r="D1201" s="16" t="s">
        <v>184</v>
      </c>
      <c r="E1201" s="16" t="s">
        <v>254</v>
      </c>
      <c r="F1201" s="16" t="s">
        <v>215</v>
      </c>
      <c r="G1201" s="16" t="s">
        <v>220</v>
      </c>
      <c r="H1201" s="16" t="s">
        <v>220</v>
      </c>
    </row>
    <row r="1202" ht="20.25" customHeight="1">
      <c r="A1202" s="32" t="str">
        <f>IMAGE("https://gymvisual.com/4577-catalog_default/cable-twisting-overhead-press.jpg",4,500,500)</f>
        <v/>
      </c>
      <c r="B1202" s="30">
        <v>1201.0</v>
      </c>
      <c r="C1202" s="16" t="s">
        <v>1717</v>
      </c>
      <c r="D1202" s="16" t="s">
        <v>184</v>
      </c>
      <c r="E1202" s="16" t="s">
        <v>228</v>
      </c>
      <c r="F1202" s="16" t="s">
        <v>215</v>
      </c>
      <c r="G1202" s="16" t="s">
        <v>229</v>
      </c>
      <c r="H1202" s="16" t="s">
        <v>1718</v>
      </c>
    </row>
    <row r="1203" ht="20.25" customHeight="1">
      <c r="A1203" s="32" t="str">
        <f>IMAGE("https://gymvisual.com/11185-catalog_default/cable-twisting-overhead-press-female.jpg",4,500,500)</f>
        <v/>
      </c>
      <c r="B1203" s="30">
        <v>1202.0</v>
      </c>
      <c r="C1203" s="16" t="s">
        <v>1719</v>
      </c>
      <c r="D1203" s="16" t="s">
        <v>184</v>
      </c>
      <c r="E1203" s="16" t="s">
        <v>1720</v>
      </c>
      <c r="F1203" s="16" t="s">
        <v>215</v>
      </c>
      <c r="G1203" s="16" t="s">
        <v>220</v>
      </c>
      <c r="H1203" s="16" t="s">
        <v>220</v>
      </c>
    </row>
    <row r="1204" ht="20.25" customHeight="1">
      <c r="A1204" s="32" t="str">
        <f>IMAGE("https://gymvisual.com/754-catalog_default/cable-twisting-pull.jpg",4,500,500)</f>
        <v/>
      </c>
      <c r="B1204" s="30">
        <v>1203.0</v>
      </c>
      <c r="C1204" s="16" t="s">
        <v>1721</v>
      </c>
      <c r="D1204" s="16" t="s">
        <v>184</v>
      </c>
      <c r="E1204" s="16" t="s">
        <v>192</v>
      </c>
      <c r="F1204" s="16" t="s">
        <v>215</v>
      </c>
      <c r="G1204" s="16" t="s">
        <v>300</v>
      </c>
      <c r="H1204" s="16" t="s">
        <v>1722</v>
      </c>
    </row>
    <row r="1205" ht="20.25" customHeight="1">
      <c r="A1205" s="32" t="str">
        <f>IMAGE("https://gymvisual.com/4578-catalog_default/cable-twisting-standing-high-row.jpg",4,500,500)</f>
        <v/>
      </c>
      <c r="B1205" s="30">
        <v>1204.0</v>
      </c>
      <c r="C1205" s="16" t="s">
        <v>1723</v>
      </c>
      <c r="D1205" s="16" t="s">
        <v>184</v>
      </c>
      <c r="E1205" s="16" t="s">
        <v>192</v>
      </c>
      <c r="F1205" s="16" t="s">
        <v>215</v>
      </c>
      <c r="G1205" s="16" t="s">
        <v>329</v>
      </c>
      <c r="H1205" s="16" t="s">
        <v>1724</v>
      </c>
    </row>
    <row r="1206" ht="20.25" customHeight="1">
      <c r="A1206" s="32" t="str">
        <f>IMAGE("https://gymvisual.com/4579-catalog_default/cable-twisting-standing-one-arm-chest-press.jpg",4,500,500)</f>
        <v/>
      </c>
      <c r="B1206" s="30">
        <v>1205.0</v>
      </c>
      <c r="C1206" s="16" t="s">
        <v>1725</v>
      </c>
      <c r="D1206" s="16" t="s">
        <v>184</v>
      </c>
      <c r="E1206" s="16" t="s">
        <v>234</v>
      </c>
      <c r="F1206" s="16" t="s">
        <v>215</v>
      </c>
      <c r="G1206" s="16" t="s">
        <v>347</v>
      </c>
      <c r="H1206" s="16" t="s">
        <v>1726</v>
      </c>
    </row>
    <row r="1207" ht="20.25" customHeight="1">
      <c r="A1207" s="32" t="str">
        <f>IMAGE("https://gymvisual.com/4580-catalog_default/cable-twisting-standing-row.jpg",4,500,500)</f>
        <v/>
      </c>
      <c r="B1207" s="30">
        <v>1206.0</v>
      </c>
      <c r="C1207" s="16" t="s">
        <v>1727</v>
      </c>
      <c r="D1207" s="16" t="s">
        <v>184</v>
      </c>
      <c r="E1207" s="16" t="s">
        <v>192</v>
      </c>
      <c r="F1207" s="16" t="s">
        <v>215</v>
      </c>
      <c r="G1207" s="16" t="s">
        <v>329</v>
      </c>
      <c r="H1207" s="16" t="s">
        <v>1728</v>
      </c>
    </row>
    <row r="1208" ht="20.25" customHeight="1">
      <c r="A1208" s="32" t="str">
        <f>IMAGE("https://gymvisual.com/7119-catalog_default/cable-two-arm-curl-on-incline-bench.jpg",4,500,500)</f>
        <v/>
      </c>
      <c r="B1208" s="30">
        <v>1207.0</v>
      </c>
      <c r="C1208" s="16" t="s">
        <v>1729</v>
      </c>
      <c r="D1208" s="16" t="s">
        <v>184</v>
      </c>
      <c r="E1208" s="16" t="s">
        <v>219</v>
      </c>
      <c r="F1208" s="16" t="s">
        <v>215</v>
      </c>
      <c r="G1208" s="16" t="s">
        <v>220</v>
      </c>
      <c r="H1208" s="16" t="s">
        <v>220</v>
      </c>
    </row>
    <row r="1209" ht="20.25" customHeight="1">
      <c r="A1209" s="32" t="str">
        <f>IMAGE("https://gymvisual.com/7447-catalog_default/cable-two-arm-tricep-kickback.jpg",4,500,500)</f>
        <v/>
      </c>
      <c r="B1209" s="30">
        <v>1208.0</v>
      </c>
      <c r="C1209" s="16" t="s">
        <v>1730</v>
      </c>
      <c r="D1209" s="16" t="s">
        <v>184</v>
      </c>
      <c r="E1209" s="16" t="s">
        <v>219</v>
      </c>
      <c r="F1209" s="16" t="s">
        <v>215</v>
      </c>
      <c r="G1209" s="16" t="s">
        <v>220</v>
      </c>
      <c r="H1209" s="16" t="s">
        <v>220</v>
      </c>
    </row>
    <row r="1210" ht="20.25" customHeight="1">
      <c r="A1210" s="32" t="str">
        <f>IMAGE("https://gymvisual.com/13409-catalog_default/cable-two-arm-tricep-kickback-female.jpg",4,500,500)</f>
        <v/>
      </c>
      <c r="B1210" s="30">
        <v>1209.0</v>
      </c>
      <c r="C1210" s="16" t="s">
        <v>1731</v>
      </c>
      <c r="D1210" s="16" t="s">
        <v>184</v>
      </c>
      <c r="E1210" s="16" t="s">
        <v>219</v>
      </c>
      <c r="F1210" s="16" t="s">
        <v>215</v>
      </c>
      <c r="G1210" s="16" t="s">
        <v>220</v>
      </c>
      <c r="H1210" s="16" t="s">
        <v>220</v>
      </c>
    </row>
    <row r="1211" ht="20.25" customHeight="1">
      <c r="A1211" s="32" t="str">
        <f>IMAGE("https://gymvisual.com/2586-catalog_default/cable-underhand-pulldown.jpg",4,500,500)</f>
        <v/>
      </c>
      <c r="B1211" s="30">
        <v>1210.0</v>
      </c>
      <c r="C1211" s="16" t="s">
        <v>1732</v>
      </c>
      <c r="D1211" s="16" t="s">
        <v>184</v>
      </c>
      <c r="E1211" s="16" t="s">
        <v>192</v>
      </c>
      <c r="F1211" s="16" t="s">
        <v>215</v>
      </c>
      <c r="G1211" s="16" t="s">
        <v>300</v>
      </c>
      <c r="H1211" s="16" t="s">
        <v>1733</v>
      </c>
    </row>
    <row r="1212" ht="20.25" customHeight="1">
      <c r="A1212" s="32" t="str">
        <f>IMAGE("https://gymvisual.com/22361-catalog_default/cable-unilateral-bicep-curl.jpg",4,500,500)</f>
        <v/>
      </c>
      <c r="B1212" s="30">
        <v>1211.0</v>
      </c>
      <c r="C1212" s="16" t="s">
        <v>1734</v>
      </c>
      <c r="D1212" s="16" t="s">
        <v>184</v>
      </c>
      <c r="E1212" s="16" t="s">
        <v>219</v>
      </c>
      <c r="F1212" s="16" t="s">
        <v>215</v>
      </c>
      <c r="G1212" s="16" t="s">
        <v>220</v>
      </c>
      <c r="H1212" s="16" t="s">
        <v>220</v>
      </c>
    </row>
    <row r="1213" ht="20.25" customHeight="1">
      <c r="A1213" s="32" t="str">
        <f>IMAGE("https://gymvisual.com/5959-catalog_default/cable-upper-chest-crossovers.jpg",4,500,500)</f>
        <v/>
      </c>
      <c r="B1213" s="30">
        <v>1212.0</v>
      </c>
      <c r="C1213" s="16" t="s">
        <v>1735</v>
      </c>
      <c r="D1213" s="16" t="s">
        <v>184</v>
      </c>
      <c r="E1213" s="16" t="s">
        <v>234</v>
      </c>
      <c r="F1213" s="16" t="s">
        <v>215</v>
      </c>
      <c r="G1213" s="16" t="s">
        <v>415</v>
      </c>
      <c r="H1213" s="16" t="s">
        <v>236</v>
      </c>
    </row>
    <row r="1214" ht="20.25" customHeight="1">
      <c r="A1214" s="32" t="str">
        <f>IMAGE("https://gymvisual.com/10951-catalog_default/cable-upper-chest-crossovers-female.jpg",4,500,500)</f>
        <v/>
      </c>
      <c r="B1214" s="30">
        <v>1213.0</v>
      </c>
      <c r="C1214" s="16" t="s">
        <v>1736</v>
      </c>
      <c r="D1214" s="16" t="s">
        <v>184</v>
      </c>
      <c r="E1214" s="16" t="s">
        <v>234</v>
      </c>
      <c r="F1214" s="16" t="s">
        <v>215</v>
      </c>
      <c r="G1214" s="16" t="s">
        <v>220</v>
      </c>
      <c r="H1214" s="16" t="s">
        <v>220</v>
      </c>
    </row>
    <row r="1215" ht="20.25" customHeight="1">
      <c r="A1215" s="32" t="str">
        <f>IMAGE("https://gymvisual.com/6015-catalog_default/cable-upper-row.jpg",4,500,500)</f>
        <v/>
      </c>
      <c r="B1215" s="30">
        <v>1214.0</v>
      </c>
      <c r="C1215" s="16" t="s">
        <v>1737</v>
      </c>
      <c r="D1215" s="16" t="s">
        <v>184</v>
      </c>
      <c r="E1215" s="16" t="s">
        <v>192</v>
      </c>
      <c r="F1215" s="16" t="s">
        <v>215</v>
      </c>
      <c r="G1215" s="16" t="s">
        <v>329</v>
      </c>
      <c r="H1215" s="16" t="s">
        <v>457</v>
      </c>
    </row>
    <row r="1216" ht="20.25" customHeight="1">
      <c r="A1216" s="32" t="str">
        <f>IMAGE("https://gymvisual.com/24818-catalog_default/cable-upright-row.jpg",4,500,500)</f>
        <v/>
      </c>
      <c r="B1216" s="30">
        <v>1215.0</v>
      </c>
      <c r="C1216" s="16" t="s">
        <v>1738</v>
      </c>
      <c r="D1216" s="16" t="s">
        <v>184</v>
      </c>
      <c r="E1216" s="16" t="s">
        <v>228</v>
      </c>
      <c r="F1216" s="16" t="s">
        <v>215</v>
      </c>
      <c r="G1216" s="16" t="s">
        <v>544</v>
      </c>
      <c r="H1216" s="16" t="s">
        <v>1151</v>
      </c>
    </row>
    <row r="1217" ht="20.25" customHeight="1">
      <c r="A1217" s="32" t="str">
        <f>IMAGE("https://gymvisual.com/22552-catalog_default/cable-upright-row-female.jpg",4,500,500)</f>
        <v/>
      </c>
      <c r="B1217" s="30">
        <v>1216.0</v>
      </c>
      <c r="C1217" s="16" t="s">
        <v>1739</v>
      </c>
      <c r="D1217" s="16" t="s">
        <v>184</v>
      </c>
      <c r="E1217" s="16" t="s">
        <v>228</v>
      </c>
      <c r="F1217" s="16" t="s">
        <v>215</v>
      </c>
      <c r="G1217" s="16" t="s">
        <v>544</v>
      </c>
      <c r="H1217" s="16" t="s">
        <v>713</v>
      </c>
    </row>
    <row r="1218" ht="20.25" customHeight="1">
      <c r="A1218" s="32" t="str">
        <f>IMAGE("https://gymvisual.com/4581-catalog_default/cable-vertical-pallof-press.jpg",4,500,500)</f>
        <v/>
      </c>
      <c r="B1218" s="30">
        <v>1217.0</v>
      </c>
      <c r="C1218" s="16" t="s">
        <v>1740</v>
      </c>
      <c r="D1218" s="16" t="s">
        <v>184</v>
      </c>
      <c r="E1218" s="16" t="s">
        <v>254</v>
      </c>
      <c r="F1218" s="16" t="s">
        <v>215</v>
      </c>
      <c r="G1218" s="16" t="s">
        <v>257</v>
      </c>
      <c r="H1218" s="16" t="s">
        <v>220</v>
      </c>
    </row>
    <row r="1219" ht="20.25" customHeight="1">
      <c r="A1219" s="32" t="str">
        <f>IMAGE("https://gymvisual.com/24519-catalog_default/cable-wide-grip-behind-neck-pulldown.jpg",4,500,500)</f>
        <v/>
      </c>
      <c r="B1219" s="30">
        <v>1218.0</v>
      </c>
      <c r="C1219" s="16" t="s">
        <v>1741</v>
      </c>
      <c r="D1219" s="16" t="s">
        <v>184</v>
      </c>
      <c r="E1219" s="16" t="s">
        <v>192</v>
      </c>
      <c r="F1219" s="16" t="s">
        <v>215</v>
      </c>
      <c r="G1219" s="16" t="s">
        <v>300</v>
      </c>
      <c r="H1219" s="16" t="s">
        <v>1742</v>
      </c>
    </row>
    <row r="1220" ht="20.25" customHeight="1">
      <c r="A1220" s="32" t="str">
        <f>IMAGE("https://gymvisual.com/11191-catalog_default/cable-wide-grip-rear-pulldown-behind-neck-female.jpg",4,500,500)</f>
        <v/>
      </c>
      <c r="B1220" s="30">
        <v>1219.0</v>
      </c>
      <c r="C1220" s="16" t="s">
        <v>1743</v>
      </c>
      <c r="D1220" s="16" t="s">
        <v>184</v>
      </c>
      <c r="E1220" s="16" t="s">
        <v>192</v>
      </c>
      <c r="F1220" s="16" t="s">
        <v>215</v>
      </c>
      <c r="G1220" s="16" t="s">
        <v>220</v>
      </c>
      <c r="H1220" s="16" t="s">
        <v>220</v>
      </c>
    </row>
    <row r="1221" ht="20.25" customHeight="1">
      <c r="A1221" s="32" t="str">
        <f>IMAGE("https://gymvisual.com/18067-catalog_default/cable-wide-neutral-grip-pulldown.jpg",4,500,500)</f>
        <v/>
      </c>
      <c r="B1221" s="30">
        <v>1220.0</v>
      </c>
      <c r="C1221" s="16" t="s">
        <v>1744</v>
      </c>
      <c r="D1221" s="16" t="s">
        <v>184</v>
      </c>
      <c r="E1221" s="16" t="s">
        <v>192</v>
      </c>
      <c r="F1221" s="16" t="s">
        <v>215</v>
      </c>
      <c r="G1221" s="16" t="s">
        <v>220</v>
      </c>
      <c r="H1221" s="16" t="s">
        <v>220</v>
      </c>
    </row>
    <row r="1222" ht="20.25" customHeight="1">
      <c r="A1222" s="32" t="str">
        <f>IMAGE("https://gymvisual.com/24471-catalog_default/cable-wide-pulldown.jpg",4,500,500)</f>
        <v/>
      </c>
      <c r="B1222" s="30">
        <v>1221.0</v>
      </c>
      <c r="C1222" s="16" t="s">
        <v>1745</v>
      </c>
      <c r="D1222" s="16" t="s">
        <v>184</v>
      </c>
      <c r="E1222" s="16" t="s">
        <v>192</v>
      </c>
      <c r="F1222" s="16" t="s">
        <v>215</v>
      </c>
      <c r="G1222" s="16" t="s">
        <v>300</v>
      </c>
      <c r="H1222" s="16" t="s">
        <v>387</v>
      </c>
    </row>
    <row r="1223" ht="20.25" customHeight="1">
      <c r="A1223" s="32" t="str">
        <f>IMAGE("https://gymvisual.com/9733-catalog_default/cable-wide-grip-lat-pulldown-female.jpg",4,500,500)</f>
        <v/>
      </c>
      <c r="B1223" s="30">
        <v>1222.0</v>
      </c>
      <c r="C1223" s="16" t="s">
        <v>1746</v>
      </c>
      <c r="D1223" s="16" t="s">
        <v>184</v>
      </c>
      <c r="E1223" s="16" t="s">
        <v>192</v>
      </c>
      <c r="F1223" s="16" t="s">
        <v>215</v>
      </c>
      <c r="G1223" s="16" t="s">
        <v>300</v>
      </c>
      <c r="H1223" s="16" t="s">
        <v>1747</v>
      </c>
    </row>
    <row r="1224" ht="20.25" customHeight="1">
      <c r="A1224" s="32" t="str">
        <f>IMAGE("https://gymvisual.com/763-catalog_default/cable-wrist-curl.jpg",4,500,500)</f>
        <v/>
      </c>
      <c r="B1224" s="30">
        <v>1223.0</v>
      </c>
      <c r="C1224" s="16" t="s">
        <v>1748</v>
      </c>
      <c r="D1224" s="16" t="s">
        <v>184</v>
      </c>
      <c r="E1224" s="16" t="s">
        <v>214</v>
      </c>
      <c r="F1224" s="16" t="s">
        <v>215</v>
      </c>
      <c r="G1224" s="16" t="s">
        <v>720</v>
      </c>
      <c r="H1224" s="16" t="s">
        <v>220</v>
      </c>
    </row>
    <row r="1225" ht="20.25" customHeight="1">
      <c r="A1225" s="32" t="str">
        <f>IMAGE("https://gymvisual.com/19381-catalog_default/cable-y-raise.jpg",4,500,500)</f>
        <v/>
      </c>
      <c r="B1225" s="30">
        <v>1224.0</v>
      </c>
      <c r="C1225" s="16" t="s">
        <v>1749</v>
      </c>
      <c r="D1225" s="16" t="s">
        <v>184</v>
      </c>
      <c r="E1225" s="16" t="s">
        <v>228</v>
      </c>
      <c r="F1225" s="16" t="s">
        <v>215</v>
      </c>
      <c r="G1225" s="16" t="s">
        <v>544</v>
      </c>
      <c r="H1225" s="16" t="s">
        <v>220</v>
      </c>
    </row>
    <row r="1226" ht="20.25" customHeight="1">
      <c r="A1226" s="32" t="str">
        <f>IMAGE("https://gymvisual.com/13743-catalog_default/calf-raise-from-deficit-with-chair-supported.jpg",4,500,500)</f>
        <v/>
      </c>
      <c r="B1226" s="30">
        <v>1225.0</v>
      </c>
      <c r="C1226" s="16" t="s">
        <v>1750</v>
      </c>
      <c r="D1226" s="16" t="s">
        <v>184</v>
      </c>
      <c r="E1226" s="16" t="s">
        <v>325</v>
      </c>
      <c r="F1226" s="16" t="s">
        <v>255</v>
      </c>
      <c r="G1226" s="16" t="s">
        <v>368</v>
      </c>
      <c r="H1226" s="16" t="s">
        <v>463</v>
      </c>
    </row>
    <row r="1227" ht="20.25" customHeight="1">
      <c r="A1227" s="32" t="str">
        <f>IMAGE("https://gymvisual.com/766-catalog_default/cambered-bar-lying-row.jpg",4,500,500)</f>
        <v/>
      </c>
      <c r="B1227" s="30">
        <v>1226.0</v>
      </c>
      <c r="C1227" s="16" t="s">
        <v>1751</v>
      </c>
      <c r="D1227" s="16" t="s">
        <v>184</v>
      </c>
      <c r="E1227" s="16" t="s">
        <v>192</v>
      </c>
      <c r="F1227" s="16" t="s">
        <v>186</v>
      </c>
      <c r="G1227" s="16" t="s">
        <v>329</v>
      </c>
      <c r="H1227" s="16" t="s">
        <v>457</v>
      </c>
    </row>
    <row r="1228" ht="20.25" customHeight="1">
      <c r="A1228" s="32" t="str">
        <f>IMAGE("https://gymvisual.com/20517-catalog_default/cambered-bar-lying-row-female.jpg",4,500,500)</f>
        <v/>
      </c>
      <c r="B1228" s="30">
        <v>1227.0</v>
      </c>
      <c r="C1228" s="16" t="s">
        <v>1752</v>
      </c>
      <c r="D1228" s="16" t="s">
        <v>184</v>
      </c>
      <c r="E1228" s="16" t="s">
        <v>192</v>
      </c>
      <c r="F1228" s="16" t="s">
        <v>186</v>
      </c>
      <c r="G1228" s="16" t="s">
        <v>329</v>
      </c>
      <c r="H1228" s="16" t="s">
        <v>447</v>
      </c>
    </row>
    <row r="1229" ht="20.25" customHeight="1">
      <c r="A1229" s="32" t="str">
        <f>IMAGE("https://gymvisual.com/22534-catalog_default/captains-chair-leg-raise.jpg",4,500,500)</f>
        <v/>
      </c>
      <c r="B1229" s="30">
        <v>1228.0</v>
      </c>
      <c r="C1229" s="16" t="s">
        <v>1753</v>
      </c>
      <c r="D1229" s="16" t="s">
        <v>184</v>
      </c>
      <c r="E1229" s="16" t="s">
        <v>185</v>
      </c>
      <c r="F1229" s="16" t="s">
        <v>255</v>
      </c>
      <c r="G1229" s="16" t="s">
        <v>220</v>
      </c>
      <c r="H1229" s="16" t="s">
        <v>220</v>
      </c>
    </row>
    <row r="1230" ht="20.25" customHeight="1">
      <c r="A1230" s="32" t="str">
        <f>IMAGE("https://gymvisual.com/12286-catalog_default/captains-chair-straight-leg-raise.jpg",4,500,500)</f>
        <v/>
      </c>
      <c r="B1230" s="30">
        <v>1229.0</v>
      </c>
      <c r="C1230" s="16" t="s">
        <v>1754</v>
      </c>
      <c r="D1230" s="16" t="s">
        <v>184</v>
      </c>
      <c r="E1230" s="16" t="s">
        <v>254</v>
      </c>
      <c r="F1230" s="16" t="s">
        <v>255</v>
      </c>
      <c r="G1230" s="16" t="s">
        <v>305</v>
      </c>
      <c r="H1230" s="16" t="s">
        <v>319</v>
      </c>
    </row>
    <row r="1231" ht="20.25" customHeight="1">
      <c r="A1231" s="32" t="str">
        <f>IMAGE("https://gymvisual.com/22177-catalog_default/captains-chair-straight-leg-raise-female.jpg",4,500,500)</f>
        <v/>
      </c>
      <c r="B1231" s="30">
        <v>1230.0</v>
      </c>
      <c r="C1231" s="16" t="s">
        <v>1755</v>
      </c>
      <c r="D1231" s="16" t="s">
        <v>184</v>
      </c>
      <c r="E1231" s="16" t="s">
        <v>254</v>
      </c>
      <c r="F1231" s="16" t="s">
        <v>255</v>
      </c>
      <c r="G1231" s="16" t="s">
        <v>305</v>
      </c>
      <c r="H1231" s="16" t="s">
        <v>1306</v>
      </c>
    </row>
    <row r="1232" ht="20.25" customHeight="1">
      <c r="A1232" s="32" t="str">
        <f>IMAGE("https://gymvisual.com/25063-catalog_default/cheat-curl.jpg",4,500,500)</f>
        <v/>
      </c>
      <c r="B1232" s="30">
        <v>1231.0</v>
      </c>
      <c r="C1232" s="16" t="s">
        <v>1756</v>
      </c>
      <c r="D1232" s="16" t="s">
        <v>184</v>
      </c>
      <c r="E1232" s="16" t="s">
        <v>219</v>
      </c>
      <c r="F1232" s="16" t="s">
        <v>255</v>
      </c>
      <c r="G1232" s="16" t="s">
        <v>220</v>
      </c>
      <c r="H1232" s="16" t="s">
        <v>220</v>
      </c>
    </row>
    <row r="1233" ht="20.25" customHeight="1">
      <c r="A1233" s="32" t="str">
        <f>IMAGE("https://gymvisual.com/10182-catalog_default/chest-bench-press-arms-wrong-right.jpg",4,500,500)</f>
        <v/>
      </c>
      <c r="B1233" s="30">
        <v>1232.0</v>
      </c>
      <c r="C1233" s="16" t="s">
        <v>1757</v>
      </c>
      <c r="D1233" s="16" t="s">
        <v>184</v>
      </c>
      <c r="E1233" s="16" t="s">
        <v>234</v>
      </c>
      <c r="F1233" s="16" t="s">
        <v>186</v>
      </c>
      <c r="G1233" s="16" t="s">
        <v>220</v>
      </c>
      <c r="H1233" s="16" t="s">
        <v>220</v>
      </c>
    </row>
    <row r="1234" ht="20.25" customHeight="1">
      <c r="A1234" s="32" t="str">
        <f>IMAGE("https://gymvisual.com/10176-catalog_default/chest-bench-press-butt-wrong-right.jpg",4,500,500)</f>
        <v/>
      </c>
      <c r="B1234" s="30">
        <v>1233.0</v>
      </c>
      <c r="C1234" s="16" t="s">
        <v>1758</v>
      </c>
      <c r="D1234" s="16" t="s">
        <v>184</v>
      </c>
      <c r="E1234" s="16" t="s">
        <v>234</v>
      </c>
      <c r="F1234" s="16" t="s">
        <v>186</v>
      </c>
      <c r="G1234" s="16" t="s">
        <v>220</v>
      </c>
      <c r="H1234" s="16" t="s">
        <v>220</v>
      </c>
    </row>
    <row r="1235" ht="20.25" customHeight="1">
      <c r="A1235" s="32" t="str">
        <f>IMAGE("https://gymvisual.com/10184-catalog_default/chest-bench-press-elbows-wrong-right.jpg",4,500,500)</f>
        <v/>
      </c>
      <c r="B1235" s="30">
        <v>1234.0</v>
      </c>
      <c r="C1235" s="16" t="s">
        <v>1759</v>
      </c>
      <c r="D1235" s="16" t="s">
        <v>184</v>
      </c>
      <c r="E1235" s="16" t="s">
        <v>234</v>
      </c>
      <c r="F1235" s="16" t="s">
        <v>186</v>
      </c>
      <c r="G1235" s="16" t="s">
        <v>220</v>
      </c>
      <c r="H1235" s="16" t="s">
        <v>220</v>
      </c>
    </row>
    <row r="1236" ht="20.25" customHeight="1">
      <c r="A1236" s="32" t="str">
        <f>IMAGE("https://gymvisual.com/10172-catalog_default/chest-bench-press-forearms-wrong-right.jpg",4,500,500)</f>
        <v/>
      </c>
      <c r="B1236" s="30">
        <v>1235.0</v>
      </c>
      <c r="C1236" s="16" t="s">
        <v>1760</v>
      </c>
      <c r="D1236" s="16" t="s">
        <v>184</v>
      </c>
      <c r="E1236" s="16" t="s">
        <v>234</v>
      </c>
      <c r="F1236" s="16" t="s">
        <v>186</v>
      </c>
      <c r="G1236" s="16" t="s">
        <v>220</v>
      </c>
      <c r="H1236" s="16" t="s">
        <v>220</v>
      </c>
    </row>
    <row r="1237" ht="20.25" customHeight="1">
      <c r="A1237" s="32" t="str">
        <f>IMAGE("https://gymvisual.com/10178-catalog_default/chest-bench-press-grip-width-wrong-right.jpg",4,500,500)</f>
        <v/>
      </c>
      <c r="B1237" s="30">
        <v>1236.0</v>
      </c>
      <c r="C1237" s="16" t="s">
        <v>1761</v>
      </c>
      <c r="D1237" s="16" t="s">
        <v>184</v>
      </c>
      <c r="E1237" s="16" t="s">
        <v>234</v>
      </c>
      <c r="F1237" s="16" t="s">
        <v>186</v>
      </c>
      <c r="G1237" s="16" t="s">
        <v>220</v>
      </c>
      <c r="H1237" s="16" t="s">
        <v>220</v>
      </c>
    </row>
    <row r="1238" ht="20.25" customHeight="1">
      <c r="A1238" s="32" t="str">
        <f>IMAGE("https://gymvisual.com/10180-catalog_default/chest-bench-press-shoulders-wrong-right.jpg",4,500,500)</f>
        <v/>
      </c>
      <c r="B1238" s="30">
        <v>1237.0</v>
      </c>
      <c r="C1238" s="16" t="s">
        <v>1762</v>
      </c>
      <c r="D1238" s="16" t="s">
        <v>184</v>
      </c>
      <c r="E1238" s="16" t="s">
        <v>234</v>
      </c>
      <c r="F1238" s="16" t="s">
        <v>186</v>
      </c>
      <c r="G1238" s="16" t="s">
        <v>220</v>
      </c>
      <c r="H1238" s="16" t="s">
        <v>220</v>
      </c>
    </row>
    <row r="1239" ht="20.25" customHeight="1">
      <c r="A1239" s="32" t="str">
        <f>IMAGE("https://gymvisual.com/4493-catalog_default/chest-dip.jpg",4,500,500)</f>
        <v/>
      </c>
      <c r="B1239" s="30">
        <v>1238.0</v>
      </c>
      <c r="C1239" s="16" t="s">
        <v>1763</v>
      </c>
      <c r="D1239" s="16" t="s">
        <v>184</v>
      </c>
      <c r="E1239" s="16" t="s">
        <v>234</v>
      </c>
      <c r="F1239" s="16" t="s">
        <v>255</v>
      </c>
      <c r="G1239" s="16" t="s">
        <v>347</v>
      </c>
      <c r="H1239" s="16" t="s">
        <v>1764</v>
      </c>
    </row>
    <row r="1240" ht="20.25" customHeight="1">
      <c r="A1240" s="32" t="str">
        <f>IMAGE("https://gymvisual.com/19383-catalog_default/chest-dip-female.jpg",4,500,500)</f>
        <v/>
      </c>
      <c r="B1240" s="30">
        <v>1239.0</v>
      </c>
      <c r="C1240" s="16" t="s">
        <v>1765</v>
      </c>
      <c r="D1240" s="16" t="s">
        <v>184</v>
      </c>
      <c r="E1240" s="16" t="s">
        <v>234</v>
      </c>
      <c r="F1240" s="16" t="s">
        <v>255</v>
      </c>
      <c r="G1240" s="16" t="s">
        <v>347</v>
      </c>
      <c r="H1240" s="16" t="s">
        <v>1764</v>
      </c>
    </row>
    <row r="1241" ht="20.25" customHeight="1">
      <c r="A1241" s="32" t="str">
        <f>IMAGE("https://gymvisual.com/6436-catalog_default/chest-dip-on-dip-pull-up-cage.jpg",4,500,500)</f>
        <v/>
      </c>
      <c r="B1241" s="30">
        <v>1240.0</v>
      </c>
      <c r="C1241" s="16" t="s">
        <v>1766</v>
      </c>
      <c r="D1241" s="16" t="s">
        <v>184</v>
      </c>
      <c r="E1241" s="16" t="s">
        <v>234</v>
      </c>
      <c r="F1241" s="16" t="s">
        <v>255</v>
      </c>
      <c r="G1241" s="16" t="s">
        <v>347</v>
      </c>
      <c r="H1241" s="16" t="s">
        <v>1764</v>
      </c>
    </row>
    <row r="1242" ht="20.25" customHeight="1">
      <c r="A1242" s="32" t="str">
        <f>IMAGE("https://gymvisual.com/20666-catalog_default/chest-dip-on-straight-bar.jpg",4,500,500)</f>
        <v/>
      </c>
      <c r="B1242" s="30">
        <v>1241.0</v>
      </c>
      <c r="C1242" s="16" t="s">
        <v>1767</v>
      </c>
      <c r="D1242" s="16" t="s">
        <v>184</v>
      </c>
      <c r="E1242" s="16" t="s">
        <v>234</v>
      </c>
      <c r="F1242" s="16" t="s">
        <v>255</v>
      </c>
      <c r="G1242" s="16" t="s">
        <v>235</v>
      </c>
      <c r="H1242" s="16" t="s">
        <v>243</v>
      </c>
    </row>
    <row r="1243" ht="20.25" customHeight="1">
      <c r="A1243" s="32" t="str">
        <f>IMAGE("https://gymvisual.com/10237-catalog_default/chest-fly-arms-wrong-right.jpg",4,500,500)</f>
        <v/>
      </c>
      <c r="B1243" s="30">
        <v>1242.0</v>
      </c>
      <c r="C1243" s="16" t="s">
        <v>1768</v>
      </c>
      <c r="D1243" s="16" t="s">
        <v>184</v>
      </c>
      <c r="E1243" s="16" t="s">
        <v>234</v>
      </c>
      <c r="F1243" s="16" t="s">
        <v>222</v>
      </c>
      <c r="G1243" s="16" t="s">
        <v>220</v>
      </c>
      <c r="H1243" s="16" t="s">
        <v>220</v>
      </c>
    </row>
    <row r="1244" ht="20.25" customHeight="1">
      <c r="A1244" s="32" t="str">
        <f>IMAGE("https://gymvisual.com/23687-catalog_default/chest-out-hands-behind-hold-female.jpg",4,500,500)</f>
        <v/>
      </c>
      <c r="B1244" s="30">
        <v>1243.0</v>
      </c>
      <c r="C1244" s="16" t="s">
        <v>1769</v>
      </c>
      <c r="D1244" s="16" t="s">
        <v>184</v>
      </c>
      <c r="E1244" s="16" t="s">
        <v>234</v>
      </c>
      <c r="F1244" s="16" t="s">
        <v>255</v>
      </c>
      <c r="G1244" s="16" t="s">
        <v>472</v>
      </c>
      <c r="H1244" s="16" t="s">
        <v>220</v>
      </c>
    </row>
    <row r="1245" ht="20.25" customHeight="1">
      <c r="A1245" s="32" t="str">
        <f>IMAGE("https://gymvisual.com/12907-catalog_default/chest-tap-push-up-male.jpg",4,500,500)</f>
        <v/>
      </c>
      <c r="B1245" s="30">
        <v>1244.0</v>
      </c>
      <c r="C1245" s="16" t="s">
        <v>1770</v>
      </c>
      <c r="D1245" s="16" t="s">
        <v>184</v>
      </c>
      <c r="E1245" s="16" t="s">
        <v>234</v>
      </c>
      <c r="F1245" s="16" t="s">
        <v>255</v>
      </c>
      <c r="G1245" s="16" t="s">
        <v>235</v>
      </c>
      <c r="H1245" s="16" t="s">
        <v>1771</v>
      </c>
    </row>
    <row r="1246" ht="20.25" customHeight="1">
      <c r="A1246" s="32" t="str">
        <f>IMAGE("https://gymvisual.com/12555-catalog_default/chin-tuck.jpg",4,500,500)</f>
        <v/>
      </c>
      <c r="B1246" s="30">
        <v>1245.0</v>
      </c>
      <c r="C1246" s="16" t="s">
        <v>1772</v>
      </c>
      <c r="D1246" s="16" t="s">
        <v>184</v>
      </c>
      <c r="E1246" s="16" t="s">
        <v>351</v>
      </c>
      <c r="F1246" s="16" t="s">
        <v>255</v>
      </c>
      <c r="G1246" s="16" t="s">
        <v>220</v>
      </c>
      <c r="H1246" s="16" t="s">
        <v>220</v>
      </c>
    </row>
    <row r="1247" ht="20.25" customHeight="1">
      <c r="A1247" s="32" t="str">
        <f>IMAGE("https://gymvisual.com/12557-catalog_default/chin-tuck-female.jpg",4,500,500)</f>
        <v/>
      </c>
      <c r="B1247" s="30">
        <v>1246.0</v>
      </c>
      <c r="C1247" s="16" t="s">
        <v>1773</v>
      </c>
      <c r="D1247" s="16" t="s">
        <v>184</v>
      </c>
      <c r="E1247" s="16" t="s">
        <v>351</v>
      </c>
      <c r="F1247" s="16" t="s">
        <v>255</v>
      </c>
      <c r="G1247" s="16" t="s">
        <v>220</v>
      </c>
      <c r="H1247" s="16" t="s">
        <v>220</v>
      </c>
    </row>
    <row r="1248" ht="20.25" customHeight="1">
      <c r="A1248" s="32" t="str">
        <f>IMAGE("https://gymvisual.com/14264-catalog_default/chin-ups-narrow-parallel-grip-female.jpg",4,500,500)</f>
        <v/>
      </c>
      <c r="B1248" s="30">
        <v>1247.0</v>
      </c>
      <c r="C1248" s="16" t="s">
        <v>1774</v>
      </c>
      <c r="D1248" s="16" t="s">
        <v>184</v>
      </c>
      <c r="E1248" s="16" t="s">
        <v>192</v>
      </c>
      <c r="F1248" s="16" t="s">
        <v>255</v>
      </c>
      <c r="G1248" s="16" t="s">
        <v>329</v>
      </c>
      <c r="H1248" s="16" t="s">
        <v>447</v>
      </c>
    </row>
    <row r="1249" ht="20.25" customHeight="1">
      <c r="A1249" s="32" t="str">
        <f>IMAGE("https://gymvisual.com/19361-catalog_default/chin-up.jpg",4,500,500)</f>
        <v/>
      </c>
      <c r="B1249" s="30">
        <v>1248.0</v>
      </c>
      <c r="C1249" s="16" t="s">
        <v>1775</v>
      </c>
      <c r="D1249" s="16" t="s">
        <v>184</v>
      </c>
      <c r="E1249" s="16" t="s">
        <v>192</v>
      </c>
      <c r="F1249" s="16" t="s">
        <v>255</v>
      </c>
      <c r="G1249" s="16" t="s">
        <v>300</v>
      </c>
      <c r="H1249" s="16" t="s">
        <v>1357</v>
      </c>
    </row>
    <row r="1250" ht="20.25" customHeight="1">
      <c r="A1250" s="32" t="str">
        <f>IMAGE("https://gymvisual.com/10306-catalog_default/chin-up-female.jpg",4,500,500)</f>
        <v/>
      </c>
      <c r="B1250" s="30">
        <v>1249.0</v>
      </c>
      <c r="C1250" s="16" t="s">
        <v>1776</v>
      </c>
      <c r="D1250" s="16" t="s">
        <v>184</v>
      </c>
      <c r="E1250" s="16" t="s">
        <v>192</v>
      </c>
      <c r="F1250" s="16" t="s">
        <v>255</v>
      </c>
      <c r="G1250" s="16" t="s">
        <v>300</v>
      </c>
      <c r="H1250" s="16" t="s">
        <v>1777</v>
      </c>
    </row>
    <row r="1251" ht="20.25" customHeight="1">
      <c r="A1251" s="32" t="str">
        <f>IMAGE("https://gymvisual.com/22199-catalog_default/chin-up-in-squatting-position.jpg",4,500,500)</f>
        <v/>
      </c>
      <c r="B1251" s="30">
        <v>1250.0</v>
      </c>
      <c r="C1251" s="16" t="s">
        <v>1778</v>
      </c>
      <c r="D1251" s="16" t="s">
        <v>184</v>
      </c>
      <c r="E1251" s="16" t="s">
        <v>192</v>
      </c>
      <c r="F1251" s="16" t="s">
        <v>255</v>
      </c>
      <c r="G1251" s="16" t="s">
        <v>220</v>
      </c>
      <c r="H1251" s="16" t="s">
        <v>220</v>
      </c>
    </row>
    <row r="1252" ht="20.25" customHeight="1">
      <c r="A1252" s="32" t="str">
        <f>IMAGE("https://gymvisual.com/22201-catalog_default/chin-up-izometric-and-negative.jpg",4,500,500)</f>
        <v/>
      </c>
      <c r="B1252" s="30">
        <v>1251.0</v>
      </c>
      <c r="C1252" s="16" t="s">
        <v>1779</v>
      </c>
      <c r="D1252" s="16" t="s">
        <v>184</v>
      </c>
      <c r="E1252" s="16" t="s">
        <v>192</v>
      </c>
      <c r="F1252" s="16" t="s">
        <v>255</v>
      </c>
      <c r="G1252" s="16" t="s">
        <v>329</v>
      </c>
      <c r="H1252" s="16" t="s">
        <v>447</v>
      </c>
    </row>
    <row r="1253" ht="20.25" customHeight="1">
      <c r="A1253" s="32" t="str">
        <f>IMAGE("https://gymvisual.com/18049-catalog_default/chin-up-around-the-bar.jpg",4,500,500)</f>
        <v/>
      </c>
      <c r="B1253" s="30">
        <v>1252.0</v>
      </c>
      <c r="C1253" s="16" t="s">
        <v>1780</v>
      </c>
      <c r="D1253" s="16" t="s">
        <v>184</v>
      </c>
      <c r="E1253" s="16" t="s">
        <v>192</v>
      </c>
      <c r="F1253" s="16" t="s">
        <v>255</v>
      </c>
      <c r="G1253" s="16" t="s">
        <v>220</v>
      </c>
      <c r="H1253" s="16" t="s">
        <v>220</v>
      </c>
    </row>
    <row r="1254" ht="20.25" customHeight="1">
      <c r="A1254" s="32" t="str">
        <f>IMAGE("https://gymvisual.com/781-catalog_default/chin-ups-narrow-parallel-grip.jpg",4,500,500)</f>
        <v/>
      </c>
      <c r="B1254" s="30">
        <v>1253.0</v>
      </c>
      <c r="C1254" s="16" t="s">
        <v>1781</v>
      </c>
      <c r="D1254" s="16" t="s">
        <v>184</v>
      </c>
      <c r="E1254" s="16" t="s">
        <v>192</v>
      </c>
      <c r="F1254" s="16" t="s">
        <v>255</v>
      </c>
      <c r="G1254" s="16" t="s">
        <v>329</v>
      </c>
      <c r="H1254" s="16" t="s">
        <v>457</v>
      </c>
    </row>
    <row r="1255" ht="20.25" customHeight="1">
      <c r="A1255" s="32" t="str">
        <f>IMAGE("https://gymvisual.com/784-catalog_default/circles-arm.jpg",4,500,500)</f>
        <v/>
      </c>
      <c r="B1255" s="30">
        <v>1254.0</v>
      </c>
      <c r="C1255" s="16" t="s">
        <v>1782</v>
      </c>
      <c r="D1255" s="16" t="s">
        <v>184</v>
      </c>
      <c r="E1255" s="16" t="s">
        <v>228</v>
      </c>
      <c r="F1255" s="16" t="s">
        <v>255</v>
      </c>
      <c r="G1255" s="16" t="s">
        <v>333</v>
      </c>
      <c r="H1255" s="16" t="s">
        <v>220</v>
      </c>
    </row>
    <row r="1256" ht="20.25" customHeight="1">
      <c r="A1256" s="32" t="str">
        <f>IMAGE("https://gymvisual.com/23581-catalog_default/circles-arm-male.jpg",4,500,500)</f>
        <v/>
      </c>
      <c r="B1256" s="30">
        <v>1255.0</v>
      </c>
      <c r="C1256" s="16" t="s">
        <v>1783</v>
      </c>
      <c r="D1256" s="16" t="s">
        <v>184</v>
      </c>
      <c r="E1256" s="16" t="s">
        <v>228</v>
      </c>
      <c r="F1256" s="16" t="s">
        <v>255</v>
      </c>
      <c r="G1256" s="16" t="s">
        <v>333</v>
      </c>
      <c r="H1256" s="16" t="s">
        <v>334</v>
      </c>
    </row>
    <row r="1257" ht="20.25" customHeight="1">
      <c r="A1257" s="32" t="str">
        <f>IMAGE("https://gymvisual.com/787-catalog_default/circles-ball-wall.jpg",4,500,500)</f>
        <v/>
      </c>
      <c r="B1257" s="30">
        <v>1256.0</v>
      </c>
      <c r="C1257" s="16" t="s">
        <v>1784</v>
      </c>
      <c r="D1257" s="16" t="s">
        <v>184</v>
      </c>
      <c r="E1257" s="16" t="s">
        <v>228</v>
      </c>
      <c r="F1257" s="16" t="s">
        <v>399</v>
      </c>
      <c r="G1257" s="16" t="s">
        <v>1785</v>
      </c>
      <c r="H1257" s="16" t="s">
        <v>220</v>
      </c>
    </row>
    <row r="1258" ht="20.25" customHeight="1">
      <c r="A1258" s="32" t="str">
        <f>IMAGE("https://gymvisual.com/790-catalog_default/circles-elbow-arm.jpg",4,500,500)</f>
        <v/>
      </c>
      <c r="B1258" s="30">
        <v>1257.0</v>
      </c>
      <c r="C1258" s="16" t="s">
        <v>1786</v>
      </c>
      <c r="D1258" s="16" t="s">
        <v>184</v>
      </c>
      <c r="E1258" s="16" t="s">
        <v>228</v>
      </c>
      <c r="F1258" s="16" t="s">
        <v>255</v>
      </c>
      <c r="G1258" s="16" t="s">
        <v>333</v>
      </c>
      <c r="H1258" s="16" t="s">
        <v>220</v>
      </c>
    </row>
    <row r="1259" ht="20.25" customHeight="1">
      <c r="A1259" s="32" t="str">
        <f>IMAGE("https://gymvisual.com/796-catalog_default/clock-push-up.jpg",4,500,500)</f>
        <v/>
      </c>
      <c r="B1259" s="30">
        <v>1258.0</v>
      </c>
      <c r="C1259" s="16" t="s">
        <v>1787</v>
      </c>
      <c r="D1259" s="16" t="s">
        <v>184</v>
      </c>
      <c r="E1259" s="16" t="s">
        <v>234</v>
      </c>
      <c r="F1259" s="16" t="s">
        <v>255</v>
      </c>
      <c r="G1259" s="16" t="s">
        <v>347</v>
      </c>
      <c r="H1259" s="16" t="s">
        <v>382</v>
      </c>
    </row>
    <row r="1260" ht="20.25" customHeight="1">
      <c r="A1260" s="32" t="str">
        <f>IMAGE("https://gymvisual.com/6018-catalog_default/close-grip-chin-up.jpg",4,500,500)</f>
        <v/>
      </c>
      <c r="B1260" s="30">
        <v>1259.0</v>
      </c>
      <c r="C1260" s="16" t="s">
        <v>1788</v>
      </c>
      <c r="D1260" s="16" t="s">
        <v>184</v>
      </c>
      <c r="E1260" s="16" t="s">
        <v>192</v>
      </c>
      <c r="F1260" s="16" t="s">
        <v>255</v>
      </c>
      <c r="G1260" s="16" t="s">
        <v>300</v>
      </c>
      <c r="H1260" s="16" t="s">
        <v>1789</v>
      </c>
    </row>
    <row r="1261" ht="20.25" customHeight="1">
      <c r="A1261" s="32" t="str">
        <f>IMAGE("https://gymvisual.com/23871-catalog_default/close-grip-pull-up.jpg",4,500,500)</f>
        <v/>
      </c>
      <c r="B1261" s="30">
        <v>1260.0</v>
      </c>
      <c r="C1261" s="16" t="s">
        <v>1790</v>
      </c>
      <c r="D1261" s="16" t="s">
        <v>184</v>
      </c>
      <c r="E1261" s="16" t="s">
        <v>192</v>
      </c>
      <c r="F1261" s="16" t="s">
        <v>255</v>
      </c>
      <c r="G1261" s="16" t="s">
        <v>220</v>
      </c>
      <c r="H1261" s="16" t="s">
        <v>220</v>
      </c>
    </row>
    <row r="1262" ht="20.25" customHeight="1">
      <c r="A1262" s="32" t="str">
        <f>IMAGE("https://gymvisual.com/20662-catalog_default/close-grip-chin-up-female.jpg",4,500,500)</f>
        <v/>
      </c>
      <c r="B1262" s="30">
        <v>1261.0</v>
      </c>
      <c r="C1262" s="16" t="s">
        <v>1791</v>
      </c>
      <c r="D1262" s="16" t="s">
        <v>184</v>
      </c>
      <c r="E1262" s="16" t="s">
        <v>192</v>
      </c>
      <c r="F1262" s="16" t="s">
        <v>255</v>
      </c>
      <c r="G1262" s="16" t="s">
        <v>300</v>
      </c>
      <c r="H1262" s="16" t="s">
        <v>1792</v>
      </c>
    </row>
    <row r="1263" ht="20.25" customHeight="1">
      <c r="A1263" s="32" t="str">
        <f>IMAGE("https://gymvisual.com/26452-catalog_default/close-grip-push-up.jpg",4,500,500)</f>
        <v/>
      </c>
      <c r="B1263" s="30">
        <v>1262.0</v>
      </c>
      <c r="C1263" s="16" t="s">
        <v>1793</v>
      </c>
      <c r="D1263" s="16" t="s">
        <v>184</v>
      </c>
      <c r="E1263" s="16" t="s">
        <v>219</v>
      </c>
      <c r="F1263" s="16" t="s">
        <v>255</v>
      </c>
      <c r="G1263" s="16" t="s">
        <v>223</v>
      </c>
      <c r="H1263" s="16" t="s">
        <v>472</v>
      </c>
    </row>
    <row r="1264" ht="20.25" customHeight="1">
      <c r="A1264" s="32" t="str">
        <f>IMAGE("https://gymvisual.com/10773-catalog_default/close-grip-push-up-female.jpg",4,500,500)</f>
        <v/>
      </c>
      <c r="B1264" s="30">
        <v>1263.0</v>
      </c>
      <c r="C1264" s="16" t="s">
        <v>1794</v>
      </c>
      <c r="D1264" s="16" t="s">
        <v>184</v>
      </c>
      <c r="E1264" s="16" t="s">
        <v>219</v>
      </c>
      <c r="F1264" s="16" t="s">
        <v>255</v>
      </c>
      <c r="G1264" s="16" t="s">
        <v>223</v>
      </c>
      <c r="H1264" s="16" t="s">
        <v>472</v>
      </c>
    </row>
    <row r="1265" ht="20.25" customHeight="1">
      <c r="A1265" s="32" t="str">
        <f>IMAGE("https://gymvisual.com/10408-catalog_default/close-grip-push-up-on-knees.jpg",4,500,500)</f>
        <v/>
      </c>
      <c r="B1265" s="30">
        <v>1264.0</v>
      </c>
      <c r="C1265" s="16" t="s">
        <v>1795</v>
      </c>
      <c r="D1265" s="16" t="s">
        <v>184</v>
      </c>
      <c r="E1265" s="16" t="s">
        <v>219</v>
      </c>
      <c r="F1265" s="16" t="s">
        <v>255</v>
      </c>
      <c r="G1265" s="16" t="s">
        <v>223</v>
      </c>
      <c r="H1265" s="16" t="s">
        <v>472</v>
      </c>
    </row>
    <row r="1266" ht="20.25" customHeight="1">
      <c r="A1266" s="32" t="str">
        <f>IMAGE("https://gymvisual.com/10765-catalog_default/close-grip-push-up-on-knees-female.jpg",4,500,500)</f>
        <v/>
      </c>
      <c r="B1266" s="30">
        <v>1265.0</v>
      </c>
      <c r="C1266" s="16" t="s">
        <v>1796</v>
      </c>
      <c r="D1266" s="16" t="s">
        <v>184</v>
      </c>
      <c r="E1266" s="16" t="s">
        <v>219</v>
      </c>
      <c r="F1266" s="16" t="s">
        <v>255</v>
      </c>
      <c r="G1266" s="16" t="s">
        <v>223</v>
      </c>
      <c r="H1266" s="16" t="s">
        <v>472</v>
      </c>
    </row>
    <row r="1267" ht="20.25" customHeight="1">
      <c r="A1267" s="32" t="str">
        <f>IMAGE("https://gymvisual.com/13992-catalog_default/cobra-push-up.jpg",4,500,500)</f>
        <v/>
      </c>
      <c r="B1267" s="30">
        <v>1266.0</v>
      </c>
      <c r="C1267" s="16" t="s">
        <v>1797</v>
      </c>
      <c r="D1267" s="16" t="s">
        <v>184</v>
      </c>
      <c r="E1267" s="16" t="s">
        <v>1798</v>
      </c>
      <c r="F1267" s="16" t="s">
        <v>255</v>
      </c>
      <c r="G1267" s="16" t="s">
        <v>1799</v>
      </c>
      <c r="H1267" s="16" t="s">
        <v>1800</v>
      </c>
    </row>
    <row r="1268" ht="20.25" customHeight="1">
      <c r="A1268" s="32" t="str">
        <f>IMAGE("https://gymvisual.com/802-catalog_default/cocoons.jpg",4,500,500)</f>
        <v/>
      </c>
      <c r="B1268" s="30">
        <v>1267.0</v>
      </c>
      <c r="C1268" s="16" t="s">
        <v>1801</v>
      </c>
      <c r="D1268" s="16" t="s">
        <v>184</v>
      </c>
      <c r="E1268" s="16" t="s">
        <v>254</v>
      </c>
      <c r="F1268" s="16" t="s">
        <v>255</v>
      </c>
      <c r="G1268" s="16" t="s">
        <v>305</v>
      </c>
      <c r="H1268" s="16" t="s">
        <v>189</v>
      </c>
    </row>
    <row r="1269" ht="20.25" customHeight="1">
      <c r="A1269" s="32" t="str">
        <f>IMAGE("https://gymvisual.com/11300-catalog_default/cocoons-female.jpg",4,500,500)</f>
        <v/>
      </c>
      <c r="B1269" s="30">
        <v>1268.0</v>
      </c>
      <c r="C1269" s="16" t="s">
        <v>1802</v>
      </c>
      <c r="D1269" s="16" t="s">
        <v>184</v>
      </c>
      <c r="E1269" s="16" t="s">
        <v>254</v>
      </c>
      <c r="F1269" s="16" t="s">
        <v>255</v>
      </c>
      <c r="G1269" s="16" t="s">
        <v>305</v>
      </c>
      <c r="H1269" s="16" t="s">
        <v>319</v>
      </c>
    </row>
    <row r="1270" ht="20.25" customHeight="1">
      <c r="A1270" s="32" t="str">
        <f>IMAGE("https://gymvisual.com/20503-catalog_default/commando-pull-up.jpg",4,500,500)</f>
        <v/>
      </c>
      <c r="B1270" s="30">
        <v>1269.0</v>
      </c>
      <c r="C1270" s="16" t="s">
        <v>1803</v>
      </c>
      <c r="D1270" s="16" t="s">
        <v>184</v>
      </c>
      <c r="E1270" s="16" t="s">
        <v>361</v>
      </c>
      <c r="F1270" s="16" t="s">
        <v>255</v>
      </c>
      <c r="G1270" s="16" t="s">
        <v>362</v>
      </c>
      <c r="H1270" s="16" t="s">
        <v>357</v>
      </c>
    </row>
    <row r="1271" ht="20.25" customHeight="1">
      <c r="A1271" s="32" t="str">
        <f>IMAGE("https://gymvisual.com/20523-catalog_default/commando-pull-up-female.jpg",4,500,500)</f>
        <v/>
      </c>
      <c r="B1271" s="30">
        <v>1270.0</v>
      </c>
      <c r="C1271" s="16" t="s">
        <v>1804</v>
      </c>
      <c r="D1271" s="16" t="s">
        <v>184</v>
      </c>
      <c r="E1271" s="16" t="s">
        <v>361</v>
      </c>
      <c r="F1271" s="16" t="s">
        <v>255</v>
      </c>
      <c r="G1271" s="16" t="s">
        <v>362</v>
      </c>
      <c r="H1271" s="16" t="s">
        <v>357</v>
      </c>
    </row>
    <row r="1272" ht="20.25" customHeight="1">
      <c r="A1272" s="32" t="str">
        <f>IMAGE("https://gymvisual.com/10209-catalog_default/concentration-curl-arms-wrong-right.jpg",4,500,500)</f>
        <v/>
      </c>
      <c r="B1272" s="30">
        <v>1271.0</v>
      </c>
      <c r="C1272" s="16" t="s">
        <v>1805</v>
      </c>
      <c r="D1272" s="16" t="s">
        <v>184</v>
      </c>
      <c r="E1272" s="16" t="s">
        <v>219</v>
      </c>
      <c r="F1272" s="16" t="s">
        <v>222</v>
      </c>
      <c r="G1272" s="16" t="s">
        <v>220</v>
      </c>
      <c r="H1272" s="16" t="s">
        <v>220</v>
      </c>
    </row>
    <row r="1273" ht="20.25" customHeight="1">
      <c r="A1273" s="32" t="str">
        <f>IMAGE("https://gymvisual.com/805-catalog_default/corkscrew-push-up.jpg",4,500,500)</f>
        <v/>
      </c>
      <c r="B1273" s="30">
        <v>1272.0</v>
      </c>
      <c r="C1273" s="16" t="s">
        <v>1806</v>
      </c>
      <c r="D1273" s="16" t="s">
        <v>184</v>
      </c>
      <c r="E1273" s="16" t="s">
        <v>254</v>
      </c>
      <c r="F1273" s="16" t="s">
        <v>255</v>
      </c>
      <c r="G1273" s="16" t="s">
        <v>1807</v>
      </c>
      <c r="H1273" s="16" t="s">
        <v>382</v>
      </c>
    </row>
    <row r="1274" ht="20.25" customHeight="1">
      <c r="A1274" s="32" t="str">
        <f>IMAGE("https://gymvisual.com/19371-catalog_default/cossack-squats-female.jpg",4,500,500)</f>
        <v/>
      </c>
      <c r="B1274" s="30">
        <v>1273.0</v>
      </c>
      <c r="C1274" s="16" t="s">
        <v>1808</v>
      </c>
      <c r="D1274" s="16" t="s">
        <v>184</v>
      </c>
      <c r="E1274" s="16" t="s">
        <v>294</v>
      </c>
      <c r="F1274" s="16" t="s">
        <v>255</v>
      </c>
      <c r="G1274" s="16" t="s">
        <v>189</v>
      </c>
      <c r="H1274" s="16" t="s">
        <v>902</v>
      </c>
    </row>
    <row r="1275" ht="20.25" customHeight="1">
      <c r="A1275" s="32" t="str">
        <f>IMAGE("https://gymvisual.com/22604-catalog_default/counterbalanced-skater-squat-male.jpg",4,500,500)</f>
        <v/>
      </c>
      <c r="B1275" s="30">
        <v>1274.0</v>
      </c>
      <c r="C1275" s="16" t="s">
        <v>1809</v>
      </c>
      <c r="D1275" s="16" t="s">
        <v>184</v>
      </c>
      <c r="E1275" s="16" t="s">
        <v>285</v>
      </c>
      <c r="F1275" s="16" t="s">
        <v>255</v>
      </c>
      <c r="G1275" s="16" t="s">
        <v>189</v>
      </c>
      <c r="H1275" s="16" t="s">
        <v>190</v>
      </c>
    </row>
    <row r="1276" ht="20.25" customHeight="1">
      <c r="A1276" s="32" t="str">
        <f>IMAGE("https://gymvisual.com/6403-catalog_default/crab-twist-toe-touch.jpg",4,500,500)</f>
        <v/>
      </c>
      <c r="B1276" s="30">
        <v>1275.0</v>
      </c>
      <c r="C1276" s="16" t="s">
        <v>1810</v>
      </c>
      <c r="D1276" s="16" t="s">
        <v>184</v>
      </c>
      <c r="E1276" s="16" t="s">
        <v>254</v>
      </c>
      <c r="F1276" s="16" t="s">
        <v>255</v>
      </c>
      <c r="G1276" s="16" t="s">
        <v>1811</v>
      </c>
      <c r="H1276" s="16" t="s">
        <v>1812</v>
      </c>
    </row>
    <row r="1277" ht="20.25" customHeight="1">
      <c r="A1277" s="32" t="str">
        <f>IMAGE("https://gymvisual.com/22740-catalog_default/criss-cross-leg-raises.jpg",4,500,500)</f>
        <v/>
      </c>
      <c r="B1277" s="30">
        <v>1276.0</v>
      </c>
      <c r="C1277" s="16" t="s">
        <v>1813</v>
      </c>
      <c r="D1277" s="16" t="s">
        <v>184</v>
      </c>
      <c r="E1277" s="16" t="s">
        <v>185</v>
      </c>
      <c r="F1277" s="16" t="s">
        <v>255</v>
      </c>
      <c r="G1277" s="16" t="s">
        <v>1814</v>
      </c>
      <c r="H1277" s="16" t="s">
        <v>1815</v>
      </c>
    </row>
    <row r="1278" ht="20.25" customHeight="1">
      <c r="A1278" s="32" t="str">
        <f>IMAGE("https://gymvisual.com/16773-catalog_default/cross-arms-push-up.jpg",4,500,500)</f>
        <v/>
      </c>
      <c r="B1278" s="30">
        <v>1277.0</v>
      </c>
      <c r="C1278" s="16" t="s">
        <v>1816</v>
      </c>
      <c r="D1278" s="16" t="s">
        <v>184</v>
      </c>
      <c r="E1278" s="16" t="s">
        <v>219</v>
      </c>
      <c r="F1278" s="16" t="s">
        <v>255</v>
      </c>
      <c r="G1278" s="16" t="s">
        <v>223</v>
      </c>
      <c r="H1278" s="16" t="s">
        <v>1817</v>
      </c>
    </row>
    <row r="1279" ht="20.25" customHeight="1">
      <c r="A1279" s="32" t="str">
        <f>IMAGE("https://gymvisual.com/808-catalog_default/cross-body-crunch.jpg",4,500,500)</f>
        <v/>
      </c>
      <c r="B1279" s="30">
        <v>1278.0</v>
      </c>
      <c r="C1279" s="16" t="s">
        <v>1818</v>
      </c>
      <c r="D1279" s="16" t="s">
        <v>184</v>
      </c>
      <c r="E1279" s="16" t="s">
        <v>254</v>
      </c>
      <c r="F1279" s="16" t="s">
        <v>255</v>
      </c>
      <c r="G1279" s="16" t="s">
        <v>260</v>
      </c>
      <c r="H1279" s="16" t="s">
        <v>189</v>
      </c>
    </row>
    <row r="1280" ht="20.25" customHeight="1">
      <c r="A1280" s="32" t="str">
        <f>IMAGE("https://gymvisual.com/21030-catalog_default/cross-body-punch-in-squat-position.jpg",4,500,500)</f>
        <v/>
      </c>
      <c r="B1280" s="30">
        <v>1279.0</v>
      </c>
      <c r="C1280" s="16" t="s">
        <v>1819</v>
      </c>
      <c r="D1280" s="16" t="s">
        <v>184</v>
      </c>
      <c r="E1280" s="16" t="s">
        <v>234</v>
      </c>
      <c r="F1280" s="16" t="s">
        <v>255</v>
      </c>
      <c r="G1280" s="16" t="s">
        <v>220</v>
      </c>
      <c r="H1280" s="16" t="s">
        <v>220</v>
      </c>
    </row>
    <row r="1281" ht="20.25" customHeight="1">
      <c r="A1281" s="32" t="str">
        <f>IMAGE("https://gymvisual.com/811-catalog_default/cross-body-twisting-crunch.jpg",4,500,500)</f>
        <v/>
      </c>
      <c r="B1281" s="30">
        <v>1280.0</v>
      </c>
      <c r="C1281" s="16" t="s">
        <v>1820</v>
      </c>
      <c r="D1281" s="16" t="s">
        <v>184</v>
      </c>
      <c r="E1281" s="16" t="s">
        <v>254</v>
      </c>
      <c r="F1281" s="16" t="s">
        <v>255</v>
      </c>
      <c r="G1281" s="16" t="s">
        <v>260</v>
      </c>
      <c r="H1281" s="16" t="s">
        <v>189</v>
      </c>
    </row>
    <row r="1282" ht="20.25" customHeight="1">
      <c r="A1282" s="32" t="str">
        <f>IMAGE("https://gymvisual.com/17791-catalog_default/cross-twisting-sit-up-female.jpg",4,500,500)</f>
        <v/>
      </c>
      <c r="B1282" s="30">
        <v>1281.0</v>
      </c>
      <c r="C1282" s="16" t="s">
        <v>1821</v>
      </c>
      <c r="D1282" s="16" t="s">
        <v>184</v>
      </c>
      <c r="E1282" s="16" t="s">
        <v>254</v>
      </c>
      <c r="F1282" s="16" t="s">
        <v>255</v>
      </c>
      <c r="G1282" s="16" t="s">
        <v>220</v>
      </c>
      <c r="H1282" s="16" t="s">
        <v>220</v>
      </c>
    </row>
    <row r="1283" ht="20.25" customHeight="1">
      <c r="A1283" s="32" t="str">
        <f>IMAGE("https://gymvisual.com/23060-catalog_default/cross-twisting-sit-up-version-2-female.jpg",4,500,500)</f>
        <v/>
      </c>
      <c r="B1283" s="30">
        <v>1282.0</v>
      </c>
      <c r="C1283" s="16" t="s">
        <v>1822</v>
      </c>
      <c r="D1283" s="16" t="s">
        <v>184</v>
      </c>
      <c r="E1283" s="16" t="s">
        <v>254</v>
      </c>
      <c r="F1283" s="16" t="s">
        <v>255</v>
      </c>
      <c r="G1283" s="16" t="s">
        <v>220</v>
      </c>
      <c r="H1283" s="16" t="s">
        <v>220</v>
      </c>
    </row>
    <row r="1284" ht="20.25" customHeight="1">
      <c r="A1284" s="32" t="str">
        <f>IMAGE("https://gymvisual.com/22203-catalog_default/crunch-arms-on-chest-female.jpg",4,500,500)</f>
        <v/>
      </c>
      <c r="B1284" s="30">
        <v>1283.0</v>
      </c>
      <c r="C1284" s="16" t="s">
        <v>1823</v>
      </c>
      <c r="D1284" s="16" t="s">
        <v>184</v>
      </c>
      <c r="E1284" s="16" t="s">
        <v>254</v>
      </c>
      <c r="F1284" s="16" t="s">
        <v>255</v>
      </c>
      <c r="G1284" s="16" t="s">
        <v>220</v>
      </c>
      <c r="H1284" s="16" t="s">
        <v>220</v>
      </c>
    </row>
    <row r="1285" ht="20.25" customHeight="1">
      <c r="A1285" s="32" t="str">
        <f>IMAGE("https://gymvisual.com/820-catalog_default/crunch-arms-straight.jpg",4,500,500)</f>
        <v/>
      </c>
      <c r="B1285" s="30">
        <v>1284.0</v>
      </c>
      <c r="C1285" s="16" t="s">
        <v>1824</v>
      </c>
      <c r="D1285" s="16" t="s">
        <v>184</v>
      </c>
      <c r="E1285" s="16" t="s">
        <v>254</v>
      </c>
      <c r="F1285" s="16" t="s">
        <v>255</v>
      </c>
      <c r="G1285" s="16" t="s">
        <v>256</v>
      </c>
      <c r="H1285" s="16" t="s">
        <v>257</v>
      </c>
    </row>
    <row r="1286" ht="20.25" customHeight="1">
      <c r="A1286" s="32" t="str">
        <f>IMAGE("https://gymvisual.com/18706-catalog_default/crunch-arms-straight-male.jpg",4,500,500)</f>
        <v/>
      </c>
      <c r="B1286" s="30">
        <v>1285.0</v>
      </c>
      <c r="C1286" s="16" t="s">
        <v>1825</v>
      </c>
      <c r="D1286" s="16" t="s">
        <v>184</v>
      </c>
      <c r="E1286" s="16" t="s">
        <v>254</v>
      </c>
      <c r="F1286" s="16" t="s">
        <v>255</v>
      </c>
      <c r="G1286" s="16" t="s">
        <v>256</v>
      </c>
      <c r="H1286" s="16" t="s">
        <v>257</v>
      </c>
    </row>
    <row r="1287" ht="20.25" customHeight="1">
      <c r="A1287" s="32" t="str">
        <f>IMAGE("https://gymvisual.com/823-catalog_default/crunch-hands-overhead.jpg",4,500,500)</f>
        <v/>
      </c>
      <c r="B1287" s="30">
        <v>1286.0</v>
      </c>
      <c r="C1287" s="16" t="s">
        <v>1826</v>
      </c>
      <c r="D1287" s="16" t="s">
        <v>184</v>
      </c>
      <c r="E1287" s="16" t="s">
        <v>254</v>
      </c>
      <c r="F1287" s="16" t="s">
        <v>255</v>
      </c>
      <c r="G1287" s="16" t="s">
        <v>256</v>
      </c>
      <c r="H1287" s="16" t="s">
        <v>257</v>
      </c>
    </row>
    <row r="1288" ht="20.25" customHeight="1">
      <c r="A1288" s="32" t="str">
        <f>IMAGE("https://gymvisual.com/826-catalog_default/crunch-leg-raise.jpg",4,500,500)</f>
        <v/>
      </c>
      <c r="B1288" s="30">
        <v>1287.0</v>
      </c>
      <c r="C1288" s="16" t="s">
        <v>1827</v>
      </c>
      <c r="D1288" s="16" t="s">
        <v>184</v>
      </c>
      <c r="E1288" s="16" t="s">
        <v>254</v>
      </c>
      <c r="F1288" s="16" t="s">
        <v>255</v>
      </c>
      <c r="G1288" s="16" t="s">
        <v>256</v>
      </c>
      <c r="H1288" s="16" t="s">
        <v>524</v>
      </c>
    </row>
    <row r="1289" ht="20.25" customHeight="1">
      <c r="A1289" s="32" t="str">
        <f>IMAGE("https://gymvisual.com/829-catalog_default/crunch-legs-on-stability-ball.jpg",4,500,500)</f>
        <v/>
      </c>
      <c r="B1289" s="30">
        <v>1288.0</v>
      </c>
      <c r="C1289" s="16" t="s">
        <v>1828</v>
      </c>
      <c r="D1289" s="16" t="s">
        <v>184</v>
      </c>
      <c r="E1289" s="16" t="s">
        <v>254</v>
      </c>
      <c r="F1289" s="16" t="s">
        <v>399</v>
      </c>
      <c r="G1289" s="16" t="s">
        <v>256</v>
      </c>
      <c r="H1289" s="16" t="s">
        <v>257</v>
      </c>
    </row>
    <row r="1290" ht="20.25" customHeight="1">
      <c r="A1290" s="32" t="str">
        <f>IMAGE("https://gymvisual.com/832-catalog_default/crunch-on-bench.jpg",4,500,500)</f>
        <v/>
      </c>
      <c r="B1290" s="30">
        <v>1289.0</v>
      </c>
      <c r="C1290" s="16" t="s">
        <v>1829</v>
      </c>
      <c r="D1290" s="16" t="s">
        <v>184</v>
      </c>
      <c r="E1290" s="16" t="s">
        <v>254</v>
      </c>
      <c r="F1290" s="16" t="s">
        <v>255</v>
      </c>
      <c r="G1290" s="16" t="s">
        <v>256</v>
      </c>
      <c r="H1290" s="16" t="s">
        <v>257</v>
      </c>
    </row>
    <row r="1291" ht="20.25" customHeight="1">
      <c r="A1291" s="32" t="str">
        <f>IMAGE("https://gymvisual.com/17069-catalog_default/crunch-on-bench-male.jpg",4,500,500)</f>
        <v/>
      </c>
      <c r="B1291" s="30">
        <v>1290.0</v>
      </c>
      <c r="C1291" s="16" t="s">
        <v>1830</v>
      </c>
      <c r="D1291" s="16" t="s">
        <v>184</v>
      </c>
      <c r="E1291" s="16" t="s">
        <v>254</v>
      </c>
      <c r="F1291" s="16" t="s">
        <v>255</v>
      </c>
      <c r="G1291" s="16" t="s">
        <v>256</v>
      </c>
      <c r="H1291" s="16" t="s">
        <v>257</v>
      </c>
    </row>
    <row r="1292" ht="20.25" customHeight="1">
      <c r="A1292" s="32" t="str">
        <f>IMAGE("https://gymvisual.com/4618-catalog_default/crunch-on-bosu-ball.jpg",4,500,500)</f>
        <v/>
      </c>
      <c r="B1292" s="30">
        <v>1291.0</v>
      </c>
      <c r="C1292" s="16" t="s">
        <v>1831</v>
      </c>
      <c r="D1292" s="16" t="s">
        <v>184</v>
      </c>
      <c r="E1292" s="16" t="s">
        <v>254</v>
      </c>
      <c r="F1292" s="16" t="s">
        <v>316</v>
      </c>
      <c r="G1292" s="16" t="s">
        <v>256</v>
      </c>
      <c r="H1292" s="16" t="s">
        <v>257</v>
      </c>
    </row>
    <row r="1293" ht="20.25" customHeight="1">
      <c r="A1293" s="32" t="str">
        <f>IMAGE("https://gymvisual.com/835-catalog_default/crunch-on-stability-ball.jpg",4,500,500)</f>
        <v/>
      </c>
      <c r="B1293" s="30">
        <v>1292.0</v>
      </c>
      <c r="C1293" s="16" t="s">
        <v>1832</v>
      </c>
      <c r="D1293" s="16" t="s">
        <v>184</v>
      </c>
      <c r="E1293" s="16" t="s">
        <v>254</v>
      </c>
      <c r="F1293" s="16" t="s">
        <v>399</v>
      </c>
      <c r="G1293" s="16" t="s">
        <v>256</v>
      </c>
      <c r="H1293" s="16" t="s">
        <v>257</v>
      </c>
    </row>
    <row r="1294" ht="20.25" customHeight="1">
      <c r="A1294" s="32" t="str">
        <f>IMAGE("https://gymvisual.com/11604-catalog_default/crunch-on-stability-ball-female.jpg",4,500,500)</f>
        <v/>
      </c>
      <c r="B1294" s="30">
        <v>1293.0</v>
      </c>
      <c r="C1294" s="16" t="s">
        <v>1833</v>
      </c>
      <c r="D1294" s="16" t="s">
        <v>184</v>
      </c>
      <c r="E1294" s="16" t="s">
        <v>254</v>
      </c>
      <c r="F1294" s="16" t="s">
        <v>399</v>
      </c>
      <c r="G1294" s="16" t="s">
        <v>220</v>
      </c>
      <c r="H1294" s="16" t="s">
        <v>220</v>
      </c>
    </row>
    <row r="1295" ht="20.25" customHeight="1">
      <c r="A1295" s="32" t="str">
        <f>IMAGE("https://gymvisual.com/838-catalog_default/crunch-on-stability-ball-arms-straight.jpg",4,500,500)</f>
        <v/>
      </c>
      <c r="B1295" s="30">
        <v>1294.0</v>
      </c>
      <c r="C1295" s="16" t="s">
        <v>1834</v>
      </c>
      <c r="D1295" s="16" t="s">
        <v>184</v>
      </c>
      <c r="E1295" s="16" t="s">
        <v>254</v>
      </c>
      <c r="F1295" s="16" t="s">
        <v>399</v>
      </c>
      <c r="G1295" s="16" t="s">
        <v>256</v>
      </c>
      <c r="H1295" s="16" t="s">
        <v>257</v>
      </c>
    </row>
    <row r="1296" ht="20.25" customHeight="1">
      <c r="A1296" s="32" t="str">
        <f>IMAGE("https://gymvisual.com/841-catalog_default/crunch-straight-leg-up.jpg",4,500,500)</f>
        <v/>
      </c>
      <c r="B1296" s="30">
        <v>1295.0</v>
      </c>
      <c r="C1296" s="16" t="s">
        <v>1835</v>
      </c>
      <c r="D1296" s="16" t="s">
        <v>184</v>
      </c>
      <c r="E1296" s="16" t="s">
        <v>254</v>
      </c>
      <c r="F1296" s="16" t="s">
        <v>255</v>
      </c>
      <c r="G1296" s="16" t="s">
        <v>256</v>
      </c>
      <c r="H1296" s="16" t="s">
        <v>424</v>
      </c>
    </row>
    <row r="1297" ht="20.25" customHeight="1">
      <c r="A1297" s="32" t="str">
        <f>IMAGE("https://gymvisual.com/10188-catalog_default/crunch-back-wrong-right.jpg",4,500,500)</f>
        <v/>
      </c>
      <c r="B1297" s="30">
        <v>1296.0</v>
      </c>
      <c r="C1297" s="16" t="s">
        <v>1836</v>
      </c>
      <c r="D1297" s="16" t="s">
        <v>184</v>
      </c>
      <c r="E1297" s="16" t="s">
        <v>254</v>
      </c>
      <c r="F1297" s="16" t="s">
        <v>255</v>
      </c>
      <c r="G1297" s="16" t="s">
        <v>220</v>
      </c>
      <c r="H1297" s="16" t="s">
        <v>220</v>
      </c>
    </row>
    <row r="1298" ht="20.25" customHeight="1">
      <c r="A1298" s="32" t="str">
        <f>IMAGE("https://gymvisual.com/844-catalog_default/crunch-floor.jpg",4,500,500)</f>
        <v/>
      </c>
      <c r="B1298" s="30">
        <v>1297.0</v>
      </c>
      <c r="C1298" s="16" t="s">
        <v>1837</v>
      </c>
      <c r="D1298" s="16" t="s">
        <v>184</v>
      </c>
      <c r="E1298" s="16" t="s">
        <v>254</v>
      </c>
      <c r="F1298" s="16" t="s">
        <v>255</v>
      </c>
      <c r="G1298" s="16" t="s">
        <v>256</v>
      </c>
      <c r="H1298" s="16" t="s">
        <v>257</v>
      </c>
    </row>
    <row r="1299" ht="20.25" customHeight="1">
      <c r="A1299" s="32" t="str">
        <f>IMAGE("https://gymvisual.com/847-catalog_default/crunch-floor.jpg",4,500,500)</f>
        <v/>
      </c>
      <c r="B1299" s="30">
        <v>1298.0</v>
      </c>
      <c r="C1299" s="16" t="s">
        <v>1837</v>
      </c>
      <c r="D1299" s="16" t="s">
        <v>184</v>
      </c>
      <c r="E1299" s="16" t="s">
        <v>254</v>
      </c>
      <c r="F1299" s="16" t="s">
        <v>255</v>
      </c>
      <c r="G1299" s="16" t="s">
        <v>256</v>
      </c>
      <c r="H1299" s="16" t="s">
        <v>257</v>
      </c>
    </row>
    <row r="1300" ht="20.25" customHeight="1">
      <c r="A1300" s="32" t="str">
        <f>IMAGE("https://gymvisual.com/18254-catalog_default/crunch-hold.jpg",4,500,500)</f>
        <v/>
      </c>
      <c r="B1300" s="30">
        <v>1299.0</v>
      </c>
      <c r="C1300" s="16" t="s">
        <v>1838</v>
      </c>
      <c r="D1300" s="16" t="s">
        <v>184</v>
      </c>
      <c r="E1300" s="16" t="s">
        <v>254</v>
      </c>
      <c r="F1300" s="16" t="s">
        <v>255</v>
      </c>
      <c r="G1300" s="16" t="s">
        <v>256</v>
      </c>
      <c r="H1300" s="16" t="s">
        <v>257</v>
      </c>
    </row>
    <row r="1301" ht="20.25" customHeight="1">
      <c r="A1301" s="32" t="str">
        <f>IMAGE("https://gymvisual.com/18252-catalog_default/crunch-single-leg-lift.jpg",4,500,500)</f>
        <v/>
      </c>
      <c r="B1301" s="30">
        <v>1300.0</v>
      </c>
      <c r="C1301" s="16" t="s">
        <v>1839</v>
      </c>
      <c r="D1301" s="16" t="s">
        <v>184</v>
      </c>
      <c r="E1301" s="16" t="s">
        <v>254</v>
      </c>
      <c r="F1301" s="16" t="s">
        <v>255</v>
      </c>
      <c r="G1301" s="16" t="s">
        <v>305</v>
      </c>
      <c r="H1301" s="16" t="s">
        <v>1840</v>
      </c>
    </row>
    <row r="1302" ht="20.25" customHeight="1">
      <c r="A1302" s="32" t="str">
        <f>IMAGE("https://gymvisual.com/17891-catalog_default/crunch-with-leg-lift-male.jpg",4,500,500)</f>
        <v/>
      </c>
      <c r="B1302" s="30">
        <v>1301.0</v>
      </c>
      <c r="C1302" s="16" t="s">
        <v>1841</v>
      </c>
      <c r="D1302" s="16" t="s">
        <v>184</v>
      </c>
      <c r="E1302" s="16" t="s">
        <v>254</v>
      </c>
      <c r="F1302" s="16" t="s">
        <v>255</v>
      </c>
      <c r="G1302" s="16" t="s">
        <v>220</v>
      </c>
      <c r="H1302" s="16" t="s">
        <v>220</v>
      </c>
    </row>
    <row r="1303" ht="20.25" customHeight="1">
      <c r="A1303" s="32" t="str">
        <f>IMAGE("https://gymvisual.com/13836-catalog_default/crunch-with-medicine-ball.jpg",4,500,500)</f>
        <v/>
      </c>
      <c r="B1303" s="30">
        <v>1302.0</v>
      </c>
      <c r="C1303" s="16" t="s">
        <v>1842</v>
      </c>
      <c r="D1303" s="16" t="s">
        <v>184</v>
      </c>
      <c r="E1303" s="16" t="s">
        <v>254</v>
      </c>
      <c r="F1303" s="16" t="s">
        <v>373</v>
      </c>
      <c r="G1303" s="16" t="s">
        <v>256</v>
      </c>
      <c r="H1303" s="16" t="s">
        <v>257</v>
      </c>
    </row>
    <row r="1304" ht="20.25" customHeight="1">
      <c r="A1304" s="32" t="str">
        <f>IMAGE("https://gymvisual.com/13838-catalog_default/crunch-with-medicine-ball-female.jpg",4,500,500)</f>
        <v/>
      </c>
      <c r="B1304" s="30">
        <v>1303.0</v>
      </c>
      <c r="C1304" s="16" t="s">
        <v>1843</v>
      </c>
      <c r="D1304" s="16" t="s">
        <v>184</v>
      </c>
      <c r="E1304" s="16" t="s">
        <v>254</v>
      </c>
      <c r="F1304" s="16" t="s">
        <v>373</v>
      </c>
      <c r="G1304" s="16" t="s">
        <v>256</v>
      </c>
      <c r="H1304" s="16" t="s">
        <v>257</v>
      </c>
    </row>
    <row r="1305" ht="20.25" customHeight="1">
      <c r="A1305" s="32" t="str">
        <f>IMAGE("https://gymvisual.com/14030-catalog_default/crunchy-frog-on-floor.jpg",4,500,500)</f>
        <v/>
      </c>
      <c r="B1305" s="30">
        <v>1304.0</v>
      </c>
      <c r="C1305" s="16" t="s">
        <v>1844</v>
      </c>
      <c r="D1305" s="16" t="s">
        <v>184</v>
      </c>
      <c r="E1305" s="16" t="s">
        <v>1845</v>
      </c>
      <c r="F1305" s="16" t="s">
        <v>255</v>
      </c>
      <c r="G1305" s="16" t="s">
        <v>1846</v>
      </c>
      <c r="H1305" s="16" t="s">
        <v>1847</v>
      </c>
    </row>
    <row r="1306" ht="20.25" customHeight="1">
      <c r="A1306" s="32" t="str">
        <f>IMAGE("https://gymvisual.com/12480-catalog_default/curl-up.jpg",4,500,500)</f>
        <v/>
      </c>
      <c r="B1306" s="30">
        <v>1305.0</v>
      </c>
      <c r="C1306" s="16" t="s">
        <v>1848</v>
      </c>
      <c r="D1306" s="16" t="s">
        <v>184</v>
      </c>
      <c r="E1306" s="16" t="s">
        <v>254</v>
      </c>
      <c r="F1306" s="16" t="s">
        <v>255</v>
      </c>
      <c r="G1306" s="16" t="s">
        <v>256</v>
      </c>
      <c r="H1306" s="16" t="s">
        <v>257</v>
      </c>
    </row>
    <row r="1307" ht="20.25" customHeight="1">
      <c r="A1307" s="32" t="str">
        <f>IMAGE("https://gymvisual.com/12477-catalog_default/curl-up-female.jpg",4,500,500)</f>
        <v/>
      </c>
      <c r="B1307" s="30">
        <v>1306.0</v>
      </c>
      <c r="C1307" s="16" t="s">
        <v>1849</v>
      </c>
      <c r="D1307" s="16" t="s">
        <v>184</v>
      </c>
      <c r="E1307" s="16" t="s">
        <v>254</v>
      </c>
      <c r="F1307" s="16" t="s">
        <v>255</v>
      </c>
      <c r="G1307" s="16" t="s">
        <v>256</v>
      </c>
      <c r="H1307" s="16" t="s">
        <v>257</v>
      </c>
    </row>
    <row r="1308" ht="20.25" customHeight="1">
      <c r="A1308" s="32" t="str">
        <f>IMAGE("https://gymvisual.com/16737-catalog_default/curtsey-squat.jpg",4,500,500)</f>
        <v/>
      </c>
      <c r="B1308" s="30">
        <v>1307.0</v>
      </c>
      <c r="C1308" s="16" t="s">
        <v>1850</v>
      </c>
      <c r="D1308" s="16" t="s">
        <v>184</v>
      </c>
      <c r="E1308" s="16" t="s">
        <v>294</v>
      </c>
      <c r="F1308" s="16" t="s">
        <v>255</v>
      </c>
      <c r="G1308" s="16" t="s">
        <v>1851</v>
      </c>
      <c r="H1308" s="16" t="s">
        <v>1852</v>
      </c>
    </row>
    <row r="1309" ht="20.25" customHeight="1">
      <c r="A1309" s="32" t="str">
        <f>IMAGE("https://gymvisual.com/20612-catalog_default/dead-bug.jpg",4,500,500)</f>
        <v/>
      </c>
      <c r="B1309" s="30">
        <v>1308.0</v>
      </c>
      <c r="C1309" s="16" t="s">
        <v>1853</v>
      </c>
      <c r="D1309" s="16" t="s">
        <v>184</v>
      </c>
      <c r="E1309" s="16" t="s">
        <v>254</v>
      </c>
      <c r="F1309" s="16" t="s">
        <v>255</v>
      </c>
      <c r="G1309" s="16" t="s">
        <v>256</v>
      </c>
      <c r="H1309" s="16" t="s">
        <v>189</v>
      </c>
    </row>
    <row r="1310" ht="20.25" customHeight="1">
      <c r="A1310" s="32" t="str">
        <f>IMAGE("https://gymvisual.com/13411-catalog_default/dead-bug-female.jpg",4,500,500)</f>
        <v/>
      </c>
      <c r="B1310" s="30">
        <v>1309.0</v>
      </c>
      <c r="C1310" s="16" t="s">
        <v>1854</v>
      </c>
      <c r="D1310" s="16" t="s">
        <v>184</v>
      </c>
      <c r="E1310" s="16" t="s">
        <v>522</v>
      </c>
      <c r="F1310" s="16" t="s">
        <v>255</v>
      </c>
      <c r="G1310" s="16" t="s">
        <v>256</v>
      </c>
      <c r="H1310" s="16" t="s">
        <v>189</v>
      </c>
    </row>
    <row r="1311" ht="20.25" customHeight="1">
      <c r="A1311" s="32" t="str">
        <f>IMAGE("https://gymvisual.com/4619-catalog_default/dead-bug-version-2.jpg",4,500,500)</f>
        <v/>
      </c>
      <c r="B1311" s="30">
        <v>1310.0</v>
      </c>
      <c r="C1311" s="16" t="s">
        <v>1855</v>
      </c>
      <c r="D1311" s="16" t="s">
        <v>184</v>
      </c>
      <c r="E1311" s="16" t="s">
        <v>254</v>
      </c>
      <c r="F1311" s="16" t="s">
        <v>255</v>
      </c>
      <c r="G1311" s="16" t="s">
        <v>305</v>
      </c>
      <c r="H1311" s="16" t="s">
        <v>189</v>
      </c>
    </row>
    <row r="1312" ht="20.25" customHeight="1">
      <c r="A1312" s="32" t="str">
        <f>IMAGE("https://gymvisual.com/23559-catalog_default/dead-bug-version-2-female.jpg",4,500,500)</f>
        <v/>
      </c>
      <c r="B1312" s="30">
        <v>1311.0</v>
      </c>
      <c r="C1312" s="16" t="s">
        <v>1856</v>
      </c>
      <c r="D1312" s="16" t="s">
        <v>184</v>
      </c>
      <c r="E1312" s="16" t="s">
        <v>254</v>
      </c>
      <c r="F1312" s="16" t="s">
        <v>255</v>
      </c>
      <c r="G1312" s="16" t="s">
        <v>256</v>
      </c>
      <c r="H1312" s="16" t="s">
        <v>189</v>
      </c>
    </row>
    <row r="1313" ht="20.25" customHeight="1">
      <c r="A1313" s="32" t="str">
        <f>IMAGE("https://gymvisual.com/17949-catalog_default/dead-bug-with-medicine-ball-male.jpg",4,500,500)</f>
        <v/>
      </c>
      <c r="B1313" s="30">
        <v>1312.0</v>
      </c>
      <c r="C1313" s="16" t="s">
        <v>1857</v>
      </c>
      <c r="D1313" s="16" t="s">
        <v>184</v>
      </c>
      <c r="E1313" s="16" t="s">
        <v>254</v>
      </c>
      <c r="F1313" s="16" t="s">
        <v>373</v>
      </c>
      <c r="G1313" s="16" t="s">
        <v>220</v>
      </c>
      <c r="H1313" s="16" t="s">
        <v>220</v>
      </c>
    </row>
    <row r="1314" ht="20.25" customHeight="1">
      <c r="A1314" s="32" t="str">
        <f>IMAGE("https://gymvisual.com/17845-catalog_default/dead-bug-with-stability-ball.jpg",4,500,500)</f>
        <v/>
      </c>
      <c r="B1314" s="30">
        <v>1313.0</v>
      </c>
      <c r="C1314" s="16" t="s">
        <v>1858</v>
      </c>
      <c r="D1314" s="16" t="s">
        <v>184</v>
      </c>
      <c r="E1314" s="16" t="s">
        <v>254</v>
      </c>
      <c r="F1314" s="16" t="s">
        <v>399</v>
      </c>
      <c r="G1314" s="16" t="s">
        <v>220</v>
      </c>
      <c r="H1314" s="16" t="s">
        <v>220</v>
      </c>
    </row>
    <row r="1315" ht="20.25" customHeight="1">
      <c r="A1315" s="32" t="str">
        <f>IMAGE("https://gymvisual.com/10211-catalog_default/deadlift-back-wrong-right.jpg",4,500,500)</f>
        <v/>
      </c>
      <c r="B1315" s="30">
        <v>1314.0</v>
      </c>
      <c r="C1315" s="16" t="s">
        <v>1859</v>
      </c>
      <c r="D1315" s="16" t="s">
        <v>184</v>
      </c>
      <c r="E1315" s="16" t="s">
        <v>285</v>
      </c>
      <c r="F1315" s="16" t="s">
        <v>186</v>
      </c>
      <c r="G1315" s="16" t="s">
        <v>220</v>
      </c>
      <c r="H1315" s="16" t="s">
        <v>220</v>
      </c>
    </row>
    <row r="1316" ht="20.25" customHeight="1">
      <c r="A1316" s="32" t="str">
        <f>IMAGE("https://gymvisual.com/10225-catalog_default/deadlift-hips-wrong-right.jpg",4,500,500)</f>
        <v/>
      </c>
      <c r="B1316" s="30">
        <v>1315.0</v>
      </c>
      <c r="C1316" s="16" t="s">
        <v>1860</v>
      </c>
      <c r="D1316" s="16" t="s">
        <v>184</v>
      </c>
      <c r="E1316" s="16" t="s">
        <v>294</v>
      </c>
      <c r="F1316" s="16" t="s">
        <v>186</v>
      </c>
      <c r="G1316" s="16" t="s">
        <v>220</v>
      </c>
      <c r="H1316" s="16" t="s">
        <v>220</v>
      </c>
    </row>
    <row r="1317" ht="20.25" customHeight="1">
      <c r="A1317" s="32" t="str">
        <f>IMAGE("https://gymvisual.com/7643-catalog_default/decline-bent-leg-reverse-crunch.jpg",4,500,500)</f>
        <v/>
      </c>
      <c r="B1317" s="30">
        <v>1316.0</v>
      </c>
      <c r="C1317" s="16" t="s">
        <v>1861</v>
      </c>
      <c r="D1317" s="16" t="s">
        <v>184</v>
      </c>
      <c r="E1317" s="16" t="s">
        <v>254</v>
      </c>
      <c r="F1317" s="16" t="s">
        <v>255</v>
      </c>
      <c r="G1317" s="16" t="s">
        <v>220</v>
      </c>
      <c r="H1317" s="16" t="s">
        <v>220</v>
      </c>
    </row>
    <row r="1318" ht="20.25" customHeight="1">
      <c r="A1318" s="32" t="str">
        <f>IMAGE("https://gymvisual.com/13413-catalog_default/decline-bent-leg-reverse-crunch-female.jpg",4,500,500)</f>
        <v/>
      </c>
      <c r="B1318" s="30">
        <v>1317.0</v>
      </c>
      <c r="C1318" s="16" t="s">
        <v>1862</v>
      </c>
      <c r="D1318" s="16" t="s">
        <v>184</v>
      </c>
      <c r="E1318" s="16" t="s">
        <v>254</v>
      </c>
      <c r="F1318" s="16" t="s">
        <v>255</v>
      </c>
      <c r="G1318" s="16" t="s">
        <v>256</v>
      </c>
      <c r="H1318" s="16" t="s">
        <v>257</v>
      </c>
    </row>
    <row r="1319" ht="20.25" customHeight="1">
      <c r="A1319" s="32" t="str">
        <f>IMAGE("https://gymvisual.com/853-catalog_default/decline-crunch.jpg",4,500,500)</f>
        <v/>
      </c>
      <c r="B1319" s="30">
        <v>1318.0</v>
      </c>
      <c r="C1319" s="16" t="s">
        <v>1863</v>
      </c>
      <c r="D1319" s="16" t="s">
        <v>184</v>
      </c>
      <c r="E1319" s="16" t="s">
        <v>254</v>
      </c>
      <c r="F1319" s="16" t="s">
        <v>255</v>
      </c>
      <c r="G1319" s="16" t="s">
        <v>256</v>
      </c>
      <c r="H1319" s="16" t="s">
        <v>257</v>
      </c>
    </row>
    <row r="1320" ht="20.25" customHeight="1">
      <c r="A1320" s="32" t="str">
        <f>IMAGE("https://gymvisual.com/10975-catalog_default/decline-crunch-female.jpg",4,500,500)</f>
        <v/>
      </c>
      <c r="B1320" s="30">
        <v>1319.0</v>
      </c>
      <c r="C1320" s="16" t="s">
        <v>1864</v>
      </c>
      <c r="D1320" s="16" t="s">
        <v>184</v>
      </c>
      <c r="E1320" s="16" t="s">
        <v>254</v>
      </c>
      <c r="F1320" s="16" t="s">
        <v>255</v>
      </c>
      <c r="G1320" s="16" t="s">
        <v>220</v>
      </c>
      <c r="H1320" s="16" t="s">
        <v>220</v>
      </c>
    </row>
    <row r="1321" ht="20.25" customHeight="1">
      <c r="A1321" s="32" t="str">
        <f>IMAGE("https://gymvisual.com/26106-catalog_default/decline-diamond-push-up.jpg",4,500,500)</f>
        <v/>
      </c>
      <c r="B1321" s="30">
        <v>1320.0</v>
      </c>
      <c r="C1321" s="16" t="s">
        <v>1865</v>
      </c>
      <c r="D1321" s="16" t="s">
        <v>184</v>
      </c>
      <c r="E1321" s="16" t="s">
        <v>234</v>
      </c>
      <c r="F1321" s="16" t="s">
        <v>255</v>
      </c>
      <c r="G1321" s="16" t="s">
        <v>220</v>
      </c>
      <c r="H1321" s="16" t="s">
        <v>220</v>
      </c>
    </row>
    <row r="1322" ht="20.25" customHeight="1">
      <c r="A1322" s="32" t="str">
        <f>IMAGE("https://gymvisual.com/13996-catalog_default/decline-kneeling-push-up-on-box.jpg",4,500,500)</f>
        <v/>
      </c>
      <c r="B1322" s="30">
        <v>1321.0</v>
      </c>
      <c r="C1322" s="16" t="s">
        <v>1866</v>
      </c>
      <c r="D1322" s="16" t="s">
        <v>184</v>
      </c>
      <c r="E1322" s="16" t="s">
        <v>234</v>
      </c>
      <c r="F1322" s="16" t="s">
        <v>255</v>
      </c>
      <c r="G1322" s="16" t="s">
        <v>235</v>
      </c>
      <c r="H1322" s="16" t="s">
        <v>243</v>
      </c>
    </row>
    <row r="1323" ht="20.25" customHeight="1">
      <c r="A1323" s="32" t="str">
        <f>IMAGE("https://gymvisual.com/13902-catalog_default/decline-leg-hip-raise.jpg",4,500,500)</f>
        <v/>
      </c>
      <c r="B1323" s="30">
        <v>1322.0</v>
      </c>
      <c r="C1323" s="16" t="s">
        <v>1867</v>
      </c>
      <c r="D1323" s="16" t="s">
        <v>184</v>
      </c>
      <c r="E1323" s="16" t="s">
        <v>310</v>
      </c>
      <c r="F1323" s="16" t="s">
        <v>255</v>
      </c>
      <c r="G1323" s="16" t="s">
        <v>305</v>
      </c>
      <c r="H1323" s="16" t="s">
        <v>600</v>
      </c>
    </row>
    <row r="1324" ht="20.25" customHeight="1">
      <c r="A1324" s="32" t="str">
        <f>IMAGE("https://gymvisual.com/17777-catalog_default/decline-pike-press-between-benches.jpg",4,500,500)</f>
        <v/>
      </c>
      <c r="B1324" s="30">
        <v>1323.0</v>
      </c>
      <c r="C1324" s="16" t="s">
        <v>1868</v>
      </c>
      <c r="D1324" s="16" t="s">
        <v>184</v>
      </c>
      <c r="E1324" s="16" t="s">
        <v>228</v>
      </c>
      <c r="F1324" s="16" t="s">
        <v>255</v>
      </c>
      <c r="G1324" s="16" t="s">
        <v>220</v>
      </c>
      <c r="H1324" s="16" t="s">
        <v>220</v>
      </c>
    </row>
    <row r="1325" ht="20.25" customHeight="1">
      <c r="A1325" s="32" t="str">
        <f>IMAGE("https://gymvisual.com/859-catalog_default/decline-push-up.jpg",4,500,500)</f>
        <v/>
      </c>
      <c r="B1325" s="30">
        <v>1324.0</v>
      </c>
      <c r="C1325" s="16" t="s">
        <v>1869</v>
      </c>
      <c r="D1325" s="16" t="s">
        <v>184</v>
      </c>
      <c r="E1325" s="16" t="s">
        <v>234</v>
      </c>
      <c r="F1325" s="16" t="s">
        <v>255</v>
      </c>
      <c r="G1325" s="16" t="s">
        <v>235</v>
      </c>
      <c r="H1325" s="16" t="s">
        <v>243</v>
      </c>
    </row>
    <row r="1326" ht="20.25" customHeight="1">
      <c r="A1326" s="32" t="str">
        <f>IMAGE("https://gymvisual.com/862-catalog_default/decline-push-up.jpg",4,500,500)</f>
        <v/>
      </c>
      <c r="B1326" s="30">
        <v>1325.0</v>
      </c>
      <c r="C1326" s="16" t="s">
        <v>1869</v>
      </c>
      <c r="D1326" s="16" t="s">
        <v>184</v>
      </c>
      <c r="E1326" s="16" t="s">
        <v>234</v>
      </c>
      <c r="F1326" s="16" t="s">
        <v>255</v>
      </c>
      <c r="G1326" s="16" t="s">
        <v>235</v>
      </c>
      <c r="H1326" s="16" t="s">
        <v>243</v>
      </c>
    </row>
    <row r="1327" ht="20.25" customHeight="1">
      <c r="A1327" s="32" t="str">
        <f>IMAGE("https://gymvisual.com/22107-catalog_default/decline-push-up-kneeling-female.jpg",4,500,500)</f>
        <v/>
      </c>
      <c r="B1327" s="30">
        <v>1326.0</v>
      </c>
      <c r="C1327" s="16" t="s">
        <v>1870</v>
      </c>
      <c r="D1327" s="16" t="s">
        <v>184</v>
      </c>
      <c r="E1327" s="16" t="s">
        <v>234</v>
      </c>
      <c r="F1327" s="16" t="s">
        <v>255</v>
      </c>
      <c r="G1327" s="16" t="s">
        <v>235</v>
      </c>
      <c r="H1327" s="16" t="s">
        <v>243</v>
      </c>
    </row>
    <row r="1328" ht="20.25" customHeight="1">
      <c r="A1328" s="32" t="str">
        <f>IMAGE("https://gymvisual.com/2589-catalog_default/decline-push-up-on-stability-ball.jpg",4,500,500)</f>
        <v/>
      </c>
      <c r="B1328" s="30">
        <v>1327.0</v>
      </c>
      <c r="C1328" s="16" t="s">
        <v>1871</v>
      </c>
      <c r="D1328" s="16" t="s">
        <v>184</v>
      </c>
      <c r="E1328" s="16" t="s">
        <v>234</v>
      </c>
      <c r="F1328" s="16" t="s">
        <v>399</v>
      </c>
      <c r="G1328" s="16" t="s">
        <v>235</v>
      </c>
      <c r="H1328" s="16" t="s">
        <v>243</v>
      </c>
    </row>
    <row r="1329" ht="20.25" customHeight="1">
      <c r="A1329" s="32" t="str">
        <f>IMAGE("https://gymvisual.com/13998-catalog_default/decline-push-up-against-wall.jpg",4,500,500)</f>
        <v/>
      </c>
      <c r="B1329" s="30">
        <v>1328.0</v>
      </c>
      <c r="C1329" s="16" t="s">
        <v>1872</v>
      </c>
      <c r="D1329" s="16" t="s">
        <v>184</v>
      </c>
      <c r="E1329" s="16" t="s">
        <v>234</v>
      </c>
      <c r="F1329" s="16" t="s">
        <v>255</v>
      </c>
      <c r="G1329" s="16" t="s">
        <v>235</v>
      </c>
      <c r="H1329" s="16" t="s">
        <v>243</v>
      </c>
    </row>
    <row r="1330" ht="20.25" customHeight="1">
      <c r="A1330" s="32" t="str">
        <f>IMAGE("https://gymvisual.com/22708-catalog_default/decline-shoulder-tap.jpg",4,500,500)</f>
        <v/>
      </c>
      <c r="B1330" s="30">
        <v>1329.0</v>
      </c>
      <c r="C1330" s="16" t="s">
        <v>1873</v>
      </c>
      <c r="D1330" s="16" t="s">
        <v>184</v>
      </c>
      <c r="E1330" s="16" t="s">
        <v>234</v>
      </c>
      <c r="F1330" s="16" t="s">
        <v>255</v>
      </c>
      <c r="G1330" s="16" t="s">
        <v>1874</v>
      </c>
      <c r="H1330" s="16" t="s">
        <v>1875</v>
      </c>
    </row>
    <row r="1331" ht="20.25" customHeight="1">
      <c r="A1331" s="32" t="str">
        <f>IMAGE("https://gymvisual.com/10972-catalog_default/decline-sit-up-female.jpg",4,500,500)</f>
        <v/>
      </c>
      <c r="B1331" s="30">
        <v>1330.0</v>
      </c>
      <c r="C1331" s="16" t="s">
        <v>1876</v>
      </c>
      <c r="D1331" s="16" t="s">
        <v>184</v>
      </c>
      <c r="E1331" s="16" t="s">
        <v>254</v>
      </c>
      <c r="F1331" s="16" t="s">
        <v>255</v>
      </c>
      <c r="G1331" s="16" t="s">
        <v>220</v>
      </c>
      <c r="H1331" s="16" t="s">
        <v>220</v>
      </c>
    </row>
    <row r="1332" ht="20.25" customHeight="1">
      <c r="A1332" s="32" t="str">
        <f>IMAGE("https://gymvisual.com/20614-catalog_default/decline-sit-up.jpg",4,500,500)</f>
        <v/>
      </c>
      <c r="B1332" s="30">
        <v>1331.0</v>
      </c>
      <c r="C1332" s="16" t="s">
        <v>1877</v>
      </c>
      <c r="D1332" s="16" t="s">
        <v>184</v>
      </c>
      <c r="E1332" s="16" t="s">
        <v>185</v>
      </c>
      <c r="F1332" s="16" t="s">
        <v>255</v>
      </c>
      <c r="G1332" s="16" t="s">
        <v>271</v>
      </c>
      <c r="H1332" s="16" t="s">
        <v>1878</v>
      </c>
    </row>
    <row r="1333" ht="20.25" customHeight="1">
      <c r="A1333" s="32" t="str">
        <f>IMAGE("https://gymvisual.com/865-catalog_default/decline-sit-up-arms-straight.jpg",4,500,500)</f>
        <v/>
      </c>
      <c r="B1333" s="30">
        <v>1332.0</v>
      </c>
      <c r="C1333" s="16" t="s">
        <v>1879</v>
      </c>
      <c r="D1333" s="16" t="s">
        <v>184</v>
      </c>
      <c r="E1333" s="16" t="s">
        <v>254</v>
      </c>
      <c r="F1333" s="16" t="s">
        <v>255</v>
      </c>
      <c r="G1333" s="16" t="s">
        <v>256</v>
      </c>
      <c r="H1333" s="16" t="s">
        <v>600</v>
      </c>
    </row>
    <row r="1334" ht="20.25" customHeight="1">
      <c r="A1334" s="32" t="str">
        <f>IMAGE("https://gymvisual.com/24313-catalog_default/decline-sit-up-version-3.jpg",4,500,500)</f>
        <v/>
      </c>
      <c r="B1334" s="30">
        <v>1333.0</v>
      </c>
      <c r="C1334" s="16" t="s">
        <v>1880</v>
      </c>
      <c r="D1334" s="16" t="s">
        <v>184</v>
      </c>
      <c r="E1334" s="16" t="s">
        <v>254</v>
      </c>
      <c r="F1334" s="16" t="s">
        <v>255</v>
      </c>
      <c r="G1334" s="16" t="s">
        <v>220</v>
      </c>
      <c r="H1334" s="16" t="s">
        <v>220</v>
      </c>
    </row>
    <row r="1335" ht="20.25" customHeight="1">
      <c r="A1335" s="32" t="str">
        <f>IMAGE("https://gymvisual.com/22498-catalog_default/decline-sit-up-and-russian-twist.jpg",4,500,500)</f>
        <v/>
      </c>
      <c r="B1335" s="30">
        <v>1334.0</v>
      </c>
      <c r="C1335" s="16" t="s">
        <v>1881</v>
      </c>
      <c r="D1335" s="16" t="s">
        <v>184</v>
      </c>
      <c r="E1335" s="16" t="s">
        <v>254</v>
      </c>
      <c r="F1335" s="16" t="s">
        <v>255</v>
      </c>
      <c r="G1335" s="16" t="s">
        <v>220</v>
      </c>
      <c r="H1335" s="16" t="s">
        <v>220</v>
      </c>
    </row>
    <row r="1336" ht="20.25" customHeight="1">
      <c r="A1336" s="32" t="str">
        <f>IMAGE("https://gymvisual.com/11140-catalog_default/decline-twisting-sit-up-female.jpg",4,500,500)</f>
        <v/>
      </c>
      <c r="B1336" s="30">
        <v>1335.0</v>
      </c>
      <c r="C1336" s="16" t="s">
        <v>1882</v>
      </c>
      <c r="D1336" s="16" t="s">
        <v>184</v>
      </c>
      <c r="E1336" s="16" t="s">
        <v>254</v>
      </c>
      <c r="F1336" s="16" t="s">
        <v>255</v>
      </c>
      <c r="G1336" s="16" t="s">
        <v>220</v>
      </c>
      <c r="H1336" s="16" t="s">
        <v>220</v>
      </c>
    </row>
    <row r="1337" ht="20.25" customHeight="1">
      <c r="A1337" s="32" t="str">
        <f>IMAGE("https://gymvisual.com/20650-catalog_default/deep-push-up.jpg",4,500,500)</f>
        <v/>
      </c>
      <c r="B1337" s="30">
        <v>1336.0</v>
      </c>
      <c r="C1337" s="16" t="s">
        <v>1883</v>
      </c>
      <c r="D1337" s="16" t="s">
        <v>184</v>
      </c>
      <c r="E1337" s="16" t="s">
        <v>234</v>
      </c>
      <c r="F1337" s="16" t="s">
        <v>222</v>
      </c>
      <c r="G1337" s="16" t="s">
        <v>347</v>
      </c>
      <c r="H1337" s="16" t="s">
        <v>1884</v>
      </c>
    </row>
    <row r="1338" ht="20.25" customHeight="1">
      <c r="A1338" s="32" t="str">
        <f>IMAGE("https://gymvisual.com/12062-catalog_default/deep-push-up-female.jpg",4,500,500)</f>
        <v/>
      </c>
      <c r="B1338" s="30">
        <v>1337.0</v>
      </c>
      <c r="C1338" s="16" t="s">
        <v>1885</v>
      </c>
      <c r="D1338" s="16" t="s">
        <v>184</v>
      </c>
      <c r="E1338" s="16" t="s">
        <v>234</v>
      </c>
      <c r="F1338" s="16" t="s">
        <v>222</v>
      </c>
      <c r="G1338" s="16" t="s">
        <v>235</v>
      </c>
      <c r="H1338" s="16" t="s">
        <v>243</v>
      </c>
    </row>
    <row r="1339" ht="20.25" customHeight="1">
      <c r="A1339" s="32" t="str">
        <f>IMAGE("https://gymvisual.com/23613-catalog_default/diagonal-lunge.jpg",4,500,500)</f>
        <v/>
      </c>
      <c r="B1339" s="30">
        <v>1338.0</v>
      </c>
      <c r="C1339" s="16" t="s">
        <v>1886</v>
      </c>
      <c r="D1339" s="16" t="s">
        <v>184</v>
      </c>
      <c r="E1339" s="16" t="s">
        <v>321</v>
      </c>
      <c r="F1339" s="16" t="s">
        <v>255</v>
      </c>
      <c r="G1339" s="16" t="s">
        <v>220</v>
      </c>
      <c r="H1339" s="16" t="s">
        <v>220</v>
      </c>
    </row>
    <row r="1340" ht="20.25" customHeight="1">
      <c r="A1340" s="32" t="str">
        <f>IMAGE("https://gymvisual.com/19177-catalog_default/diamond-press.jpg",4,500,500)</f>
        <v/>
      </c>
      <c r="B1340" s="30">
        <v>1339.0</v>
      </c>
      <c r="C1340" s="16" t="s">
        <v>1887</v>
      </c>
      <c r="D1340" s="16" t="s">
        <v>184</v>
      </c>
      <c r="E1340" s="16" t="s">
        <v>1888</v>
      </c>
      <c r="F1340" s="16" t="s">
        <v>255</v>
      </c>
      <c r="G1340" s="16" t="s">
        <v>1889</v>
      </c>
      <c r="H1340" s="16" t="s">
        <v>229</v>
      </c>
    </row>
    <row r="1341" ht="20.25" customHeight="1">
      <c r="A1341" s="32" t="str">
        <f>IMAGE("https://gymvisual.com/11588-catalog_default/diamond-push-up-female.jpg",4,500,500)</f>
        <v/>
      </c>
      <c r="B1341" s="30">
        <v>1340.0</v>
      </c>
      <c r="C1341" s="16" t="s">
        <v>1890</v>
      </c>
      <c r="D1341" s="16" t="s">
        <v>184</v>
      </c>
      <c r="E1341" s="16" t="s">
        <v>219</v>
      </c>
      <c r="F1341" s="16" t="s">
        <v>255</v>
      </c>
      <c r="G1341" s="16" t="s">
        <v>223</v>
      </c>
      <c r="H1341" s="16" t="s">
        <v>472</v>
      </c>
    </row>
    <row r="1342" ht="20.25" customHeight="1">
      <c r="A1342" s="32" t="str">
        <f>IMAGE("https://gymvisual.com/20616-catalog_default/diamond-push-up.jpg",4,500,500)</f>
        <v/>
      </c>
      <c r="B1342" s="30">
        <v>1341.0</v>
      </c>
      <c r="C1342" s="16" t="s">
        <v>1891</v>
      </c>
      <c r="D1342" s="16" t="s">
        <v>184</v>
      </c>
      <c r="E1342" s="16" t="s">
        <v>219</v>
      </c>
      <c r="F1342" s="16" t="s">
        <v>255</v>
      </c>
      <c r="G1342" s="16" t="s">
        <v>223</v>
      </c>
      <c r="H1342" s="16" t="s">
        <v>472</v>
      </c>
    </row>
    <row r="1343" ht="20.25" customHeight="1">
      <c r="A1343" s="32" t="str">
        <f>IMAGE("https://gymvisual.com/4422-catalog_default/diamond-push-up-on-knees.jpg",4,500,500)</f>
        <v/>
      </c>
      <c r="B1343" s="30">
        <v>1342.0</v>
      </c>
      <c r="C1343" s="16" t="s">
        <v>1892</v>
      </c>
      <c r="D1343" s="16" t="s">
        <v>184</v>
      </c>
      <c r="E1343" s="16" t="s">
        <v>219</v>
      </c>
      <c r="F1343" s="16" t="s">
        <v>255</v>
      </c>
      <c r="G1343" s="16" t="s">
        <v>223</v>
      </c>
      <c r="H1343" s="16" t="s">
        <v>420</v>
      </c>
    </row>
    <row r="1344" ht="20.25" customHeight="1">
      <c r="A1344" s="32" t="str">
        <f>IMAGE("https://gymvisual.com/13908-catalog_default/dip-on-floor-with-chair.jpg",4,500,500)</f>
        <v/>
      </c>
      <c r="B1344" s="30">
        <v>1343.0</v>
      </c>
      <c r="C1344" s="16" t="s">
        <v>1893</v>
      </c>
      <c r="D1344" s="16" t="s">
        <v>184</v>
      </c>
      <c r="E1344" s="16" t="s">
        <v>1894</v>
      </c>
      <c r="F1344" s="16" t="s">
        <v>255</v>
      </c>
      <c r="G1344" s="16" t="s">
        <v>1895</v>
      </c>
      <c r="H1344" s="16" t="s">
        <v>1896</v>
      </c>
    </row>
    <row r="1345" ht="20.25" customHeight="1">
      <c r="A1345" s="32" t="str">
        <f>IMAGE("https://gymvisual.com/22629-catalog_default/dip-on-floor-with-chair-female.jpg",4,500,500)</f>
        <v/>
      </c>
      <c r="B1345" s="30">
        <v>1344.0</v>
      </c>
      <c r="C1345" s="16" t="s">
        <v>1897</v>
      </c>
      <c r="D1345" s="16" t="s">
        <v>184</v>
      </c>
      <c r="E1345" s="16" t="s">
        <v>234</v>
      </c>
      <c r="F1345" s="16" t="s">
        <v>255</v>
      </c>
      <c r="G1345" s="16" t="s">
        <v>347</v>
      </c>
      <c r="H1345" s="16" t="s">
        <v>1764</v>
      </c>
    </row>
    <row r="1346" ht="20.25" customHeight="1">
      <c r="A1346" s="32" t="str">
        <f>IMAGE("https://gymvisual.com/13737-catalog_default/dips-between-chairs.jpg",4,500,500)</f>
        <v/>
      </c>
      <c r="B1346" s="30">
        <v>1345.0</v>
      </c>
      <c r="C1346" s="16" t="s">
        <v>1898</v>
      </c>
      <c r="D1346" s="16" t="s">
        <v>184</v>
      </c>
      <c r="E1346" s="16" t="s">
        <v>1894</v>
      </c>
      <c r="F1346" s="16" t="s">
        <v>255</v>
      </c>
      <c r="G1346" s="16" t="s">
        <v>1895</v>
      </c>
      <c r="H1346" s="16" t="s">
        <v>505</v>
      </c>
    </row>
    <row r="1347" ht="20.25" customHeight="1">
      <c r="A1347" s="32" t="str">
        <f>IMAGE("https://gymvisual.com/874-catalog_default/donkey-calf-raise.jpg",4,500,500)</f>
        <v/>
      </c>
      <c r="B1347" s="30">
        <v>1346.0</v>
      </c>
      <c r="C1347" s="16" t="s">
        <v>1899</v>
      </c>
      <c r="D1347" s="16" t="s">
        <v>184</v>
      </c>
      <c r="E1347" s="16" t="s">
        <v>325</v>
      </c>
      <c r="F1347" s="16" t="s">
        <v>255</v>
      </c>
      <c r="G1347" s="16" t="s">
        <v>368</v>
      </c>
      <c r="H1347" s="16" t="s">
        <v>463</v>
      </c>
    </row>
    <row r="1348" ht="20.25" customHeight="1">
      <c r="A1348" s="32" t="str">
        <f>IMAGE("https://gymvisual.com/11528-catalog_default/donkey-calf-raise-female.jpg",4,500,500)</f>
        <v/>
      </c>
      <c r="B1348" s="30">
        <v>1347.0</v>
      </c>
      <c r="C1348" s="16" t="s">
        <v>1900</v>
      </c>
      <c r="D1348" s="16" t="s">
        <v>184</v>
      </c>
      <c r="E1348" s="16" t="s">
        <v>325</v>
      </c>
      <c r="F1348" s="16" t="s">
        <v>255</v>
      </c>
      <c r="G1348" s="16" t="s">
        <v>368</v>
      </c>
      <c r="H1348" s="16" t="s">
        <v>463</v>
      </c>
    </row>
    <row r="1349" ht="20.25" customHeight="1">
      <c r="A1349" s="32" t="str">
        <f>IMAGE("https://gymvisual.com/5964-catalog_default/drop-push-up.jpg",4,500,500)</f>
        <v/>
      </c>
      <c r="B1349" s="30">
        <v>1348.0</v>
      </c>
      <c r="C1349" s="16" t="s">
        <v>1901</v>
      </c>
      <c r="D1349" s="16" t="s">
        <v>184</v>
      </c>
      <c r="E1349" s="16" t="s">
        <v>234</v>
      </c>
      <c r="F1349" s="16" t="s">
        <v>255</v>
      </c>
      <c r="G1349" s="16" t="s">
        <v>347</v>
      </c>
      <c r="H1349" s="16" t="s">
        <v>1902</v>
      </c>
    </row>
    <row r="1350" ht="20.25" customHeight="1">
      <c r="A1350" s="32" t="str">
        <f>IMAGE("https://gymvisual.com/18057-catalog_default/dumbbell-4-ways-lateral-raise.jpg",4,500,500)</f>
        <v/>
      </c>
      <c r="B1350" s="30">
        <v>1349.0</v>
      </c>
      <c r="C1350" s="16" t="s">
        <v>1903</v>
      </c>
      <c r="D1350" s="16" t="s">
        <v>184</v>
      </c>
      <c r="E1350" s="16" t="s">
        <v>228</v>
      </c>
      <c r="F1350" s="16" t="s">
        <v>222</v>
      </c>
      <c r="G1350" s="16" t="s">
        <v>220</v>
      </c>
      <c r="H1350" s="16" t="s">
        <v>220</v>
      </c>
    </row>
    <row r="1351" ht="20.25" customHeight="1">
      <c r="A1351" s="32" t="str">
        <f>IMAGE("https://gymvisual.com/22418-catalog_default/dumbbell-6-ways-raise.jpg",4,500,500)</f>
        <v/>
      </c>
      <c r="B1351" s="30">
        <v>1350.0</v>
      </c>
      <c r="C1351" s="16" t="s">
        <v>1904</v>
      </c>
      <c r="D1351" s="16" t="s">
        <v>184</v>
      </c>
      <c r="E1351" s="16" t="s">
        <v>228</v>
      </c>
      <c r="F1351" s="16" t="s">
        <v>222</v>
      </c>
      <c r="G1351" s="16" t="s">
        <v>220</v>
      </c>
      <c r="H1351" s="16" t="s">
        <v>220</v>
      </c>
    </row>
    <row r="1352" ht="20.25" customHeight="1">
      <c r="A1352" s="32" t="str">
        <f>IMAGE("https://gymvisual.com/17867-catalog_default/dumbbell-alternate-arnold-press.jpg",4,500,500)</f>
        <v/>
      </c>
      <c r="B1352" s="30">
        <v>1351.0</v>
      </c>
      <c r="C1352" s="16" t="s">
        <v>1905</v>
      </c>
      <c r="D1352" s="16" t="s">
        <v>184</v>
      </c>
      <c r="E1352" s="16" t="s">
        <v>228</v>
      </c>
      <c r="F1352" s="16" t="s">
        <v>222</v>
      </c>
      <c r="G1352" s="16" t="s">
        <v>220</v>
      </c>
      <c r="H1352" s="16" t="s">
        <v>220</v>
      </c>
    </row>
    <row r="1353" ht="20.25" customHeight="1">
      <c r="A1353" s="32" t="str">
        <f>IMAGE("https://gymvisual.com/14786-catalog_default/dumbbell-alternate-bench-press-high-start.jpg",4,500,500)</f>
        <v/>
      </c>
      <c r="B1353" s="30">
        <v>1352.0</v>
      </c>
      <c r="C1353" s="16" t="s">
        <v>1906</v>
      </c>
      <c r="D1353" s="16" t="s">
        <v>184</v>
      </c>
      <c r="E1353" s="16" t="s">
        <v>234</v>
      </c>
      <c r="F1353" s="16" t="s">
        <v>222</v>
      </c>
      <c r="G1353" s="16" t="s">
        <v>235</v>
      </c>
      <c r="H1353" s="16" t="s">
        <v>1907</v>
      </c>
    </row>
    <row r="1354" ht="20.25" customHeight="1">
      <c r="A1354" s="32" t="str">
        <f>IMAGE("https://gymvisual.com/15644-catalog_default/dumbbell-alternate-biceps-curl.jpg",4,500,500)</f>
        <v/>
      </c>
      <c r="B1354" s="30">
        <v>1353.0</v>
      </c>
      <c r="C1354" s="16" t="s">
        <v>1908</v>
      </c>
      <c r="D1354" s="16" t="s">
        <v>184</v>
      </c>
      <c r="E1354" s="16" t="s">
        <v>219</v>
      </c>
      <c r="F1354" s="16" t="s">
        <v>222</v>
      </c>
      <c r="G1354" s="16" t="s">
        <v>241</v>
      </c>
      <c r="H1354" s="16" t="s">
        <v>292</v>
      </c>
    </row>
    <row r="1355" ht="20.25" customHeight="1">
      <c r="A1355" s="32" t="str">
        <f>IMAGE("https://gymvisual.com/4526-catalog_default/dumbbell-alternate-biceps-curl.jpg",4,500,500)</f>
        <v/>
      </c>
      <c r="B1355" s="30">
        <v>1354.0</v>
      </c>
      <c r="C1355" s="16" t="s">
        <v>1908</v>
      </c>
      <c r="D1355" s="16" t="s">
        <v>184</v>
      </c>
      <c r="E1355" s="16" t="s">
        <v>219</v>
      </c>
      <c r="F1355" s="16" t="s">
        <v>222</v>
      </c>
      <c r="G1355" s="16" t="s">
        <v>241</v>
      </c>
      <c r="H1355" s="16" t="s">
        <v>292</v>
      </c>
    </row>
    <row r="1356" ht="20.25" customHeight="1">
      <c r="A1356" s="32" t="str">
        <f>IMAGE("https://gymvisual.com/11306-catalog_default/dumbbell-alternate-biceps-curl-female.jpg",4,500,500)</f>
        <v/>
      </c>
      <c r="B1356" s="30">
        <v>1355.0</v>
      </c>
      <c r="C1356" s="16" t="s">
        <v>1909</v>
      </c>
      <c r="D1356" s="16" t="s">
        <v>184</v>
      </c>
      <c r="E1356" s="16" t="s">
        <v>219</v>
      </c>
      <c r="F1356" s="16" t="s">
        <v>222</v>
      </c>
      <c r="G1356" s="16" t="s">
        <v>241</v>
      </c>
      <c r="H1356" s="16" t="s">
        <v>292</v>
      </c>
    </row>
    <row r="1357" ht="20.25" customHeight="1">
      <c r="A1357" s="32" t="str">
        <f>IMAGE("https://gymvisual.com/10456-catalog_default/dumbbell-alternate-biceps-curl-with-arm-blaster.jpg",4,500,500)</f>
        <v/>
      </c>
      <c r="B1357" s="30">
        <v>1356.0</v>
      </c>
      <c r="C1357" s="16" t="s">
        <v>1910</v>
      </c>
      <c r="D1357" s="16" t="s">
        <v>184</v>
      </c>
      <c r="E1357" s="16" t="s">
        <v>219</v>
      </c>
      <c r="F1357" s="16" t="s">
        <v>222</v>
      </c>
      <c r="G1357" s="16" t="s">
        <v>241</v>
      </c>
      <c r="H1357" s="16" t="s">
        <v>292</v>
      </c>
    </row>
    <row r="1358" ht="20.25" customHeight="1">
      <c r="A1358" s="32" t="str">
        <f>IMAGE("https://gymvisual.com/22353-catalog_default/dumbbell-alternate-chest-press-on-stability-ball.jpg",4,500,500)</f>
        <v/>
      </c>
      <c r="B1358" s="30">
        <v>1357.0</v>
      </c>
      <c r="C1358" s="16" t="s">
        <v>1911</v>
      </c>
      <c r="D1358" s="16" t="s">
        <v>184</v>
      </c>
      <c r="E1358" s="16" t="s">
        <v>234</v>
      </c>
      <c r="F1358" s="16" t="s">
        <v>222</v>
      </c>
      <c r="G1358" s="16" t="s">
        <v>220</v>
      </c>
      <c r="H1358" s="16" t="s">
        <v>220</v>
      </c>
    </row>
    <row r="1359" ht="20.25" customHeight="1">
      <c r="A1359" s="32" t="str">
        <f>IMAGE("https://gymvisual.com/18754-catalog_default/dumbbell-alternate-front-raise-female.jpg",4,500,500)</f>
        <v/>
      </c>
      <c r="B1359" s="30">
        <v>1358.0</v>
      </c>
      <c r="C1359" s="16" t="s">
        <v>1912</v>
      </c>
      <c r="D1359" s="16" t="s">
        <v>184</v>
      </c>
      <c r="E1359" s="16" t="s">
        <v>228</v>
      </c>
      <c r="F1359" s="16" t="s">
        <v>222</v>
      </c>
      <c r="G1359" s="16" t="s">
        <v>220</v>
      </c>
      <c r="H1359" s="16" t="s">
        <v>220</v>
      </c>
    </row>
    <row r="1360" ht="20.25" customHeight="1">
      <c r="A1360" s="32" t="str">
        <f>IMAGE("https://gymvisual.com/7120-catalog_default/dumbbell-alternate-hammer-preacher-curl.jpg",4,500,500)</f>
        <v/>
      </c>
      <c r="B1360" s="30">
        <v>1359.0</v>
      </c>
      <c r="C1360" s="16" t="s">
        <v>1913</v>
      </c>
      <c r="D1360" s="16" t="s">
        <v>184</v>
      </c>
      <c r="E1360" s="16" t="s">
        <v>219</v>
      </c>
      <c r="F1360" s="16" t="s">
        <v>222</v>
      </c>
      <c r="G1360" s="16" t="s">
        <v>220</v>
      </c>
      <c r="H1360" s="16" t="s">
        <v>220</v>
      </c>
    </row>
    <row r="1361" ht="20.25" customHeight="1">
      <c r="A1361" s="32" t="str">
        <f>IMAGE("https://gymvisual.com/11453-catalog_default/dumbbell-alternate-hammer-preacher-curl-female.jpg",4,500,500)</f>
        <v/>
      </c>
      <c r="B1361" s="30">
        <v>1360.0</v>
      </c>
      <c r="C1361" s="16" t="s">
        <v>1914</v>
      </c>
      <c r="D1361" s="16" t="s">
        <v>184</v>
      </c>
      <c r="E1361" s="16" t="s">
        <v>219</v>
      </c>
      <c r="F1361" s="16" t="s">
        <v>222</v>
      </c>
      <c r="G1361" s="16" t="s">
        <v>220</v>
      </c>
      <c r="H1361" s="16" t="s">
        <v>220</v>
      </c>
    </row>
    <row r="1362" ht="20.25" customHeight="1">
      <c r="A1362" s="32" t="str">
        <f>IMAGE("https://gymvisual.com/22389-catalog_default/dumbbell-alternate-lateral-raise.jpg",4,500,500)</f>
        <v/>
      </c>
      <c r="B1362" s="30">
        <v>1361.0</v>
      </c>
      <c r="C1362" s="16" t="s">
        <v>1915</v>
      </c>
      <c r="D1362" s="16" t="s">
        <v>184</v>
      </c>
      <c r="E1362" s="16" t="s">
        <v>228</v>
      </c>
      <c r="F1362" s="16" t="s">
        <v>222</v>
      </c>
      <c r="G1362" s="16" t="s">
        <v>220</v>
      </c>
      <c r="H1362" s="16" t="s">
        <v>220</v>
      </c>
    </row>
    <row r="1363" ht="20.25" customHeight="1">
      <c r="A1363" s="32" t="str">
        <f>IMAGE("https://gymvisual.com/7121-catalog_default/dumbbell-alternate-preacher-curl.jpg",4,500,500)</f>
        <v/>
      </c>
      <c r="B1363" s="30">
        <v>1362.0</v>
      </c>
      <c r="C1363" s="16" t="s">
        <v>1916</v>
      </c>
      <c r="D1363" s="16" t="s">
        <v>184</v>
      </c>
      <c r="E1363" s="16" t="s">
        <v>219</v>
      </c>
      <c r="F1363" s="16" t="s">
        <v>222</v>
      </c>
      <c r="G1363" s="16" t="s">
        <v>220</v>
      </c>
      <c r="H1363" s="16" t="s">
        <v>220</v>
      </c>
    </row>
    <row r="1364" ht="20.25" customHeight="1">
      <c r="A1364" s="32" t="str">
        <f>IMAGE("https://gymvisual.com/11456-catalog_default/dumbbell-alternate-preacher-curl-female.jpg",4,500,500)</f>
        <v/>
      </c>
      <c r="B1364" s="30">
        <v>1363.0</v>
      </c>
      <c r="C1364" s="16" t="s">
        <v>1917</v>
      </c>
      <c r="D1364" s="16" t="s">
        <v>184</v>
      </c>
      <c r="E1364" s="16" t="s">
        <v>219</v>
      </c>
      <c r="F1364" s="16" t="s">
        <v>222</v>
      </c>
      <c r="G1364" s="16" t="s">
        <v>220</v>
      </c>
      <c r="H1364" s="16" t="s">
        <v>220</v>
      </c>
    </row>
    <row r="1365" ht="20.25" customHeight="1">
      <c r="A1365" s="32" t="str">
        <f>IMAGE("https://gymvisual.com/7122-catalog_default/dumbbell-alternate-seated-hammer-curl.jpg",4,500,500)</f>
        <v/>
      </c>
      <c r="B1365" s="30">
        <v>1364.0</v>
      </c>
      <c r="C1365" s="16" t="s">
        <v>1918</v>
      </c>
      <c r="D1365" s="16" t="s">
        <v>184</v>
      </c>
      <c r="E1365" s="16" t="s">
        <v>219</v>
      </c>
      <c r="F1365" s="16" t="s">
        <v>222</v>
      </c>
      <c r="G1365" s="16" t="s">
        <v>220</v>
      </c>
      <c r="H1365" s="16" t="s">
        <v>220</v>
      </c>
    </row>
    <row r="1366" ht="20.25" customHeight="1">
      <c r="A1366" s="32" t="str">
        <f>IMAGE("https://gymvisual.com/11459-catalog_default/dumbbell-alternate-seated-hammer-curl-female.jpg",4,500,500)</f>
        <v/>
      </c>
      <c r="B1366" s="30">
        <v>1365.0</v>
      </c>
      <c r="C1366" s="16" t="s">
        <v>1919</v>
      </c>
      <c r="D1366" s="16" t="s">
        <v>184</v>
      </c>
      <c r="E1366" s="16" t="s">
        <v>214</v>
      </c>
      <c r="F1366" s="16" t="s">
        <v>222</v>
      </c>
      <c r="G1366" s="16" t="s">
        <v>220</v>
      </c>
      <c r="H1366" s="16" t="s">
        <v>220</v>
      </c>
    </row>
    <row r="1367" ht="20.25" customHeight="1">
      <c r="A1367" s="32" t="str">
        <f>IMAGE("https://gymvisual.com/13415-catalog_default/dumbbell-alternate-shoulder-press-female.jpg",4,500,500)</f>
        <v/>
      </c>
      <c r="B1367" s="30">
        <v>1366.0</v>
      </c>
      <c r="C1367" s="16" t="s">
        <v>1920</v>
      </c>
      <c r="D1367" s="16" t="s">
        <v>184</v>
      </c>
      <c r="E1367" s="16" t="s">
        <v>228</v>
      </c>
      <c r="F1367" s="16" t="s">
        <v>222</v>
      </c>
      <c r="G1367" s="16" t="s">
        <v>229</v>
      </c>
      <c r="H1367" s="16" t="s">
        <v>230</v>
      </c>
    </row>
    <row r="1368" ht="20.25" customHeight="1">
      <c r="A1368" s="32" t="str">
        <f>IMAGE("https://gymvisual.com/17366-catalog_default/dumbbell-alternate-shoulder-press-male.jpg",4,500,500)</f>
        <v/>
      </c>
      <c r="B1368" s="30">
        <v>1367.0</v>
      </c>
      <c r="C1368" s="16" t="s">
        <v>1921</v>
      </c>
      <c r="D1368" s="16" t="s">
        <v>184</v>
      </c>
      <c r="E1368" s="16" t="s">
        <v>228</v>
      </c>
      <c r="F1368" s="16" t="s">
        <v>222</v>
      </c>
      <c r="G1368" s="16" t="s">
        <v>229</v>
      </c>
      <c r="H1368" s="16" t="s">
        <v>626</v>
      </c>
    </row>
    <row r="1369" ht="20.25" customHeight="1">
      <c r="A1369" s="32" t="str">
        <f>IMAGE("https://gymvisual.com/880-catalog_default/dumbbell-alternate-side-press.jpg",4,500,500)</f>
        <v/>
      </c>
      <c r="B1369" s="30">
        <v>1368.0</v>
      </c>
      <c r="C1369" s="16" t="s">
        <v>1922</v>
      </c>
      <c r="D1369" s="16" t="s">
        <v>184</v>
      </c>
      <c r="E1369" s="16" t="s">
        <v>228</v>
      </c>
      <c r="F1369" s="16" t="s">
        <v>222</v>
      </c>
      <c r="G1369" s="16" t="s">
        <v>229</v>
      </c>
      <c r="H1369" s="16" t="s">
        <v>1334</v>
      </c>
    </row>
    <row r="1370" ht="20.25" customHeight="1">
      <c r="A1370" s="32" t="str">
        <f>IMAGE("https://gymvisual.com/11327-catalog_default/dumbbell-alternate-side-press-female.jpg",4,500,500)</f>
        <v/>
      </c>
      <c r="B1370" s="30">
        <v>1369.0</v>
      </c>
      <c r="C1370" s="16" t="s">
        <v>1923</v>
      </c>
      <c r="D1370" s="16" t="s">
        <v>184</v>
      </c>
      <c r="E1370" s="16" t="s">
        <v>228</v>
      </c>
      <c r="F1370" s="16" t="s">
        <v>222</v>
      </c>
      <c r="G1370" s="16" t="s">
        <v>220</v>
      </c>
      <c r="H1370" s="16" t="s">
        <v>220</v>
      </c>
    </row>
    <row r="1371" ht="20.25" customHeight="1">
      <c r="A1371" s="32" t="str">
        <f>IMAGE("https://gymvisual.com/7123-catalog_default/dumbbell-alternating-bicep-curl-with-leg-raised-on-exercise-ball.jpg",4,500,500)</f>
        <v/>
      </c>
      <c r="B1371" s="30">
        <v>1370.0</v>
      </c>
      <c r="C1371" s="16" t="s">
        <v>1924</v>
      </c>
      <c r="D1371" s="16" t="s">
        <v>184</v>
      </c>
      <c r="E1371" s="16" t="s">
        <v>219</v>
      </c>
      <c r="F1371" s="16" t="s">
        <v>222</v>
      </c>
      <c r="G1371" s="16" t="s">
        <v>220</v>
      </c>
      <c r="H1371" s="16" t="s">
        <v>220</v>
      </c>
    </row>
    <row r="1372" ht="20.25" customHeight="1">
      <c r="A1372" s="32" t="str">
        <f>IMAGE("https://gymvisual.com/13305-catalog_default/dumbbell-alternating-floor-press.jpg",4,500,500)</f>
        <v/>
      </c>
      <c r="B1372" s="30">
        <v>1371.0</v>
      </c>
      <c r="C1372" s="16" t="s">
        <v>1925</v>
      </c>
      <c r="D1372" s="16" t="s">
        <v>184</v>
      </c>
      <c r="E1372" s="16" t="s">
        <v>234</v>
      </c>
      <c r="F1372" s="16" t="s">
        <v>222</v>
      </c>
      <c r="G1372" s="16" t="s">
        <v>220</v>
      </c>
      <c r="H1372" s="16" t="s">
        <v>220</v>
      </c>
    </row>
    <row r="1373" ht="20.25" customHeight="1">
      <c r="A1373" s="32" t="str">
        <f>IMAGE("https://gymvisual.com/13307-catalog_default/dumbbell-alternating-floor-press-female.jpg",4,500,500)</f>
        <v/>
      </c>
      <c r="B1373" s="30">
        <v>1372.0</v>
      </c>
      <c r="C1373" s="16" t="s">
        <v>1926</v>
      </c>
      <c r="D1373" s="16" t="s">
        <v>184</v>
      </c>
      <c r="E1373" s="16" t="s">
        <v>234</v>
      </c>
      <c r="F1373" s="16" t="s">
        <v>222</v>
      </c>
      <c r="G1373" s="16" t="s">
        <v>220</v>
      </c>
      <c r="H1373" s="16" t="s">
        <v>220</v>
      </c>
    </row>
    <row r="1374" ht="20.25" customHeight="1">
      <c r="A1374" s="32" t="str">
        <f>IMAGE("https://gymvisual.com/7124-catalog_default/dumbbell-alternating-seated-bicep-curl-on-exercise-ball.jpg",4,500,500)</f>
        <v/>
      </c>
      <c r="B1374" s="30">
        <v>1373.0</v>
      </c>
      <c r="C1374" s="16" t="s">
        <v>1927</v>
      </c>
      <c r="D1374" s="16" t="s">
        <v>184</v>
      </c>
      <c r="E1374" s="16" t="s">
        <v>219</v>
      </c>
      <c r="F1374" s="16" t="s">
        <v>222</v>
      </c>
      <c r="G1374" s="16" t="s">
        <v>220</v>
      </c>
      <c r="H1374" s="16" t="s">
        <v>220</v>
      </c>
    </row>
    <row r="1375" ht="20.25" customHeight="1">
      <c r="A1375" s="32" t="str">
        <f>IMAGE("https://gymvisual.com/11591-catalog_default/dumbbell-alternating-seated-bicep-curl-on-exercise-ball-female.jpg",4,500,500)</f>
        <v/>
      </c>
      <c r="B1375" s="30">
        <v>1374.0</v>
      </c>
      <c r="C1375" s="16" t="s">
        <v>1928</v>
      </c>
      <c r="D1375" s="16" t="s">
        <v>184</v>
      </c>
      <c r="E1375" s="16" t="s">
        <v>219</v>
      </c>
      <c r="F1375" s="16" t="s">
        <v>1929</v>
      </c>
      <c r="G1375" s="16" t="s">
        <v>220</v>
      </c>
      <c r="H1375" s="16" t="s">
        <v>220</v>
      </c>
    </row>
    <row r="1376" ht="20.25" customHeight="1">
      <c r="A1376" s="32" t="str">
        <f>IMAGE("https://gymvisual.com/16771-catalog_default/dumbbell-archer.jpg",4,500,500)</f>
        <v/>
      </c>
      <c r="B1376" s="30">
        <v>1375.0</v>
      </c>
      <c r="C1376" s="16" t="s">
        <v>156</v>
      </c>
      <c r="D1376" s="16" t="s">
        <v>184</v>
      </c>
      <c r="E1376" s="16" t="s">
        <v>228</v>
      </c>
      <c r="F1376" s="16" t="s">
        <v>222</v>
      </c>
      <c r="G1376" s="16" t="s">
        <v>220</v>
      </c>
      <c r="H1376" s="16" t="s">
        <v>220</v>
      </c>
    </row>
    <row r="1377" ht="20.25" customHeight="1">
      <c r="A1377" s="32" t="str">
        <f>IMAGE("https://gymvisual.com/8736-catalog_default/dumbbell-arnold-press.jpg",4,500,500)</f>
        <v/>
      </c>
      <c r="B1377" s="30">
        <v>1376.0</v>
      </c>
      <c r="C1377" s="16" t="s">
        <v>158</v>
      </c>
      <c r="D1377" s="16" t="s">
        <v>184</v>
      </c>
      <c r="E1377" s="16" t="s">
        <v>228</v>
      </c>
      <c r="F1377" s="16" t="s">
        <v>222</v>
      </c>
      <c r="G1377" s="16" t="s">
        <v>229</v>
      </c>
      <c r="H1377" s="16" t="s">
        <v>230</v>
      </c>
    </row>
    <row r="1378" ht="20.25" customHeight="1">
      <c r="A1378" s="32" t="str">
        <f>IMAGE("https://gymvisual.com/10364-catalog_default/dumbbell-arnold-press-female.jpg",4,500,500)</f>
        <v/>
      </c>
      <c r="B1378" s="30">
        <v>1377.0</v>
      </c>
      <c r="C1378" s="16" t="s">
        <v>1930</v>
      </c>
      <c r="D1378" s="16" t="s">
        <v>184</v>
      </c>
      <c r="E1378" s="16" t="s">
        <v>228</v>
      </c>
      <c r="F1378" s="16" t="s">
        <v>222</v>
      </c>
      <c r="G1378" s="16" t="s">
        <v>229</v>
      </c>
      <c r="H1378" s="16" t="s">
        <v>1931</v>
      </c>
    </row>
    <row r="1379" ht="20.25" customHeight="1">
      <c r="A1379" s="32" t="str">
        <f>IMAGE("https://gymvisual.com/883-catalog_default/dumbbell-arnold-press-version-2.jpg",4,500,500)</f>
        <v/>
      </c>
      <c r="B1379" s="30">
        <v>1378.0</v>
      </c>
      <c r="C1379" s="16" t="s">
        <v>1932</v>
      </c>
      <c r="D1379" s="16" t="s">
        <v>184</v>
      </c>
      <c r="E1379" s="16" t="s">
        <v>228</v>
      </c>
      <c r="F1379" s="16" t="s">
        <v>222</v>
      </c>
      <c r="G1379" s="16" t="s">
        <v>229</v>
      </c>
      <c r="H1379" s="16" t="s">
        <v>230</v>
      </c>
    </row>
    <row r="1380" ht="20.25" customHeight="1">
      <c r="A1380" s="32" t="str">
        <f>IMAGE("https://gymvisual.com/886-catalog_default/dumbbell-around-pullover.jpg",4,500,500)</f>
        <v/>
      </c>
      <c r="B1380" s="30">
        <v>1379.0</v>
      </c>
      <c r="C1380" s="16" t="s">
        <v>1933</v>
      </c>
      <c r="D1380" s="16" t="s">
        <v>184</v>
      </c>
      <c r="E1380" s="16" t="s">
        <v>234</v>
      </c>
      <c r="F1380" s="16" t="s">
        <v>222</v>
      </c>
      <c r="G1380" s="16" t="s">
        <v>347</v>
      </c>
      <c r="H1380" s="16" t="s">
        <v>1934</v>
      </c>
    </row>
    <row r="1381" ht="20.25" customHeight="1">
      <c r="A1381" s="32" t="str">
        <f>IMAGE("https://gymvisual.com/19507-catalog_default/dumbbell-assisted-bulgarian-split-squat.jpg",4,500,500)</f>
        <v/>
      </c>
      <c r="B1381" s="30">
        <v>1380.0</v>
      </c>
      <c r="C1381" s="16" t="s">
        <v>1935</v>
      </c>
      <c r="D1381" s="16" t="s">
        <v>184</v>
      </c>
      <c r="E1381" s="16" t="s">
        <v>285</v>
      </c>
      <c r="F1381" s="16" t="s">
        <v>222</v>
      </c>
      <c r="G1381" s="16" t="s">
        <v>220</v>
      </c>
      <c r="H1381" s="16" t="s">
        <v>220</v>
      </c>
    </row>
    <row r="1382" ht="20.25" customHeight="1">
      <c r="A1382" s="32" t="str">
        <f>IMAGE("https://gymvisual.com/18011-catalog_default/dumbbell-banded-bench-press.jpg",4,500,500)</f>
        <v/>
      </c>
      <c r="B1382" s="30">
        <v>1381.0</v>
      </c>
      <c r="C1382" s="16" t="s">
        <v>1936</v>
      </c>
      <c r="D1382" s="16" t="s">
        <v>184</v>
      </c>
      <c r="E1382" s="16" t="s">
        <v>234</v>
      </c>
      <c r="F1382" s="16" t="s">
        <v>222</v>
      </c>
      <c r="G1382" s="16" t="s">
        <v>220</v>
      </c>
      <c r="H1382" s="16" t="s">
        <v>220</v>
      </c>
    </row>
    <row r="1383" ht="20.25" customHeight="1">
      <c r="A1383" s="32" t="str">
        <f>IMAGE("https://gymvisual.com/10536-catalog_default/dumbbell-bar-grip-sumo-squat-female.jpg",4,500,500)</f>
        <v/>
      </c>
      <c r="B1383" s="30">
        <v>1382.0</v>
      </c>
      <c r="C1383" s="16" t="s">
        <v>1937</v>
      </c>
      <c r="D1383" s="16" t="s">
        <v>184</v>
      </c>
      <c r="E1383" s="16" t="s">
        <v>185</v>
      </c>
      <c r="F1383" s="16" t="s">
        <v>222</v>
      </c>
      <c r="G1383" s="16" t="s">
        <v>189</v>
      </c>
      <c r="H1383" s="16" t="s">
        <v>1121</v>
      </c>
    </row>
    <row r="1384" ht="20.25" customHeight="1">
      <c r="A1384" s="32" t="str">
        <f>IMAGE("https://gymvisual.com/17507-catalog_default/dumbbell-bar-grip-sumo-squat-male.jpg",4,500,500)</f>
        <v/>
      </c>
      <c r="B1384" s="30">
        <v>1383.0</v>
      </c>
      <c r="C1384" s="16" t="s">
        <v>1938</v>
      </c>
      <c r="D1384" s="16" t="s">
        <v>184</v>
      </c>
      <c r="E1384" s="16" t="s">
        <v>294</v>
      </c>
      <c r="F1384" s="16" t="s">
        <v>222</v>
      </c>
      <c r="G1384" s="16" t="s">
        <v>1851</v>
      </c>
      <c r="H1384" s="16" t="s">
        <v>1939</v>
      </c>
    </row>
    <row r="1385" ht="20.25" customHeight="1">
      <c r="A1385" s="32" t="str">
        <f>IMAGE("https://gymvisual.com/6958-catalog_default/dumbbell-behind-back-finger-curl.jpg",4,500,500)</f>
        <v/>
      </c>
      <c r="B1385" s="30">
        <v>1384.0</v>
      </c>
      <c r="C1385" s="16" t="s">
        <v>1940</v>
      </c>
      <c r="D1385" s="16" t="s">
        <v>184</v>
      </c>
      <c r="E1385" s="16" t="s">
        <v>214</v>
      </c>
      <c r="F1385" s="16" t="s">
        <v>222</v>
      </c>
      <c r="G1385" s="16" t="s">
        <v>720</v>
      </c>
      <c r="H1385" s="16" t="s">
        <v>220</v>
      </c>
    </row>
    <row r="1386" ht="20.25" customHeight="1">
      <c r="A1386" s="32" t="str">
        <f>IMAGE("https://gymvisual.com/16622-catalog_default/dumbbell-behind-back-finger-curl-female.jpg",4,500,500)</f>
        <v/>
      </c>
      <c r="B1386" s="30">
        <v>1385.0</v>
      </c>
      <c r="C1386" s="16" t="s">
        <v>1941</v>
      </c>
      <c r="D1386" s="16" t="s">
        <v>184</v>
      </c>
      <c r="E1386" s="16" t="s">
        <v>214</v>
      </c>
      <c r="F1386" s="16" t="s">
        <v>222</v>
      </c>
      <c r="G1386" s="16" t="s">
        <v>720</v>
      </c>
      <c r="H1386" s="16" t="s">
        <v>220</v>
      </c>
    </row>
    <row r="1387" ht="20.25" customHeight="1">
      <c r="A1387" s="32" t="str">
        <f>IMAGE("https://gymvisual.com/22205-catalog_default/dumbbell-bench-dip.jpg",4,500,500)</f>
        <v/>
      </c>
      <c r="B1387" s="30">
        <v>1386.0</v>
      </c>
      <c r="C1387" s="16" t="s">
        <v>1942</v>
      </c>
      <c r="D1387" s="16" t="s">
        <v>184</v>
      </c>
      <c r="E1387" s="16" t="s">
        <v>219</v>
      </c>
      <c r="F1387" s="16" t="s">
        <v>222</v>
      </c>
      <c r="G1387" s="16" t="s">
        <v>220</v>
      </c>
      <c r="H1387" s="16" t="s">
        <v>220</v>
      </c>
    </row>
    <row r="1388" ht="20.25" customHeight="1">
      <c r="A1388" s="32" t="str">
        <f>IMAGE("https://gymvisual.com/22207-catalog_default/dumbbell-bench-dip-with-legs-elevated.jpg",4,500,500)</f>
        <v/>
      </c>
      <c r="B1388" s="30">
        <v>1387.0</v>
      </c>
      <c r="C1388" s="16" t="s">
        <v>1943</v>
      </c>
      <c r="D1388" s="16" t="s">
        <v>184</v>
      </c>
      <c r="E1388" s="16" t="s">
        <v>219</v>
      </c>
      <c r="F1388" s="16" t="s">
        <v>222</v>
      </c>
      <c r="G1388" s="16" t="s">
        <v>220</v>
      </c>
      <c r="H1388" s="16" t="s">
        <v>220</v>
      </c>
    </row>
    <row r="1389" ht="20.25" customHeight="1">
      <c r="A1389" s="32" t="str">
        <f>IMAGE("https://gymvisual.com/6797-catalog_default/dumbbell-bench-one-leg-squat.jpg",4,500,500)</f>
        <v/>
      </c>
      <c r="B1389" s="30">
        <v>1388.0</v>
      </c>
      <c r="C1389" s="16" t="s">
        <v>1944</v>
      </c>
      <c r="D1389" s="16" t="s">
        <v>184</v>
      </c>
      <c r="E1389" s="16" t="s">
        <v>285</v>
      </c>
      <c r="F1389" s="16" t="s">
        <v>222</v>
      </c>
      <c r="G1389" s="16" t="s">
        <v>220</v>
      </c>
      <c r="H1389" s="16" t="s">
        <v>220</v>
      </c>
    </row>
    <row r="1390" ht="20.25" customHeight="1">
      <c r="A1390" s="32" t="str">
        <f>IMAGE("https://gymvisual.com/19327-catalog_default/dumbbell-bench-press.jpg",4,500,500)</f>
        <v/>
      </c>
      <c r="B1390" s="30">
        <v>1389.0</v>
      </c>
      <c r="C1390" s="16" t="s">
        <v>115</v>
      </c>
      <c r="D1390" s="16" t="s">
        <v>184</v>
      </c>
      <c r="E1390" s="16" t="s">
        <v>234</v>
      </c>
      <c r="F1390" s="16" t="s">
        <v>222</v>
      </c>
      <c r="G1390" s="16" t="s">
        <v>235</v>
      </c>
      <c r="H1390" s="16" t="s">
        <v>243</v>
      </c>
    </row>
    <row r="1391" ht="20.25" customHeight="1">
      <c r="A1391" s="32" t="str">
        <f>IMAGE("https://gymvisual.com/9676-catalog_default/dumbbell-bench-press-female.jpg",4,500,500)</f>
        <v/>
      </c>
      <c r="B1391" s="30">
        <v>1390.0</v>
      </c>
      <c r="C1391" s="16" t="s">
        <v>1945</v>
      </c>
      <c r="D1391" s="16" t="s">
        <v>184</v>
      </c>
      <c r="E1391" s="16" t="s">
        <v>234</v>
      </c>
      <c r="F1391" s="16" t="s">
        <v>222</v>
      </c>
      <c r="G1391" s="16" t="s">
        <v>347</v>
      </c>
      <c r="H1391" s="16" t="s">
        <v>382</v>
      </c>
    </row>
    <row r="1392" ht="20.25" customHeight="1">
      <c r="A1392" s="32" t="str">
        <f>IMAGE("https://gymvisual.com/24820-catalog_default/dumbbell-bench-seated-press.jpg",4,500,500)</f>
        <v/>
      </c>
      <c r="B1392" s="30">
        <v>1391.0</v>
      </c>
      <c r="C1392" s="16" t="s">
        <v>1946</v>
      </c>
      <c r="D1392" s="16" t="s">
        <v>184</v>
      </c>
      <c r="E1392" s="16" t="s">
        <v>228</v>
      </c>
      <c r="F1392" s="16" t="s">
        <v>222</v>
      </c>
      <c r="G1392" s="16" t="s">
        <v>229</v>
      </c>
      <c r="H1392" s="16" t="s">
        <v>244</v>
      </c>
    </row>
    <row r="1393" ht="20.25" customHeight="1">
      <c r="A1393" s="32" t="str">
        <f>IMAGE("https://gymvisual.com/895-catalog_default/dumbbell-bench-squat.jpg",4,500,500)</f>
        <v/>
      </c>
      <c r="B1393" s="30">
        <v>1392.0</v>
      </c>
      <c r="C1393" s="16" t="s">
        <v>1947</v>
      </c>
      <c r="D1393" s="16" t="s">
        <v>184</v>
      </c>
      <c r="E1393" s="16" t="s">
        <v>285</v>
      </c>
      <c r="F1393" s="16" t="s">
        <v>222</v>
      </c>
      <c r="G1393" s="16" t="s">
        <v>189</v>
      </c>
      <c r="H1393" s="16" t="s">
        <v>190</v>
      </c>
    </row>
    <row r="1394" ht="20.25" customHeight="1">
      <c r="A1394" s="32" t="str">
        <f>IMAGE("https://gymvisual.com/9565-catalog_default/dumbbell-bench-squat-female.jpg",4,500,500)</f>
        <v/>
      </c>
      <c r="B1394" s="30">
        <v>1393.0</v>
      </c>
      <c r="C1394" s="16" t="s">
        <v>1948</v>
      </c>
      <c r="D1394" s="16" t="s">
        <v>184</v>
      </c>
      <c r="E1394" s="16" t="s">
        <v>294</v>
      </c>
      <c r="F1394" s="16" t="s">
        <v>222</v>
      </c>
      <c r="G1394" s="16" t="s">
        <v>220</v>
      </c>
      <c r="H1394" s="16" t="s">
        <v>220</v>
      </c>
    </row>
    <row r="1395" ht="20.25" customHeight="1">
      <c r="A1395" s="32" t="str">
        <f>IMAGE("https://gymvisual.com/14782-catalog_default/dumbbell-bench-supported-external-rotation.jpg",4,500,500)</f>
        <v/>
      </c>
      <c r="B1395" s="30">
        <v>1394.0</v>
      </c>
      <c r="C1395" s="16" t="s">
        <v>1949</v>
      </c>
      <c r="D1395" s="16" t="s">
        <v>184</v>
      </c>
      <c r="E1395" s="16" t="s">
        <v>192</v>
      </c>
      <c r="F1395" s="16" t="s">
        <v>222</v>
      </c>
      <c r="G1395" s="16" t="s">
        <v>1607</v>
      </c>
      <c r="H1395" s="16" t="s">
        <v>408</v>
      </c>
    </row>
    <row r="1396" ht="20.25" customHeight="1">
      <c r="A1396" s="32" t="str">
        <f>IMAGE("https://gymvisual.com/22466-catalog_default/dumbbell-bent-arm-iso-hold.jpg",4,500,500)</f>
        <v/>
      </c>
      <c r="B1396" s="30">
        <v>1395.0</v>
      </c>
      <c r="C1396" s="16" t="s">
        <v>1950</v>
      </c>
      <c r="D1396" s="16" t="s">
        <v>184</v>
      </c>
      <c r="E1396" s="16" t="s">
        <v>219</v>
      </c>
      <c r="F1396" s="16" t="s">
        <v>222</v>
      </c>
      <c r="G1396" s="16" t="s">
        <v>220</v>
      </c>
      <c r="H1396" s="16" t="s">
        <v>220</v>
      </c>
    </row>
    <row r="1397" ht="20.25" customHeight="1">
      <c r="A1397" s="32" t="str">
        <f>IMAGE("https://gymvisual.com/19667-catalog_default/dumbbell-bent-arm-lateral-raise-female.jpg",4,500,500)</f>
        <v/>
      </c>
      <c r="B1397" s="30">
        <v>1396.0</v>
      </c>
      <c r="C1397" s="16" t="s">
        <v>1951</v>
      </c>
      <c r="D1397" s="16" t="s">
        <v>184</v>
      </c>
      <c r="E1397" s="16" t="s">
        <v>228</v>
      </c>
      <c r="F1397" s="16" t="s">
        <v>222</v>
      </c>
      <c r="G1397" s="16" t="s">
        <v>544</v>
      </c>
      <c r="H1397" s="16" t="s">
        <v>545</v>
      </c>
    </row>
    <row r="1398" ht="20.25" customHeight="1">
      <c r="A1398" s="32" t="str">
        <f>IMAGE("https://gymvisual.com/24832-catalog_default/dumbbell-bent-arm-lateral-raise-male.jpg",4,500,500)</f>
        <v/>
      </c>
      <c r="B1398" s="30">
        <v>1397.0</v>
      </c>
      <c r="C1398" s="16" t="s">
        <v>1952</v>
      </c>
      <c r="D1398" s="16" t="s">
        <v>184</v>
      </c>
      <c r="E1398" s="16" t="s">
        <v>228</v>
      </c>
      <c r="F1398" s="16" t="s">
        <v>222</v>
      </c>
      <c r="G1398" s="16" t="s">
        <v>544</v>
      </c>
      <c r="H1398" s="16" t="s">
        <v>545</v>
      </c>
    </row>
    <row r="1399" ht="20.25" customHeight="1">
      <c r="A1399" s="32" t="str">
        <f>IMAGE("https://gymvisual.com/18734-catalog_default/dumbbell-bent-arm-pullover-female.jpg",4,500,500)</f>
        <v/>
      </c>
      <c r="B1399" s="30">
        <v>1398.0</v>
      </c>
      <c r="C1399" s="16" t="s">
        <v>1953</v>
      </c>
      <c r="D1399" s="16" t="s">
        <v>184</v>
      </c>
      <c r="E1399" s="16" t="s">
        <v>234</v>
      </c>
      <c r="F1399" s="16" t="s">
        <v>222</v>
      </c>
      <c r="G1399" s="16" t="s">
        <v>220</v>
      </c>
      <c r="H1399" s="16" t="s">
        <v>220</v>
      </c>
    </row>
    <row r="1400" ht="20.25" customHeight="1">
      <c r="A1400" s="32" t="str">
        <f>IMAGE("https://gymvisual.com/10740-catalog_default/dumbbell-bent-arm-pullover-with-knees-bent-female.jpg",4,500,500)</f>
        <v/>
      </c>
      <c r="B1400" s="30">
        <v>1399.0</v>
      </c>
      <c r="C1400" s="16" t="s">
        <v>1954</v>
      </c>
      <c r="D1400" s="16" t="s">
        <v>184</v>
      </c>
      <c r="E1400" s="16" t="s">
        <v>234</v>
      </c>
      <c r="F1400" s="16" t="s">
        <v>222</v>
      </c>
      <c r="G1400" s="16" t="s">
        <v>347</v>
      </c>
      <c r="H1400" s="16" t="s">
        <v>824</v>
      </c>
    </row>
    <row r="1401" ht="20.25" customHeight="1">
      <c r="A1401" s="32" t="str">
        <f>IMAGE("https://gymvisual.com/14788-catalog_default/dumbbell-bent-over-alternate-rear-delt-fly.jpg",4,500,500)</f>
        <v/>
      </c>
      <c r="B1401" s="30">
        <v>1400.0</v>
      </c>
      <c r="C1401" s="16" t="s">
        <v>1955</v>
      </c>
      <c r="D1401" s="16" t="s">
        <v>184</v>
      </c>
      <c r="E1401" s="16" t="s">
        <v>228</v>
      </c>
      <c r="F1401" s="16" t="s">
        <v>222</v>
      </c>
      <c r="G1401" s="16" t="s">
        <v>408</v>
      </c>
      <c r="H1401" s="16" t="s">
        <v>452</v>
      </c>
    </row>
    <row r="1402" ht="20.25" customHeight="1">
      <c r="A1402" s="32" t="str">
        <f>IMAGE("https://gymvisual.com/25009-catalog_default/dumbbell-bent-over-face-pull.jpg",4,500,500)</f>
        <v/>
      </c>
      <c r="B1402" s="30">
        <v>1401.0</v>
      </c>
      <c r="C1402" s="16" t="s">
        <v>1956</v>
      </c>
      <c r="D1402" s="16" t="s">
        <v>184</v>
      </c>
      <c r="E1402" s="16" t="s">
        <v>228</v>
      </c>
      <c r="F1402" s="16" t="s">
        <v>222</v>
      </c>
      <c r="G1402" s="16" t="s">
        <v>220</v>
      </c>
      <c r="H1402" s="16" t="s">
        <v>220</v>
      </c>
    </row>
    <row r="1403" ht="20.25" customHeight="1">
      <c r="A1403" s="32" t="str">
        <f>IMAGE("https://gymvisual.com/17065-catalog_default/dumbbell-bent-over-reverse-row.jpg",4,500,500)</f>
        <v/>
      </c>
      <c r="B1403" s="30">
        <v>1402.0</v>
      </c>
      <c r="C1403" s="16" t="s">
        <v>1957</v>
      </c>
      <c r="D1403" s="16" t="s">
        <v>184</v>
      </c>
      <c r="E1403" s="16" t="s">
        <v>192</v>
      </c>
      <c r="F1403" s="16" t="s">
        <v>222</v>
      </c>
      <c r="G1403" s="16" t="s">
        <v>329</v>
      </c>
      <c r="H1403" s="16" t="s">
        <v>447</v>
      </c>
    </row>
    <row r="1404" ht="20.25" customHeight="1">
      <c r="A1404" s="32" t="str">
        <f>IMAGE("https://gymvisual.com/10066-catalog_default/dumbbell-bent-over-row.jpg",4,500,500)</f>
        <v/>
      </c>
      <c r="B1404" s="30">
        <v>1403.0</v>
      </c>
      <c r="C1404" s="16" t="s">
        <v>1958</v>
      </c>
      <c r="D1404" s="16" t="s">
        <v>184</v>
      </c>
      <c r="E1404" s="16" t="s">
        <v>192</v>
      </c>
      <c r="F1404" s="16" t="s">
        <v>222</v>
      </c>
      <c r="G1404" s="16" t="s">
        <v>329</v>
      </c>
      <c r="H1404" s="16" t="s">
        <v>457</v>
      </c>
    </row>
    <row r="1405" ht="20.25" customHeight="1">
      <c r="A1405" s="32" t="str">
        <f>IMAGE("https://gymvisual.com/11017-catalog_default/dumbbell-bent-over-row-female.jpg",4,500,500)</f>
        <v/>
      </c>
      <c r="B1405" s="30">
        <v>1404.0</v>
      </c>
      <c r="C1405" s="16" t="s">
        <v>1959</v>
      </c>
      <c r="D1405" s="16" t="s">
        <v>184</v>
      </c>
      <c r="E1405" s="16" t="s">
        <v>192</v>
      </c>
      <c r="F1405" s="16" t="s">
        <v>222</v>
      </c>
      <c r="G1405" s="16" t="s">
        <v>570</v>
      </c>
      <c r="H1405" s="16" t="s">
        <v>447</v>
      </c>
    </row>
    <row r="1406" ht="20.25" customHeight="1">
      <c r="A1406" s="32" t="str">
        <f>IMAGE("https://gymvisual.com/25001-catalog_default/dumbbell-bent-over-row-with-chest-support.jpg",4,500,500)</f>
        <v/>
      </c>
      <c r="B1406" s="30">
        <v>1405.0</v>
      </c>
      <c r="C1406" s="16" t="s">
        <v>1960</v>
      </c>
      <c r="D1406" s="16" t="s">
        <v>184</v>
      </c>
      <c r="E1406" s="16" t="s">
        <v>192</v>
      </c>
      <c r="F1406" s="16" t="s">
        <v>222</v>
      </c>
      <c r="G1406" s="16" t="s">
        <v>220</v>
      </c>
      <c r="H1406" s="16" t="s">
        <v>220</v>
      </c>
    </row>
    <row r="1407" ht="20.25" customHeight="1">
      <c r="A1407" s="32" t="str">
        <f>IMAGE("https://gymvisual.com/22209-catalog_default/dumbbell-bent-over-single-arm-row-version-2.jpg",4,500,500)</f>
        <v/>
      </c>
      <c r="B1407" s="30">
        <v>1406.0</v>
      </c>
      <c r="C1407" s="16" t="s">
        <v>1961</v>
      </c>
      <c r="D1407" s="16" t="s">
        <v>184</v>
      </c>
      <c r="E1407" s="16" t="s">
        <v>192</v>
      </c>
      <c r="F1407" s="16" t="s">
        <v>222</v>
      </c>
      <c r="G1407" s="16" t="s">
        <v>220</v>
      </c>
      <c r="H1407" s="16" t="s">
        <v>220</v>
      </c>
    </row>
    <row r="1408" ht="20.25" customHeight="1">
      <c r="A1408" s="32" t="str">
        <f>IMAGE("https://gymvisual.com/7125-catalog_default/dumbbell-bicep-curl-lunge-with-bowling-motion.jpg",4,500,500)</f>
        <v/>
      </c>
      <c r="B1408" s="30">
        <v>1407.0</v>
      </c>
      <c r="C1408" s="16" t="s">
        <v>1962</v>
      </c>
      <c r="D1408" s="16" t="s">
        <v>184</v>
      </c>
      <c r="E1408" s="16" t="s">
        <v>219</v>
      </c>
      <c r="F1408" s="16" t="s">
        <v>222</v>
      </c>
      <c r="G1408" s="16" t="s">
        <v>220</v>
      </c>
      <c r="H1408" s="16" t="s">
        <v>220</v>
      </c>
    </row>
    <row r="1409" ht="20.25" customHeight="1">
      <c r="A1409" s="32" t="str">
        <f>IMAGE("https://gymvisual.com/7126-catalog_default/dumbbell-bicep-curl-on-exercise-ball-with-leg-raised.jpg",4,500,500)</f>
        <v/>
      </c>
      <c r="B1409" s="30">
        <v>1408.0</v>
      </c>
      <c r="C1409" s="16" t="s">
        <v>1963</v>
      </c>
      <c r="D1409" s="16" t="s">
        <v>184</v>
      </c>
      <c r="E1409" s="16" t="s">
        <v>219</v>
      </c>
      <c r="F1409" s="16" t="s">
        <v>222</v>
      </c>
      <c r="G1409" s="16" t="s">
        <v>220</v>
      </c>
      <c r="H1409" s="16" t="s">
        <v>220</v>
      </c>
    </row>
    <row r="1410" ht="20.25" customHeight="1">
      <c r="A1410" s="32" t="str">
        <f>IMAGE("https://gymvisual.com/7127-catalog_default/dumbbell-bicep-curl-with-stork-stance.jpg",4,500,500)</f>
        <v/>
      </c>
      <c r="B1410" s="30">
        <v>1409.0</v>
      </c>
      <c r="C1410" s="16" t="s">
        <v>1964</v>
      </c>
      <c r="D1410" s="16" t="s">
        <v>184</v>
      </c>
      <c r="E1410" s="16" t="s">
        <v>219</v>
      </c>
      <c r="F1410" s="16" t="s">
        <v>222</v>
      </c>
      <c r="G1410" s="16" t="s">
        <v>220</v>
      </c>
      <c r="H1410" s="16" t="s">
        <v>220</v>
      </c>
    </row>
    <row r="1411" ht="20.25" customHeight="1">
      <c r="A1411" s="32" t="str">
        <f>IMAGE("https://gymvisual.com/904-catalog_default/dumbbell-biceps-curl.jpg",4,500,500)</f>
        <v/>
      </c>
      <c r="B1411" s="30">
        <v>1410.0</v>
      </c>
      <c r="C1411" s="16" t="s">
        <v>1965</v>
      </c>
      <c r="D1411" s="16" t="s">
        <v>184</v>
      </c>
      <c r="E1411" s="16" t="s">
        <v>219</v>
      </c>
      <c r="F1411" s="16" t="s">
        <v>222</v>
      </c>
      <c r="G1411" s="16" t="s">
        <v>241</v>
      </c>
      <c r="H1411" s="16" t="s">
        <v>292</v>
      </c>
    </row>
    <row r="1412" ht="20.25" customHeight="1">
      <c r="A1412" s="32" t="str">
        <f>IMAGE("https://gymvisual.com/11020-catalog_default/dumbbell-biceps-curl-female.jpg",4,500,500)</f>
        <v/>
      </c>
      <c r="B1412" s="30">
        <v>1411.0</v>
      </c>
      <c r="C1412" s="16" t="s">
        <v>1966</v>
      </c>
      <c r="D1412" s="16" t="s">
        <v>184</v>
      </c>
      <c r="E1412" s="16" t="s">
        <v>219</v>
      </c>
      <c r="F1412" s="16" t="s">
        <v>222</v>
      </c>
      <c r="G1412" s="16" t="s">
        <v>241</v>
      </c>
      <c r="H1412" s="16" t="s">
        <v>292</v>
      </c>
    </row>
    <row r="1413" ht="20.25" customHeight="1">
      <c r="A1413" s="32" t="str">
        <f>IMAGE("https://gymvisual.com/10454-catalog_default/dumbbell-biceps-curl-with-arm-blaster.jpg",4,500,500)</f>
        <v/>
      </c>
      <c r="B1413" s="30">
        <v>1412.0</v>
      </c>
      <c r="C1413" s="16" t="s">
        <v>1967</v>
      </c>
      <c r="D1413" s="16" t="s">
        <v>184</v>
      </c>
      <c r="E1413" s="16" t="s">
        <v>219</v>
      </c>
      <c r="F1413" s="16" t="s">
        <v>222</v>
      </c>
      <c r="G1413" s="16" t="s">
        <v>241</v>
      </c>
      <c r="H1413" s="16" t="s">
        <v>292</v>
      </c>
    </row>
    <row r="1414" ht="20.25" customHeight="1">
      <c r="A1414" s="32" t="str">
        <f>IMAGE("https://gymvisual.com/13417-catalog_default/dumbbell-biceps-curl-with-arm-blaster-female.jpg",4,500,500)</f>
        <v/>
      </c>
      <c r="B1414" s="30">
        <v>1413.0</v>
      </c>
      <c r="C1414" s="16" t="s">
        <v>1968</v>
      </c>
      <c r="D1414" s="16" t="s">
        <v>184</v>
      </c>
      <c r="E1414" s="16" t="s">
        <v>219</v>
      </c>
      <c r="F1414" s="16" t="s">
        <v>222</v>
      </c>
      <c r="G1414" s="16" t="s">
        <v>220</v>
      </c>
      <c r="H1414" s="16" t="s">
        <v>220</v>
      </c>
    </row>
    <row r="1415" ht="20.25" customHeight="1">
      <c r="A1415" s="32" t="str">
        <f>IMAGE("https://gymvisual.com/7128-catalog_default/dumbbell-biceps-curl-reverse.jpg",4,500,500)</f>
        <v/>
      </c>
      <c r="B1415" s="30">
        <v>1414.0</v>
      </c>
      <c r="C1415" s="16" t="s">
        <v>1969</v>
      </c>
      <c r="D1415" s="16" t="s">
        <v>184</v>
      </c>
      <c r="E1415" s="16" t="s">
        <v>219</v>
      </c>
      <c r="F1415" s="16" t="s">
        <v>222</v>
      </c>
      <c r="G1415" s="16" t="s">
        <v>220</v>
      </c>
      <c r="H1415" s="16" t="s">
        <v>220</v>
      </c>
    </row>
    <row r="1416" ht="20.25" customHeight="1">
      <c r="A1416" s="32" t="str">
        <f>IMAGE("https://gymvisual.com/11462-catalog_default/dumbbell-biceps-curl-reverse-female.jpg",4,500,500)</f>
        <v/>
      </c>
      <c r="B1416" s="30">
        <v>1415.0</v>
      </c>
      <c r="C1416" s="16" t="s">
        <v>1970</v>
      </c>
      <c r="D1416" s="16" t="s">
        <v>184</v>
      </c>
      <c r="E1416" s="16" t="s">
        <v>214</v>
      </c>
      <c r="F1416" s="16" t="s">
        <v>222</v>
      </c>
      <c r="G1416" s="16" t="s">
        <v>220</v>
      </c>
      <c r="H1416" s="16" t="s">
        <v>220</v>
      </c>
    </row>
    <row r="1417" ht="20.25" customHeight="1">
      <c r="A1417" s="32" t="str">
        <f>IMAGE("https://gymvisual.com/7129-catalog_default/dumbbell-biceps-curl-squat.jpg",4,500,500)</f>
        <v/>
      </c>
      <c r="B1417" s="30">
        <v>1416.0</v>
      </c>
      <c r="C1417" s="16" t="s">
        <v>1971</v>
      </c>
      <c r="D1417" s="16" t="s">
        <v>184</v>
      </c>
      <c r="E1417" s="16" t="s">
        <v>219</v>
      </c>
      <c r="F1417" s="16" t="s">
        <v>222</v>
      </c>
      <c r="G1417" s="16" t="s">
        <v>220</v>
      </c>
      <c r="H1417" s="16" t="s">
        <v>220</v>
      </c>
    </row>
    <row r="1418" ht="20.25" customHeight="1">
      <c r="A1418" s="32" t="str">
        <f>IMAGE("https://gymvisual.com/7130-catalog_default/dumbbell-biceps-curl-v-sit-on-bosu-ball.jpg",4,500,500)</f>
        <v/>
      </c>
      <c r="B1418" s="30">
        <v>1417.0</v>
      </c>
      <c r="C1418" s="16" t="s">
        <v>1972</v>
      </c>
      <c r="D1418" s="16" t="s">
        <v>184</v>
      </c>
      <c r="E1418" s="16" t="s">
        <v>219</v>
      </c>
      <c r="F1418" s="16" t="s">
        <v>222</v>
      </c>
      <c r="G1418" s="16" t="s">
        <v>220</v>
      </c>
      <c r="H1418" s="16" t="s">
        <v>220</v>
      </c>
    </row>
    <row r="1419" ht="20.25" customHeight="1">
      <c r="A1419" s="32" t="str">
        <f>IMAGE("https://gymvisual.com/20473-catalog_default/dumbbell-biceps-curl-with-overhead-extension-on-stability-ball.jpg",4,500,500)</f>
        <v/>
      </c>
      <c r="B1419" s="30">
        <v>1418.0</v>
      </c>
      <c r="C1419" s="16" t="s">
        <v>1973</v>
      </c>
      <c r="D1419" s="16" t="s">
        <v>184</v>
      </c>
      <c r="E1419" s="16" t="s">
        <v>219</v>
      </c>
      <c r="F1419" s="16" t="s">
        <v>222</v>
      </c>
      <c r="G1419" s="16" t="s">
        <v>1974</v>
      </c>
      <c r="H1419" s="16" t="s">
        <v>292</v>
      </c>
    </row>
    <row r="1420" ht="20.25" customHeight="1">
      <c r="A1420" s="32" t="str">
        <f>IMAGE("https://gymvisual.com/22211-catalog_default/dumbbell-bridge-bench-press.jpg",4,500,500)</f>
        <v/>
      </c>
      <c r="B1420" s="30">
        <v>1419.0</v>
      </c>
      <c r="C1420" s="16" t="s">
        <v>1975</v>
      </c>
      <c r="D1420" s="16" t="s">
        <v>184</v>
      </c>
      <c r="E1420" s="16" t="s">
        <v>234</v>
      </c>
      <c r="F1420" s="16" t="s">
        <v>222</v>
      </c>
      <c r="G1420" s="16" t="s">
        <v>220</v>
      </c>
      <c r="H1420" s="16" t="s">
        <v>220</v>
      </c>
    </row>
    <row r="1421" ht="20.25" customHeight="1">
      <c r="A1421" s="32" t="str">
        <f>IMAGE("https://gymvisual.com/9730-catalog_default/dumbbell-bulgarian-split-squat-female.jpg",4,500,500)</f>
        <v/>
      </c>
      <c r="B1421" s="30">
        <v>1420.0</v>
      </c>
      <c r="C1421" s="16" t="s">
        <v>1976</v>
      </c>
      <c r="D1421" s="16" t="s">
        <v>184</v>
      </c>
      <c r="E1421" s="16" t="s">
        <v>294</v>
      </c>
      <c r="F1421" s="16" t="s">
        <v>222</v>
      </c>
      <c r="G1421" s="16" t="s">
        <v>189</v>
      </c>
      <c r="H1421" s="16" t="s">
        <v>190</v>
      </c>
    </row>
    <row r="1422" ht="20.25" customHeight="1">
      <c r="A1422" s="32" t="str">
        <f>IMAGE("https://gymvisual.com/14765-catalog_default/dumbbell-chest-supported-lateral-raises.jpg",4,500,500)</f>
        <v/>
      </c>
      <c r="B1422" s="30">
        <v>1421.0</v>
      </c>
      <c r="C1422" s="16" t="s">
        <v>1977</v>
      </c>
      <c r="D1422" s="16" t="s">
        <v>184</v>
      </c>
      <c r="E1422" s="16" t="s">
        <v>228</v>
      </c>
      <c r="F1422" s="16" t="s">
        <v>222</v>
      </c>
      <c r="G1422" s="16" t="s">
        <v>408</v>
      </c>
      <c r="H1422" s="16" t="s">
        <v>1978</v>
      </c>
    </row>
    <row r="1423" ht="20.25" customHeight="1">
      <c r="A1423" s="32" t="str">
        <f>IMAGE("https://gymvisual.com/20618-catalog_default/dumbbell-clean.jpg",4,500,500)</f>
        <v/>
      </c>
      <c r="B1423" s="30">
        <v>1422.0</v>
      </c>
      <c r="C1423" s="16" t="s">
        <v>1979</v>
      </c>
      <c r="D1423" s="16" t="s">
        <v>184</v>
      </c>
      <c r="E1423" s="16" t="s">
        <v>285</v>
      </c>
      <c r="F1423" s="16" t="s">
        <v>222</v>
      </c>
      <c r="G1423" s="16" t="s">
        <v>793</v>
      </c>
      <c r="H1423" s="16" t="s">
        <v>220</v>
      </c>
    </row>
    <row r="1424" ht="20.25" customHeight="1">
      <c r="A1424" s="32" t="str">
        <f>IMAGE("https://gymvisual.com/22568-catalog_default/dumbbell-clean-and-press.jpg",4,500,500)</f>
        <v/>
      </c>
      <c r="B1424" s="30">
        <v>1423.0</v>
      </c>
      <c r="C1424" s="16" t="s">
        <v>1980</v>
      </c>
      <c r="D1424" s="16" t="s">
        <v>184</v>
      </c>
      <c r="E1424" s="16" t="s">
        <v>764</v>
      </c>
      <c r="F1424" s="16" t="s">
        <v>222</v>
      </c>
      <c r="G1424" s="16" t="s">
        <v>1981</v>
      </c>
      <c r="H1424" s="16" t="s">
        <v>220</v>
      </c>
    </row>
    <row r="1425" ht="20.25" customHeight="1">
      <c r="A1425" s="32" t="str">
        <f>IMAGE("https://gymvisual.com/18716-catalog_default/dumbbell-close-grip-curl.jpg",4,500,500)</f>
        <v/>
      </c>
      <c r="B1425" s="30">
        <v>1424.0</v>
      </c>
      <c r="C1425" s="16" t="s">
        <v>1982</v>
      </c>
      <c r="D1425" s="16" t="s">
        <v>184</v>
      </c>
      <c r="E1425" s="16" t="s">
        <v>219</v>
      </c>
      <c r="F1425" s="16" t="s">
        <v>222</v>
      </c>
      <c r="G1425" s="16" t="s">
        <v>241</v>
      </c>
      <c r="H1425" s="16" t="s">
        <v>292</v>
      </c>
    </row>
    <row r="1426" ht="20.25" customHeight="1">
      <c r="A1426" s="32" t="str">
        <f>IMAGE("https://gymvisual.com/7450-catalog_default/dumbbell-close-grip-press.jpg",4,500,500)</f>
        <v/>
      </c>
      <c r="B1426" s="30">
        <v>1425.0</v>
      </c>
      <c r="C1426" s="16" t="s">
        <v>1983</v>
      </c>
      <c r="D1426" s="16" t="s">
        <v>184</v>
      </c>
      <c r="E1426" s="16" t="s">
        <v>219</v>
      </c>
      <c r="F1426" s="16" t="s">
        <v>222</v>
      </c>
      <c r="G1426" s="16" t="s">
        <v>223</v>
      </c>
      <c r="H1426" s="16" t="s">
        <v>472</v>
      </c>
    </row>
    <row r="1427" ht="20.25" customHeight="1">
      <c r="A1427" s="32" t="str">
        <f>IMAGE("https://gymvisual.com/11465-catalog_default/dumbbell-close-grip-press-female.jpg",4,500,500)</f>
        <v/>
      </c>
      <c r="B1427" s="30">
        <v>1426.0</v>
      </c>
      <c r="C1427" s="16" t="s">
        <v>1984</v>
      </c>
      <c r="D1427" s="16" t="s">
        <v>184</v>
      </c>
      <c r="E1427" s="16" t="s">
        <v>1894</v>
      </c>
      <c r="F1427" s="16" t="s">
        <v>222</v>
      </c>
      <c r="G1427" s="16" t="s">
        <v>223</v>
      </c>
      <c r="H1427" s="16" t="s">
        <v>472</v>
      </c>
    </row>
    <row r="1428" ht="20.25" customHeight="1">
      <c r="A1428" s="32" t="str">
        <f>IMAGE("https://gymvisual.com/13419-catalog_default/dumbbell-close-grip-press-female.jpg",4,500,500)</f>
        <v/>
      </c>
      <c r="B1428" s="30">
        <v>1427.0</v>
      </c>
      <c r="C1428" s="16" t="s">
        <v>1985</v>
      </c>
      <c r="D1428" s="16" t="s">
        <v>184</v>
      </c>
      <c r="E1428" s="16" t="s">
        <v>234</v>
      </c>
      <c r="F1428" s="16" t="s">
        <v>222</v>
      </c>
      <c r="G1428" s="16" t="s">
        <v>220</v>
      </c>
      <c r="H1428" s="16" t="s">
        <v>220</v>
      </c>
    </row>
    <row r="1429" ht="20.25" customHeight="1">
      <c r="A1429" s="32" t="str">
        <f>IMAGE("https://gymvisual.com/19588-catalog_default/dumbbell-close-grip-shoulder-press-sit-up.jpg",4,500,500)</f>
        <v/>
      </c>
      <c r="B1429" s="30">
        <v>1428.0</v>
      </c>
      <c r="C1429" s="16" t="s">
        <v>1986</v>
      </c>
      <c r="D1429" s="16" t="s">
        <v>184</v>
      </c>
      <c r="E1429" s="16" t="s">
        <v>254</v>
      </c>
      <c r="F1429" s="16" t="s">
        <v>222</v>
      </c>
      <c r="G1429" s="16" t="s">
        <v>220</v>
      </c>
      <c r="H1429" s="16" t="s">
        <v>220</v>
      </c>
    </row>
    <row r="1430" ht="20.25" customHeight="1">
      <c r="A1430" s="32" t="str">
        <f>IMAGE("https://gymvisual.com/909-catalog_default/dumbbell-close-grip-press.jpg",4,500,500)</f>
        <v/>
      </c>
      <c r="B1430" s="30">
        <v>1429.0</v>
      </c>
      <c r="C1430" s="16" t="s">
        <v>1987</v>
      </c>
      <c r="D1430" s="16" t="s">
        <v>184</v>
      </c>
      <c r="E1430" s="16" t="s">
        <v>219</v>
      </c>
      <c r="F1430" s="16" t="s">
        <v>222</v>
      </c>
      <c r="G1430" s="16" t="s">
        <v>223</v>
      </c>
      <c r="H1430" s="16" t="s">
        <v>896</v>
      </c>
    </row>
    <row r="1431" ht="20.25" customHeight="1">
      <c r="A1431" s="32" t="str">
        <f>IMAGE("https://gymvisual.com/17771-catalog_default/dumbbell-complex-push-up-row-clean-and-press.jpg",4,500,500)</f>
        <v/>
      </c>
      <c r="B1431" s="30">
        <v>1430.0</v>
      </c>
      <c r="C1431" s="16" t="s">
        <v>1988</v>
      </c>
      <c r="D1431" s="16" t="s">
        <v>184</v>
      </c>
      <c r="E1431" s="16" t="s">
        <v>321</v>
      </c>
      <c r="F1431" s="16" t="s">
        <v>222</v>
      </c>
      <c r="G1431" s="16" t="s">
        <v>220</v>
      </c>
      <c r="H1431" s="16" t="s">
        <v>220</v>
      </c>
    </row>
    <row r="1432" ht="20.25" customHeight="1">
      <c r="A1432" s="32" t="str">
        <f>IMAGE("https://gymvisual.com/912-catalog_default/dumbbell-concentration-curl.jpg",4,500,500)</f>
        <v/>
      </c>
      <c r="B1432" s="30">
        <v>1431.0</v>
      </c>
      <c r="C1432" s="16" t="s">
        <v>141</v>
      </c>
      <c r="D1432" s="16" t="s">
        <v>184</v>
      </c>
      <c r="E1432" s="16" t="s">
        <v>219</v>
      </c>
      <c r="F1432" s="16" t="s">
        <v>222</v>
      </c>
      <c r="G1432" s="16" t="s">
        <v>232</v>
      </c>
      <c r="H1432" s="16" t="s">
        <v>233</v>
      </c>
    </row>
    <row r="1433" ht="20.25" customHeight="1">
      <c r="A1433" s="32" t="str">
        <f>IMAGE("https://gymvisual.com/10299-catalog_default/dumbbell-concentration-curl-female.jpg",4,500,500)</f>
        <v/>
      </c>
      <c r="B1433" s="30">
        <v>1432.0</v>
      </c>
      <c r="C1433" s="16" t="s">
        <v>231</v>
      </c>
      <c r="D1433" s="16" t="s">
        <v>184</v>
      </c>
      <c r="E1433" s="16" t="s">
        <v>219</v>
      </c>
      <c r="F1433" s="16" t="s">
        <v>222</v>
      </c>
      <c r="G1433" s="16" t="s">
        <v>232</v>
      </c>
      <c r="H1433" s="16" t="s">
        <v>233</v>
      </c>
    </row>
    <row r="1434" ht="20.25" customHeight="1">
      <c r="A1434" s="32" t="str">
        <f>IMAGE("https://gymvisual.com/14340-catalog_default/dumbbell-contralateral-forward-lunge.jpg",4,500,500)</f>
        <v/>
      </c>
      <c r="B1434" s="30">
        <v>1433.0</v>
      </c>
      <c r="C1434" s="16" t="s">
        <v>1989</v>
      </c>
      <c r="D1434" s="16" t="s">
        <v>184</v>
      </c>
      <c r="E1434" s="16" t="s">
        <v>285</v>
      </c>
      <c r="F1434" s="16" t="s">
        <v>222</v>
      </c>
      <c r="G1434" s="16" t="s">
        <v>189</v>
      </c>
      <c r="H1434" s="16" t="s">
        <v>190</v>
      </c>
    </row>
    <row r="1435" ht="20.25" customHeight="1">
      <c r="A1435" s="32" t="str">
        <f>IMAGE("https://gymvisual.com/19217-catalog_default/dumbbell-cossack-squats-male.jpg",4,500,500)</f>
        <v/>
      </c>
      <c r="B1435" s="30">
        <v>1434.0</v>
      </c>
      <c r="C1435" s="16" t="s">
        <v>1990</v>
      </c>
      <c r="D1435" s="16" t="s">
        <v>184</v>
      </c>
      <c r="E1435" s="16" t="s">
        <v>294</v>
      </c>
      <c r="F1435" s="16" t="s">
        <v>222</v>
      </c>
      <c r="G1435" s="16" t="s">
        <v>220</v>
      </c>
      <c r="H1435" s="16" t="s">
        <v>220</v>
      </c>
    </row>
    <row r="1436" ht="20.25" customHeight="1">
      <c r="A1436" s="32" t="str">
        <f>IMAGE("https://gymvisual.com/22213-catalog_default/dumbbell-cossack-squats-version-2-male.jpg",4,500,500)</f>
        <v/>
      </c>
      <c r="B1436" s="30">
        <v>1435.0</v>
      </c>
      <c r="C1436" s="16" t="s">
        <v>1991</v>
      </c>
      <c r="D1436" s="16" t="s">
        <v>184</v>
      </c>
      <c r="E1436" s="16" t="s">
        <v>285</v>
      </c>
      <c r="F1436" s="16" t="s">
        <v>222</v>
      </c>
      <c r="G1436" s="16" t="s">
        <v>220</v>
      </c>
      <c r="H1436" s="16" t="s">
        <v>220</v>
      </c>
    </row>
    <row r="1437" ht="20.25" customHeight="1">
      <c r="A1437" s="32" t="str">
        <f>IMAGE("https://gymvisual.com/915-catalog_default/dumbbell-cross-body-hammer-curl.jpg",4,500,500)</f>
        <v/>
      </c>
      <c r="B1437" s="30">
        <v>1436.0</v>
      </c>
      <c r="C1437" s="16" t="s">
        <v>1992</v>
      </c>
      <c r="D1437" s="16" t="s">
        <v>184</v>
      </c>
      <c r="E1437" s="16" t="s">
        <v>214</v>
      </c>
      <c r="F1437" s="16" t="s">
        <v>222</v>
      </c>
      <c r="G1437" s="16" t="s">
        <v>216</v>
      </c>
      <c r="H1437" s="16" t="s">
        <v>217</v>
      </c>
    </row>
    <row r="1438" ht="20.25" customHeight="1">
      <c r="A1438" s="32" t="str">
        <f>IMAGE("https://gymvisual.com/7131-catalog_default/dumbbell-cross-body-hammer-curl-version-2.jpg",4,500,500)</f>
        <v/>
      </c>
      <c r="B1438" s="30">
        <v>1437.0</v>
      </c>
      <c r="C1438" s="16" t="s">
        <v>1993</v>
      </c>
      <c r="D1438" s="16" t="s">
        <v>184</v>
      </c>
      <c r="E1438" s="16" t="s">
        <v>219</v>
      </c>
      <c r="F1438" s="16" t="s">
        <v>222</v>
      </c>
      <c r="G1438" s="16" t="s">
        <v>216</v>
      </c>
      <c r="H1438" s="16" t="s">
        <v>217</v>
      </c>
    </row>
    <row r="1439" ht="20.25" customHeight="1">
      <c r="A1439" s="32" t="str">
        <f>IMAGE("https://gymvisual.com/11468-catalog_default/dumbbell-cross-body-hammer-curl-version-2-female.jpg",4,500,500)</f>
        <v/>
      </c>
      <c r="B1439" s="30">
        <v>1438.0</v>
      </c>
      <c r="C1439" s="16" t="s">
        <v>1994</v>
      </c>
      <c r="D1439" s="16" t="s">
        <v>184</v>
      </c>
      <c r="E1439" s="16" t="s">
        <v>219</v>
      </c>
      <c r="F1439" s="16" t="s">
        <v>222</v>
      </c>
      <c r="G1439" s="16" t="s">
        <v>216</v>
      </c>
      <c r="H1439" s="16" t="s">
        <v>217</v>
      </c>
    </row>
    <row r="1440" ht="20.25" customHeight="1">
      <c r="A1440" s="32" t="str">
        <f>IMAGE("https://gymvisual.com/19594-catalog_default/dumbbell-crunch-up.jpg",4,500,500)</f>
        <v/>
      </c>
      <c r="B1440" s="30">
        <v>1439.0</v>
      </c>
      <c r="C1440" s="16" t="s">
        <v>1995</v>
      </c>
      <c r="D1440" s="16" t="s">
        <v>184</v>
      </c>
      <c r="E1440" s="16" t="s">
        <v>254</v>
      </c>
      <c r="F1440" s="16" t="s">
        <v>222</v>
      </c>
      <c r="G1440" s="16" t="s">
        <v>220</v>
      </c>
      <c r="H1440" s="16" t="s">
        <v>220</v>
      </c>
    </row>
    <row r="1441" ht="20.25" customHeight="1">
      <c r="A1441" s="32" t="str">
        <f>IMAGE("https://gymvisual.com/918-catalog_default/dumbbell-cuban-press.jpg",4,500,500)</f>
        <v/>
      </c>
      <c r="B1441" s="30">
        <v>1440.0</v>
      </c>
      <c r="C1441" s="16" t="s">
        <v>1996</v>
      </c>
      <c r="D1441" s="16" t="s">
        <v>184</v>
      </c>
      <c r="E1441" s="16" t="s">
        <v>228</v>
      </c>
      <c r="F1441" s="16" t="s">
        <v>222</v>
      </c>
      <c r="G1441" s="16" t="s">
        <v>1997</v>
      </c>
      <c r="H1441" s="16" t="s">
        <v>1998</v>
      </c>
    </row>
    <row r="1442" ht="20.25" customHeight="1">
      <c r="A1442" s="32" t="str">
        <f>IMAGE("https://gymvisual.com/8732-catalog_default/dumbbell-cuban-press-version-2.jpg",4,500,500)</f>
        <v/>
      </c>
      <c r="B1442" s="30">
        <v>1441.0</v>
      </c>
      <c r="C1442" s="16" t="s">
        <v>1999</v>
      </c>
      <c r="D1442" s="16" t="s">
        <v>184</v>
      </c>
      <c r="E1442" s="16" t="s">
        <v>228</v>
      </c>
      <c r="F1442" s="16" t="s">
        <v>222</v>
      </c>
      <c r="G1442" s="16" t="s">
        <v>454</v>
      </c>
      <c r="H1442" s="16" t="s">
        <v>2000</v>
      </c>
    </row>
    <row r="1443" ht="20.25" customHeight="1">
      <c r="A1443" s="32" t="str">
        <f>IMAGE("https://gymvisual.com/26118-catalog_default/dumbbell-curl-press-extension-male.jpg",4,500,500)</f>
        <v/>
      </c>
      <c r="B1443" s="30">
        <v>1442.0</v>
      </c>
      <c r="C1443" s="16" t="s">
        <v>2001</v>
      </c>
      <c r="D1443" s="16" t="s">
        <v>184</v>
      </c>
      <c r="E1443" s="16" t="s">
        <v>219</v>
      </c>
      <c r="F1443" s="16" t="s">
        <v>222</v>
      </c>
      <c r="G1443" s="16" t="s">
        <v>220</v>
      </c>
      <c r="H1443" s="16" t="s">
        <v>220</v>
      </c>
    </row>
    <row r="1444" ht="20.25" customHeight="1">
      <c r="A1444" s="32" t="str">
        <f>IMAGE("https://gymvisual.com/22087-catalog_default/dumbbell-curl-to-press-female.jpg",4,500,500)</f>
        <v/>
      </c>
      <c r="B1444" s="30">
        <v>1443.0</v>
      </c>
      <c r="C1444" s="16" t="s">
        <v>2002</v>
      </c>
      <c r="D1444" s="16" t="s">
        <v>184</v>
      </c>
      <c r="E1444" s="16" t="s">
        <v>228</v>
      </c>
      <c r="F1444" s="16" t="s">
        <v>222</v>
      </c>
      <c r="G1444" s="16" t="s">
        <v>2003</v>
      </c>
      <c r="H1444" s="16" t="s">
        <v>2004</v>
      </c>
    </row>
    <row r="1445" ht="20.25" customHeight="1">
      <c r="A1445" s="32" t="str">
        <f>IMAGE("https://gymvisual.com/2771-catalog_default/dumbbell-curtsey-lunge.jpg",4,500,500)</f>
        <v/>
      </c>
      <c r="B1445" s="30">
        <v>1444.0</v>
      </c>
      <c r="C1445" s="16" t="s">
        <v>2005</v>
      </c>
      <c r="D1445" s="16" t="s">
        <v>184</v>
      </c>
      <c r="E1445" s="16" t="s">
        <v>285</v>
      </c>
      <c r="F1445" s="16" t="s">
        <v>222</v>
      </c>
      <c r="G1445" s="16" t="s">
        <v>189</v>
      </c>
      <c r="H1445" s="16" t="s">
        <v>2006</v>
      </c>
    </row>
    <row r="1446" ht="20.25" customHeight="1">
      <c r="A1446" s="32" t="str">
        <f>IMAGE("https://gymvisual.com/19331-catalog_default/dumbbell-deadlift.jpg",4,500,500)</f>
        <v/>
      </c>
      <c r="B1446" s="30">
        <v>1445.0</v>
      </c>
      <c r="C1446" s="16" t="s">
        <v>2007</v>
      </c>
      <c r="D1446" s="16" t="s">
        <v>184</v>
      </c>
      <c r="E1446" s="16" t="s">
        <v>192</v>
      </c>
      <c r="F1446" s="16" t="s">
        <v>222</v>
      </c>
      <c r="G1446" s="16" t="s">
        <v>189</v>
      </c>
      <c r="H1446" s="16" t="s">
        <v>190</v>
      </c>
    </row>
    <row r="1447" ht="20.25" customHeight="1">
      <c r="A1447" s="32" t="str">
        <f>IMAGE("https://gymvisual.com/11023-catalog_default/dumbbell-deadlift-female.jpg",4,500,500)</f>
        <v/>
      </c>
      <c r="B1447" s="30">
        <v>1446.0</v>
      </c>
      <c r="C1447" s="16" t="s">
        <v>2008</v>
      </c>
      <c r="D1447" s="16" t="s">
        <v>184</v>
      </c>
      <c r="E1447" s="16" t="s">
        <v>294</v>
      </c>
      <c r="F1447" s="16" t="s">
        <v>222</v>
      </c>
      <c r="G1447" s="16" t="s">
        <v>187</v>
      </c>
      <c r="H1447" s="16" t="s">
        <v>482</v>
      </c>
    </row>
    <row r="1448" ht="20.25" customHeight="1">
      <c r="A1448" s="32" t="str">
        <f>IMAGE("https://gymvisual.com/20724-catalog_default/dumbbell-deadlift-neutral-grip.jpg",4,500,500)</f>
        <v/>
      </c>
      <c r="B1448" s="30">
        <v>1447.0</v>
      </c>
      <c r="C1448" s="16" t="s">
        <v>2009</v>
      </c>
      <c r="D1448" s="16" t="s">
        <v>184</v>
      </c>
      <c r="E1448" s="16" t="s">
        <v>294</v>
      </c>
      <c r="F1448" s="16" t="s">
        <v>222</v>
      </c>
      <c r="G1448" s="16" t="s">
        <v>2010</v>
      </c>
      <c r="H1448" s="16" t="s">
        <v>314</v>
      </c>
    </row>
    <row r="1449" ht="20.25" customHeight="1">
      <c r="A1449" s="32" t="str">
        <f>IMAGE("https://gymvisual.com/22538-catalog_default/dumbbell-deadlift-version-2-male.jpg",4,500,500)</f>
        <v/>
      </c>
      <c r="B1449" s="30">
        <v>1448.0</v>
      </c>
      <c r="C1449" s="16" t="s">
        <v>2011</v>
      </c>
      <c r="D1449" s="16" t="s">
        <v>184</v>
      </c>
      <c r="E1449" s="16" t="s">
        <v>185</v>
      </c>
      <c r="F1449" s="16" t="s">
        <v>222</v>
      </c>
      <c r="G1449" s="16" t="s">
        <v>220</v>
      </c>
      <c r="H1449" s="16" t="s">
        <v>220</v>
      </c>
    </row>
    <row r="1450" ht="20.25" customHeight="1">
      <c r="A1450" s="32" t="str">
        <f>IMAGE("https://gymvisual.com/21028-catalog_default/dumbbell-deadlift-bent-over-row.jpg",4,500,500)</f>
        <v/>
      </c>
      <c r="B1450" s="30">
        <v>1449.0</v>
      </c>
      <c r="C1450" s="16" t="s">
        <v>2012</v>
      </c>
      <c r="D1450" s="16" t="s">
        <v>184</v>
      </c>
      <c r="E1450" s="16" t="s">
        <v>192</v>
      </c>
      <c r="F1450" s="16" t="s">
        <v>222</v>
      </c>
      <c r="G1450" s="16" t="s">
        <v>220</v>
      </c>
      <c r="H1450" s="16" t="s">
        <v>220</v>
      </c>
    </row>
    <row r="1451" ht="20.25" customHeight="1">
      <c r="A1451" s="32" t="str">
        <f>IMAGE("https://gymvisual.com/6798-catalog_default/dumbbell-decline-bench-lunge.jpg",4,500,500)</f>
        <v/>
      </c>
      <c r="B1451" s="30">
        <v>1450.0</v>
      </c>
      <c r="C1451" s="16" t="s">
        <v>2013</v>
      </c>
      <c r="D1451" s="16" t="s">
        <v>184</v>
      </c>
      <c r="E1451" s="16" t="s">
        <v>285</v>
      </c>
      <c r="F1451" s="16" t="s">
        <v>222</v>
      </c>
      <c r="G1451" s="16" t="s">
        <v>220</v>
      </c>
      <c r="H1451" s="16" t="s">
        <v>220</v>
      </c>
    </row>
    <row r="1452" ht="20.25" customHeight="1">
      <c r="A1452" s="32" t="str">
        <f>IMAGE("https://gymvisual.com/19333-catalog_default/3-4-sit-up.jpg",4,500,500)</f>
        <v/>
      </c>
      <c r="B1452" s="30">
        <v>1451.0</v>
      </c>
      <c r="C1452" s="16" t="s">
        <v>2014</v>
      </c>
      <c r="D1452" s="16" t="s">
        <v>184</v>
      </c>
      <c r="E1452" s="16" t="s">
        <v>234</v>
      </c>
      <c r="F1452" s="16" t="s">
        <v>222</v>
      </c>
      <c r="G1452" s="16" t="s">
        <v>347</v>
      </c>
      <c r="H1452" s="16" t="s">
        <v>382</v>
      </c>
    </row>
    <row r="1453" ht="20.25" customHeight="1">
      <c r="A1453" s="32" t="str">
        <f>IMAGE("https://gymvisual.com/10981-catalog_default/dumbbell-decline-bench-press-female.jpg",4,500,500)</f>
        <v/>
      </c>
      <c r="B1453" s="30">
        <v>1452.0</v>
      </c>
      <c r="C1453" s="16" t="s">
        <v>2015</v>
      </c>
      <c r="D1453" s="16" t="s">
        <v>184</v>
      </c>
      <c r="E1453" s="16" t="s">
        <v>234</v>
      </c>
      <c r="F1453" s="16" t="s">
        <v>222</v>
      </c>
      <c r="G1453" s="16" t="s">
        <v>347</v>
      </c>
      <c r="H1453" s="16" t="s">
        <v>382</v>
      </c>
    </row>
    <row r="1454" ht="20.25" customHeight="1">
      <c r="A1454" s="32" t="str">
        <f>IMAGE("https://gymvisual.com/20736-catalog_default/3-4-sit-up.jpg",4,500,500)</f>
        <v/>
      </c>
      <c r="B1454" s="30">
        <v>1453.0</v>
      </c>
      <c r="C1454" s="16" t="s">
        <v>2016</v>
      </c>
      <c r="D1454" s="16" t="s">
        <v>184</v>
      </c>
      <c r="E1454" s="16" t="s">
        <v>234</v>
      </c>
      <c r="F1454" s="16" t="s">
        <v>222</v>
      </c>
      <c r="G1454" s="16" t="s">
        <v>347</v>
      </c>
      <c r="H1454" s="16" t="s">
        <v>420</v>
      </c>
    </row>
    <row r="1455" ht="20.25" customHeight="1">
      <c r="A1455" s="32" t="str">
        <f>IMAGE("https://gymvisual.com/929-catalog_default/3-4-sit-up.jpg",4,500,500)</f>
        <v/>
      </c>
      <c r="B1455" s="30">
        <v>1454.0</v>
      </c>
      <c r="C1455" s="16" t="s">
        <v>2017</v>
      </c>
      <c r="D1455" s="16" t="s">
        <v>184</v>
      </c>
      <c r="E1455" s="16" t="s">
        <v>234</v>
      </c>
      <c r="F1455" s="16" t="s">
        <v>222</v>
      </c>
      <c r="G1455" s="16" t="s">
        <v>347</v>
      </c>
      <c r="H1455" s="16" t="s">
        <v>382</v>
      </c>
    </row>
    <row r="1456" ht="20.25" customHeight="1">
      <c r="A1456" s="32" t="str">
        <f>IMAGE("https://gymvisual.com/22215-catalog_default/dumbbell-decline-lying-leg-curl.jpg",4,500,500)</f>
        <v/>
      </c>
      <c r="B1456" s="30">
        <v>1455.0</v>
      </c>
      <c r="C1456" s="16" t="s">
        <v>2018</v>
      </c>
      <c r="D1456" s="16" t="s">
        <v>184</v>
      </c>
      <c r="E1456" s="16" t="s">
        <v>285</v>
      </c>
      <c r="F1456" s="16" t="s">
        <v>222</v>
      </c>
      <c r="G1456" s="16" t="s">
        <v>220</v>
      </c>
      <c r="H1456" s="16" t="s">
        <v>220</v>
      </c>
    </row>
    <row r="1457" ht="20.25" customHeight="1">
      <c r="A1457" s="32" t="str">
        <f>IMAGE("https://gymvisual.com/5965-catalog_default/dumbbell-decline-one-arm-fly.jpg",4,500,500)</f>
        <v/>
      </c>
      <c r="B1457" s="30">
        <v>1456.0</v>
      </c>
      <c r="C1457" s="16" t="s">
        <v>2019</v>
      </c>
      <c r="D1457" s="16" t="s">
        <v>184</v>
      </c>
      <c r="E1457" s="16" t="s">
        <v>234</v>
      </c>
      <c r="F1457" s="16" t="s">
        <v>222</v>
      </c>
      <c r="G1457" s="16" t="s">
        <v>347</v>
      </c>
      <c r="H1457" s="16" t="s">
        <v>420</v>
      </c>
    </row>
    <row r="1458" ht="20.25" customHeight="1">
      <c r="A1458" s="32" t="str">
        <f>IMAGE("https://gymvisual.com/7092-catalog_default/dumbbell-decline-one-arm-hammer-press.jpg",4,500,500)</f>
        <v/>
      </c>
      <c r="B1458" s="30">
        <v>1457.0</v>
      </c>
      <c r="C1458" s="16" t="s">
        <v>2020</v>
      </c>
      <c r="D1458" s="16" t="s">
        <v>184</v>
      </c>
      <c r="E1458" s="16" t="s">
        <v>219</v>
      </c>
      <c r="F1458" s="16" t="s">
        <v>222</v>
      </c>
      <c r="G1458" s="16" t="s">
        <v>220</v>
      </c>
      <c r="H1458" s="16" t="s">
        <v>220</v>
      </c>
    </row>
    <row r="1459" ht="20.25" customHeight="1">
      <c r="A1459" s="32" t="str">
        <f>IMAGE("https://gymvisual.com/22217-catalog_default/dumbbell-decline-overhead-sit-up.jpg",4,500,500)</f>
        <v/>
      </c>
      <c r="B1459" s="30">
        <v>1458.0</v>
      </c>
      <c r="C1459" s="16" t="s">
        <v>2021</v>
      </c>
      <c r="D1459" s="16" t="s">
        <v>184</v>
      </c>
      <c r="E1459" s="16" t="s">
        <v>254</v>
      </c>
      <c r="F1459" s="16" t="s">
        <v>222</v>
      </c>
      <c r="G1459" s="16" t="s">
        <v>220</v>
      </c>
      <c r="H1459" s="16" t="s">
        <v>220</v>
      </c>
    </row>
    <row r="1460" ht="20.25" customHeight="1">
      <c r="A1460" s="32" t="str">
        <f>IMAGE("https://gymvisual.com/935-catalog_default/3-4-sit-up.jpg",4,500,500)</f>
        <v/>
      </c>
      <c r="B1460" s="30">
        <v>1459.0</v>
      </c>
      <c r="C1460" s="16" t="s">
        <v>2022</v>
      </c>
      <c r="D1460" s="16" t="s">
        <v>184</v>
      </c>
      <c r="E1460" s="16" t="s">
        <v>192</v>
      </c>
      <c r="F1460" s="16" t="s">
        <v>222</v>
      </c>
      <c r="G1460" s="16" t="s">
        <v>238</v>
      </c>
      <c r="H1460" s="16" t="s">
        <v>239</v>
      </c>
    </row>
    <row r="1461" ht="20.25" customHeight="1">
      <c r="A1461" s="32" t="str">
        <f>IMAGE("https://gymvisual.com/20620-catalog_default/3-4-sit-up.jpg",4,500,500)</f>
        <v/>
      </c>
      <c r="B1461" s="30">
        <v>1460.0</v>
      </c>
      <c r="C1461" s="16" t="s">
        <v>2023</v>
      </c>
      <c r="D1461" s="16" t="s">
        <v>184</v>
      </c>
      <c r="E1461" s="16" t="s">
        <v>192</v>
      </c>
      <c r="F1461" s="16" t="s">
        <v>222</v>
      </c>
      <c r="G1461" s="16" t="s">
        <v>238</v>
      </c>
      <c r="H1461" s="16" t="s">
        <v>1621</v>
      </c>
    </row>
    <row r="1462" ht="20.25" customHeight="1">
      <c r="A1462" s="32" t="str">
        <f>IMAGE("https://gymvisual.com/22219-catalog_default/dumbbell-decline-sit-up.jpg",4,500,500)</f>
        <v/>
      </c>
      <c r="B1462" s="30">
        <v>1461.0</v>
      </c>
      <c r="C1462" s="16" t="s">
        <v>2024</v>
      </c>
      <c r="D1462" s="16" t="s">
        <v>184</v>
      </c>
      <c r="E1462" s="16" t="s">
        <v>254</v>
      </c>
      <c r="F1462" s="16" t="s">
        <v>222</v>
      </c>
      <c r="G1462" s="16" t="s">
        <v>220</v>
      </c>
      <c r="H1462" s="16" t="s">
        <v>220</v>
      </c>
    </row>
    <row r="1463" ht="20.25" customHeight="1">
      <c r="A1463" s="32" t="str">
        <f>IMAGE("https://gymvisual.com/938-catalog_default/3-4-sit-up.jpg",4,500,500)</f>
        <v/>
      </c>
      <c r="B1463" s="30">
        <v>1462.0</v>
      </c>
      <c r="C1463" s="16" t="s">
        <v>2025</v>
      </c>
      <c r="D1463" s="16" t="s">
        <v>184</v>
      </c>
      <c r="E1463" s="16" t="s">
        <v>219</v>
      </c>
      <c r="F1463" s="16" t="s">
        <v>222</v>
      </c>
      <c r="G1463" s="16" t="s">
        <v>223</v>
      </c>
      <c r="H1463" s="16" t="s">
        <v>220</v>
      </c>
    </row>
    <row r="1464" ht="20.25" customHeight="1">
      <c r="A1464" s="32" t="str">
        <f>IMAGE("https://gymvisual.com/11516-catalog_default/dumbbell-decline-triceps-extension-female.jpg",4,500,500)</f>
        <v/>
      </c>
      <c r="B1464" s="30">
        <v>1463.0</v>
      </c>
      <c r="C1464" s="16" t="s">
        <v>2026</v>
      </c>
      <c r="D1464" s="16" t="s">
        <v>184</v>
      </c>
      <c r="E1464" s="16" t="s">
        <v>219</v>
      </c>
      <c r="F1464" s="16" t="s">
        <v>222</v>
      </c>
      <c r="G1464" s="16" t="s">
        <v>220</v>
      </c>
      <c r="H1464" s="16" t="s">
        <v>220</v>
      </c>
    </row>
    <row r="1465" ht="20.25" customHeight="1">
      <c r="A1465" s="32" t="str">
        <f>IMAGE("https://gymvisual.com/941-catalog_default/3-4-sit-up.jpg",4,500,500)</f>
        <v/>
      </c>
      <c r="B1465" s="30">
        <v>1464.0</v>
      </c>
      <c r="C1465" s="16" t="s">
        <v>2027</v>
      </c>
      <c r="D1465" s="16" t="s">
        <v>184</v>
      </c>
      <c r="E1465" s="16" t="s">
        <v>234</v>
      </c>
      <c r="F1465" s="16" t="s">
        <v>222</v>
      </c>
      <c r="G1465" s="16" t="s">
        <v>347</v>
      </c>
      <c r="H1465" s="16" t="s">
        <v>420</v>
      </c>
    </row>
    <row r="1466" ht="20.25" customHeight="1">
      <c r="A1466" s="32" t="str">
        <f>IMAGE("https://gymvisual.com/11309-catalog_default/dumbbell-decline-twist-fly-female.jpg",4,500,500)</f>
        <v/>
      </c>
      <c r="B1466" s="30">
        <v>1465.0</v>
      </c>
      <c r="C1466" s="16" t="s">
        <v>2028</v>
      </c>
      <c r="D1466" s="16" t="s">
        <v>184</v>
      </c>
      <c r="E1466" s="16" t="s">
        <v>234</v>
      </c>
      <c r="F1466" s="16" t="s">
        <v>222</v>
      </c>
      <c r="G1466" s="16" t="s">
        <v>347</v>
      </c>
      <c r="H1466" s="16" t="s">
        <v>420</v>
      </c>
    </row>
    <row r="1467" ht="20.25" customHeight="1">
      <c r="A1467" s="32" t="str">
        <f>IMAGE("https://gymvisual.com/22221-catalog_default/dumbbell-deep-push-up-and-renegade-row.jpg",4,500,500)</f>
        <v/>
      </c>
      <c r="B1467" s="30">
        <v>1466.0</v>
      </c>
      <c r="C1467" s="16" t="s">
        <v>2029</v>
      </c>
      <c r="D1467" s="16" t="s">
        <v>184</v>
      </c>
      <c r="E1467" s="16" t="s">
        <v>234</v>
      </c>
      <c r="F1467" s="16" t="s">
        <v>222</v>
      </c>
      <c r="G1467" s="16" t="s">
        <v>220</v>
      </c>
      <c r="H1467" s="16" t="s">
        <v>220</v>
      </c>
    </row>
    <row r="1468" ht="20.25" customHeight="1">
      <c r="A1468" s="32" t="str">
        <f>IMAGE("https://gymvisual.com/14769-catalog_default/dumbbell-drag-bicep-curl.jpg",4,500,500)</f>
        <v/>
      </c>
      <c r="B1468" s="30">
        <v>1467.0</v>
      </c>
      <c r="C1468" s="16" t="s">
        <v>2030</v>
      </c>
      <c r="D1468" s="16" t="s">
        <v>184</v>
      </c>
      <c r="E1468" s="16" t="s">
        <v>829</v>
      </c>
      <c r="F1468" s="16" t="s">
        <v>222</v>
      </c>
      <c r="G1468" s="16" t="s">
        <v>236</v>
      </c>
      <c r="H1468" s="16" t="s">
        <v>292</v>
      </c>
    </row>
    <row r="1469" ht="20.25" customHeight="1">
      <c r="A1469" s="32" t="str">
        <f>IMAGE("https://gymvisual.com/25665-catalog_default/dumbbell-empty-can-exercise-male.jpg",4,500,500)</f>
        <v/>
      </c>
      <c r="B1469" s="30">
        <v>1468.0</v>
      </c>
      <c r="C1469" s="16" t="s">
        <v>2031</v>
      </c>
      <c r="D1469" s="16" t="s">
        <v>184</v>
      </c>
      <c r="E1469" s="16" t="s">
        <v>228</v>
      </c>
      <c r="F1469" s="16" t="s">
        <v>222</v>
      </c>
      <c r="G1469" s="16" t="s">
        <v>220</v>
      </c>
      <c r="H1469" s="16" t="s">
        <v>220</v>
      </c>
    </row>
    <row r="1470" ht="20.25" customHeight="1">
      <c r="A1470" s="32" t="str">
        <f>IMAGE("https://gymvisual.com/14763-catalog_default/dumbbell-external-rotation.jpg",4,500,500)</f>
        <v/>
      </c>
      <c r="B1470" s="30">
        <v>1469.0</v>
      </c>
      <c r="C1470" s="16" t="s">
        <v>2032</v>
      </c>
      <c r="D1470" s="16" t="s">
        <v>184</v>
      </c>
      <c r="E1470" s="16" t="s">
        <v>192</v>
      </c>
      <c r="F1470" s="16" t="s">
        <v>222</v>
      </c>
      <c r="G1470" s="16" t="s">
        <v>1607</v>
      </c>
      <c r="H1470" s="16" t="s">
        <v>408</v>
      </c>
    </row>
    <row r="1471" ht="20.25" customHeight="1">
      <c r="A1471" s="32" t="str">
        <f>IMAGE("https://gymvisual.com/17951-catalog_default/dumbbell-face-down-lying-shoulder-press-male.jpg",4,500,500)</f>
        <v/>
      </c>
      <c r="B1471" s="30">
        <v>1470.0</v>
      </c>
      <c r="C1471" s="16" t="s">
        <v>2033</v>
      </c>
      <c r="D1471" s="16" t="s">
        <v>184</v>
      </c>
      <c r="E1471" s="16" t="s">
        <v>228</v>
      </c>
      <c r="F1471" s="16" t="s">
        <v>222</v>
      </c>
      <c r="G1471" s="16" t="s">
        <v>220</v>
      </c>
      <c r="H1471" s="16" t="s">
        <v>220</v>
      </c>
    </row>
    <row r="1472" ht="20.25" customHeight="1">
      <c r="A1472" s="32" t="str">
        <f>IMAGE("https://gymvisual.com/12179-catalog_default/dumbbell-farmers-carry.jpg",4,500,500)</f>
        <v/>
      </c>
      <c r="B1472" s="30">
        <v>1471.0</v>
      </c>
      <c r="C1472" s="16" t="s">
        <v>2034</v>
      </c>
      <c r="D1472" s="16" t="s">
        <v>184</v>
      </c>
      <c r="E1472" s="16" t="s">
        <v>285</v>
      </c>
      <c r="F1472" s="16" t="s">
        <v>222</v>
      </c>
      <c r="G1472" s="16" t="s">
        <v>220</v>
      </c>
      <c r="H1472" s="16" t="s">
        <v>220</v>
      </c>
    </row>
    <row r="1473" ht="20.25" customHeight="1">
      <c r="A1473" s="32" t="str">
        <f>IMAGE("https://gymvisual.com/6450-catalog_default/dumbbell-finger-curls.jpg",4,500,500)</f>
        <v/>
      </c>
      <c r="B1473" s="30">
        <v>1472.0</v>
      </c>
      <c r="C1473" s="16" t="s">
        <v>2035</v>
      </c>
      <c r="D1473" s="16" t="s">
        <v>184</v>
      </c>
      <c r="E1473" s="16" t="s">
        <v>214</v>
      </c>
      <c r="F1473" s="16" t="s">
        <v>222</v>
      </c>
      <c r="G1473" s="16" t="s">
        <v>220</v>
      </c>
      <c r="H1473" s="16" t="s">
        <v>220</v>
      </c>
    </row>
    <row r="1474" ht="20.25" customHeight="1">
      <c r="A1474" s="32" t="str">
        <f>IMAGE("https://gymvisual.com/13421-catalog_default/dumbbell-finger-curls-female.jpg",4,500,500)</f>
        <v/>
      </c>
      <c r="B1474" s="30">
        <v>1473.0</v>
      </c>
      <c r="C1474" s="16" t="s">
        <v>2036</v>
      </c>
      <c r="D1474" s="16" t="s">
        <v>184</v>
      </c>
      <c r="E1474" s="16" t="s">
        <v>214</v>
      </c>
      <c r="F1474" s="16" t="s">
        <v>222</v>
      </c>
      <c r="G1474" s="16" t="s">
        <v>220</v>
      </c>
      <c r="H1474" s="16" t="s">
        <v>220</v>
      </c>
    </row>
    <row r="1475" ht="20.25" customHeight="1">
      <c r="A1475" s="32" t="str">
        <f>IMAGE("https://gymvisual.com/17331-catalog_default/dumbbell-flat-around-the-world.jpg",4,500,500)</f>
        <v/>
      </c>
      <c r="B1475" s="30">
        <v>1474.0</v>
      </c>
      <c r="C1475" s="16" t="s">
        <v>2037</v>
      </c>
      <c r="D1475" s="16" t="s">
        <v>184</v>
      </c>
      <c r="E1475" s="16" t="s">
        <v>1168</v>
      </c>
      <c r="F1475" s="16" t="s">
        <v>222</v>
      </c>
      <c r="G1475" s="16" t="s">
        <v>472</v>
      </c>
      <c r="H1475" s="16" t="s">
        <v>2038</v>
      </c>
    </row>
    <row r="1476" ht="20.25" customHeight="1">
      <c r="A1476" s="32" t="str">
        <f>IMAGE("https://gymvisual.com/18712-catalog_default/dumbbell-floor-fly.jpg",4,500,500)</f>
        <v/>
      </c>
      <c r="B1476" s="30">
        <v>1475.0</v>
      </c>
      <c r="C1476" s="16" t="s">
        <v>2039</v>
      </c>
      <c r="D1476" s="16" t="s">
        <v>184</v>
      </c>
      <c r="E1476" s="16" t="s">
        <v>234</v>
      </c>
      <c r="F1476" s="16" t="s">
        <v>222</v>
      </c>
      <c r="G1476" s="16" t="s">
        <v>235</v>
      </c>
      <c r="H1476" s="16" t="s">
        <v>236</v>
      </c>
    </row>
    <row r="1477" ht="20.25" customHeight="1">
      <c r="A1477" s="32" t="str">
        <f>IMAGE("https://gymvisual.com/22223-catalog_default/dumbbell-floor-wiper.jpg",4,500,500)</f>
        <v/>
      </c>
      <c r="B1477" s="30">
        <v>1476.0</v>
      </c>
      <c r="C1477" s="16" t="s">
        <v>2040</v>
      </c>
      <c r="D1477" s="16" t="s">
        <v>184</v>
      </c>
      <c r="E1477" s="16" t="s">
        <v>254</v>
      </c>
      <c r="F1477" s="16" t="s">
        <v>222</v>
      </c>
      <c r="G1477" s="16" t="s">
        <v>220</v>
      </c>
      <c r="H1477" s="16" t="s">
        <v>220</v>
      </c>
    </row>
    <row r="1478" ht="20.25" customHeight="1">
      <c r="A1478" s="32" t="str">
        <f>IMAGE("https://gymvisual.com/10248-catalog_default/3-4-sit-up.jpg",4,500,500)</f>
        <v/>
      </c>
      <c r="B1478" s="30">
        <v>1477.0</v>
      </c>
      <c r="C1478" s="16" t="s">
        <v>178</v>
      </c>
      <c r="D1478" s="16" t="s">
        <v>184</v>
      </c>
      <c r="E1478" s="16" t="s">
        <v>234</v>
      </c>
      <c r="F1478" s="16" t="s">
        <v>222</v>
      </c>
      <c r="G1478" s="16" t="s">
        <v>235</v>
      </c>
      <c r="H1478" s="16" t="s">
        <v>236</v>
      </c>
    </row>
    <row r="1479" ht="20.25" customHeight="1">
      <c r="A1479" s="32" t="str">
        <f>IMAGE("https://gymvisual.com/9673-catalog_default/dumbbell-fly-female.jpg",4,500,500)</f>
        <v/>
      </c>
      <c r="B1479" s="30">
        <v>1478.0</v>
      </c>
      <c r="C1479" s="16" t="s">
        <v>2041</v>
      </c>
      <c r="D1479" s="16" t="s">
        <v>184</v>
      </c>
      <c r="E1479" s="16" t="s">
        <v>234</v>
      </c>
      <c r="F1479" s="16" t="s">
        <v>222</v>
      </c>
      <c r="G1479" s="16" t="s">
        <v>235</v>
      </c>
      <c r="H1479" s="16" t="s">
        <v>236</v>
      </c>
    </row>
    <row r="1480" ht="20.25" customHeight="1">
      <c r="A1480" s="32" t="str">
        <f>IMAGE("https://gymvisual.com/12747-catalog_default/dumbbell-fly-knees-at-90-degrees.jpg",4,500,500)</f>
        <v/>
      </c>
      <c r="B1480" s="30">
        <v>1479.0</v>
      </c>
      <c r="C1480" s="16" t="s">
        <v>2042</v>
      </c>
      <c r="D1480" s="16" t="s">
        <v>184</v>
      </c>
      <c r="E1480" s="16" t="s">
        <v>234</v>
      </c>
      <c r="F1480" s="16" t="s">
        <v>222</v>
      </c>
      <c r="G1480" s="16" t="s">
        <v>235</v>
      </c>
      <c r="H1480" s="16" t="s">
        <v>236</v>
      </c>
    </row>
    <row r="1481" ht="20.25" customHeight="1">
      <c r="A1481" s="32" t="str">
        <f>IMAGE("https://gymvisual.com/5966-catalog_default/dumbbell-fly-on-exercise-ball.jpg",4,500,500)</f>
        <v/>
      </c>
      <c r="B1481" s="30">
        <v>1480.0</v>
      </c>
      <c r="C1481" s="16" t="s">
        <v>2043</v>
      </c>
      <c r="D1481" s="16" t="s">
        <v>184</v>
      </c>
      <c r="E1481" s="16" t="s">
        <v>234</v>
      </c>
      <c r="F1481" s="16" t="s">
        <v>222</v>
      </c>
      <c r="G1481" s="16" t="s">
        <v>347</v>
      </c>
      <c r="H1481" s="16" t="s">
        <v>420</v>
      </c>
    </row>
    <row r="1482" ht="20.25" customHeight="1">
      <c r="A1482" s="32" t="str">
        <f>IMAGE("https://gymvisual.com/11390-catalog_default/dumbbell-fly-on-exercise-ball-female.jpg",4,500,500)</f>
        <v/>
      </c>
      <c r="B1482" s="30">
        <v>1481.0</v>
      </c>
      <c r="C1482" s="16" t="s">
        <v>2044</v>
      </c>
      <c r="D1482" s="16" t="s">
        <v>184</v>
      </c>
      <c r="E1482" s="16" t="s">
        <v>234</v>
      </c>
      <c r="F1482" s="16" t="s">
        <v>1929</v>
      </c>
      <c r="G1482" s="16" t="s">
        <v>235</v>
      </c>
      <c r="H1482" s="16" t="s">
        <v>236</v>
      </c>
    </row>
    <row r="1483" ht="20.25" customHeight="1">
      <c r="A1483" s="32" t="str">
        <f>IMAGE("https://gymvisual.com/4425-catalog_default/dumbbell-forward-leaning-lunge.jpg",4,500,500)</f>
        <v/>
      </c>
      <c r="B1483" s="30">
        <v>1482.0</v>
      </c>
      <c r="C1483" s="16" t="s">
        <v>2045</v>
      </c>
      <c r="D1483" s="16" t="s">
        <v>184</v>
      </c>
      <c r="E1483" s="16" t="s">
        <v>285</v>
      </c>
      <c r="F1483" s="16" t="s">
        <v>222</v>
      </c>
      <c r="G1483" s="16" t="s">
        <v>189</v>
      </c>
      <c r="H1483" s="16" t="s">
        <v>2046</v>
      </c>
    </row>
    <row r="1484" ht="20.25" customHeight="1">
      <c r="A1484" s="32" t="str">
        <f>IMAGE("https://gymvisual.com/7451-catalog_default/dumbbell-forward-lunge-triceps-extension.jpg",4,500,500)</f>
        <v/>
      </c>
      <c r="B1484" s="30">
        <v>1483.0</v>
      </c>
      <c r="C1484" s="16" t="s">
        <v>2047</v>
      </c>
      <c r="D1484" s="16" t="s">
        <v>184</v>
      </c>
      <c r="E1484" s="16" t="s">
        <v>219</v>
      </c>
      <c r="F1484" s="16" t="s">
        <v>222</v>
      </c>
      <c r="G1484" s="16" t="s">
        <v>220</v>
      </c>
      <c r="H1484" s="16" t="s">
        <v>220</v>
      </c>
    </row>
    <row r="1485" ht="20.25" customHeight="1">
      <c r="A1485" s="32" t="str">
        <f>IMAGE("https://gymvisual.com/19600-catalog_default/dumbbell-front-plank-arm-leg-raise.jpg",4,500,500)</f>
        <v/>
      </c>
      <c r="B1485" s="30">
        <v>1484.0</v>
      </c>
      <c r="C1485" s="16" t="s">
        <v>2048</v>
      </c>
      <c r="D1485" s="16" t="s">
        <v>184</v>
      </c>
      <c r="E1485" s="16" t="s">
        <v>254</v>
      </c>
      <c r="F1485" s="16" t="s">
        <v>222</v>
      </c>
      <c r="G1485" s="16" t="s">
        <v>220</v>
      </c>
      <c r="H1485" s="16" t="s">
        <v>220</v>
      </c>
    </row>
    <row r="1486" ht="20.25" customHeight="1">
      <c r="A1486" s="32" t="str">
        <f>IMAGE("https://gymvisual.com/19590-catalog_default/dumbbell-front-plank-arm-raise.jpg",4,500,500)</f>
        <v/>
      </c>
      <c r="B1486" s="30">
        <v>1485.0</v>
      </c>
      <c r="C1486" s="16" t="s">
        <v>2049</v>
      </c>
      <c r="D1486" s="16" t="s">
        <v>184</v>
      </c>
      <c r="E1486" s="16" t="s">
        <v>254</v>
      </c>
      <c r="F1486" s="16" t="s">
        <v>222</v>
      </c>
      <c r="G1486" s="16" t="s">
        <v>220</v>
      </c>
      <c r="H1486" s="16" t="s">
        <v>220</v>
      </c>
    </row>
    <row r="1487" ht="20.25" customHeight="1">
      <c r="A1487" s="32" t="str">
        <f>IMAGE("https://gymvisual.com/22091-catalog_default/dumbbell-front-rack-lunge.jpg",4,500,500)</f>
        <v/>
      </c>
      <c r="B1487" s="30">
        <v>1486.0</v>
      </c>
      <c r="C1487" s="16" t="s">
        <v>2050</v>
      </c>
      <c r="D1487" s="16" t="s">
        <v>184</v>
      </c>
      <c r="E1487" s="16" t="s">
        <v>285</v>
      </c>
      <c r="F1487" s="16" t="s">
        <v>222</v>
      </c>
      <c r="G1487" s="16" t="s">
        <v>189</v>
      </c>
      <c r="H1487" s="16" t="s">
        <v>190</v>
      </c>
    </row>
    <row r="1488" ht="20.25" customHeight="1">
      <c r="A1488" s="32" t="str">
        <f>IMAGE("https://gymvisual.com/24920-catalog_default/3-4-sit-up.jpg",4,500,500)</f>
        <v/>
      </c>
      <c r="B1488" s="30">
        <v>1487.0</v>
      </c>
      <c r="C1488" s="16" t="s">
        <v>2051</v>
      </c>
      <c r="D1488" s="16" t="s">
        <v>184</v>
      </c>
      <c r="E1488" s="16" t="s">
        <v>228</v>
      </c>
      <c r="F1488" s="16" t="s">
        <v>222</v>
      </c>
      <c r="G1488" s="16" t="s">
        <v>229</v>
      </c>
      <c r="H1488" s="16" t="s">
        <v>244</v>
      </c>
    </row>
    <row r="1489" ht="20.25" customHeight="1">
      <c r="A1489" s="32" t="str">
        <f>IMAGE("https://gymvisual.com/9613-catalog_default/dumbbell-front-raise-female.jpg",4,500,500)</f>
        <v/>
      </c>
      <c r="B1489" s="30">
        <v>1488.0</v>
      </c>
      <c r="C1489" s="16" t="s">
        <v>2052</v>
      </c>
      <c r="D1489" s="16" t="s">
        <v>184</v>
      </c>
      <c r="E1489" s="16" t="s">
        <v>228</v>
      </c>
      <c r="F1489" s="16" t="s">
        <v>222</v>
      </c>
      <c r="G1489" s="16" t="s">
        <v>229</v>
      </c>
      <c r="H1489" s="16" t="s">
        <v>244</v>
      </c>
    </row>
    <row r="1490" ht="20.25" customHeight="1">
      <c r="A1490" s="32" t="str">
        <f>IMAGE("https://gymvisual.com/947-catalog_default/3-4-sit-up.jpg",4,500,500)</f>
        <v/>
      </c>
      <c r="B1490" s="30">
        <v>1489.0</v>
      </c>
      <c r="C1490" s="16" t="s">
        <v>2053</v>
      </c>
      <c r="D1490" s="16" t="s">
        <v>184</v>
      </c>
      <c r="E1490" s="16" t="s">
        <v>228</v>
      </c>
      <c r="F1490" s="16" t="s">
        <v>222</v>
      </c>
      <c r="G1490" s="16" t="s">
        <v>229</v>
      </c>
      <c r="H1490" s="16" t="s">
        <v>244</v>
      </c>
    </row>
    <row r="1491" ht="20.25" customHeight="1">
      <c r="A1491" s="32" t="str">
        <f>IMAGE("https://gymvisual.com/13892-catalog_default/dumbbell-front-raise-version-2-female.jpg",4,500,500)</f>
        <v/>
      </c>
      <c r="B1491" s="30">
        <v>1490.0</v>
      </c>
      <c r="C1491" s="16" t="s">
        <v>2054</v>
      </c>
      <c r="D1491" s="16" t="s">
        <v>184</v>
      </c>
      <c r="E1491" s="16" t="s">
        <v>228</v>
      </c>
      <c r="F1491" s="16" t="s">
        <v>222</v>
      </c>
      <c r="G1491" s="16" t="s">
        <v>220</v>
      </c>
      <c r="H1491" s="16" t="s">
        <v>220</v>
      </c>
    </row>
    <row r="1492" ht="20.25" customHeight="1">
      <c r="A1492" s="32" t="str">
        <f>IMAGE("https://gymvisual.com/13213-catalog_default/dumbbell-front-squat.jpg",4,500,500)</f>
        <v/>
      </c>
      <c r="B1492" s="30">
        <v>1491.0</v>
      </c>
      <c r="C1492" s="16" t="s">
        <v>2055</v>
      </c>
      <c r="D1492" s="16" t="s">
        <v>184</v>
      </c>
      <c r="E1492" s="16" t="s">
        <v>294</v>
      </c>
      <c r="F1492" s="16" t="s">
        <v>222</v>
      </c>
      <c r="G1492" s="16" t="s">
        <v>189</v>
      </c>
      <c r="H1492" s="16" t="s">
        <v>190</v>
      </c>
    </row>
    <row r="1493" ht="20.25" customHeight="1">
      <c r="A1493" s="32" t="str">
        <f>IMAGE("https://gymvisual.com/13277-catalog_default/dumbbell-front-squat-female.jpg",4,500,500)</f>
        <v/>
      </c>
      <c r="B1493" s="30">
        <v>1492.0</v>
      </c>
      <c r="C1493" s="16" t="s">
        <v>2056</v>
      </c>
      <c r="D1493" s="16" t="s">
        <v>184</v>
      </c>
      <c r="E1493" s="16" t="s">
        <v>294</v>
      </c>
      <c r="F1493" s="16" t="s">
        <v>222</v>
      </c>
      <c r="G1493" s="16" t="s">
        <v>189</v>
      </c>
      <c r="H1493" s="16" t="s">
        <v>190</v>
      </c>
    </row>
    <row r="1494" ht="20.25" customHeight="1">
      <c r="A1494" s="32" t="str">
        <f>IMAGE("https://gymvisual.com/953-catalog_default/3-4-sit-up.jpg",4,500,500)</f>
        <v/>
      </c>
      <c r="B1494" s="30">
        <v>1493.0</v>
      </c>
      <c r="C1494" s="16" t="s">
        <v>2057</v>
      </c>
      <c r="D1494" s="16" t="s">
        <v>184</v>
      </c>
      <c r="E1494" s="16" t="s">
        <v>228</v>
      </c>
      <c r="F1494" s="16" t="s">
        <v>222</v>
      </c>
      <c r="G1494" s="16" t="s">
        <v>454</v>
      </c>
      <c r="H1494" s="16" t="s">
        <v>885</v>
      </c>
    </row>
    <row r="1495" ht="20.25" customHeight="1">
      <c r="A1495" s="32" t="str">
        <f>IMAGE("https://gymvisual.com/11303-catalog_default/dumbbell-full-can-lateral-raise-female.jpg",4,500,500)</f>
        <v/>
      </c>
      <c r="B1495" s="30">
        <v>1494.0</v>
      </c>
      <c r="C1495" s="16" t="s">
        <v>2058</v>
      </c>
      <c r="D1495" s="16" t="s">
        <v>184</v>
      </c>
      <c r="E1495" s="16" t="s">
        <v>228</v>
      </c>
      <c r="F1495" s="16" t="s">
        <v>222</v>
      </c>
      <c r="G1495" s="16" t="s">
        <v>220</v>
      </c>
      <c r="H1495" s="16" t="s">
        <v>220</v>
      </c>
    </row>
    <row r="1496" ht="20.25" customHeight="1">
      <c r="A1496" s="32" t="str">
        <f>IMAGE("https://gymvisual.com/22628-catalog_default/dumbbell-full-swing.jpg",4,500,500)</f>
        <v/>
      </c>
      <c r="B1496" s="30">
        <v>1495.0</v>
      </c>
      <c r="C1496" s="16" t="s">
        <v>2059</v>
      </c>
      <c r="D1496" s="16" t="s">
        <v>184</v>
      </c>
      <c r="E1496" s="16" t="s">
        <v>185</v>
      </c>
      <c r="F1496" s="16" t="s">
        <v>222</v>
      </c>
      <c r="G1496" s="16" t="s">
        <v>2060</v>
      </c>
      <c r="H1496" s="16" t="s">
        <v>2061</v>
      </c>
    </row>
    <row r="1497" ht="20.25" customHeight="1">
      <c r="A1497" s="32" t="str">
        <f>IMAGE("https://gymvisual.com/13618-catalog_default/dumbbell-glute-bridge.jpg",4,500,500)</f>
        <v/>
      </c>
      <c r="B1497" s="30">
        <v>1496.0</v>
      </c>
      <c r="C1497" s="16" t="s">
        <v>2062</v>
      </c>
      <c r="D1497" s="16" t="s">
        <v>184</v>
      </c>
      <c r="E1497" s="16" t="s">
        <v>185</v>
      </c>
      <c r="F1497" s="16" t="s">
        <v>222</v>
      </c>
      <c r="G1497" s="16" t="s">
        <v>187</v>
      </c>
      <c r="H1497" s="16" t="s">
        <v>188</v>
      </c>
    </row>
    <row r="1498" ht="20.25" customHeight="1">
      <c r="A1498" s="32" t="str">
        <f>IMAGE("https://gymvisual.com/13890-catalog_default/dumbbell-glute-bridge-female.jpg",4,500,500)</f>
        <v/>
      </c>
      <c r="B1498" s="30">
        <v>1497.0</v>
      </c>
      <c r="C1498" s="16" t="s">
        <v>2063</v>
      </c>
      <c r="D1498" s="16" t="s">
        <v>184</v>
      </c>
      <c r="E1498" s="16" t="s">
        <v>185</v>
      </c>
      <c r="F1498" s="16" t="s">
        <v>222</v>
      </c>
      <c r="G1498" s="16" t="s">
        <v>187</v>
      </c>
      <c r="H1498" s="16" t="s">
        <v>854</v>
      </c>
    </row>
    <row r="1499" ht="20.25" customHeight="1">
      <c r="A1499" s="32" t="str">
        <f>IMAGE("https://gymvisual.com/20990-catalog_default/dumbbell-glute-dominant-step-up-female.jpg",4,500,500)</f>
        <v/>
      </c>
      <c r="B1499" s="30">
        <v>1498.0</v>
      </c>
      <c r="C1499" s="16" t="s">
        <v>2064</v>
      </c>
      <c r="D1499" s="16" t="s">
        <v>184</v>
      </c>
      <c r="E1499" s="16" t="s">
        <v>294</v>
      </c>
      <c r="F1499" s="16" t="s">
        <v>222</v>
      </c>
      <c r="G1499" s="16" t="s">
        <v>189</v>
      </c>
      <c r="H1499" s="16" t="s">
        <v>190</v>
      </c>
    </row>
    <row r="1500" ht="20.25" customHeight="1">
      <c r="A1500" s="32" t="str">
        <f>IMAGE("https://gymvisual.com/14761-catalog_default/dumbbell-gobelt-curtsey-lunge.jpg",4,500,500)</f>
        <v/>
      </c>
      <c r="B1500" s="30">
        <v>1499.0</v>
      </c>
      <c r="C1500" s="16" t="s">
        <v>2065</v>
      </c>
      <c r="D1500" s="16" t="s">
        <v>184</v>
      </c>
      <c r="E1500" s="16" t="s">
        <v>294</v>
      </c>
      <c r="F1500" s="16" t="s">
        <v>222</v>
      </c>
      <c r="G1500" s="16" t="s">
        <v>189</v>
      </c>
      <c r="H1500" s="16" t="s">
        <v>2066</v>
      </c>
    </row>
    <row r="1501" ht="20.25" customHeight="1">
      <c r="A1501" s="32" t="str">
        <f>IMAGE("https://gymvisual.com/23667-catalog_default/dumbbell-goblet-2-sec-hold-squat.jpg",4,500,500)</f>
        <v/>
      </c>
      <c r="B1501" s="30">
        <v>1500.0</v>
      </c>
      <c r="C1501" s="16" t="s">
        <v>2067</v>
      </c>
      <c r="D1501" s="16" t="s">
        <v>184</v>
      </c>
      <c r="E1501" s="16" t="s">
        <v>285</v>
      </c>
      <c r="F1501" s="16" t="s">
        <v>222</v>
      </c>
      <c r="G1501" s="16" t="s">
        <v>189</v>
      </c>
      <c r="H1501" s="16" t="s">
        <v>902</v>
      </c>
    </row>
    <row r="1502" ht="20.25" customHeight="1">
      <c r="A1502" s="32" t="str">
        <f>IMAGE("https://gymvisual.com/14779-catalog_default/dumbbell-goblet-box-squat.jpg",4,500,500)</f>
        <v/>
      </c>
      <c r="B1502" s="30">
        <v>1501.0</v>
      </c>
      <c r="C1502" s="16" t="s">
        <v>2068</v>
      </c>
      <c r="D1502" s="16" t="s">
        <v>184</v>
      </c>
      <c r="E1502" s="16" t="s">
        <v>294</v>
      </c>
      <c r="F1502" s="16" t="s">
        <v>222</v>
      </c>
      <c r="G1502" s="16" t="s">
        <v>189</v>
      </c>
      <c r="H1502" s="16" t="s">
        <v>190</v>
      </c>
    </row>
    <row r="1503" ht="20.25" customHeight="1">
      <c r="A1503" s="32" t="str">
        <f>IMAGE("https://gymvisual.com/14777-catalog_default/dumbbell-goblet-split-squat.jpg",4,500,500)</f>
        <v/>
      </c>
      <c r="B1503" s="30">
        <v>1502.0</v>
      </c>
      <c r="C1503" s="16" t="s">
        <v>2069</v>
      </c>
      <c r="D1503" s="16" t="s">
        <v>184</v>
      </c>
      <c r="E1503" s="16" t="s">
        <v>294</v>
      </c>
      <c r="F1503" s="16" t="s">
        <v>222</v>
      </c>
      <c r="G1503" s="16" t="s">
        <v>189</v>
      </c>
      <c r="H1503" s="16" t="s">
        <v>190</v>
      </c>
    </row>
    <row r="1504" ht="20.25" customHeight="1">
      <c r="A1504" s="32" t="str">
        <f>IMAGE("https://gymvisual.com/22835-catalog_default/dumbbell-goblet-split-squat.jpg",4,500,500)</f>
        <v/>
      </c>
      <c r="B1504" s="30">
        <v>1503.0</v>
      </c>
      <c r="C1504" s="16" t="s">
        <v>2069</v>
      </c>
      <c r="D1504" s="16" t="s">
        <v>184</v>
      </c>
      <c r="E1504" s="16" t="s">
        <v>285</v>
      </c>
      <c r="F1504" s="16" t="s">
        <v>222</v>
      </c>
      <c r="G1504" s="16" t="s">
        <v>189</v>
      </c>
      <c r="H1504" s="16" t="s">
        <v>902</v>
      </c>
    </row>
    <row r="1505" ht="20.25" customHeight="1">
      <c r="A1505" s="32" t="str">
        <f>IMAGE("https://gymvisual.com/12257-catalog_default/dumbbell-goblet-split-squat-front-foot-elevanted.jpg",4,500,500)</f>
        <v/>
      </c>
      <c r="B1505" s="30">
        <v>1504.0</v>
      </c>
      <c r="C1505" s="16" t="s">
        <v>2070</v>
      </c>
      <c r="D1505" s="16" t="s">
        <v>184</v>
      </c>
      <c r="E1505" s="16" t="s">
        <v>285</v>
      </c>
      <c r="F1505" s="16" t="s">
        <v>222</v>
      </c>
      <c r="G1505" s="16" t="s">
        <v>189</v>
      </c>
      <c r="H1505" s="16" t="s">
        <v>190</v>
      </c>
    </row>
    <row r="1506" ht="20.25" customHeight="1">
      <c r="A1506" s="32" t="str">
        <f>IMAGE("https://gymvisual.com/12254-catalog_default/dumbbell-goblet-split-squat-front-foot-elevanted-female.jpg",4,500,500)</f>
        <v/>
      </c>
      <c r="B1506" s="30">
        <v>1505.0</v>
      </c>
      <c r="C1506" s="16" t="s">
        <v>2071</v>
      </c>
      <c r="D1506" s="16" t="s">
        <v>184</v>
      </c>
      <c r="E1506" s="16" t="s">
        <v>285</v>
      </c>
      <c r="F1506" s="16" t="s">
        <v>222</v>
      </c>
      <c r="G1506" s="16" t="s">
        <v>189</v>
      </c>
      <c r="H1506" s="16" t="s">
        <v>190</v>
      </c>
    </row>
    <row r="1507" ht="20.25" customHeight="1">
      <c r="A1507" s="32" t="str">
        <f>IMAGE("https://gymvisual.com/7570-catalog_default/dumbbell-goblet-squat.jpg",4,500,500)</f>
        <v/>
      </c>
      <c r="B1507" s="30">
        <v>1506.0</v>
      </c>
      <c r="C1507" s="16" t="s">
        <v>2072</v>
      </c>
      <c r="D1507" s="16" t="s">
        <v>184</v>
      </c>
      <c r="E1507" s="16" t="s">
        <v>285</v>
      </c>
      <c r="F1507" s="16" t="s">
        <v>222</v>
      </c>
      <c r="G1507" s="16" t="s">
        <v>189</v>
      </c>
      <c r="H1507" s="16" t="s">
        <v>902</v>
      </c>
    </row>
    <row r="1508" ht="20.25" customHeight="1">
      <c r="A1508" s="32" t="str">
        <f>IMAGE("https://gymvisual.com/9712-catalog_default/dumbbell-goblet-squat-female.jpg",4,500,500)</f>
        <v/>
      </c>
      <c r="B1508" s="30">
        <v>1507.0</v>
      </c>
      <c r="C1508" s="16" t="s">
        <v>2073</v>
      </c>
      <c r="D1508" s="16" t="s">
        <v>184</v>
      </c>
      <c r="E1508" s="16" t="s">
        <v>294</v>
      </c>
      <c r="F1508" s="16" t="s">
        <v>222</v>
      </c>
      <c r="G1508" s="16" t="s">
        <v>295</v>
      </c>
      <c r="H1508" s="16" t="s">
        <v>1121</v>
      </c>
    </row>
    <row r="1509" ht="20.25" customHeight="1">
      <c r="A1509" s="32" t="str">
        <f>IMAGE("https://gymvisual.com/22225-catalog_default/dumbbell-goblet-squat-and-biceps-curl.jpg",4,500,500)</f>
        <v/>
      </c>
      <c r="B1509" s="30">
        <v>1508.0</v>
      </c>
      <c r="C1509" s="16" t="s">
        <v>2074</v>
      </c>
      <c r="D1509" s="16" t="s">
        <v>184</v>
      </c>
      <c r="E1509" s="16" t="s">
        <v>285</v>
      </c>
      <c r="F1509" s="16" t="s">
        <v>222</v>
      </c>
      <c r="G1509" s="16" t="s">
        <v>220</v>
      </c>
      <c r="H1509" s="16" t="s">
        <v>220</v>
      </c>
    </row>
    <row r="1510" ht="20.25" customHeight="1">
      <c r="A1510" s="32" t="str">
        <f>IMAGE("https://gymvisual.com/20988-catalog_default/dumbbell-good-morning-squat.jpg",4,500,500)</f>
        <v/>
      </c>
      <c r="B1510" s="30">
        <v>1509.0</v>
      </c>
      <c r="C1510" s="16" t="s">
        <v>2075</v>
      </c>
      <c r="D1510" s="16" t="s">
        <v>184</v>
      </c>
      <c r="E1510" s="16" t="s">
        <v>294</v>
      </c>
      <c r="F1510" s="16" t="s">
        <v>222</v>
      </c>
      <c r="G1510" s="16" t="s">
        <v>2010</v>
      </c>
      <c r="H1510" s="16" t="s">
        <v>2076</v>
      </c>
    </row>
    <row r="1511" ht="20.25" customHeight="1">
      <c r="A1511" s="32" t="str">
        <f>IMAGE("https://gymvisual.com/19235-catalog_default/dumbbell-half-kneeling-lift-and-chop.jpg",4,500,500)</f>
        <v/>
      </c>
      <c r="B1511" s="30">
        <v>1510.0</v>
      </c>
      <c r="C1511" s="16" t="s">
        <v>2077</v>
      </c>
      <c r="D1511" s="16" t="s">
        <v>184</v>
      </c>
      <c r="E1511" s="16" t="s">
        <v>254</v>
      </c>
      <c r="F1511" s="16" t="s">
        <v>222</v>
      </c>
      <c r="G1511" s="16" t="s">
        <v>220</v>
      </c>
      <c r="H1511" s="16" t="s">
        <v>220</v>
      </c>
    </row>
    <row r="1512" ht="20.25" customHeight="1">
      <c r="A1512" s="32" t="str">
        <f>IMAGE("https://gymvisual.com/19245-catalog_default/dumbbell-half-kneeling-military-press.jpg",4,500,500)</f>
        <v/>
      </c>
      <c r="B1512" s="30">
        <v>1511.0</v>
      </c>
      <c r="C1512" s="16" t="s">
        <v>2078</v>
      </c>
      <c r="D1512" s="16" t="s">
        <v>184</v>
      </c>
      <c r="E1512" s="16" t="s">
        <v>228</v>
      </c>
      <c r="F1512" s="16" t="s">
        <v>222</v>
      </c>
      <c r="G1512" s="16" t="s">
        <v>220</v>
      </c>
      <c r="H1512" s="16" t="s">
        <v>220</v>
      </c>
    </row>
    <row r="1513" ht="20.25" customHeight="1">
      <c r="A1513" s="32" t="str">
        <f>IMAGE("https://gymvisual.com/959-catalog_default/3-4-sit-up.jpg",4,500,500)</f>
        <v/>
      </c>
      <c r="B1513" s="30">
        <v>1512.0</v>
      </c>
      <c r="C1513" s="16" t="s">
        <v>2079</v>
      </c>
      <c r="D1513" s="16" t="s">
        <v>184</v>
      </c>
      <c r="E1513" s="16" t="s">
        <v>219</v>
      </c>
      <c r="F1513" s="16" t="s">
        <v>222</v>
      </c>
      <c r="G1513" s="16" t="s">
        <v>216</v>
      </c>
      <c r="H1513" s="16" t="s">
        <v>217</v>
      </c>
    </row>
    <row r="1514" ht="20.25" customHeight="1">
      <c r="A1514" s="32" t="str">
        <f>IMAGE("https://gymvisual.com/9631-catalog_default/dumbbell-hammer-curl-female.jpg",4,500,500)</f>
        <v/>
      </c>
      <c r="B1514" s="30">
        <v>1513.0</v>
      </c>
      <c r="C1514" s="16" t="s">
        <v>2080</v>
      </c>
      <c r="D1514" s="16" t="s">
        <v>184</v>
      </c>
      <c r="E1514" s="16" t="s">
        <v>219</v>
      </c>
      <c r="F1514" s="16" t="s">
        <v>222</v>
      </c>
      <c r="G1514" s="16" t="s">
        <v>216</v>
      </c>
      <c r="H1514" s="16" t="s">
        <v>217</v>
      </c>
    </row>
    <row r="1515" ht="20.25" customHeight="1">
      <c r="A1515" s="32" t="str">
        <f>IMAGE("https://gymvisual.com/20668-catalog_default/dumbbell-hammer-curl-female.jpg",4,500,500)</f>
        <v/>
      </c>
      <c r="B1515" s="30">
        <v>1514.0</v>
      </c>
      <c r="C1515" s="16" t="s">
        <v>2080</v>
      </c>
      <c r="D1515" s="16" t="s">
        <v>184</v>
      </c>
      <c r="E1515" s="16" t="s">
        <v>219</v>
      </c>
      <c r="F1515" s="16" t="s">
        <v>222</v>
      </c>
      <c r="G1515" s="16" t="s">
        <v>216</v>
      </c>
      <c r="H1515" s="16" t="s">
        <v>217</v>
      </c>
    </row>
    <row r="1516" ht="20.25" customHeight="1">
      <c r="A1516" s="32" t="str">
        <f>IMAGE("https://gymvisual.com/956-catalog_default/3-4-sit-up.jpg",4,500,500)</f>
        <v/>
      </c>
      <c r="B1516" s="30">
        <v>1515.0</v>
      </c>
      <c r="C1516" s="16" t="s">
        <v>2081</v>
      </c>
      <c r="D1516" s="16" t="s">
        <v>184</v>
      </c>
      <c r="E1516" s="16" t="s">
        <v>219</v>
      </c>
      <c r="F1516" s="16" t="s">
        <v>222</v>
      </c>
      <c r="G1516" s="16" t="s">
        <v>216</v>
      </c>
      <c r="H1516" s="16" t="s">
        <v>217</v>
      </c>
    </row>
    <row r="1517" ht="20.25" customHeight="1">
      <c r="A1517" s="32" t="str">
        <f>IMAGE("https://gymvisual.com/7133-catalog_default/dumbbell-hammer-curl-on-exercise-ball.jpg",4,500,500)</f>
        <v/>
      </c>
      <c r="B1517" s="30">
        <v>1516.0</v>
      </c>
      <c r="C1517" s="16" t="s">
        <v>2082</v>
      </c>
      <c r="D1517" s="16" t="s">
        <v>184</v>
      </c>
      <c r="E1517" s="16" t="s">
        <v>219</v>
      </c>
      <c r="F1517" s="16" t="s">
        <v>222</v>
      </c>
      <c r="G1517" s="16" t="s">
        <v>220</v>
      </c>
      <c r="H1517" s="16" t="s">
        <v>220</v>
      </c>
    </row>
    <row r="1518" ht="20.25" customHeight="1">
      <c r="A1518" s="32" t="str">
        <f>IMAGE("https://gymvisual.com/11471-catalog_default/dumbbell-hammer-curl-on-exercise-ball-female.jpg",4,500,500)</f>
        <v/>
      </c>
      <c r="B1518" s="30">
        <v>1517.0</v>
      </c>
      <c r="C1518" s="16" t="s">
        <v>2083</v>
      </c>
      <c r="D1518" s="16" t="s">
        <v>184</v>
      </c>
      <c r="E1518" s="16" t="s">
        <v>219</v>
      </c>
      <c r="F1518" s="16" t="s">
        <v>1929</v>
      </c>
      <c r="G1518" s="16" t="s">
        <v>220</v>
      </c>
      <c r="H1518" s="16" t="s">
        <v>220</v>
      </c>
    </row>
    <row r="1519" ht="20.25" customHeight="1">
      <c r="A1519" s="32" t="str">
        <f>IMAGE("https://gymvisual.com/10455-catalog_default/dumbbell-hammer-curls-with-arm-blaster.jpg",4,500,500)</f>
        <v/>
      </c>
      <c r="B1519" s="30">
        <v>1518.0</v>
      </c>
      <c r="C1519" s="16" t="s">
        <v>2084</v>
      </c>
      <c r="D1519" s="16" t="s">
        <v>184</v>
      </c>
      <c r="E1519" s="16" t="s">
        <v>214</v>
      </c>
      <c r="F1519" s="16" t="s">
        <v>222</v>
      </c>
      <c r="G1519" s="16" t="s">
        <v>216</v>
      </c>
      <c r="H1519" s="16" t="s">
        <v>217</v>
      </c>
    </row>
    <row r="1520" ht="20.25" customHeight="1">
      <c r="A1520" s="32" t="str">
        <f>IMAGE("https://gymvisual.com/13423-catalog_default/dumbbell-hammer-curls-with-arm-blaster-female.jpg",4,500,500)</f>
        <v/>
      </c>
      <c r="B1520" s="30">
        <v>1519.0</v>
      </c>
      <c r="C1520" s="16" t="s">
        <v>2085</v>
      </c>
      <c r="D1520" s="16" t="s">
        <v>184</v>
      </c>
      <c r="E1520" s="16" t="s">
        <v>214</v>
      </c>
      <c r="F1520" s="16" t="s">
        <v>222</v>
      </c>
      <c r="G1520" s="16" t="s">
        <v>220</v>
      </c>
      <c r="H1520" s="16" t="s">
        <v>220</v>
      </c>
    </row>
    <row r="1521" ht="20.25" customHeight="1">
      <c r="A1521" s="32" t="str">
        <f>IMAGE("https://gymvisual.com/13209-catalog_default/dumbbell-hammer-grip-incline-bench-two-arm-row.jpg",4,500,500)</f>
        <v/>
      </c>
      <c r="B1521" s="30">
        <v>1520.0</v>
      </c>
      <c r="C1521" s="16" t="s">
        <v>2086</v>
      </c>
      <c r="D1521" s="16" t="s">
        <v>184</v>
      </c>
      <c r="E1521" s="16" t="s">
        <v>192</v>
      </c>
      <c r="F1521" s="16" t="s">
        <v>222</v>
      </c>
      <c r="G1521" s="16" t="s">
        <v>329</v>
      </c>
      <c r="H1521" s="16" t="s">
        <v>457</v>
      </c>
    </row>
    <row r="1522" ht="20.25" customHeight="1">
      <c r="A1522" s="32" t="str">
        <f>IMAGE("https://gymvisual.com/17146-catalog_default/dumbbell-hammer-grip-incline-bench-two-arm-row-female.jpg",4,500,500)</f>
        <v/>
      </c>
      <c r="B1522" s="30">
        <v>1521.0</v>
      </c>
      <c r="C1522" s="16" t="s">
        <v>2087</v>
      </c>
      <c r="D1522" s="16" t="s">
        <v>184</v>
      </c>
      <c r="E1522" s="16" t="s">
        <v>192</v>
      </c>
      <c r="F1522" s="16" t="s">
        <v>222</v>
      </c>
      <c r="G1522" s="16" t="s">
        <v>329</v>
      </c>
      <c r="H1522" s="16" t="s">
        <v>447</v>
      </c>
    </row>
    <row r="1523" ht="20.25" customHeight="1">
      <c r="A1523" s="32" t="str">
        <f>IMAGE("https://gymvisual.com/18746-catalog_default/dumbbell-hammer-preacher-curl-female.jpg",4,500,500)</f>
        <v/>
      </c>
      <c r="B1523" s="30">
        <v>1522.0</v>
      </c>
      <c r="C1523" s="16" t="s">
        <v>2088</v>
      </c>
      <c r="D1523" s="16" t="s">
        <v>184</v>
      </c>
      <c r="E1523" s="16" t="s">
        <v>214</v>
      </c>
      <c r="F1523" s="16" t="s">
        <v>222</v>
      </c>
      <c r="G1523" s="16" t="s">
        <v>220</v>
      </c>
      <c r="H1523" s="16" t="s">
        <v>220</v>
      </c>
    </row>
    <row r="1524" ht="20.25" customHeight="1">
      <c r="A1524" s="32" t="str">
        <f>IMAGE("https://gymvisual.com/19519-catalog_default/dumbbell-hang-clean.jpg",4,500,500)</f>
        <v/>
      </c>
      <c r="B1524" s="30">
        <v>1523.0</v>
      </c>
      <c r="C1524" s="16" t="s">
        <v>2089</v>
      </c>
      <c r="D1524" s="16" t="s">
        <v>184</v>
      </c>
      <c r="E1524" s="16" t="s">
        <v>764</v>
      </c>
      <c r="F1524" s="16" t="s">
        <v>222</v>
      </c>
      <c r="G1524" s="16" t="s">
        <v>220</v>
      </c>
      <c r="H1524" s="16" t="s">
        <v>220</v>
      </c>
    </row>
    <row r="1525" ht="20.25" customHeight="1">
      <c r="A1525" s="32" t="str">
        <f>IMAGE("https://gymvisual.com/19423-catalog_default/dumbbell-hang-clean-and-jerk.jpg",4,500,500)</f>
        <v/>
      </c>
      <c r="B1525" s="30">
        <v>1524.0</v>
      </c>
      <c r="C1525" s="16" t="s">
        <v>2090</v>
      </c>
      <c r="D1525" s="16" t="s">
        <v>184</v>
      </c>
      <c r="E1525" s="16" t="s">
        <v>764</v>
      </c>
      <c r="F1525" s="16" t="s">
        <v>222</v>
      </c>
      <c r="G1525" s="16" t="s">
        <v>220</v>
      </c>
      <c r="H1525" s="16" t="s">
        <v>220</v>
      </c>
    </row>
    <row r="1526" ht="20.25" customHeight="1">
      <c r="A1526" s="32" t="str">
        <f>IMAGE("https://gymvisual.com/22227-catalog_default/dumbbell-hang-power-clean.jpg",4,500,500)</f>
        <v/>
      </c>
      <c r="B1526" s="30">
        <v>1525.0</v>
      </c>
      <c r="C1526" s="16" t="s">
        <v>2091</v>
      </c>
      <c r="D1526" s="16" t="s">
        <v>184</v>
      </c>
      <c r="E1526" s="16" t="s">
        <v>764</v>
      </c>
      <c r="F1526" s="16" t="s">
        <v>222</v>
      </c>
      <c r="G1526" s="16" t="s">
        <v>954</v>
      </c>
      <c r="H1526" s="16" t="s">
        <v>220</v>
      </c>
    </row>
    <row r="1527" ht="20.25" customHeight="1">
      <c r="A1527" s="32" t="str">
        <f>IMAGE("https://gymvisual.com/22229-catalog_default/dumbbell-hang-power-clean-and-jerk.jpg",4,500,500)</f>
        <v/>
      </c>
      <c r="B1527" s="30">
        <v>1526.0</v>
      </c>
      <c r="C1527" s="16" t="s">
        <v>2092</v>
      </c>
      <c r="D1527" s="16" t="s">
        <v>184</v>
      </c>
      <c r="E1527" s="16" t="s">
        <v>764</v>
      </c>
      <c r="F1527" s="16" t="s">
        <v>222</v>
      </c>
      <c r="G1527" s="16" t="s">
        <v>220</v>
      </c>
      <c r="H1527" s="16" t="s">
        <v>220</v>
      </c>
    </row>
    <row r="1528" ht="20.25" customHeight="1">
      <c r="A1528" s="32" t="str">
        <f>IMAGE("https://gymvisual.com/22231-catalog_default/dumbbell-head-supported-row.jpg",4,500,500)</f>
        <v/>
      </c>
      <c r="B1528" s="30">
        <v>1527.0</v>
      </c>
      <c r="C1528" s="16" t="s">
        <v>2093</v>
      </c>
      <c r="D1528" s="16" t="s">
        <v>184</v>
      </c>
      <c r="E1528" s="16" t="s">
        <v>192</v>
      </c>
      <c r="F1528" s="16" t="s">
        <v>222</v>
      </c>
      <c r="G1528" s="16" t="s">
        <v>220</v>
      </c>
      <c r="H1528" s="16" t="s">
        <v>220</v>
      </c>
    </row>
    <row r="1529" ht="20.25" customHeight="1">
      <c r="A1529" s="32" t="str">
        <f>IMAGE("https://gymvisual.com/7138-catalog_default/dumbbell-high-curl.jpg",4,500,500)</f>
        <v/>
      </c>
      <c r="B1529" s="30">
        <v>1528.0</v>
      </c>
      <c r="C1529" s="16" t="s">
        <v>2094</v>
      </c>
      <c r="D1529" s="16" t="s">
        <v>184</v>
      </c>
      <c r="E1529" s="16" t="s">
        <v>219</v>
      </c>
      <c r="F1529" s="16" t="s">
        <v>222</v>
      </c>
      <c r="G1529" s="16" t="s">
        <v>220</v>
      </c>
      <c r="H1529" s="16" t="s">
        <v>220</v>
      </c>
    </row>
    <row r="1530" ht="20.25" customHeight="1">
      <c r="A1530" s="32" t="str">
        <f>IMAGE("https://gymvisual.com/12173-catalog_default/dumbbell-high-low-carry.jpg",4,500,500)</f>
        <v/>
      </c>
      <c r="B1530" s="30">
        <v>1529.0</v>
      </c>
      <c r="C1530" s="16" t="s">
        <v>2095</v>
      </c>
      <c r="D1530" s="16" t="s">
        <v>184</v>
      </c>
      <c r="E1530" s="16" t="s">
        <v>285</v>
      </c>
      <c r="F1530" s="16" t="s">
        <v>222</v>
      </c>
      <c r="G1530" s="16" t="s">
        <v>220</v>
      </c>
      <c r="H1530" s="16" t="s">
        <v>220</v>
      </c>
    </row>
    <row r="1531" ht="20.25" customHeight="1">
      <c r="A1531" s="32" t="str">
        <f>IMAGE("https://gymvisual.com/25011-catalog_default/dumbbell-high-pull.jpg",4,500,500)</f>
        <v/>
      </c>
      <c r="B1531" s="30">
        <v>1530.0</v>
      </c>
      <c r="C1531" s="16" t="s">
        <v>2096</v>
      </c>
      <c r="D1531" s="16" t="s">
        <v>184</v>
      </c>
      <c r="E1531" s="16" t="s">
        <v>764</v>
      </c>
      <c r="F1531" s="16" t="s">
        <v>222</v>
      </c>
      <c r="G1531" s="16" t="s">
        <v>220</v>
      </c>
      <c r="H1531" s="16" t="s">
        <v>220</v>
      </c>
    </row>
    <row r="1532" ht="20.25" customHeight="1">
      <c r="A1532" s="32" t="str">
        <f>IMAGE("https://gymvisual.com/22233-catalog_default/dumbbell-hip-thrust.jpg",4,500,500)</f>
        <v/>
      </c>
      <c r="B1532" s="30">
        <v>1531.0</v>
      </c>
      <c r="C1532" s="16" t="s">
        <v>2097</v>
      </c>
      <c r="D1532" s="16" t="s">
        <v>184</v>
      </c>
      <c r="E1532" s="16" t="s">
        <v>185</v>
      </c>
      <c r="F1532" s="16" t="s">
        <v>222</v>
      </c>
      <c r="G1532" s="16" t="s">
        <v>220</v>
      </c>
      <c r="H1532" s="16" t="s">
        <v>220</v>
      </c>
    </row>
    <row r="1533" ht="20.25" customHeight="1">
      <c r="A1533" s="32" t="str">
        <f>IMAGE("https://gymvisual.com/14759-catalog_default/dumbbell-incline-alternate-bicep-curl.jpg",4,500,500)</f>
        <v/>
      </c>
      <c r="B1533" s="30">
        <v>1532.0</v>
      </c>
      <c r="C1533" s="16" t="s">
        <v>2098</v>
      </c>
      <c r="D1533" s="16" t="s">
        <v>184</v>
      </c>
      <c r="E1533" s="16" t="s">
        <v>219</v>
      </c>
      <c r="F1533" s="16" t="s">
        <v>222</v>
      </c>
      <c r="G1533" s="16" t="s">
        <v>217</v>
      </c>
      <c r="H1533" s="16" t="s">
        <v>216</v>
      </c>
    </row>
    <row r="1534" ht="20.25" customHeight="1">
      <c r="A1534" s="32" t="str">
        <f>IMAGE("https://gymvisual.com/4604-catalog_default/dumbbell-incline-alternate-hammer-curl.jpg",4,500,500)</f>
        <v/>
      </c>
      <c r="B1534" s="30">
        <v>1533.0</v>
      </c>
      <c r="C1534" s="16" t="s">
        <v>2099</v>
      </c>
      <c r="D1534" s="16" t="s">
        <v>184</v>
      </c>
      <c r="E1534" s="16" t="s">
        <v>219</v>
      </c>
      <c r="F1534" s="16" t="s">
        <v>222</v>
      </c>
      <c r="G1534" s="16" t="s">
        <v>216</v>
      </c>
      <c r="H1534" s="16" t="s">
        <v>217</v>
      </c>
    </row>
    <row r="1535" ht="20.25" customHeight="1">
      <c r="A1535" s="32" t="str">
        <f>IMAGE("https://gymvisual.com/14102-catalog_default/dumbbell-incline-alternate-press.jpg",4,500,500)</f>
        <v/>
      </c>
      <c r="B1535" s="30">
        <v>1534.0</v>
      </c>
      <c r="C1535" s="16" t="s">
        <v>2100</v>
      </c>
      <c r="D1535" s="16" t="s">
        <v>184</v>
      </c>
      <c r="E1535" s="16" t="s">
        <v>234</v>
      </c>
      <c r="F1535" s="16" t="s">
        <v>222</v>
      </c>
      <c r="G1535" s="16" t="s">
        <v>415</v>
      </c>
      <c r="H1535" s="16" t="s">
        <v>243</v>
      </c>
    </row>
    <row r="1536" ht="20.25" customHeight="1">
      <c r="A1536" s="32" t="str">
        <f>IMAGE("https://gymvisual.com/14784-catalog_default/dumbbell-incline-alternate-reverse-fly.jpg",4,500,500)</f>
        <v/>
      </c>
      <c r="B1536" s="30">
        <v>1535.0</v>
      </c>
      <c r="C1536" s="16" t="s">
        <v>2101</v>
      </c>
      <c r="D1536" s="16" t="s">
        <v>184</v>
      </c>
      <c r="E1536" s="16" t="s">
        <v>228</v>
      </c>
      <c r="F1536" s="16" t="s">
        <v>222</v>
      </c>
      <c r="G1536" s="16" t="s">
        <v>408</v>
      </c>
      <c r="H1536" s="16" t="s">
        <v>452</v>
      </c>
    </row>
    <row r="1537" ht="20.25" customHeight="1">
      <c r="A1537" s="32" t="str">
        <f>IMAGE("https://gymvisual.com/17329-catalog_default/dumbbell-incline-around-the-world.jpg",4,500,500)</f>
        <v/>
      </c>
      <c r="B1537" s="30">
        <v>1536.0</v>
      </c>
      <c r="C1537" s="16" t="s">
        <v>2102</v>
      </c>
      <c r="D1537" s="16" t="s">
        <v>184</v>
      </c>
      <c r="E1537" s="16" t="s">
        <v>1168</v>
      </c>
      <c r="F1537" s="16" t="s">
        <v>222</v>
      </c>
      <c r="G1537" s="16" t="s">
        <v>882</v>
      </c>
      <c r="H1537" s="16" t="s">
        <v>2103</v>
      </c>
    </row>
    <row r="1538" ht="20.25" customHeight="1">
      <c r="A1538" s="32" t="str">
        <f>IMAGE("https://gymvisual.com/19335-catalog_default/3-4-sit-up.jpg",4,500,500)</f>
        <v/>
      </c>
      <c r="B1538" s="30">
        <v>1537.0</v>
      </c>
      <c r="C1538" s="16" t="s">
        <v>2104</v>
      </c>
      <c r="D1538" s="16" t="s">
        <v>184</v>
      </c>
      <c r="E1538" s="16" t="s">
        <v>234</v>
      </c>
      <c r="F1538" s="16" t="s">
        <v>222</v>
      </c>
      <c r="G1538" s="16" t="s">
        <v>415</v>
      </c>
      <c r="H1538" s="16" t="s">
        <v>243</v>
      </c>
    </row>
    <row r="1539" ht="20.25" customHeight="1">
      <c r="A1539" s="32" t="str">
        <f>IMAGE("https://gymvisual.com/10948-catalog_default/dumbbell-incline-bench-press-female.jpg",4,500,500)</f>
        <v/>
      </c>
      <c r="B1539" s="30">
        <v>1538.0</v>
      </c>
      <c r="C1539" s="16" t="s">
        <v>2105</v>
      </c>
      <c r="D1539" s="16" t="s">
        <v>184</v>
      </c>
      <c r="E1539" s="16" t="s">
        <v>234</v>
      </c>
      <c r="F1539" s="16" t="s">
        <v>222</v>
      </c>
      <c r="G1539" s="16" t="s">
        <v>415</v>
      </c>
      <c r="H1539" s="16" t="s">
        <v>243</v>
      </c>
    </row>
    <row r="1540" ht="20.25" customHeight="1">
      <c r="A1540" s="32" t="str">
        <f>IMAGE("https://gymvisual.com/965-catalog_default/3-4-sit-up.jpg",4,500,500)</f>
        <v/>
      </c>
      <c r="B1540" s="30">
        <v>1539.0</v>
      </c>
      <c r="C1540" s="16" t="s">
        <v>2106</v>
      </c>
      <c r="D1540" s="16" t="s">
        <v>184</v>
      </c>
      <c r="E1540" s="16" t="s">
        <v>219</v>
      </c>
      <c r="F1540" s="16" t="s">
        <v>222</v>
      </c>
      <c r="G1540" s="16" t="s">
        <v>241</v>
      </c>
      <c r="H1540" s="16" t="s">
        <v>292</v>
      </c>
    </row>
    <row r="1541" ht="20.25" customHeight="1">
      <c r="A1541" s="32" t="str">
        <f>IMAGE("https://gymvisual.com/22500-catalog_default/dumbbell-incline-biceps-curl-70-degrees-female.jpg",4,500,500)</f>
        <v/>
      </c>
      <c r="B1541" s="30">
        <v>1540.0</v>
      </c>
      <c r="C1541" s="16" t="s">
        <v>2107</v>
      </c>
      <c r="D1541" s="16" t="s">
        <v>184</v>
      </c>
      <c r="E1541" s="16" t="s">
        <v>219</v>
      </c>
      <c r="F1541" s="16" t="s">
        <v>222</v>
      </c>
      <c r="G1541" s="16" t="s">
        <v>220</v>
      </c>
      <c r="H1541" s="16" t="s">
        <v>220</v>
      </c>
    </row>
    <row r="1542" ht="20.25" customHeight="1">
      <c r="A1542" s="32" t="str">
        <f>IMAGE("https://gymvisual.com/11044-catalog_default/dumbbell-incline-biceps-curl-female.jpg",4,500,500)</f>
        <v/>
      </c>
      <c r="B1542" s="30">
        <v>1541.0</v>
      </c>
      <c r="C1542" s="16" t="s">
        <v>2108</v>
      </c>
      <c r="D1542" s="16" t="s">
        <v>184</v>
      </c>
      <c r="E1542" s="16" t="s">
        <v>219</v>
      </c>
      <c r="F1542" s="16" t="s">
        <v>222</v>
      </c>
      <c r="G1542" s="16" t="s">
        <v>241</v>
      </c>
      <c r="H1542" s="16" t="s">
        <v>292</v>
      </c>
    </row>
    <row r="1543" ht="20.25" customHeight="1">
      <c r="A1543" s="32" t="str">
        <f>IMAGE("https://gymvisual.com/16708-catalog_default/dumbbell-incline-biceps-curl-female.jpg",4,500,500)</f>
        <v/>
      </c>
      <c r="B1543" s="30">
        <v>1542.0</v>
      </c>
      <c r="C1543" s="16" t="s">
        <v>2108</v>
      </c>
      <c r="D1543" s="16" t="s">
        <v>184</v>
      </c>
      <c r="E1543" s="16" t="s">
        <v>219</v>
      </c>
      <c r="F1543" s="16" t="s">
        <v>222</v>
      </c>
      <c r="G1543" s="16" t="s">
        <v>241</v>
      </c>
      <c r="H1543" s="16" t="s">
        <v>292</v>
      </c>
    </row>
    <row r="1544" ht="20.25" customHeight="1">
      <c r="A1544" s="32" t="str">
        <f>IMAGE("https://gymvisual.com/22235-catalog_default/dumbbell-incline-biceps-curl-version-2-female.jpg",4,500,500)</f>
        <v/>
      </c>
      <c r="B1544" s="30">
        <v>1543.0</v>
      </c>
      <c r="C1544" s="16" t="s">
        <v>2109</v>
      </c>
      <c r="D1544" s="16" t="s">
        <v>184</v>
      </c>
      <c r="E1544" s="16" t="s">
        <v>219</v>
      </c>
      <c r="F1544" s="16" t="s">
        <v>222</v>
      </c>
      <c r="G1544" s="16" t="s">
        <v>220</v>
      </c>
      <c r="H1544" s="16" t="s">
        <v>220</v>
      </c>
    </row>
    <row r="1545" ht="20.25" customHeight="1">
      <c r="A1545" s="32" t="str">
        <f>IMAGE("https://gymvisual.com/968-catalog_default/3-4-sit-up.jpg",4,500,500)</f>
        <v/>
      </c>
      <c r="B1545" s="30">
        <v>1544.0</v>
      </c>
      <c r="C1545" s="16" t="s">
        <v>2110</v>
      </c>
      <c r="D1545" s="16" t="s">
        <v>184</v>
      </c>
      <c r="E1545" s="16" t="s">
        <v>234</v>
      </c>
      <c r="F1545" s="16" t="s">
        <v>222</v>
      </c>
      <c r="G1545" s="16" t="s">
        <v>415</v>
      </c>
      <c r="H1545" s="16" t="s">
        <v>2003</v>
      </c>
    </row>
    <row r="1546" ht="20.25" customHeight="1">
      <c r="A1546" s="32" t="str">
        <f>IMAGE("https://gymvisual.com/17462-catalog_default/dumbbell-incline-close-grip-press-variation.jpg",4,500,500)</f>
        <v/>
      </c>
      <c r="B1546" s="30">
        <v>1545.0</v>
      </c>
      <c r="C1546" s="16" t="s">
        <v>2111</v>
      </c>
      <c r="D1546" s="16" t="s">
        <v>184</v>
      </c>
      <c r="E1546" s="16" t="s">
        <v>219</v>
      </c>
      <c r="F1546" s="16" t="s">
        <v>222</v>
      </c>
      <c r="G1546" s="16" t="s">
        <v>2112</v>
      </c>
      <c r="H1546" s="16" t="s">
        <v>896</v>
      </c>
    </row>
    <row r="1547" ht="20.25" customHeight="1">
      <c r="A1547" s="32" t="str">
        <f>IMAGE("https://gymvisual.com/974-catalog_default/3-4-sit-up.jpg",4,500,500)</f>
        <v/>
      </c>
      <c r="B1547" s="30">
        <v>1546.0</v>
      </c>
      <c r="C1547" s="16" t="s">
        <v>2113</v>
      </c>
      <c r="D1547" s="16" t="s">
        <v>184</v>
      </c>
      <c r="E1547" s="16" t="s">
        <v>219</v>
      </c>
      <c r="F1547" s="16" t="s">
        <v>222</v>
      </c>
      <c r="G1547" s="16" t="s">
        <v>241</v>
      </c>
      <c r="H1547" s="16" t="s">
        <v>292</v>
      </c>
    </row>
    <row r="1548" ht="20.25" customHeight="1">
      <c r="A1548" s="32" t="str">
        <f>IMAGE("https://gymvisual.com/971-catalog_default/3-4-sit-up.jpg",4,500,500)</f>
        <v/>
      </c>
      <c r="B1548" s="30">
        <v>1547.0</v>
      </c>
      <c r="C1548" s="16" t="s">
        <v>2114</v>
      </c>
      <c r="D1548" s="16" t="s">
        <v>184</v>
      </c>
      <c r="E1548" s="16" t="s">
        <v>219</v>
      </c>
      <c r="F1548" s="16" t="s">
        <v>222</v>
      </c>
      <c r="G1548" s="16" t="s">
        <v>232</v>
      </c>
      <c r="H1548" s="16" t="s">
        <v>233</v>
      </c>
    </row>
    <row r="1549" ht="20.25" customHeight="1">
      <c r="A1549" s="32" t="str">
        <f>IMAGE("https://gymvisual.com/10273-catalog_default/3-4-sit-up.jpg",4,500,500)</f>
        <v/>
      </c>
      <c r="B1549" s="30">
        <v>1548.0</v>
      </c>
      <c r="C1549" s="16" t="s">
        <v>2115</v>
      </c>
      <c r="D1549" s="16" t="s">
        <v>184</v>
      </c>
      <c r="E1549" s="16" t="s">
        <v>234</v>
      </c>
      <c r="F1549" s="16" t="s">
        <v>222</v>
      </c>
      <c r="G1549" s="16" t="s">
        <v>415</v>
      </c>
      <c r="H1549" s="16" t="s">
        <v>236</v>
      </c>
    </row>
    <row r="1550" ht="20.25" customHeight="1">
      <c r="A1550" s="32" t="str">
        <f>IMAGE("https://gymvisual.com/11113-catalog_default/dumbbell-incline-fly-female.jpg",4,500,500)</f>
        <v/>
      </c>
      <c r="B1550" s="30">
        <v>1549.0</v>
      </c>
      <c r="C1550" s="16" t="s">
        <v>2116</v>
      </c>
      <c r="D1550" s="16" t="s">
        <v>184</v>
      </c>
      <c r="E1550" s="16" t="s">
        <v>234</v>
      </c>
      <c r="F1550" s="16" t="s">
        <v>222</v>
      </c>
      <c r="G1550" s="16" t="s">
        <v>415</v>
      </c>
      <c r="H1550" s="16" t="s">
        <v>236</v>
      </c>
    </row>
    <row r="1551" ht="20.25" customHeight="1">
      <c r="A1551" s="32" t="str">
        <f>IMAGE("https://gymvisual.com/5967-catalog_default/dumbbell-incline-fly-on-exercise-ball.jpg",4,500,500)</f>
        <v/>
      </c>
      <c r="B1551" s="30">
        <v>1550.0</v>
      </c>
      <c r="C1551" s="16" t="s">
        <v>2117</v>
      </c>
      <c r="D1551" s="16" t="s">
        <v>184</v>
      </c>
      <c r="E1551" s="16" t="s">
        <v>234</v>
      </c>
      <c r="F1551" s="16" t="s">
        <v>222</v>
      </c>
      <c r="G1551" s="16" t="s">
        <v>415</v>
      </c>
      <c r="H1551" s="16" t="s">
        <v>236</v>
      </c>
    </row>
    <row r="1552" ht="20.25" customHeight="1">
      <c r="A1552" s="32" t="str">
        <f>IMAGE("https://gymvisual.com/11408-catalog_default/dumbbell-incline-fly-on-exercise-ball-female.jpg",4,500,500)</f>
        <v/>
      </c>
      <c r="B1552" s="30">
        <v>1551.0</v>
      </c>
      <c r="C1552" s="16" t="s">
        <v>2118</v>
      </c>
      <c r="D1552" s="16" t="s">
        <v>184</v>
      </c>
      <c r="E1552" s="16" t="s">
        <v>234</v>
      </c>
      <c r="F1552" s="16" t="s">
        <v>1929</v>
      </c>
      <c r="G1552" s="16" t="s">
        <v>415</v>
      </c>
      <c r="H1552" s="16" t="s">
        <v>236</v>
      </c>
    </row>
    <row r="1553" ht="20.25" customHeight="1">
      <c r="A1553" s="32" t="str">
        <f>IMAGE("https://gymvisual.com/4428-catalog_default/dumbbell-incline-front-raise.jpg",4,500,500)</f>
        <v/>
      </c>
      <c r="B1553" s="30">
        <v>1552.0</v>
      </c>
      <c r="C1553" s="16" t="s">
        <v>2119</v>
      </c>
      <c r="D1553" s="16" t="s">
        <v>184</v>
      </c>
      <c r="E1553" s="16" t="s">
        <v>228</v>
      </c>
      <c r="F1553" s="16" t="s">
        <v>222</v>
      </c>
      <c r="G1553" s="16" t="s">
        <v>229</v>
      </c>
      <c r="H1553" s="16" t="s">
        <v>244</v>
      </c>
    </row>
    <row r="1554" ht="20.25" customHeight="1">
      <c r="A1554" s="32" t="str">
        <f>IMAGE("https://gymvisual.com/17383-catalog_default/dumbbell-incline-front-raise-with-chest-support.jpg",4,500,500)</f>
        <v/>
      </c>
      <c r="B1554" s="30">
        <v>1553.0</v>
      </c>
      <c r="C1554" s="16" t="s">
        <v>2120</v>
      </c>
      <c r="D1554" s="16" t="s">
        <v>184</v>
      </c>
      <c r="E1554" s="16" t="s">
        <v>228</v>
      </c>
      <c r="F1554" s="16" t="s">
        <v>222</v>
      </c>
      <c r="G1554" s="16" t="s">
        <v>229</v>
      </c>
      <c r="H1554" s="16" t="s">
        <v>244</v>
      </c>
    </row>
    <row r="1555" ht="20.25" customHeight="1">
      <c r="A1555" s="32" t="str">
        <f>IMAGE("https://gymvisual.com/980-catalog_default/3-4-sit-up.jpg",4,500,500)</f>
        <v/>
      </c>
      <c r="B1555" s="30">
        <v>1554.0</v>
      </c>
      <c r="C1555" s="16" t="s">
        <v>2121</v>
      </c>
      <c r="D1555" s="16" t="s">
        <v>184</v>
      </c>
      <c r="E1555" s="16" t="s">
        <v>219</v>
      </c>
      <c r="F1555" s="16" t="s">
        <v>222</v>
      </c>
      <c r="G1555" s="16" t="s">
        <v>241</v>
      </c>
      <c r="H1555" s="16" t="s">
        <v>292</v>
      </c>
    </row>
    <row r="1556" ht="20.25" customHeight="1">
      <c r="A1556" s="32" t="str">
        <f>IMAGE("https://gymvisual.com/11053-catalog_default/dumbbell-incline-hammer-curl-female.jpg",4,500,500)</f>
        <v/>
      </c>
      <c r="B1556" s="30">
        <v>1555.0</v>
      </c>
      <c r="C1556" s="16" t="s">
        <v>2122</v>
      </c>
      <c r="D1556" s="16" t="s">
        <v>184</v>
      </c>
      <c r="E1556" s="16" t="s">
        <v>219</v>
      </c>
      <c r="F1556" s="16" t="s">
        <v>222</v>
      </c>
      <c r="G1556" s="16" t="s">
        <v>216</v>
      </c>
      <c r="H1556" s="16" t="s">
        <v>217</v>
      </c>
    </row>
    <row r="1557" ht="20.25" customHeight="1">
      <c r="A1557" s="32" t="str">
        <f>IMAGE("https://gymvisual.com/983-catalog_default/3-4-sit-up.jpg",4,500,500)</f>
        <v/>
      </c>
      <c r="B1557" s="30">
        <v>1556.0</v>
      </c>
      <c r="C1557" s="16" t="s">
        <v>2123</v>
      </c>
      <c r="D1557" s="16" t="s">
        <v>184</v>
      </c>
      <c r="E1557" s="16" t="s">
        <v>234</v>
      </c>
      <c r="F1557" s="16" t="s">
        <v>222</v>
      </c>
      <c r="G1557" s="16" t="s">
        <v>415</v>
      </c>
      <c r="H1557" s="16" t="s">
        <v>243</v>
      </c>
    </row>
    <row r="1558" ht="20.25" customHeight="1">
      <c r="A1558" s="32" t="str">
        <f>IMAGE("https://gymvisual.com/11083-catalog_default/dumbbell-incline-hammer-press-female.jpg",4,500,500)</f>
        <v/>
      </c>
      <c r="B1558" s="30">
        <v>1557.0</v>
      </c>
      <c r="C1558" s="16" t="s">
        <v>2124</v>
      </c>
      <c r="D1558" s="16" t="s">
        <v>184</v>
      </c>
      <c r="E1558" s="16" t="s">
        <v>234</v>
      </c>
      <c r="F1558" s="16" t="s">
        <v>222</v>
      </c>
      <c r="G1558" s="16" t="s">
        <v>223</v>
      </c>
      <c r="H1558" s="16" t="s">
        <v>472</v>
      </c>
    </row>
    <row r="1559" ht="20.25" customHeight="1">
      <c r="A1559" s="32" t="str">
        <f>IMAGE("https://gymvisual.com/7093-catalog_default/dumbbell-incline-hammer-press-on-exercise-ball.jpg",4,500,500)</f>
        <v/>
      </c>
      <c r="B1559" s="30">
        <v>1558.0</v>
      </c>
      <c r="C1559" s="16" t="s">
        <v>2125</v>
      </c>
      <c r="D1559" s="16" t="s">
        <v>184</v>
      </c>
      <c r="E1559" s="16" t="s">
        <v>219</v>
      </c>
      <c r="F1559" s="16" t="s">
        <v>222</v>
      </c>
      <c r="G1559" s="16" t="s">
        <v>220</v>
      </c>
      <c r="H1559" s="16" t="s">
        <v>220</v>
      </c>
    </row>
    <row r="1560" ht="20.25" customHeight="1">
      <c r="A1560" s="32" t="str">
        <f>IMAGE("https://gymvisual.com/22237-catalog_default/dumbbell-incline-head-supported-row.jpg",4,500,500)</f>
        <v/>
      </c>
      <c r="B1560" s="30">
        <v>1559.0</v>
      </c>
      <c r="C1560" s="16" t="s">
        <v>2126</v>
      </c>
      <c r="D1560" s="16" t="s">
        <v>184</v>
      </c>
      <c r="E1560" s="16" t="s">
        <v>192</v>
      </c>
      <c r="F1560" s="16" t="s">
        <v>222</v>
      </c>
      <c r="G1560" s="16" t="s">
        <v>220</v>
      </c>
      <c r="H1560" s="16" t="s">
        <v>220</v>
      </c>
    </row>
    <row r="1561" ht="20.25" customHeight="1">
      <c r="A1561" s="32" t="str">
        <f>IMAGE("https://gymvisual.com/986-catalog_default/3-4-sit-up.jpg",4,500,500)</f>
        <v/>
      </c>
      <c r="B1561" s="30">
        <v>1560.0</v>
      </c>
      <c r="C1561" s="16" t="s">
        <v>2127</v>
      </c>
      <c r="D1561" s="16" t="s">
        <v>184</v>
      </c>
      <c r="E1561" s="16" t="s">
        <v>219</v>
      </c>
      <c r="F1561" s="16" t="s">
        <v>222</v>
      </c>
      <c r="G1561" s="16" t="s">
        <v>241</v>
      </c>
      <c r="H1561" s="16" t="s">
        <v>292</v>
      </c>
    </row>
    <row r="1562" ht="20.25" customHeight="1">
      <c r="A1562" s="32" t="str">
        <f>IMAGE("https://gymvisual.com/11134-catalog_default/dumbbell-incline-inner-biceps-curl-female.jpg",4,500,500)</f>
        <v/>
      </c>
      <c r="B1562" s="30">
        <v>1561.0</v>
      </c>
      <c r="C1562" s="16" t="s">
        <v>2128</v>
      </c>
      <c r="D1562" s="16" t="s">
        <v>184</v>
      </c>
      <c r="E1562" s="16" t="s">
        <v>219</v>
      </c>
      <c r="F1562" s="16" t="s">
        <v>222</v>
      </c>
      <c r="G1562" s="16" t="s">
        <v>220</v>
      </c>
      <c r="H1562" s="16" t="s">
        <v>220</v>
      </c>
    </row>
    <row r="1563" ht="20.25" customHeight="1">
      <c r="A1563" s="32" t="str">
        <f>IMAGE("https://gymvisual.com/5968-catalog_default/dumbbell-incline-one-arm-fly.jpg",4,500,500)</f>
        <v/>
      </c>
      <c r="B1563" s="30">
        <v>1562.0</v>
      </c>
      <c r="C1563" s="16" t="s">
        <v>2129</v>
      </c>
      <c r="D1563" s="16" t="s">
        <v>184</v>
      </c>
      <c r="E1563" s="16" t="s">
        <v>234</v>
      </c>
      <c r="F1563" s="16" t="s">
        <v>222</v>
      </c>
      <c r="G1563" s="16" t="s">
        <v>415</v>
      </c>
      <c r="H1563" s="16" t="s">
        <v>236</v>
      </c>
    </row>
    <row r="1564" ht="20.25" customHeight="1">
      <c r="A1564" s="32" t="str">
        <f>IMAGE("https://gymvisual.com/5969-catalog_default/dumbbell-incline-one-arm-fly-on-exercise-ball.jpg",4,500,500)</f>
        <v/>
      </c>
      <c r="B1564" s="30">
        <v>1563.0</v>
      </c>
      <c r="C1564" s="16" t="s">
        <v>2130</v>
      </c>
      <c r="D1564" s="16" t="s">
        <v>184</v>
      </c>
      <c r="E1564" s="16" t="s">
        <v>234</v>
      </c>
      <c r="F1564" s="16" t="s">
        <v>222</v>
      </c>
      <c r="G1564" s="16" t="s">
        <v>415</v>
      </c>
      <c r="H1564" s="16" t="s">
        <v>236</v>
      </c>
    </row>
    <row r="1565" ht="20.25" customHeight="1">
      <c r="A1565" s="32" t="str">
        <f>IMAGE("https://gymvisual.com/17875-catalog_default/dumbbell-incline-one-arm-front-raise-with-chest-support.jpg",4,500,500)</f>
        <v/>
      </c>
      <c r="B1565" s="30">
        <v>1564.0</v>
      </c>
      <c r="C1565" s="16" t="s">
        <v>2131</v>
      </c>
      <c r="D1565" s="16" t="s">
        <v>184</v>
      </c>
      <c r="E1565" s="16" t="s">
        <v>228</v>
      </c>
      <c r="F1565" s="16" t="s">
        <v>222</v>
      </c>
      <c r="G1565" s="16" t="s">
        <v>220</v>
      </c>
      <c r="H1565" s="16" t="s">
        <v>220</v>
      </c>
    </row>
    <row r="1566" ht="20.25" customHeight="1">
      <c r="A1566" s="32" t="str">
        <f>IMAGE("https://gymvisual.com/7094-catalog_default/dumbbell-incline-one-arm-hammer-press.jpg",4,500,500)</f>
        <v/>
      </c>
      <c r="B1566" s="30">
        <v>1565.0</v>
      </c>
      <c r="C1566" s="16" t="s">
        <v>2132</v>
      </c>
      <c r="D1566" s="16" t="s">
        <v>184</v>
      </c>
      <c r="E1566" s="16" t="s">
        <v>219</v>
      </c>
      <c r="F1566" s="16" t="s">
        <v>222</v>
      </c>
      <c r="G1566" s="16" t="s">
        <v>220</v>
      </c>
      <c r="H1566" s="16" t="s">
        <v>220</v>
      </c>
    </row>
    <row r="1567" ht="20.25" customHeight="1">
      <c r="A1567" s="32" t="str">
        <f>IMAGE("https://gymvisual.com/7095-catalog_default/dumbbell-incline-one-arm-hammer-press-on-exercise-ball.jpg",4,500,500)</f>
        <v/>
      </c>
      <c r="B1567" s="30">
        <v>1566.0</v>
      </c>
      <c r="C1567" s="16" t="s">
        <v>2133</v>
      </c>
      <c r="D1567" s="16" t="s">
        <v>184</v>
      </c>
      <c r="E1567" s="16" t="s">
        <v>219</v>
      </c>
      <c r="F1567" s="16" t="s">
        <v>222</v>
      </c>
      <c r="G1567" s="16" t="s">
        <v>220</v>
      </c>
      <c r="H1567" s="16" t="s">
        <v>220</v>
      </c>
    </row>
    <row r="1568" ht="20.25" customHeight="1">
      <c r="A1568" s="32" t="str">
        <f>IMAGE("https://gymvisual.com/989-catalog_default/3-4-sit-up.jpg",4,500,500)</f>
        <v/>
      </c>
      <c r="B1568" s="30">
        <v>1567.0</v>
      </c>
      <c r="C1568" s="16" t="s">
        <v>2134</v>
      </c>
      <c r="D1568" s="16" t="s">
        <v>184</v>
      </c>
      <c r="E1568" s="16" t="s">
        <v>228</v>
      </c>
      <c r="F1568" s="16" t="s">
        <v>222</v>
      </c>
      <c r="G1568" s="16" t="s">
        <v>544</v>
      </c>
      <c r="H1568" s="16" t="s">
        <v>2135</v>
      </c>
    </row>
    <row r="1569" ht="20.25" customHeight="1">
      <c r="A1569" s="32" t="str">
        <f>IMAGE("https://gymvisual.com/12057-catalog_default/dumbbell-incline-one-arm-lateral-raise-female.jpg",4,500,500)</f>
        <v/>
      </c>
      <c r="B1569" s="30">
        <v>1568.0</v>
      </c>
      <c r="C1569" s="16" t="s">
        <v>2136</v>
      </c>
      <c r="D1569" s="16" t="s">
        <v>184</v>
      </c>
      <c r="E1569" s="16" t="s">
        <v>228</v>
      </c>
      <c r="F1569" s="16" t="s">
        <v>222</v>
      </c>
      <c r="G1569" s="16" t="s">
        <v>220</v>
      </c>
      <c r="H1569" s="16" t="s">
        <v>220</v>
      </c>
    </row>
    <row r="1570" ht="20.25" customHeight="1">
      <c r="A1570" s="32" t="str">
        <f>IMAGE("https://gymvisual.com/5970-catalog_default/dumbbell-incline-one-arm-press.jpg",4,500,500)</f>
        <v/>
      </c>
      <c r="B1570" s="30">
        <v>1569.0</v>
      </c>
      <c r="C1570" s="16" t="s">
        <v>2137</v>
      </c>
      <c r="D1570" s="16" t="s">
        <v>184</v>
      </c>
      <c r="E1570" s="16" t="s">
        <v>234</v>
      </c>
      <c r="F1570" s="16" t="s">
        <v>222</v>
      </c>
      <c r="G1570" s="16" t="s">
        <v>415</v>
      </c>
      <c r="H1570" s="16" t="s">
        <v>243</v>
      </c>
    </row>
    <row r="1571" ht="20.25" customHeight="1">
      <c r="A1571" s="32" t="str">
        <f>IMAGE("https://gymvisual.com/5971-catalog_default/dumbbell-incline-one-arm-press-on-exercise-ball.jpg",4,500,500)</f>
        <v/>
      </c>
      <c r="B1571" s="30">
        <v>1570.0</v>
      </c>
      <c r="C1571" s="16" t="s">
        <v>2138</v>
      </c>
      <c r="D1571" s="16" t="s">
        <v>184</v>
      </c>
      <c r="E1571" s="16" t="s">
        <v>234</v>
      </c>
      <c r="F1571" s="16" t="s">
        <v>222</v>
      </c>
      <c r="G1571" s="16" t="s">
        <v>415</v>
      </c>
      <c r="H1571" s="16" t="s">
        <v>243</v>
      </c>
    </row>
    <row r="1572" ht="20.25" customHeight="1">
      <c r="A1572" s="32" t="str">
        <f>IMAGE("https://gymvisual.com/11086-catalog_default/dumbbell-incline-palm-in-press-female.jpg",4,500,500)</f>
        <v/>
      </c>
      <c r="B1572" s="30">
        <v>1571.0</v>
      </c>
      <c r="C1572" s="16" t="s">
        <v>2139</v>
      </c>
      <c r="D1572" s="16" t="s">
        <v>184</v>
      </c>
      <c r="E1572" s="16" t="s">
        <v>234</v>
      </c>
      <c r="F1572" s="16" t="s">
        <v>222</v>
      </c>
      <c r="G1572" s="16" t="s">
        <v>220</v>
      </c>
      <c r="H1572" s="16" t="s">
        <v>220</v>
      </c>
    </row>
    <row r="1573" ht="20.25" customHeight="1">
      <c r="A1573" s="32" t="str">
        <f>IMAGE("https://gymvisual.com/992-catalog_default/3-4-sit-up.jpg",4,500,500)</f>
        <v/>
      </c>
      <c r="B1573" s="30">
        <v>1572.0</v>
      </c>
      <c r="C1573" s="16" t="s">
        <v>2140</v>
      </c>
      <c r="D1573" s="16" t="s">
        <v>184</v>
      </c>
      <c r="E1573" s="16" t="s">
        <v>234</v>
      </c>
      <c r="F1573" s="16" t="s">
        <v>222</v>
      </c>
      <c r="G1573" s="16" t="s">
        <v>235</v>
      </c>
      <c r="H1573" s="16" t="s">
        <v>243</v>
      </c>
    </row>
    <row r="1574" ht="20.25" customHeight="1">
      <c r="A1574" s="32" t="str">
        <f>IMAGE("https://gymvisual.com/5972-catalog_default/dumbbell-incline-press-on-exercise-ball.jpg",4,500,500)</f>
        <v/>
      </c>
      <c r="B1574" s="30">
        <v>1573.0</v>
      </c>
      <c r="C1574" s="16" t="s">
        <v>2141</v>
      </c>
      <c r="D1574" s="16" t="s">
        <v>184</v>
      </c>
      <c r="E1574" s="16" t="s">
        <v>234</v>
      </c>
      <c r="F1574" s="16" t="s">
        <v>222</v>
      </c>
      <c r="G1574" s="16" t="s">
        <v>415</v>
      </c>
      <c r="H1574" s="16" t="s">
        <v>243</v>
      </c>
    </row>
    <row r="1575" ht="20.25" customHeight="1">
      <c r="A1575" s="32" t="str">
        <f>IMAGE("https://gymvisual.com/11411-catalog_default/dumbbell-incline-press-on-exercise-ball-female.jpg",4,500,500)</f>
        <v/>
      </c>
      <c r="B1575" s="30">
        <v>1574.0</v>
      </c>
      <c r="C1575" s="16" t="s">
        <v>2142</v>
      </c>
      <c r="D1575" s="16" t="s">
        <v>184</v>
      </c>
      <c r="E1575" s="16" t="s">
        <v>234</v>
      </c>
      <c r="F1575" s="16" t="s">
        <v>1929</v>
      </c>
      <c r="G1575" s="16" t="s">
        <v>220</v>
      </c>
      <c r="H1575" s="16" t="s">
        <v>220</v>
      </c>
    </row>
    <row r="1576" ht="20.25" customHeight="1">
      <c r="A1576" s="32" t="str">
        <f>IMAGE("https://gymvisual.com/995-catalog_default/3-4-sit-up.jpg",4,500,500)</f>
        <v/>
      </c>
      <c r="B1576" s="30">
        <v>1575.0</v>
      </c>
      <c r="C1576" s="16" t="s">
        <v>2143</v>
      </c>
      <c r="D1576" s="16" t="s">
        <v>184</v>
      </c>
      <c r="E1576" s="16" t="s">
        <v>228</v>
      </c>
      <c r="F1576" s="16" t="s">
        <v>222</v>
      </c>
      <c r="G1576" s="16" t="s">
        <v>229</v>
      </c>
      <c r="H1576" s="16" t="s">
        <v>244</v>
      </c>
    </row>
    <row r="1577" ht="20.25" customHeight="1">
      <c r="A1577" s="32" t="str">
        <f>IMAGE("https://gymvisual.com/11119-catalog_default/dumbbell-incline-raise-female.jpg",4,500,500)</f>
        <v/>
      </c>
      <c r="B1577" s="30">
        <v>1576.0</v>
      </c>
      <c r="C1577" s="16" t="s">
        <v>2144</v>
      </c>
      <c r="D1577" s="16" t="s">
        <v>184</v>
      </c>
      <c r="E1577" s="16" t="s">
        <v>228</v>
      </c>
      <c r="F1577" s="16" t="s">
        <v>222</v>
      </c>
      <c r="G1577" s="16" t="s">
        <v>220</v>
      </c>
      <c r="H1577" s="16" t="s">
        <v>220</v>
      </c>
    </row>
    <row r="1578" ht="20.25" customHeight="1">
      <c r="A1578" s="32" t="str">
        <f>IMAGE("https://gymvisual.com/11071-catalog_default/dumbbell-incline-rear-fly-female.jpg",4,500,500)</f>
        <v/>
      </c>
      <c r="B1578" s="30">
        <v>1577.0</v>
      </c>
      <c r="C1578" s="16" t="s">
        <v>2145</v>
      </c>
      <c r="D1578" s="16" t="s">
        <v>184</v>
      </c>
      <c r="E1578" s="16" t="s">
        <v>228</v>
      </c>
      <c r="F1578" s="16" t="s">
        <v>222</v>
      </c>
      <c r="G1578" s="16" t="s">
        <v>408</v>
      </c>
      <c r="H1578" s="16" t="s">
        <v>452</v>
      </c>
    </row>
    <row r="1579" ht="20.25" customHeight="1">
      <c r="A1579" s="32" t="str">
        <f>IMAGE("https://gymvisual.com/998-catalog_default/3-4-sit-up.jpg",4,500,500)</f>
        <v/>
      </c>
      <c r="B1579" s="30">
        <v>1578.0</v>
      </c>
      <c r="C1579" s="16" t="s">
        <v>2146</v>
      </c>
      <c r="D1579" s="16" t="s">
        <v>184</v>
      </c>
      <c r="E1579" s="16" t="s">
        <v>228</v>
      </c>
      <c r="F1579" s="16" t="s">
        <v>222</v>
      </c>
      <c r="G1579" s="16" t="s">
        <v>1997</v>
      </c>
      <c r="H1579" s="16" t="s">
        <v>2147</v>
      </c>
    </row>
    <row r="1580" ht="20.25" customHeight="1">
      <c r="A1580" s="32" t="str">
        <f>IMAGE("https://gymvisual.com/4582-catalog_default/dumbbell-incline-reverse-grip-30-degrees-bench-press.jpg",4,500,500)</f>
        <v/>
      </c>
      <c r="B1580" s="30">
        <v>1579.0</v>
      </c>
      <c r="C1580" s="16" t="s">
        <v>2148</v>
      </c>
      <c r="D1580" s="16" t="s">
        <v>184</v>
      </c>
      <c r="E1580" s="16" t="s">
        <v>234</v>
      </c>
      <c r="F1580" s="16" t="s">
        <v>222</v>
      </c>
      <c r="G1580" s="16" t="s">
        <v>415</v>
      </c>
      <c r="H1580" s="16" t="s">
        <v>2149</v>
      </c>
    </row>
    <row r="1581" ht="20.25" customHeight="1">
      <c r="A1581" s="32" t="str">
        <f>IMAGE("https://gymvisual.com/1001-catalog_default/3-4-sit-up.jpg",4,500,500)</f>
        <v/>
      </c>
      <c r="B1581" s="30">
        <v>1580.0</v>
      </c>
      <c r="C1581" s="16" t="s">
        <v>2150</v>
      </c>
      <c r="D1581" s="16" t="s">
        <v>184</v>
      </c>
      <c r="E1581" s="16" t="s">
        <v>192</v>
      </c>
      <c r="F1581" s="16" t="s">
        <v>222</v>
      </c>
      <c r="G1581" s="16" t="s">
        <v>329</v>
      </c>
      <c r="H1581" s="16" t="s">
        <v>194</v>
      </c>
    </row>
    <row r="1582" ht="20.25" customHeight="1">
      <c r="A1582" s="32" t="str">
        <f>IMAGE("https://gymvisual.com/11101-catalog_default/dumbbell-incline-row-female.jpg",4,500,500)</f>
        <v/>
      </c>
      <c r="B1582" s="30">
        <v>1581.0</v>
      </c>
      <c r="C1582" s="16" t="s">
        <v>2151</v>
      </c>
      <c r="D1582" s="16" t="s">
        <v>184</v>
      </c>
      <c r="E1582" s="16" t="s">
        <v>192</v>
      </c>
      <c r="F1582" s="16" t="s">
        <v>186</v>
      </c>
      <c r="G1582" s="16" t="s">
        <v>570</v>
      </c>
      <c r="H1582" s="16" t="s">
        <v>447</v>
      </c>
    </row>
    <row r="1583" ht="20.25" customHeight="1">
      <c r="A1583" s="32" t="str">
        <f>IMAGE("https://gymvisual.com/1004-catalog_default/3-4-sit-up.jpg",4,500,500)</f>
        <v/>
      </c>
      <c r="B1583" s="30">
        <v>1582.0</v>
      </c>
      <c r="C1583" s="16" t="s">
        <v>2152</v>
      </c>
      <c r="D1583" s="16" t="s">
        <v>184</v>
      </c>
      <c r="E1583" s="16" t="s">
        <v>234</v>
      </c>
      <c r="F1583" s="16" t="s">
        <v>222</v>
      </c>
      <c r="G1583" s="16" t="s">
        <v>885</v>
      </c>
      <c r="H1583" s="16" t="s">
        <v>415</v>
      </c>
    </row>
    <row r="1584" ht="20.25" customHeight="1">
      <c r="A1584" s="32" t="str">
        <f>IMAGE("https://gymvisual.com/21034-catalog_default/dumbbell-incline-shoulders-press.jpg",4,500,500)</f>
        <v/>
      </c>
      <c r="B1584" s="30">
        <v>1583.0</v>
      </c>
      <c r="C1584" s="16" t="s">
        <v>2153</v>
      </c>
      <c r="D1584" s="16" t="s">
        <v>184</v>
      </c>
      <c r="E1584" s="16" t="s">
        <v>228</v>
      </c>
      <c r="F1584" s="16" t="s">
        <v>222</v>
      </c>
      <c r="G1584" s="16" t="s">
        <v>220</v>
      </c>
      <c r="H1584" s="16" t="s">
        <v>220</v>
      </c>
    </row>
    <row r="1585" ht="20.25" customHeight="1">
      <c r="A1585" s="32" t="str">
        <f>IMAGE("https://gymvisual.com/1007-catalog_default/3-4-sit-up.jpg",4,500,500)</f>
        <v/>
      </c>
      <c r="B1585" s="30">
        <v>1584.0</v>
      </c>
      <c r="C1585" s="16" t="s">
        <v>2154</v>
      </c>
      <c r="D1585" s="16" t="s">
        <v>184</v>
      </c>
      <c r="E1585" s="16" t="s">
        <v>192</v>
      </c>
      <c r="F1585" s="16" t="s">
        <v>222</v>
      </c>
      <c r="G1585" s="16" t="s">
        <v>238</v>
      </c>
      <c r="H1585" s="16" t="s">
        <v>239</v>
      </c>
    </row>
    <row r="1586" ht="20.25" customHeight="1">
      <c r="A1586" s="32" t="str">
        <f>IMAGE("https://gymvisual.com/17276-catalog_default/dumbbell-incline-shrug-female.jpg",4,500,500)</f>
        <v/>
      </c>
      <c r="B1586" s="30">
        <v>1585.0</v>
      </c>
      <c r="C1586" s="16" t="s">
        <v>2155</v>
      </c>
      <c r="D1586" s="16" t="s">
        <v>184</v>
      </c>
      <c r="E1586" s="16" t="s">
        <v>192</v>
      </c>
      <c r="F1586" s="16" t="s">
        <v>222</v>
      </c>
      <c r="G1586" s="16" t="s">
        <v>238</v>
      </c>
      <c r="H1586" s="16" t="s">
        <v>239</v>
      </c>
    </row>
    <row r="1587" ht="20.25" customHeight="1">
      <c r="A1587" s="32" t="str">
        <f>IMAGE("https://gymvisual.com/23881-catalog_default/dumbbell-incline-squeeze-press.jpg",4,500,500)</f>
        <v/>
      </c>
      <c r="B1587" s="30">
        <v>1586.0</v>
      </c>
      <c r="C1587" s="16" t="s">
        <v>2156</v>
      </c>
      <c r="D1587" s="16" t="s">
        <v>184</v>
      </c>
      <c r="E1587" s="16" t="s">
        <v>219</v>
      </c>
      <c r="F1587" s="16" t="s">
        <v>222</v>
      </c>
      <c r="G1587" s="16" t="s">
        <v>415</v>
      </c>
      <c r="H1587" s="16" t="s">
        <v>243</v>
      </c>
    </row>
    <row r="1588" ht="20.25" customHeight="1">
      <c r="A1588" s="32" t="str">
        <f>IMAGE("https://gymvisual.com/14096-catalog_default/dumbbell-incline-t-raise.jpg",4,500,500)</f>
        <v/>
      </c>
      <c r="B1588" s="30">
        <v>1587.0</v>
      </c>
      <c r="C1588" s="16" t="s">
        <v>2157</v>
      </c>
      <c r="D1588" s="16" t="s">
        <v>184</v>
      </c>
      <c r="E1588" s="16" t="s">
        <v>228</v>
      </c>
      <c r="F1588" s="16" t="s">
        <v>222</v>
      </c>
      <c r="G1588" s="16" t="s">
        <v>408</v>
      </c>
      <c r="H1588" s="16" t="s">
        <v>731</v>
      </c>
    </row>
    <row r="1589" ht="20.25" customHeight="1">
      <c r="A1589" s="32" t="str">
        <f>IMAGE("https://gymvisual.com/20622-catalog_default/3-4-sit-up.jpg",4,500,500)</f>
        <v/>
      </c>
      <c r="B1589" s="30">
        <v>1588.0</v>
      </c>
      <c r="C1589" s="16" t="s">
        <v>2158</v>
      </c>
      <c r="D1589" s="16" t="s">
        <v>184</v>
      </c>
      <c r="E1589" s="16" t="s">
        <v>219</v>
      </c>
      <c r="F1589" s="16" t="s">
        <v>222</v>
      </c>
      <c r="G1589" s="16" t="s">
        <v>223</v>
      </c>
      <c r="H1589" s="16" t="s">
        <v>220</v>
      </c>
    </row>
    <row r="1590" ht="20.25" customHeight="1">
      <c r="A1590" s="32" t="str">
        <f>IMAGE("https://gymvisual.com/11092-catalog_default/dumbbell-incline-triceps-extension-female.jpg",4,500,500)</f>
        <v/>
      </c>
      <c r="B1590" s="30">
        <v>1589.0</v>
      </c>
      <c r="C1590" s="16" t="s">
        <v>2159</v>
      </c>
      <c r="D1590" s="16" t="s">
        <v>184</v>
      </c>
      <c r="E1590" s="16" t="s">
        <v>219</v>
      </c>
      <c r="F1590" s="16" t="s">
        <v>222</v>
      </c>
      <c r="G1590" s="16" t="s">
        <v>223</v>
      </c>
      <c r="H1590" s="16" t="s">
        <v>220</v>
      </c>
    </row>
    <row r="1591" ht="20.25" customHeight="1">
      <c r="A1591" s="32" t="str">
        <f>IMAGE("https://gymvisual.com/1013-catalog_default/3-4-sit-up.jpg",4,500,500)</f>
        <v/>
      </c>
      <c r="B1591" s="30">
        <v>1590.0</v>
      </c>
      <c r="C1591" s="16" t="s">
        <v>2160</v>
      </c>
      <c r="D1591" s="16" t="s">
        <v>184</v>
      </c>
      <c r="E1591" s="16" t="s">
        <v>234</v>
      </c>
      <c r="F1591" s="16" t="s">
        <v>222</v>
      </c>
      <c r="G1591" s="16" t="s">
        <v>415</v>
      </c>
      <c r="H1591" s="16" t="s">
        <v>236</v>
      </c>
    </row>
    <row r="1592" ht="20.25" customHeight="1">
      <c r="A1592" s="32" t="str">
        <f>IMAGE("https://gymvisual.com/7452-catalog_default/dumbbell-incline-two-arm-extension.jpg",4,500,500)</f>
        <v/>
      </c>
      <c r="B1592" s="30">
        <v>1591.0</v>
      </c>
      <c r="C1592" s="16" t="s">
        <v>2161</v>
      </c>
      <c r="D1592" s="16" t="s">
        <v>184</v>
      </c>
      <c r="E1592" s="16" t="s">
        <v>219</v>
      </c>
      <c r="F1592" s="16" t="s">
        <v>222</v>
      </c>
      <c r="G1592" s="16" t="s">
        <v>223</v>
      </c>
      <c r="H1592" s="16" t="s">
        <v>220</v>
      </c>
    </row>
    <row r="1593" ht="20.25" customHeight="1">
      <c r="A1593" s="32" t="str">
        <f>IMAGE("https://gymvisual.com/13425-catalog_default/dumbbell-incline-two-arm-extension-female.jpg",4,500,500)</f>
        <v/>
      </c>
      <c r="B1593" s="30">
        <v>1592.0</v>
      </c>
      <c r="C1593" s="16" t="s">
        <v>2162</v>
      </c>
      <c r="D1593" s="16" t="s">
        <v>184</v>
      </c>
      <c r="E1593" s="16" t="s">
        <v>219</v>
      </c>
      <c r="F1593" s="16" t="s">
        <v>222</v>
      </c>
      <c r="G1593" s="16" t="s">
        <v>223</v>
      </c>
      <c r="H1593" s="16" t="s">
        <v>220</v>
      </c>
    </row>
    <row r="1594" ht="20.25" customHeight="1">
      <c r="A1594" s="32" t="str">
        <f>IMAGE("https://gymvisual.com/17636-catalog_default/dumbbell-incline-two-front-raise-with-chest-support.jpg",4,500,500)</f>
        <v/>
      </c>
      <c r="B1594" s="30">
        <v>1593.0</v>
      </c>
      <c r="C1594" s="16" t="s">
        <v>2163</v>
      </c>
      <c r="D1594" s="16" t="s">
        <v>184</v>
      </c>
      <c r="E1594" s="16" t="s">
        <v>228</v>
      </c>
      <c r="F1594" s="16" t="s">
        <v>222</v>
      </c>
      <c r="G1594" s="16" t="s">
        <v>229</v>
      </c>
      <c r="H1594" s="16" t="s">
        <v>244</v>
      </c>
    </row>
    <row r="1595" ht="20.25" customHeight="1">
      <c r="A1595" s="32" t="str">
        <f>IMAGE("https://gymvisual.com/14094-catalog_default/dumbbell-incline-y-raise.jpg",4,500,500)</f>
        <v/>
      </c>
      <c r="B1595" s="30">
        <v>1594.0</v>
      </c>
      <c r="C1595" s="16" t="s">
        <v>2164</v>
      </c>
      <c r="D1595" s="16" t="s">
        <v>184</v>
      </c>
      <c r="E1595" s="16" t="s">
        <v>228</v>
      </c>
      <c r="F1595" s="16" t="s">
        <v>222</v>
      </c>
      <c r="G1595" s="16" t="s">
        <v>2165</v>
      </c>
      <c r="H1595" s="16" t="s">
        <v>220</v>
      </c>
    </row>
    <row r="1596" ht="20.25" customHeight="1">
      <c r="A1596" s="32" t="str">
        <f>IMAGE("https://gymvisual.com/17829-catalog_default/dumbbell-ipsilateral-split-squat.jpg",4,500,500)</f>
        <v/>
      </c>
      <c r="B1596" s="30">
        <v>1595.0</v>
      </c>
      <c r="C1596" s="16" t="s">
        <v>2166</v>
      </c>
      <c r="D1596" s="16" t="s">
        <v>184</v>
      </c>
      <c r="E1596" s="16" t="s">
        <v>285</v>
      </c>
      <c r="F1596" s="16" t="s">
        <v>222</v>
      </c>
      <c r="G1596" s="16" t="s">
        <v>220</v>
      </c>
      <c r="H1596" s="16" t="s">
        <v>220</v>
      </c>
    </row>
    <row r="1597" ht="20.25" customHeight="1">
      <c r="A1597" s="32" t="str">
        <f>IMAGE("https://gymvisual.com/1016-catalog_default/3-4-sit-up.jpg",4,500,500)</f>
        <v/>
      </c>
      <c r="B1597" s="30">
        <v>1596.0</v>
      </c>
      <c r="C1597" s="16" t="s">
        <v>2167</v>
      </c>
      <c r="D1597" s="16" t="s">
        <v>184</v>
      </c>
      <c r="E1597" s="16" t="s">
        <v>228</v>
      </c>
      <c r="F1597" s="16" t="s">
        <v>222</v>
      </c>
      <c r="G1597" s="16" t="s">
        <v>2168</v>
      </c>
      <c r="H1597" s="16" t="s">
        <v>2169</v>
      </c>
    </row>
    <row r="1598" ht="20.25" customHeight="1">
      <c r="A1598" s="32" t="str">
        <f>IMAGE("https://gymvisual.com/14266-catalog_default/dumbbell-iron-cross-female.jpg",4,500,500)</f>
        <v/>
      </c>
      <c r="B1598" s="30">
        <v>1597.0</v>
      </c>
      <c r="C1598" s="16" t="s">
        <v>2170</v>
      </c>
      <c r="D1598" s="16" t="s">
        <v>184</v>
      </c>
      <c r="E1598" s="16" t="s">
        <v>691</v>
      </c>
      <c r="F1598" s="16" t="s">
        <v>222</v>
      </c>
      <c r="G1598" s="16" t="s">
        <v>2168</v>
      </c>
      <c r="H1598" s="16" t="s">
        <v>2169</v>
      </c>
    </row>
    <row r="1599" ht="20.25" customHeight="1">
      <c r="A1599" s="32" t="str">
        <f>IMAGE("https://gymvisual.com/24496-catalog_default/dumbbell-kas-glute-bridge-female.jpg",4,500,500)</f>
        <v/>
      </c>
      <c r="B1599" s="30">
        <v>1598.0</v>
      </c>
      <c r="C1599" s="16" t="s">
        <v>2171</v>
      </c>
      <c r="D1599" s="16" t="s">
        <v>184</v>
      </c>
      <c r="E1599" s="16" t="s">
        <v>185</v>
      </c>
      <c r="F1599" s="16" t="s">
        <v>222</v>
      </c>
      <c r="G1599" s="16" t="s">
        <v>220</v>
      </c>
      <c r="H1599" s="16" t="s">
        <v>220</v>
      </c>
    </row>
    <row r="1600" ht="20.25" customHeight="1">
      <c r="A1600" s="32" t="str">
        <f>IMAGE("https://gymvisual.com/1019-catalog_default/3-4-sit-up.jpg",4,500,500)</f>
        <v/>
      </c>
      <c r="B1600" s="30">
        <v>1599.0</v>
      </c>
      <c r="C1600" s="16" t="s">
        <v>221</v>
      </c>
      <c r="D1600" s="16" t="s">
        <v>184</v>
      </c>
      <c r="E1600" s="16" t="s">
        <v>219</v>
      </c>
      <c r="F1600" s="16" t="s">
        <v>222</v>
      </c>
      <c r="G1600" s="16" t="s">
        <v>223</v>
      </c>
      <c r="H1600" s="16" t="s">
        <v>220</v>
      </c>
    </row>
    <row r="1601" ht="20.25" customHeight="1">
      <c r="A1601" s="32" t="str">
        <f>IMAGE("https://gymvisual.com/10936-catalog_default/dumbbell-kickback-female.jpg",4,500,500)</f>
        <v/>
      </c>
      <c r="B1601" s="30">
        <v>1600.0</v>
      </c>
      <c r="C1601" s="16" t="s">
        <v>2172</v>
      </c>
      <c r="D1601" s="16" t="s">
        <v>184</v>
      </c>
      <c r="E1601" s="16" t="s">
        <v>219</v>
      </c>
      <c r="F1601" s="16" t="s">
        <v>222</v>
      </c>
      <c r="G1601" s="16" t="s">
        <v>223</v>
      </c>
      <c r="H1601" s="16" t="s">
        <v>220</v>
      </c>
    </row>
    <row r="1602" ht="20.25" customHeight="1">
      <c r="A1602" s="32" t="str">
        <f>IMAGE("https://gymvisual.com/7453-catalog_default/dumbbell-kickbacks-on-exercise-ball.jpg",4,500,500)</f>
        <v/>
      </c>
      <c r="B1602" s="30">
        <v>1601.0</v>
      </c>
      <c r="C1602" s="16" t="s">
        <v>2173</v>
      </c>
      <c r="D1602" s="16" t="s">
        <v>184</v>
      </c>
      <c r="E1602" s="16" t="s">
        <v>219</v>
      </c>
      <c r="F1602" s="16" t="s">
        <v>222</v>
      </c>
      <c r="G1602" s="16" t="s">
        <v>220</v>
      </c>
      <c r="H1602" s="16" t="s">
        <v>220</v>
      </c>
    </row>
    <row r="1603" ht="20.25" customHeight="1">
      <c r="A1603" s="32" t="str">
        <f>IMAGE("https://gymvisual.com/22239-catalog_default/dumbbell-kneeling-arnold-press.jpg",4,500,500)</f>
        <v/>
      </c>
      <c r="B1603" s="30">
        <v>1602.0</v>
      </c>
      <c r="C1603" s="16" t="s">
        <v>2174</v>
      </c>
      <c r="D1603" s="16" t="s">
        <v>184</v>
      </c>
      <c r="E1603" s="16" t="s">
        <v>228</v>
      </c>
      <c r="F1603" s="16" t="s">
        <v>222</v>
      </c>
      <c r="G1603" s="16" t="s">
        <v>220</v>
      </c>
      <c r="H1603" s="16" t="s">
        <v>220</v>
      </c>
    </row>
    <row r="1604" ht="20.25" customHeight="1">
      <c r="A1604" s="32" t="str">
        <f>IMAGE("https://gymvisual.com/7134-catalog_default/dumbbell-kneeling-bicep-curl-exercise-ball.jpg",4,500,500)</f>
        <v/>
      </c>
      <c r="B1604" s="30">
        <v>1603.0</v>
      </c>
      <c r="C1604" s="16" t="s">
        <v>2175</v>
      </c>
      <c r="D1604" s="16" t="s">
        <v>184</v>
      </c>
      <c r="E1604" s="16" t="s">
        <v>219</v>
      </c>
      <c r="F1604" s="16" t="s">
        <v>222</v>
      </c>
      <c r="G1604" s="16" t="s">
        <v>220</v>
      </c>
      <c r="H1604" s="16" t="s">
        <v>220</v>
      </c>
    </row>
    <row r="1605" ht="20.25" customHeight="1">
      <c r="A1605" s="32" t="str">
        <f>IMAGE("https://gymvisual.com/14767-catalog_default/dumbbell-kneeling-hold-to-stand.jpg",4,500,500)</f>
        <v/>
      </c>
      <c r="B1605" s="30">
        <v>1604.0</v>
      </c>
      <c r="C1605" s="16" t="s">
        <v>2176</v>
      </c>
      <c r="D1605" s="16" t="s">
        <v>184</v>
      </c>
      <c r="E1605" s="16" t="s">
        <v>691</v>
      </c>
      <c r="F1605" s="16" t="s">
        <v>222</v>
      </c>
      <c r="G1605" s="16" t="s">
        <v>793</v>
      </c>
      <c r="H1605" s="16" t="s">
        <v>2177</v>
      </c>
    </row>
    <row r="1606" ht="20.25" customHeight="1">
      <c r="A1606" s="32" t="str">
        <f>IMAGE("https://gymvisual.com/24097-catalog_default/dumbbell-kneeling-hold-to-stand-clean-grip.jpg",4,500,500)</f>
        <v/>
      </c>
      <c r="B1606" s="30">
        <v>1605.0</v>
      </c>
      <c r="C1606" s="16" t="s">
        <v>2178</v>
      </c>
      <c r="D1606" s="16" t="s">
        <v>184</v>
      </c>
      <c r="E1606" s="16" t="s">
        <v>285</v>
      </c>
      <c r="F1606" s="16" t="s">
        <v>222</v>
      </c>
      <c r="G1606" s="16" t="s">
        <v>220</v>
      </c>
      <c r="H1606" s="16" t="s">
        <v>220</v>
      </c>
    </row>
    <row r="1607" ht="20.25" customHeight="1">
      <c r="A1607" s="32" t="str">
        <f>IMAGE("https://gymvisual.com/22391-catalog_default/dumbbell-lateral-lunge.jpg",4,500,500)</f>
        <v/>
      </c>
      <c r="B1607" s="30">
        <v>1606.0</v>
      </c>
      <c r="C1607" s="16" t="s">
        <v>2179</v>
      </c>
      <c r="D1607" s="16" t="s">
        <v>184</v>
      </c>
      <c r="E1607" s="16" t="s">
        <v>285</v>
      </c>
      <c r="F1607" s="16" t="s">
        <v>222</v>
      </c>
      <c r="G1607" s="16" t="s">
        <v>220</v>
      </c>
      <c r="H1607" s="16" t="s">
        <v>220</v>
      </c>
    </row>
    <row r="1608" ht="20.25" customHeight="1">
      <c r="A1608" s="32" t="str">
        <f>IMAGE("https://gymvisual.com/6800-catalog_default/dumbbell-lateral-lunge-with-bicep-curl.jpg",4,500,500)</f>
        <v/>
      </c>
      <c r="B1608" s="30">
        <v>1607.0</v>
      </c>
      <c r="C1608" s="16" t="s">
        <v>2180</v>
      </c>
      <c r="D1608" s="16" t="s">
        <v>184</v>
      </c>
      <c r="E1608" s="16" t="s">
        <v>285</v>
      </c>
      <c r="F1608" s="16" t="s">
        <v>222</v>
      </c>
      <c r="G1608" s="16" t="s">
        <v>220</v>
      </c>
      <c r="H1608" s="16" t="s">
        <v>220</v>
      </c>
    </row>
    <row r="1609" ht="20.25" customHeight="1">
      <c r="A1609" s="32" t="str">
        <f>IMAGE("https://gymvisual.com/15650-catalog_default/3-4-sit-up.jpg",4,500,500)</f>
        <v/>
      </c>
      <c r="B1609" s="30">
        <v>1608.0</v>
      </c>
      <c r="C1609" s="16" t="s">
        <v>2181</v>
      </c>
      <c r="D1609" s="16" t="s">
        <v>184</v>
      </c>
      <c r="E1609" s="16" t="s">
        <v>228</v>
      </c>
      <c r="F1609" s="16" t="s">
        <v>222</v>
      </c>
      <c r="G1609" s="16" t="s">
        <v>544</v>
      </c>
      <c r="H1609" s="16" t="s">
        <v>545</v>
      </c>
    </row>
    <row r="1610" ht="20.25" customHeight="1">
      <c r="A1610" s="32" t="str">
        <f>IMAGE("https://gymvisual.com/10579-catalog_default/dumbbell-lateral-step-up-female.jpg",4,500,500)</f>
        <v/>
      </c>
      <c r="B1610" s="30">
        <v>1609.0</v>
      </c>
      <c r="C1610" s="16" t="s">
        <v>2182</v>
      </c>
      <c r="D1610" s="16" t="s">
        <v>184</v>
      </c>
      <c r="E1610" s="16" t="s">
        <v>294</v>
      </c>
      <c r="F1610" s="16" t="s">
        <v>222</v>
      </c>
      <c r="G1610" s="16" t="s">
        <v>189</v>
      </c>
      <c r="H1610" s="16" t="s">
        <v>2046</v>
      </c>
    </row>
    <row r="1611" ht="20.25" customHeight="1">
      <c r="A1611" s="32" t="str">
        <f>IMAGE("https://gymvisual.com/1025-catalog_default/3-4-sit-up.jpg",4,500,500)</f>
        <v/>
      </c>
      <c r="B1611" s="30">
        <v>1610.0</v>
      </c>
      <c r="C1611" s="16" t="s">
        <v>2183</v>
      </c>
      <c r="D1611" s="16" t="s">
        <v>184</v>
      </c>
      <c r="E1611" s="16" t="s">
        <v>228</v>
      </c>
      <c r="F1611" s="16" t="s">
        <v>222</v>
      </c>
      <c r="G1611" s="16" t="s">
        <v>454</v>
      </c>
      <c r="H1611" s="16" t="s">
        <v>389</v>
      </c>
    </row>
    <row r="1612" ht="20.25" customHeight="1">
      <c r="A1612" s="32" t="str">
        <f>IMAGE("https://gymvisual.com/17173-catalog_default/dumbbell-low-fly.jpg",4,500,500)</f>
        <v/>
      </c>
      <c r="B1612" s="30">
        <v>1611.0</v>
      </c>
      <c r="C1612" s="16" t="s">
        <v>2184</v>
      </c>
      <c r="D1612" s="16" t="s">
        <v>184</v>
      </c>
      <c r="E1612" s="16" t="s">
        <v>234</v>
      </c>
      <c r="F1612" s="16" t="s">
        <v>222</v>
      </c>
      <c r="G1612" s="16" t="s">
        <v>415</v>
      </c>
      <c r="H1612" s="16" t="s">
        <v>236</v>
      </c>
    </row>
    <row r="1613" ht="20.25" customHeight="1">
      <c r="A1613" s="32" t="str">
        <f>IMAGE("https://gymvisual.com/22241-catalog_default/dumbbell-low-windmill.jpg",4,500,500)</f>
        <v/>
      </c>
      <c r="B1613" s="30">
        <v>1612.0</v>
      </c>
      <c r="C1613" s="16" t="s">
        <v>2185</v>
      </c>
      <c r="D1613" s="16" t="s">
        <v>184</v>
      </c>
      <c r="E1613" s="16" t="s">
        <v>254</v>
      </c>
      <c r="F1613" s="16" t="s">
        <v>222</v>
      </c>
      <c r="G1613" s="16" t="s">
        <v>220</v>
      </c>
      <c r="H1613" s="16" t="s">
        <v>220</v>
      </c>
    </row>
    <row r="1614" ht="20.25" customHeight="1">
      <c r="A1614" s="32" t="str">
        <f>IMAGE("https://gymvisual.com/20624-catalog_default/3-4-sit-up.jpg",4,500,500)</f>
        <v/>
      </c>
      <c r="B1614" s="30">
        <v>1613.0</v>
      </c>
      <c r="C1614" s="16" t="s">
        <v>95</v>
      </c>
      <c r="D1614" s="16" t="s">
        <v>184</v>
      </c>
      <c r="E1614" s="16" t="s">
        <v>185</v>
      </c>
      <c r="F1614" s="16" t="s">
        <v>222</v>
      </c>
      <c r="G1614" s="16" t="s">
        <v>189</v>
      </c>
      <c r="H1614" s="16" t="s">
        <v>190</v>
      </c>
    </row>
    <row r="1615" ht="20.25" customHeight="1">
      <c r="A1615" s="32" t="str">
        <f>IMAGE("https://gymvisual.com/9568-catalog_default/dumbbell-lunge-female.jpg",4,500,500)</f>
        <v/>
      </c>
      <c r="B1615" s="30">
        <v>1614.0</v>
      </c>
      <c r="C1615" s="16" t="s">
        <v>2186</v>
      </c>
      <c r="D1615" s="16" t="s">
        <v>184</v>
      </c>
      <c r="E1615" s="16" t="s">
        <v>294</v>
      </c>
      <c r="F1615" s="16" t="s">
        <v>222</v>
      </c>
      <c r="G1615" s="16" t="s">
        <v>189</v>
      </c>
      <c r="H1615" s="16" t="s">
        <v>190</v>
      </c>
    </row>
    <row r="1616" ht="20.25" customHeight="1">
      <c r="A1616" s="32" t="str">
        <f>IMAGE("https://gymvisual.com/13632-catalog_default/dumbbell-lunge-version-2.jpg",4,500,500)</f>
        <v/>
      </c>
      <c r="B1616" s="30">
        <v>1615.0</v>
      </c>
      <c r="C1616" s="16" t="s">
        <v>2187</v>
      </c>
      <c r="D1616" s="16" t="s">
        <v>184</v>
      </c>
      <c r="E1616" s="16" t="s">
        <v>285</v>
      </c>
      <c r="F1616" s="16" t="s">
        <v>222</v>
      </c>
      <c r="G1616" s="16" t="s">
        <v>189</v>
      </c>
      <c r="H1616" s="16" t="s">
        <v>190</v>
      </c>
    </row>
    <row r="1617" ht="20.25" customHeight="1">
      <c r="A1617" s="32" t="str">
        <f>IMAGE("https://gymvisual.com/7132-catalog_default/dumbbell-lunge-with-bicep-curl.jpg",4,500,500)</f>
        <v/>
      </c>
      <c r="B1617" s="30">
        <v>1616.0</v>
      </c>
      <c r="C1617" s="16" t="s">
        <v>2188</v>
      </c>
      <c r="D1617" s="16" t="s">
        <v>184</v>
      </c>
      <c r="E1617" s="16" t="s">
        <v>219</v>
      </c>
      <c r="F1617" s="16" t="s">
        <v>222</v>
      </c>
      <c r="G1617" s="16" t="s">
        <v>220</v>
      </c>
      <c r="H1617" s="16" t="s">
        <v>220</v>
      </c>
    </row>
    <row r="1618" ht="20.25" customHeight="1">
      <c r="A1618" s="32" t="str">
        <f>IMAGE("https://gymvisual.com/20674-catalog_default/dumbbell-lunge-with-bicep-curl-female.jpg",4,500,500)</f>
        <v/>
      </c>
      <c r="B1618" s="30">
        <v>1617.0</v>
      </c>
      <c r="C1618" s="16" t="s">
        <v>2189</v>
      </c>
      <c r="D1618" s="16" t="s">
        <v>184</v>
      </c>
      <c r="E1618" s="16" t="s">
        <v>294</v>
      </c>
      <c r="F1618" s="16" t="s">
        <v>222</v>
      </c>
      <c r="G1618" s="16" t="s">
        <v>220</v>
      </c>
      <c r="H1618" s="16" t="s">
        <v>220</v>
      </c>
    </row>
    <row r="1619" ht="20.25" customHeight="1">
      <c r="A1619" s="32" t="str">
        <f>IMAGE("https://gymvisual.com/1030-catalog_default/3-4-sit-up.jpg",4,500,500)</f>
        <v/>
      </c>
      <c r="B1619" s="30">
        <v>1618.0</v>
      </c>
      <c r="C1619" s="16" t="s">
        <v>2190</v>
      </c>
      <c r="D1619" s="16" t="s">
        <v>184</v>
      </c>
      <c r="E1619" s="16" t="s">
        <v>219</v>
      </c>
      <c r="F1619" s="16" t="s">
        <v>222</v>
      </c>
      <c r="G1619" s="16" t="s">
        <v>223</v>
      </c>
      <c r="H1619" s="16" t="s">
        <v>220</v>
      </c>
    </row>
    <row r="1620" ht="20.25" customHeight="1">
      <c r="A1620" s="32" t="str">
        <f>IMAGE("https://gymvisual.com/7448-catalog_default/dumbbell-lying-alternate-extension.jpg",4,500,500)</f>
        <v/>
      </c>
      <c r="B1620" s="30">
        <v>1619.0</v>
      </c>
      <c r="C1620" s="16" t="s">
        <v>2191</v>
      </c>
      <c r="D1620" s="16" t="s">
        <v>184</v>
      </c>
      <c r="E1620" s="16" t="s">
        <v>219</v>
      </c>
      <c r="F1620" s="16" t="s">
        <v>222</v>
      </c>
      <c r="G1620" s="16" t="s">
        <v>223</v>
      </c>
      <c r="H1620" s="16" t="s">
        <v>220</v>
      </c>
    </row>
    <row r="1621" ht="20.25" customHeight="1">
      <c r="A1621" s="32" t="str">
        <f>IMAGE("https://gymvisual.com/17280-catalog_default/dumbbell-lying-alternate-extension-female.jpg",4,500,500)</f>
        <v/>
      </c>
      <c r="B1621" s="30">
        <v>1620.0</v>
      </c>
      <c r="C1621" s="16" t="s">
        <v>2192</v>
      </c>
      <c r="D1621" s="16" t="s">
        <v>184</v>
      </c>
      <c r="E1621" s="16" t="s">
        <v>219</v>
      </c>
      <c r="F1621" s="16" t="s">
        <v>222</v>
      </c>
      <c r="G1621" s="16" t="s">
        <v>223</v>
      </c>
      <c r="H1621" s="16" t="s">
        <v>220</v>
      </c>
    </row>
    <row r="1622" ht="20.25" customHeight="1">
      <c r="A1622" s="32" t="str">
        <f>IMAGE("https://gymvisual.com/18963-catalog_default/dumbbell-lying-close-grip-parallel-row-on-rack.jpg",4,500,500)</f>
        <v/>
      </c>
      <c r="B1622" s="30">
        <v>1621.0</v>
      </c>
      <c r="C1622" s="16" t="s">
        <v>2193</v>
      </c>
      <c r="D1622" s="16" t="s">
        <v>184</v>
      </c>
      <c r="E1622" s="16" t="s">
        <v>192</v>
      </c>
      <c r="F1622" s="16" t="s">
        <v>222</v>
      </c>
      <c r="G1622" s="16" t="s">
        <v>329</v>
      </c>
      <c r="H1622" s="16" t="s">
        <v>357</v>
      </c>
    </row>
    <row r="1623" ht="20.25" customHeight="1">
      <c r="A1623" s="32" t="str">
        <f>IMAGE("https://gymvisual.com/1033-catalog_default/3-4-sit-up.jpg",4,500,500)</f>
        <v/>
      </c>
      <c r="B1623" s="30">
        <v>1622.0</v>
      </c>
      <c r="C1623" s="16" t="s">
        <v>2194</v>
      </c>
      <c r="D1623" s="16" t="s">
        <v>184</v>
      </c>
      <c r="E1623" s="16" t="s">
        <v>219</v>
      </c>
      <c r="F1623" s="16" t="s">
        <v>222</v>
      </c>
      <c r="G1623" s="16" t="s">
        <v>223</v>
      </c>
      <c r="H1623" s="16" t="s">
        <v>472</v>
      </c>
    </row>
    <row r="1624" ht="20.25" customHeight="1">
      <c r="A1624" s="32" t="str">
        <f>IMAGE("https://gymvisual.com/11312-catalog_default/dumbbell-lying-extension-across-face-female.jpg",4,500,500)</f>
        <v/>
      </c>
      <c r="B1624" s="30">
        <v>1623.0</v>
      </c>
      <c r="C1624" s="16" t="s">
        <v>2195</v>
      </c>
      <c r="D1624" s="16" t="s">
        <v>184</v>
      </c>
      <c r="E1624" s="16" t="s">
        <v>219</v>
      </c>
      <c r="F1624" s="16" t="s">
        <v>222</v>
      </c>
      <c r="G1624" s="16" t="s">
        <v>220</v>
      </c>
      <c r="H1624" s="16" t="s">
        <v>220</v>
      </c>
    </row>
    <row r="1625" ht="20.25" customHeight="1">
      <c r="A1625" s="32" t="str">
        <f>IMAGE("https://gymvisual.com/2628-catalog_default/dumbbell-lying-external-shoulder-rotation.jpg",4,500,500)</f>
        <v/>
      </c>
      <c r="B1625" s="30">
        <v>1624.0</v>
      </c>
      <c r="C1625" s="16" t="s">
        <v>2196</v>
      </c>
      <c r="D1625" s="16" t="s">
        <v>184</v>
      </c>
      <c r="E1625" s="16" t="s">
        <v>192</v>
      </c>
      <c r="F1625" s="16" t="s">
        <v>222</v>
      </c>
      <c r="G1625" s="16" t="s">
        <v>2197</v>
      </c>
      <c r="H1625" s="16" t="s">
        <v>220</v>
      </c>
    </row>
    <row r="1626" ht="20.25" customHeight="1">
      <c r="A1626" s="32" t="str">
        <f>IMAGE("https://gymvisual.com/13427-catalog_default/dumbbell-lying-external-shoulder-rotation-female.jpg",4,500,500)</f>
        <v/>
      </c>
      <c r="B1626" s="30">
        <v>1625.0</v>
      </c>
      <c r="C1626" s="16" t="s">
        <v>2198</v>
      </c>
      <c r="D1626" s="16" t="s">
        <v>184</v>
      </c>
      <c r="E1626" s="16" t="s">
        <v>192</v>
      </c>
      <c r="F1626" s="16" t="s">
        <v>222</v>
      </c>
      <c r="G1626" s="16" t="s">
        <v>220</v>
      </c>
      <c r="H1626" s="16" t="s">
        <v>220</v>
      </c>
    </row>
    <row r="1627" ht="20.25" customHeight="1">
      <c r="A1627" s="32" t="str">
        <f>IMAGE("https://gymvisual.com/1036-catalog_default/3-4-sit-up.jpg",4,500,500)</f>
        <v/>
      </c>
      <c r="B1627" s="30">
        <v>1626.0</v>
      </c>
      <c r="C1627" s="16" t="s">
        <v>2199</v>
      </c>
      <c r="D1627" s="16" t="s">
        <v>184</v>
      </c>
      <c r="E1627" s="16" t="s">
        <v>285</v>
      </c>
      <c r="F1627" s="16" t="s">
        <v>222</v>
      </c>
      <c r="G1627" s="16" t="s">
        <v>188</v>
      </c>
      <c r="H1627" s="16" t="s">
        <v>561</v>
      </c>
    </row>
    <row r="1628" ht="20.25" customHeight="1">
      <c r="A1628" s="32" t="str">
        <f>IMAGE("https://gymvisual.com/11504-catalog_default/dumbbell-lying-femoral-female.jpg",4,500,500)</f>
        <v/>
      </c>
      <c r="B1628" s="30">
        <v>1627.0</v>
      </c>
      <c r="C1628" s="16" t="s">
        <v>2200</v>
      </c>
      <c r="D1628" s="16" t="s">
        <v>184</v>
      </c>
      <c r="E1628" s="16" t="s">
        <v>285</v>
      </c>
      <c r="F1628" s="16" t="s">
        <v>222</v>
      </c>
      <c r="G1628" s="16" t="s">
        <v>188</v>
      </c>
      <c r="H1628" s="16" t="s">
        <v>561</v>
      </c>
    </row>
    <row r="1629" ht="20.25" customHeight="1">
      <c r="A1629" s="32" t="str">
        <f>IMAGE("https://gymvisual.com/18714-catalog_default/dumbbell-lying-floor-skull-crusher.jpg",4,500,500)</f>
        <v/>
      </c>
      <c r="B1629" s="30">
        <v>1628.0</v>
      </c>
      <c r="C1629" s="16" t="s">
        <v>2201</v>
      </c>
      <c r="D1629" s="16" t="s">
        <v>184</v>
      </c>
      <c r="E1629" s="16" t="s">
        <v>219</v>
      </c>
      <c r="F1629" s="16" t="s">
        <v>222</v>
      </c>
      <c r="G1629" s="16" t="s">
        <v>223</v>
      </c>
      <c r="H1629" s="16" t="s">
        <v>220</v>
      </c>
    </row>
    <row r="1630" ht="20.25" customHeight="1">
      <c r="A1630" s="32" t="str">
        <f>IMAGE("https://gymvisual.com/1039-catalog_default/3-4-sit-up.jpg",4,500,500)</f>
        <v/>
      </c>
      <c r="B1630" s="30">
        <v>1629.0</v>
      </c>
      <c r="C1630" s="16" t="s">
        <v>2202</v>
      </c>
      <c r="D1630" s="16" t="s">
        <v>184</v>
      </c>
      <c r="E1630" s="16" t="s">
        <v>234</v>
      </c>
      <c r="F1630" s="16" t="s">
        <v>222</v>
      </c>
      <c r="G1630" s="16" t="s">
        <v>235</v>
      </c>
      <c r="H1630" s="16" t="s">
        <v>243</v>
      </c>
    </row>
    <row r="1631" ht="20.25" customHeight="1">
      <c r="A1631" s="32" t="str">
        <f>IMAGE("https://gymvisual.com/11029-catalog_default/dumbbell-lying-hammer-press-female.jpg",4,500,500)</f>
        <v/>
      </c>
      <c r="B1631" s="30">
        <v>1630.0</v>
      </c>
      <c r="C1631" s="16" t="s">
        <v>2203</v>
      </c>
      <c r="D1631" s="16" t="s">
        <v>184</v>
      </c>
      <c r="E1631" s="16" t="s">
        <v>234</v>
      </c>
      <c r="F1631" s="16" t="s">
        <v>222</v>
      </c>
      <c r="G1631" s="16" t="s">
        <v>223</v>
      </c>
      <c r="H1631" s="16" t="s">
        <v>472</v>
      </c>
    </row>
    <row r="1632" ht="20.25" customHeight="1">
      <c r="A1632" s="32" t="str">
        <f>IMAGE("https://gymvisual.com/4431-catalog_default/dumbbell-lying-hammer-press-version-2.jpg",4,500,500)</f>
        <v/>
      </c>
      <c r="B1632" s="30">
        <v>1631.0</v>
      </c>
      <c r="C1632" s="16" t="s">
        <v>2204</v>
      </c>
      <c r="D1632" s="16" t="s">
        <v>184</v>
      </c>
      <c r="E1632" s="16" t="s">
        <v>234</v>
      </c>
      <c r="F1632" s="16" t="s">
        <v>222</v>
      </c>
      <c r="G1632" s="16" t="s">
        <v>347</v>
      </c>
      <c r="H1632" s="16" t="s">
        <v>1884</v>
      </c>
    </row>
    <row r="1633" ht="20.25" customHeight="1">
      <c r="A1633" s="32" t="str">
        <f>IMAGE("https://gymvisual.com/22149-catalog_default/dumbbell-lying-hamstring-curl.jpg",4,500,500)</f>
        <v/>
      </c>
      <c r="B1633" s="30">
        <v>1632.0</v>
      </c>
      <c r="C1633" s="16" t="s">
        <v>2205</v>
      </c>
      <c r="D1633" s="16" t="s">
        <v>184</v>
      </c>
      <c r="E1633" s="16" t="s">
        <v>285</v>
      </c>
      <c r="F1633" s="16" t="s">
        <v>222</v>
      </c>
      <c r="G1633" s="16" t="s">
        <v>188</v>
      </c>
      <c r="H1633" s="16" t="s">
        <v>368</v>
      </c>
    </row>
    <row r="1634" ht="20.25" customHeight="1">
      <c r="A1634" s="32" t="str">
        <f>IMAGE("https://gymvisual.com/14580-catalog_default/dumbbell-lying-on-floor-chest-press.jpg",4,500,500)</f>
        <v/>
      </c>
      <c r="B1634" s="30">
        <v>1633.0</v>
      </c>
      <c r="C1634" s="16" t="s">
        <v>2206</v>
      </c>
      <c r="D1634" s="16" t="s">
        <v>184</v>
      </c>
      <c r="E1634" s="16" t="s">
        <v>234</v>
      </c>
      <c r="F1634" s="16" t="s">
        <v>222</v>
      </c>
      <c r="G1634" s="16" t="s">
        <v>235</v>
      </c>
      <c r="H1634" s="16" t="s">
        <v>243</v>
      </c>
    </row>
    <row r="1635" ht="20.25" customHeight="1">
      <c r="A1635" s="32" t="str">
        <f>IMAGE("https://gymvisual.com/13207-catalog_default/dumbbell-lying-on-floor-hammer-press.jpg",4,500,500)</f>
        <v/>
      </c>
      <c r="B1635" s="30">
        <v>1634.0</v>
      </c>
      <c r="C1635" s="16" t="s">
        <v>2207</v>
      </c>
      <c r="D1635" s="16" t="s">
        <v>184</v>
      </c>
      <c r="E1635" s="16" t="s">
        <v>234</v>
      </c>
      <c r="F1635" s="16" t="s">
        <v>222</v>
      </c>
      <c r="G1635" s="16" t="s">
        <v>235</v>
      </c>
      <c r="H1635" s="16" t="s">
        <v>243</v>
      </c>
    </row>
    <row r="1636" ht="20.25" customHeight="1">
      <c r="A1636" s="32" t="str">
        <f>IMAGE("https://gymvisual.com/13886-catalog_default/dumbbell-lying-on-floor-hammer-press-female.jpg",4,500,500)</f>
        <v/>
      </c>
      <c r="B1636" s="30">
        <v>1635.0</v>
      </c>
      <c r="C1636" s="16" t="s">
        <v>2208</v>
      </c>
      <c r="D1636" s="16" t="s">
        <v>184</v>
      </c>
      <c r="E1636" s="16" t="s">
        <v>234</v>
      </c>
      <c r="F1636" s="16" t="s">
        <v>222</v>
      </c>
      <c r="G1636" s="16" t="s">
        <v>220</v>
      </c>
      <c r="H1636" s="16" t="s">
        <v>220</v>
      </c>
    </row>
    <row r="1637" ht="20.25" customHeight="1">
      <c r="A1637" s="32" t="str">
        <f>IMAGE("https://gymvisual.com/10614-catalog_default/dumbbell-lying-on-floor-rear-delt-raise.jpg",4,500,500)</f>
        <v/>
      </c>
      <c r="B1637" s="30">
        <v>1636.0</v>
      </c>
      <c r="C1637" s="16" t="s">
        <v>2209</v>
      </c>
      <c r="D1637" s="16" t="s">
        <v>184</v>
      </c>
      <c r="E1637" s="16" t="s">
        <v>228</v>
      </c>
      <c r="F1637" s="16" t="s">
        <v>222</v>
      </c>
      <c r="G1637" s="16" t="s">
        <v>408</v>
      </c>
      <c r="H1637" s="16" t="s">
        <v>452</v>
      </c>
    </row>
    <row r="1638" ht="20.25" customHeight="1">
      <c r="A1638" s="32" t="str">
        <f>IMAGE("https://gymvisual.com/1042-catalog_default/3-4-sit-up.jpg",4,500,500)</f>
        <v/>
      </c>
      <c r="B1638" s="30">
        <v>1637.0</v>
      </c>
      <c r="C1638" s="16" t="s">
        <v>2210</v>
      </c>
      <c r="D1638" s="16" t="s">
        <v>184</v>
      </c>
      <c r="E1638" s="16" t="s">
        <v>228</v>
      </c>
      <c r="F1638" s="16" t="s">
        <v>222</v>
      </c>
      <c r="G1638" s="16" t="s">
        <v>408</v>
      </c>
      <c r="H1638" s="16" t="s">
        <v>731</v>
      </c>
    </row>
    <row r="1639" ht="20.25" customHeight="1">
      <c r="A1639" s="32" t="str">
        <f>IMAGE("https://gymvisual.com/1048-catalog_default/3-4-sit-up.jpg",4,500,500)</f>
        <v/>
      </c>
      <c r="B1639" s="30">
        <v>1638.0</v>
      </c>
      <c r="C1639" s="16" t="s">
        <v>2211</v>
      </c>
      <c r="D1639" s="16" t="s">
        <v>184</v>
      </c>
      <c r="E1639" s="16" t="s">
        <v>234</v>
      </c>
      <c r="F1639" s="16" t="s">
        <v>222</v>
      </c>
      <c r="G1639" s="16" t="s">
        <v>235</v>
      </c>
      <c r="H1639" s="16" t="s">
        <v>243</v>
      </c>
    </row>
    <row r="1640" ht="20.25" customHeight="1">
      <c r="A1640" s="32" t="str">
        <f>IMAGE("https://gymvisual.com/11537-catalog_default/dumbbell-lying-one-arm-press-female.jpg",4,500,500)</f>
        <v/>
      </c>
      <c r="B1640" s="30">
        <v>1639.0</v>
      </c>
      <c r="C1640" s="16" t="s">
        <v>2212</v>
      </c>
      <c r="D1640" s="16" t="s">
        <v>184</v>
      </c>
      <c r="E1640" s="16" t="s">
        <v>234</v>
      </c>
      <c r="F1640" s="16" t="s">
        <v>222</v>
      </c>
      <c r="G1640" s="16" t="s">
        <v>220</v>
      </c>
      <c r="H1640" s="16" t="s">
        <v>220</v>
      </c>
    </row>
    <row r="1641" ht="20.25" customHeight="1">
      <c r="A1641" s="32" t="str">
        <f>IMAGE("https://gymvisual.com/1045-catalog_default/3-4-sit-up.jpg",4,500,500)</f>
        <v/>
      </c>
      <c r="B1641" s="30">
        <v>1640.0</v>
      </c>
      <c r="C1641" s="16" t="s">
        <v>2213</v>
      </c>
      <c r="D1641" s="16" t="s">
        <v>184</v>
      </c>
      <c r="E1641" s="16" t="s">
        <v>234</v>
      </c>
      <c r="F1641" s="16" t="s">
        <v>222</v>
      </c>
      <c r="G1641" s="16" t="s">
        <v>235</v>
      </c>
      <c r="H1641" s="16" t="s">
        <v>243</v>
      </c>
    </row>
    <row r="1642" ht="20.25" customHeight="1">
      <c r="A1642" s="32" t="str">
        <f>IMAGE("https://gymvisual.com/1051-catalog_default/3-4-sit-up.jpg",4,500,500)</f>
        <v/>
      </c>
      <c r="B1642" s="30">
        <v>1641.0</v>
      </c>
      <c r="C1642" s="16" t="s">
        <v>2214</v>
      </c>
      <c r="D1642" s="16" t="s">
        <v>184</v>
      </c>
      <c r="E1642" s="16" t="s">
        <v>219</v>
      </c>
      <c r="F1642" s="16" t="s">
        <v>222</v>
      </c>
      <c r="G1642" s="16" t="s">
        <v>223</v>
      </c>
      <c r="H1642" s="16" t="s">
        <v>220</v>
      </c>
    </row>
    <row r="1643" ht="20.25" customHeight="1">
      <c r="A1643" s="32" t="str">
        <f>IMAGE("https://gymvisual.com/11315-catalog_default/dumbbell-lying-one-arm-pronated-triceps-extension-female.jpg",4,500,500)</f>
        <v/>
      </c>
      <c r="B1643" s="30">
        <v>1642.0</v>
      </c>
      <c r="C1643" s="16" t="s">
        <v>2215</v>
      </c>
      <c r="D1643" s="16" t="s">
        <v>184</v>
      </c>
      <c r="E1643" s="16" t="s">
        <v>219</v>
      </c>
      <c r="F1643" s="16" t="s">
        <v>222</v>
      </c>
      <c r="G1643" s="16" t="s">
        <v>220</v>
      </c>
      <c r="H1643" s="16" t="s">
        <v>220</v>
      </c>
    </row>
    <row r="1644" ht="20.25" customHeight="1">
      <c r="A1644" s="32" t="str">
        <f>IMAGE("https://gymvisual.com/1054-catalog_default/3-4-sit-up.jpg",4,500,500)</f>
        <v/>
      </c>
      <c r="B1644" s="30">
        <v>1643.0</v>
      </c>
      <c r="C1644" s="16" t="s">
        <v>2216</v>
      </c>
      <c r="D1644" s="16" t="s">
        <v>184</v>
      </c>
      <c r="E1644" s="16" t="s">
        <v>228</v>
      </c>
      <c r="F1644" s="16" t="s">
        <v>222</v>
      </c>
      <c r="G1644" s="16" t="s">
        <v>408</v>
      </c>
      <c r="H1644" s="16" t="s">
        <v>452</v>
      </c>
    </row>
    <row r="1645" ht="20.25" customHeight="1">
      <c r="A1645" s="32" t="str">
        <f>IMAGE("https://gymvisual.com/2959-catalog_default/dumbbell-lying-one-arm-rear-lateral-raise.jpg",4,500,500)</f>
        <v/>
      </c>
      <c r="B1645" s="30">
        <v>1644.0</v>
      </c>
      <c r="C1645" s="16" t="s">
        <v>2216</v>
      </c>
      <c r="D1645" s="16" t="s">
        <v>184</v>
      </c>
      <c r="E1645" s="16" t="s">
        <v>228</v>
      </c>
      <c r="F1645" s="16" t="s">
        <v>222</v>
      </c>
      <c r="G1645" s="16" t="s">
        <v>408</v>
      </c>
      <c r="H1645" s="16" t="s">
        <v>452</v>
      </c>
    </row>
    <row r="1646" ht="20.25" customHeight="1">
      <c r="A1646" s="32" t="str">
        <f>IMAGE("https://gymvisual.com/1057-catalog_default/3-4-sit-up.jpg",4,500,500)</f>
        <v/>
      </c>
      <c r="B1646" s="30">
        <v>1645.0</v>
      </c>
      <c r="C1646" s="16" t="s">
        <v>2217</v>
      </c>
      <c r="D1646" s="16" t="s">
        <v>184</v>
      </c>
      <c r="E1646" s="16" t="s">
        <v>219</v>
      </c>
      <c r="F1646" s="16" t="s">
        <v>222</v>
      </c>
      <c r="G1646" s="16" t="s">
        <v>223</v>
      </c>
      <c r="H1646" s="16" t="s">
        <v>220</v>
      </c>
    </row>
    <row r="1647" ht="20.25" customHeight="1">
      <c r="A1647" s="32" t="str">
        <f>IMAGE("https://gymvisual.com/10760-catalog_default/dumbbell-lying-one-arm-supinated-triceps-extension-female.jpg",4,500,500)</f>
        <v/>
      </c>
      <c r="B1647" s="30">
        <v>1646.0</v>
      </c>
      <c r="C1647" s="16" t="s">
        <v>2218</v>
      </c>
      <c r="D1647" s="16" t="s">
        <v>184</v>
      </c>
      <c r="E1647" s="16" t="s">
        <v>219</v>
      </c>
      <c r="F1647" s="16" t="s">
        <v>222</v>
      </c>
      <c r="G1647" s="16" t="s">
        <v>223</v>
      </c>
      <c r="H1647" s="16" t="s">
        <v>220</v>
      </c>
    </row>
    <row r="1648" ht="20.25" customHeight="1">
      <c r="A1648" s="32" t="str">
        <f>IMAGE("https://gymvisual.com/1060-catalog_default/3-4-sit-up.jpg",4,500,500)</f>
        <v/>
      </c>
      <c r="B1648" s="30">
        <v>1647.0</v>
      </c>
      <c r="C1648" s="16" t="s">
        <v>2219</v>
      </c>
      <c r="D1648" s="16" t="s">
        <v>184</v>
      </c>
      <c r="E1648" s="16" t="s">
        <v>214</v>
      </c>
      <c r="F1648" s="16" t="s">
        <v>222</v>
      </c>
      <c r="G1648" s="16" t="s">
        <v>720</v>
      </c>
      <c r="H1648" s="16" t="s">
        <v>220</v>
      </c>
    </row>
    <row r="1649" ht="20.25" customHeight="1">
      <c r="A1649" s="32" t="str">
        <f>IMAGE("https://gymvisual.com/10804-catalog_default/dumbbell-lying-pronation-on-floor.jpg",4,500,500)</f>
        <v/>
      </c>
      <c r="B1649" s="30">
        <v>1648.0</v>
      </c>
      <c r="C1649" s="16" t="s">
        <v>2220</v>
      </c>
      <c r="D1649" s="16" t="s">
        <v>184</v>
      </c>
      <c r="E1649" s="16" t="s">
        <v>214</v>
      </c>
      <c r="F1649" s="16" t="s">
        <v>222</v>
      </c>
      <c r="G1649" s="16" t="s">
        <v>220</v>
      </c>
      <c r="H1649" s="16" t="s">
        <v>220</v>
      </c>
    </row>
    <row r="1650" ht="20.25" customHeight="1">
      <c r="A1650" s="32" t="str">
        <f>IMAGE("https://gymvisual.com/5973-catalog_default/dumbbell-lying-pullover-on-exercise-ball.jpg",4,500,500)</f>
        <v/>
      </c>
      <c r="B1650" s="30">
        <v>1649.0</v>
      </c>
      <c r="C1650" s="16" t="s">
        <v>2221</v>
      </c>
      <c r="D1650" s="16" t="s">
        <v>184</v>
      </c>
      <c r="E1650" s="16" t="s">
        <v>234</v>
      </c>
      <c r="F1650" s="16" t="s">
        <v>222</v>
      </c>
      <c r="G1650" s="16" t="s">
        <v>347</v>
      </c>
      <c r="H1650" s="16" t="s">
        <v>2222</v>
      </c>
    </row>
    <row r="1651" ht="20.25" customHeight="1">
      <c r="A1651" s="32" t="str">
        <f>IMAGE("https://gymvisual.com/6019-catalog_default/dumbbell-lying-rear-delt-row.jpg",4,500,500)</f>
        <v/>
      </c>
      <c r="B1651" s="30">
        <v>1650.0</v>
      </c>
      <c r="C1651" s="16" t="s">
        <v>2223</v>
      </c>
      <c r="D1651" s="16" t="s">
        <v>184</v>
      </c>
      <c r="E1651" s="16" t="s">
        <v>192</v>
      </c>
      <c r="F1651" s="16" t="s">
        <v>222</v>
      </c>
      <c r="G1651" s="16" t="s">
        <v>329</v>
      </c>
      <c r="H1651" s="16" t="s">
        <v>457</v>
      </c>
    </row>
    <row r="1652" ht="20.25" customHeight="1">
      <c r="A1652" s="32" t="str">
        <f>IMAGE("https://gymvisual.com/11384-catalog_default/dumbbell-lying-rear-delt-row-female.jpg",4,500,500)</f>
        <v/>
      </c>
      <c r="B1652" s="30">
        <v>1651.0</v>
      </c>
      <c r="C1652" s="16" t="s">
        <v>2224</v>
      </c>
      <c r="D1652" s="16" t="s">
        <v>184</v>
      </c>
      <c r="E1652" s="16" t="s">
        <v>192</v>
      </c>
      <c r="F1652" s="16" t="s">
        <v>222</v>
      </c>
      <c r="G1652" s="16" t="s">
        <v>220</v>
      </c>
      <c r="H1652" s="16" t="s">
        <v>220</v>
      </c>
    </row>
    <row r="1653" ht="20.25" customHeight="1">
      <c r="A1653" s="32" t="str">
        <f>IMAGE("https://gymvisual.com/1063-catalog_default/3-4-sit-up.jpg",4,500,500)</f>
        <v/>
      </c>
      <c r="B1653" s="30">
        <v>1652.0</v>
      </c>
      <c r="C1653" s="16" t="s">
        <v>2225</v>
      </c>
      <c r="D1653" s="16" t="s">
        <v>184</v>
      </c>
      <c r="E1653" s="16" t="s">
        <v>228</v>
      </c>
      <c r="F1653" s="16" t="s">
        <v>222</v>
      </c>
      <c r="G1653" s="16" t="s">
        <v>408</v>
      </c>
      <c r="H1653" s="16" t="s">
        <v>452</v>
      </c>
    </row>
    <row r="1654" ht="20.25" customHeight="1">
      <c r="A1654" s="32" t="str">
        <f>IMAGE("https://gymvisual.com/25065-catalog_default/dumbbell-lying-row-on-rack.jpg",4,500,500)</f>
        <v/>
      </c>
      <c r="B1654" s="30">
        <v>1653.0</v>
      </c>
      <c r="C1654" s="16" t="s">
        <v>2226</v>
      </c>
      <c r="D1654" s="16" t="s">
        <v>184</v>
      </c>
      <c r="E1654" s="16" t="s">
        <v>192</v>
      </c>
      <c r="F1654" s="16" t="s">
        <v>222</v>
      </c>
      <c r="G1654" s="16" t="s">
        <v>220</v>
      </c>
      <c r="H1654" s="16" t="s">
        <v>220</v>
      </c>
    </row>
    <row r="1655" ht="20.25" customHeight="1">
      <c r="A1655" s="32" t="str">
        <f>IMAGE("https://gymvisual.com/7454-catalog_default/dumbbell-lying-single-extension.jpg",4,500,500)</f>
        <v/>
      </c>
      <c r="B1655" s="30">
        <v>1654.0</v>
      </c>
      <c r="C1655" s="16" t="s">
        <v>2227</v>
      </c>
      <c r="D1655" s="16" t="s">
        <v>184</v>
      </c>
      <c r="E1655" s="16" t="s">
        <v>219</v>
      </c>
      <c r="F1655" s="16" t="s">
        <v>222</v>
      </c>
      <c r="G1655" s="16" t="s">
        <v>223</v>
      </c>
      <c r="H1655" s="16" t="s">
        <v>220</v>
      </c>
    </row>
    <row r="1656" ht="20.25" customHeight="1">
      <c r="A1656" s="32" t="str">
        <f>IMAGE("https://gymvisual.com/13429-catalog_default/dumbbell-lying-single-extension-female.jpg",4,500,500)</f>
        <v/>
      </c>
      <c r="B1656" s="30">
        <v>1655.0</v>
      </c>
      <c r="C1656" s="16" t="s">
        <v>2228</v>
      </c>
      <c r="D1656" s="16" t="s">
        <v>184</v>
      </c>
      <c r="E1656" s="16" t="s">
        <v>219</v>
      </c>
      <c r="F1656" s="16" t="s">
        <v>222</v>
      </c>
      <c r="G1656" s="16" t="s">
        <v>220</v>
      </c>
      <c r="H1656" s="16" t="s">
        <v>220</v>
      </c>
    </row>
    <row r="1657" ht="20.25" customHeight="1">
      <c r="A1657" s="32" t="str">
        <f>IMAGE("https://gymvisual.com/19337-catalog_default/3-4-sit-up.jpg",4,500,500)</f>
        <v/>
      </c>
      <c r="B1657" s="30">
        <v>1656.0</v>
      </c>
      <c r="C1657" s="16" t="s">
        <v>2229</v>
      </c>
      <c r="D1657" s="16" t="s">
        <v>184</v>
      </c>
      <c r="E1657" s="16" t="s">
        <v>214</v>
      </c>
      <c r="F1657" s="16" t="s">
        <v>222</v>
      </c>
      <c r="G1657" s="16" t="s">
        <v>220</v>
      </c>
      <c r="H1657" s="16" t="s">
        <v>220</v>
      </c>
    </row>
    <row r="1658" ht="20.25" customHeight="1">
      <c r="A1658" s="32" t="str">
        <f>IMAGE("https://gymvisual.com/10807-catalog_default/dumbbell-lying-supination-on-floor.jpg",4,500,500)</f>
        <v/>
      </c>
      <c r="B1658" s="30">
        <v>1657.0</v>
      </c>
      <c r="C1658" s="16" t="s">
        <v>2230</v>
      </c>
      <c r="D1658" s="16" t="s">
        <v>184</v>
      </c>
      <c r="E1658" s="16" t="s">
        <v>214</v>
      </c>
      <c r="F1658" s="16" t="s">
        <v>222</v>
      </c>
      <c r="G1658" s="16" t="s">
        <v>220</v>
      </c>
      <c r="H1658" s="16" t="s">
        <v>220</v>
      </c>
    </row>
    <row r="1659" ht="20.25" customHeight="1">
      <c r="A1659" s="32" t="str">
        <f>IMAGE("https://gymvisual.com/7135-catalog_default/dumbbell-lying-supine-biceps-curl.jpg",4,500,500)</f>
        <v/>
      </c>
      <c r="B1659" s="30">
        <v>1658.0</v>
      </c>
      <c r="C1659" s="16" t="s">
        <v>2231</v>
      </c>
      <c r="D1659" s="16" t="s">
        <v>184</v>
      </c>
      <c r="E1659" s="16" t="s">
        <v>219</v>
      </c>
      <c r="F1659" s="16" t="s">
        <v>222</v>
      </c>
      <c r="G1659" s="16" t="s">
        <v>220</v>
      </c>
      <c r="H1659" s="16" t="s">
        <v>220</v>
      </c>
    </row>
    <row r="1660" ht="20.25" customHeight="1">
      <c r="A1660" s="32" t="str">
        <f>IMAGE("https://gymvisual.com/1069-catalog_default/3-4-sit-up.jpg",4,500,500)</f>
        <v/>
      </c>
      <c r="B1660" s="30">
        <v>1659.0</v>
      </c>
      <c r="C1660" s="16" t="s">
        <v>2232</v>
      </c>
      <c r="D1660" s="16" t="s">
        <v>184</v>
      </c>
      <c r="E1660" s="16" t="s">
        <v>214</v>
      </c>
      <c r="F1660" s="16" t="s">
        <v>222</v>
      </c>
      <c r="G1660" s="16" t="s">
        <v>216</v>
      </c>
      <c r="H1660" s="16" t="s">
        <v>2003</v>
      </c>
    </row>
    <row r="1661" ht="20.25" customHeight="1">
      <c r="A1661" s="32" t="str">
        <f>IMAGE("https://gymvisual.com/14268-catalog_default/dumbbell-lying-supine-curl-female.jpg",4,500,500)</f>
        <v/>
      </c>
      <c r="B1661" s="30">
        <v>1660.0</v>
      </c>
      <c r="C1661" s="16" t="s">
        <v>2233</v>
      </c>
      <c r="D1661" s="16" t="s">
        <v>184</v>
      </c>
      <c r="E1661" s="16" t="s">
        <v>214</v>
      </c>
      <c r="F1661" s="16" t="s">
        <v>222</v>
      </c>
      <c r="G1661" s="16" t="s">
        <v>216</v>
      </c>
      <c r="H1661" s="16" t="s">
        <v>2003</v>
      </c>
    </row>
    <row r="1662" ht="20.25" customHeight="1">
      <c r="A1662" s="32" t="str">
        <f>IMAGE("https://gymvisual.com/20626-catalog_default/3-4-sit-up.jpg",4,500,500)</f>
        <v/>
      </c>
      <c r="B1662" s="30">
        <v>1661.0</v>
      </c>
      <c r="C1662" s="16" t="s">
        <v>2234</v>
      </c>
      <c r="D1662" s="16" t="s">
        <v>184</v>
      </c>
      <c r="E1662" s="16" t="s">
        <v>219</v>
      </c>
      <c r="F1662" s="16" t="s">
        <v>222</v>
      </c>
      <c r="G1662" s="16" t="s">
        <v>223</v>
      </c>
      <c r="H1662" s="16" t="s">
        <v>220</v>
      </c>
    </row>
    <row r="1663" ht="20.25" customHeight="1">
      <c r="A1663" s="32" t="str">
        <f>IMAGE("https://gymvisual.com/9667-catalog_default/dumbbell-lying-triceps-extension-female.jpg",4,500,500)</f>
        <v/>
      </c>
      <c r="B1663" s="30">
        <v>1662.0</v>
      </c>
      <c r="C1663" s="16" t="s">
        <v>2235</v>
      </c>
      <c r="D1663" s="16" t="s">
        <v>184</v>
      </c>
      <c r="E1663" s="16" t="s">
        <v>219</v>
      </c>
      <c r="F1663" s="16" t="s">
        <v>222</v>
      </c>
      <c r="G1663" s="16" t="s">
        <v>223</v>
      </c>
      <c r="H1663" s="16" t="s">
        <v>220</v>
      </c>
    </row>
    <row r="1664" ht="20.25" customHeight="1">
      <c r="A1664" s="32" t="str">
        <f>IMAGE("https://gymvisual.com/11318-catalog_default/dumbbell-lying-triceps-extension-female.jpg",4,500,500)</f>
        <v/>
      </c>
      <c r="B1664" s="30">
        <v>1663.0</v>
      </c>
      <c r="C1664" s="16" t="s">
        <v>2235</v>
      </c>
      <c r="D1664" s="16" t="s">
        <v>184</v>
      </c>
      <c r="E1664" s="16" t="s">
        <v>219</v>
      </c>
      <c r="F1664" s="16" t="s">
        <v>222</v>
      </c>
      <c r="G1664" s="16" t="s">
        <v>223</v>
      </c>
      <c r="H1664" s="16" t="s">
        <v>220</v>
      </c>
    </row>
    <row r="1665" ht="20.25" customHeight="1">
      <c r="A1665" s="32" t="str">
        <f>IMAGE("https://gymvisual.com/10922-catalog_default/dumbbell-lying-triceps-extension-on-floor-female.jpg",4,500,500)</f>
        <v/>
      </c>
      <c r="B1665" s="30">
        <v>1664.0</v>
      </c>
      <c r="C1665" s="16" t="s">
        <v>2236</v>
      </c>
      <c r="D1665" s="16" t="s">
        <v>184</v>
      </c>
      <c r="E1665" s="16" t="s">
        <v>219</v>
      </c>
      <c r="F1665" s="16" t="s">
        <v>222</v>
      </c>
      <c r="G1665" s="16" t="s">
        <v>223</v>
      </c>
      <c r="H1665" s="16" t="s">
        <v>220</v>
      </c>
    </row>
    <row r="1666" ht="20.25" customHeight="1">
      <c r="A1666" s="32" t="str">
        <f>IMAGE("https://gymvisual.com/7136-catalog_default/dumbbell-lying-wide-curl.jpg",4,500,500)</f>
        <v/>
      </c>
      <c r="B1666" s="30">
        <v>1665.0</v>
      </c>
      <c r="C1666" s="16" t="s">
        <v>2237</v>
      </c>
      <c r="D1666" s="16" t="s">
        <v>184</v>
      </c>
      <c r="E1666" s="16" t="s">
        <v>219</v>
      </c>
      <c r="F1666" s="16" t="s">
        <v>222</v>
      </c>
      <c r="G1666" s="16" t="s">
        <v>220</v>
      </c>
      <c r="H1666" s="16" t="s">
        <v>220</v>
      </c>
    </row>
    <row r="1667" ht="20.25" customHeight="1">
      <c r="A1667" s="32" t="str">
        <f>IMAGE("https://gymvisual.com/18965-catalog_default/dumbbell-lying-wide-grip-row-on-rack.jpg",4,500,500)</f>
        <v/>
      </c>
      <c r="B1667" s="30">
        <v>1666.0</v>
      </c>
      <c r="C1667" s="16" t="s">
        <v>2238</v>
      </c>
      <c r="D1667" s="16" t="s">
        <v>184</v>
      </c>
      <c r="E1667" s="16" t="s">
        <v>192</v>
      </c>
      <c r="F1667" s="16" t="s">
        <v>222</v>
      </c>
      <c r="G1667" s="16" t="s">
        <v>329</v>
      </c>
      <c r="H1667" s="16" t="s">
        <v>447</v>
      </c>
    </row>
    <row r="1668" ht="20.25" customHeight="1">
      <c r="A1668" s="32" t="str">
        <f>IMAGE("https://gymvisual.com/22243-catalog_default/dumbbell-lying-woodchop.jpg",4,500,500)</f>
        <v/>
      </c>
      <c r="B1668" s="30">
        <v>1667.0</v>
      </c>
      <c r="C1668" s="16" t="s">
        <v>2239</v>
      </c>
      <c r="D1668" s="16" t="s">
        <v>184</v>
      </c>
      <c r="E1668" s="16" t="s">
        <v>254</v>
      </c>
      <c r="F1668" s="16" t="s">
        <v>222</v>
      </c>
      <c r="G1668" s="16" t="s">
        <v>220</v>
      </c>
      <c r="H1668" s="16" t="s">
        <v>220</v>
      </c>
    </row>
    <row r="1669" ht="20.25" customHeight="1">
      <c r="A1669" s="32" t="str">
        <f>IMAGE("https://gymvisual.com/24830-catalog_default/dumbbell-narrow-stance-squat-male.jpg",4,500,500)</f>
        <v/>
      </c>
      <c r="B1669" s="30">
        <v>1668.0</v>
      </c>
      <c r="C1669" s="16" t="s">
        <v>2240</v>
      </c>
      <c r="D1669" s="16" t="s">
        <v>184</v>
      </c>
      <c r="E1669" s="16" t="s">
        <v>285</v>
      </c>
      <c r="F1669" s="16" t="s">
        <v>222</v>
      </c>
      <c r="G1669" s="16" t="s">
        <v>552</v>
      </c>
      <c r="H1669" s="16" t="s">
        <v>553</v>
      </c>
    </row>
    <row r="1670" ht="20.25" customHeight="1">
      <c r="A1670" s="32" t="str">
        <f>IMAGE("https://gymvisual.com/1075-catalog_default/3-4-sit-up.jpg",4,500,500)</f>
        <v/>
      </c>
      <c r="B1670" s="30">
        <v>1669.0</v>
      </c>
      <c r="C1670" s="16" t="s">
        <v>2241</v>
      </c>
      <c r="D1670" s="16" t="s">
        <v>184</v>
      </c>
      <c r="E1670" s="16" t="s">
        <v>219</v>
      </c>
      <c r="F1670" s="16" t="s">
        <v>222</v>
      </c>
      <c r="G1670" s="16" t="s">
        <v>223</v>
      </c>
      <c r="H1670" s="16" t="s">
        <v>220</v>
      </c>
    </row>
    <row r="1671" ht="20.25" customHeight="1">
      <c r="A1671" s="32" t="str">
        <f>IMAGE("https://gymvisual.com/5974-catalog_default/dumbbell-one-arm-bench-fly.jpg",4,500,500)</f>
        <v/>
      </c>
      <c r="B1671" s="30">
        <v>1670.0</v>
      </c>
      <c r="C1671" s="16" t="s">
        <v>2242</v>
      </c>
      <c r="D1671" s="16" t="s">
        <v>184</v>
      </c>
      <c r="E1671" s="16" t="s">
        <v>234</v>
      </c>
      <c r="F1671" s="16" t="s">
        <v>222</v>
      </c>
      <c r="G1671" s="16" t="s">
        <v>347</v>
      </c>
      <c r="H1671" s="16" t="s">
        <v>420</v>
      </c>
    </row>
    <row r="1672" ht="20.25" customHeight="1">
      <c r="A1672" s="32" t="str">
        <f>IMAGE("https://gymvisual.com/10371-catalog_default/dumbbell-one-arm-bent-over-row-female.jpg",4,500,500)</f>
        <v/>
      </c>
      <c r="B1672" s="30">
        <v>1671.0</v>
      </c>
      <c r="C1672" s="16" t="s">
        <v>2243</v>
      </c>
      <c r="D1672" s="16" t="s">
        <v>184</v>
      </c>
      <c r="E1672" s="16" t="s">
        <v>228</v>
      </c>
      <c r="F1672" s="16" t="s">
        <v>222</v>
      </c>
      <c r="G1672" s="16" t="s">
        <v>408</v>
      </c>
      <c r="H1672" s="16" t="s">
        <v>2244</v>
      </c>
    </row>
    <row r="1673" ht="20.25" customHeight="1">
      <c r="A1673" s="32" t="str">
        <f>IMAGE("https://gymvisual.com/15647-catalog_default/dumbbell-one-arm-bent-over-row.jpg",4,500,500)</f>
        <v/>
      </c>
      <c r="B1673" s="30">
        <v>1672.0</v>
      </c>
      <c r="C1673" s="16" t="s">
        <v>2245</v>
      </c>
      <c r="D1673" s="16" t="s">
        <v>184</v>
      </c>
      <c r="E1673" s="16" t="s">
        <v>192</v>
      </c>
      <c r="F1673" s="16" t="s">
        <v>222</v>
      </c>
      <c r="G1673" s="16" t="s">
        <v>329</v>
      </c>
      <c r="H1673" s="16" t="s">
        <v>457</v>
      </c>
    </row>
    <row r="1674" ht="20.25" customHeight="1">
      <c r="A1674" s="32" t="str">
        <f>IMAGE("https://gymvisual.com/5975-catalog_default/dumbbell-one-arm-chest-fly-on-exercise-ball.jpg",4,500,500)</f>
        <v/>
      </c>
      <c r="B1674" s="30">
        <v>1673.0</v>
      </c>
      <c r="C1674" s="16" t="s">
        <v>2246</v>
      </c>
      <c r="D1674" s="16" t="s">
        <v>184</v>
      </c>
      <c r="E1674" s="16" t="s">
        <v>234</v>
      </c>
      <c r="F1674" s="16" t="s">
        <v>222</v>
      </c>
      <c r="G1674" s="16" t="s">
        <v>347</v>
      </c>
      <c r="H1674" s="16" t="s">
        <v>420</v>
      </c>
    </row>
    <row r="1675" ht="20.25" customHeight="1">
      <c r="A1675" s="32" t="str">
        <f>IMAGE("https://gymvisual.com/1078-catalog_default/3-4-sit-up.jpg",4,500,500)</f>
        <v/>
      </c>
      <c r="B1675" s="30">
        <v>1674.0</v>
      </c>
      <c r="C1675" s="16" t="s">
        <v>2247</v>
      </c>
      <c r="D1675" s="16" t="s">
        <v>184</v>
      </c>
      <c r="E1675" s="16" t="s">
        <v>219</v>
      </c>
      <c r="F1675" s="16" t="s">
        <v>222</v>
      </c>
      <c r="G1675" s="16" t="s">
        <v>232</v>
      </c>
      <c r="H1675" s="16" t="s">
        <v>233</v>
      </c>
    </row>
    <row r="1676" ht="20.25" customHeight="1">
      <c r="A1676" s="32" t="str">
        <f>IMAGE("https://gymvisual.com/11321-catalog_default/dumbbell-one-arm-concetration-curl-on-stability-ball-female.jpg",4,500,500)</f>
        <v/>
      </c>
      <c r="B1676" s="30">
        <v>1675.0</v>
      </c>
      <c r="C1676" s="16" t="s">
        <v>2248</v>
      </c>
      <c r="D1676" s="16" t="s">
        <v>184</v>
      </c>
      <c r="E1676" s="16" t="s">
        <v>219</v>
      </c>
      <c r="F1676" s="16" t="s">
        <v>1929</v>
      </c>
      <c r="G1676" s="16" t="s">
        <v>220</v>
      </c>
      <c r="H1676" s="16" t="s">
        <v>220</v>
      </c>
    </row>
    <row r="1677" ht="20.25" customHeight="1">
      <c r="A1677" s="32" t="str">
        <f>IMAGE("https://gymvisual.com/5976-catalog_default/dumbbell-one-arm-decline-chest-press.jpg",4,500,500)</f>
        <v/>
      </c>
      <c r="B1677" s="30">
        <v>1676.0</v>
      </c>
      <c r="C1677" s="16" t="s">
        <v>2249</v>
      </c>
      <c r="D1677" s="16" t="s">
        <v>184</v>
      </c>
      <c r="E1677" s="16" t="s">
        <v>234</v>
      </c>
      <c r="F1677" s="16" t="s">
        <v>222</v>
      </c>
      <c r="G1677" s="16" t="s">
        <v>347</v>
      </c>
      <c r="H1677" s="16" t="s">
        <v>382</v>
      </c>
    </row>
    <row r="1678" ht="20.25" customHeight="1">
      <c r="A1678" s="32" t="str">
        <f>IMAGE("https://gymvisual.com/13616-catalog_default/dumbbell-one-arm-floor-fly.jpg",4,500,500)</f>
        <v/>
      </c>
      <c r="B1678" s="30">
        <v>1677.0</v>
      </c>
      <c r="C1678" s="16" t="s">
        <v>2250</v>
      </c>
      <c r="D1678" s="16" t="s">
        <v>184</v>
      </c>
      <c r="E1678" s="16" t="s">
        <v>234</v>
      </c>
      <c r="F1678" s="16" t="s">
        <v>222</v>
      </c>
      <c r="G1678" s="16" t="s">
        <v>235</v>
      </c>
      <c r="H1678" s="16" t="s">
        <v>236</v>
      </c>
    </row>
    <row r="1679" ht="20.25" customHeight="1">
      <c r="A1679" s="32" t="str">
        <f>IMAGE("https://gymvisual.com/5977-catalog_default/dumbbell-one-arm-fly-on-exercise-ball.jpg",4,500,500)</f>
        <v/>
      </c>
      <c r="B1679" s="30">
        <v>1678.0</v>
      </c>
      <c r="C1679" s="16" t="s">
        <v>2251</v>
      </c>
      <c r="D1679" s="16" t="s">
        <v>184</v>
      </c>
      <c r="E1679" s="16" t="s">
        <v>234</v>
      </c>
      <c r="F1679" s="16" t="s">
        <v>222</v>
      </c>
      <c r="G1679" s="16" t="s">
        <v>347</v>
      </c>
      <c r="H1679" s="16" t="s">
        <v>420</v>
      </c>
    </row>
    <row r="1680" ht="20.25" customHeight="1">
      <c r="A1680" s="32" t="str">
        <f>IMAGE("https://gymvisual.com/7455-catalog_default/dumbbell-one-arm-french-press-on-exercise-ball.jpg",4,500,500)</f>
        <v/>
      </c>
      <c r="B1680" s="30">
        <v>1679.0</v>
      </c>
      <c r="C1680" s="16" t="s">
        <v>2252</v>
      </c>
      <c r="D1680" s="16" t="s">
        <v>184</v>
      </c>
      <c r="E1680" s="16" t="s">
        <v>219</v>
      </c>
      <c r="F1680" s="16" t="s">
        <v>222</v>
      </c>
      <c r="G1680" s="16" t="s">
        <v>220</v>
      </c>
      <c r="H1680" s="16" t="s">
        <v>220</v>
      </c>
    </row>
    <row r="1681" ht="20.25" customHeight="1">
      <c r="A1681" s="32" t="str">
        <f>IMAGE("https://gymvisual.com/11474-catalog_default/dumbbell-one-arm-french-press-on-exercise-ball-female.jpg",4,500,500)</f>
        <v/>
      </c>
      <c r="B1681" s="30">
        <v>1680.0</v>
      </c>
      <c r="C1681" s="16" t="s">
        <v>2253</v>
      </c>
      <c r="D1681" s="16" t="s">
        <v>184</v>
      </c>
      <c r="E1681" s="16" t="s">
        <v>219</v>
      </c>
      <c r="F1681" s="16" t="s">
        <v>1929</v>
      </c>
      <c r="G1681" s="16" t="s">
        <v>220</v>
      </c>
      <c r="H1681" s="16" t="s">
        <v>220</v>
      </c>
    </row>
    <row r="1682" ht="20.25" customHeight="1">
      <c r="A1682" s="32" t="str">
        <f>IMAGE("https://gymvisual.com/17177-catalog_default/dumbbell-one-arm-front-raise.jpg",4,500,500)</f>
        <v/>
      </c>
      <c r="B1682" s="30">
        <v>1681.0</v>
      </c>
      <c r="C1682" s="16" t="s">
        <v>2254</v>
      </c>
      <c r="D1682" s="16" t="s">
        <v>184</v>
      </c>
      <c r="E1682" s="16" t="s">
        <v>228</v>
      </c>
      <c r="F1682" s="16" t="s">
        <v>222</v>
      </c>
      <c r="G1682" s="16" t="s">
        <v>229</v>
      </c>
      <c r="H1682" s="16" t="s">
        <v>244</v>
      </c>
    </row>
    <row r="1683" ht="20.25" customHeight="1">
      <c r="A1683" s="32" t="str">
        <f>IMAGE("https://gymvisual.com/7137-catalog_default/dumbbell-one-arm-hammer-preacher-curl.jpg",4,500,500)</f>
        <v/>
      </c>
      <c r="B1683" s="30">
        <v>1682.0</v>
      </c>
      <c r="C1683" s="16" t="s">
        <v>2255</v>
      </c>
      <c r="D1683" s="16" t="s">
        <v>184</v>
      </c>
      <c r="E1683" s="16" t="s">
        <v>219</v>
      </c>
      <c r="F1683" s="16" t="s">
        <v>222</v>
      </c>
      <c r="G1683" s="16" t="s">
        <v>220</v>
      </c>
      <c r="H1683" s="16" t="s">
        <v>220</v>
      </c>
    </row>
    <row r="1684" ht="20.25" customHeight="1">
      <c r="A1684" s="32" t="str">
        <f>IMAGE("https://gymvisual.com/7096-catalog_default/dumbbell-one-arm-hammer-press-on-exercise-ball.jpg",4,500,500)</f>
        <v/>
      </c>
      <c r="B1684" s="30">
        <v>1683.0</v>
      </c>
      <c r="C1684" s="16" t="s">
        <v>2256</v>
      </c>
      <c r="D1684" s="16" t="s">
        <v>184</v>
      </c>
      <c r="E1684" s="16" t="s">
        <v>219</v>
      </c>
      <c r="F1684" s="16" t="s">
        <v>222</v>
      </c>
      <c r="G1684" s="16" t="s">
        <v>220</v>
      </c>
      <c r="H1684" s="16" t="s">
        <v>220</v>
      </c>
    </row>
    <row r="1685" ht="20.25" customHeight="1">
      <c r="A1685" s="32" t="str">
        <f>IMAGE("https://gymvisual.com/5978-catalog_default/dumbbell-one-arm-incline-chest-press.jpg",4,500,500)</f>
        <v/>
      </c>
      <c r="B1685" s="30">
        <v>1684.0</v>
      </c>
      <c r="C1685" s="16" t="s">
        <v>2257</v>
      </c>
      <c r="D1685" s="16" t="s">
        <v>184</v>
      </c>
      <c r="E1685" s="16" t="s">
        <v>234</v>
      </c>
      <c r="F1685" s="16" t="s">
        <v>222</v>
      </c>
      <c r="G1685" s="16" t="s">
        <v>415</v>
      </c>
      <c r="H1685" s="16" t="s">
        <v>243</v>
      </c>
    </row>
    <row r="1686" ht="20.25" customHeight="1">
      <c r="A1686" s="32" t="str">
        <f>IMAGE("https://gymvisual.com/1081-catalog_default/3-4-sit-up.jpg",4,500,500)</f>
        <v/>
      </c>
      <c r="B1686" s="30">
        <v>1685.0</v>
      </c>
      <c r="C1686" s="16" t="s">
        <v>2258</v>
      </c>
      <c r="D1686" s="16" t="s">
        <v>184</v>
      </c>
      <c r="E1686" s="16" t="s">
        <v>219</v>
      </c>
      <c r="F1686" s="16" t="s">
        <v>222</v>
      </c>
      <c r="G1686" s="16" t="s">
        <v>223</v>
      </c>
      <c r="H1686" s="16" t="s">
        <v>220</v>
      </c>
    </row>
    <row r="1687" ht="20.25" customHeight="1">
      <c r="A1687" s="32" t="str">
        <f>IMAGE("https://gymvisual.com/10300-catalog_default/dumbbell-one-arm-kickback-female.jpg",4,500,500)</f>
        <v/>
      </c>
      <c r="B1687" s="30">
        <v>1686.0</v>
      </c>
      <c r="C1687" s="16" t="s">
        <v>2259</v>
      </c>
      <c r="D1687" s="16" t="s">
        <v>184</v>
      </c>
      <c r="E1687" s="16" t="s">
        <v>219</v>
      </c>
      <c r="F1687" s="16" t="s">
        <v>222</v>
      </c>
      <c r="G1687" s="16" t="s">
        <v>223</v>
      </c>
      <c r="H1687" s="16" t="s">
        <v>220</v>
      </c>
    </row>
    <row r="1688" ht="20.25" customHeight="1">
      <c r="A1688" s="32" t="str">
        <f>IMAGE("https://gymvisual.com/1084-catalog_default/3-4-sit-up.jpg",4,500,500)</f>
        <v/>
      </c>
      <c r="B1688" s="30">
        <v>1687.0</v>
      </c>
      <c r="C1688" s="16" t="s">
        <v>2260</v>
      </c>
      <c r="D1688" s="16" t="s">
        <v>184</v>
      </c>
      <c r="E1688" s="16" t="s">
        <v>228</v>
      </c>
      <c r="F1688" s="16" t="s">
        <v>222</v>
      </c>
      <c r="G1688" s="16" t="s">
        <v>544</v>
      </c>
      <c r="H1688" s="16" t="s">
        <v>545</v>
      </c>
    </row>
    <row r="1689" ht="20.25" customHeight="1">
      <c r="A1689" s="32" t="str">
        <f>IMAGE("https://gymvisual.com/11324-catalog_default/dumbbell-one-arm-lateral-raise-female.jpg",4,500,500)</f>
        <v/>
      </c>
      <c r="B1689" s="30">
        <v>1688.0</v>
      </c>
      <c r="C1689" s="16" t="s">
        <v>2261</v>
      </c>
      <c r="D1689" s="16" t="s">
        <v>184</v>
      </c>
      <c r="E1689" s="16" t="s">
        <v>228</v>
      </c>
      <c r="F1689" s="16" t="s">
        <v>222</v>
      </c>
      <c r="G1689" s="16" t="s">
        <v>544</v>
      </c>
      <c r="H1689" s="16" t="s">
        <v>545</v>
      </c>
    </row>
    <row r="1690" ht="20.25" customHeight="1">
      <c r="A1690" s="32" t="str">
        <f>IMAGE("https://gymvisual.com/11567-catalog_default/dumbbell-one-arm-lateral-raise-female.jpg",4,500,500)</f>
        <v/>
      </c>
      <c r="B1690" s="30">
        <v>1689.0</v>
      </c>
      <c r="C1690" s="16" t="s">
        <v>2262</v>
      </c>
      <c r="D1690" s="16" t="s">
        <v>184</v>
      </c>
      <c r="E1690" s="16" t="s">
        <v>228</v>
      </c>
      <c r="F1690" s="16" t="s">
        <v>222</v>
      </c>
      <c r="G1690" s="16" t="s">
        <v>220</v>
      </c>
      <c r="H1690" s="16" t="s">
        <v>220</v>
      </c>
    </row>
    <row r="1691" ht="20.25" customHeight="1">
      <c r="A1691" s="32" t="str">
        <f>IMAGE("https://gymvisual.com/1087-catalog_default/3-4-sit-up.jpg",4,500,500)</f>
        <v/>
      </c>
      <c r="B1691" s="30">
        <v>1690.0</v>
      </c>
      <c r="C1691" s="16" t="s">
        <v>2260</v>
      </c>
      <c r="D1691" s="16" t="s">
        <v>184</v>
      </c>
      <c r="E1691" s="16" t="s">
        <v>228</v>
      </c>
      <c r="F1691" s="16" t="s">
        <v>222</v>
      </c>
      <c r="G1691" s="16" t="s">
        <v>544</v>
      </c>
      <c r="H1691" s="16" t="s">
        <v>2135</v>
      </c>
    </row>
    <row r="1692" ht="20.25" customHeight="1">
      <c r="A1692" s="32" t="str">
        <f>IMAGE("https://gymvisual.com/22137-catalog_default/dumbbell-one-arm-low-fly.jpg",4,500,500)</f>
        <v/>
      </c>
      <c r="B1692" s="30">
        <v>1691.0</v>
      </c>
      <c r="C1692" s="16" t="s">
        <v>2263</v>
      </c>
      <c r="D1692" s="16" t="s">
        <v>184</v>
      </c>
      <c r="E1692" s="16" t="s">
        <v>234</v>
      </c>
      <c r="F1692" s="16" t="s">
        <v>222</v>
      </c>
      <c r="G1692" s="16" t="s">
        <v>235</v>
      </c>
      <c r="H1692" s="16" t="s">
        <v>236</v>
      </c>
    </row>
    <row r="1693" ht="20.25" customHeight="1">
      <c r="A1693" s="32" t="str">
        <f>IMAGE("https://gymvisual.com/13627-catalog_default/dumbbell-one-arm-lunge.jpg",4,500,500)</f>
        <v/>
      </c>
      <c r="B1693" s="30">
        <v>1692.0</v>
      </c>
      <c r="C1693" s="16" t="s">
        <v>2264</v>
      </c>
      <c r="D1693" s="16" t="s">
        <v>184</v>
      </c>
      <c r="E1693" s="16" t="s">
        <v>285</v>
      </c>
      <c r="F1693" s="16" t="s">
        <v>222</v>
      </c>
      <c r="G1693" s="16" t="s">
        <v>189</v>
      </c>
      <c r="H1693" s="16" t="s">
        <v>190</v>
      </c>
    </row>
    <row r="1694" ht="20.25" customHeight="1">
      <c r="A1694" s="32" t="str">
        <f>IMAGE("https://gymvisual.com/1090-catalog_default/3-4-sit-up.jpg",4,500,500)</f>
        <v/>
      </c>
      <c r="B1694" s="30">
        <v>1693.0</v>
      </c>
      <c r="C1694" s="16" t="s">
        <v>2265</v>
      </c>
      <c r="D1694" s="16" t="s">
        <v>184</v>
      </c>
      <c r="E1694" s="16" t="s">
        <v>234</v>
      </c>
      <c r="F1694" s="16" t="s">
        <v>222</v>
      </c>
      <c r="G1694" s="16" t="s">
        <v>235</v>
      </c>
      <c r="H1694" s="16" t="s">
        <v>2266</v>
      </c>
    </row>
    <row r="1695" ht="20.25" customHeight="1">
      <c r="A1695" s="32" t="str">
        <f>IMAGE("https://gymvisual.com/5979-catalog_default/dumbbell-one-arm-press-on-exercise-ball.jpg",4,500,500)</f>
        <v/>
      </c>
      <c r="B1695" s="30">
        <v>1694.0</v>
      </c>
      <c r="C1695" s="16" t="s">
        <v>2267</v>
      </c>
      <c r="D1695" s="16" t="s">
        <v>184</v>
      </c>
      <c r="E1695" s="16" t="s">
        <v>234</v>
      </c>
      <c r="F1695" s="16" t="s">
        <v>222</v>
      </c>
      <c r="G1695" s="16" t="s">
        <v>347</v>
      </c>
      <c r="H1695" s="16" t="s">
        <v>382</v>
      </c>
    </row>
    <row r="1696" ht="20.25" customHeight="1">
      <c r="A1696" s="32" t="str">
        <f>IMAGE("https://gymvisual.com/7139-catalog_default/dumbbell-one-arm-prone-curl.jpg",4,500,500)</f>
        <v/>
      </c>
      <c r="B1696" s="30">
        <v>1695.0</v>
      </c>
      <c r="C1696" s="16" t="s">
        <v>2268</v>
      </c>
      <c r="D1696" s="16" t="s">
        <v>184</v>
      </c>
      <c r="E1696" s="16" t="s">
        <v>219</v>
      </c>
      <c r="F1696" s="16" t="s">
        <v>222</v>
      </c>
      <c r="G1696" s="16" t="s">
        <v>220</v>
      </c>
      <c r="H1696" s="16" t="s">
        <v>220</v>
      </c>
    </row>
    <row r="1697" ht="20.25" customHeight="1">
      <c r="A1697" s="32" t="str">
        <f>IMAGE("https://gymvisual.com/7140-catalog_default/dumbbell-one-arm-prone-hammer-curl.jpg",4,500,500)</f>
        <v/>
      </c>
      <c r="B1697" s="30">
        <v>1696.0</v>
      </c>
      <c r="C1697" s="16" t="s">
        <v>2269</v>
      </c>
      <c r="D1697" s="16" t="s">
        <v>184</v>
      </c>
      <c r="E1697" s="16" t="s">
        <v>219</v>
      </c>
      <c r="F1697" s="16" t="s">
        <v>222</v>
      </c>
      <c r="G1697" s="16" t="s">
        <v>220</v>
      </c>
      <c r="H1697" s="16" t="s">
        <v>220</v>
      </c>
    </row>
    <row r="1698" ht="20.25" customHeight="1">
      <c r="A1698" s="32" t="str">
        <f>IMAGE("https://gymvisual.com/5980-catalog_default/dumbbell-one-arm-pullover-on-exercise-ball.jpg",4,500,500)</f>
        <v/>
      </c>
      <c r="B1698" s="30">
        <v>1697.0</v>
      </c>
      <c r="C1698" s="16" t="s">
        <v>2270</v>
      </c>
      <c r="D1698" s="16" t="s">
        <v>184</v>
      </c>
      <c r="E1698" s="16" t="s">
        <v>234</v>
      </c>
      <c r="F1698" s="16" t="s">
        <v>222</v>
      </c>
      <c r="G1698" s="16" t="s">
        <v>347</v>
      </c>
      <c r="H1698" s="16" t="s">
        <v>2222</v>
      </c>
    </row>
    <row r="1699" ht="20.25" customHeight="1">
      <c r="A1699" s="32" t="str">
        <f>IMAGE("https://gymvisual.com/1093-catalog_default/3-4-sit-up.jpg",4,500,500)</f>
        <v/>
      </c>
      <c r="B1699" s="30">
        <v>1698.0</v>
      </c>
      <c r="C1699" s="16" t="s">
        <v>2271</v>
      </c>
      <c r="D1699" s="16" t="s">
        <v>184</v>
      </c>
      <c r="E1699" s="16" t="s">
        <v>214</v>
      </c>
      <c r="F1699" s="16" t="s">
        <v>222</v>
      </c>
      <c r="G1699" s="16" t="s">
        <v>604</v>
      </c>
      <c r="H1699" s="16" t="s">
        <v>220</v>
      </c>
    </row>
    <row r="1700" ht="20.25" customHeight="1">
      <c r="A1700" s="32" t="str">
        <f>IMAGE("https://gymvisual.com/11549-catalog_default/dumbbell-one-arm-revers-wrist-curl-female.jpg",4,500,500)</f>
        <v/>
      </c>
      <c r="B1700" s="30">
        <v>1699.0</v>
      </c>
      <c r="C1700" s="16" t="s">
        <v>2272</v>
      </c>
      <c r="D1700" s="16" t="s">
        <v>184</v>
      </c>
      <c r="E1700" s="16" t="s">
        <v>214</v>
      </c>
      <c r="F1700" s="16" t="s">
        <v>222</v>
      </c>
      <c r="G1700" s="16" t="s">
        <v>220</v>
      </c>
      <c r="H1700" s="16" t="s">
        <v>220</v>
      </c>
    </row>
    <row r="1701" ht="20.25" customHeight="1">
      <c r="A1701" s="32" t="str">
        <f>IMAGE("https://gymvisual.com/1096-catalog_default/3-4-sit-up.jpg",4,500,500)</f>
        <v/>
      </c>
      <c r="B1701" s="30">
        <v>1700.0</v>
      </c>
      <c r="C1701" s="16" t="s">
        <v>2273</v>
      </c>
      <c r="D1701" s="16" t="s">
        <v>184</v>
      </c>
      <c r="E1701" s="16" t="s">
        <v>228</v>
      </c>
      <c r="F1701" s="16" t="s">
        <v>222</v>
      </c>
      <c r="G1701" s="16" t="s">
        <v>408</v>
      </c>
      <c r="H1701" s="16" t="s">
        <v>452</v>
      </c>
    </row>
    <row r="1702" ht="20.25" customHeight="1">
      <c r="A1702" s="32" t="str">
        <f>IMAGE("https://gymvisual.com/11570-catalog_default/dumbbell-one-arm-reverse-fly-with-support-female.jpg",4,500,500)</f>
        <v/>
      </c>
      <c r="B1702" s="30">
        <v>1701.0</v>
      </c>
      <c r="C1702" s="16" t="s">
        <v>2274</v>
      </c>
      <c r="D1702" s="16" t="s">
        <v>184</v>
      </c>
      <c r="E1702" s="16" t="s">
        <v>228</v>
      </c>
      <c r="F1702" s="16" t="s">
        <v>222</v>
      </c>
      <c r="G1702" s="16" t="s">
        <v>220</v>
      </c>
      <c r="H1702" s="16" t="s">
        <v>220</v>
      </c>
    </row>
    <row r="1703" ht="20.25" customHeight="1">
      <c r="A1703" s="32" t="str">
        <f>IMAGE("https://gymvisual.com/17642-catalog_default/dumbbell-one-arm-reverse-fly-with-support-version-2.jpg",4,500,500)</f>
        <v/>
      </c>
      <c r="B1703" s="30">
        <v>1702.0</v>
      </c>
      <c r="C1703" s="16" t="s">
        <v>2275</v>
      </c>
      <c r="D1703" s="16" t="s">
        <v>184</v>
      </c>
      <c r="E1703" s="16" t="s">
        <v>228</v>
      </c>
      <c r="F1703" s="16" t="s">
        <v>222</v>
      </c>
      <c r="G1703" s="16" t="s">
        <v>408</v>
      </c>
      <c r="H1703" s="16" t="s">
        <v>452</v>
      </c>
    </row>
    <row r="1704" ht="20.25" customHeight="1">
      <c r="A1704" s="32" t="str">
        <f>IMAGE("https://gymvisual.com/7097-catalog_default/dumbbell-one-arm-reverse-grip-press.jpg",4,500,500)</f>
        <v/>
      </c>
      <c r="B1704" s="30">
        <v>1703.0</v>
      </c>
      <c r="C1704" s="16" t="s">
        <v>2276</v>
      </c>
      <c r="D1704" s="16" t="s">
        <v>184</v>
      </c>
      <c r="E1704" s="16" t="s">
        <v>234</v>
      </c>
      <c r="F1704" s="16" t="s">
        <v>222</v>
      </c>
      <c r="G1704" s="16" t="s">
        <v>220</v>
      </c>
      <c r="H1704" s="16" t="s">
        <v>220</v>
      </c>
    </row>
    <row r="1705" ht="20.25" customHeight="1">
      <c r="A1705" s="32" t="str">
        <f>IMAGE("https://gymvisual.com/6266-catalog_default/dumbbell-one-arm-reverse-preacher-curl.jpg",4,500,500)</f>
        <v/>
      </c>
      <c r="B1705" s="30">
        <v>1704.0</v>
      </c>
      <c r="C1705" s="16" t="s">
        <v>2277</v>
      </c>
      <c r="D1705" s="16" t="s">
        <v>184</v>
      </c>
      <c r="E1705" s="16" t="s">
        <v>214</v>
      </c>
      <c r="F1705" s="16" t="s">
        <v>222</v>
      </c>
      <c r="G1705" s="16" t="s">
        <v>216</v>
      </c>
      <c r="H1705" s="16" t="s">
        <v>217</v>
      </c>
    </row>
    <row r="1706" ht="20.25" customHeight="1">
      <c r="A1706" s="32" t="str">
        <f>IMAGE("https://gymvisual.com/7141-catalog_default/dumbbell-one-arm-reverse-spider-curl.jpg",4,500,500)</f>
        <v/>
      </c>
      <c r="B1706" s="30">
        <v>1705.0</v>
      </c>
      <c r="C1706" s="16" t="s">
        <v>2278</v>
      </c>
      <c r="D1706" s="16" t="s">
        <v>184</v>
      </c>
      <c r="E1706" s="16" t="s">
        <v>219</v>
      </c>
      <c r="F1706" s="16" t="s">
        <v>222</v>
      </c>
      <c r="G1706" s="16" t="s">
        <v>220</v>
      </c>
      <c r="H1706" s="16" t="s">
        <v>220</v>
      </c>
    </row>
    <row r="1707" ht="20.25" customHeight="1">
      <c r="A1707" s="32" t="str">
        <f>IMAGE("https://gymvisual.com/4607-catalog_default/dumbbell-one-arm-row-rack-support.jpg",4,500,500)</f>
        <v/>
      </c>
      <c r="B1707" s="30">
        <v>1706.0</v>
      </c>
      <c r="C1707" s="16" t="s">
        <v>2279</v>
      </c>
      <c r="D1707" s="16" t="s">
        <v>184</v>
      </c>
      <c r="E1707" s="16" t="s">
        <v>192</v>
      </c>
      <c r="F1707" s="16" t="s">
        <v>222</v>
      </c>
      <c r="G1707" s="16" t="s">
        <v>329</v>
      </c>
      <c r="H1707" s="16" t="s">
        <v>457</v>
      </c>
    </row>
    <row r="1708" ht="20.25" customHeight="1">
      <c r="A1708" s="32" t="str">
        <f>IMAGE("https://gymvisual.com/7142-catalog_default/dumbbell-one-arm-seated-bicep-curl-on-exercise-ball.jpg",4,500,500)</f>
        <v/>
      </c>
      <c r="B1708" s="30">
        <v>1707.0</v>
      </c>
      <c r="C1708" s="16" t="s">
        <v>2280</v>
      </c>
      <c r="D1708" s="16" t="s">
        <v>184</v>
      </c>
      <c r="E1708" s="16" t="s">
        <v>219</v>
      </c>
      <c r="F1708" s="16" t="s">
        <v>222</v>
      </c>
      <c r="G1708" s="16" t="s">
        <v>220</v>
      </c>
      <c r="H1708" s="16" t="s">
        <v>220</v>
      </c>
    </row>
    <row r="1709" ht="20.25" customHeight="1">
      <c r="A1709" s="32" t="str">
        <f>IMAGE("https://gymvisual.com/7143-catalog_default/dumbbell-one-arm-seated-hammer-curl.jpg",4,500,500)</f>
        <v/>
      </c>
      <c r="B1709" s="30">
        <v>1708.0</v>
      </c>
      <c r="C1709" s="16" t="s">
        <v>2281</v>
      </c>
      <c r="D1709" s="16" t="s">
        <v>184</v>
      </c>
      <c r="E1709" s="16" t="s">
        <v>219</v>
      </c>
      <c r="F1709" s="16" t="s">
        <v>222</v>
      </c>
      <c r="G1709" s="16" t="s">
        <v>220</v>
      </c>
      <c r="H1709" s="16" t="s">
        <v>220</v>
      </c>
    </row>
    <row r="1710" ht="20.25" customHeight="1">
      <c r="A1710" s="32" t="str">
        <f>IMAGE("https://gymvisual.com/6267-catalog_default/dumbbell-one-arm-seated-neutral-wrist-curl.jpg",4,500,500)</f>
        <v/>
      </c>
      <c r="B1710" s="30">
        <v>1709.0</v>
      </c>
      <c r="C1710" s="16" t="s">
        <v>2282</v>
      </c>
      <c r="D1710" s="16" t="s">
        <v>184</v>
      </c>
      <c r="E1710" s="16" t="s">
        <v>214</v>
      </c>
      <c r="F1710" s="16" t="s">
        <v>222</v>
      </c>
      <c r="G1710" s="16" t="s">
        <v>604</v>
      </c>
      <c r="H1710" s="16" t="s">
        <v>220</v>
      </c>
    </row>
    <row r="1711" ht="20.25" customHeight="1">
      <c r="A1711" s="32" t="str">
        <f>IMAGE("https://gymvisual.com/11552-catalog_default/dumbbell-one-arm-seated-neutral-wrist-curl-female.jpg",4,500,500)</f>
        <v/>
      </c>
      <c r="B1711" s="30">
        <v>1710.0</v>
      </c>
      <c r="C1711" s="16" t="s">
        <v>2283</v>
      </c>
      <c r="D1711" s="16" t="s">
        <v>184</v>
      </c>
      <c r="E1711" s="16" t="s">
        <v>214</v>
      </c>
      <c r="F1711" s="16" t="s">
        <v>222</v>
      </c>
      <c r="G1711" s="16" t="s">
        <v>220</v>
      </c>
      <c r="H1711" s="16" t="s">
        <v>220</v>
      </c>
    </row>
    <row r="1712" ht="20.25" customHeight="1">
      <c r="A1712" s="32" t="str">
        <f>IMAGE("https://gymvisual.com/1102-catalog_default/3-4-sit-up.jpg",4,500,500)</f>
        <v/>
      </c>
      <c r="B1712" s="30">
        <v>1711.0</v>
      </c>
      <c r="C1712" s="16" t="s">
        <v>2284</v>
      </c>
      <c r="D1712" s="16" t="s">
        <v>184</v>
      </c>
      <c r="E1712" s="16" t="s">
        <v>228</v>
      </c>
      <c r="F1712" s="16" t="s">
        <v>222</v>
      </c>
      <c r="G1712" s="16" t="s">
        <v>229</v>
      </c>
      <c r="H1712" s="16" t="s">
        <v>626</v>
      </c>
    </row>
    <row r="1713" ht="20.25" customHeight="1">
      <c r="A1713" s="32" t="str">
        <f>IMAGE("https://gymvisual.com/1099-catalog_default/3-4-sit-up.jpg",4,500,500)</f>
        <v/>
      </c>
      <c r="B1713" s="30">
        <v>1712.0</v>
      </c>
      <c r="C1713" s="16" t="s">
        <v>2285</v>
      </c>
      <c r="D1713" s="16" t="s">
        <v>184</v>
      </c>
      <c r="E1713" s="16" t="s">
        <v>228</v>
      </c>
      <c r="F1713" s="16" t="s">
        <v>222</v>
      </c>
      <c r="G1713" s="16" t="s">
        <v>229</v>
      </c>
      <c r="H1713" s="16" t="s">
        <v>626</v>
      </c>
    </row>
    <row r="1714" ht="20.25" customHeight="1">
      <c r="A1714" s="32" t="str">
        <f>IMAGE("https://gymvisual.com/10310-catalog_default/dumbbell-one-arm-shoulder-press-version-2-female.jpg",4,500,500)</f>
        <v/>
      </c>
      <c r="B1714" s="30">
        <v>1713.0</v>
      </c>
      <c r="C1714" s="16" t="s">
        <v>2286</v>
      </c>
      <c r="D1714" s="16" t="s">
        <v>184</v>
      </c>
      <c r="E1714" s="16" t="s">
        <v>228</v>
      </c>
      <c r="F1714" s="16" t="s">
        <v>222</v>
      </c>
      <c r="G1714" s="16" t="s">
        <v>229</v>
      </c>
      <c r="H1714" s="16" t="s">
        <v>626</v>
      </c>
    </row>
    <row r="1715" ht="20.25" customHeight="1">
      <c r="A1715" s="32" t="str">
        <f>IMAGE("https://gymvisual.com/17119-catalog_default/dumbbell-one-arm-snatch.jpg",4,500,500)</f>
        <v/>
      </c>
      <c r="B1715" s="30">
        <v>1714.0</v>
      </c>
      <c r="C1715" s="16" t="s">
        <v>2287</v>
      </c>
      <c r="D1715" s="16" t="s">
        <v>184</v>
      </c>
      <c r="E1715" s="16" t="s">
        <v>691</v>
      </c>
      <c r="F1715" s="16" t="s">
        <v>222</v>
      </c>
      <c r="G1715" s="16" t="s">
        <v>2288</v>
      </c>
      <c r="H1715" s="16" t="s">
        <v>2289</v>
      </c>
    </row>
    <row r="1716" ht="20.25" customHeight="1">
      <c r="A1716" s="32" t="str">
        <f>IMAGE("https://gymvisual.com/7144-catalog_default/dumbbell-one-arm-standing-curl.jpg",4,500,500)</f>
        <v/>
      </c>
      <c r="B1716" s="30">
        <v>1715.0</v>
      </c>
      <c r="C1716" s="16" t="s">
        <v>2290</v>
      </c>
      <c r="D1716" s="16" t="s">
        <v>184</v>
      </c>
      <c r="E1716" s="16" t="s">
        <v>219</v>
      </c>
      <c r="F1716" s="16" t="s">
        <v>222</v>
      </c>
      <c r="G1716" s="16" t="s">
        <v>220</v>
      </c>
      <c r="H1716" s="16" t="s">
        <v>220</v>
      </c>
    </row>
    <row r="1717" ht="20.25" customHeight="1">
      <c r="A1717" s="32" t="str">
        <f>IMAGE("https://gymvisual.com/7145-catalog_default/dumbbell-one-arm-standing-hammer-curl.jpg",4,500,500)</f>
        <v/>
      </c>
      <c r="B1717" s="30">
        <v>1716.0</v>
      </c>
      <c r="C1717" s="16" t="s">
        <v>2291</v>
      </c>
      <c r="D1717" s="16" t="s">
        <v>184</v>
      </c>
      <c r="E1717" s="16" t="s">
        <v>219</v>
      </c>
      <c r="F1717" s="16" t="s">
        <v>222</v>
      </c>
      <c r="G1717" s="16" t="s">
        <v>220</v>
      </c>
      <c r="H1717" s="16" t="s">
        <v>220</v>
      </c>
    </row>
    <row r="1718" ht="20.25" customHeight="1">
      <c r="A1718" s="32" t="str">
        <f>IMAGE("https://gymvisual.com/19179-catalog_default/dumbbell-one-arm-thruster.jpg",4,500,500)</f>
        <v/>
      </c>
      <c r="B1718" s="30">
        <v>1717.0</v>
      </c>
      <c r="C1718" s="16" t="s">
        <v>2292</v>
      </c>
      <c r="D1718" s="16" t="s">
        <v>184</v>
      </c>
      <c r="E1718" s="16" t="s">
        <v>691</v>
      </c>
      <c r="F1718" s="16" t="s">
        <v>222</v>
      </c>
      <c r="G1718" s="16" t="s">
        <v>220</v>
      </c>
      <c r="H1718" s="16" t="s">
        <v>220</v>
      </c>
    </row>
    <row r="1719" ht="20.25" customHeight="1">
      <c r="A1719" s="32" t="str">
        <f>IMAGE("https://gymvisual.com/18758-catalog_default/dumbbell-one-arm-triceps-extension-female.jpg",4,500,500)</f>
        <v/>
      </c>
      <c r="B1719" s="30">
        <v>1718.0</v>
      </c>
      <c r="C1719" s="16" t="s">
        <v>2293</v>
      </c>
      <c r="D1719" s="16" t="s">
        <v>184</v>
      </c>
      <c r="E1719" s="16" t="s">
        <v>219</v>
      </c>
      <c r="F1719" s="16" t="s">
        <v>222</v>
      </c>
      <c r="G1719" s="16" t="s">
        <v>220</v>
      </c>
      <c r="H1719" s="16" t="s">
        <v>220</v>
      </c>
    </row>
    <row r="1720" ht="20.25" customHeight="1">
      <c r="A1720" s="32" t="str">
        <f>IMAGE("https://gymvisual.com/1105-catalog_default/3-4-sit-up.jpg",4,500,500)</f>
        <v/>
      </c>
      <c r="B1720" s="30">
        <v>1719.0</v>
      </c>
      <c r="C1720" s="16" t="s">
        <v>2294</v>
      </c>
      <c r="D1720" s="16" t="s">
        <v>184</v>
      </c>
      <c r="E1720" s="16" t="s">
        <v>219</v>
      </c>
      <c r="F1720" s="16" t="s">
        <v>222</v>
      </c>
      <c r="G1720" s="16" t="s">
        <v>223</v>
      </c>
      <c r="H1720" s="16" t="s">
        <v>220</v>
      </c>
    </row>
    <row r="1721" ht="20.25" customHeight="1">
      <c r="A1721" s="32" t="str">
        <f>IMAGE("https://gymvisual.com/11351-catalog_default/dumbbell-one-arm-triceps-extension-on-bench-female.jpg",4,500,500)</f>
        <v/>
      </c>
      <c r="B1721" s="30">
        <v>1720.0</v>
      </c>
      <c r="C1721" s="16" t="s">
        <v>2295</v>
      </c>
      <c r="D1721" s="16" t="s">
        <v>184</v>
      </c>
      <c r="E1721" s="16" t="s">
        <v>219</v>
      </c>
      <c r="F1721" s="16" t="s">
        <v>222</v>
      </c>
      <c r="G1721" s="16" t="s">
        <v>223</v>
      </c>
      <c r="H1721" s="16" t="s">
        <v>220</v>
      </c>
    </row>
    <row r="1722" ht="20.25" customHeight="1">
      <c r="A1722" s="32" t="str">
        <f>IMAGE("https://gymvisual.com/17841-catalog_default/dumbbell-one-arm-triceps-extension-on-stability-ball.jpg",4,500,500)</f>
        <v/>
      </c>
      <c r="B1722" s="30">
        <v>1721.0</v>
      </c>
      <c r="C1722" s="16" t="s">
        <v>2296</v>
      </c>
      <c r="D1722" s="16" t="s">
        <v>184</v>
      </c>
      <c r="E1722" s="16" t="s">
        <v>219</v>
      </c>
      <c r="F1722" s="16" t="s">
        <v>222</v>
      </c>
      <c r="G1722" s="16" t="s">
        <v>220</v>
      </c>
      <c r="H1722" s="16" t="s">
        <v>220</v>
      </c>
    </row>
    <row r="1723" ht="20.25" customHeight="1">
      <c r="A1723" s="32" t="str">
        <f>IMAGE("https://gymvisual.com/1108-catalog_default/3-4-sit-up.jpg",4,500,500)</f>
        <v/>
      </c>
      <c r="B1723" s="30">
        <v>1722.0</v>
      </c>
      <c r="C1723" s="16" t="s">
        <v>2297</v>
      </c>
      <c r="D1723" s="16" t="s">
        <v>184</v>
      </c>
      <c r="E1723" s="16" t="s">
        <v>228</v>
      </c>
      <c r="F1723" s="16" t="s">
        <v>222</v>
      </c>
      <c r="G1723" s="16" t="s">
        <v>544</v>
      </c>
      <c r="H1723" s="16" t="s">
        <v>2298</v>
      </c>
    </row>
    <row r="1724" ht="20.25" customHeight="1">
      <c r="A1724" s="32" t="str">
        <f>IMAGE("https://gymvisual.com/11348-catalog_default/dumbbell-one-arm-upright-row-female.jpg",4,500,500)</f>
        <v/>
      </c>
      <c r="B1724" s="30">
        <v>1723.0</v>
      </c>
      <c r="C1724" s="16" t="s">
        <v>2299</v>
      </c>
      <c r="D1724" s="16" t="s">
        <v>184</v>
      </c>
      <c r="E1724" s="16" t="s">
        <v>228</v>
      </c>
      <c r="F1724" s="16" t="s">
        <v>222</v>
      </c>
      <c r="G1724" s="16" t="s">
        <v>220</v>
      </c>
      <c r="H1724" s="16" t="s">
        <v>220</v>
      </c>
    </row>
    <row r="1725" ht="20.25" customHeight="1">
      <c r="A1725" s="32" t="str">
        <f>IMAGE("https://gymvisual.com/13614-catalog_default/dumbbell-one-arm-wide-grip-bench-press.jpg",4,500,500)</f>
        <v/>
      </c>
      <c r="B1725" s="30">
        <v>1724.0</v>
      </c>
      <c r="C1725" s="16" t="s">
        <v>2300</v>
      </c>
      <c r="D1725" s="16" t="s">
        <v>184</v>
      </c>
      <c r="E1725" s="16" t="s">
        <v>234</v>
      </c>
      <c r="F1725" s="16" t="s">
        <v>222</v>
      </c>
      <c r="G1725" s="16" t="s">
        <v>235</v>
      </c>
      <c r="H1725" s="16" t="s">
        <v>243</v>
      </c>
    </row>
    <row r="1726" ht="20.25" customHeight="1">
      <c r="A1726" s="32" t="str">
        <f>IMAGE("https://gymvisual.com/13115-catalog_default/3-4-sit-up.jpg",4,500,500)</f>
        <v/>
      </c>
      <c r="B1726" s="30">
        <v>1725.0</v>
      </c>
      <c r="C1726" s="16" t="s">
        <v>2301</v>
      </c>
      <c r="D1726" s="16" t="s">
        <v>184</v>
      </c>
      <c r="E1726" s="16" t="s">
        <v>214</v>
      </c>
      <c r="F1726" s="16" t="s">
        <v>222</v>
      </c>
      <c r="G1726" s="16" t="s">
        <v>720</v>
      </c>
      <c r="H1726" s="16" t="s">
        <v>220</v>
      </c>
    </row>
    <row r="1727" ht="20.25" customHeight="1">
      <c r="A1727" s="32" t="str">
        <f>IMAGE("https://gymvisual.com/11555-catalog_default/dumbbell-one-arm-wrist-curl-femaleforearm.jpg",4,500,500)</f>
        <v/>
      </c>
      <c r="B1727" s="30">
        <v>1726.0</v>
      </c>
      <c r="C1727" s="16" t="s">
        <v>2302</v>
      </c>
      <c r="D1727" s="16" t="s">
        <v>184</v>
      </c>
      <c r="E1727" s="16" t="s">
        <v>214</v>
      </c>
      <c r="F1727" s="16" t="s">
        <v>222</v>
      </c>
      <c r="G1727" s="16" t="s">
        <v>220</v>
      </c>
      <c r="H1727" s="16" t="s">
        <v>220</v>
      </c>
    </row>
    <row r="1728" ht="20.25" customHeight="1">
      <c r="A1728" s="32" t="str">
        <f>IMAGE("https://gymvisual.com/20088-catalog_default/dumbbell-one-arm-y-elevation.jpg",4,500,500)</f>
        <v/>
      </c>
      <c r="B1728" s="30">
        <v>1727.0</v>
      </c>
      <c r="C1728" s="16" t="s">
        <v>2303</v>
      </c>
      <c r="D1728" s="16" t="s">
        <v>184</v>
      </c>
      <c r="E1728" s="16" t="s">
        <v>228</v>
      </c>
      <c r="F1728" s="16" t="s">
        <v>222</v>
      </c>
      <c r="G1728" s="16" t="s">
        <v>1997</v>
      </c>
      <c r="H1728" s="16" t="s">
        <v>731</v>
      </c>
    </row>
    <row r="1729" ht="20.25" customHeight="1">
      <c r="A1729" s="32" t="str">
        <f>IMAGE("https://gymvisual.com/7146-catalog_default/dumbbell-one-arm-zottman-preacher-curl.jpg",4,500,500)</f>
        <v/>
      </c>
      <c r="B1729" s="30">
        <v>1728.0</v>
      </c>
      <c r="C1729" s="16" t="s">
        <v>2304</v>
      </c>
      <c r="D1729" s="16" t="s">
        <v>184</v>
      </c>
      <c r="E1729" s="16" t="s">
        <v>219</v>
      </c>
      <c r="F1729" s="16" t="s">
        <v>222</v>
      </c>
      <c r="G1729" s="16" t="s">
        <v>241</v>
      </c>
      <c r="H1729" s="16" t="s">
        <v>2305</v>
      </c>
    </row>
    <row r="1730" ht="20.25" customHeight="1">
      <c r="A1730" s="32" t="str">
        <f>IMAGE("https://gymvisual.com/16706-catalog_default/dumbbell-one-arm-zottman-preacher-curl-female.jpg",4,500,500)</f>
        <v/>
      </c>
      <c r="B1730" s="30">
        <v>1729.0</v>
      </c>
      <c r="C1730" s="16" t="s">
        <v>2306</v>
      </c>
      <c r="D1730" s="16" t="s">
        <v>184</v>
      </c>
      <c r="E1730" s="16" t="s">
        <v>219</v>
      </c>
      <c r="F1730" s="16" t="s">
        <v>222</v>
      </c>
      <c r="G1730" s="16" t="s">
        <v>241</v>
      </c>
      <c r="H1730" s="16" t="s">
        <v>2305</v>
      </c>
    </row>
    <row r="1731" ht="20.25" customHeight="1">
      <c r="A1731" s="32" t="str">
        <f>IMAGE("https://gymvisual.com/5981-catalog_default/dumbbell-one-leg-fly-on-exercise-ball.jpg",4,500,500)</f>
        <v/>
      </c>
      <c r="B1731" s="30">
        <v>1730.0</v>
      </c>
      <c r="C1731" s="16" t="s">
        <v>2307</v>
      </c>
      <c r="D1731" s="16" t="s">
        <v>184</v>
      </c>
      <c r="E1731" s="16" t="s">
        <v>234</v>
      </c>
      <c r="F1731" s="16" t="s">
        <v>222</v>
      </c>
      <c r="G1731" s="16" t="s">
        <v>347</v>
      </c>
      <c r="H1731" s="16" t="s">
        <v>420</v>
      </c>
    </row>
    <row r="1732" ht="20.25" customHeight="1">
      <c r="A1732" s="32" t="str">
        <f>IMAGE("https://gymvisual.com/2772-catalog_default/dumbbell-one-leg-squat.jpg",4,500,500)</f>
        <v/>
      </c>
      <c r="B1732" s="30">
        <v>1731.0</v>
      </c>
      <c r="C1732" s="16" t="s">
        <v>2308</v>
      </c>
      <c r="D1732" s="16" t="s">
        <v>184</v>
      </c>
      <c r="E1732" s="16" t="s">
        <v>285</v>
      </c>
      <c r="F1732" s="16" t="s">
        <v>222</v>
      </c>
      <c r="G1732" s="16" t="s">
        <v>552</v>
      </c>
      <c r="H1732" s="16" t="s">
        <v>553</v>
      </c>
    </row>
    <row r="1733" ht="20.25" customHeight="1">
      <c r="A1733" s="32" t="str">
        <f>IMAGE("https://gymvisual.com/1114-catalog_default/3-4-sit-up.jpg",4,500,500)</f>
        <v/>
      </c>
      <c r="B1733" s="30">
        <v>1732.0</v>
      </c>
      <c r="C1733" s="16" t="s">
        <v>2309</v>
      </c>
      <c r="D1733" s="16" t="s">
        <v>184</v>
      </c>
      <c r="E1733" s="16" t="s">
        <v>214</v>
      </c>
      <c r="F1733" s="16" t="s">
        <v>222</v>
      </c>
      <c r="G1733" s="16" t="s">
        <v>216</v>
      </c>
      <c r="H1733" s="16" t="s">
        <v>220</v>
      </c>
    </row>
    <row r="1734" ht="20.25" customHeight="1">
      <c r="A1734" s="32" t="str">
        <f>IMAGE("https://gymvisual.com/11414-catalog_default/dumbbell-over-bench-neutral-wrist-curl-female.jpg",4,500,500)</f>
        <v/>
      </c>
      <c r="B1734" s="30">
        <v>1733.0</v>
      </c>
      <c r="C1734" s="16" t="s">
        <v>2310</v>
      </c>
      <c r="D1734" s="16" t="s">
        <v>184</v>
      </c>
      <c r="E1734" s="16" t="s">
        <v>214</v>
      </c>
      <c r="F1734" s="16" t="s">
        <v>222</v>
      </c>
      <c r="G1734" s="16" t="s">
        <v>220</v>
      </c>
      <c r="H1734" s="16" t="s">
        <v>220</v>
      </c>
    </row>
    <row r="1735" ht="20.25" customHeight="1">
      <c r="A1735" s="32" t="str">
        <f>IMAGE("https://gymvisual.com/1117-catalog_default/3-4-sit-up.jpg",4,500,500)</f>
        <v/>
      </c>
      <c r="B1735" s="30">
        <v>1734.0</v>
      </c>
      <c r="C1735" s="16" t="s">
        <v>2311</v>
      </c>
      <c r="D1735" s="16" t="s">
        <v>184</v>
      </c>
      <c r="E1735" s="16" t="s">
        <v>214</v>
      </c>
      <c r="F1735" s="16" t="s">
        <v>222</v>
      </c>
      <c r="G1735" s="16" t="s">
        <v>216</v>
      </c>
      <c r="H1735" s="16" t="s">
        <v>220</v>
      </c>
    </row>
    <row r="1736" ht="20.25" customHeight="1">
      <c r="A1736" s="32" t="str">
        <f>IMAGE("https://gymvisual.com/11417-catalog_default/dumbbell-over-bench-one-arm-neutral-wrist-curl-female.jpg",4,500,500)</f>
        <v/>
      </c>
      <c r="B1736" s="30">
        <v>1735.0</v>
      </c>
      <c r="C1736" s="16" t="s">
        <v>2312</v>
      </c>
      <c r="D1736" s="16" t="s">
        <v>184</v>
      </c>
      <c r="E1736" s="16" t="s">
        <v>214</v>
      </c>
      <c r="F1736" s="16" t="s">
        <v>222</v>
      </c>
      <c r="G1736" s="16" t="s">
        <v>220</v>
      </c>
      <c r="H1736" s="16" t="s">
        <v>220</v>
      </c>
    </row>
    <row r="1737" ht="20.25" customHeight="1">
      <c r="A1737" s="32" t="str">
        <f>IMAGE("https://gymvisual.com/6458-catalog_default/dumbbell-over-bench-one-arm-reverse-wrist-curl.jpg",4,500,500)</f>
        <v/>
      </c>
      <c r="B1737" s="30">
        <v>1736.0</v>
      </c>
      <c r="C1737" s="16" t="s">
        <v>2313</v>
      </c>
      <c r="D1737" s="16" t="s">
        <v>184</v>
      </c>
      <c r="E1737" s="16" t="s">
        <v>214</v>
      </c>
      <c r="F1737" s="16" t="s">
        <v>222</v>
      </c>
      <c r="G1737" s="16" t="s">
        <v>720</v>
      </c>
      <c r="H1737" s="16" t="s">
        <v>220</v>
      </c>
    </row>
    <row r="1738" ht="20.25" customHeight="1">
      <c r="A1738" s="32" t="str">
        <f>IMAGE("https://gymvisual.com/1120-catalog_default/3-4-sit-up.jpg",4,500,500)</f>
        <v/>
      </c>
      <c r="B1738" s="30">
        <v>1737.0</v>
      </c>
      <c r="C1738" s="16" t="s">
        <v>2314</v>
      </c>
      <c r="D1738" s="16" t="s">
        <v>184</v>
      </c>
      <c r="E1738" s="16" t="s">
        <v>214</v>
      </c>
      <c r="F1738" s="16" t="s">
        <v>222</v>
      </c>
      <c r="G1738" s="16" t="s">
        <v>604</v>
      </c>
      <c r="H1738" s="16" t="s">
        <v>220</v>
      </c>
    </row>
    <row r="1739" ht="20.25" customHeight="1">
      <c r="A1739" s="32" t="str">
        <f>IMAGE("https://gymvisual.com/11558-catalog_default/dumbbell-over-bench-one-arm-wrist-curl-female.jpg",4,500,500)</f>
        <v/>
      </c>
      <c r="B1739" s="30">
        <v>1738.0</v>
      </c>
      <c r="C1739" s="16" t="s">
        <v>2315</v>
      </c>
      <c r="D1739" s="16" t="s">
        <v>184</v>
      </c>
      <c r="E1739" s="16" t="s">
        <v>214</v>
      </c>
      <c r="F1739" s="16" t="s">
        <v>222</v>
      </c>
      <c r="G1739" s="16" t="s">
        <v>220</v>
      </c>
      <c r="H1739" s="16" t="s">
        <v>220</v>
      </c>
    </row>
    <row r="1740" ht="20.25" customHeight="1">
      <c r="A1740" s="32" t="str">
        <f>IMAGE("https://gymvisual.com/1123-catalog_default/3-4-sit-up.jpg",4,500,500)</f>
        <v/>
      </c>
      <c r="B1740" s="30">
        <v>1739.0</v>
      </c>
      <c r="C1740" s="16" t="s">
        <v>2316</v>
      </c>
      <c r="D1740" s="16" t="s">
        <v>184</v>
      </c>
      <c r="E1740" s="16" t="s">
        <v>214</v>
      </c>
      <c r="F1740" s="16" t="s">
        <v>222</v>
      </c>
      <c r="G1740" s="16" t="s">
        <v>720</v>
      </c>
      <c r="H1740" s="16" t="s">
        <v>220</v>
      </c>
    </row>
    <row r="1741" ht="20.25" customHeight="1">
      <c r="A1741" s="32" t="str">
        <f>IMAGE("https://gymvisual.com/11420-catalog_default/dumbbell-over-bench-revers-wrist-curl-female.jpg",4,500,500)</f>
        <v/>
      </c>
      <c r="B1741" s="30">
        <v>1740.0</v>
      </c>
      <c r="C1741" s="16" t="s">
        <v>2317</v>
      </c>
      <c r="D1741" s="16" t="s">
        <v>184</v>
      </c>
      <c r="E1741" s="16" t="s">
        <v>214</v>
      </c>
      <c r="F1741" s="16" t="s">
        <v>222</v>
      </c>
      <c r="G1741" s="16" t="s">
        <v>220</v>
      </c>
      <c r="H1741" s="16" t="s">
        <v>220</v>
      </c>
    </row>
    <row r="1742" ht="20.25" customHeight="1">
      <c r="A1742" s="32" t="str">
        <f>IMAGE("https://gymvisual.com/22462-catalog_default/dumbbell-over-bench-revers-wrist-curl-with-mat-female.jpg",4,500,500)</f>
        <v/>
      </c>
      <c r="B1742" s="30">
        <v>1741.0</v>
      </c>
      <c r="C1742" s="16" t="s">
        <v>2318</v>
      </c>
      <c r="D1742" s="16" t="s">
        <v>184</v>
      </c>
      <c r="E1742" s="16" t="s">
        <v>214</v>
      </c>
      <c r="F1742" s="16" t="s">
        <v>222</v>
      </c>
      <c r="G1742" s="16" t="s">
        <v>220</v>
      </c>
      <c r="H1742" s="16" t="s">
        <v>220</v>
      </c>
    </row>
    <row r="1743" ht="20.25" customHeight="1">
      <c r="A1743" s="32" t="str">
        <f>IMAGE("https://gymvisual.com/1126-catalog_default/3-4-sit-up.jpg",4,500,500)</f>
        <v/>
      </c>
      <c r="B1743" s="30">
        <v>1742.0</v>
      </c>
      <c r="C1743" s="16" t="s">
        <v>2319</v>
      </c>
      <c r="D1743" s="16" t="s">
        <v>184</v>
      </c>
      <c r="E1743" s="16" t="s">
        <v>214</v>
      </c>
      <c r="F1743" s="16" t="s">
        <v>222</v>
      </c>
      <c r="G1743" s="16" t="s">
        <v>604</v>
      </c>
      <c r="H1743" s="16" t="s">
        <v>220</v>
      </c>
    </row>
    <row r="1744" ht="20.25" customHeight="1">
      <c r="A1744" s="32" t="str">
        <f>IMAGE("https://gymvisual.com/11423-catalog_default/dumbbell-over-bench-wrist-curl-female.jpg",4,500,500)</f>
        <v/>
      </c>
      <c r="B1744" s="30">
        <v>1743.0</v>
      </c>
      <c r="C1744" s="16" t="s">
        <v>2320</v>
      </c>
      <c r="D1744" s="16" t="s">
        <v>184</v>
      </c>
      <c r="E1744" s="16" t="s">
        <v>214</v>
      </c>
      <c r="F1744" s="16" t="s">
        <v>222</v>
      </c>
      <c r="G1744" s="16" t="s">
        <v>720</v>
      </c>
      <c r="H1744" s="16" t="s">
        <v>220</v>
      </c>
    </row>
    <row r="1745" ht="20.25" customHeight="1">
      <c r="A1745" s="32" t="str">
        <f>IMAGE("https://gymvisual.com/12175-catalog_default/dumbbell-overhead-carry.jpg",4,500,500)</f>
        <v/>
      </c>
      <c r="B1745" s="30">
        <v>1744.0</v>
      </c>
      <c r="C1745" s="16" t="s">
        <v>2321</v>
      </c>
      <c r="D1745" s="16" t="s">
        <v>184</v>
      </c>
      <c r="E1745" s="16" t="s">
        <v>285</v>
      </c>
      <c r="F1745" s="16" t="s">
        <v>222</v>
      </c>
      <c r="G1745" s="16" t="s">
        <v>220</v>
      </c>
      <c r="H1745" s="16" t="s">
        <v>220</v>
      </c>
    </row>
    <row r="1746" ht="20.25" customHeight="1">
      <c r="A1746" s="32" t="str">
        <f>IMAGE("https://gymvisual.com/24115-catalog_default/dumbbell-overhead-lunge.jpg",4,500,500)</f>
        <v/>
      </c>
      <c r="B1746" s="30">
        <v>1745.0</v>
      </c>
      <c r="C1746" s="16" t="s">
        <v>2322</v>
      </c>
      <c r="D1746" s="16" t="s">
        <v>184</v>
      </c>
      <c r="E1746" s="16" t="s">
        <v>285</v>
      </c>
      <c r="F1746" s="16" t="s">
        <v>222</v>
      </c>
      <c r="G1746" s="16" t="s">
        <v>220</v>
      </c>
      <c r="H1746" s="16" t="s">
        <v>220</v>
      </c>
    </row>
    <row r="1747" ht="20.25" customHeight="1">
      <c r="A1747" s="32" t="str">
        <f>IMAGE("https://gymvisual.com/7334-catalog_default/dumbbell-overhead-side-lunge.jpg",4,500,500)</f>
        <v/>
      </c>
      <c r="B1747" s="30">
        <v>1746.0</v>
      </c>
      <c r="C1747" s="16" t="s">
        <v>2323</v>
      </c>
      <c r="D1747" s="16" t="s">
        <v>184</v>
      </c>
      <c r="E1747" s="16" t="s">
        <v>285</v>
      </c>
      <c r="F1747" s="16" t="s">
        <v>222</v>
      </c>
      <c r="G1747" s="16" t="s">
        <v>220</v>
      </c>
      <c r="H1747" s="16" t="s">
        <v>220</v>
      </c>
    </row>
    <row r="1748" ht="20.25" customHeight="1">
      <c r="A1748" s="32" t="str">
        <f>IMAGE("https://gymvisual.com/22245-catalog_default/dumbbell-overhead-sit-up.jpg",4,500,500)</f>
        <v/>
      </c>
      <c r="B1748" s="30">
        <v>1747.0</v>
      </c>
      <c r="C1748" s="16" t="s">
        <v>2324</v>
      </c>
      <c r="D1748" s="16" t="s">
        <v>184</v>
      </c>
      <c r="E1748" s="16" t="s">
        <v>254</v>
      </c>
      <c r="F1748" s="16" t="s">
        <v>222</v>
      </c>
      <c r="G1748" s="16" t="s">
        <v>256</v>
      </c>
      <c r="H1748" s="16" t="s">
        <v>257</v>
      </c>
    </row>
    <row r="1749" ht="20.25" customHeight="1">
      <c r="A1749" s="32" t="str">
        <f>IMAGE("https://gymvisual.com/16029-catalog_default/dumbbell-overhead-squat.jpg",4,500,500)</f>
        <v/>
      </c>
      <c r="B1749" s="30">
        <v>1748.0</v>
      </c>
      <c r="C1749" s="16" t="s">
        <v>2325</v>
      </c>
      <c r="D1749" s="16" t="s">
        <v>184</v>
      </c>
      <c r="E1749" s="16" t="s">
        <v>294</v>
      </c>
      <c r="F1749" s="16" t="s">
        <v>222</v>
      </c>
      <c r="G1749" s="16" t="s">
        <v>189</v>
      </c>
      <c r="H1749" s="16" t="s">
        <v>190</v>
      </c>
    </row>
    <row r="1750" ht="20.25" customHeight="1">
      <c r="A1750" s="32" t="str">
        <f>IMAGE("https://gymvisual.com/6020-catalog_default/dumbbell-palm-rotational-bent-over-row.jpg",4,500,500)</f>
        <v/>
      </c>
      <c r="B1750" s="30">
        <v>1749.0</v>
      </c>
      <c r="C1750" s="16" t="s">
        <v>2326</v>
      </c>
      <c r="D1750" s="16" t="s">
        <v>184</v>
      </c>
      <c r="E1750" s="16" t="s">
        <v>192</v>
      </c>
      <c r="F1750" s="16" t="s">
        <v>222</v>
      </c>
      <c r="G1750" s="16" t="s">
        <v>329</v>
      </c>
      <c r="H1750" s="16" t="s">
        <v>457</v>
      </c>
    </row>
    <row r="1751" ht="20.25" customHeight="1">
      <c r="A1751" s="32" t="str">
        <f>IMAGE("https://gymvisual.com/11396-catalog_default/dumbbell-palm-rotational-bent-over-row-female.jpg",4,500,500)</f>
        <v/>
      </c>
      <c r="B1751" s="30">
        <v>1750.0</v>
      </c>
      <c r="C1751" s="16" t="s">
        <v>2327</v>
      </c>
      <c r="D1751" s="16" t="s">
        <v>184</v>
      </c>
      <c r="E1751" s="16" t="s">
        <v>192</v>
      </c>
      <c r="F1751" s="16" t="s">
        <v>222</v>
      </c>
      <c r="G1751" s="16" t="s">
        <v>570</v>
      </c>
      <c r="H1751" s="16" t="s">
        <v>447</v>
      </c>
    </row>
    <row r="1752" ht="20.25" customHeight="1">
      <c r="A1752" s="32" t="str">
        <f>IMAGE("https://gymvisual.com/7098-catalog_default/dumbbell-palms-in-incline-bench-press.jpg",4,500,500)</f>
        <v/>
      </c>
      <c r="B1752" s="30">
        <v>1751.0</v>
      </c>
      <c r="C1752" s="16" t="s">
        <v>2328</v>
      </c>
      <c r="D1752" s="16" t="s">
        <v>184</v>
      </c>
      <c r="E1752" s="16" t="s">
        <v>219</v>
      </c>
      <c r="F1752" s="16" t="s">
        <v>222</v>
      </c>
      <c r="G1752" s="16" t="s">
        <v>415</v>
      </c>
      <c r="H1752" s="16" t="s">
        <v>2329</v>
      </c>
    </row>
    <row r="1753" ht="20.25" customHeight="1">
      <c r="A1753" s="32" t="str">
        <f>IMAGE("https://gymvisual.com/18017-catalog_default/dumbbell-partials-lateral-raise.jpg",4,500,500)</f>
        <v/>
      </c>
      <c r="B1753" s="30">
        <v>1752.0</v>
      </c>
      <c r="C1753" s="16" t="s">
        <v>2330</v>
      </c>
      <c r="D1753" s="16" t="s">
        <v>184</v>
      </c>
      <c r="E1753" s="16" t="s">
        <v>228</v>
      </c>
      <c r="F1753" s="16" t="s">
        <v>222</v>
      </c>
      <c r="G1753" s="16" t="s">
        <v>220</v>
      </c>
      <c r="H1753" s="16" t="s">
        <v>220</v>
      </c>
    </row>
    <row r="1754" ht="20.25" customHeight="1">
      <c r="A1754" s="32" t="str">
        <f>IMAGE("https://gymvisual.com/1129-catalog_default/3-4-sit-up.jpg",4,500,500)</f>
        <v/>
      </c>
      <c r="B1754" s="30">
        <v>1753.0</v>
      </c>
      <c r="C1754" s="16" t="s">
        <v>2331</v>
      </c>
      <c r="D1754" s="16" t="s">
        <v>184</v>
      </c>
      <c r="E1754" s="16" t="s">
        <v>214</v>
      </c>
      <c r="F1754" s="16" t="s">
        <v>222</v>
      </c>
      <c r="G1754" s="16" t="s">
        <v>216</v>
      </c>
      <c r="H1754" s="16" t="s">
        <v>217</v>
      </c>
    </row>
    <row r="1755" ht="20.25" customHeight="1">
      <c r="A1755" s="32" t="str">
        <f>IMAGE("https://gymvisual.com/24254-catalog_default/dumbbell-plank-pass-through.jpg",4,500,500)</f>
        <v/>
      </c>
      <c r="B1755" s="30">
        <v>1754.0</v>
      </c>
      <c r="C1755" s="16" t="s">
        <v>2332</v>
      </c>
      <c r="D1755" s="16" t="s">
        <v>184</v>
      </c>
      <c r="E1755" s="16" t="s">
        <v>254</v>
      </c>
      <c r="F1755" s="16" t="s">
        <v>222</v>
      </c>
      <c r="G1755" s="16" t="s">
        <v>2333</v>
      </c>
      <c r="H1755" s="16" t="s">
        <v>2334</v>
      </c>
    </row>
    <row r="1756" ht="20.25" customHeight="1">
      <c r="A1756" s="32" t="str">
        <f>IMAGE("https://gymvisual.com/1132-catalog_default/3-4-sit-up.jpg",4,500,500)</f>
        <v/>
      </c>
      <c r="B1756" s="30">
        <v>1755.0</v>
      </c>
      <c r="C1756" s="16" t="s">
        <v>2335</v>
      </c>
      <c r="D1756" s="16" t="s">
        <v>184</v>
      </c>
      <c r="E1756" s="16" t="s">
        <v>285</v>
      </c>
      <c r="F1756" s="16" t="s">
        <v>222</v>
      </c>
      <c r="G1756" s="16" t="s">
        <v>189</v>
      </c>
      <c r="H1756" s="16" t="s">
        <v>2046</v>
      </c>
    </row>
    <row r="1757" ht="20.25" customHeight="1">
      <c r="A1757" s="32" t="str">
        <f>IMAGE("https://gymvisual.com/17757-catalog_default/dumbbell-poliquin-lateral-raise.jpg",4,500,500)</f>
        <v/>
      </c>
      <c r="B1757" s="30">
        <v>1756.0</v>
      </c>
      <c r="C1757" s="16" t="s">
        <v>2336</v>
      </c>
      <c r="D1757" s="16" t="s">
        <v>184</v>
      </c>
      <c r="E1757" s="16" t="s">
        <v>228</v>
      </c>
      <c r="F1757" s="16" t="s">
        <v>222</v>
      </c>
      <c r="G1757" s="16" t="s">
        <v>220</v>
      </c>
      <c r="H1757" s="16" t="s">
        <v>220</v>
      </c>
    </row>
    <row r="1758" ht="20.25" customHeight="1">
      <c r="A1758" s="32" t="str">
        <f>IMAGE("https://gymvisual.com/20722-catalog_default/dumbbell-power-clean.jpg",4,500,500)</f>
        <v/>
      </c>
      <c r="B1758" s="30">
        <v>1757.0</v>
      </c>
      <c r="C1758" s="16" t="s">
        <v>2337</v>
      </c>
      <c r="D1758" s="16" t="s">
        <v>184</v>
      </c>
      <c r="E1758" s="16" t="s">
        <v>764</v>
      </c>
      <c r="F1758" s="16" t="s">
        <v>222</v>
      </c>
      <c r="G1758" s="16" t="s">
        <v>220</v>
      </c>
      <c r="H1758" s="16" t="s">
        <v>220</v>
      </c>
    </row>
    <row r="1759" ht="20.25" customHeight="1">
      <c r="A1759" s="32" t="str">
        <f>IMAGE("https://gymvisual.com/19499-catalog_default/dumbbell-power-clean-and-jerk.jpg",4,500,500)</f>
        <v/>
      </c>
      <c r="B1759" s="30">
        <v>1758.0</v>
      </c>
      <c r="C1759" s="16" t="s">
        <v>2338</v>
      </c>
      <c r="D1759" s="16" t="s">
        <v>184</v>
      </c>
      <c r="E1759" s="16" t="s">
        <v>764</v>
      </c>
      <c r="F1759" s="16" t="s">
        <v>222</v>
      </c>
      <c r="G1759" s="16" t="s">
        <v>220</v>
      </c>
      <c r="H1759" s="16" t="s">
        <v>220</v>
      </c>
    </row>
    <row r="1760" ht="20.25" customHeight="1">
      <c r="A1760" s="32" t="str">
        <f>IMAGE("https://gymvisual.com/1135-catalog_default/3-4-sit-up.jpg",4,500,500)</f>
        <v/>
      </c>
      <c r="B1760" s="30">
        <v>1759.0</v>
      </c>
      <c r="C1760" s="16" t="s">
        <v>2339</v>
      </c>
      <c r="D1760" s="16" t="s">
        <v>184</v>
      </c>
      <c r="E1760" s="16" t="s">
        <v>219</v>
      </c>
      <c r="F1760" s="16" t="s">
        <v>222</v>
      </c>
      <c r="G1760" s="16" t="s">
        <v>232</v>
      </c>
      <c r="H1760" s="16" t="s">
        <v>292</v>
      </c>
    </row>
    <row r="1761" ht="20.25" customHeight="1">
      <c r="A1761" s="32" t="str">
        <f>IMAGE("https://gymvisual.com/10363-catalog_default/dumbbell-preacher-curl-female.jpg",4,500,500)</f>
        <v/>
      </c>
      <c r="B1761" s="30">
        <v>1760.0</v>
      </c>
      <c r="C1761" s="16" t="s">
        <v>2340</v>
      </c>
      <c r="D1761" s="16" t="s">
        <v>184</v>
      </c>
      <c r="E1761" s="16" t="s">
        <v>219</v>
      </c>
      <c r="F1761" s="16" t="s">
        <v>222</v>
      </c>
      <c r="G1761" s="16" t="s">
        <v>232</v>
      </c>
      <c r="H1761" s="16" t="s">
        <v>233</v>
      </c>
    </row>
    <row r="1762" ht="20.25" customHeight="1">
      <c r="A1762" s="32" t="str">
        <f>IMAGE("https://gymvisual.com/20592-catalog_default/dumbbell-preacher-curl-turned-torso.jpg",4,500,500)</f>
        <v/>
      </c>
      <c r="B1762" s="30">
        <v>1761.0</v>
      </c>
      <c r="C1762" s="16" t="s">
        <v>2341</v>
      </c>
      <c r="D1762" s="16" t="s">
        <v>184</v>
      </c>
      <c r="E1762" s="16" t="s">
        <v>219</v>
      </c>
      <c r="F1762" s="16" t="s">
        <v>222</v>
      </c>
      <c r="G1762" s="16" t="s">
        <v>232</v>
      </c>
      <c r="H1762" s="16" t="s">
        <v>233</v>
      </c>
    </row>
    <row r="1763" ht="20.25" customHeight="1">
      <c r="A1763" s="32" t="str">
        <f>IMAGE("https://gymvisual.com/7147-catalog_default/dumbbell-preacher-curl-over-exercise-ball.jpg",4,500,500)</f>
        <v/>
      </c>
      <c r="B1763" s="30">
        <v>1762.0</v>
      </c>
      <c r="C1763" s="16" t="s">
        <v>2342</v>
      </c>
      <c r="D1763" s="16" t="s">
        <v>184</v>
      </c>
      <c r="E1763" s="16" t="s">
        <v>219</v>
      </c>
      <c r="F1763" s="16" t="s">
        <v>222</v>
      </c>
      <c r="G1763" s="16" t="s">
        <v>232</v>
      </c>
      <c r="H1763" s="16" t="s">
        <v>233</v>
      </c>
    </row>
    <row r="1764" ht="20.25" customHeight="1">
      <c r="A1764" s="32" t="str">
        <f>IMAGE("https://gymvisual.com/16704-catalog_default/dumbbell-preacher-curl-over-exercise-ball-female.jpg",4,500,500)</f>
        <v/>
      </c>
      <c r="B1764" s="30">
        <v>1763.0</v>
      </c>
      <c r="C1764" s="16" t="s">
        <v>2343</v>
      </c>
      <c r="D1764" s="16" t="s">
        <v>184</v>
      </c>
      <c r="E1764" s="16" t="s">
        <v>219</v>
      </c>
      <c r="F1764" s="16" t="s">
        <v>222</v>
      </c>
      <c r="G1764" s="16" t="s">
        <v>232</v>
      </c>
      <c r="H1764" s="16" t="s">
        <v>233</v>
      </c>
    </row>
    <row r="1765" ht="20.25" customHeight="1">
      <c r="A1765" s="32" t="str">
        <f>IMAGE("https://gymvisual.com/5982-catalog_default/dumbbell-press-on-exercise-ball.jpg",4,500,500)</f>
        <v/>
      </c>
      <c r="B1765" s="30">
        <v>1764.0</v>
      </c>
      <c r="C1765" s="16" t="s">
        <v>2344</v>
      </c>
      <c r="D1765" s="16" t="s">
        <v>184</v>
      </c>
      <c r="E1765" s="16" t="s">
        <v>234</v>
      </c>
      <c r="F1765" s="16" t="s">
        <v>222</v>
      </c>
      <c r="G1765" s="16" t="s">
        <v>347</v>
      </c>
      <c r="H1765" s="16" t="s">
        <v>382</v>
      </c>
    </row>
    <row r="1766" ht="20.25" customHeight="1">
      <c r="A1766" s="32" t="str">
        <f>IMAGE("https://gymvisual.com/13431-catalog_default/dumbbell-press-on-exercise-ball-female.jpg",4,500,500)</f>
        <v/>
      </c>
      <c r="B1766" s="30">
        <v>1765.0</v>
      </c>
      <c r="C1766" s="16" t="s">
        <v>2345</v>
      </c>
      <c r="D1766" s="16" t="s">
        <v>184</v>
      </c>
      <c r="E1766" s="16" t="s">
        <v>234</v>
      </c>
      <c r="F1766" s="16" t="s">
        <v>1929</v>
      </c>
      <c r="G1766" s="16" t="s">
        <v>220</v>
      </c>
      <c r="H1766" s="16" t="s">
        <v>220</v>
      </c>
    </row>
    <row r="1767" ht="20.25" customHeight="1">
      <c r="A1767" s="32" t="str">
        <f>IMAGE("https://gymvisual.com/16022-catalog_default/dumbbell-press-squat.jpg",4,500,500)</f>
        <v/>
      </c>
      <c r="B1767" s="30">
        <v>1766.0</v>
      </c>
      <c r="C1767" s="16" t="s">
        <v>2346</v>
      </c>
      <c r="D1767" s="16" t="s">
        <v>184</v>
      </c>
      <c r="E1767" s="16" t="s">
        <v>2347</v>
      </c>
      <c r="F1767" s="16" t="s">
        <v>222</v>
      </c>
      <c r="G1767" s="16" t="s">
        <v>2348</v>
      </c>
      <c r="H1767" s="16" t="s">
        <v>2349</v>
      </c>
    </row>
    <row r="1768" ht="20.25" customHeight="1">
      <c r="A1768" s="32" t="str">
        <f>IMAGE("https://gymvisual.com/1138-catalog_default/3-4-sit-up.jpg",4,500,500)</f>
        <v/>
      </c>
      <c r="B1768" s="30">
        <v>1767.0</v>
      </c>
      <c r="C1768" s="16" t="s">
        <v>2350</v>
      </c>
      <c r="D1768" s="16" t="s">
        <v>184</v>
      </c>
      <c r="E1768" s="16" t="s">
        <v>219</v>
      </c>
      <c r="F1768" s="16" t="s">
        <v>222</v>
      </c>
      <c r="G1768" s="16" t="s">
        <v>223</v>
      </c>
      <c r="H1768" s="16" t="s">
        <v>220</v>
      </c>
    </row>
    <row r="1769" ht="20.25" customHeight="1">
      <c r="A1769" s="32" t="str">
        <f>IMAGE("https://gymvisual.com/17282-catalog_default/dumbbell-pronate-grip-triceps-extension-female.jpg",4,500,500)</f>
        <v/>
      </c>
      <c r="B1769" s="30">
        <v>1768.0</v>
      </c>
      <c r="C1769" s="16" t="s">
        <v>2351</v>
      </c>
      <c r="D1769" s="16" t="s">
        <v>184</v>
      </c>
      <c r="E1769" s="16" t="s">
        <v>219</v>
      </c>
      <c r="F1769" s="16" t="s">
        <v>222</v>
      </c>
      <c r="G1769" s="16" t="s">
        <v>223</v>
      </c>
      <c r="H1769" s="16" t="s">
        <v>220</v>
      </c>
    </row>
    <row r="1770" ht="20.25" customHeight="1">
      <c r="A1770" s="32" t="str">
        <f>IMAGE("https://gymvisual.com/9845-catalog_default/dumbbell-pronated-grip-row-female.jpg",4,500,500)</f>
        <v/>
      </c>
      <c r="B1770" s="30">
        <v>1769.0</v>
      </c>
      <c r="C1770" s="16" t="s">
        <v>2352</v>
      </c>
      <c r="D1770" s="16" t="s">
        <v>184</v>
      </c>
      <c r="E1770" s="16" t="s">
        <v>192</v>
      </c>
      <c r="F1770" s="16" t="s">
        <v>222</v>
      </c>
      <c r="G1770" s="16" t="s">
        <v>329</v>
      </c>
      <c r="H1770" s="16" t="s">
        <v>457</v>
      </c>
    </row>
    <row r="1771" ht="20.25" customHeight="1">
      <c r="A1771" s="32" t="str">
        <f>IMAGE("https://gymvisual.com/9844-catalog_default/dumbbell-pronated-to-neutral-grip-row-female.jpg",4,500,500)</f>
        <v/>
      </c>
      <c r="B1771" s="30">
        <v>1770.0</v>
      </c>
      <c r="C1771" s="16" t="s">
        <v>2353</v>
      </c>
      <c r="D1771" s="16" t="s">
        <v>184</v>
      </c>
      <c r="E1771" s="16" t="s">
        <v>192</v>
      </c>
      <c r="F1771" s="16" t="s">
        <v>222</v>
      </c>
      <c r="G1771" s="16" t="s">
        <v>329</v>
      </c>
      <c r="H1771" s="16" t="s">
        <v>457</v>
      </c>
    </row>
    <row r="1772" ht="20.25" customHeight="1">
      <c r="A1772" s="32" t="str">
        <f>IMAGE("https://gymvisual.com/25667-catalog_default/dumbbell-prone-full-can-exercise-male.jpg",4,500,500)</f>
        <v/>
      </c>
      <c r="B1772" s="30">
        <v>1771.0</v>
      </c>
      <c r="C1772" s="16" t="s">
        <v>2354</v>
      </c>
      <c r="D1772" s="16" t="s">
        <v>184</v>
      </c>
      <c r="E1772" s="16" t="s">
        <v>228</v>
      </c>
      <c r="F1772" s="16" t="s">
        <v>222</v>
      </c>
      <c r="G1772" s="16" t="s">
        <v>220</v>
      </c>
      <c r="H1772" s="16" t="s">
        <v>220</v>
      </c>
    </row>
    <row r="1773" ht="20.25" customHeight="1">
      <c r="A1773" s="32" t="str">
        <f>IMAGE("https://gymvisual.com/1141-catalog_default/3-4-sit-up.jpg",4,500,500)</f>
        <v/>
      </c>
      <c r="B1773" s="30">
        <v>1772.0</v>
      </c>
      <c r="C1773" s="16" t="s">
        <v>2355</v>
      </c>
      <c r="D1773" s="16" t="s">
        <v>184</v>
      </c>
      <c r="E1773" s="16" t="s">
        <v>219</v>
      </c>
      <c r="F1773" s="16" t="s">
        <v>222</v>
      </c>
      <c r="G1773" s="16" t="s">
        <v>232</v>
      </c>
      <c r="H1773" s="16" t="s">
        <v>233</v>
      </c>
    </row>
    <row r="1774" ht="20.25" customHeight="1">
      <c r="A1774" s="32" t="str">
        <f>IMAGE("https://gymvisual.com/11059-catalog_default/dumbbell-prone-incline-curl-female.jpg",4,500,500)</f>
        <v/>
      </c>
      <c r="B1774" s="30">
        <v>1773.0</v>
      </c>
      <c r="C1774" s="16" t="s">
        <v>2356</v>
      </c>
      <c r="D1774" s="16" t="s">
        <v>184</v>
      </c>
      <c r="E1774" s="16" t="s">
        <v>219</v>
      </c>
      <c r="F1774" s="16" t="s">
        <v>222</v>
      </c>
      <c r="G1774" s="16" t="s">
        <v>241</v>
      </c>
      <c r="H1774" s="16" t="s">
        <v>292</v>
      </c>
    </row>
    <row r="1775" ht="20.25" customHeight="1">
      <c r="A1775" s="32" t="str">
        <f>IMAGE("https://gymvisual.com/7148-catalog_default/dumbbell-prone-incline-hammer-curl.jpg",4,500,500)</f>
        <v/>
      </c>
      <c r="B1775" s="30">
        <v>1774.0</v>
      </c>
      <c r="C1775" s="16" t="s">
        <v>2357</v>
      </c>
      <c r="D1775" s="16" t="s">
        <v>184</v>
      </c>
      <c r="E1775" s="16" t="s">
        <v>219</v>
      </c>
      <c r="F1775" s="16" t="s">
        <v>222</v>
      </c>
      <c r="G1775" s="16" t="s">
        <v>216</v>
      </c>
      <c r="H1775" s="16" t="s">
        <v>217</v>
      </c>
    </row>
    <row r="1776" ht="20.25" customHeight="1">
      <c r="A1776" s="32" t="str">
        <f>IMAGE("https://gymvisual.com/11056-catalog_default/dumbbell-prone-incline-hammer-curl-female.jpg",4,500,500)</f>
        <v/>
      </c>
      <c r="B1776" s="30">
        <v>1775.0</v>
      </c>
      <c r="C1776" s="16" t="s">
        <v>2358</v>
      </c>
      <c r="D1776" s="16" t="s">
        <v>184</v>
      </c>
      <c r="E1776" s="16" t="s">
        <v>219</v>
      </c>
      <c r="F1776" s="16" t="s">
        <v>222</v>
      </c>
      <c r="G1776" s="16" t="s">
        <v>220</v>
      </c>
      <c r="H1776" s="16" t="s">
        <v>220</v>
      </c>
    </row>
    <row r="1777" ht="20.25" customHeight="1">
      <c r="A1777" s="32" t="str">
        <f>IMAGE("https://gymvisual.com/24792-catalog_default/dumbbell-prone-rear-delt-swing.jpg",4,500,500)</f>
        <v/>
      </c>
      <c r="B1777" s="30">
        <v>1776.0</v>
      </c>
      <c r="C1777" s="16" t="s">
        <v>2359</v>
      </c>
      <c r="D1777" s="16" t="s">
        <v>184</v>
      </c>
      <c r="E1777" s="16" t="s">
        <v>228</v>
      </c>
      <c r="F1777" s="16" t="s">
        <v>222</v>
      </c>
      <c r="G1777" s="16" t="s">
        <v>408</v>
      </c>
      <c r="H1777" s="16" t="s">
        <v>1621</v>
      </c>
    </row>
    <row r="1778" ht="20.25" customHeight="1">
      <c r="A1778" s="32" t="str">
        <f>IMAGE("https://gymvisual.com/20058-catalog_default/dumbbell-prone-triceps-kickback.jpg",4,500,500)</f>
        <v/>
      </c>
      <c r="B1778" s="30">
        <v>1777.0</v>
      </c>
      <c r="C1778" s="16" t="s">
        <v>2360</v>
      </c>
      <c r="D1778" s="16" t="s">
        <v>184</v>
      </c>
      <c r="E1778" s="16" t="s">
        <v>219</v>
      </c>
      <c r="F1778" s="16" t="s">
        <v>222</v>
      </c>
      <c r="G1778" s="16" t="s">
        <v>223</v>
      </c>
      <c r="H1778" s="16" t="s">
        <v>220</v>
      </c>
    </row>
    <row r="1779" ht="20.25" customHeight="1">
      <c r="A1779" s="32" t="str">
        <f>IMAGE("https://gymvisual.com/1144-catalog_default/3-4-sit-up.jpg",4,500,500)</f>
        <v/>
      </c>
      <c r="B1779" s="30">
        <v>1778.0</v>
      </c>
      <c r="C1779" s="16" t="s">
        <v>2361</v>
      </c>
      <c r="D1779" s="16" t="s">
        <v>184</v>
      </c>
      <c r="E1779" s="16" t="s">
        <v>234</v>
      </c>
      <c r="F1779" s="16" t="s">
        <v>222</v>
      </c>
      <c r="G1779" s="16" t="s">
        <v>347</v>
      </c>
      <c r="H1779" s="16" t="s">
        <v>2362</v>
      </c>
    </row>
    <row r="1780" ht="20.25" customHeight="1">
      <c r="A1780" s="32" t="str">
        <f>IMAGE("https://gymvisual.com/5983-catalog_default/dumbbell-pullover-hip-extension-on-exercise-ball.jpg",4,500,500)</f>
        <v/>
      </c>
      <c r="B1780" s="30">
        <v>1779.0</v>
      </c>
      <c r="C1780" s="16" t="s">
        <v>2363</v>
      </c>
      <c r="D1780" s="16" t="s">
        <v>184</v>
      </c>
      <c r="E1780" s="16" t="s">
        <v>234</v>
      </c>
      <c r="F1780" s="16" t="s">
        <v>222</v>
      </c>
      <c r="G1780" s="16" t="s">
        <v>2364</v>
      </c>
      <c r="H1780" s="16" t="s">
        <v>2365</v>
      </c>
    </row>
    <row r="1781" ht="20.25" customHeight="1">
      <c r="A1781" s="32" t="str">
        <f>IMAGE("https://gymvisual.com/5984-catalog_default/dumbbell-pullover-on-exercise-ball.jpg",4,500,500)</f>
        <v/>
      </c>
      <c r="B1781" s="30">
        <v>1780.0</v>
      </c>
      <c r="C1781" s="16" t="s">
        <v>2366</v>
      </c>
      <c r="D1781" s="16" t="s">
        <v>184</v>
      </c>
      <c r="E1781" s="16" t="s">
        <v>234</v>
      </c>
      <c r="F1781" s="16" t="s">
        <v>222</v>
      </c>
      <c r="G1781" s="16" t="s">
        <v>347</v>
      </c>
      <c r="H1781" s="16" t="s">
        <v>2222</v>
      </c>
    </row>
    <row r="1782" ht="20.25" customHeight="1">
      <c r="A1782" s="32" t="str">
        <f>IMAGE("https://gymvisual.com/11393-catalog_default/dumbbell-pullover-on-exercise-ball-female.jpg",4,500,500)</f>
        <v/>
      </c>
      <c r="B1782" s="30">
        <v>1781.0</v>
      </c>
      <c r="C1782" s="16" t="s">
        <v>2367</v>
      </c>
      <c r="D1782" s="16" t="s">
        <v>184</v>
      </c>
      <c r="E1782" s="16" t="s">
        <v>192</v>
      </c>
      <c r="F1782" s="16" t="s">
        <v>1929</v>
      </c>
      <c r="G1782" s="16" t="s">
        <v>220</v>
      </c>
      <c r="H1782" s="16" t="s">
        <v>220</v>
      </c>
    </row>
    <row r="1783" ht="20.25" customHeight="1">
      <c r="A1783" s="32" t="str">
        <f>IMAGE("https://gymvisual.com/22153-catalog_default/dumbbell-pullover-on-floor.jpg",4,500,500)</f>
        <v/>
      </c>
      <c r="B1783" s="30">
        <v>1782.0</v>
      </c>
      <c r="C1783" s="16" t="s">
        <v>2368</v>
      </c>
      <c r="D1783" s="16" t="s">
        <v>184</v>
      </c>
      <c r="E1783" s="16" t="s">
        <v>192</v>
      </c>
      <c r="F1783" s="16" t="s">
        <v>222</v>
      </c>
      <c r="G1783" s="16" t="s">
        <v>347</v>
      </c>
      <c r="H1783" s="16" t="s">
        <v>2362</v>
      </c>
    </row>
    <row r="1784" ht="20.25" customHeight="1">
      <c r="A1784" s="32" t="str">
        <f>IMAGE("https://gymvisual.com/19447-catalog_default/dumbbell-push-jerk.jpg",4,500,500)</f>
        <v/>
      </c>
      <c r="B1784" s="30">
        <v>1783.0</v>
      </c>
      <c r="C1784" s="16" t="s">
        <v>2369</v>
      </c>
      <c r="D1784" s="16" t="s">
        <v>184</v>
      </c>
      <c r="E1784" s="16" t="s">
        <v>764</v>
      </c>
      <c r="F1784" s="16" t="s">
        <v>222</v>
      </c>
      <c r="G1784" s="16" t="s">
        <v>220</v>
      </c>
      <c r="H1784" s="16" t="s">
        <v>220</v>
      </c>
    </row>
    <row r="1785" ht="20.25" customHeight="1">
      <c r="A1785" s="32" t="str">
        <f>IMAGE("https://gymvisual.com/7352-catalog_default/dumbbell-push-press.jpg",4,500,500)</f>
        <v/>
      </c>
      <c r="B1785" s="30">
        <v>1784.0</v>
      </c>
      <c r="C1785" s="16" t="s">
        <v>2370</v>
      </c>
      <c r="D1785" s="16" t="s">
        <v>184</v>
      </c>
      <c r="E1785" s="16" t="s">
        <v>228</v>
      </c>
      <c r="F1785" s="16" t="s">
        <v>222</v>
      </c>
      <c r="G1785" s="16" t="s">
        <v>2371</v>
      </c>
      <c r="H1785" s="16" t="s">
        <v>220</v>
      </c>
    </row>
    <row r="1786" ht="20.25" customHeight="1">
      <c r="A1786" s="32" t="str">
        <f>IMAGE("https://gymvisual.com/17409-catalog_default/dumbbell-push-up-front-raise.jpg",4,500,500)</f>
        <v/>
      </c>
      <c r="B1786" s="30">
        <v>1785.0</v>
      </c>
      <c r="C1786" s="16" t="s">
        <v>2372</v>
      </c>
      <c r="D1786" s="16" t="s">
        <v>184</v>
      </c>
      <c r="E1786" s="16" t="s">
        <v>234</v>
      </c>
      <c r="F1786" s="16" t="s">
        <v>222</v>
      </c>
      <c r="G1786" s="16" t="s">
        <v>220</v>
      </c>
      <c r="H1786" s="16" t="s">
        <v>220</v>
      </c>
    </row>
    <row r="1787" ht="20.25" customHeight="1">
      <c r="A1787" s="32" t="str">
        <f>IMAGE("https://gymvisual.com/1147-catalog_default/3-4-sit-up.jpg",4,500,500)</f>
        <v/>
      </c>
      <c r="B1787" s="30">
        <v>1786.0</v>
      </c>
      <c r="C1787" s="16" t="s">
        <v>2373</v>
      </c>
      <c r="D1787" s="16" t="s">
        <v>184</v>
      </c>
      <c r="E1787" s="16" t="s">
        <v>228</v>
      </c>
      <c r="F1787" s="16" t="s">
        <v>222</v>
      </c>
      <c r="G1787" s="16" t="s">
        <v>544</v>
      </c>
      <c r="H1787" s="16" t="s">
        <v>2374</v>
      </c>
    </row>
    <row r="1788" ht="20.25" customHeight="1">
      <c r="A1788" s="32" t="str">
        <f>IMAGE("https://gymvisual.com/22247-catalog_default/dumbbell-rdl-and-bent-over-row.jpg",4,500,500)</f>
        <v/>
      </c>
      <c r="B1788" s="30">
        <v>1787.0</v>
      </c>
      <c r="C1788" s="16" t="s">
        <v>2375</v>
      </c>
      <c r="D1788" s="16" t="s">
        <v>184</v>
      </c>
      <c r="E1788" s="16" t="s">
        <v>192</v>
      </c>
      <c r="F1788" s="16" t="s">
        <v>222</v>
      </c>
      <c r="G1788" s="16" t="s">
        <v>220</v>
      </c>
      <c r="H1788" s="16" t="s">
        <v>220</v>
      </c>
    </row>
    <row r="1789" ht="20.25" customHeight="1">
      <c r="A1789" s="32" t="str">
        <f>IMAGE("https://gymvisual.com/14413-catalog_default/dumbbell-rdl-death-march.jpg",4,500,500)</f>
        <v/>
      </c>
      <c r="B1789" s="30">
        <v>1788.0</v>
      </c>
      <c r="C1789" s="16" t="s">
        <v>2376</v>
      </c>
      <c r="D1789" s="16" t="s">
        <v>184</v>
      </c>
      <c r="E1789" s="16" t="s">
        <v>185</v>
      </c>
      <c r="F1789" s="16" t="s">
        <v>222</v>
      </c>
      <c r="G1789" s="16" t="s">
        <v>189</v>
      </c>
      <c r="H1789" s="16" t="s">
        <v>314</v>
      </c>
    </row>
    <row r="1790" ht="20.25" customHeight="1">
      <c r="A1790" s="32" t="str">
        <f>IMAGE("https://gymvisual.com/20752-catalog_default/dumbbell-rear-delt-fly-45-degrees.jpg",4,500,500)</f>
        <v/>
      </c>
      <c r="B1790" s="30">
        <v>1789.0</v>
      </c>
      <c r="C1790" s="16" t="s">
        <v>2377</v>
      </c>
      <c r="D1790" s="16" t="s">
        <v>184</v>
      </c>
      <c r="E1790" s="16" t="s">
        <v>228</v>
      </c>
      <c r="F1790" s="16" t="s">
        <v>222</v>
      </c>
      <c r="G1790" s="16" t="s">
        <v>408</v>
      </c>
      <c r="H1790" s="16" t="s">
        <v>452</v>
      </c>
    </row>
    <row r="1791" ht="20.25" customHeight="1">
      <c r="A1791" s="32" t="str">
        <f>IMAGE("https://gymvisual.com/11032-catalog_default/dumbbell-rear-delt-fly-female.jpg",4,500,500)</f>
        <v/>
      </c>
      <c r="B1791" s="30">
        <v>1790.0</v>
      </c>
      <c r="C1791" s="16" t="s">
        <v>2378</v>
      </c>
      <c r="D1791" s="16" t="s">
        <v>184</v>
      </c>
      <c r="E1791" s="16" t="s">
        <v>228</v>
      </c>
      <c r="F1791" s="16" t="s">
        <v>222</v>
      </c>
      <c r="G1791" s="16" t="s">
        <v>408</v>
      </c>
      <c r="H1791" s="16" t="s">
        <v>452</v>
      </c>
    </row>
    <row r="1792" ht="20.25" customHeight="1">
      <c r="A1792" s="32" t="str">
        <f>IMAGE("https://gymvisual.com/9736-catalog_default/dumbbell-rear-delt-raise.jpg",4,500,500)</f>
        <v/>
      </c>
      <c r="B1792" s="30">
        <v>1791.0</v>
      </c>
      <c r="C1792" s="16" t="s">
        <v>2379</v>
      </c>
      <c r="D1792" s="16" t="s">
        <v>184</v>
      </c>
      <c r="E1792" s="16" t="s">
        <v>228</v>
      </c>
      <c r="F1792" s="16" t="s">
        <v>222</v>
      </c>
      <c r="G1792" s="16" t="s">
        <v>408</v>
      </c>
      <c r="H1792" s="16" t="s">
        <v>2380</v>
      </c>
    </row>
    <row r="1793" ht="20.25" customHeight="1">
      <c r="A1793" s="32" t="str">
        <f>IMAGE("https://gymvisual.com/13894-catalog_default/dumbbell-rear-delt-raise-female.jpg",4,500,500)</f>
        <v/>
      </c>
      <c r="B1793" s="30">
        <v>1792.0</v>
      </c>
      <c r="C1793" s="16" t="s">
        <v>2381</v>
      </c>
      <c r="D1793" s="16" t="s">
        <v>184</v>
      </c>
      <c r="E1793" s="16" t="s">
        <v>228</v>
      </c>
      <c r="F1793" s="16" t="s">
        <v>222</v>
      </c>
      <c r="G1793" s="16" t="s">
        <v>220</v>
      </c>
      <c r="H1793" s="16" t="s">
        <v>220</v>
      </c>
    </row>
    <row r="1794" ht="20.25" customHeight="1">
      <c r="A1794" s="32" t="str">
        <f>IMAGE("https://gymvisual.com/16620-catalog_default/dumbbell-rear-delt-row-female.jpg",4,500,500)</f>
        <v/>
      </c>
      <c r="B1794" s="30">
        <v>1793.0</v>
      </c>
      <c r="C1794" s="16" t="s">
        <v>2382</v>
      </c>
      <c r="D1794" s="16" t="s">
        <v>184</v>
      </c>
      <c r="E1794" s="16" t="s">
        <v>192</v>
      </c>
      <c r="F1794" s="16" t="s">
        <v>222</v>
      </c>
      <c r="G1794" s="16" t="s">
        <v>329</v>
      </c>
      <c r="H1794" s="16" t="s">
        <v>447</v>
      </c>
    </row>
    <row r="1795" ht="20.25" customHeight="1">
      <c r="A1795" s="32" t="str">
        <f>IMAGE("https://gymvisual.com/1150-catalog_default/3-4-sit-up.jpg",4,500,500)</f>
        <v/>
      </c>
      <c r="B1795" s="30">
        <v>1794.0</v>
      </c>
      <c r="C1795" s="16" t="s">
        <v>2383</v>
      </c>
      <c r="D1795" s="16" t="s">
        <v>184</v>
      </c>
      <c r="E1795" s="16" t="s">
        <v>228</v>
      </c>
      <c r="F1795" s="16" t="s">
        <v>222</v>
      </c>
      <c r="G1795" s="16" t="s">
        <v>408</v>
      </c>
      <c r="H1795" s="16" t="s">
        <v>490</v>
      </c>
    </row>
    <row r="1796" ht="20.25" customHeight="1">
      <c r="A1796" s="32" t="str">
        <f>IMAGE("https://gymvisual.com/20628-catalog_default/3-4-sit-up.jpg",4,500,500)</f>
        <v/>
      </c>
      <c r="B1796" s="30">
        <v>1795.0</v>
      </c>
      <c r="C1796" s="16" t="s">
        <v>2384</v>
      </c>
      <c r="D1796" s="16" t="s">
        <v>184</v>
      </c>
      <c r="E1796" s="16" t="s">
        <v>228</v>
      </c>
      <c r="F1796" s="16" t="s">
        <v>222</v>
      </c>
      <c r="G1796" s="16" t="s">
        <v>408</v>
      </c>
      <c r="H1796" s="16" t="s">
        <v>452</v>
      </c>
    </row>
    <row r="1797" ht="20.25" customHeight="1">
      <c r="A1797" s="32" t="str">
        <f>IMAGE("https://gymvisual.com/10370-catalog_default/dumbbell-rear-fly-female.jpg",4,500,500)</f>
        <v/>
      </c>
      <c r="B1797" s="30">
        <v>1796.0</v>
      </c>
      <c r="C1797" s="16" t="s">
        <v>2385</v>
      </c>
      <c r="D1797" s="16" t="s">
        <v>184</v>
      </c>
      <c r="E1797" s="16" t="s">
        <v>228</v>
      </c>
      <c r="F1797" s="16" t="s">
        <v>222</v>
      </c>
      <c r="G1797" s="16" t="s">
        <v>408</v>
      </c>
      <c r="H1797" s="16" t="s">
        <v>452</v>
      </c>
    </row>
    <row r="1798" ht="20.25" customHeight="1">
      <c r="A1798" s="32" t="str">
        <f>IMAGE("https://gymvisual.com/20742-catalog_default/3-4-sit-up.jpg",4,500,500)</f>
        <v/>
      </c>
      <c r="B1798" s="30">
        <v>1797.0</v>
      </c>
      <c r="C1798" s="16" t="s">
        <v>2386</v>
      </c>
      <c r="D1798" s="16" t="s">
        <v>184</v>
      </c>
      <c r="E1798" s="16" t="s">
        <v>228</v>
      </c>
      <c r="F1798" s="16" t="s">
        <v>222</v>
      </c>
      <c r="G1798" s="16" t="s">
        <v>408</v>
      </c>
      <c r="H1798" s="16" t="s">
        <v>452</v>
      </c>
    </row>
    <row r="1799" ht="20.25" customHeight="1">
      <c r="A1799" s="32" t="str">
        <f>IMAGE("https://gymvisual.com/1156-catalog_default/3-4-sit-up.jpg",4,500,500)</f>
        <v/>
      </c>
      <c r="B1799" s="30">
        <v>1798.0</v>
      </c>
      <c r="C1799" s="16" t="s">
        <v>2387</v>
      </c>
      <c r="D1799" s="16" t="s">
        <v>184</v>
      </c>
      <c r="E1799" s="16" t="s">
        <v>228</v>
      </c>
      <c r="F1799" s="16" t="s">
        <v>222</v>
      </c>
      <c r="G1799" s="16" t="s">
        <v>408</v>
      </c>
      <c r="H1799" s="16" t="s">
        <v>452</v>
      </c>
    </row>
    <row r="1800" ht="20.25" customHeight="1">
      <c r="A1800" s="32" t="str">
        <f>IMAGE("https://gymvisual.com/1162-catalog_default/3-4-sit-up.jpg",4,500,500)</f>
        <v/>
      </c>
      <c r="B1800" s="30">
        <v>1799.0</v>
      </c>
      <c r="C1800" s="16" t="s">
        <v>2388</v>
      </c>
      <c r="D1800" s="16" t="s">
        <v>184</v>
      </c>
      <c r="E1800" s="16" t="s">
        <v>285</v>
      </c>
      <c r="F1800" s="16" t="s">
        <v>222</v>
      </c>
      <c r="G1800" s="16" t="s">
        <v>189</v>
      </c>
      <c r="H1800" s="16" t="s">
        <v>190</v>
      </c>
    </row>
    <row r="1801" ht="20.25" customHeight="1">
      <c r="A1801" s="32" t="str">
        <f>IMAGE("https://gymvisual.com/9571-catalog_default/dumbbell-rear-lunge-female.jpg",4,500,500)</f>
        <v/>
      </c>
      <c r="B1801" s="30">
        <v>1800.0</v>
      </c>
      <c r="C1801" s="16" t="s">
        <v>2389</v>
      </c>
      <c r="D1801" s="16" t="s">
        <v>184</v>
      </c>
      <c r="E1801" s="16" t="s">
        <v>294</v>
      </c>
      <c r="F1801" s="16" t="s">
        <v>222</v>
      </c>
      <c r="G1801" s="16" t="s">
        <v>189</v>
      </c>
      <c r="H1801" s="16" t="s">
        <v>190</v>
      </c>
    </row>
    <row r="1802" ht="20.25" customHeight="1">
      <c r="A1802" s="32" t="str">
        <f>IMAGE("https://gymvisual.com/10256-catalog_default/dumbbell-rear-lunge-from-step-female.jpg",4,500,500)</f>
        <v/>
      </c>
      <c r="B1802" s="30">
        <v>1801.0</v>
      </c>
      <c r="C1802" s="16" t="s">
        <v>2390</v>
      </c>
      <c r="D1802" s="16" t="s">
        <v>184</v>
      </c>
      <c r="E1802" s="16" t="s">
        <v>294</v>
      </c>
      <c r="F1802" s="16" t="s">
        <v>222</v>
      </c>
      <c r="G1802" s="16" t="s">
        <v>189</v>
      </c>
      <c r="H1802" s="16" t="s">
        <v>190</v>
      </c>
    </row>
    <row r="1803" ht="20.25" customHeight="1">
      <c r="A1803" s="32" t="str">
        <f>IMAGE("https://gymvisual.com/17583-catalog_default/dumbbell-rear-lunge-front-raise.jpg",4,500,500)</f>
        <v/>
      </c>
      <c r="B1803" s="30">
        <v>1802.0</v>
      </c>
      <c r="C1803" s="16" t="s">
        <v>2391</v>
      </c>
      <c r="D1803" s="16" t="s">
        <v>184</v>
      </c>
      <c r="E1803" s="16" t="s">
        <v>691</v>
      </c>
      <c r="F1803" s="16" t="s">
        <v>222</v>
      </c>
      <c r="G1803" s="16" t="s">
        <v>793</v>
      </c>
      <c r="H1803" s="16" t="s">
        <v>2392</v>
      </c>
    </row>
    <row r="1804" ht="20.25" customHeight="1">
      <c r="A1804" s="32" t="str">
        <f>IMAGE("https://gymvisual.com/13301-catalog_default/dumbbell-renegade-row.jpg",4,500,500)</f>
        <v/>
      </c>
      <c r="B1804" s="30">
        <v>1803.0</v>
      </c>
      <c r="C1804" s="16" t="s">
        <v>2393</v>
      </c>
      <c r="D1804" s="16" t="s">
        <v>184</v>
      </c>
      <c r="E1804" s="16" t="s">
        <v>361</v>
      </c>
      <c r="F1804" s="16" t="s">
        <v>222</v>
      </c>
      <c r="G1804" s="16" t="s">
        <v>329</v>
      </c>
      <c r="H1804" s="16" t="s">
        <v>457</v>
      </c>
    </row>
    <row r="1805" ht="20.25" customHeight="1">
      <c r="A1805" s="32" t="str">
        <f>IMAGE("https://gymvisual.com/13303-catalog_default/dumbbell-renegade-row-female.jpg",4,500,500)</f>
        <v/>
      </c>
      <c r="B1805" s="30">
        <v>1804.0</v>
      </c>
      <c r="C1805" s="16" t="s">
        <v>2394</v>
      </c>
      <c r="D1805" s="16" t="s">
        <v>184</v>
      </c>
      <c r="E1805" s="16" t="s">
        <v>361</v>
      </c>
      <c r="F1805" s="16" t="s">
        <v>222</v>
      </c>
      <c r="G1805" s="16" t="s">
        <v>220</v>
      </c>
      <c r="H1805" s="16" t="s">
        <v>220</v>
      </c>
    </row>
    <row r="1806" ht="20.25" customHeight="1">
      <c r="A1806" s="32" t="str">
        <f>IMAGE("https://gymvisual.com/19604-catalog_default/dumbbell-renegade-row-to-squat.jpg",4,500,500)</f>
        <v/>
      </c>
      <c r="B1806" s="30">
        <v>1805.0</v>
      </c>
      <c r="C1806" s="16" t="s">
        <v>2395</v>
      </c>
      <c r="D1806" s="16" t="s">
        <v>184</v>
      </c>
      <c r="E1806" s="16" t="s">
        <v>2396</v>
      </c>
      <c r="F1806" s="16" t="s">
        <v>222</v>
      </c>
      <c r="G1806" s="16" t="s">
        <v>220</v>
      </c>
      <c r="H1806" s="16" t="s">
        <v>220</v>
      </c>
    </row>
    <row r="1807" ht="20.25" customHeight="1">
      <c r="A1807" s="32" t="str">
        <f>IMAGE("https://gymvisual.com/1165-catalog_default/3-4-sit-up.jpg",4,500,500)</f>
        <v/>
      </c>
      <c r="B1807" s="30">
        <v>1806.0</v>
      </c>
      <c r="C1807" s="16" t="s">
        <v>2397</v>
      </c>
      <c r="D1807" s="16" t="s">
        <v>184</v>
      </c>
      <c r="E1807" s="16" t="s">
        <v>214</v>
      </c>
      <c r="F1807" s="16" t="s">
        <v>222</v>
      </c>
      <c r="G1807" s="16" t="s">
        <v>216</v>
      </c>
      <c r="H1807" s="16" t="s">
        <v>217</v>
      </c>
    </row>
    <row r="1808" ht="20.25" customHeight="1">
      <c r="A1808" s="32" t="str">
        <f>IMAGE("https://gymvisual.com/7099-catalog_default/dumbbell-reverse-bench-press.jpg",4,500,500)</f>
        <v/>
      </c>
      <c r="B1808" s="30">
        <v>1807.0</v>
      </c>
      <c r="C1808" s="16" t="s">
        <v>2398</v>
      </c>
      <c r="D1808" s="16" t="s">
        <v>184</v>
      </c>
      <c r="E1808" s="16" t="s">
        <v>234</v>
      </c>
      <c r="F1808" s="16" t="s">
        <v>222</v>
      </c>
      <c r="G1808" s="16" t="s">
        <v>220</v>
      </c>
      <c r="H1808" s="16" t="s">
        <v>220</v>
      </c>
    </row>
    <row r="1809" ht="20.25" customHeight="1">
      <c r="A1809" s="32" t="str">
        <f>IMAGE("https://gymvisual.com/13924-catalog_default/dumbbell-reverse-bench-press-female.jpg",4,500,500)</f>
        <v/>
      </c>
      <c r="B1809" s="30">
        <v>1808.0</v>
      </c>
      <c r="C1809" s="16" t="s">
        <v>2399</v>
      </c>
      <c r="D1809" s="16" t="s">
        <v>184</v>
      </c>
      <c r="E1809" s="16" t="s">
        <v>1894</v>
      </c>
      <c r="F1809" s="16" t="s">
        <v>222</v>
      </c>
      <c r="G1809" s="16" t="s">
        <v>2400</v>
      </c>
      <c r="H1809" s="16" t="s">
        <v>229</v>
      </c>
    </row>
    <row r="1810" ht="20.25" customHeight="1">
      <c r="A1810" s="32" t="str">
        <f>IMAGE("https://gymvisual.com/1168-catalog_default/3-4-sit-up.jpg",4,500,500)</f>
        <v/>
      </c>
      <c r="B1810" s="30">
        <v>1809.0</v>
      </c>
      <c r="C1810" s="16" t="s">
        <v>2401</v>
      </c>
      <c r="D1810" s="16" t="s">
        <v>184</v>
      </c>
      <c r="E1810" s="16" t="s">
        <v>228</v>
      </c>
      <c r="F1810" s="16" t="s">
        <v>222</v>
      </c>
      <c r="G1810" s="16" t="s">
        <v>408</v>
      </c>
      <c r="H1810" s="16" t="s">
        <v>452</v>
      </c>
    </row>
    <row r="1811" ht="20.25" customHeight="1">
      <c r="A1811" s="32" t="str">
        <f>IMAGE("https://gymvisual.com/6021-catalog_default/dumbbell-reverse-grip-incline-bench-one-arm-row.jpg",4,500,500)</f>
        <v/>
      </c>
      <c r="B1811" s="30">
        <v>1810.0</v>
      </c>
      <c r="C1811" s="16" t="s">
        <v>2402</v>
      </c>
      <c r="D1811" s="16" t="s">
        <v>184</v>
      </c>
      <c r="E1811" s="16" t="s">
        <v>192</v>
      </c>
      <c r="F1811" s="16" t="s">
        <v>222</v>
      </c>
      <c r="G1811" s="16" t="s">
        <v>329</v>
      </c>
      <c r="H1811" s="16" t="s">
        <v>457</v>
      </c>
    </row>
    <row r="1812" ht="20.25" customHeight="1">
      <c r="A1812" s="32" t="str">
        <f>IMAGE("https://gymvisual.com/11399-catalog_default/dumbbell-reverse-grip-incline-bench-one-arm-row-female.jpg",4,500,500)</f>
        <v/>
      </c>
      <c r="B1812" s="30">
        <v>1811.0</v>
      </c>
      <c r="C1812" s="16" t="s">
        <v>2403</v>
      </c>
      <c r="D1812" s="16" t="s">
        <v>184</v>
      </c>
      <c r="E1812" s="16" t="s">
        <v>192</v>
      </c>
      <c r="F1812" s="16" t="s">
        <v>222</v>
      </c>
      <c r="G1812" s="16" t="s">
        <v>220</v>
      </c>
      <c r="H1812" s="16" t="s">
        <v>220</v>
      </c>
    </row>
    <row r="1813" ht="20.25" customHeight="1">
      <c r="A1813" s="32" t="str">
        <f>IMAGE("https://gymvisual.com/6022-catalog_default/dumbbell-reverse-grip-incline-bench-two-arm-row.jpg",4,500,500)</f>
        <v/>
      </c>
      <c r="B1813" s="30">
        <v>1812.0</v>
      </c>
      <c r="C1813" s="16" t="s">
        <v>2404</v>
      </c>
      <c r="D1813" s="16" t="s">
        <v>184</v>
      </c>
      <c r="E1813" s="16" t="s">
        <v>192</v>
      </c>
      <c r="F1813" s="16" t="s">
        <v>222</v>
      </c>
      <c r="G1813" s="16" t="s">
        <v>329</v>
      </c>
      <c r="H1813" s="16" t="s">
        <v>457</v>
      </c>
    </row>
    <row r="1814" ht="20.25" customHeight="1">
      <c r="A1814" s="32" t="str">
        <f>IMAGE("https://gymvisual.com/11104-catalog_default/dumbbell-reverse-grip-incline-row-female.jpg",4,500,500)</f>
        <v/>
      </c>
      <c r="B1814" s="30">
        <v>1813.0</v>
      </c>
      <c r="C1814" s="16" t="s">
        <v>2405</v>
      </c>
      <c r="D1814" s="16" t="s">
        <v>184</v>
      </c>
      <c r="E1814" s="16" t="s">
        <v>192</v>
      </c>
      <c r="F1814" s="16" t="s">
        <v>222</v>
      </c>
      <c r="G1814" s="16" t="s">
        <v>570</v>
      </c>
      <c r="H1814" s="16" t="s">
        <v>447</v>
      </c>
    </row>
    <row r="1815" ht="20.25" customHeight="1">
      <c r="A1815" s="32" t="str">
        <f>IMAGE("https://gymvisual.com/9846-catalog_default/dumbbell-reverse-grip-row-female.jpg",4,500,500)</f>
        <v/>
      </c>
      <c r="B1815" s="30">
        <v>1814.0</v>
      </c>
      <c r="C1815" s="16" t="s">
        <v>2406</v>
      </c>
      <c r="D1815" s="16" t="s">
        <v>184</v>
      </c>
      <c r="E1815" s="16" t="s">
        <v>192</v>
      </c>
      <c r="F1815" s="16" t="s">
        <v>222</v>
      </c>
      <c r="G1815" s="16" t="s">
        <v>329</v>
      </c>
      <c r="H1815" s="16" t="s">
        <v>457</v>
      </c>
    </row>
    <row r="1816" ht="20.25" customHeight="1">
      <c r="A1816" s="32" t="str">
        <f>IMAGE("https://gymvisual.com/22357-catalog_default/dumbbell-reverse-grip-squeeze-bench-press.jpg",4,500,500)</f>
        <v/>
      </c>
      <c r="B1816" s="30">
        <v>1815.0</v>
      </c>
      <c r="C1816" s="16" t="s">
        <v>2407</v>
      </c>
      <c r="D1816" s="16" t="s">
        <v>184</v>
      </c>
      <c r="E1816" s="16" t="s">
        <v>219</v>
      </c>
      <c r="F1816" s="16" t="s">
        <v>222</v>
      </c>
      <c r="G1816" s="16" t="s">
        <v>220</v>
      </c>
      <c r="H1816" s="16" t="s">
        <v>220</v>
      </c>
    </row>
    <row r="1817" ht="20.25" customHeight="1">
      <c r="A1817" s="32" t="str">
        <f>IMAGE("https://gymvisual.com/24991-catalog_default/3-4-sit-up.jpg",4,500,500)</f>
        <v/>
      </c>
      <c r="B1817" s="30">
        <v>1816.0</v>
      </c>
      <c r="C1817" s="16" t="s">
        <v>2408</v>
      </c>
      <c r="D1817" s="16" t="s">
        <v>184</v>
      </c>
      <c r="E1817" s="16" t="s">
        <v>214</v>
      </c>
      <c r="F1817" s="16" t="s">
        <v>222</v>
      </c>
      <c r="G1817" s="16" t="s">
        <v>216</v>
      </c>
      <c r="H1817" s="16" t="s">
        <v>217</v>
      </c>
    </row>
    <row r="1818" ht="20.25" customHeight="1">
      <c r="A1818" s="32" t="str">
        <f>IMAGE("https://gymvisual.com/7149-catalog_default/dumbbell-reverse-spider-curl.jpg",4,500,500)</f>
        <v/>
      </c>
      <c r="B1818" s="30">
        <v>1817.0</v>
      </c>
      <c r="C1818" s="16" t="s">
        <v>2409</v>
      </c>
      <c r="D1818" s="16" t="s">
        <v>184</v>
      </c>
      <c r="E1818" s="16" t="s">
        <v>219</v>
      </c>
      <c r="F1818" s="16" t="s">
        <v>222</v>
      </c>
      <c r="G1818" s="16" t="s">
        <v>220</v>
      </c>
      <c r="H1818" s="16" t="s">
        <v>220</v>
      </c>
    </row>
    <row r="1819" ht="20.25" customHeight="1">
      <c r="A1819" s="32" t="str">
        <f>IMAGE("https://gymvisual.com/1174-catalog_default/3-4-sit-up.jpg",4,500,500)</f>
        <v/>
      </c>
      <c r="B1819" s="30">
        <v>1818.0</v>
      </c>
      <c r="C1819" s="16" t="s">
        <v>2410</v>
      </c>
      <c r="D1819" s="16" t="s">
        <v>184</v>
      </c>
      <c r="E1819" s="16" t="s">
        <v>214</v>
      </c>
      <c r="F1819" s="16" t="s">
        <v>222</v>
      </c>
      <c r="G1819" s="16" t="s">
        <v>604</v>
      </c>
      <c r="H1819" s="16" t="s">
        <v>220</v>
      </c>
    </row>
    <row r="1820" ht="20.25" customHeight="1">
      <c r="A1820" s="32" t="str">
        <f>IMAGE("https://gymvisual.com/7639-catalog_default/dumbbell-romanian-deadlift.jpg",4,500,500)</f>
        <v/>
      </c>
      <c r="B1820" s="30">
        <v>1819.0</v>
      </c>
      <c r="C1820" s="16" t="s">
        <v>2411</v>
      </c>
      <c r="D1820" s="16" t="s">
        <v>184</v>
      </c>
      <c r="E1820" s="16" t="s">
        <v>185</v>
      </c>
      <c r="F1820" s="16" t="s">
        <v>222</v>
      </c>
      <c r="G1820" s="16" t="s">
        <v>2412</v>
      </c>
      <c r="H1820" s="16" t="s">
        <v>2413</v>
      </c>
    </row>
    <row r="1821" ht="20.25" customHeight="1">
      <c r="A1821" s="32" t="str">
        <f>IMAGE("https://gymvisual.com/9580-catalog_default/dumbbell-romanian-deadlift-female.jpg",4,500,500)</f>
        <v/>
      </c>
      <c r="B1821" s="30">
        <v>1820.0</v>
      </c>
      <c r="C1821" s="16" t="s">
        <v>2414</v>
      </c>
      <c r="D1821" s="16" t="s">
        <v>184</v>
      </c>
      <c r="E1821" s="16" t="s">
        <v>185</v>
      </c>
      <c r="F1821" s="16" t="s">
        <v>222</v>
      </c>
      <c r="G1821" s="16" t="s">
        <v>267</v>
      </c>
      <c r="H1821" s="16" t="s">
        <v>2415</v>
      </c>
    </row>
    <row r="1822" ht="20.25" customHeight="1">
      <c r="A1822" s="32" t="str">
        <f>IMAGE("https://gymvisual.com/1177-catalog_default/3-4-sit-up.jpg",4,500,500)</f>
        <v/>
      </c>
      <c r="B1822" s="30">
        <v>1821.0</v>
      </c>
      <c r="C1822" s="16" t="s">
        <v>2416</v>
      </c>
      <c r="D1822" s="16" t="s">
        <v>184</v>
      </c>
      <c r="E1822" s="16" t="s">
        <v>228</v>
      </c>
      <c r="F1822" s="16" t="s">
        <v>222</v>
      </c>
      <c r="G1822" s="16" t="s">
        <v>408</v>
      </c>
      <c r="H1822" s="16" t="s">
        <v>2417</v>
      </c>
    </row>
    <row r="1823" ht="20.25" customHeight="1">
      <c r="A1823" s="32" t="str">
        <f>IMAGE("https://gymvisual.com/22355-catalog_default/dumbbell-rotational-grip-bench-press.jpg",4,500,500)</f>
        <v/>
      </c>
      <c r="B1823" s="30">
        <v>1822.0</v>
      </c>
      <c r="C1823" s="16" t="s">
        <v>2418</v>
      </c>
      <c r="D1823" s="16" t="s">
        <v>184</v>
      </c>
      <c r="E1823" s="16" t="s">
        <v>234</v>
      </c>
      <c r="F1823" s="16" t="s">
        <v>222</v>
      </c>
      <c r="G1823" s="16" t="s">
        <v>220</v>
      </c>
      <c r="H1823" s="16" t="s">
        <v>220</v>
      </c>
    </row>
    <row r="1824" ht="20.25" customHeight="1">
      <c r="A1824" s="32" t="str">
        <f>IMAGE("https://gymvisual.com/13920-catalog_default/dumbbell-russian-twist.jpg",4,500,500)</f>
        <v/>
      </c>
      <c r="B1824" s="30">
        <v>1823.0</v>
      </c>
      <c r="C1824" s="16" t="s">
        <v>2419</v>
      </c>
      <c r="D1824" s="16" t="s">
        <v>184</v>
      </c>
      <c r="E1824" s="16" t="s">
        <v>254</v>
      </c>
      <c r="F1824" s="16" t="s">
        <v>222</v>
      </c>
      <c r="G1824" s="16" t="s">
        <v>257</v>
      </c>
      <c r="H1824" s="16" t="s">
        <v>256</v>
      </c>
    </row>
    <row r="1825" ht="20.25" customHeight="1">
      <c r="A1825" s="32" t="str">
        <f>IMAGE("https://gymvisual.com/13922-catalog_default/dumbbell-russian-twist-female.jpg",4,500,500)</f>
        <v/>
      </c>
      <c r="B1825" s="30">
        <v>1824.0</v>
      </c>
      <c r="C1825" s="16" t="s">
        <v>2420</v>
      </c>
      <c r="D1825" s="16" t="s">
        <v>184</v>
      </c>
      <c r="E1825" s="16" t="s">
        <v>254</v>
      </c>
      <c r="F1825" s="16" t="s">
        <v>222</v>
      </c>
      <c r="G1825" s="16" t="s">
        <v>257</v>
      </c>
      <c r="H1825" s="16" t="s">
        <v>256</v>
      </c>
    </row>
    <row r="1826" ht="20.25" customHeight="1">
      <c r="A1826" s="32" t="str">
        <f>IMAGE("https://gymvisual.com/17815-catalog_default/dumbbell-russian-twist-on-stability-ball.jpg",4,500,500)</f>
        <v/>
      </c>
      <c r="B1826" s="30">
        <v>1825.0</v>
      </c>
      <c r="C1826" s="16" t="s">
        <v>2421</v>
      </c>
      <c r="D1826" s="16" t="s">
        <v>184</v>
      </c>
      <c r="E1826" s="16" t="s">
        <v>254</v>
      </c>
      <c r="F1826" s="16" t="s">
        <v>222</v>
      </c>
      <c r="G1826" s="16" t="s">
        <v>220</v>
      </c>
      <c r="H1826" s="16" t="s">
        <v>220</v>
      </c>
    </row>
    <row r="1827" ht="20.25" customHeight="1">
      <c r="A1827" s="32" t="str">
        <f>IMAGE("https://gymvisual.com/19596-catalog_default/dumbbell-russian-twist-close-grip-shoulder-press-sit-up.jpg",4,500,500)</f>
        <v/>
      </c>
      <c r="B1827" s="30">
        <v>1826.0</v>
      </c>
      <c r="C1827" s="16" t="s">
        <v>2422</v>
      </c>
      <c r="D1827" s="16" t="s">
        <v>184</v>
      </c>
      <c r="E1827" s="16" t="s">
        <v>254</v>
      </c>
      <c r="F1827" s="16" t="s">
        <v>222</v>
      </c>
      <c r="G1827" s="16" t="s">
        <v>220</v>
      </c>
      <c r="H1827" s="16" t="s">
        <v>220</v>
      </c>
    </row>
    <row r="1828" ht="20.25" customHeight="1">
      <c r="A1828" s="32" t="str">
        <f>IMAGE("https://gymvisual.com/22249-catalog_default/dumbbell-russian-twist-with-legs-floor-off.jpg",4,500,500)</f>
        <v/>
      </c>
      <c r="B1828" s="30">
        <v>1827.0</v>
      </c>
      <c r="C1828" s="16" t="s">
        <v>2423</v>
      </c>
      <c r="D1828" s="16" t="s">
        <v>184</v>
      </c>
      <c r="E1828" s="16" t="s">
        <v>254</v>
      </c>
      <c r="F1828" s="16" t="s">
        <v>222</v>
      </c>
      <c r="G1828" s="16" t="s">
        <v>220</v>
      </c>
      <c r="H1828" s="16" t="s">
        <v>220</v>
      </c>
    </row>
    <row r="1829" ht="20.25" customHeight="1">
      <c r="A1829" s="32" t="str">
        <f>IMAGE("https://gymvisual.com/10375-catalog_default/dumbbell-scott-press.jpg",4,500,500)</f>
        <v/>
      </c>
      <c r="B1829" s="30">
        <v>1828.0</v>
      </c>
      <c r="C1829" s="16" t="s">
        <v>2424</v>
      </c>
      <c r="D1829" s="16" t="s">
        <v>184</v>
      </c>
      <c r="E1829" s="16" t="s">
        <v>228</v>
      </c>
      <c r="F1829" s="16" t="s">
        <v>222</v>
      </c>
      <c r="G1829" s="16" t="s">
        <v>544</v>
      </c>
      <c r="H1829" s="16" t="s">
        <v>2425</v>
      </c>
    </row>
    <row r="1830" ht="20.25" customHeight="1">
      <c r="A1830" s="32" t="str">
        <f>IMAGE("https://gymvisual.com/13896-catalog_default/dumbbell-scott-press-female.jpg",4,500,500)</f>
        <v/>
      </c>
      <c r="B1830" s="30">
        <v>1829.0</v>
      </c>
      <c r="C1830" s="16" t="s">
        <v>2426</v>
      </c>
      <c r="D1830" s="16" t="s">
        <v>184</v>
      </c>
      <c r="E1830" s="16" t="s">
        <v>228</v>
      </c>
      <c r="F1830" s="16" t="s">
        <v>222</v>
      </c>
      <c r="G1830" s="16" t="s">
        <v>220</v>
      </c>
      <c r="H1830" s="16" t="s">
        <v>220</v>
      </c>
    </row>
    <row r="1831" ht="20.25" customHeight="1">
      <c r="A1831" s="32" t="str">
        <f>IMAGE("https://gymvisual.com/16702-catalog_default/dumbbell-seated-alternate-biceps-curl-female.jpg",4,500,500)</f>
        <v/>
      </c>
      <c r="B1831" s="30">
        <v>1830.0</v>
      </c>
      <c r="C1831" s="16" t="s">
        <v>2427</v>
      </c>
      <c r="D1831" s="16" t="s">
        <v>184</v>
      </c>
      <c r="E1831" s="16" t="s">
        <v>219</v>
      </c>
      <c r="F1831" s="16" t="s">
        <v>222</v>
      </c>
      <c r="G1831" s="16" t="s">
        <v>241</v>
      </c>
      <c r="H1831" s="16" t="s">
        <v>292</v>
      </c>
    </row>
    <row r="1832" ht="20.25" customHeight="1">
      <c r="A1832" s="32" t="str">
        <f>IMAGE("https://gymvisual.com/1180-catalog_default/3-4-sit-up.jpg",4,500,500)</f>
        <v/>
      </c>
      <c r="B1832" s="30">
        <v>1831.0</v>
      </c>
      <c r="C1832" s="16" t="s">
        <v>2428</v>
      </c>
      <c r="D1832" s="16" t="s">
        <v>184</v>
      </c>
      <c r="E1832" s="16" t="s">
        <v>228</v>
      </c>
      <c r="F1832" s="16" t="s">
        <v>222</v>
      </c>
      <c r="G1832" s="16" t="s">
        <v>229</v>
      </c>
      <c r="H1832" s="16" t="s">
        <v>244</v>
      </c>
    </row>
    <row r="1833" ht="20.25" customHeight="1">
      <c r="A1833" s="32" t="str">
        <f>IMAGE("https://gymvisual.com/11336-catalog_default/dumbbell-seated-alternate-front-raise-female.jpg",4,500,500)</f>
        <v/>
      </c>
      <c r="B1833" s="30">
        <v>1832.0</v>
      </c>
      <c r="C1833" s="16" t="s">
        <v>2429</v>
      </c>
      <c r="D1833" s="16" t="s">
        <v>184</v>
      </c>
      <c r="E1833" s="16" t="s">
        <v>228</v>
      </c>
      <c r="F1833" s="16" t="s">
        <v>222</v>
      </c>
      <c r="G1833" s="16" t="s">
        <v>229</v>
      </c>
      <c r="H1833" s="16" t="s">
        <v>244</v>
      </c>
    </row>
    <row r="1834" ht="20.25" customHeight="1">
      <c r="A1834" s="32" t="str">
        <f>IMAGE("https://gymvisual.com/7150-catalog_default/dumbbell-seated-alternate-hammer-curl-on-exercise-ball.jpg",4,500,500)</f>
        <v/>
      </c>
      <c r="B1834" s="30">
        <v>1833.0</v>
      </c>
      <c r="C1834" s="16" t="s">
        <v>2430</v>
      </c>
      <c r="D1834" s="16" t="s">
        <v>184</v>
      </c>
      <c r="E1834" s="16" t="s">
        <v>219</v>
      </c>
      <c r="F1834" s="16" t="s">
        <v>222</v>
      </c>
      <c r="G1834" s="16" t="s">
        <v>220</v>
      </c>
      <c r="H1834" s="16" t="s">
        <v>220</v>
      </c>
    </row>
    <row r="1835" ht="20.25" customHeight="1">
      <c r="A1835" s="32" t="str">
        <f>IMAGE("https://gymvisual.com/1183-catalog_default/3-4-sit-up.jpg",4,500,500)</f>
        <v/>
      </c>
      <c r="B1835" s="30">
        <v>1834.0</v>
      </c>
      <c r="C1835" s="16" t="s">
        <v>2431</v>
      </c>
      <c r="D1835" s="16" t="s">
        <v>184</v>
      </c>
      <c r="E1835" s="16" t="s">
        <v>228</v>
      </c>
      <c r="F1835" s="16" t="s">
        <v>222</v>
      </c>
      <c r="G1835" s="16" t="s">
        <v>229</v>
      </c>
      <c r="H1835" s="16" t="s">
        <v>626</v>
      </c>
    </row>
    <row r="1836" ht="20.25" customHeight="1">
      <c r="A1836" s="32" t="str">
        <f>IMAGE("https://gymvisual.com/11333-catalog_default/dumbbell-seated-alternate-press-female.jpg",4,500,500)</f>
        <v/>
      </c>
      <c r="B1836" s="30">
        <v>1835.0</v>
      </c>
      <c r="C1836" s="16" t="s">
        <v>2432</v>
      </c>
      <c r="D1836" s="16" t="s">
        <v>184</v>
      </c>
      <c r="E1836" s="16" t="s">
        <v>228</v>
      </c>
      <c r="F1836" s="16" t="s">
        <v>222</v>
      </c>
      <c r="G1836" s="16" t="s">
        <v>220</v>
      </c>
      <c r="H1836" s="16" t="s">
        <v>220</v>
      </c>
    </row>
    <row r="1837" ht="20.25" customHeight="1">
      <c r="A1837" s="32" t="str">
        <f>IMAGE("https://gymvisual.com/14104-catalog_default/dumbbell-seated-alternate-shoulder.jpg",4,500,500)</f>
        <v/>
      </c>
      <c r="B1837" s="30">
        <v>1836.0</v>
      </c>
      <c r="C1837" s="16" t="s">
        <v>2433</v>
      </c>
      <c r="D1837" s="16" t="s">
        <v>184</v>
      </c>
      <c r="E1837" s="16" t="s">
        <v>228</v>
      </c>
      <c r="F1837" s="16" t="s">
        <v>222</v>
      </c>
      <c r="G1837" s="16" t="s">
        <v>229</v>
      </c>
      <c r="H1837" s="16" t="s">
        <v>626</v>
      </c>
    </row>
    <row r="1838" ht="20.25" customHeight="1">
      <c r="A1838" s="32" t="str">
        <f>IMAGE("https://gymvisual.com/14173-catalog_default/3-4-sit-up.jpg",4,500,500)</f>
        <v/>
      </c>
      <c r="B1838" s="30">
        <v>1837.0</v>
      </c>
      <c r="C1838" s="16" t="s">
        <v>2434</v>
      </c>
      <c r="D1838" s="16" t="s">
        <v>184</v>
      </c>
      <c r="E1838" s="16" t="s">
        <v>219</v>
      </c>
      <c r="F1838" s="16" t="s">
        <v>222</v>
      </c>
      <c r="G1838" s="16" t="s">
        <v>223</v>
      </c>
      <c r="H1838" s="16" t="s">
        <v>220</v>
      </c>
    </row>
    <row r="1839" ht="20.25" customHeight="1">
      <c r="A1839" s="32" t="str">
        <f>IMAGE("https://gymvisual.com/9807-catalog_default/dumbbell-seated-bent-arm-lateral-raise.jpg",4,500,500)</f>
        <v/>
      </c>
      <c r="B1839" s="30">
        <v>1838.0</v>
      </c>
      <c r="C1839" s="16" t="s">
        <v>2435</v>
      </c>
      <c r="D1839" s="16" t="s">
        <v>184</v>
      </c>
      <c r="E1839" s="16" t="s">
        <v>228</v>
      </c>
      <c r="F1839" s="16" t="s">
        <v>222</v>
      </c>
      <c r="G1839" s="16" t="s">
        <v>544</v>
      </c>
      <c r="H1839" s="16" t="s">
        <v>2436</v>
      </c>
    </row>
    <row r="1840" ht="20.25" customHeight="1">
      <c r="A1840" s="32" t="str">
        <f>IMAGE("https://gymvisual.com/7449-catalog_default/dumbbell-seated-bent-over-alternate-kickback.jpg",4,500,500)</f>
        <v/>
      </c>
      <c r="B1840" s="30">
        <v>1839.0</v>
      </c>
      <c r="C1840" s="16" t="s">
        <v>2437</v>
      </c>
      <c r="D1840" s="16" t="s">
        <v>184</v>
      </c>
      <c r="E1840" s="16" t="s">
        <v>219</v>
      </c>
      <c r="F1840" s="16" t="s">
        <v>222</v>
      </c>
      <c r="G1840" s="16" t="s">
        <v>220</v>
      </c>
      <c r="H1840" s="16" t="s">
        <v>220</v>
      </c>
    </row>
    <row r="1841" ht="20.25" customHeight="1">
      <c r="A1841" s="32" t="str">
        <f>IMAGE("https://gymvisual.com/17865-catalog_default/dumbbell-seated-bent-over-alternate-rear-delt-fly.jpg",4,500,500)</f>
        <v/>
      </c>
      <c r="B1841" s="30">
        <v>1840.0</v>
      </c>
      <c r="C1841" s="16" t="s">
        <v>2438</v>
      </c>
      <c r="D1841" s="16" t="s">
        <v>184</v>
      </c>
      <c r="E1841" s="16" t="s">
        <v>228</v>
      </c>
      <c r="F1841" s="16" t="s">
        <v>222</v>
      </c>
      <c r="G1841" s="16" t="s">
        <v>220</v>
      </c>
      <c r="H1841" s="16" t="s">
        <v>220</v>
      </c>
    </row>
    <row r="1842" ht="20.25" customHeight="1">
      <c r="A1842" s="32" t="str">
        <f>IMAGE("https://gymvisual.com/17634-catalog_default/dumbbell-seated-bent-over-rear-delt-row.jpg",4,500,500)</f>
        <v/>
      </c>
      <c r="B1842" s="30">
        <v>1841.0</v>
      </c>
      <c r="C1842" s="16" t="s">
        <v>2439</v>
      </c>
      <c r="D1842" s="16" t="s">
        <v>184</v>
      </c>
      <c r="E1842" s="16" t="s">
        <v>228</v>
      </c>
      <c r="F1842" s="16" t="s">
        <v>222</v>
      </c>
      <c r="G1842" s="16" t="s">
        <v>408</v>
      </c>
      <c r="H1842" s="16" t="s">
        <v>452</v>
      </c>
    </row>
    <row r="1843" ht="20.25" customHeight="1">
      <c r="A1843" s="32" t="str">
        <f>IMAGE("https://gymvisual.com/7456-catalog_default/dumbbell-seated-bent-over-triceps-extension.jpg",4,500,500)</f>
        <v/>
      </c>
      <c r="B1843" s="30">
        <v>1842.0</v>
      </c>
      <c r="C1843" s="16" t="s">
        <v>2440</v>
      </c>
      <c r="D1843" s="16" t="s">
        <v>184</v>
      </c>
      <c r="E1843" s="16" t="s">
        <v>219</v>
      </c>
      <c r="F1843" s="16" t="s">
        <v>222</v>
      </c>
      <c r="G1843" s="16" t="s">
        <v>220</v>
      </c>
      <c r="H1843" s="16" t="s">
        <v>220</v>
      </c>
    </row>
    <row r="1844" ht="20.25" customHeight="1">
      <c r="A1844" s="32" t="str">
        <f>IMAGE("https://gymvisual.com/7151-catalog_default/dumbbell-seated-bicep-curl.jpg",4,500,500)</f>
        <v/>
      </c>
      <c r="B1844" s="30">
        <v>1843.0</v>
      </c>
      <c r="C1844" s="16" t="s">
        <v>2441</v>
      </c>
      <c r="D1844" s="16" t="s">
        <v>184</v>
      </c>
      <c r="E1844" s="16" t="s">
        <v>219</v>
      </c>
      <c r="F1844" s="16" t="s">
        <v>222</v>
      </c>
      <c r="G1844" s="16" t="s">
        <v>220</v>
      </c>
      <c r="H1844" s="16" t="s">
        <v>220</v>
      </c>
    </row>
    <row r="1845" ht="20.25" customHeight="1">
      <c r="A1845" s="32" t="str">
        <f>IMAGE("https://gymvisual.com/1189-catalog_default/3-4-sit-up.jpg",4,500,500)</f>
        <v/>
      </c>
      <c r="B1845" s="30">
        <v>1844.0</v>
      </c>
      <c r="C1845" s="16" t="s">
        <v>2442</v>
      </c>
      <c r="D1845" s="16" t="s">
        <v>184</v>
      </c>
      <c r="E1845" s="16" t="s">
        <v>219</v>
      </c>
      <c r="F1845" s="16" t="s">
        <v>222</v>
      </c>
      <c r="G1845" s="16" t="s">
        <v>241</v>
      </c>
      <c r="H1845" s="16" t="s">
        <v>292</v>
      </c>
    </row>
    <row r="1846" ht="20.25" customHeight="1">
      <c r="A1846" s="32" t="str">
        <f>IMAGE("https://gymvisual.com/14106-catalog_default/dumbbell-seated-biceps-curl-to-shoulder-press.jpg",4,500,500)</f>
        <v/>
      </c>
      <c r="B1846" s="30">
        <v>1845.0</v>
      </c>
      <c r="C1846" s="16" t="s">
        <v>2443</v>
      </c>
      <c r="D1846" s="16" t="s">
        <v>184</v>
      </c>
      <c r="E1846" s="16" t="s">
        <v>829</v>
      </c>
      <c r="F1846" s="16" t="s">
        <v>222</v>
      </c>
      <c r="G1846" s="16" t="s">
        <v>2003</v>
      </c>
      <c r="H1846" s="16" t="s">
        <v>2004</v>
      </c>
    </row>
    <row r="1847" ht="20.25" customHeight="1">
      <c r="A1847" s="32" t="str">
        <f>IMAGE("https://gymvisual.com/6076-catalog_default/dumbbell-seated-calf-raise.jpg",4,500,500)</f>
        <v/>
      </c>
      <c r="B1847" s="30">
        <v>1846.0</v>
      </c>
      <c r="C1847" s="16" t="s">
        <v>2444</v>
      </c>
      <c r="D1847" s="16" t="s">
        <v>184</v>
      </c>
      <c r="E1847" s="16" t="s">
        <v>325</v>
      </c>
      <c r="F1847" s="16" t="s">
        <v>222</v>
      </c>
      <c r="G1847" s="16" t="s">
        <v>368</v>
      </c>
      <c r="H1847" s="16" t="s">
        <v>463</v>
      </c>
    </row>
    <row r="1848" ht="20.25" customHeight="1">
      <c r="A1848" s="32" t="str">
        <f>IMAGE("https://gymvisual.com/13433-catalog_default/dumbbell-seated-calf-raise-female.jpg",4,500,500)</f>
        <v/>
      </c>
      <c r="B1848" s="30">
        <v>1847.0</v>
      </c>
      <c r="C1848" s="16" t="s">
        <v>2445</v>
      </c>
      <c r="D1848" s="16" t="s">
        <v>184</v>
      </c>
      <c r="E1848" s="16" t="s">
        <v>325</v>
      </c>
      <c r="F1848" s="16" t="s">
        <v>222</v>
      </c>
      <c r="G1848" s="16" t="s">
        <v>368</v>
      </c>
      <c r="H1848" s="16" t="s">
        <v>463</v>
      </c>
    </row>
    <row r="1849" ht="20.25" customHeight="1">
      <c r="A1849" s="32" t="str">
        <f>IMAGE("https://gymvisual.com/17638-catalog_default/dumbbell-seated-close-grip-press.jpg",4,500,500)</f>
        <v/>
      </c>
      <c r="B1849" s="30">
        <v>1848.0</v>
      </c>
      <c r="C1849" s="16" t="s">
        <v>2446</v>
      </c>
      <c r="D1849" s="16" t="s">
        <v>184</v>
      </c>
      <c r="E1849" s="16" t="s">
        <v>228</v>
      </c>
      <c r="F1849" s="16" t="s">
        <v>222</v>
      </c>
      <c r="G1849" s="16" t="s">
        <v>229</v>
      </c>
      <c r="H1849" s="16" t="s">
        <v>626</v>
      </c>
    </row>
    <row r="1850" ht="20.25" customHeight="1">
      <c r="A1850" s="32" t="str">
        <f>IMAGE("https://gymvisual.com/18009-catalog_default/dumbbell-seated-cuban-press.jpg",4,500,500)</f>
        <v/>
      </c>
      <c r="B1850" s="30">
        <v>1849.0</v>
      </c>
      <c r="C1850" s="16" t="s">
        <v>2447</v>
      </c>
      <c r="D1850" s="16" t="s">
        <v>184</v>
      </c>
      <c r="E1850" s="16" t="s">
        <v>228</v>
      </c>
      <c r="F1850" s="16" t="s">
        <v>222</v>
      </c>
      <c r="G1850" s="16" t="s">
        <v>220</v>
      </c>
      <c r="H1850" s="16" t="s">
        <v>220</v>
      </c>
    </row>
    <row r="1851" ht="20.25" customHeight="1">
      <c r="A1851" s="32" t="str">
        <f>IMAGE("https://gymvisual.com/1192-catalog_default/3-4-sit-up.jpg",4,500,500)</f>
        <v/>
      </c>
      <c r="B1851" s="30">
        <v>1850.0</v>
      </c>
      <c r="C1851" s="16" t="s">
        <v>2448</v>
      </c>
      <c r="D1851" s="16" t="s">
        <v>184</v>
      </c>
      <c r="E1851" s="16" t="s">
        <v>219</v>
      </c>
      <c r="F1851" s="16" t="s">
        <v>222</v>
      </c>
      <c r="G1851" s="16" t="s">
        <v>241</v>
      </c>
      <c r="H1851" s="16" t="s">
        <v>292</v>
      </c>
    </row>
    <row r="1852" ht="20.25" customHeight="1">
      <c r="A1852" s="32" t="str">
        <f>IMAGE("https://gymvisual.com/9634-catalog_default/dumbbell-seated-curl-female.jpg",4,500,500)</f>
        <v/>
      </c>
      <c r="B1852" s="30">
        <v>1851.0</v>
      </c>
      <c r="C1852" s="16" t="s">
        <v>2449</v>
      </c>
      <c r="D1852" s="16" t="s">
        <v>184</v>
      </c>
      <c r="E1852" s="16" t="s">
        <v>219</v>
      </c>
      <c r="F1852" s="16" t="s">
        <v>222</v>
      </c>
      <c r="G1852" s="16" t="s">
        <v>220</v>
      </c>
      <c r="H1852" s="16" t="s">
        <v>220</v>
      </c>
    </row>
    <row r="1853" ht="20.25" customHeight="1">
      <c r="A1853" s="32" t="str">
        <f>IMAGE("https://gymvisual.com/13435-catalog_default/dumbbell-seated-curl-female.jpg",4,500,500)</f>
        <v/>
      </c>
      <c r="B1853" s="30">
        <v>1852.0</v>
      </c>
      <c r="C1853" s="16" t="s">
        <v>2449</v>
      </c>
      <c r="D1853" s="16" t="s">
        <v>184</v>
      </c>
      <c r="E1853" s="16" t="s">
        <v>219</v>
      </c>
      <c r="F1853" s="16" t="s">
        <v>222</v>
      </c>
      <c r="G1853" s="16" t="s">
        <v>220</v>
      </c>
      <c r="H1853" s="16" t="s">
        <v>220</v>
      </c>
    </row>
    <row r="1854" ht="20.25" customHeight="1">
      <c r="A1854" s="32" t="str">
        <f>IMAGE("https://gymvisual.com/20086-catalog_default/dumbbell-seated-external-shoulder-rotation.jpg",4,500,500)</f>
        <v/>
      </c>
      <c r="B1854" s="30">
        <v>1853.0</v>
      </c>
      <c r="C1854" s="16" t="s">
        <v>2450</v>
      </c>
      <c r="D1854" s="16" t="s">
        <v>184</v>
      </c>
      <c r="E1854" s="16" t="s">
        <v>228</v>
      </c>
      <c r="F1854" s="16" t="s">
        <v>222</v>
      </c>
      <c r="G1854" s="16" t="s">
        <v>408</v>
      </c>
      <c r="H1854" s="16" t="s">
        <v>2451</v>
      </c>
    </row>
    <row r="1855" ht="20.25" customHeight="1">
      <c r="A1855" s="32" t="str">
        <f>IMAGE("https://gymvisual.com/17575-catalog_default/dumbbell-seated-front-and-back-tate-press.jpg",4,500,500)</f>
        <v/>
      </c>
      <c r="B1855" s="30">
        <v>1854.0</v>
      </c>
      <c r="C1855" s="16" t="s">
        <v>2452</v>
      </c>
      <c r="D1855" s="16" t="s">
        <v>184</v>
      </c>
      <c r="E1855" s="16" t="s">
        <v>219</v>
      </c>
      <c r="F1855" s="16" t="s">
        <v>222</v>
      </c>
      <c r="G1855" s="16" t="s">
        <v>223</v>
      </c>
      <c r="H1855" s="16" t="s">
        <v>2453</v>
      </c>
    </row>
    <row r="1856" ht="20.25" customHeight="1">
      <c r="A1856" s="32" t="str">
        <f>IMAGE("https://gymvisual.com/1195-catalog_default/3-4-sit-up.jpg",4,500,500)</f>
        <v/>
      </c>
      <c r="B1856" s="30">
        <v>1855.0</v>
      </c>
      <c r="C1856" s="16" t="s">
        <v>2454</v>
      </c>
      <c r="D1856" s="16" t="s">
        <v>184</v>
      </c>
      <c r="E1856" s="16" t="s">
        <v>228</v>
      </c>
      <c r="F1856" s="16" t="s">
        <v>222</v>
      </c>
      <c r="G1856" s="16" t="s">
        <v>229</v>
      </c>
      <c r="H1856" s="16" t="s">
        <v>244</v>
      </c>
    </row>
    <row r="1857" ht="20.25" customHeight="1">
      <c r="A1857" s="32" t="str">
        <f>IMAGE("https://gymvisual.com/9619-catalog_default/dumbbell-seated-front-raise-female.jpg",4,500,500)</f>
        <v/>
      </c>
      <c r="B1857" s="30">
        <v>1856.0</v>
      </c>
      <c r="C1857" s="16" t="s">
        <v>2455</v>
      </c>
      <c r="D1857" s="16" t="s">
        <v>184</v>
      </c>
      <c r="E1857" s="16" t="s">
        <v>228</v>
      </c>
      <c r="F1857" s="16" t="s">
        <v>222</v>
      </c>
      <c r="G1857" s="16" t="s">
        <v>229</v>
      </c>
      <c r="H1857" s="16" t="s">
        <v>244</v>
      </c>
    </row>
    <row r="1858" ht="20.25" customHeight="1">
      <c r="A1858" s="32" t="str">
        <f>IMAGE("https://gymvisual.com/17839-catalog_default/dumbbell-seated-gittleson-shrug.jpg",4,500,500)</f>
        <v/>
      </c>
      <c r="B1858" s="30">
        <v>1857.0</v>
      </c>
      <c r="C1858" s="16" t="s">
        <v>2456</v>
      </c>
      <c r="D1858" s="16" t="s">
        <v>184</v>
      </c>
      <c r="E1858" s="16" t="s">
        <v>192</v>
      </c>
      <c r="F1858" s="16" t="s">
        <v>222</v>
      </c>
      <c r="G1858" s="16" t="s">
        <v>220</v>
      </c>
      <c r="H1858" s="16" t="s">
        <v>220</v>
      </c>
    </row>
    <row r="1859" ht="20.25" customHeight="1">
      <c r="A1859" s="32" t="str">
        <f>IMAGE("https://gymvisual.com/7152-catalog_default/dumbbell-seated-hammer-curl.jpg",4,500,500)</f>
        <v/>
      </c>
      <c r="B1859" s="30">
        <v>1858.0</v>
      </c>
      <c r="C1859" s="16" t="s">
        <v>2457</v>
      </c>
      <c r="D1859" s="16" t="s">
        <v>184</v>
      </c>
      <c r="E1859" s="16" t="s">
        <v>219</v>
      </c>
      <c r="F1859" s="16" t="s">
        <v>222</v>
      </c>
      <c r="G1859" s="16" t="s">
        <v>216</v>
      </c>
      <c r="H1859" s="16" t="s">
        <v>217</v>
      </c>
    </row>
    <row r="1860" ht="20.25" customHeight="1">
      <c r="A1860" s="32" t="str">
        <f>IMAGE("https://gymvisual.com/1198-catalog_default/3-4-sit-up.jpg",4,500,500)</f>
        <v/>
      </c>
      <c r="B1860" s="30">
        <v>1859.0</v>
      </c>
      <c r="C1860" s="16" t="s">
        <v>2458</v>
      </c>
      <c r="D1860" s="16" t="s">
        <v>184</v>
      </c>
      <c r="E1860" s="16" t="s">
        <v>219</v>
      </c>
      <c r="F1860" s="16" t="s">
        <v>222</v>
      </c>
      <c r="G1860" s="16" t="s">
        <v>241</v>
      </c>
      <c r="H1860" s="16" t="s">
        <v>292</v>
      </c>
    </row>
    <row r="1861" ht="20.25" customHeight="1">
      <c r="A1861" s="32" t="str">
        <f>IMAGE("https://gymvisual.com/1201-catalog_default/3-4-sit-up.jpg",4,500,500)</f>
        <v/>
      </c>
      <c r="B1861" s="30">
        <v>1860.0</v>
      </c>
      <c r="C1861" s="16" t="s">
        <v>2459</v>
      </c>
      <c r="D1861" s="16" t="s">
        <v>184</v>
      </c>
      <c r="E1861" s="16" t="s">
        <v>219</v>
      </c>
      <c r="F1861" s="16" t="s">
        <v>222</v>
      </c>
      <c r="G1861" s="16" t="s">
        <v>223</v>
      </c>
      <c r="H1861" s="16" t="s">
        <v>220</v>
      </c>
    </row>
    <row r="1862" ht="20.25" customHeight="1">
      <c r="A1862" s="32" t="str">
        <f>IMAGE("https://gymvisual.com/13882-catalog_default/dumbbell-seated-kickback-female.jpg",4,500,500)</f>
        <v/>
      </c>
      <c r="B1862" s="30">
        <v>1861.0</v>
      </c>
      <c r="C1862" s="16" t="s">
        <v>2460</v>
      </c>
      <c r="D1862" s="16" t="s">
        <v>184</v>
      </c>
      <c r="E1862" s="16" t="s">
        <v>219</v>
      </c>
      <c r="F1862" s="16" t="s">
        <v>222</v>
      </c>
      <c r="G1862" s="16" t="s">
        <v>223</v>
      </c>
      <c r="H1862" s="16" t="s">
        <v>220</v>
      </c>
    </row>
    <row r="1863" ht="20.25" customHeight="1">
      <c r="A1863" s="32" t="str">
        <f>IMAGE("https://gymvisual.com/1207-catalog_default/3-4-sit-up.jpg",4,500,500)</f>
        <v/>
      </c>
      <c r="B1863" s="30">
        <v>1862.0</v>
      </c>
      <c r="C1863" s="16" t="s">
        <v>2461</v>
      </c>
      <c r="D1863" s="16" t="s">
        <v>184</v>
      </c>
      <c r="E1863" s="16" t="s">
        <v>228</v>
      </c>
      <c r="F1863" s="16" t="s">
        <v>222</v>
      </c>
      <c r="G1863" s="16" t="s">
        <v>544</v>
      </c>
      <c r="H1863" s="16" t="s">
        <v>545</v>
      </c>
    </row>
    <row r="1864" ht="20.25" customHeight="1">
      <c r="A1864" s="32" t="str">
        <f>IMAGE("https://gymvisual.com/9622-catalog_default/dumbbell-seated-lateral-raise-female.jpg",4,500,500)</f>
        <v/>
      </c>
      <c r="B1864" s="30">
        <v>1863.0</v>
      </c>
      <c r="C1864" s="16" t="s">
        <v>2462</v>
      </c>
      <c r="D1864" s="16" t="s">
        <v>184</v>
      </c>
      <c r="E1864" s="16" t="s">
        <v>228</v>
      </c>
      <c r="F1864" s="16" t="s">
        <v>222</v>
      </c>
      <c r="G1864" s="16" t="s">
        <v>544</v>
      </c>
      <c r="H1864" s="16" t="s">
        <v>545</v>
      </c>
    </row>
    <row r="1865" ht="20.25" customHeight="1">
      <c r="A1865" s="32" t="str">
        <f>IMAGE("https://gymvisual.com/1204-catalog_default/3-4-sit-up.jpg",4,500,500)</f>
        <v/>
      </c>
      <c r="B1865" s="30">
        <v>1864.0</v>
      </c>
      <c r="C1865" s="16" t="s">
        <v>2463</v>
      </c>
      <c r="D1865" s="16" t="s">
        <v>184</v>
      </c>
      <c r="E1865" s="16" t="s">
        <v>228</v>
      </c>
      <c r="F1865" s="16" t="s">
        <v>222</v>
      </c>
      <c r="G1865" s="16" t="s">
        <v>544</v>
      </c>
      <c r="H1865" s="16" t="s">
        <v>545</v>
      </c>
    </row>
    <row r="1866" ht="20.25" customHeight="1">
      <c r="A1866" s="32" t="str">
        <f>IMAGE("https://gymvisual.com/17843-catalog_default/dumbbell-seated-lateral-raise-on-stability-ball.jpg",4,500,500)</f>
        <v/>
      </c>
      <c r="B1866" s="30">
        <v>1865.0</v>
      </c>
      <c r="C1866" s="16" t="s">
        <v>2464</v>
      </c>
      <c r="D1866" s="16" t="s">
        <v>184</v>
      </c>
      <c r="E1866" s="16" t="s">
        <v>228</v>
      </c>
      <c r="F1866" s="16" t="s">
        <v>222</v>
      </c>
      <c r="G1866" s="16" t="s">
        <v>220</v>
      </c>
      <c r="H1866" s="16" t="s">
        <v>220</v>
      </c>
    </row>
    <row r="1867" ht="20.25" customHeight="1">
      <c r="A1867" s="32" t="str">
        <f>IMAGE("https://gymvisual.com/17640-catalog_default/dumbbell-seated-lateral-to-front-raise.jpg",4,500,500)</f>
        <v/>
      </c>
      <c r="B1867" s="30">
        <v>1866.0</v>
      </c>
      <c r="C1867" s="16" t="s">
        <v>2465</v>
      </c>
      <c r="D1867" s="16" t="s">
        <v>184</v>
      </c>
      <c r="E1867" s="16" t="s">
        <v>228</v>
      </c>
      <c r="F1867" s="16" t="s">
        <v>222</v>
      </c>
      <c r="G1867" s="16" t="s">
        <v>454</v>
      </c>
      <c r="H1867" s="16" t="s">
        <v>2466</v>
      </c>
    </row>
    <row r="1868" ht="20.25" customHeight="1">
      <c r="A1868" s="32" t="str">
        <f>IMAGE("https://gymvisual.com/1210-catalog_default/3-4-sit-up.jpg",4,500,500)</f>
        <v/>
      </c>
      <c r="B1868" s="30">
        <v>1867.0</v>
      </c>
      <c r="C1868" s="16" t="s">
        <v>2467</v>
      </c>
      <c r="D1868" s="16" t="s">
        <v>184</v>
      </c>
      <c r="E1868" s="16" t="s">
        <v>214</v>
      </c>
      <c r="F1868" s="16" t="s">
        <v>222</v>
      </c>
      <c r="G1868" s="16" t="s">
        <v>216</v>
      </c>
      <c r="H1868" s="16" t="s">
        <v>220</v>
      </c>
    </row>
    <row r="1869" ht="20.25" customHeight="1">
      <c r="A1869" s="32" t="str">
        <f>IMAGE("https://gymvisual.com/11426-catalog_default/dumbbell-seated-neutral-wrist-curl-female.jpg",4,500,500)</f>
        <v/>
      </c>
      <c r="B1869" s="30">
        <v>1868.0</v>
      </c>
      <c r="C1869" s="16" t="s">
        <v>2468</v>
      </c>
      <c r="D1869" s="16" t="s">
        <v>184</v>
      </c>
      <c r="E1869" s="16" t="s">
        <v>214</v>
      </c>
      <c r="F1869" s="16" t="s">
        <v>222</v>
      </c>
      <c r="G1869" s="16" t="s">
        <v>604</v>
      </c>
      <c r="H1869" s="16" t="s">
        <v>220</v>
      </c>
    </row>
    <row r="1870" ht="20.25" customHeight="1">
      <c r="A1870" s="32" t="str">
        <f>IMAGE("https://gymvisual.com/14775-catalog_default/dumbbell-seated-on-exercise-ball-shoulder-press.jpg",4,500,500)</f>
        <v/>
      </c>
      <c r="B1870" s="30">
        <v>1869.0</v>
      </c>
      <c r="C1870" s="16" t="s">
        <v>2469</v>
      </c>
      <c r="D1870" s="16" t="s">
        <v>184</v>
      </c>
      <c r="E1870" s="16" t="s">
        <v>228</v>
      </c>
      <c r="F1870" s="16" t="s">
        <v>222</v>
      </c>
      <c r="G1870" s="16" t="s">
        <v>229</v>
      </c>
      <c r="H1870" s="16" t="s">
        <v>626</v>
      </c>
    </row>
    <row r="1871" ht="20.25" customHeight="1">
      <c r="A1871" s="32" t="str">
        <f>IMAGE("https://gymvisual.com/17941-catalog_default/dumbbell-seated-one-arm-arnold-press-male.jpg",4,500,500)</f>
        <v/>
      </c>
      <c r="B1871" s="30">
        <v>1870.0</v>
      </c>
      <c r="C1871" s="16" t="s">
        <v>2470</v>
      </c>
      <c r="D1871" s="16" t="s">
        <v>184</v>
      </c>
      <c r="E1871" s="16" t="s">
        <v>228</v>
      </c>
      <c r="F1871" s="16" t="s">
        <v>222</v>
      </c>
      <c r="G1871" s="16" t="s">
        <v>220</v>
      </c>
      <c r="H1871" s="16" t="s">
        <v>220</v>
      </c>
    </row>
    <row r="1872" ht="20.25" customHeight="1">
      <c r="A1872" s="32" t="str">
        <f>IMAGE("https://gymvisual.com/7153-catalog_default/dumbbell-seated-one-arm-bicep-curl-on-exercise-ball-with-leg-raised.jpg",4,500,500)</f>
        <v/>
      </c>
      <c r="B1872" s="30">
        <v>1871.0</v>
      </c>
      <c r="C1872" s="16" t="s">
        <v>2471</v>
      </c>
      <c r="D1872" s="16" t="s">
        <v>184</v>
      </c>
      <c r="E1872" s="16" t="s">
        <v>219</v>
      </c>
      <c r="F1872" s="16" t="s">
        <v>222</v>
      </c>
      <c r="G1872" s="16" t="s">
        <v>220</v>
      </c>
      <c r="H1872" s="16" t="s">
        <v>220</v>
      </c>
    </row>
    <row r="1873" ht="20.25" customHeight="1">
      <c r="A1873" s="32" t="str">
        <f>IMAGE("https://gymvisual.com/14773-catalog_default/dumbbell-seated-one-arm-front-raise.jpg",4,500,500)</f>
        <v/>
      </c>
      <c r="B1873" s="30">
        <v>1872.0</v>
      </c>
      <c r="C1873" s="16" t="s">
        <v>2472</v>
      </c>
      <c r="D1873" s="16" t="s">
        <v>184</v>
      </c>
      <c r="E1873" s="16" t="s">
        <v>228</v>
      </c>
      <c r="F1873" s="16" t="s">
        <v>222</v>
      </c>
      <c r="G1873" s="16" t="s">
        <v>229</v>
      </c>
      <c r="H1873" s="16" t="s">
        <v>244</v>
      </c>
    </row>
    <row r="1874" ht="20.25" customHeight="1">
      <c r="A1874" s="32" t="str">
        <f>IMAGE("https://gymvisual.com/1213-catalog_default/3-4-sit-up.jpg",4,500,500)</f>
        <v/>
      </c>
      <c r="B1874" s="30">
        <v>1873.0</v>
      </c>
      <c r="C1874" s="16" t="s">
        <v>2473</v>
      </c>
      <c r="D1874" s="16" t="s">
        <v>184</v>
      </c>
      <c r="E1874" s="16" t="s">
        <v>219</v>
      </c>
      <c r="F1874" s="16" t="s">
        <v>222</v>
      </c>
      <c r="G1874" s="16" t="s">
        <v>223</v>
      </c>
      <c r="H1874" s="16" t="s">
        <v>220</v>
      </c>
    </row>
    <row r="1875" ht="20.25" customHeight="1">
      <c r="A1875" s="32" t="str">
        <f>IMAGE("https://gymvisual.com/1216-catalog_default/3-4-sit-up.jpg",4,500,500)</f>
        <v/>
      </c>
      <c r="B1875" s="30">
        <v>1874.0</v>
      </c>
      <c r="C1875" s="16" t="s">
        <v>2474</v>
      </c>
      <c r="D1875" s="16" t="s">
        <v>184</v>
      </c>
      <c r="E1875" s="16" t="s">
        <v>214</v>
      </c>
      <c r="F1875" s="16" t="s">
        <v>222</v>
      </c>
      <c r="G1875" s="16" t="s">
        <v>720</v>
      </c>
      <c r="H1875" s="16" t="s">
        <v>220</v>
      </c>
    </row>
    <row r="1876" ht="20.25" customHeight="1">
      <c r="A1876" s="32" t="str">
        <f>IMAGE("https://gymvisual.com/4602-catalog_default/dumbbell-seated-one-arm-shoulder-press.jpg",4,500,500)</f>
        <v/>
      </c>
      <c r="B1876" s="30">
        <v>1875.0</v>
      </c>
      <c r="C1876" s="16" t="s">
        <v>2475</v>
      </c>
      <c r="D1876" s="16" t="s">
        <v>184</v>
      </c>
      <c r="E1876" s="16" t="s">
        <v>228</v>
      </c>
      <c r="F1876" s="16" t="s">
        <v>222</v>
      </c>
      <c r="G1876" s="16" t="s">
        <v>229</v>
      </c>
      <c r="H1876" s="16" t="s">
        <v>2476</v>
      </c>
    </row>
    <row r="1877" ht="20.25" customHeight="1">
      <c r="A1877" s="32" t="str">
        <f>IMAGE("https://gymvisual.com/1219-catalog_default/3-4-sit-up.jpg",4,500,500)</f>
        <v/>
      </c>
      <c r="B1877" s="30">
        <v>1876.0</v>
      </c>
      <c r="C1877" s="16" t="s">
        <v>2477</v>
      </c>
      <c r="D1877" s="16" t="s">
        <v>184</v>
      </c>
      <c r="E1877" s="16" t="s">
        <v>325</v>
      </c>
      <c r="F1877" s="16" t="s">
        <v>222</v>
      </c>
      <c r="G1877" s="16" t="s">
        <v>368</v>
      </c>
      <c r="H1877" s="16" t="s">
        <v>463</v>
      </c>
    </row>
    <row r="1878" ht="20.25" customHeight="1">
      <c r="A1878" s="32" t="str">
        <f>IMAGE("https://gymvisual.com/6077-catalog_default/dumbbell-seated-one-leg-calf-raise-hammer-grip.jpg",4,500,500)</f>
        <v/>
      </c>
      <c r="B1878" s="30">
        <v>1877.0</v>
      </c>
      <c r="C1878" s="16" t="s">
        <v>2478</v>
      </c>
      <c r="D1878" s="16" t="s">
        <v>184</v>
      </c>
      <c r="E1878" s="16" t="s">
        <v>325</v>
      </c>
      <c r="F1878" s="16" t="s">
        <v>222</v>
      </c>
      <c r="G1878" s="16" t="s">
        <v>368</v>
      </c>
      <c r="H1878" s="16" t="s">
        <v>463</v>
      </c>
    </row>
    <row r="1879" ht="20.25" customHeight="1">
      <c r="A1879" s="32" t="str">
        <f>IMAGE("https://gymvisual.com/6078-catalog_default/dumbbell-seated-one-leg-calf-raise-palm-up.jpg",4,500,500)</f>
        <v/>
      </c>
      <c r="B1879" s="30">
        <v>1878.0</v>
      </c>
      <c r="C1879" s="16" t="s">
        <v>2479</v>
      </c>
      <c r="D1879" s="16" t="s">
        <v>184</v>
      </c>
      <c r="E1879" s="16" t="s">
        <v>325</v>
      </c>
      <c r="F1879" s="16" t="s">
        <v>222</v>
      </c>
      <c r="G1879" s="16" t="s">
        <v>368</v>
      </c>
      <c r="H1879" s="16" t="s">
        <v>463</v>
      </c>
    </row>
    <row r="1880" ht="20.25" customHeight="1">
      <c r="A1880" s="32" t="str">
        <f>IMAGE("https://gymvisual.com/1222-catalog_default/3-4-sit-up.jpg",4,500,500)</f>
        <v/>
      </c>
      <c r="B1880" s="30">
        <v>1879.0</v>
      </c>
      <c r="C1880" s="16" t="s">
        <v>2480</v>
      </c>
      <c r="D1880" s="16" t="s">
        <v>184</v>
      </c>
      <c r="E1880" s="16" t="s">
        <v>214</v>
      </c>
      <c r="F1880" s="16" t="s">
        <v>222</v>
      </c>
      <c r="G1880" s="16" t="s">
        <v>720</v>
      </c>
      <c r="H1880" s="16" t="s">
        <v>220</v>
      </c>
    </row>
    <row r="1881" ht="20.25" customHeight="1">
      <c r="A1881" s="32" t="str">
        <f>IMAGE("https://gymvisual.com/11429-catalog_default/dumbbell-seated-palms-up-wrist-curl-female.jpg",4,500,500)</f>
        <v/>
      </c>
      <c r="B1881" s="30">
        <v>1880.0</v>
      </c>
      <c r="C1881" s="16" t="s">
        <v>2481</v>
      </c>
      <c r="D1881" s="16" t="s">
        <v>184</v>
      </c>
      <c r="E1881" s="16" t="s">
        <v>214</v>
      </c>
      <c r="F1881" s="16" t="s">
        <v>222</v>
      </c>
      <c r="G1881" s="16" t="s">
        <v>305</v>
      </c>
      <c r="H1881" s="16" t="s">
        <v>2482</v>
      </c>
    </row>
    <row r="1882" ht="20.25" customHeight="1">
      <c r="A1882" s="32" t="str">
        <f>IMAGE("https://gymvisual.com/1225-catalog_default/3-4-sit-up.jpg",4,500,500)</f>
        <v/>
      </c>
      <c r="B1882" s="30">
        <v>1881.0</v>
      </c>
      <c r="C1882" s="16" t="s">
        <v>2483</v>
      </c>
      <c r="D1882" s="16" t="s">
        <v>184</v>
      </c>
      <c r="E1882" s="16" t="s">
        <v>219</v>
      </c>
      <c r="F1882" s="16" t="s">
        <v>222</v>
      </c>
      <c r="G1882" s="16" t="s">
        <v>232</v>
      </c>
      <c r="H1882" s="16" t="s">
        <v>233</v>
      </c>
    </row>
    <row r="1883" ht="20.25" customHeight="1">
      <c r="A1883" s="32" t="str">
        <f>IMAGE("https://gymvisual.com/1228-catalog_default/3-4-sit-up.jpg",4,500,500)</f>
        <v/>
      </c>
      <c r="B1883" s="30">
        <v>1882.0</v>
      </c>
      <c r="C1883" s="16" t="s">
        <v>2484</v>
      </c>
      <c r="D1883" s="16" t="s">
        <v>184</v>
      </c>
      <c r="E1883" s="16" t="s">
        <v>214</v>
      </c>
      <c r="F1883" s="16" t="s">
        <v>222</v>
      </c>
      <c r="G1883" s="16" t="s">
        <v>216</v>
      </c>
      <c r="H1883" s="16" t="s">
        <v>217</v>
      </c>
    </row>
    <row r="1884" ht="20.25" customHeight="1">
      <c r="A1884" s="32" t="str">
        <f>IMAGE("https://gymvisual.com/14771-catalog_default/dumbbell-seated-reverse-grip-biceps-curl.jpg",4,500,500)</f>
        <v/>
      </c>
      <c r="B1884" s="30">
        <v>1883.0</v>
      </c>
      <c r="C1884" s="16" t="s">
        <v>2485</v>
      </c>
      <c r="D1884" s="16" t="s">
        <v>184</v>
      </c>
      <c r="E1884" s="16" t="s">
        <v>214</v>
      </c>
      <c r="F1884" s="16" t="s">
        <v>222</v>
      </c>
      <c r="G1884" s="16" t="s">
        <v>216</v>
      </c>
      <c r="H1884" s="16" t="s">
        <v>217</v>
      </c>
    </row>
    <row r="1885" ht="20.25" customHeight="1">
      <c r="A1885" s="32" t="str">
        <f>IMAGE("https://gymvisual.com/7457-catalog_default/dumbbell-seated-reverse-grip-one-arm-overhead-tricep-extension.jpg",4,500,500)</f>
        <v/>
      </c>
      <c r="B1885" s="30">
        <v>1884.0</v>
      </c>
      <c r="C1885" s="16" t="s">
        <v>2486</v>
      </c>
      <c r="D1885" s="16" t="s">
        <v>184</v>
      </c>
      <c r="E1885" s="16" t="s">
        <v>219</v>
      </c>
      <c r="F1885" s="16" t="s">
        <v>222</v>
      </c>
      <c r="G1885" s="16" t="s">
        <v>220</v>
      </c>
      <c r="H1885" s="16" t="s">
        <v>220</v>
      </c>
    </row>
    <row r="1886" ht="20.25" customHeight="1">
      <c r="A1886" s="32" t="str">
        <f>IMAGE("https://gymvisual.com/1234-catalog_default/3-4-sit-up.jpg",4,500,500)</f>
        <v/>
      </c>
      <c r="B1886" s="30">
        <v>1885.0</v>
      </c>
      <c r="C1886" s="16" t="s">
        <v>2487</v>
      </c>
      <c r="D1886" s="16" t="s">
        <v>184</v>
      </c>
      <c r="E1886" s="16" t="s">
        <v>228</v>
      </c>
      <c r="F1886" s="16" t="s">
        <v>222</v>
      </c>
      <c r="G1886" s="16" t="s">
        <v>229</v>
      </c>
      <c r="H1886" s="16" t="s">
        <v>626</v>
      </c>
    </row>
    <row r="1887" ht="20.25" customHeight="1">
      <c r="A1887" s="32" t="str">
        <f>IMAGE("https://gymvisual.com/9625-catalog_default/dumbbell-seated-shoulder-press-female.jpg",4,500,500)</f>
        <v/>
      </c>
      <c r="B1887" s="30">
        <v>1886.0</v>
      </c>
      <c r="C1887" s="16" t="s">
        <v>2488</v>
      </c>
      <c r="D1887" s="16" t="s">
        <v>184</v>
      </c>
      <c r="E1887" s="16" t="s">
        <v>228</v>
      </c>
      <c r="F1887" s="16" t="s">
        <v>222</v>
      </c>
      <c r="G1887" s="16" t="s">
        <v>229</v>
      </c>
      <c r="H1887" s="16" t="s">
        <v>230</v>
      </c>
    </row>
    <row r="1888" ht="20.25" customHeight="1">
      <c r="A1888" s="32" t="str">
        <f>IMAGE("https://gymvisual.com/1231-catalog_default/3-4-sit-up.jpg",4,500,500)</f>
        <v/>
      </c>
      <c r="B1888" s="30">
        <v>1887.0</v>
      </c>
      <c r="C1888" s="16" t="s">
        <v>2489</v>
      </c>
      <c r="D1888" s="16" t="s">
        <v>184</v>
      </c>
      <c r="E1888" s="16" t="s">
        <v>228</v>
      </c>
      <c r="F1888" s="16" t="s">
        <v>222</v>
      </c>
      <c r="G1888" s="16" t="s">
        <v>229</v>
      </c>
      <c r="H1888" s="16" t="s">
        <v>1334</v>
      </c>
    </row>
    <row r="1889" ht="20.25" customHeight="1">
      <c r="A1889" s="32" t="str">
        <f>IMAGE("https://gymvisual.com/11330-catalog_default/dumbbell-seated-shoulder-press-parallel-grip-female.jpg",4,500,500)</f>
        <v/>
      </c>
      <c r="B1889" s="30">
        <v>1888.0</v>
      </c>
      <c r="C1889" s="16" t="s">
        <v>2490</v>
      </c>
      <c r="D1889" s="16" t="s">
        <v>184</v>
      </c>
      <c r="E1889" s="16" t="s">
        <v>228</v>
      </c>
      <c r="F1889" s="16" t="s">
        <v>222</v>
      </c>
      <c r="G1889" s="16" t="s">
        <v>220</v>
      </c>
      <c r="H1889" s="16" t="s">
        <v>220</v>
      </c>
    </row>
    <row r="1890" ht="20.25" customHeight="1">
      <c r="A1890" s="32" t="str">
        <f>IMAGE("https://gymvisual.com/8827-catalog_default/dumbbell-seated-triceps-extension.jpg",4,500,500)</f>
        <v/>
      </c>
      <c r="B1890" s="30">
        <v>1889.0</v>
      </c>
      <c r="C1890" s="16" t="s">
        <v>2491</v>
      </c>
      <c r="D1890" s="16" t="s">
        <v>184</v>
      </c>
      <c r="E1890" s="16" t="s">
        <v>219</v>
      </c>
      <c r="F1890" s="16" t="s">
        <v>222</v>
      </c>
      <c r="G1890" s="16" t="s">
        <v>223</v>
      </c>
      <c r="H1890" s="16" t="s">
        <v>220</v>
      </c>
    </row>
    <row r="1891" ht="20.25" customHeight="1">
      <c r="A1891" s="32" t="str">
        <f>IMAGE("https://gymvisual.com/20670-catalog_default/dumbbell-seated-triceps-extension-female.jpg",4,500,500)</f>
        <v/>
      </c>
      <c r="B1891" s="30">
        <v>1890.0</v>
      </c>
      <c r="C1891" s="16" t="s">
        <v>2492</v>
      </c>
      <c r="D1891" s="16" t="s">
        <v>184</v>
      </c>
      <c r="E1891" s="16" t="s">
        <v>219</v>
      </c>
      <c r="F1891" s="16" t="s">
        <v>222</v>
      </c>
      <c r="G1891" s="16" t="s">
        <v>223</v>
      </c>
      <c r="H1891" s="16" t="s">
        <v>220</v>
      </c>
    </row>
    <row r="1892" ht="20.25" customHeight="1">
      <c r="A1892" s="32" t="str">
        <f>IMAGE("https://gymvisual.com/19598-catalog_default/dumbbell-seated-tuck-crunch-on-floor.jpg",4,500,500)</f>
        <v/>
      </c>
      <c r="B1892" s="30">
        <v>1891.0</v>
      </c>
      <c r="C1892" s="16" t="s">
        <v>2493</v>
      </c>
      <c r="D1892" s="16" t="s">
        <v>184</v>
      </c>
      <c r="E1892" s="16" t="s">
        <v>254</v>
      </c>
      <c r="F1892" s="16" t="s">
        <v>222</v>
      </c>
      <c r="G1892" s="16" t="s">
        <v>220</v>
      </c>
      <c r="H1892" s="16" t="s">
        <v>220</v>
      </c>
    </row>
    <row r="1893" ht="20.25" customHeight="1">
      <c r="A1893" s="32" t="str">
        <f>IMAGE("https://gymvisual.com/19602-catalog_default/dumbbell-seated-tuck-twisting-crunch-on-floor.jpg",4,500,500)</f>
        <v/>
      </c>
      <c r="B1893" s="30">
        <v>1892.0</v>
      </c>
      <c r="C1893" s="16" t="s">
        <v>2494</v>
      </c>
      <c r="D1893" s="16" t="s">
        <v>184</v>
      </c>
      <c r="E1893" s="16" t="s">
        <v>254</v>
      </c>
      <c r="F1893" s="16" t="s">
        <v>222</v>
      </c>
      <c r="G1893" s="16" t="s">
        <v>220</v>
      </c>
      <c r="H1893" s="16" t="s">
        <v>220</v>
      </c>
    </row>
    <row r="1894" ht="20.25" customHeight="1">
      <c r="A1894" s="32" t="str">
        <f>IMAGE("https://gymvisual.com/17298-catalog_default/dumbbell-seated-upright-alternate-squeeze-press.jpg",4,500,500)</f>
        <v/>
      </c>
      <c r="B1894" s="30">
        <v>1893.0</v>
      </c>
      <c r="C1894" s="16" t="s">
        <v>2495</v>
      </c>
      <c r="D1894" s="16" t="s">
        <v>184</v>
      </c>
      <c r="E1894" s="16" t="s">
        <v>234</v>
      </c>
      <c r="F1894" s="16" t="s">
        <v>222</v>
      </c>
      <c r="G1894" s="16" t="s">
        <v>472</v>
      </c>
      <c r="H1894" s="16" t="s">
        <v>230</v>
      </c>
    </row>
    <row r="1895" ht="20.25" customHeight="1">
      <c r="A1895" s="32" t="str">
        <f>IMAGE("https://gymvisual.com/17921-catalog_default/dumbbell-seated-zottman-curl-male.jpg",4,500,500)</f>
        <v/>
      </c>
      <c r="B1895" s="30">
        <v>1894.0</v>
      </c>
      <c r="C1895" s="16" t="s">
        <v>2496</v>
      </c>
      <c r="D1895" s="16" t="s">
        <v>184</v>
      </c>
      <c r="E1895" s="16" t="s">
        <v>219</v>
      </c>
      <c r="F1895" s="16" t="s">
        <v>222</v>
      </c>
      <c r="G1895" s="16" t="s">
        <v>220</v>
      </c>
      <c r="H1895" s="16" t="s">
        <v>220</v>
      </c>
    </row>
    <row r="1896" ht="20.25" customHeight="1">
      <c r="A1896" s="32" t="str">
        <f>IMAGE("https://gymvisual.com/24099-catalog_default/dumbbell-shoulder-internal-rotation-at-90-abduction.jpg",4,500,500)</f>
        <v/>
      </c>
      <c r="B1896" s="30">
        <v>1895.0</v>
      </c>
      <c r="C1896" s="16" t="s">
        <v>2497</v>
      </c>
      <c r="D1896" s="16" t="s">
        <v>184</v>
      </c>
      <c r="E1896" s="16" t="s">
        <v>192</v>
      </c>
      <c r="F1896" s="16" t="s">
        <v>222</v>
      </c>
      <c r="G1896" s="16" t="s">
        <v>220</v>
      </c>
      <c r="H1896" s="16" t="s">
        <v>220</v>
      </c>
    </row>
    <row r="1897" ht="20.25" customHeight="1">
      <c r="A1897" s="32" t="str">
        <f>IMAGE("https://gymvisual.com/10070-catalog_default/3-4-sit-up.jpg",4,500,500)</f>
        <v/>
      </c>
      <c r="B1897" s="30">
        <v>1896.0</v>
      </c>
      <c r="C1897" s="16" t="s">
        <v>2498</v>
      </c>
      <c r="D1897" s="16" t="s">
        <v>184</v>
      </c>
      <c r="E1897" s="16" t="s">
        <v>192</v>
      </c>
      <c r="F1897" s="16" t="s">
        <v>222</v>
      </c>
      <c r="G1897" s="16" t="s">
        <v>238</v>
      </c>
      <c r="H1897" s="16" t="s">
        <v>1621</v>
      </c>
    </row>
    <row r="1898" ht="20.25" customHeight="1">
      <c r="A1898" s="32" t="str">
        <f>IMAGE("https://gymvisual.com/11339-catalog_default/dumbbell-shrug-female.jpg",4,500,500)</f>
        <v/>
      </c>
      <c r="B1898" s="30">
        <v>1897.0</v>
      </c>
      <c r="C1898" s="16" t="s">
        <v>2499</v>
      </c>
      <c r="D1898" s="16" t="s">
        <v>184</v>
      </c>
      <c r="E1898" s="16" t="s">
        <v>192</v>
      </c>
      <c r="F1898" s="16" t="s">
        <v>222</v>
      </c>
      <c r="G1898" s="16" t="s">
        <v>238</v>
      </c>
      <c r="H1898" s="16" t="s">
        <v>618</v>
      </c>
    </row>
    <row r="1899" ht="20.25" customHeight="1">
      <c r="A1899" s="32" t="str">
        <f>IMAGE("https://gymvisual.com/22253-catalog_default/dumbbell-side-bench-squat.jpg",4,500,500)</f>
        <v/>
      </c>
      <c r="B1899" s="30">
        <v>1898.0</v>
      </c>
      <c r="C1899" s="16" t="s">
        <v>2500</v>
      </c>
      <c r="D1899" s="16" t="s">
        <v>184</v>
      </c>
      <c r="E1899" s="16" t="s">
        <v>285</v>
      </c>
      <c r="F1899" s="16" t="s">
        <v>222</v>
      </c>
      <c r="G1899" s="16" t="s">
        <v>220</v>
      </c>
      <c r="H1899" s="16" t="s">
        <v>220</v>
      </c>
    </row>
    <row r="1900" ht="20.25" customHeight="1">
      <c r="A1900" s="32" t="str">
        <f>IMAGE("https://gymvisual.com/25723-catalog_default/3-4-sit-up.jpg",4,500,500)</f>
        <v/>
      </c>
      <c r="B1900" s="30">
        <v>1899.0</v>
      </c>
      <c r="C1900" s="16" t="s">
        <v>2501</v>
      </c>
      <c r="D1900" s="16" t="s">
        <v>184</v>
      </c>
      <c r="E1900" s="16" t="s">
        <v>254</v>
      </c>
      <c r="F1900" s="16" t="s">
        <v>222</v>
      </c>
      <c r="G1900" s="16" t="s">
        <v>257</v>
      </c>
      <c r="H1900" s="16" t="s">
        <v>220</v>
      </c>
    </row>
    <row r="1901" ht="20.25" customHeight="1">
      <c r="A1901" s="32" t="str">
        <f>IMAGE("https://gymvisual.com/10918-catalog_default/dumbbell-side-bend-female.jpg",4,500,500)</f>
        <v/>
      </c>
      <c r="B1901" s="30">
        <v>1900.0</v>
      </c>
      <c r="C1901" s="16" t="s">
        <v>2502</v>
      </c>
      <c r="D1901" s="16" t="s">
        <v>184</v>
      </c>
      <c r="E1901" s="16" t="s">
        <v>254</v>
      </c>
      <c r="F1901" s="16" t="s">
        <v>222</v>
      </c>
      <c r="G1901" s="16" t="s">
        <v>257</v>
      </c>
      <c r="H1901" s="16" t="s">
        <v>271</v>
      </c>
    </row>
    <row r="1902" ht="20.25" customHeight="1">
      <c r="A1902" s="32" t="str">
        <f>IMAGE("https://gymvisual.com/18742-catalog_default/dumbbell-side-bend-version-2.jpg",4,500,500)</f>
        <v/>
      </c>
      <c r="B1902" s="30">
        <v>1901.0</v>
      </c>
      <c r="C1902" s="16" t="s">
        <v>2503</v>
      </c>
      <c r="D1902" s="16" t="s">
        <v>184</v>
      </c>
      <c r="E1902" s="16" t="s">
        <v>254</v>
      </c>
      <c r="F1902" s="16" t="s">
        <v>222</v>
      </c>
      <c r="G1902" s="16" t="s">
        <v>220</v>
      </c>
      <c r="H1902" s="16" t="s">
        <v>220</v>
      </c>
    </row>
    <row r="1903" ht="20.25" customHeight="1">
      <c r="A1903" s="32" t="str">
        <f>IMAGE("https://gymvisual.com/13623-catalog_default/dumbbell-side-bridge.jpg",4,500,500)</f>
        <v/>
      </c>
      <c r="B1903" s="30">
        <v>1902.0</v>
      </c>
      <c r="C1903" s="16" t="s">
        <v>2504</v>
      </c>
      <c r="D1903" s="16" t="s">
        <v>184</v>
      </c>
      <c r="E1903" s="16" t="s">
        <v>254</v>
      </c>
      <c r="F1903" s="16" t="s">
        <v>222</v>
      </c>
      <c r="G1903" s="16" t="s">
        <v>2505</v>
      </c>
      <c r="H1903" s="16" t="s">
        <v>220</v>
      </c>
    </row>
    <row r="1904" ht="20.25" customHeight="1">
      <c r="A1904" s="32" t="str">
        <f>IMAGE("https://gymvisual.com/10926-catalog_default/dumbbell-side-bridge-female.jpg",4,500,500)</f>
        <v/>
      </c>
      <c r="B1904" s="30">
        <v>1903.0</v>
      </c>
      <c r="C1904" s="16" t="s">
        <v>2506</v>
      </c>
      <c r="D1904" s="16" t="s">
        <v>184</v>
      </c>
      <c r="E1904" s="16" t="s">
        <v>254</v>
      </c>
      <c r="F1904" s="16" t="s">
        <v>222</v>
      </c>
      <c r="G1904" s="16" t="s">
        <v>257</v>
      </c>
      <c r="H1904" s="16" t="s">
        <v>2507</v>
      </c>
    </row>
    <row r="1905" ht="20.25" customHeight="1">
      <c r="A1905" s="32" t="str">
        <f>IMAGE("https://gymvisual.com/19021-catalog_default/dumbbell-side-bridge-with-bent-leg-male.jpg",4,500,500)</f>
        <v/>
      </c>
      <c r="B1905" s="30">
        <v>1904.0</v>
      </c>
      <c r="C1905" s="16" t="s">
        <v>2508</v>
      </c>
      <c r="D1905" s="16" t="s">
        <v>184</v>
      </c>
      <c r="E1905" s="16" t="s">
        <v>254</v>
      </c>
      <c r="F1905" s="16" t="s">
        <v>222</v>
      </c>
      <c r="G1905" s="16" t="s">
        <v>257</v>
      </c>
      <c r="H1905" s="16" t="s">
        <v>220</v>
      </c>
    </row>
    <row r="1906" ht="20.25" customHeight="1">
      <c r="A1906" s="32" t="str">
        <f>IMAGE("https://gymvisual.com/4583-catalog_default/dumbbell-side-lunge.jpg",4,500,500)</f>
        <v/>
      </c>
      <c r="B1906" s="30">
        <v>1905.0</v>
      </c>
      <c r="C1906" s="16" t="s">
        <v>2509</v>
      </c>
      <c r="D1906" s="16" t="s">
        <v>184</v>
      </c>
      <c r="E1906" s="16" t="s">
        <v>185</v>
      </c>
      <c r="F1906" s="16" t="s">
        <v>222</v>
      </c>
      <c r="G1906" s="16" t="s">
        <v>187</v>
      </c>
      <c r="H1906" s="16" t="s">
        <v>2510</v>
      </c>
    </row>
    <row r="1907" ht="20.25" customHeight="1">
      <c r="A1907" s="32" t="str">
        <f>IMAGE("https://gymvisual.com/13918-catalog_default/dumbbell-side-lunge-version-3.jpg",4,500,500)</f>
        <v/>
      </c>
      <c r="B1907" s="30">
        <v>1906.0</v>
      </c>
      <c r="C1907" s="16" t="s">
        <v>2511</v>
      </c>
      <c r="D1907" s="16" t="s">
        <v>184</v>
      </c>
      <c r="E1907" s="16" t="s">
        <v>294</v>
      </c>
      <c r="F1907" s="16" t="s">
        <v>222</v>
      </c>
      <c r="G1907" s="16" t="s">
        <v>295</v>
      </c>
      <c r="H1907" s="16" t="s">
        <v>2512</v>
      </c>
    </row>
    <row r="1908" ht="20.25" customHeight="1">
      <c r="A1908" s="32" t="str">
        <f>IMAGE("https://gymvisual.com/13916-catalog_default/dumbbell-side-lunge-version-3-female.jpg",4,500,500)</f>
        <v/>
      </c>
      <c r="B1908" s="30">
        <v>1907.0</v>
      </c>
      <c r="C1908" s="16" t="s">
        <v>2513</v>
      </c>
      <c r="D1908" s="16" t="s">
        <v>184</v>
      </c>
      <c r="E1908" s="16" t="s">
        <v>294</v>
      </c>
      <c r="F1908" s="16" t="s">
        <v>222</v>
      </c>
      <c r="G1908" s="16" t="s">
        <v>295</v>
      </c>
      <c r="H1908" s="16" t="s">
        <v>2512</v>
      </c>
    </row>
    <row r="1909" ht="20.25" customHeight="1">
      <c r="A1909" s="32" t="str">
        <f>IMAGE("https://gymvisual.com/22255-catalog_default/dumbbell-side-lunge-with-shoulder-press.jpg",4,500,500)</f>
        <v/>
      </c>
      <c r="B1909" s="30">
        <v>1908.0</v>
      </c>
      <c r="C1909" s="16" t="s">
        <v>2514</v>
      </c>
      <c r="D1909" s="16" t="s">
        <v>184</v>
      </c>
      <c r="E1909" s="16" t="s">
        <v>285</v>
      </c>
      <c r="F1909" s="16" t="s">
        <v>222</v>
      </c>
      <c r="G1909" s="16" t="s">
        <v>220</v>
      </c>
      <c r="H1909" s="16" t="s">
        <v>220</v>
      </c>
    </row>
    <row r="1910" ht="20.25" customHeight="1">
      <c r="A1910" s="32" t="str">
        <f>IMAGE("https://gymvisual.com/25661-catalog_default/dumbbell-side-lying-external-rotation-on-a-bench-male.jpg",4,500,500)</f>
        <v/>
      </c>
      <c r="B1910" s="30">
        <v>1909.0</v>
      </c>
      <c r="C1910" s="16" t="s">
        <v>2515</v>
      </c>
      <c r="D1910" s="16" t="s">
        <v>184</v>
      </c>
      <c r="E1910" s="16" t="s">
        <v>192</v>
      </c>
      <c r="F1910" s="16" t="s">
        <v>222</v>
      </c>
      <c r="G1910" s="16" t="s">
        <v>220</v>
      </c>
      <c r="H1910" s="16" t="s">
        <v>220</v>
      </c>
    </row>
    <row r="1911" ht="20.25" customHeight="1">
      <c r="A1911" s="32" t="str">
        <f>IMAGE("https://gymvisual.com/1243-catalog_default/3-4-sit-up.jpg",4,500,500)</f>
        <v/>
      </c>
      <c r="B1911" s="30">
        <v>1910.0</v>
      </c>
      <c r="C1911" s="16" t="s">
        <v>2516</v>
      </c>
      <c r="D1911" s="16" t="s">
        <v>184</v>
      </c>
      <c r="E1911" s="16" t="s">
        <v>228</v>
      </c>
      <c r="F1911" s="16" t="s">
        <v>222</v>
      </c>
      <c r="G1911" s="16" t="s">
        <v>544</v>
      </c>
      <c r="H1911" s="16" t="s">
        <v>2517</v>
      </c>
    </row>
    <row r="1912" ht="20.25" customHeight="1">
      <c r="A1912" s="32" t="str">
        <f>IMAGE("https://gymvisual.com/14448-catalog_default/dumbbell-side-plank-with-rear-fly.jpg",4,500,500)</f>
        <v/>
      </c>
      <c r="B1912" s="30">
        <v>1911.0</v>
      </c>
      <c r="C1912" s="16" t="s">
        <v>2518</v>
      </c>
      <c r="D1912" s="16" t="s">
        <v>184</v>
      </c>
      <c r="E1912" s="16" t="s">
        <v>254</v>
      </c>
      <c r="F1912" s="16" t="s">
        <v>222</v>
      </c>
      <c r="G1912" s="16" t="s">
        <v>2519</v>
      </c>
      <c r="H1912" s="16" t="s">
        <v>2520</v>
      </c>
    </row>
    <row r="1913" ht="20.25" customHeight="1">
      <c r="A1913" s="32" t="str">
        <f>IMAGE("https://gymvisual.com/20700-catalog_default/dumbbell-side-squat.jpg",4,500,500)</f>
        <v/>
      </c>
      <c r="B1913" s="30">
        <v>1912.0</v>
      </c>
      <c r="C1913" s="16" t="s">
        <v>2521</v>
      </c>
      <c r="D1913" s="16" t="s">
        <v>184</v>
      </c>
      <c r="E1913" s="16" t="s">
        <v>285</v>
      </c>
      <c r="F1913" s="16" t="s">
        <v>222</v>
      </c>
      <c r="G1913" s="16" t="s">
        <v>295</v>
      </c>
      <c r="H1913" s="16" t="s">
        <v>2522</v>
      </c>
    </row>
    <row r="1914" ht="20.25" customHeight="1">
      <c r="A1914" s="32" t="str">
        <f>IMAGE("https://gymvisual.com/23903-catalog_default/dumbbell-single-arm-alternate-decline-bench-press.jpg",4,500,500)</f>
        <v/>
      </c>
      <c r="B1914" s="30">
        <v>1913.0</v>
      </c>
      <c r="C1914" s="16" t="s">
        <v>2523</v>
      </c>
      <c r="D1914" s="16" t="s">
        <v>184</v>
      </c>
      <c r="E1914" s="16" t="s">
        <v>234</v>
      </c>
      <c r="F1914" s="16" t="s">
        <v>222</v>
      </c>
      <c r="G1914" s="16" t="s">
        <v>347</v>
      </c>
      <c r="H1914" s="16" t="s">
        <v>382</v>
      </c>
    </row>
    <row r="1915" ht="20.25" customHeight="1">
      <c r="A1915" s="32" t="str">
        <f>IMAGE("https://gymvisual.com/23905-catalog_default/dumbbell-single-arm-alternate-fly.jpg",4,500,500)</f>
        <v/>
      </c>
      <c r="B1915" s="30">
        <v>1914.0</v>
      </c>
      <c r="C1915" s="16" t="s">
        <v>2524</v>
      </c>
      <c r="D1915" s="16" t="s">
        <v>184</v>
      </c>
      <c r="E1915" s="16" t="s">
        <v>234</v>
      </c>
      <c r="F1915" s="16" t="s">
        <v>222</v>
      </c>
      <c r="G1915" s="16" t="s">
        <v>235</v>
      </c>
      <c r="H1915" s="16" t="s">
        <v>236</v>
      </c>
    </row>
    <row r="1916" ht="20.25" customHeight="1">
      <c r="A1916" s="32" t="str">
        <f>IMAGE("https://gymvisual.com/22359-catalog_default/dumbbell-single-arm-bent-over-row.jpg",4,500,500)</f>
        <v/>
      </c>
      <c r="B1916" s="30">
        <v>1915.0</v>
      </c>
      <c r="C1916" s="16" t="s">
        <v>2525</v>
      </c>
      <c r="D1916" s="16" t="s">
        <v>184</v>
      </c>
      <c r="E1916" s="16" t="s">
        <v>192</v>
      </c>
      <c r="F1916" s="16" t="s">
        <v>222</v>
      </c>
      <c r="G1916" s="16" t="s">
        <v>220</v>
      </c>
      <c r="H1916" s="16" t="s">
        <v>220</v>
      </c>
    </row>
    <row r="1917" ht="20.25" customHeight="1">
      <c r="A1917" s="32" t="str">
        <f>IMAGE("https://gymvisual.com/23895-catalog_default/dumbbell-single-arm-floor-press.jpg",4,500,500)</f>
        <v/>
      </c>
      <c r="B1917" s="30">
        <v>1916.0</v>
      </c>
      <c r="C1917" s="16" t="s">
        <v>2526</v>
      </c>
      <c r="D1917" s="16" t="s">
        <v>184</v>
      </c>
      <c r="E1917" s="16" t="s">
        <v>234</v>
      </c>
      <c r="F1917" s="16" t="s">
        <v>222</v>
      </c>
      <c r="G1917" s="16" t="s">
        <v>347</v>
      </c>
      <c r="H1917" s="16" t="s">
        <v>382</v>
      </c>
    </row>
    <row r="1918" ht="20.25" customHeight="1">
      <c r="A1918" s="32" t="str">
        <f>IMAGE("https://gymvisual.com/26373-catalog_default/dumbbell-single-arm-neutral-grip-front-raise.jpg",4,500,500)</f>
        <v/>
      </c>
      <c r="B1918" s="30">
        <v>1917.0</v>
      </c>
      <c r="C1918" s="16" t="s">
        <v>2527</v>
      </c>
      <c r="D1918" s="16" t="s">
        <v>184</v>
      </c>
      <c r="E1918" s="16" t="s">
        <v>228</v>
      </c>
      <c r="F1918" s="16" t="s">
        <v>222</v>
      </c>
      <c r="G1918" s="16" t="s">
        <v>220</v>
      </c>
      <c r="H1918" s="16" t="s">
        <v>220</v>
      </c>
    </row>
    <row r="1919" ht="20.25" customHeight="1">
      <c r="A1919" s="32" t="str">
        <f>IMAGE("https://gymvisual.com/14108-catalog_default/dumbbell-single-arm-overhead-carry.jpg",4,500,500)</f>
        <v/>
      </c>
      <c r="B1919" s="30">
        <v>1918.0</v>
      </c>
      <c r="C1919" s="16" t="s">
        <v>2528</v>
      </c>
      <c r="D1919" s="16" t="s">
        <v>184</v>
      </c>
      <c r="E1919" s="16" t="s">
        <v>1129</v>
      </c>
      <c r="F1919" s="16" t="s">
        <v>222</v>
      </c>
      <c r="G1919" s="16" t="s">
        <v>220</v>
      </c>
      <c r="H1919" s="16" t="s">
        <v>220</v>
      </c>
    </row>
    <row r="1920" ht="20.25" customHeight="1">
      <c r="A1920" s="32" t="str">
        <f>IMAGE("https://gymvisual.com/23899-catalog_default/dumbbell-single-arm-overhead-lunge.jpg",4,500,500)</f>
        <v/>
      </c>
      <c r="B1920" s="30">
        <v>1919.0</v>
      </c>
      <c r="C1920" s="16" t="s">
        <v>2529</v>
      </c>
      <c r="D1920" s="16" t="s">
        <v>184</v>
      </c>
      <c r="E1920" s="16" t="s">
        <v>285</v>
      </c>
      <c r="F1920" s="16" t="s">
        <v>222</v>
      </c>
      <c r="G1920" s="16" t="s">
        <v>189</v>
      </c>
      <c r="H1920" s="16" t="s">
        <v>190</v>
      </c>
    </row>
    <row r="1921" ht="20.25" customHeight="1">
      <c r="A1921" s="32" t="str">
        <f>IMAGE("https://gymvisual.com/13437-catalog_default/dumbbell-single-arm-preacher-curl-female.jpg",4,500,500)</f>
        <v/>
      </c>
      <c r="B1921" s="30">
        <v>1920.0</v>
      </c>
      <c r="C1921" s="16" t="s">
        <v>2530</v>
      </c>
      <c r="D1921" s="16" t="s">
        <v>184</v>
      </c>
      <c r="E1921" s="16" t="s">
        <v>219</v>
      </c>
      <c r="F1921" s="16" t="s">
        <v>222</v>
      </c>
      <c r="G1921" s="16" t="s">
        <v>232</v>
      </c>
      <c r="H1921" s="16" t="s">
        <v>233</v>
      </c>
    </row>
    <row r="1922" ht="20.25" customHeight="1">
      <c r="A1922" s="32" t="str">
        <f>IMAGE("https://gymvisual.com/23893-catalog_default/dumbbell-single-arm-underhand-front-raise.jpg",4,500,500)</f>
        <v/>
      </c>
      <c r="B1922" s="30">
        <v>1921.0</v>
      </c>
      <c r="C1922" s="16" t="s">
        <v>2531</v>
      </c>
      <c r="D1922" s="16" t="s">
        <v>184</v>
      </c>
      <c r="E1922" s="16" t="s">
        <v>228</v>
      </c>
      <c r="F1922" s="16" t="s">
        <v>222</v>
      </c>
      <c r="G1922" s="16" t="s">
        <v>229</v>
      </c>
      <c r="H1922" s="16" t="s">
        <v>244</v>
      </c>
    </row>
    <row r="1923" ht="20.25" customHeight="1">
      <c r="A1923" s="32" t="str">
        <f>IMAGE("https://gymvisual.com/24041-catalog_default/3-4-sit-up.jpg",4,500,500)</f>
        <v/>
      </c>
      <c r="B1923" s="30">
        <v>1922.0</v>
      </c>
      <c r="C1923" s="16" t="s">
        <v>2532</v>
      </c>
      <c r="D1923" s="16" t="s">
        <v>184</v>
      </c>
      <c r="E1923" s="16" t="s">
        <v>325</v>
      </c>
      <c r="F1923" s="16" t="s">
        <v>222</v>
      </c>
      <c r="G1923" s="16" t="s">
        <v>368</v>
      </c>
      <c r="H1923" s="16" t="s">
        <v>463</v>
      </c>
    </row>
    <row r="1924" ht="20.25" customHeight="1">
      <c r="A1924" s="32" t="str">
        <f>IMAGE("https://gymvisual.com/11402-catalog_default/dumbbell-single-leg-calf-raise-female.jpg",4,500,500)</f>
        <v/>
      </c>
      <c r="B1924" s="30">
        <v>1923.0</v>
      </c>
      <c r="C1924" s="16" t="s">
        <v>2533</v>
      </c>
      <c r="D1924" s="16" t="s">
        <v>184</v>
      </c>
      <c r="E1924" s="16" t="s">
        <v>325</v>
      </c>
      <c r="F1924" s="16" t="s">
        <v>222</v>
      </c>
      <c r="G1924" s="16" t="s">
        <v>220</v>
      </c>
      <c r="H1924" s="16" t="s">
        <v>220</v>
      </c>
    </row>
    <row r="1925" ht="20.25" customHeight="1">
      <c r="A1925" s="32" t="str">
        <f>IMAGE("https://gymvisual.com/17368-catalog_default/illustration.jpg",4,500,500)</f>
        <v/>
      </c>
      <c r="B1925" s="30">
        <v>1924.0</v>
      </c>
      <c r="C1925" s="16" t="s">
        <v>2534</v>
      </c>
      <c r="D1925" s="16" t="s">
        <v>184</v>
      </c>
      <c r="E1925" s="16" t="s">
        <v>325</v>
      </c>
      <c r="F1925" s="16" t="s">
        <v>222</v>
      </c>
      <c r="G1925" s="16" t="s">
        <v>368</v>
      </c>
      <c r="H1925" s="16" t="s">
        <v>463</v>
      </c>
    </row>
    <row r="1926" ht="20.25" customHeight="1">
      <c r="A1926" s="32" t="str">
        <f>IMAGE("https://gymvisual.com/7519-catalog_default/dumbbell-single-leg-deadlift.jpg",4,500,500)</f>
        <v/>
      </c>
      <c r="B1926" s="30">
        <v>1925.0</v>
      </c>
      <c r="C1926" s="16" t="s">
        <v>2535</v>
      </c>
      <c r="D1926" s="16" t="s">
        <v>184</v>
      </c>
      <c r="E1926" s="16" t="s">
        <v>185</v>
      </c>
      <c r="F1926" s="16" t="s">
        <v>222</v>
      </c>
      <c r="G1926" s="16" t="s">
        <v>267</v>
      </c>
      <c r="H1926" s="16" t="s">
        <v>188</v>
      </c>
    </row>
    <row r="1927" ht="20.25" customHeight="1">
      <c r="A1927" s="32" t="str">
        <f>IMAGE("https://gymvisual.com/11435-catalog_default/dumbbell-single-leg-deadlift-female.jpg",4,500,500)</f>
        <v/>
      </c>
      <c r="B1927" s="30">
        <v>1926.0</v>
      </c>
      <c r="C1927" s="16" t="s">
        <v>2536</v>
      </c>
      <c r="D1927" s="16" t="s">
        <v>184</v>
      </c>
      <c r="E1927" s="16" t="s">
        <v>185</v>
      </c>
      <c r="F1927" s="16" t="s">
        <v>222</v>
      </c>
      <c r="G1927" s="16" t="s">
        <v>187</v>
      </c>
      <c r="H1927" s="16" t="s">
        <v>482</v>
      </c>
    </row>
    <row r="1928" ht="20.25" customHeight="1">
      <c r="A1928" s="32" t="str">
        <f>IMAGE("https://gymvisual.com/11969-catalog_default/dumbbell-single-leg-deadlift-with-stepbox-support.jpg",4,500,500)</f>
        <v/>
      </c>
      <c r="B1928" s="30">
        <v>1927.0</v>
      </c>
      <c r="C1928" s="16" t="s">
        <v>2537</v>
      </c>
      <c r="D1928" s="16" t="s">
        <v>184</v>
      </c>
      <c r="E1928" s="16" t="s">
        <v>185</v>
      </c>
      <c r="F1928" s="16" t="s">
        <v>222</v>
      </c>
      <c r="G1928" s="16" t="s">
        <v>220</v>
      </c>
      <c r="H1928" s="16" t="s">
        <v>220</v>
      </c>
    </row>
    <row r="1929" ht="20.25" customHeight="1">
      <c r="A1929" s="32" t="str">
        <f>IMAGE("https://gymvisual.com/11968-catalog_default/dumbbell-single-leg-deadlift-with-stepbox-support-female.jpg",4,500,500)</f>
        <v/>
      </c>
      <c r="B1929" s="30">
        <v>1928.0</v>
      </c>
      <c r="C1929" s="16" t="s">
        <v>2538</v>
      </c>
      <c r="D1929" s="16" t="s">
        <v>184</v>
      </c>
      <c r="E1929" s="16" t="s">
        <v>185</v>
      </c>
      <c r="F1929" s="16" t="s">
        <v>222</v>
      </c>
      <c r="G1929" s="16" t="s">
        <v>220</v>
      </c>
      <c r="H1929" s="16" t="s">
        <v>220</v>
      </c>
    </row>
    <row r="1930" ht="20.25" customHeight="1">
      <c r="A1930" s="32" t="str">
        <f>IMAGE("https://gymvisual.com/11827-catalog_default/dumbbell-single-leg-deadlift-with-wall-support-female.jpg",4,500,500)</f>
        <v/>
      </c>
      <c r="B1930" s="30">
        <v>1929.0</v>
      </c>
      <c r="C1930" s="16" t="s">
        <v>2539</v>
      </c>
      <c r="D1930" s="16" t="s">
        <v>184</v>
      </c>
      <c r="E1930" s="16" t="s">
        <v>185</v>
      </c>
      <c r="F1930" s="16" t="s">
        <v>222</v>
      </c>
      <c r="G1930" s="16" t="s">
        <v>220</v>
      </c>
      <c r="H1930" s="16" t="s">
        <v>220</v>
      </c>
    </row>
    <row r="1931" ht="20.25" customHeight="1">
      <c r="A1931" s="32" t="str">
        <f>IMAGE("https://gymvisual.com/22147-catalog_default/dumbbell-single-leg-glute-bridge.jpg",4,500,500)</f>
        <v/>
      </c>
      <c r="B1931" s="30">
        <v>1930.0</v>
      </c>
      <c r="C1931" s="16" t="s">
        <v>2540</v>
      </c>
      <c r="D1931" s="16" t="s">
        <v>184</v>
      </c>
      <c r="E1931" s="16" t="s">
        <v>185</v>
      </c>
      <c r="F1931" s="16" t="s">
        <v>222</v>
      </c>
      <c r="G1931" s="16" t="s">
        <v>187</v>
      </c>
      <c r="H1931" s="16" t="s">
        <v>854</v>
      </c>
    </row>
    <row r="1932" ht="20.25" customHeight="1">
      <c r="A1932" s="32" t="str">
        <f>IMAGE("https://gymvisual.com/22257-catalog_default/dumbbell-single-leg-hip-thrust.jpg",4,500,500)</f>
        <v/>
      </c>
      <c r="B1932" s="30">
        <v>1931.0</v>
      </c>
      <c r="C1932" s="16" t="s">
        <v>2541</v>
      </c>
      <c r="D1932" s="16" t="s">
        <v>184</v>
      </c>
      <c r="E1932" s="16" t="s">
        <v>185</v>
      </c>
      <c r="F1932" s="16" t="s">
        <v>222</v>
      </c>
      <c r="G1932" s="16" t="s">
        <v>220</v>
      </c>
      <c r="H1932" s="16" t="s">
        <v>220</v>
      </c>
    </row>
    <row r="1933" ht="20.25" customHeight="1">
      <c r="A1933" s="32" t="str">
        <f>IMAGE("https://gymvisual.com/26064-catalog_default/3-4-sit-up.jpg",4,500,500)</f>
        <v/>
      </c>
      <c r="B1933" s="30">
        <v>1932.0</v>
      </c>
      <c r="C1933" s="16" t="s">
        <v>2542</v>
      </c>
      <c r="D1933" s="16" t="s">
        <v>184</v>
      </c>
      <c r="E1933" s="16" t="s">
        <v>285</v>
      </c>
      <c r="F1933" s="16" t="s">
        <v>222</v>
      </c>
      <c r="G1933" s="16" t="s">
        <v>189</v>
      </c>
      <c r="H1933" s="16" t="s">
        <v>190</v>
      </c>
    </row>
    <row r="1934" ht="20.25" customHeight="1">
      <c r="A1934" s="32" t="str">
        <f>IMAGE("https://gymvisual.com/1252-catalog_default/3-4-sit-up.jpg",4,500,500)</f>
        <v/>
      </c>
      <c r="B1934" s="30">
        <v>1933.0</v>
      </c>
      <c r="C1934" s="16" t="s">
        <v>2543</v>
      </c>
      <c r="D1934" s="16" t="s">
        <v>184</v>
      </c>
      <c r="E1934" s="16" t="s">
        <v>185</v>
      </c>
      <c r="F1934" s="16" t="s">
        <v>222</v>
      </c>
      <c r="G1934" s="16" t="s">
        <v>189</v>
      </c>
      <c r="H1934" s="16" t="s">
        <v>190</v>
      </c>
    </row>
    <row r="1935" ht="20.25" customHeight="1">
      <c r="A1935" s="32" t="str">
        <f>IMAGE("https://gymvisual.com/14052-catalog_default/dumbbell-single-leg-squat-female.jpg",4,500,500)</f>
        <v/>
      </c>
      <c r="B1935" s="30">
        <v>1934.0</v>
      </c>
      <c r="C1935" s="16" t="s">
        <v>2544</v>
      </c>
      <c r="D1935" s="16" t="s">
        <v>184</v>
      </c>
      <c r="E1935" s="16" t="s">
        <v>294</v>
      </c>
      <c r="F1935" s="16" t="s">
        <v>222</v>
      </c>
      <c r="G1935" s="16" t="s">
        <v>189</v>
      </c>
      <c r="H1935" s="16" t="s">
        <v>190</v>
      </c>
    </row>
    <row r="1936" ht="20.25" customHeight="1">
      <c r="A1936" s="32" t="str">
        <f>IMAGE("https://gymvisual.com/16712-catalog_default/dumbbell-single-leg-squat-version-2-female.jpg",4,500,500)</f>
        <v/>
      </c>
      <c r="B1936" s="30">
        <v>1935.0</v>
      </c>
      <c r="C1936" s="16" t="s">
        <v>2545</v>
      </c>
      <c r="D1936" s="16" t="s">
        <v>184</v>
      </c>
      <c r="E1936" s="16" t="s">
        <v>294</v>
      </c>
      <c r="F1936" s="16" t="s">
        <v>222</v>
      </c>
      <c r="G1936" s="16" t="s">
        <v>189</v>
      </c>
      <c r="H1936" s="16" t="s">
        <v>190</v>
      </c>
    </row>
    <row r="1937" ht="20.25" customHeight="1">
      <c r="A1937" s="32" t="str">
        <f>IMAGE("https://gymvisual.com/16714-catalog_default/dumbbell-single-leg-squat-version-2-male.jpg",4,500,500)</f>
        <v/>
      </c>
      <c r="B1937" s="30">
        <v>1936.0</v>
      </c>
      <c r="C1937" s="16" t="s">
        <v>2546</v>
      </c>
      <c r="D1937" s="16" t="s">
        <v>184</v>
      </c>
      <c r="E1937" s="16" t="s">
        <v>294</v>
      </c>
      <c r="F1937" s="16" t="s">
        <v>222</v>
      </c>
      <c r="G1937" s="16" t="s">
        <v>220</v>
      </c>
      <c r="H1937" s="16" t="s">
        <v>220</v>
      </c>
    </row>
    <row r="1938" ht="20.25" customHeight="1">
      <c r="A1938" s="32" t="str">
        <f>IMAGE("https://gymvisual.com/12190-catalog_default/dumbbell-single-leg-step-up.jpg",4,500,500)</f>
        <v/>
      </c>
      <c r="B1938" s="30">
        <v>1937.0</v>
      </c>
      <c r="C1938" s="16" t="s">
        <v>2547</v>
      </c>
      <c r="D1938" s="16" t="s">
        <v>184</v>
      </c>
      <c r="E1938" s="16" t="s">
        <v>285</v>
      </c>
      <c r="F1938" s="16" t="s">
        <v>222</v>
      </c>
      <c r="G1938" s="16" t="s">
        <v>189</v>
      </c>
      <c r="H1938" s="16" t="s">
        <v>190</v>
      </c>
    </row>
    <row r="1939" ht="20.25" customHeight="1">
      <c r="A1939" s="32" t="str">
        <f>IMAGE("https://gymvisual.com/22349-catalog_default/dumbbell-single-leg-step-up-on-bench.jpg",4,500,500)</f>
        <v/>
      </c>
      <c r="B1939" s="30">
        <v>1938.0</v>
      </c>
      <c r="C1939" s="16" t="s">
        <v>2548</v>
      </c>
      <c r="D1939" s="16" t="s">
        <v>184</v>
      </c>
      <c r="E1939" s="16" t="s">
        <v>285</v>
      </c>
      <c r="F1939" s="16" t="s">
        <v>222</v>
      </c>
      <c r="G1939" s="16" t="s">
        <v>220</v>
      </c>
      <c r="H1939" s="16" t="s">
        <v>220</v>
      </c>
    </row>
    <row r="1940" ht="20.25" customHeight="1">
      <c r="A1940" s="32" t="str">
        <f>IMAGE("https://gymvisual.com/26076-catalog_default/dumbbell-single-power-clean.jpg",4,500,500)</f>
        <v/>
      </c>
      <c r="B1940" s="30">
        <v>1939.0</v>
      </c>
      <c r="C1940" s="16" t="s">
        <v>2549</v>
      </c>
      <c r="D1940" s="16" t="s">
        <v>184</v>
      </c>
      <c r="E1940" s="16" t="s">
        <v>764</v>
      </c>
      <c r="F1940" s="16" t="s">
        <v>222</v>
      </c>
      <c r="G1940" s="16" t="s">
        <v>220</v>
      </c>
      <c r="H1940" s="16" t="s">
        <v>220</v>
      </c>
    </row>
    <row r="1941" ht="20.25" customHeight="1">
      <c r="A1941" s="32" t="str">
        <f>IMAGE("https://gymvisual.com/17302-catalog_default/dumbbell-single-spider-curl-with-chest-support.jpg",4,500,500)</f>
        <v/>
      </c>
      <c r="B1941" s="30">
        <v>1940.0</v>
      </c>
      <c r="C1941" s="16" t="s">
        <v>2550</v>
      </c>
      <c r="D1941" s="16" t="s">
        <v>184</v>
      </c>
      <c r="E1941" s="16" t="s">
        <v>219</v>
      </c>
      <c r="F1941" s="16" t="s">
        <v>222</v>
      </c>
      <c r="G1941" s="16" t="s">
        <v>241</v>
      </c>
      <c r="H1941" s="16" t="s">
        <v>292</v>
      </c>
    </row>
    <row r="1942" ht="20.25" customHeight="1">
      <c r="A1942" s="32" t="str">
        <f>IMAGE("https://gymvisual.com/20686-catalog_default/dumbbell-single-stiff-leg-deadlift.jpg",4,500,500)</f>
        <v/>
      </c>
      <c r="B1942" s="30">
        <v>1941.0</v>
      </c>
      <c r="C1942" s="16" t="s">
        <v>2551</v>
      </c>
      <c r="D1942" s="16" t="s">
        <v>184</v>
      </c>
      <c r="E1942" s="16" t="s">
        <v>185</v>
      </c>
      <c r="F1942" s="16" t="s">
        <v>222</v>
      </c>
      <c r="G1942" s="16" t="s">
        <v>267</v>
      </c>
      <c r="H1942" s="16" t="s">
        <v>188</v>
      </c>
    </row>
    <row r="1943" ht="20.25" customHeight="1">
      <c r="A1943" s="32" t="str">
        <f>IMAGE("https://gymvisual.com/10495-catalog_default/dumbbell-single-arm-leaning-lateral-raise.jpg",4,500,500)</f>
        <v/>
      </c>
      <c r="B1943" s="30">
        <v>1942.0</v>
      </c>
      <c r="C1943" s="16" t="s">
        <v>2552</v>
      </c>
      <c r="D1943" s="16" t="s">
        <v>184</v>
      </c>
      <c r="E1943" s="16" t="s">
        <v>228</v>
      </c>
      <c r="F1943" s="16" t="s">
        <v>222</v>
      </c>
      <c r="G1943" s="16" t="s">
        <v>544</v>
      </c>
      <c r="H1943" s="16" t="s">
        <v>2436</v>
      </c>
    </row>
    <row r="1944" ht="20.25" customHeight="1">
      <c r="A1944" s="32" t="str">
        <f>IMAGE("https://gymvisual.com/22259-catalog_default/dumbbell-sit-up.jpg",4,500,500)</f>
        <v/>
      </c>
      <c r="B1944" s="30">
        <v>1943.0</v>
      </c>
      <c r="C1944" s="16" t="s">
        <v>2553</v>
      </c>
      <c r="D1944" s="16" t="s">
        <v>184</v>
      </c>
      <c r="E1944" s="16" t="s">
        <v>254</v>
      </c>
      <c r="F1944" s="16" t="s">
        <v>222</v>
      </c>
      <c r="G1944" s="16" t="s">
        <v>220</v>
      </c>
      <c r="H1944" s="16" t="s">
        <v>220</v>
      </c>
    </row>
    <row r="1945" ht="20.25" customHeight="1">
      <c r="A1945" s="32" t="str">
        <f>IMAGE("https://gymvisual.com/12269-catalog_default/dumbbell-split-squat.jpg",4,500,500)</f>
        <v/>
      </c>
      <c r="B1945" s="30">
        <v>1944.0</v>
      </c>
      <c r="C1945" s="16" t="s">
        <v>2554</v>
      </c>
      <c r="D1945" s="16" t="s">
        <v>184</v>
      </c>
      <c r="E1945" s="16" t="s">
        <v>285</v>
      </c>
      <c r="F1945" s="16" t="s">
        <v>222</v>
      </c>
      <c r="G1945" s="16" t="s">
        <v>189</v>
      </c>
      <c r="H1945" s="16" t="s">
        <v>190</v>
      </c>
    </row>
    <row r="1946" ht="20.25" customHeight="1">
      <c r="A1946" s="32" t="str">
        <f>IMAGE("https://gymvisual.com/20678-catalog_default/dumbbell-split-squat-female.jpg",4,500,500)</f>
        <v/>
      </c>
      <c r="B1946" s="30">
        <v>1945.0</v>
      </c>
      <c r="C1946" s="16" t="s">
        <v>2555</v>
      </c>
      <c r="D1946" s="16" t="s">
        <v>184</v>
      </c>
      <c r="E1946" s="16" t="s">
        <v>285</v>
      </c>
      <c r="F1946" s="16" t="s">
        <v>222</v>
      </c>
      <c r="G1946" s="16" t="s">
        <v>189</v>
      </c>
      <c r="H1946" s="16" t="s">
        <v>190</v>
      </c>
    </row>
    <row r="1947" ht="20.25" customHeight="1">
      <c r="A1947" s="32" t="str">
        <f>IMAGE("https://gymvisual.com/12260-catalog_default/dumbbell-split-squat-front-foot-elevanted.jpg",4,500,500)</f>
        <v/>
      </c>
      <c r="B1947" s="30">
        <v>1946.0</v>
      </c>
      <c r="C1947" s="16" t="s">
        <v>2556</v>
      </c>
      <c r="D1947" s="16" t="s">
        <v>184</v>
      </c>
      <c r="E1947" s="16" t="s">
        <v>285</v>
      </c>
      <c r="F1947" s="16" t="s">
        <v>222</v>
      </c>
      <c r="G1947" s="16" t="s">
        <v>189</v>
      </c>
      <c r="H1947" s="16" t="s">
        <v>190</v>
      </c>
    </row>
    <row r="1948" ht="20.25" customHeight="1">
      <c r="A1948" s="32" t="str">
        <f>IMAGE("https://gymvisual.com/12263-catalog_default/dumbbell-split-squat-front-foot-elevanted-female.jpg",4,500,500)</f>
        <v/>
      </c>
      <c r="B1948" s="30">
        <v>1947.0</v>
      </c>
      <c r="C1948" s="16" t="s">
        <v>2557</v>
      </c>
      <c r="D1948" s="16" t="s">
        <v>184</v>
      </c>
      <c r="E1948" s="16" t="s">
        <v>285</v>
      </c>
      <c r="F1948" s="16" t="s">
        <v>222</v>
      </c>
      <c r="G1948" s="16" t="s">
        <v>189</v>
      </c>
      <c r="H1948" s="16" t="s">
        <v>190</v>
      </c>
    </row>
    <row r="1949" ht="20.25" customHeight="1">
      <c r="A1949" s="32" t="str">
        <f>IMAGE("https://gymvisual.com/16032-catalog_default/dumbbell-split-squat-front-foot-elevanted-with-bosu-ball-female.jpg",4,500,500)</f>
        <v/>
      </c>
      <c r="B1949" s="30">
        <v>1948.0</v>
      </c>
      <c r="C1949" s="16" t="s">
        <v>2558</v>
      </c>
      <c r="D1949" s="16" t="s">
        <v>184</v>
      </c>
      <c r="E1949" s="16" t="s">
        <v>294</v>
      </c>
      <c r="F1949" s="16" t="s">
        <v>222</v>
      </c>
      <c r="G1949" s="16" t="s">
        <v>189</v>
      </c>
      <c r="H1949" s="16" t="s">
        <v>190</v>
      </c>
    </row>
    <row r="1950" ht="20.25" customHeight="1">
      <c r="A1950" s="32" t="str">
        <f>IMAGE("https://gymvisual.com/20553-catalog_default/dumbbell-sprinter-thrust-chest-press.jpg",4,500,500)</f>
        <v/>
      </c>
      <c r="B1950" s="30">
        <v>1949.0</v>
      </c>
      <c r="C1950" s="16" t="s">
        <v>2559</v>
      </c>
      <c r="D1950" s="16" t="s">
        <v>184</v>
      </c>
      <c r="E1950" s="16" t="s">
        <v>1798</v>
      </c>
      <c r="F1950" s="16" t="s">
        <v>222</v>
      </c>
      <c r="G1950" s="16" t="s">
        <v>2560</v>
      </c>
      <c r="H1950" s="16" t="s">
        <v>2561</v>
      </c>
    </row>
    <row r="1951" ht="20.25" customHeight="1">
      <c r="A1951" s="32" t="str">
        <f>IMAGE("https://gymvisual.com/1258-catalog_default/3-4-sit-up.jpg",4,500,500)</f>
        <v/>
      </c>
      <c r="B1951" s="30">
        <v>1950.0</v>
      </c>
      <c r="C1951" s="16" t="s">
        <v>2562</v>
      </c>
      <c r="D1951" s="16" t="s">
        <v>184</v>
      </c>
      <c r="E1951" s="16" t="s">
        <v>185</v>
      </c>
      <c r="F1951" s="16" t="s">
        <v>222</v>
      </c>
      <c r="G1951" s="16" t="s">
        <v>189</v>
      </c>
      <c r="H1951" s="16" t="s">
        <v>190</v>
      </c>
    </row>
    <row r="1952" ht="20.25" customHeight="1">
      <c r="A1952" s="32" t="str">
        <f>IMAGE("https://gymvisual.com/6802-catalog_default/dumbbell-squat.jpg",4,500,500)</f>
        <v/>
      </c>
      <c r="B1952" s="30">
        <v>1951.0</v>
      </c>
      <c r="C1952" s="16" t="s">
        <v>2562</v>
      </c>
      <c r="D1952" s="16" t="s">
        <v>184</v>
      </c>
      <c r="E1952" s="16" t="s">
        <v>285</v>
      </c>
      <c r="F1952" s="16" t="s">
        <v>222</v>
      </c>
      <c r="G1952" s="16" t="s">
        <v>189</v>
      </c>
      <c r="H1952" s="16" t="s">
        <v>190</v>
      </c>
    </row>
    <row r="1953" ht="20.25" customHeight="1">
      <c r="A1953" s="32" t="str">
        <f>IMAGE("https://gymvisual.com/1255-catalog_default/3-4-sit-up.jpg",4,500,500)</f>
        <v/>
      </c>
      <c r="B1953" s="30">
        <v>1952.0</v>
      </c>
      <c r="C1953" s="16" t="s">
        <v>2563</v>
      </c>
      <c r="D1953" s="16" t="s">
        <v>184</v>
      </c>
      <c r="E1953" s="16" t="s">
        <v>285</v>
      </c>
      <c r="F1953" s="16" t="s">
        <v>222</v>
      </c>
      <c r="G1953" s="16" t="s">
        <v>189</v>
      </c>
      <c r="H1953" s="16" t="s">
        <v>190</v>
      </c>
    </row>
    <row r="1954" ht="20.25" customHeight="1">
      <c r="A1954" s="32" t="str">
        <f>IMAGE("https://gymvisual.com/9574-catalog_default/dumbbell-squat-female.jpg",4,500,500)</f>
        <v/>
      </c>
      <c r="B1954" s="30">
        <v>1953.0</v>
      </c>
      <c r="C1954" s="16" t="s">
        <v>2564</v>
      </c>
      <c r="D1954" s="16" t="s">
        <v>184</v>
      </c>
      <c r="E1954" s="16" t="s">
        <v>294</v>
      </c>
      <c r="F1954" s="16" t="s">
        <v>222</v>
      </c>
      <c r="G1954" s="16" t="s">
        <v>189</v>
      </c>
      <c r="H1954" s="16" t="s">
        <v>190</v>
      </c>
    </row>
    <row r="1955" ht="20.25" customHeight="1">
      <c r="A1955" s="32" t="str">
        <f>IMAGE("https://gymvisual.com/19219-catalog_default/dumbbell-squat-hold-calf-raise.jpg",4,500,500)</f>
        <v/>
      </c>
      <c r="B1955" s="30">
        <v>1954.0</v>
      </c>
      <c r="C1955" s="16" t="s">
        <v>2565</v>
      </c>
      <c r="D1955" s="16" t="s">
        <v>184</v>
      </c>
      <c r="E1955" s="16" t="s">
        <v>1236</v>
      </c>
      <c r="F1955" s="16" t="s">
        <v>222</v>
      </c>
      <c r="G1955" s="16" t="s">
        <v>220</v>
      </c>
      <c r="H1955" s="16" t="s">
        <v>220</v>
      </c>
    </row>
    <row r="1956" ht="20.25" customHeight="1">
      <c r="A1956" s="32" t="str">
        <f>IMAGE("https://gymvisual.com/24101-catalog_default/dumbbell-squat-to-overhead-press.jpg",4,500,500)</f>
        <v/>
      </c>
      <c r="B1956" s="30">
        <v>1955.0</v>
      </c>
      <c r="C1956" s="16" t="s">
        <v>2566</v>
      </c>
      <c r="D1956" s="16" t="s">
        <v>184</v>
      </c>
      <c r="E1956" s="16" t="s">
        <v>285</v>
      </c>
      <c r="F1956" s="16" t="s">
        <v>222</v>
      </c>
      <c r="G1956" s="16" t="s">
        <v>220</v>
      </c>
      <c r="H1956" s="16" t="s">
        <v>220</v>
      </c>
    </row>
    <row r="1957" ht="20.25" customHeight="1">
      <c r="A1957" s="32" t="str">
        <f>IMAGE("https://gymvisual.com/14755-catalog_default/dumbbell-squeeze-bench-press.jpg",4,500,500)</f>
        <v/>
      </c>
      <c r="B1957" s="30">
        <v>1956.0</v>
      </c>
      <c r="C1957" s="16" t="s">
        <v>2567</v>
      </c>
      <c r="D1957" s="16" t="s">
        <v>184</v>
      </c>
      <c r="E1957" s="16" t="s">
        <v>234</v>
      </c>
      <c r="F1957" s="16" t="s">
        <v>222</v>
      </c>
      <c r="G1957" s="16" t="s">
        <v>2400</v>
      </c>
      <c r="H1957" s="16" t="s">
        <v>229</v>
      </c>
    </row>
    <row r="1958" ht="20.25" customHeight="1">
      <c r="A1958" s="32" t="str">
        <f>IMAGE("https://gymvisual.com/22261-catalog_default/dumbbell-staggered-stance-romanian-deadlift.jpg",4,500,500)</f>
        <v/>
      </c>
      <c r="B1958" s="30">
        <v>1957.0</v>
      </c>
      <c r="C1958" s="16" t="s">
        <v>2568</v>
      </c>
      <c r="D1958" s="16" t="s">
        <v>184</v>
      </c>
      <c r="E1958" s="16" t="s">
        <v>185</v>
      </c>
      <c r="F1958" s="16" t="s">
        <v>222</v>
      </c>
      <c r="G1958" s="16" t="s">
        <v>220</v>
      </c>
      <c r="H1958" s="16" t="s">
        <v>220</v>
      </c>
    </row>
    <row r="1959" ht="20.25" customHeight="1">
      <c r="A1959" s="32" t="str">
        <f>IMAGE("https://gymvisual.com/17863-catalog_default/dumbbell-standing-alternate-arnold-press.jpg",4,500,500)</f>
        <v/>
      </c>
      <c r="B1959" s="30">
        <v>1958.0</v>
      </c>
      <c r="C1959" s="16" t="s">
        <v>2569</v>
      </c>
      <c r="D1959" s="16" t="s">
        <v>184</v>
      </c>
      <c r="E1959" s="16" t="s">
        <v>228</v>
      </c>
      <c r="F1959" s="16" t="s">
        <v>222</v>
      </c>
      <c r="G1959" s="16" t="s">
        <v>220</v>
      </c>
      <c r="H1959" s="16" t="s">
        <v>220</v>
      </c>
    </row>
    <row r="1960" ht="20.25" customHeight="1">
      <c r="A1960" s="32" t="str">
        <f>IMAGE("https://gymvisual.com/14147-catalog_default/dumbbell-standing-alternate-hammer-curl-and-press.jpg",4,500,500)</f>
        <v/>
      </c>
      <c r="B1960" s="30">
        <v>1959.0</v>
      </c>
      <c r="C1960" s="16" t="s">
        <v>2570</v>
      </c>
      <c r="D1960" s="16" t="s">
        <v>184</v>
      </c>
      <c r="E1960" s="16" t="s">
        <v>829</v>
      </c>
      <c r="F1960" s="16" t="s">
        <v>222</v>
      </c>
      <c r="G1960" s="16" t="s">
        <v>2003</v>
      </c>
      <c r="H1960" s="16" t="s">
        <v>2004</v>
      </c>
    </row>
    <row r="1961" ht="20.25" customHeight="1">
      <c r="A1961" s="32" t="str">
        <f>IMAGE("https://gymvisual.com/14121-catalog_default/3-4-sit-up.jpg",4,500,500)</f>
        <v/>
      </c>
      <c r="B1961" s="30">
        <v>1960.0</v>
      </c>
      <c r="C1961" s="16" t="s">
        <v>2571</v>
      </c>
      <c r="D1961" s="16" t="s">
        <v>184</v>
      </c>
      <c r="E1961" s="16" t="s">
        <v>228</v>
      </c>
      <c r="F1961" s="16" t="s">
        <v>222</v>
      </c>
      <c r="G1961" s="16" t="s">
        <v>229</v>
      </c>
      <c r="H1961" s="16" t="s">
        <v>1334</v>
      </c>
    </row>
    <row r="1962" ht="20.25" customHeight="1">
      <c r="A1962" s="32" t="str">
        <f>IMAGE("https://gymvisual.com/1264-catalog_default/3-4-sit-up.jpg",4,500,500)</f>
        <v/>
      </c>
      <c r="B1962" s="30">
        <v>1961.0</v>
      </c>
      <c r="C1962" s="16" t="s">
        <v>2572</v>
      </c>
      <c r="D1962" s="16" t="s">
        <v>184</v>
      </c>
      <c r="E1962" s="16" t="s">
        <v>228</v>
      </c>
      <c r="F1962" s="16" t="s">
        <v>222</v>
      </c>
      <c r="G1962" s="16" t="s">
        <v>229</v>
      </c>
      <c r="H1962" s="16" t="s">
        <v>244</v>
      </c>
    </row>
    <row r="1963" ht="20.25" customHeight="1">
      <c r="A1963" s="32" t="str">
        <f>IMAGE("https://gymvisual.com/26317-catalog_default/dumbbell-standing-alternate-vertical-front-raises.jpg",4,500,500)</f>
        <v/>
      </c>
      <c r="B1963" s="30">
        <v>1962.0</v>
      </c>
      <c r="C1963" s="16" t="s">
        <v>2573</v>
      </c>
      <c r="D1963" s="16" t="s">
        <v>184</v>
      </c>
      <c r="E1963" s="16" t="s">
        <v>228</v>
      </c>
      <c r="F1963" s="16" t="s">
        <v>222</v>
      </c>
      <c r="G1963" s="16" t="s">
        <v>229</v>
      </c>
      <c r="H1963" s="16" t="s">
        <v>244</v>
      </c>
    </row>
    <row r="1964" ht="20.25" customHeight="1">
      <c r="A1964" s="32" t="str">
        <f>IMAGE("https://gymvisual.com/7458-catalog_default/dumbbell-standing-alternating-tricep-kickback.jpg",4,500,500)</f>
        <v/>
      </c>
      <c r="B1964" s="30">
        <v>1963.0</v>
      </c>
      <c r="C1964" s="16" t="s">
        <v>2574</v>
      </c>
      <c r="D1964" s="16" t="s">
        <v>184</v>
      </c>
      <c r="E1964" s="16" t="s">
        <v>219</v>
      </c>
      <c r="F1964" s="16" t="s">
        <v>222</v>
      </c>
      <c r="G1964" s="16" t="s">
        <v>220</v>
      </c>
      <c r="H1964" s="16" t="s">
        <v>220</v>
      </c>
    </row>
    <row r="1965" ht="20.25" customHeight="1">
      <c r="A1965" s="32" t="str">
        <f>IMAGE("https://gymvisual.com/17917-catalog_default/dumbbell-standing-arnold-press-male.jpg",4,500,500)</f>
        <v/>
      </c>
      <c r="B1965" s="30">
        <v>1964.0</v>
      </c>
      <c r="C1965" s="16" t="s">
        <v>2575</v>
      </c>
      <c r="D1965" s="16" t="s">
        <v>184</v>
      </c>
      <c r="E1965" s="16" t="s">
        <v>228</v>
      </c>
      <c r="F1965" s="16" t="s">
        <v>222</v>
      </c>
      <c r="G1965" s="16" t="s">
        <v>229</v>
      </c>
      <c r="H1965" s="16" t="s">
        <v>230</v>
      </c>
    </row>
    <row r="1966" ht="20.25" customHeight="1">
      <c r="A1966" s="32" t="str">
        <f>IMAGE("https://gymvisual.com/8764-catalog_default/dumbbell-standing-around-world.jpg",4,500,500)</f>
        <v/>
      </c>
      <c r="B1966" s="30">
        <v>1965.0</v>
      </c>
      <c r="C1966" s="16" t="s">
        <v>2576</v>
      </c>
      <c r="D1966" s="16" t="s">
        <v>184</v>
      </c>
      <c r="E1966" s="16" t="s">
        <v>228</v>
      </c>
      <c r="F1966" s="16" t="s">
        <v>222</v>
      </c>
      <c r="G1966" s="16" t="s">
        <v>544</v>
      </c>
      <c r="H1966" s="16" t="s">
        <v>2577</v>
      </c>
    </row>
    <row r="1967" ht="20.25" customHeight="1">
      <c r="A1967" s="32" t="str">
        <f>IMAGE("https://gymvisual.com/9806-catalog_default/dumbbell-standing-bent-arm-lateral-raise-female.jpg",4,500,500)</f>
        <v/>
      </c>
      <c r="B1967" s="30">
        <v>1966.0</v>
      </c>
      <c r="C1967" s="16" t="s">
        <v>2578</v>
      </c>
      <c r="D1967" s="16" t="s">
        <v>184</v>
      </c>
      <c r="E1967" s="16" t="s">
        <v>228</v>
      </c>
      <c r="F1967" s="16" t="s">
        <v>222</v>
      </c>
      <c r="G1967" s="16" t="s">
        <v>544</v>
      </c>
      <c r="H1967" s="16" t="s">
        <v>2436</v>
      </c>
    </row>
    <row r="1968" ht="20.25" customHeight="1">
      <c r="A1968" s="32" t="str">
        <f>IMAGE("https://gymvisual.com/24810-catalog_default/dumbbell-standing-bent-arm-lateral-raise-male.jpg",4,500,500)</f>
        <v/>
      </c>
      <c r="B1968" s="30">
        <v>1967.0</v>
      </c>
      <c r="C1968" s="16" t="s">
        <v>2579</v>
      </c>
      <c r="D1968" s="16" t="s">
        <v>184</v>
      </c>
      <c r="E1968" s="16" t="s">
        <v>228</v>
      </c>
      <c r="F1968" s="16" t="s">
        <v>222</v>
      </c>
      <c r="G1968" s="16" t="s">
        <v>544</v>
      </c>
      <c r="H1968" s="16" t="s">
        <v>713</v>
      </c>
    </row>
    <row r="1969" ht="20.25" customHeight="1">
      <c r="A1969" s="32" t="str">
        <f>IMAGE("https://gymvisual.com/7459-catalog_default/dumbbell-standing-bent-over-one-arm-triceps-extension.jpg",4,500,500)</f>
        <v/>
      </c>
      <c r="B1969" s="30">
        <v>1968.0</v>
      </c>
      <c r="C1969" s="16" t="s">
        <v>2580</v>
      </c>
      <c r="D1969" s="16" t="s">
        <v>184</v>
      </c>
      <c r="E1969" s="16" t="s">
        <v>219</v>
      </c>
      <c r="F1969" s="16" t="s">
        <v>222</v>
      </c>
      <c r="G1969" s="16" t="s">
        <v>220</v>
      </c>
      <c r="H1969" s="16" t="s">
        <v>220</v>
      </c>
    </row>
    <row r="1970" ht="20.25" customHeight="1">
      <c r="A1970" s="32" t="str">
        <f>IMAGE("https://gymvisual.com/7460-catalog_default/dumbbell-standing-bent-over-two-arm-triceps-extension.jpg",4,500,500)</f>
        <v/>
      </c>
      <c r="B1970" s="30">
        <v>1969.0</v>
      </c>
      <c r="C1970" s="16" t="s">
        <v>2581</v>
      </c>
      <c r="D1970" s="16" t="s">
        <v>184</v>
      </c>
      <c r="E1970" s="16" t="s">
        <v>219</v>
      </c>
      <c r="F1970" s="16" t="s">
        <v>222</v>
      </c>
      <c r="G1970" s="16" t="s">
        <v>220</v>
      </c>
      <c r="H1970" s="16" t="s">
        <v>220</v>
      </c>
    </row>
    <row r="1971" ht="20.25" customHeight="1">
      <c r="A1971" s="32" t="str">
        <f>IMAGE("https://gymvisual.com/24762-catalog_default/3-4-sit-up.jpg",4,500,500)</f>
        <v/>
      </c>
      <c r="B1971" s="30">
        <v>1970.0</v>
      </c>
      <c r="C1971" s="16" t="s">
        <v>2582</v>
      </c>
      <c r="D1971" s="16" t="s">
        <v>184</v>
      </c>
      <c r="E1971" s="16" t="s">
        <v>219</v>
      </c>
      <c r="F1971" s="16" t="s">
        <v>222</v>
      </c>
      <c r="G1971" s="16" t="s">
        <v>241</v>
      </c>
      <c r="H1971" s="16" t="s">
        <v>292</v>
      </c>
    </row>
    <row r="1972" ht="20.25" customHeight="1">
      <c r="A1972" s="32" t="str">
        <f>IMAGE("https://gymvisual.com/19239-catalog_default/dumbbell-standing-biceps-curl-to-shoulder-press-male.jpg",4,500,500)</f>
        <v/>
      </c>
      <c r="B1972" s="30">
        <v>1971.0</v>
      </c>
      <c r="C1972" s="16" t="s">
        <v>2583</v>
      </c>
      <c r="D1972" s="16" t="s">
        <v>184</v>
      </c>
      <c r="E1972" s="16" t="s">
        <v>829</v>
      </c>
      <c r="F1972" s="16" t="s">
        <v>222</v>
      </c>
      <c r="G1972" s="16" t="s">
        <v>220</v>
      </c>
      <c r="H1972" s="16" t="s">
        <v>220</v>
      </c>
    </row>
    <row r="1973" ht="20.25" customHeight="1">
      <c r="A1973" s="32" t="str">
        <f>IMAGE("https://gymvisual.com/1270-catalog_default/3-4-sit-up.jpg",4,500,500)</f>
        <v/>
      </c>
      <c r="B1973" s="30">
        <v>1972.0</v>
      </c>
      <c r="C1973" s="16" t="s">
        <v>2584</v>
      </c>
      <c r="D1973" s="16" t="s">
        <v>184</v>
      </c>
      <c r="E1973" s="16" t="s">
        <v>325</v>
      </c>
      <c r="F1973" s="16" t="s">
        <v>222</v>
      </c>
      <c r="G1973" s="16" t="s">
        <v>368</v>
      </c>
      <c r="H1973" s="16" t="s">
        <v>463</v>
      </c>
    </row>
    <row r="1974" ht="20.25" customHeight="1">
      <c r="A1974" s="32" t="str">
        <f>IMAGE("https://gymvisual.com/9544-catalog_default/dumbbell-standing-calf-raise-female.jpg",4,500,500)</f>
        <v/>
      </c>
      <c r="B1974" s="30">
        <v>1973.0</v>
      </c>
      <c r="C1974" s="16" t="s">
        <v>2585</v>
      </c>
      <c r="D1974" s="16" t="s">
        <v>184</v>
      </c>
      <c r="E1974" s="16" t="s">
        <v>325</v>
      </c>
      <c r="F1974" s="16" t="s">
        <v>222</v>
      </c>
      <c r="G1974" s="16" t="s">
        <v>368</v>
      </c>
      <c r="H1974" s="16" t="s">
        <v>463</v>
      </c>
    </row>
    <row r="1975" ht="20.25" customHeight="1">
      <c r="A1975" s="32" t="str">
        <f>IMAGE("https://gymvisual.com/1273-catalog_default/3-4-sit-up.jpg",4,500,500)</f>
        <v/>
      </c>
      <c r="B1975" s="30">
        <v>1974.0</v>
      </c>
      <c r="C1975" s="16" t="s">
        <v>2586</v>
      </c>
      <c r="D1975" s="16" t="s">
        <v>184</v>
      </c>
      <c r="E1975" s="16" t="s">
        <v>219</v>
      </c>
      <c r="F1975" s="16" t="s">
        <v>222</v>
      </c>
      <c r="G1975" s="16" t="s">
        <v>232</v>
      </c>
      <c r="H1975" s="16" t="s">
        <v>233</v>
      </c>
    </row>
    <row r="1976" ht="20.25" customHeight="1">
      <c r="A1976" s="32" t="str">
        <f>IMAGE("https://gymvisual.com/23458-catalog_default/dumbbell-standing-drag-curl-version-2.jpg",4,500,500)</f>
        <v/>
      </c>
      <c r="B1976" s="30">
        <v>1975.0</v>
      </c>
      <c r="C1976" s="16" t="s">
        <v>2587</v>
      </c>
      <c r="D1976" s="16" t="s">
        <v>184</v>
      </c>
      <c r="E1976" s="16" t="s">
        <v>219</v>
      </c>
      <c r="F1976" s="16" t="s">
        <v>222</v>
      </c>
      <c r="G1976" s="16" t="s">
        <v>236</v>
      </c>
      <c r="H1976" s="16" t="s">
        <v>292</v>
      </c>
    </row>
    <row r="1977" ht="20.25" customHeight="1">
      <c r="A1977" s="32" t="str">
        <f>IMAGE("https://gymvisual.com/1276-catalog_default/3-4-sit-up.jpg",4,500,500)</f>
        <v/>
      </c>
      <c r="B1977" s="30">
        <v>1976.0</v>
      </c>
      <c r="C1977" s="16" t="s">
        <v>2588</v>
      </c>
      <c r="D1977" s="16" t="s">
        <v>184</v>
      </c>
      <c r="E1977" s="16" t="s">
        <v>228</v>
      </c>
      <c r="F1977" s="16" t="s">
        <v>222</v>
      </c>
      <c r="G1977" s="16" t="s">
        <v>229</v>
      </c>
      <c r="H1977" s="16" t="s">
        <v>244</v>
      </c>
    </row>
    <row r="1978" ht="20.25" customHeight="1">
      <c r="A1978" s="32" t="str">
        <f>IMAGE("https://gymvisual.com/22426-catalog_default/dumbbell-standing-high-windmill.jpg",4,500,500)</f>
        <v/>
      </c>
      <c r="B1978" s="30">
        <v>1977.0</v>
      </c>
      <c r="C1978" s="16" t="s">
        <v>2589</v>
      </c>
      <c r="D1978" s="16" t="s">
        <v>184</v>
      </c>
      <c r="E1978" s="16" t="s">
        <v>254</v>
      </c>
      <c r="F1978" s="16" t="s">
        <v>222</v>
      </c>
      <c r="G1978" s="16" t="s">
        <v>220</v>
      </c>
      <c r="H1978" s="16" t="s">
        <v>220</v>
      </c>
    </row>
    <row r="1979" ht="20.25" customHeight="1">
      <c r="A1979" s="32" t="str">
        <f>IMAGE("https://gymvisual.com/4599-catalog_default/dumbbell-standing-inner-biceps-curl.jpg",4,500,500)</f>
        <v/>
      </c>
      <c r="B1979" s="30">
        <v>1978.0</v>
      </c>
      <c r="C1979" s="16" t="s">
        <v>2590</v>
      </c>
      <c r="D1979" s="16" t="s">
        <v>184</v>
      </c>
      <c r="E1979" s="16" t="s">
        <v>219</v>
      </c>
      <c r="F1979" s="16" t="s">
        <v>222</v>
      </c>
      <c r="G1979" s="16" t="s">
        <v>241</v>
      </c>
      <c r="H1979" s="16" t="s">
        <v>232</v>
      </c>
    </row>
    <row r="1980" ht="20.25" customHeight="1">
      <c r="A1980" s="32" t="str">
        <f>IMAGE("https://gymvisual.com/9823-catalog_default/dumbbell-standing-inner-biceps-curl-version-2.jpg",4,500,500)</f>
        <v/>
      </c>
      <c r="B1980" s="30">
        <v>1979.0</v>
      </c>
      <c r="C1980" s="16" t="s">
        <v>2591</v>
      </c>
      <c r="D1980" s="16" t="s">
        <v>184</v>
      </c>
      <c r="E1980" s="16" t="s">
        <v>219</v>
      </c>
      <c r="F1980" s="16" t="s">
        <v>222</v>
      </c>
      <c r="G1980" s="16" t="s">
        <v>241</v>
      </c>
      <c r="H1980" s="16" t="s">
        <v>232</v>
      </c>
    </row>
    <row r="1981" ht="20.25" customHeight="1">
      <c r="A1981" s="32" t="str">
        <f>IMAGE("https://gymvisual.com/1279-catalog_default/3-4-sit-up.jpg",4,500,500)</f>
        <v/>
      </c>
      <c r="B1981" s="30">
        <v>1980.0</v>
      </c>
      <c r="C1981" s="16" t="s">
        <v>2592</v>
      </c>
      <c r="D1981" s="16" t="s">
        <v>184</v>
      </c>
      <c r="E1981" s="16" t="s">
        <v>219</v>
      </c>
      <c r="F1981" s="16" t="s">
        <v>222</v>
      </c>
      <c r="G1981" s="16" t="s">
        <v>223</v>
      </c>
      <c r="H1981" s="16" t="s">
        <v>220</v>
      </c>
    </row>
    <row r="1982" ht="20.25" customHeight="1">
      <c r="A1982" s="32" t="str">
        <f>IMAGE("https://gymvisual.com/11342-catalog_default/dumbbell-standing-kickback-female.jpg",4,500,500)</f>
        <v/>
      </c>
      <c r="B1982" s="30">
        <v>1981.0</v>
      </c>
      <c r="C1982" s="16" t="s">
        <v>2593</v>
      </c>
      <c r="D1982" s="16" t="s">
        <v>184</v>
      </c>
      <c r="E1982" s="16" t="s">
        <v>219</v>
      </c>
      <c r="F1982" s="16" t="s">
        <v>222</v>
      </c>
      <c r="G1982" s="16" t="s">
        <v>223</v>
      </c>
      <c r="H1982" s="16" t="s">
        <v>220</v>
      </c>
    </row>
    <row r="1983" ht="20.25" customHeight="1">
      <c r="A1983" s="32" t="str">
        <f>IMAGE("https://gymvisual.com/9616-catalog_default/dumbbell-standing-lateral-raise-female.jpg",4,500,500)</f>
        <v/>
      </c>
      <c r="B1983" s="30">
        <v>1982.0</v>
      </c>
      <c r="C1983" s="16" t="s">
        <v>2594</v>
      </c>
      <c r="D1983" s="16" t="s">
        <v>184</v>
      </c>
      <c r="E1983" s="16" t="s">
        <v>228</v>
      </c>
      <c r="F1983" s="16" t="s">
        <v>222</v>
      </c>
      <c r="G1983" s="16" t="s">
        <v>544</v>
      </c>
      <c r="H1983" s="16" t="s">
        <v>545</v>
      </c>
    </row>
    <row r="1984" ht="20.25" customHeight="1">
      <c r="A1984" s="32" t="str">
        <f>IMAGE("https://gymvisual.com/1282-catalog_default/3-4-sit-up.jpg",4,500,500)</f>
        <v/>
      </c>
      <c r="B1984" s="30">
        <v>1983.0</v>
      </c>
      <c r="C1984" s="16" t="s">
        <v>2595</v>
      </c>
      <c r="D1984" s="16" t="s">
        <v>184</v>
      </c>
      <c r="E1984" s="16" t="s">
        <v>219</v>
      </c>
      <c r="F1984" s="16" t="s">
        <v>222</v>
      </c>
      <c r="G1984" s="16" t="s">
        <v>232</v>
      </c>
      <c r="H1984" s="16" t="s">
        <v>233</v>
      </c>
    </row>
    <row r="1985" ht="20.25" customHeight="1">
      <c r="A1985" s="32" t="str">
        <f>IMAGE("https://gymvisual.com/1285-catalog_default/3-4-sit-up.jpg",4,500,500)</f>
        <v/>
      </c>
      <c r="B1985" s="30">
        <v>1984.0</v>
      </c>
      <c r="C1985" s="16" t="s">
        <v>2596</v>
      </c>
      <c r="D1985" s="16" t="s">
        <v>184</v>
      </c>
      <c r="E1985" s="16" t="s">
        <v>219</v>
      </c>
      <c r="F1985" s="16" t="s">
        <v>222</v>
      </c>
      <c r="G1985" s="16" t="s">
        <v>232</v>
      </c>
      <c r="H1985" s="16" t="s">
        <v>233</v>
      </c>
    </row>
    <row r="1986" ht="20.25" customHeight="1">
      <c r="A1986" s="32" t="str">
        <f>IMAGE("https://gymvisual.com/13439-catalog_default/dumbbell-standing-one-arm-curl-over-incline-bench-female.jpg",4,500,500)</f>
        <v/>
      </c>
      <c r="B1986" s="30">
        <v>1985.0</v>
      </c>
      <c r="C1986" s="16" t="s">
        <v>2597</v>
      </c>
      <c r="D1986" s="16" t="s">
        <v>184</v>
      </c>
      <c r="E1986" s="16" t="s">
        <v>219</v>
      </c>
      <c r="F1986" s="16" t="s">
        <v>222</v>
      </c>
      <c r="G1986" s="16" t="s">
        <v>220</v>
      </c>
      <c r="H1986" s="16" t="s">
        <v>220</v>
      </c>
    </row>
    <row r="1987" ht="20.25" customHeight="1">
      <c r="A1987" s="32" t="str">
        <f>IMAGE("https://gymvisual.com/7154-catalog_default/dumbbell-standing-one-arm-curl-over-incline-bench.jpg",4,500,500)</f>
        <v/>
      </c>
      <c r="B1987" s="30">
        <v>1986.0</v>
      </c>
      <c r="C1987" s="16" t="s">
        <v>2598</v>
      </c>
      <c r="D1987" s="16" t="s">
        <v>184</v>
      </c>
      <c r="E1987" s="16" t="s">
        <v>219</v>
      </c>
      <c r="F1987" s="16" t="s">
        <v>222</v>
      </c>
      <c r="G1987" s="16" t="s">
        <v>220</v>
      </c>
      <c r="H1987" s="16" t="s">
        <v>220</v>
      </c>
    </row>
    <row r="1988" ht="20.25" customHeight="1">
      <c r="A1988" s="32" t="str">
        <f>IMAGE("https://gymvisual.com/1288-catalog_default/3-4-sit-up.jpg",4,500,500)</f>
        <v/>
      </c>
      <c r="B1988" s="30">
        <v>1987.0</v>
      </c>
      <c r="C1988" s="16" t="s">
        <v>2599</v>
      </c>
      <c r="D1988" s="16" t="s">
        <v>184</v>
      </c>
      <c r="E1988" s="16" t="s">
        <v>219</v>
      </c>
      <c r="F1988" s="16" t="s">
        <v>222</v>
      </c>
      <c r="G1988" s="16" t="s">
        <v>223</v>
      </c>
      <c r="H1988" s="16" t="s">
        <v>220</v>
      </c>
    </row>
    <row r="1989" ht="20.25" customHeight="1">
      <c r="A1989" s="32" t="str">
        <f>IMAGE("https://gymvisual.com/1291-catalog_default/3-4-sit-up.jpg",4,500,500)</f>
        <v/>
      </c>
      <c r="B1989" s="30">
        <v>1988.0</v>
      </c>
      <c r="C1989" s="16" t="s">
        <v>2600</v>
      </c>
      <c r="D1989" s="16" t="s">
        <v>184</v>
      </c>
      <c r="E1989" s="16" t="s">
        <v>228</v>
      </c>
      <c r="F1989" s="16" t="s">
        <v>222</v>
      </c>
      <c r="G1989" s="16" t="s">
        <v>229</v>
      </c>
      <c r="H1989" s="16" t="s">
        <v>626</v>
      </c>
    </row>
    <row r="1990" ht="20.25" customHeight="1">
      <c r="A1990" s="32" t="str">
        <f>IMAGE("https://gymvisual.com/1294-catalog_default/3-4-sit-up.jpg",4,500,500)</f>
        <v/>
      </c>
      <c r="B1990" s="30">
        <v>1989.0</v>
      </c>
      <c r="C1990" s="16" t="s">
        <v>2601</v>
      </c>
      <c r="D1990" s="16" t="s">
        <v>184</v>
      </c>
      <c r="E1990" s="16" t="s">
        <v>214</v>
      </c>
      <c r="F1990" s="16" t="s">
        <v>222</v>
      </c>
      <c r="G1990" s="16" t="s">
        <v>216</v>
      </c>
      <c r="H1990" s="16" t="s">
        <v>217</v>
      </c>
    </row>
    <row r="1991" ht="20.25" customHeight="1">
      <c r="A1991" s="32" t="str">
        <f>IMAGE("https://gymvisual.com/1297-catalog_default/3-4-sit-up.jpg",4,500,500)</f>
        <v/>
      </c>
      <c r="B1991" s="30">
        <v>1990.0</v>
      </c>
      <c r="C1991" s="16" t="s">
        <v>2602</v>
      </c>
      <c r="D1991" s="16" t="s">
        <v>184</v>
      </c>
      <c r="E1991" s="16" t="s">
        <v>228</v>
      </c>
      <c r="F1991" s="16" t="s">
        <v>222</v>
      </c>
      <c r="G1991" s="16" t="s">
        <v>229</v>
      </c>
      <c r="H1991" s="16" t="s">
        <v>626</v>
      </c>
    </row>
    <row r="1992" ht="20.25" customHeight="1">
      <c r="A1992" s="32" t="str">
        <f>IMAGE("https://gymvisual.com/10307-catalog_default/dumbbell-standing-overhead-press-female.jpg",4,500,500)</f>
        <v/>
      </c>
      <c r="B1992" s="30">
        <v>1991.0</v>
      </c>
      <c r="C1992" s="16" t="s">
        <v>2603</v>
      </c>
      <c r="D1992" s="16" t="s">
        <v>184</v>
      </c>
      <c r="E1992" s="16" t="s">
        <v>228</v>
      </c>
      <c r="F1992" s="16" t="s">
        <v>222</v>
      </c>
      <c r="G1992" s="16" t="s">
        <v>229</v>
      </c>
      <c r="H1992" s="16" t="s">
        <v>2604</v>
      </c>
    </row>
    <row r="1993" ht="20.25" customHeight="1">
      <c r="A1993" s="32" t="str">
        <f>IMAGE("https://gymvisual.com/1300-catalog_default/3-4-sit-up.jpg",4,500,500)</f>
        <v/>
      </c>
      <c r="B1993" s="30">
        <v>1992.0</v>
      </c>
      <c r="C1993" s="16" t="s">
        <v>2605</v>
      </c>
      <c r="D1993" s="16" t="s">
        <v>184</v>
      </c>
      <c r="E1993" s="16" t="s">
        <v>228</v>
      </c>
      <c r="F1993" s="16" t="s">
        <v>222</v>
      </c>
      <c r="G1993" s="16" t="s">
        <v>229</v>
      </c>
      <c r="H1993" s="16" t="s">
        <v>626</v>
      </c>
    </row>
    <row r="1994" ht="20.25" customHeight="1">
      <c r="A1994" s="32" t="str">
        <f>IMAGE("https://gymvisual.com/11345-catalog_default/dumbbell-standing-palms-in-press-female.jpg",4,500,500)</f>
        <v/>
      </c>
      <c r="B1994" s="30">
        <v>1993.0</v>
      </c>
      <c r="C1994" s="16" t="s">
        <v>2606</v>
      </c>
      <c r="D1994" s="16" t="s">
        <v>184</v>
      </c>
      <c r="E1994" s="16" t="s">
        <v>228</v>
      </c>
      <c r="F1994" s="16" t="s">
        <v>222</v>
      </c>
      <c r="G1994" s="16" t="s">
        <v>220</v>
      </c>
      <c r="H1994" s="16" t="s">
        <v>220</v>
      </c>
    </row>
    <row r="1995" ht="20.25" customHeight="1">
      <c r="A1995" s="32" t="str">
        <f>IMAGE("https://gymvisual.com/1303-catalog_default/3-4-sit-up.jpg",4,500,500)</f>
        <v/>
      </c>
      <c r="B1995" s="30">
        <v>1994.0</v>
      </c>
      <c r="C1995" s="16" t="s">
        <v>2607</v>
      </c>
      <c r="D1995" s="16" t="s">
        <v>184</v>
      </c>
      <c r="E1995" s="16" t="s">
        <v>219</v>
      </c>
      <c r="F1995" s="16" t="s">
        <v>222</v>
      </c>
      <c r="G1995" s="16" t="s">
        <v>232</v>
      </c>
      <c r="H1995" s="16" t="s">
        <v>233</v>
      </c>
    </row>
    <row r="1996" ht="20.25" customHeight="1">
      <c r="A1996" s="32" t="str">
        <f>IMAGE("https://gymvisual.com/1306-catalog_default/3-4-sit-up.jpg",4,500,500)</f>
        <v/>
      </c>
      <c r="B1996" s="30">
        <v>1995.0</v>
      </c>
      <c r="C1996" s="16" t="s">
        <v>2608</v>
      </c>
      <c r="D1996" s="16" t="s">
        <v>184</v>
      </c>
      <c r="E1996" s="16" t="s">
        <v>214</v>
      </c>
      <c r="F1996" s="16" t="s">
        <v>222</v>
      </c>
      <c r="G1996" s="16" t="s">
        <v>216</v>
      </c>
      <c r="H1996" s="16" t="s">
        <v>217</v>
      </c>
    </row>
    <row r="1997" ht="20.25" customHeight="1">
      <c r="A1997" s="32" t="str">
        <f>IMAGE("https://gymvisual.com/22351-catalog_default/dumbbell-standing-single-arm-arnold-press.jpg",4,500,500)</f>
        <v/>
      </c>
      <c r="B1997" s="30">
        <v>1996.0</v>
      </c>
      <c r="C1997" s="16" t="s">
        <v>2609</v>
      </c>
      <c r="D1997" s="16" t="s">
        <v>184</v>
      </c>
      <c r="E1997" s="16" t="s">
        <v>228</v>
      </c>
      <c r="F1997" s="16" t="s">
        <v>222</v>
      </c>
      <c r="G1997" s="16" t="s">
        <v>220</v>
      </c>
      <c r="H1997" s="16" t="s">
        <v>220</v>
      </c>
    </row>
    <row r="1998" ht="20.25" customHeight="1">
      <c r="A1998" s="32" t="str">
        <f>IMAGE("https://gymvisual.com/4434-catalog_default/dumbbell-standing-single-leg-calf-raise.jpg",4,500,500)</f>
        <v/>
      </c>
      <c r="B1998" s="30">
        <v>1997.0</v>
      </c>
      <c r="C1998" s="16" t="s">
        <v>2610</v>
      </c>
      <c r="D1998" s="16" t="s">
        <v>184</v>
      </c>
      <c r="E1998" s="16" t="s">
        <v>325</v>
      </c>
      <c r="F1998" s="16" t="s">
        <v>222</v>
      </c>
      <c r="G1998" s="16" t="s">
        <v>368</v>
      </c>
      <c r="H1998" s="16" t="s">
        <v>463</v>
      </c>
    </row>
    <row r="1999" ht="20.25" customHeight="1">
      <c r="A1999" s="32" t="str">
        <f>IMAGE("https://gymvisual.com/16041-catalog_default/dumbbell-standing-single-leg-calf-raise.jpg",4,500,500)</f>
        <v/>
      </c>
      <c r="B1999" s="30">
        <v>1998.0</v>
      </c>
      <c r="C1999" s="16" t="s">
        <v>2610</v>
      </c>
      <c r="D1999" s="16" t="s">
        <v>184</v>
      </c>
      <c r="E1999" s="16" t="s">
        <v>325</v>
      </c>
      <c r="F1999" s="16" t="s">
        <v>222</v>
      </c>
      <c r="G1999" s="16" t="s">
        <v>368</v>
      </c>
      <c r="H1999" s="16" t="s">
        <v>463</v>
      </c>
    </row>
    <row r="2000" ht="20.25" customHeight="1">
      <c r="A2000" s="32" t="str">
        <f>IMAGE("https://gymvisual.com/17466-catalog_default/dumbbell-standing-single-spider-curl.jpg",4,500,500)</f>
        <v/>
      </c>
      <c r="B2000" s="30">
        <v>1999.0</v>
      </c>
      <c r="C2000" s="16" t="s">
        <v>2611</v>
      </c>
      <c r="D2000" s="16" t="s">
        <v>184</v>
      </c>
      <c r="E2000" s="16" t="s">
        <v>219</v>
      </c>
      <c r="F2000" s="16" t="s">
        <v>222</v>
      </c>
      <c r="G2000" s="16" t="s">
        <v>241</v>
      </c>
      <c r="H2000" s="16" t="s">
        <v>292</v>
      </c>
    </row>
    <row r="2001" ht="20.25" customHeight="1">
      <c r="A2001" s="32" t="str">
        <f>IMAGE("https://gymvisual.com/1309-catalog_default/3-4-sit-up.jpg",4,500,500)</f>
        <v/>
      </c>
      <c r="B2001" s="30">
        <v>2000.0</v>
      </c>
      <c r="C2001" s="16" t="s">
        <v>2612</v>
      </c>
      <c r="D2001" s="16" t="s">
        <v>184</v>
      </c>
      <c r="E2001" s="16" t="s">
        <v>219</v>
      </c>
      <c r="F2001" s="16" t="s">
        <v>222</v>
      </c>
      <c r="G2001" s="16" t="s">
        <v>223</v>
      </c>
      <c r="H2001" s="16" t="s">
        <v>220</v>
      </c>
    </row>
    <row r="2002" ht="20.25" customHeight="1">
      <c r="A2002" s="32" t="str">
        <f>IMAGE("https://gymvisual.com/10368-catalog_default/dumbbell-standing-triceps-extension-female.jpg",4,500,500)</f>
        <v/>
      </c>
      <c r="B2002" s="30">
        <v>2001.0</v>
      </c>
      <c r="C2002" s="16" t="s">
        <v>2613</v>
      </c>
      <c r="D2002" s="16" t="s">
        <v>184</v>
      </c>
      <c r="E2002" s="16" t="s">
        <v>219</v>
      </c>
      <c r="F2002" s="16" t="s">
        <v>222</v>
      </c>
      <c r="G2002" s="16" t="s">
        <v>223</v>
      </c>
      <c r="H2002" s="16" t="s">
        <v>220</v>
      </c>
    </row>
    <row r="2003" ht="20.25" customHeight="1">
      <c r="A2003" s="32" t="str">
        <f>IMAGE("https://gymvisual.com/22450-catalog_default/dumbbell-standing-windmill.jpg",4,500,500)</f>
        <v/>
      </c>
      <c r="B2003" s="30">
        <v>2002.0</v>
      </c>
      <c r="C2003" s="16" t="s">
        <v>2614</v>
      </c>
      <c r="D2003" s="16" t="s">
        <v>184</v>
      </c>
      <c r="E2003" s="16" t="s">
        <v>254</v>
      </c>
      <c r="F2003" s="16" t="s">
        <v>222</v>
      </c>
      <c r="G2003" s="16" t="s">
        <v>220</v>
      </c>
      <c r="H2003" s="16" t="s">
        <v>220</v>
      </c>
    </row>
    <row r="2004" ht="20.25" customHeight="1">
      <c r="A2004" s="32" t="str">
        <f>IMAGE("https://gymvisual.com/9744-catalog_default/dumbbell-standing-zottman-preacher-curl.jpg",4,500,500)</f>
        <v/>
      </c>
      <c r="B2004" s="30">
        <v>2003.0</v>
      </c>
      <c r="C2004" s="16" t="s">
        <v>2615</v>
      </c>
      <c r="D2004" s="16" t="s">
        <v>184</v>
      </c>
      <c r="E2004" s="16" t="s">
        <v>219</v>
      </c>
      <c r="F2004" s="16" t="s">
        <v>222</v>
      </c>
      <c r="G2004" s="16" t="s">
        <v>241</v>
      </c>
      <c r="H2004" s="16" t="s">
        <v>2305</v>
      </c>
    </row>
    <row r="2005" ht="20.25" customHeight="1">
      <c r="A2005" s="32" t="str">
        <f>IMAGE("https://gymvisual.com/23591-catalog_default/dumbbell-static-lunge.jpg",4,500,500)</f>
        <v/>
      </c>
      <c r="B2005" s="30">
        <v>2004.0</v>
      </c>
      <c r="C2005" s="16" t="s">
        <v>2616</v>
      </c>
      <c r="D2005" s="16" t="s">
        <v>184</v>
      </c>
      <c r="E2005" s="16" t="s">
        <v>285</v>
      </c>
      <c r="F2005" s="16" t="s">
        <v>222</v>
      </c>
      <c r="G2005" s="16" t="s">
        <v>295</v>
      </c>
      <c r="H2005" s="16" t="s">
        <v>2512</v>
      </c>
    </row>
    <row r="2006" ht="20.25" customHeight="1">
      <c r="A2006" s="32" t="str">
        <f>IMAGE("https://gymvisual.com/22263-catalog_default/dumbbell-step-back-lunge-and-row.jpg",4,500,500)</f>
        <v/>
      </c>
      <c r="B2006" s="30">
        <v>2005.0</v>
      </c>
      <c r="C2006" s="16" t="s">
        <v>2617</v>
      </c>
      <c r="D2006" s="16" t="s">
        <v>184</v>
      </c>
      <c r="E2006" s="16" t="s">
        <v>285</v>
      </c>
      <c r="F2006" s="16" t="s">
        <v>222</v>
      </c>
      <c r="G2006" s="16" t="s">
        <v>220</v>
      </c>
      <c r="H2006" s="16" t="s">
        <v>220</v>
      </c>
    </row>
    <row r="2007" ht="20.25" customHeight="1">
      <c r="A2007" s="32" t="str">
        <f>IMAGE("https://gymvisual.com/9577-catalog_default/dumbbell-step-up-female.jpg",4,500,500)</f>
        <v/>
      </c>
      <c r="B2007" s="30">
        <v>2006.0</v>
      </c>
      <c r="C2007" s="16" t="s">
        <v>2618</v>
      </c>
      <c r="D2007" s="16" t="s">
        <v>184</v>
      </c>
      <c r="E2007" s="16" t="s">
        <v>294</v>
      </c>
      <c r="F2007" s="16" t="s">
        <v>222</v>
      </c>
      <c r="G2007" s="16" t="s">
        <v>189</v>
      </c>
      <c r="H2007" s="16" t="s">
        <v>190</v>
      </c>
    </row>
    <row r="2008" ht="20.25" customHeight="1">
      <c r="A2008" s="32" t="str">
        <f>IMAGE("https://gymvisual.com/7157-catalog_default/dumbbell-step-up-single-leg-balance-with-bicep-curl.jpg",4,500,500)</f>
        <v/>
      </c>
      <c r="B2008" s="30">
        <v>2007.0</v>
      </c>
      <c r="C2008" s="16" t="s">
        <v>2619</v>
      </c>
      <c r="D2008" s="16" t="s">
        <v>184</v>
      </c>
      <c r="E2008" s="16" t="s">
        <v>219</v>
      </c>
      <c r="F2008" s="16" t="s">
        <v>222</v>
      </c>
      <c r="G2008" s="16" t="s">
        <v>220</v>
      </c>
      <c r="H2008" s="16" t="s">
        <v>220</v>
      </c>
    </row>
    <row r="2009" ht="20.25" customHeight="1">
      <c r="A2009" s="32" t="str">
        <f>IMAGE("https://gymvisual.com/1312-catalog_default/3-4-sit-up.jpg",4,500,500)</f>
        <v/>
      </c>
      <c r="B2009" s="30">
        <v>2008.0</v>
      </c>
      <c r="C2009" s="16" t="s">
        <v>2620</v>
      </c>
      <c r="D2009" s="16" t="s">
        <v>184</v>
      </c>
      <c r="E2009" s="16" t="s">
        <v>185</v>
      </c>
      <c r="F2009" s="16" t="s">
        <v>222</v>
      </c>
      <c r="G2009" s="16" t="s">
        <v>189</v>
      </c>
      <c r="H2009" s="16" t="s">
        <v>2046</v>
      </c>
    </row>
    <row r="2010" ht="20.25" customHeight="1">
      <c r="A2010" s="32" t="str">
        <f>IMAGE("https://gymvisual.com/22522-catalog_default/dumbbell-step-up-version-2.jpg",4,500,500)</f>
        <v/>
      </c>
      <c r="B2010" s="30">
        <v>2009.0</v>
      </c>
      <c r="C2010" s="16" t="s">
        <v>2621</v>
      </c>
      <c r="D2010" s="16" t="s">
        <v>184</v>
      </c>
      <c r="E2010" s="16" t="s">
        <v>285</v>
      </c>
      <c r="F2010" s="16" t="s">
        <v>222</v>
      </c>
      <c r="G2010" s="16" t="s">
        <v>220</v>
      </c>
      <c r="H2010" s="16" t="s">
        <v>220</v>
      </c>
    </row>
    <row r="2011" ht="20.25" customHeight="1">
      <c r="A2011" s="32" t="str">
        <f>IMAGE("https://gymvisual.com/11958-catalog_default/dumbbell-step-up-lunge.jpg",4,500,500)</f>
        <v/>
      </c>
      <c r="B2011" s="30">
        <v>2010.0</v>
      </c>
      <c r="C2011" s="16" t="s">
        <v>2622</v>
      </c>
      <c r="D2011" s="16" t="s">
        <v>184</v>
      </c>
      <c r="E2011" s="16" t="s">
        <v>285</v>
      </c>
      <c r="F2011" s="16" t="s">
        <v>222</v>
      </c>
      <c r="G2011" s="16" t="s">
        <v>220</v>
      </c>
      <c r="H2011" s="16" t="s">
        <v>220</v>
      </c>
    </row>
    <row r="2012" ht="20.25" customHeight="1">
      <c r="A2012" s="32" t="str">
        <f>IMAGE("https://gymvisual.com/11959-catalog_default/dumbbell-step-up-lunge-female.jpg",4,500,500)</f>
        <v/>
      </c>
      <c r="B2012" s="30">
        <v>2011.0</v>
      </c>
      <c r="C2012" s="16" t="s">
        <v>2623</v>
      </c>
      <c r="D2012" s="16" t="s">
        <v>184</v>
      </c>
      <c r="E2012" s="16" t="s">
        <v>285</v>
      </c>
      <c r="F2012" s="16" t="s">
        <v>222</v>
      </c>
      <c r="G2012" s="16" t="s">
        <v>220</v>
      </c>
      <c r="H2012" s="16" t="s">
        <v>220</v>
      </c>
    </row>
    <row r="2013" ht="20.25" customHeight="1">
      <c r="A2013" s="32" t="str">
        <f>IMAGE("https://gymvisual.com/11975-catalog_default/dumbbell-step-up-split-squat.jpg",4,500,500)</f>
        <v/>
      </c>
      <c r="B2013" s="30">
        <v>2012.0</v>
      </c>
      <c r="C2013" s="16" t="s">
        <v>2624</v>
      </c>
      <c r="D2013" s="16" t="s">
        <v>184</v>
      </c>
      <c r="E2013" s="16" t="s">
        <v>285</v>
      </c>
      <c r="F2013" s="16" t="s">
        <v>222</v>
      </c>
      <c r="G2013" s="16" t="s">
        <v>220</v>
      </c>
      <c r="H2013" s="16" t="s">
        <v>220</v>
      </c>
    </row>
    <row r="2014" ht="20.25" customHeight="1">
      <c r="A2014" s="32" t="str">
        <f>IMAGE("https://gymvisual.com/11976-catalog_default/dumbbell-step-up-split-squat-female.jpg",4,500,500)</f>
        <v/>
      </c>
      <c r="B2014" s="30">
        <v>2013.0</v>
      </c>
      <c r="C2014" s="16" t="s">
        <v>2625</v>
      </c>
      <c r="D2014" s="16" t="s">
        <v>184</v>
      </c>
      <c r="E2014" s="16" t="s">
        <v>285</v>
      </c>
      <c r="F2014" s="16" t="s">
        <v>222</v>
      </c>
      <c r="G2014" s="16" t="s">
        <v>220</v>
      </c>
      <c r="H2014" s="16" t="s">
        <v>220</v>
      </c>
    </row>
    <row r="2015" ht="20.25" customHeight="1">
      <c r="A2015" s="32" t="str">
        <f>IMAGE("https://gymvisual.com/22161-catalog_default/dumbbell-step-up-with-knee-raise.jpg",4,500,500)</f>
        <v/>
      </c>
      <c r="B2015" s="30">
        <v>2014.0</v>
      </c>
      <c r="C2015" s="16" t="s">
        <v>2626</v>
      </c>
      <c r="D2015" s="16" t="s">
        <v>184</v>
      </c>
      <c r="E2015" s="16" t="s">
        <v>185</v>
      </c>
      <c r="F2015" s="16" t="s">
        <v>222</v>
      </c>
      <c r="G2015" s="16" t="s">
        <v>189</v>
      </c>
      <c r="H2015" s="16" t="s">
        <v>190</v>
      </c>
    </row>
    <row r="2016" ht="20.25" customHeight="1">
      <c r="A2016" s="32" t="str">
        <f>IMAGE("https://gymvisual.com/1315-catalog_default/3-4-sit-up.jpg",4,500,500)</f>
        <v/>
      </c>
      <c r="B2016" s="30">
        <v>2015.0</v>
      </c>
      <c r="C2016" s="16" t="s">
        <v>2627</v>
      </c>
      <c r="D2016" s="16" t="s">
        <v>184</v>
      </c>
      <c r="E2016" s="16" t="s">
        <v>185</v>
      </c>
      <c r="F2016" s="16" t="s">
        <v>222</v>
      </c>
      <c r="G2016" s="16" t="s">
        <v>267</v>
      </c>
      <c r="H2016" s="16" t="s">
        <v>188</v>
      </c>
    </row>
    <row r="2017" ht="20.25" customHeight="1">
      <c r="A2017" s="32" t="str">
        <f>IMAGE("https://gymvisual.com/13630-catalog_default/dumbbell-stiff-leg-deadlift.jpg",4,500,500)</f>
        <v/>
      </c>
      <c r="B2017" s="30">
        <v>2016.0</v>
      </c>
      <c r="C2017" s="16" t="s">
        <v>2627</v>
      </c>
      <c r="D2017" s="16" t="s">
        <v>184</v>
      </c>
      <c r="E2017" s="16" t="s">
        <v>185</v>
      </c>
      <c r="F2017" s="16" t="s">
        <v>222</v>
      </c>
      <c r="G2017" s="16" t="s">
        <v>267</v>
      </c>
      <c r="H2017" s="16" t="s">
        <v>188</v>
      </c>
    </row>
    <row r="2018" ht="20.25" customHeight="1">
      <c r="A2018" s="32" t="str">
        <f>IMAGE("https://gymvisual.com/11438-catalog_default/dumbbell-stiff-leg-deadlift-female.jpg",4,500,500)</f>
        <v/>
      </c>
      <c r="B2018" s="30">
        <v>2017.0</v>
      </c>
      <c r="C2018" s="16" t="s">
        <v>2628</v>
      </c>
      <c r="D2018" s="16" t="s">
        <v>184</v>
      </c>
      <c r="E2018" s="16" t="s">
        <v>294</v>
      </c>
      <c r="F2018" s="16" t="s">
        <v>222</v>
      </c>
      <c r="G2018" s="16" t="s">
        <v>267</v>
      </c>
      <c r="H2018" s="16" t="s">
        <v>188</v>
      </c>
    </row>
    <row r="2019" ht="20.25" customHeight="1">
      <c r="A2019" s="32" t="str">
        <f>IMAGE("https://gymvisual.com/17132-catalog_default/dumbbell-stiff-leg-deadlift-female.jpg",4,500,500)</f>
        <v/>
      </c>
      <c r="B2019" s="30">
        <v>2018.0</v>
      </c>
      <c r="C2019" s="16" t="s">
        <v>2628</v>
      </c>
      <c r="D2019" s="16" t="s">
        <v>184</v>
      </c>
      <c r="E2019" s="16" t="s">
        <v>185</v>
      </c>
      <c r="F2019" s="16" t="s">
        <v>222</v>
      </c>
      <c r="G2019" s="16" t="s">
        <v>267</v>
      </c>
      <c r="H2019" s="16" t="s">
        <v>188</v>
      </c>
    </row>
    <row r="2020" ht="20.25" customHeight="1">
      <c r="A2020" s="32" t="str">
        <f>IMAGE("https://gymvisual.com/6803-catalog_default/dumbbell-stiff-leg-deadlift-on-bench.jpg",4,500,500)</f>
        <v/>
      </c>
      <c r="B2020" s="30">
        <v>2019.0</v>
      </c>
      <c r="C2020" s="16" t="s">
        <v>2629</v>
      </c>
      <c r="D2020" s="16" t="s">
        <v>184</v>
      </c>
      <c r="E2020" s="16" t="s">
        <v>185</v>
      </c>
      <c r="F2020" s="16" t="s">
        <v>222</v>
      </c>
      <c r="G2020" s="16" t="s">
        <v>220</v>
      </c>
      <c r="H2020" s="16" t="s">
        <v>220</v>
      </c>
    </row>
    <row r="2021" ht="20.25" customHeight="1">
      <c r="A2021" s="32" t="str">
        <f>IMAGE("https://gymvisual.com/22139-catalog_default/dumbbell-straight-arm-crunch.jpg",4,500,500)</f>
        <v/>
      </c>
      <c r="B2021" s="30">
        <v>2020.0</v>
      </c>
      <c r="C2021" s="16" t="s">
        <v>2630</v>
      </c>
      <c r="D2021" s="16" t="s">
        <v>184</v>
      </c>
      <c r="E2021" s="16" t="s">
        <v>254</v>
      </c>
      <c r="F2021" s="16" t="s">
        <v>222</v>
      </c>
      <c r="G2021" s="16" t="s">
        <v>256</v>
      </c>
      <c r="H2021" s="16" t="s">
        <v>257</v>
      </c>
    </row>
    <row r="2022" ht="20.25" customHeight="1">
      <c r="A2022" s="32" t="str">
        <f>IMAGE("https://gymvisual.com/12250-catalog_default/3-4-sit-up.jpg",4,500,500)</f>
        <v/>
      </c>
      <c r="B2022" s="30">
        <v>2021.0</v>
      </c>
      <c r="C2022" s="16" t="s">
        <v>2631</v>
      </c>
      <c r="D2022" s="16" t="s">
        <v>184</v>
      </c>
      <c r="E2022" s="16" t="s">
        <v>234</v>
      </c>
      <c r="F2022" s="16" t="s">
        <v>222</v>
      </c>
      <c r="G2022" s="16" t="s">
        <v>347</v>
      </c>
      <c r="H2022" s="16" t="s">
        <v>2222</v>
      </c>
    </row>
    <row r="2023" ht="20.25" customHeight="1">
      <c r="A2023" s="32" t="str">
        <f>IMAGE("https://gymvisual.com/9637-catalog_default/dumbbell-straight-arm-pullover-female.jpg",4,500,500)</f>
        <v/>
      </c>
      <c r="B2023" s="30">
        <v>2022.0</v>
      </c>
      <c r="C2023" s="16" t="s">
        <v>2632</v>
      </c>
      <c r="D2023" s="16" t="s">
        <v>184</v>
      </c>
      <c r="E2023" s="16" t="s">
        <v>192</v>
      </c>
      <c r="F2023" s="16" t="s">
        <v>222</v>
      </c>
      <c r="G2023" s="16" t="s">
        <v>347</v>
      </c>
      <c r="H2023" s="16" t="s">
        <v>2362</v>
      </c>
    </row>
    <row r="2024" ht="20.25" customHeight="1">
      <c r="A2024" s="32" t="str">
        <f>IMAGE("https://gymvisual.com/12748-catalog_default/dumbbell-straight-arm-pullover-knees-at-90-degrees.jpg",4,500,500)</f>
        <v/>
      </c>
      <c r="B2024" s="30">
        <v>2023.0</v>
      </c>
      <c r="C2024" s="16" t="s">
        <v>2633</v>
      </c>
      <c r="D2024" s="16" t="s">
        <v>184</v>
      </c>
      <c r="E2024" s="16" t="s">
        <v>234</v>
      </c>
      <c r="F2024" s="16" t="s">
        <v>222</v>
      </c>
      <c r="G2024" s="16" t="s">
        <v>347</v>
      </c>
      <c r="H2024" s="16" t="s">
        <v>2634</v>
      </c>
    </row>
    <row r="2025" ht="20.25" customHeight="1">
      <c r="A2025" s="32" t="str">
        <f>IMAGE("https://gymvisual.com/12838-catalog_default/dumbbell-straight-arm-pullover-with-hanging-band-technique.jpg",4,500,500)</f>
        <v/>
      </c>
      <c r="B2025" s="30">
        <v>2024.0</v>
      </c>
      <c r="C2025" s="16" t="s">
        <v>2635</v>
      </c>
      <c r="D2025" s="16" t="s">
        <v>184</v>
      </c>
      <c r="E2025" s="16" t="s">
        <v>234</v>
      </c>
      <c r="F2025" s="16" t="s">
        <v>222</v>
      </c>
      <c r="G2025" s="16" t="s">
        <v>347</v>
      </c>
      <c r="H2025" s="16" t="s">
        <v>2636</v>
      </c>
    </row>
    <row r="2026" ht="20.25" customHeight="1">
      <c r="A2026" s="32" t="str">
        <f>IMAGE("https://gymvisual.com/22756-catalog_default/dumbbell-straight-arm-twisting-sit-up.jpg",4,500,500)</f>
        <v/>
      </c>
      <c r="B2026" s="30">
        <v>2025.0</v>
      </c>
      <c r="C2026" s="16" t="s">
        <v>2637</v>
      </c>
      <c r="D2026" s="16" t="s">
        <v>184</v>
      </c>
      <c r="E2026" s="16" t="s">
        <v>254</v>
      </c>
      <c r="F2026" s="16" t="s">
        <v>222</v>
      </c>
      <c r="G2026" s="16" t="s">
        <v>257</v>
      </c>
      <c r="H2026" s="16" t="s">
        <v>256</v>
      </c>
    </row>
    <row r="2027" ht="20.25" customHeight="1">
      <c r="A2027" s="32" t="str">
        <f>IMAGE("https://gymvisual.com/24651-catalog_default/3-4-sit-up.jpg",4,500,500)</f>
        <v/>
      </c>
      <c r="B2027" s="30">
        <v>2026.0</v>
      </c>
      <c r="C2027" s="16" t="s">
        <v>2638</v>
      </c>
      <c r="D2027" s="16" t="s">
        <v>184</v>
      </c>
      <c r="E2027" s="16" t="s">
        <v>254</v>
      </c>
      <c r="F2027" s="16" t="s">
        <v>222</v>
      </c>
      <c r="G2027" s="16" t="s">
        <v>267</v>
      </c>
      <c r="H2027" s="16" t="s">
        <v>188</v>
      </c>
    </row>
    <row r="2028" ht="20.25" customHeight="1">
      <c r="A2028" s="32" t="str">
        <f>IMAGE("https://gymvisual.com/19606-catalog_default/dumbbell-straight-leg-russian-twist.jpg",4,500,500)</f>
        <v/>
      </c>
      <c r="B2028" s="30">
        <v>2027.0</v>
      </c>
      <c r="C2028" s="16" t="s">
        <v>2639</v>
      </c>
      <c r="D2028" s="16" t="s">
        <v>184</v>
      </c>
      <c r="E2028" s="16" t="s">
        <v>254</v>
      </c>
      <c r="F2028" s="16" t="s">
        <v>222</v>
      </c>
      <c r="G2028" s="16" t="s">
        <v>257</v>
      </c>
      <c r="H2028" s="16" t="s">
        <v>2640</v>
      </c>
    </row>
    <row r="2029" ht="20.25" customHeight="1">
      <c r="A2029" s="32" t="str">
        <f>IMAGE("https://gymvisual.com/22151-catalog_default/dumbbell-straight-legs-deadlift.jpg",4,500,500)</f>
        <v/>
      </c>
      <c r="B2029" s="30">
        <v>2028.0</v>
      </c>
      <c r="C2029" s="16" t="s">
        <v>2641</v>
      </c>
      <c r="D2029" s="16" t="s">
        <v>184</v>
      </c>
      <c r="E2029" s="16" t="s">
        <v>185</v>
      </c>
      <c r="F2029" s="16" t="s">
        <v>222</v>
      </c>
      <c r="G2029" s="16" t="s">
        <v>267</v>
      </c>
      <c r="H2029" s="16" t="s">
        <v>188</v>
      </c>
    </row>
    <row r="2030" ht="20.25" customHeight="1">
      <c r="A2030" s="32" t="str">
        <f>IMAGE("https://gymvisual.com/12172-catalog_default/dumbbell-suitcase-carry.jpg",4,500,500)</f>
        <v/>
      </c>
      <c r="B2030" s="30">
        <v>2029.0</v>
      </c>
      <c r="C2030" s="16" t="s">
        <v>2642</v>
      </c>
      <c r="D2030" s="16" t="s">
        <v>184</v>
      </c>
      <c r="E2030" s="16" t="s">
        <v>285</v>
      </c>
      <c r="F2030" s="16" t="s">
        <v>222</v>
      </c>
      <c r="G2030" s="16" t="s">
        <v>220</v>
      </c>
      <c r="H2030" s="16" t="s">
        <v>220</v>
      </c>
    </row>
    <row r="2031" ht="20.25" customHeight="1">
      <c r="A2031" s="32" t="str">
        <f>IMAGE("https://gymvisual.com/22265-catalog_default/dumbbell-sumo-deadlift-female.jpg",4,500,500)</f>
        <v/>
      </c>
      <c r="B2031" s="30">
        <v>2030.0</v>
      </c>
      <c r="C2031" s="16" t="s">
        <v>2643</v>
      </c>
      <c r="D2031" s="16" t="s">
        <v>184</v>
      </c>
      <c r="E2031" s="16" t="s">
        <v>185</v>
      </c>
      <c r="F2031" s="16" t="s">
        <v>222</v>
      </c>
      <c r="G2031" s="16" t="s">
        <v>220</v>
      </c>
      <c r="H2031" s="16" t="s">
        <v>220</v>
      </c>
    </row>
    <row r="2032" ht="20.25" customHeight="1">
      <c r="A2032" s="32" t="str">
        <f>IMAGE("https://gymvisual.com/11970-catalog_default/dumbbell-sumo-pull-through.jpg",4,500,500)</f>
        <v/>
      </c>
      <c r="B2032" s="30">
        <v>2031.0</v>
      </c>
      <c r="C2032" s="16" t="s">
        <v>2644</v>
      </c>
      <c r="D2032" s="16" t="s">
        <v>184</v>
      </c>
      <c r="E2032" s="16" t="s">
        <v>185</v>
      </c>
      <c r="F2032" s="16" t="s">
        <v>222</v>
      </c>
      <c r="G2032" s="16" t="s">
        <v>220</v>
      </c>
      <c r="H2032" s="16" t="s">
        <v>220</v>
      </c>
    </row>
    <row r="2033" ht="20.25" customHeight="1">
      <c r="A2033" s="32" t="str">
        <f>IMAGE("https://gymvisual.com/11971-catalog_default/dumbbell-sumo-pull-through-female.jpg",4,500,500)</f>
        <v/>
      </c>
      <c r="B2033" s="30">
        <v>2032.0</v>
      </c>
      <c r="C2033" s="16" t="s">
        <v>2645</v>
      </c>
      <c r="D2033" s="16" t="s">
        <v>184</v>
      </c>
      <c r="E2033" s="16" t="s">
        <v>185</v>
      </c>
      <c r="F2033" s="16" t="s">
        <v>222</v>
      </c>
      <c r="G2033" s="16" t="s">
        <v>1201</v>
      </c>
      <c r="H2033" s="16" t="s">
        <v>2646</v>
      </c>
    </row>
    <row r="2034" ht="20.25" customHeight="1">
      <c r="A2034" s="32" t="str">
        <f>IMAGE("https://gymvisual.com/1324-catalog_default/3-4-sit-up.jpg",4,500,500)</f>
        <v/>
      </c>
      <c r="B2034" s="30">
        <v>2033.0</v>
      </c>
      <c r="C2034" s="16" t="s">
        <v>2647</v>
      </c>
      <c r="D2034" s="16" t="s">
        <v>184</v>
      </c>
      <c r="E2034" s="16" t="s">
        <v>285</v>
      </c>
      <c r="F2034" s="16" t="s">
        <v>222</v>
      </c>
      <c r="G2034" s="16" t="s">
        <v>189</v>
      </c>
      <c r="H2034" s="16" t="s">
        <v>190</v>
      </c>
    </row>
    <row r="2035" ht="20.25" customHeight="1">
      <c r="A2035" s="32" t="str">
        <f>IMAGE("https://gymvisual.com/20656-catalog_default/dumbbell-sumo-squat-female.jpg",4,500,500)</f>
        <v/>
      </c>
      <c r="B2035" s="30">
        <v>2034.0</v>
      </c>
      <c r="C2035" s="16" t="s">
        <v>2648</v>
      </c>
      <c r="D2035" s="16" t="s">
        <v>184</v>
      </c>
      <c r="E2035" s="16" t="s">
        <v>285</v>
      </c>
      <c r="F2035" s="16" t="s">
        <v>222</v>
      </c>
      <c r="G2035" s="16" t="s">
        <v>189</v>
      </c>
      <c r="H2035" s="16" t="s">
        <v>1121</v>
      </c>
    </row>
    <row r="2036" ht="20.25" customHeight="1">
      <c r="A2036" s="32" t="str">
        <f>IMAGE("https://gymvisual.com/21113-catalog_default/dumbbell-sumo-squat-male.jpg",4,500,500)</f>
        <v/>
      </c>
      <c r="B2036" s="30">
        <v>2035.0</v>
      </c>
      <c r="C2036" s="16" t="s">
        <v>2649</v>
      </c>
      <c r="D2036" s="16" t="s">
        <v>184</v>
      </c>
      <c r="E2036" s="16" t="s">
        <v>294</v>
      </c>
      <c r="F2036" s="16" t="s">
        <v>222</v>
      </c>
      <c r="G2036" s="16" t="s">
        <v>220</v>
      </c>
      <c r="H2036" s="16" t="s">
        <v>220</v>
      </c>
    </row>
    <row r="2037" ht="20.25" customHeight="1">
      <c r="A2037" s="32" t="str">
        <f>IMAGE("https://gymvisual.com/10539-catalog_default/dumbbell-sumo-squat-off-benches-female.jpg",4,500,500)</f>
        <v/>
      </c>
      <c r="B2037" s="30">
        <v>2036.0</v>
      </c>
      <c r="C2037" s="16" t="s">
        <v>2650</v>
      </c>
      <c r="D2037" s="16" t="s">
        <v>184</v>
      </c>
      <c r="E2037" s="16" t="s">
        <v>185</v>
      </c>
      <c r="F2037" s="16" t="s">
        <v>222</v>
      </c>
      <c r="G2037" s="16" t="s">
        <v>189</v>
      </c>
      <c r="H2037" s="16" t="s">
        <v>1121</v>
      </c>
    </row>
    <row r="2038" ht="20.25" customHeight="1">
      <c r="A2038" s="32" t="str">
        <f>IMAGE("https://gymvisual.com/13930-catalog_default/dumbbell-superman.jpg",4,500,500)</f>
        <v/>
      </c>
      <c r="B2038" s="30">
        <v>2037.0</v>
      </c>
      <c r="C2038" s="16" t="s">
        <v>2651</v>
      </c>
      <c r="D2038" s="16" t="s">
        <v>184</v>
      </c>
      <c r="E2038" s="16" t="s">
        <v>185</v>
      </c>
      <c r="F2038" s="16" t="s">
        <v>222</v>
      </c>
      <c r="G2038" s="16" t="s">
        <v>267</v>
      </c>
      <c r="H2038" s="16" t="s">
        <v>188</v>
      </c>
    </row>
    <row r="2039" ht="20.25" customHeight="1">
      <c r="A2039" s="32" t="str">
        <f>IMAGE("https://gymvisual.com/13932-catalog_default/dumbbell-superman-female.jpg",4,500,500)</f>
        <v/>
      </c>
      <c r="B2039" s="30">
        <v>2038.0</v>
      </c>
      <c r="C2039" s="16" t="s">
        <v>2652</v>
      </c>
      <c r="D2039" s="16" t="s">
        <v>184</v>
      </c>
      <c r="E2039" s="16" t="s">
        <v>185</v>
      </c>
      <c r="F2039" s="16" t="s">
        <v>222</v>
      </c>
      <c r="G2039" s="16" t="s">
        <v>267</v>
      </c>
      <c r="H2039" s="16" t="s">
        <v>188</v>
      </c>
    </row>
    <row r="2040" ht="20.25" customHeight="1">
      <c r="A2040" s="32" t="str">
        <f>IMAGE("https://gymvisual.com/11967-catalog_default/dumbbell-supported-squat.jpg",4,500,500)</f>
        <v/>
      </c>
      <c r="B2040" s="30">
        <v>2039.0</v>
      </c>
      <c r="C2040" s="16" t="s">
        <v>2653</v>
      </c>
      <c r="D2040" s="16" t="s">
        <v>184</v>
      </c>
      <c r="E2040" s="16" t="s">
        <v>285</v>
      </c>
      <c r="F2040" s="16" t="s">
        <v>222</v>
      </c>
      <c r="G2040" s="16" t="s">
        <v>220</v>
      </c>
      <c r="H2040" s="16" t="s">
        <v>220</v>
      </c>
    </row>
    <row r="2041" ht="20.25" customHeight="1">
      <c r="A2041" s="32" t="str">
        <f>IMAGE("https://gymvisual.com/11966-catalog_default/dumbbell-supported-squat-female.jpg",4,500,500)</f>
        <v/>
      </c>
      <c r="B2041" s="30">
        <v>2040.0</v>
      </c>
      <c r="C2041" s="16" t="s">
        <v>2654</v>
      </c>
      <c r="D2041" s="16" t="s">
        <v>184</v>
      </c>
      <c r="E2041" s="16" t="s">
        <v>285</v>
      </c>
      <c r="F2041" s="16" t="s">
        <v>222</v>
      </c>
      <c r="G2041" s="16" t="s">
        <v>220</v>
      </c>
      <c r="H2041" s="16" t="s">
        <v>220</v>
      </c>
    </row>
    <row r="2042" ht="20.25" customHeight="1">
      <c r="A2042" s="32" t="str">
        <f>IMAGE("https://gymvisual.com/13926-catalog_default/dumbbell-svend-press.jpg",4,500,500)</f>
        <v/>
      </c>
      <c r="B2042" s="30">
        <v>2041.0</v>
      </c>
      <c r="C2042" s="16" t="s">
        <v>2655</v>
      </c>
      <c r="D2042" s="16" t="s">
        <v>184</v>
      </c>
      <c r="E2042" s="16" t="s">
        <v>234</v>
      </c>
      <c r="F2042" s="16" t="s">
        <v>222</v>
      </c>
      <c r="G2042" s="16" t="s">
        <v>235</v>
      </c>
      <c r="H2042" s="16" t="s">
        <v>243</v>
      </c>
    </row>
    <row r="2043" ht="20.25" customHeight="1">
      <c r="A2043" s="32" t="str">
        <f>IMAGE("https://gymvisual.com/13928-catalog_default/dumbbell-svend-press-female.jpg",4,500,500)</f>
        <v/>
      </c>
      <c r="B2043" s="30">
        <v>2042.0</v>
      </c>
      <c r="C2043" s="16" t="s">
        <v>2656</v>
      </c>
      <c r="D2043" s="16" t="s">
        <v>184</v>
      </c>
      <c r="E2043" s="16" t="s">
        <v>234</v>
      </c>
      <c r="F2043" s="16" t="s">
        <v>222</v>
      </c>
      <c r="G2043" s="16" t="s">
        <v>235</v>
      </c>
      <c r="H2043" s="16" t="s">
        <v>243</v>
      </c>
    </row>
    <row r="2044" ht="20.25" customHeight="1">
      <c r="A2044" s="32" t="str">
        <f>IMAGE("https://gymvisual.com/13699-catalog_default/dumbbell-swing.jpg",4,500,500)</f>
        <v/>
      </c>
      <c r="B2044" s="30">
        <v>2043.0</v>
      </c>
      <c r="C2044" s="16" t="s">
        <v>2657</v>
      </c>
      <c r="D2044" s="16" t="s">
        <v>184</v>
      </c>
      <c r="E2044" s="16" t="s">
        <v>691</v>
      </c>
      <c r="F2044" s="16" t="s">
        <v>222</v>
      </c>
      <c r="G2044" s="16" t="s">
        <v>2060</v>
      </c>
      <c r="H2044" s="16" t="s">
        <v>2061</v>
      </c>
    </row>
    <row r="2045" ht="20.25" customHeight="1">
      <c r="A2045" s="32" t="str">
        <f>IMAGE("https://gymvisual.com/13912-catalog_default/dumbbell-swing-female.jpg",4,500,500)</f>
        <v/>
      </c>
      <c r="B2045" s="30">
        <v>2044.0</v>
      </c>
      <c r="C2045" s="16" t="s">
        <v>2658</v>
      </c>
      <c r="D2045" s="16" t="s">
        <v>184</v>
      </c>
      <c r="E2045" s="16" t="s">
        <v>691</v>
      </c>
      <c r="F2045" s="16" t="s">
        <v>222</v>
      </c>
      <c r="G2045" s="16" t="s">
        <v>2412</v>
      </c>
      <c r="H2045" s="16" t="s">
        <v>2659</v>
      </c>
    </row>
    <row r="2046" ht="20.25" customHeight="1">
      <c r="A2046" s="32" t="str">
        <f>IMAGE("https://gymvisual.com/1327-catalog_default/3-4-sit-up.jpg",4,500,500)</f>
        <v/>
      </c>
      <c r="B2046" s="30">
        <v>2045.0</v>
      </c>
      <c r="C2046" s="16" t="s">
        <v>2660</v>
      </c>
      <c r="D2046" s="16" t="s">
        <v>184</v>
      </c>
      <c r="E2046" s="16" t="s">
        <v>219</v>
      </c>
      <c r="F2046" s="16" t="s">
        <v>222</v>
      </c>
      <c r="G2046" s="16" t="s">
        <v>223</v>
      </c>
      <c r="H2046" s="16" t="s">
        <v>229</v>
      </c>
    </row>
    <row r="2047" ht="20.25" customHeight="1">
      <c r="A2047" s="32" t="str">
        <f>IMAGE("https://gymvisual.com/20680-catalog_default/dumbbell-thruster.jpg",4,500,500)</f>
        <v/>
      </c>
      <c r="B2047" s="30">
        <v>2046.0</v>
      </c>
      <c r="C2047" s="16" t="s">
        <v>2661</v>
      </c>
      <c r="D2047" s="16" t="s">
        <v>184</v>
      </c>
      <c r="E2047" s="16" t="s">
        <v>691</v>
      </c>
      <c r="F2047" s="16" t="s">
        <v>222</v>
      </c>
      <c r="G2047" s="16" t="s">
        <v>793</v>
      </c>
      <c r="H2047" s="16" t="s">
        <v>2662</v>
      </c>
    </row>
    <row r="2048" ht="20.25" customHeight="1">
      <c r="A2048" s="32" t="str">
        <f>IMAGE("https://gymvisual.com/13281-catalog_default/dumbbell-thruster-female.jpg",4,500,500)</f>
        <v/>
      </c>
      <c r="B2048" s="30">
        <v>2047.0</v>
      </c>
      <c r="C2048" s="16" t="s">
        <v>2663</v>
      </c>
      <c r="D2048" s="16" t="s">
        <v>184</v>
      </c>
      <c r="E2048" s="16" t="s">
        <v>691</v>
      </c>
      <c r="F2048" s="16" t="s">
        <v>222</v>
      </c>
      <c r="G2048" s="16" t="s">
        <v>220</v>
      </c>
      <c r="H2048" s="16" t="s">
        <v>220</v>
      </c>
    </row>
    <row r="2049" ht="20.25" customHeight="1">
      <c r="A2049" s="32" t="str">
        <f>IMAGE("https://gymvisual.com/7461-catalog_default/dumbbell-tricep-kickback-with-stork-stance.jpg",4,500,500)</f>
        <v/>
      </c>
      <c r="B2049" s="30">
        <v>2048.0</v>
      </c>
      <c r="C2049" s="16" t="s">
        <v>2664</v>
      </c>
      <c r="D2049" s="16" t="s">
        <v>184</v>
      </c>
      <c r="E2049" s="16" t="s">
        <v>219</v>
      </c>
      <c r="F2049" s="16" t="s">
        <v>222</v>
      </c>
      <c r="G2049" s="16" t="s">
        <v>220</v>
      </c>
      <c r="H2049" s="16" t="s">
        <v>220</v>
      </c>
    </row>
    <row r="2050" ht="20.25" customHeight="1">
      <c r="A2050" s="32" t="str">
        <f>IMAGE("https://gymvisual.com/18756-catalog_default/dumbbell-twisted-fly.jpg",4,500,500)</f>
        <v/>
      </c>
      <c r="B2050" s="30">
        <v>2049.0</v>
      </c>
      <c r="C2050" s="16" t="s">
        <v>2665</v>
      </c>
      <c r="D2050" s="16" t="s">
        <v>184</v>
      </c>
      <c r="E2050" s="16" t="s">
        <v>234</v>
      </c>
      <c r="F2050" s="16" t="s">
        <v>222</v>
      </c>
      <c r="G2050" s="16" t="s">
        <v>220</v>
      </c>
      <c r="H2050" s="16" t="s">
        <v>220</v>
      </c>
    </row>
    <row r="2051" ht="20.25" customHeight="1">
      <c r="A2051" s="32" t="str">
        <f>IMAGE("https://gymvisual.com/7462-catalog_default/dumbbell-twisting-bench-press.jpg",4,500,500)</f>
        <v/>
      </c>
      <c r="B2051" s="30">
        <v>2050.0</v>
      </c>
      <c r="C2051" s="16" t="s">
        <v>2666</v>
      </c>
      <c r="D2051" s="16" t="s">
        <v>184</v>
      </c>
      <c r="E2051" s="16" t="s">
        <v>219</v>
      </c>
      <c r="F2051" s="16" t="s">
        <v>222</v>
      </c>
      <c r="G2051" s="16" t="s">
        <v>220</v>
      </c>
      <c r="H2051" s="16" t="s">
        <v>220</v>
      </c>
    </row>
    <row r="2052" ht="20.25" customHeight="1">
      <c r="A2052" s="32" t="str">
        <f>IMAGE("https://gymvisual.com/10028-catalog_default/dumbbell-two-arm-seated-hammer-curl-on-exercise-ball.jpg",4,500,500)</f>
        <v/>
      </c>
      <c r="B2052" s="30">
        <v>2051.0</v>
      </c>
      <c r="C2052" s="16" t="s">
        <v>2667</v>
      </c>
      <c r="D2052" s="16" t="s">
        <v>184</v>
      </c>
      <c r="E2052" s="16" t="s">
        <v>214</v>
      </c>
      <c r="F2052" s="16" t="s">
        <v>222</v>
      </c>
      <c r="G2052" s="16" t="s">
        <v>216</v>
      </c>
      <c r="H2052" s="16" t="s">
        <v>217</v>
      </c>
    </row>
    <row r="2053" ht="20.25" customHeight="1">
      <c r="A2053" s="32" t="str">
        <f>IMAGE("https://gymvisual.com/24822-catalog_default/3-4-sit-up.jpg",4,500,500)</f>
        <v/>
      </c>
      <c r="B2053" s="30">
        <v>2052.0</v>
      </c>
      <c r="C2053" s="16" t="s">
        <v>2668</v>
      </c>
      <c r="D2053" s="16" t="s">
        <v>184</v>
      </c>
      <c r="E2053" s="16" t="s">
        <v>228</v>
      </c>
      <c r="F2053" s="16" t="s">
        <v>222</v>
      </c>
      <c r="G2053" s="16" t="s">
        <v>544</v>
      </c>
      <c r="H2053" s="16" t="s">
        <v>713</v>
      </c>
    </row>
    <row r="2054" ht="20.25" customHeight="1">
      <c r="A2054" s="32" t="str">
        <f>IMAGE("https://gymvisual.com/7592-catalog_default/dumbbell-upright-row-back-pov.jpg",4,500,500)</f>
        <v/>
      </c>
      <c r="B2054" s="30">
        <v>2053.0</v>
      </c>
      <c r="C2054" s="16" t="s">
        <v>2669</v>
      </c>
      <c r="D2054" s="16" t="s">
        <v>184</v>
      </c>
      <c r="E2054" s="16" t="s">
        <v>228</v>
      </c>
      <c r="F2054" s="16" t="s">
        <v>222</v>
      </c>
      <c r="G2054" s="16" t="s">
        <v>220</v>
      </c>
      <c r="H2054" s="16" t="s">
        <v>220</v>
      </c>
    </row>
    <row r="2055" ht="20.25" customHeight="1">
      <c r="A2055" s="32" t="str">
        <f>IMAGE("https://gymvisual.com/13898-catalog_default/dumbbell-upright-row-female.jpg",4,500,500)</f>
        <v/>
      </c>
      <c r="B2055" s="30">
        <v>2054.0</v>
      </c>
      <c r="C2055" s="16" t="s">
        <v>2670</v>
      </c>
      <c r="D2055" s="16" t="s">
        <v>184</v>
      </c>
      <c r="E2055" s="16" t="s">
        <v>228</v>
      </c>
      <c r="F2055" s="16" t="s">
        <v>222</v>
      </c>
      <c r="G2055" s="16" t="s">
        <v>544</v>
      </c>
      <c r="H2055" s="16" t="s">
        <v>713</v>
      </c>
    </row>
    <row r="2056" ht="20.25" customHeight="1">
      <c r="A2056" s="32" t="str">
        <f>IMAGE("https://gymvisual.com/2631-catalog_default/dumbbell-upright-shoulder-external-rotation.jpg",4,500,500)</f>
        <v/>
      </c>
      <c r="B2056" s="30">
        <v>2055.0</v>
      </c>
      <c r="C2056" s="16" t="s">
        <v>2671</v>
      </c>
      <c r="D2056" s="16" t="s">
        <v>184</v>
      </c>
      <c r="E2056" s="16" t="s">
        <v>192</v>
      </c>
      <c r="F2056" s="16" t="s">
        <v>222</v>
      </c>
      <c r="G2056" s="16" t="s">
        <v>1607</v>
      </c>
      <c r="H2056" s="16" t="s">
        <v>220</v>
      </c>
    </row>
    <row r="2057" ht="20.25" customHeight="1">
      <c r="A2057" s="32" t="str">
        <f>IMAGE("https://gymvisual.com/13620-catalog_default/dumbbell-v-up.jpg",4,500,500)</f>
        <v/>
      </c>
      <c r="B2057" s="30">
        <v>2056.0</v>
      </c>
      <c r="C2057" s="16" t="s">
        <v>2672</v>
      </c>
      <c r="D2057" s="16" t="s">
        <v>184</v>
      </c>
      <c r="E2057" s="16" t="s">
        <v>254</v>
      </c>
      <c r="F2057" s="16" t="s">
        <v>222</v>
      </c>
      <c r="G2057" s="16" t="s">
        <v>305</v>
      </c>
      <c r="H2057" s="16" t="s">
        <v>319</v>
      </c>
    </row>
    <row r="2058" ht="20.25" customHeight="1">
      <c r="A2058" s="32" t="str">
        <f>IMAGE("https://gymvisual.com/13914-catalog_default/dumbbell-v-up-female.jpg",4,500,500)</f>
        <v/>
      </c>
      <c r="B2058" s="30">
        <v>2057.0</v>
      </c>
      <c r="C2058" s="16" t="s">
        <v>2673</v>
      </c>
      <c r="D2058" s="16" t="s">
        <v>184</v>
      </c>
      <c r="E2058" s="16" t="s">
        <v>310</v>
      </c>
      <c r="F2058" s="16" t="s">
        <v>222</v>
      </c>
      <c r="G2058" s="16" t="s">
        <v>305</v>
      </c>
      <c r="H2058" s="16" t="s">
        <v>600</v>
      </c>
    </row>
    <row r="2059" ht="20.25" customHeight="1">
      <c r="A2059" s="32" t="str">
        <f>IMAGE("https://gymvisual.com/22754-catalog_default/dumbbell-v-up-version-2.jpg",4,500,500)</f>
        <v/>
      </c>
      <c r="B2059" s="30">
        <v>2058.0</v>
      </c>
      <c r="C2059" s="16" t="s">
        <v>2674</v>
      </c>
      <c r="D2059" s="16" t="s">
        <v>184</v>
      </c>
      <c r="E2059" s="16" t="s">
        <v>254</v>
      </c>
      <c r="F2059" s="16" t="s">
        <v>222</v>
      </c>
      <c r="G2059" s="16" t="s">
        <v>305</v>
      </c>
      <c r="H2059" s="16" t="s">
        <v>600</v>
      </c>
    </row>
    <row r="2060" ht="20.25" customHeight="1">
      <c r="A2060" s="32" t="str">
        <f>IMAGE("https://gymvisual.com/13900-catalog_default/dumbbell-w-press-female.jpg",4,500,500)</f>
        <v/>
      </c>
      <c r="B2060" s="30">
        <v>2059.0</v>
      </c>
      <c r="C2060" s="16" t="s">
        <v>2675</v>
      </c>
      <c r="D2060" s="16" t="s">
        <v>184</v>
      </c>
      <c r="E2060" s="16" t="s">
        <v>228</v>
      </c>
      <c r="F2060" s="16" t="s">
        <v>222</v>
      </c>
      <c r="G2060" s="16" t="s">
        <v>220</v>
      </c>
      <c r="H2060" s="16" t="s">
        <v>220</v>
      </c>
    </row>
    <row r="2061" ht="20.25" customHeight="1">
      <c r="A2061" s="32" t="str">
        <f>IMAGE("https://gymvisual.com/14175-catalog_default/3-4-sit-up.jpg",4,500,500)</f>
        <v/>
      </c>
      <c r="B2061" s="30">
        <v>2060.0</v>
      </c>
      <c r="C2061" s="16" t="s">
        <v>2676</v>
      </c>
      <c r="D2061" s="16" t="s">
        <v>184</v>
      </c>
      <c r="E2061" s="16" t="s">
        <v>228</v>
      </c>
      <c r="F2061" s="16" t="s">
        <v>222</v>
      </c>
      <c r="G2061" s="16" t="s">
        <v>544</v>
      </c>
      <c r="H2061" s="16" t="s">
        <v>722</v>
      </c>
    </row>
    <row r="2062" ht="20.25" customHeight="1">
      <c r="A2062" s="32" t="str">
        <f>IMAGE("https://gymvisual.com/20395-catalog_default/dumbbell-waiter-biceps-curl.jpg",4,500,500)</f>
        <v/>
      </c>
      <c r="B2062" s="30">
        <v>2061.0</v>
      </c>
      <c r="C2062" s="16" t="s">
        <v>2677</v>
      </c>
      <c r="D2062" s="16" t="s">
        <v>184</v>
      </c>
      <c r="E2062" s="16" t="s">
        <v>219</v>
      </c>
      <c r="F2062" s="16" t="s">
        <v>222</v>
      </c>
      <c r="G2062" s="16" t="s">
        <v>241</v>
      </c>
      <c r="H2062" s="16" t="s">
        <v>292</v>
      </c>
    </row>
    <row r="2063" ht="20.25" customHeight="1">
      <c r="A2063" s="32" t="str">
        <f>IMAGE("https://gymvisual.com/25067-catalog_default/dumbbell-walking-calf-raise.jpg",4,500,500)</f>
        <v/>
      </c>
      <c r="B2063" s="30">
        <v>2062.0</v>
      </c>
      <c r="C2063" s="16" t="s">
        <v>2678</v>
      </c>
      <c r="D2063" s="16" t="s">
        <v>184</v>
      </c>
      <c r="E2063" s="16" t="s">
        <v>325</v>
      </c>
      <c r="F2063" s="16" t="s">
        <v>222</v>
      </c>
      <c r="G2063" s="16" t="s">
        <v>220</v>
      </c>
      <c r="H2063" s="16" t="s">
        <v>220</v>
      </c>
    </row>
    <row r="2064" ht="20.25" customHeight="1">
      <c r="A2064" s="32" t="str">
        <f>IMAGE("https://gymvisual.com/23593-catalog_default/dumbbell-walking-lunge-female.jpg",4,500,500)</f>
        <v/>
      </c>
      <c r="B2064" s="30">
        <v>2063.0</v>
      </c>
      <c r="C2064" s="16" t="s">
        <v>2679</v>
      </c>
      <c r="D2064" s="16" t="s">
        <v>184</v>
      </c>
      <c r="E2064" s="16" t="s">
        <v>285</v>
      </c>
      <c r="F2064" s="16" t="s">
        <v>222</v>
      </c>
      <c r="G2064" s="16" t="s">
        <v>189</v>
      </c>
      <c r="H2064" s="16" t="s">
        <v>190</v>
      </c>
    </row>
    <row r="2065" ht="20.25" customHeight="1">
      <c r="A2065" s="32" t="str">
        <f>IMAGE("https://gymvisual.com/6805-catalog_default/dumbbell-wall-squat.jpg",4,500,500)</f>
        <v/>
      </c>
      <c r="B2065" s="30">
        <v>2064.0</v>
      </c>
      <c r="C2065" s="16" t="s">
        <v>2680</v>
      </c>
      <c r="D2065" s="16" t="s">
        <v>184</v>
      </c>
      <c r="E2065" s="16" t="s">
        <v>285</v>
      </c>
      <c r="F2065" s="16" t="s">
        <v>222</v>
      </c>
      <c r="G2065" s="16" t="s">
        <v>220</v>
      </c>
      <c r="H2065" s="16" t="s">
        <v>220</v>
      </c>
    </row>
    <row r="2066" ht="20.25" customHeight="1">
      <c r="A2066" s="32" t="str">
        <f>IMAGE("https://gymvisual.com/21044-catalog_default/dumbbell-wood-chop-squat.jpg",4,500,500)</f>
        <v/>
      </c>
      <c r="B2066" s="30">
        <v>2065.0</v>
      </c>
      <c r="C2066" s="16" t="s">
        <v>2681</v>
      </c>
      <c r="D2066" s="16" t="s">
        <v>184</v>
      </c>
      <c r="E2066" s="16" t="s">
        <v>254</v>
      </c>
      <c r="F2066" s="16" t="s">
        <v>222</v>
      </c>
      <c r="G2066" s="16" t="s">
        <v>2682</v>
      </c>
      <c r="H2066" s="16" t="s">
        <v>2683</v>
      </c>
    </row>
    <row r="2067" ht="20.25" customHeight="1">
      <c r="A2067" s="32" t="str">
        <f>IMAGE("https://gymvisual.com/25013-catalog_default/dumbbell-z-press.jpg",4,500,500)</f>
        <v/>
      </c>
      <c r="B2067" s="30">
        <v>2066.0</v>
      </c>
      <c r="C2067" s="16" t="s">
        <v>2684</v>
      </c>
      <c r="D2067" s="16" t="s">
        <v>184</v>
      </c>
      <c r="E2067" s="16" t="s">
        <v>228</v>
      </c>
      <c r="F2067" s="16" t="s">
        <v>222</v>
      </c>
      <c r="G2067" s="16" t="s">
        <v>220</v>
      </c>
      <c r="H2067" s="16" t="s">
        <v>220</v>
      </c>
    </row>
    <row r="2068" ht="20.25" customHeight="1">
      <c r="A2068" s="32" t="str">
        <f>IMAGE("https://gymvisual.com/12243-catalog_default/3-4-sit-up.jpg",4,500,500)</f>
        <v/>
      </c>
      <c r="B2068" s="30">
        <v>2067.0</v>
      </c>
      <c r="C2068" s="16" t="s">
        <v>2685</v>
      </c>
      <c r="D2068" s="16" t="s">
        <v>184</v>
      </c>
      <c r="E2068" s="16" t="s">
        <v>219</v>
      </c>
      <c r="F2068" s="16" t="s">
        <v>222</v>
      </c>
      <c r="G2068" s="16" t="s">
        <v>241</v>
      </c>
      <c r="H2068" s="16" t="s">
        <v>292</v>
      </c>
    </row>
    <row r="2069" ht="20.25" customHeight="1">
      <c r="A2069" s="32" t="str">
        <f>IMAGE("https://gymvisual.com/9747-catalog_default/dumbbell-zottman-preacher-curl.jpg",4,500,500)</f>
        <v/>
      </c>
      <c r="B2069" s="30">
        <v>2068.0</v>
      </c>
      <c r="C2069" s="16" t="s">
        <v>2686</v>
      </c>
      <c r="D2069" s="16" t="s">
        <v>184</v>
      </c>
      <c r="E2069" s="16" t="s">
        <v>219</v>
      </c>
      <c r="F2069" s="16" t="s">
        <v>222</v>
      </c>
      <c r="G2069" s="16" t="s">
        <v>241</v>
      </c>
      <c r="H2069" s="16" t="s">
        <v>2305</v>
      </c>
    </row>
    <row r="2070" ht="20.25" customHeight="1">
      <c r="A2070" s="32" t="str">
        <f>IMAGE("https://gymvisual.com/22251-catalog_default/dumbbells-glute-bridge-female.jpg",4,500,500)</f>
        <v/>
      </c>
      <c r="B2070" s="30">
        <v>2069.0</v>
      </c>
      <c r="C2070" s="16" t="s">
        <v>2687</v>
      </c>
      <c r="D2070" s="16" t="s">
        <v>184</v>
      </c>
      <c r="E2070" s="16" t="s">
        <v>185</v>
      </c>
      <c r="F2070" s="16" t="s">
        <v>222</v>
      </c>
      <c r="G2070" s="16" t="s">
        <v>220</v>
      </c>
      <c r="H2070" s="16" t="s">
        <v>220</v>
      </c>
    </row>
    <row r="2071" ht="20.25" customHeight="1">
      <c r="A2071" s="32" t="str">
        <f>IMAGE("https://gymvisual.com/22424-catalog_default/dumbbells-glute-bridge-version-2-female.jpg",4,500,500)</f>
        <v/>
      </c>
      <c r="B2071" s="30">
        <v>2070.0</v>
      </c>
      <c r="C2071" s="16" t="s">
        <v>2688</v>
      </c>
      <c r="D2071" s="16" t="s">
        <v>184</v>
      </c>
      <c r="E2071" s="16" t="s">
        <v>185</v>
      </c>
      <c r="F2071" s="16" t="s">
        <v>222</v>
      </c>
      <c r="G2071" s="16" t="s">
        <v>220</v>
      </c>
      <c r="H2071" s="16" t="s">
        <v>220</v>
      </c>
    </row>
    <row r="2072" ht="20.25" customHeight="1">
      <c r="A2072" s="32" t="str">
        <f>IMAGE("https://gymvisual.com/8830-catalog_default/dumbbells-seated-triceps-extension.jpg",4,500,500)</f>
        <v/>
      </c>
      <c r="B2072" s="30">
        <v>2071.0</v>
      </c>
      <c r="C2072" s="16" t="s">
        <v>2689</v>
      </c>
      <c r="D2072" s="16" t="s">
        <v>184</v>
      </c>
      <c r="E2072" s="16" t="s">
        <v>219</v>
      </c>
      <c r="F2072" s="16" t="s">
        <v>222</v>
      </c>
      <c r="G2072" s="16" t="s">
        <v>223</v>
      </c>
      <c r="H2072" s="16" t="s">
        <v>220</v>
      </c>
    </row>
    <row r="2073" ht="20.25" customHeight="1">
      <c r="A2073" s="32" t="str">
        <f>IMAGE("https://gymvisual.com/10245-catalog_default/dumbbells-straight-arm-pullover-version-2-female.jpg",4,500,500)</f>
        <v/>
      </c>
      <c r="B2073" s="30">
        <v>2072.0</v>
      </c>
      <c r="C2073" s="16" t="s">
        <v>2690</v>
      </c>
      <c r="D2073" s="16" t="s">
        <v>184</v>
      </c>
      <c r="E2073" s="16" t="s">
        <v>234</v>
      </c>
      <c r="F2073" s="16" t="s">
        <v>222</v>
      </c>
      <c r="G2073" s="16" t="s">
        <v>347</v>
      </c>
      <c r="H2073" s="16" t="s">
        <v>2636</v>
      </c>
    </row>
    <row r="2074" ht="20.25" customHeight="1">
      <c r="A2074" s="32" t="str">
        <f>IMAGE("https://gymvisual.com/9829-catalog_default/dumbbells-sumo-squat-female.jpg",4,500,500)</f>
        <v/>
      </c>
      <c r="B2074" s="30">
        <v>2073.0</v>
      </c>
      <c r="C2074" s="16" t="s">
        <v>2691</v>
      </c>
      <c r="D2074" s="16" t="s">
        <v>184</v>
      </c>
      <c r="E2074" s="16" t="s">
        <v>285</v>
      </c>
      <c r="F2074" s="16" t="s">
        <v>222</v>
      </c>
      <c r="G2074" s="16" t="s">
        <v>189</v>
      </c>
      <c r="H2074" s="16" t="s">
        <v>1121</v>
      </c>
    </row>
    <row r="2075" ht="20.25" customHeight="1">
      <c r="A2075" s="32" t="str">
        <f>IMAGE("https://gymvisual.com/25659-catalog_default/dumbell-one-arm-side-lying-bench-press-male.jpg",4,500,500)</f>
        <v/>
      </c>
      <c r="B2075" s="30">
        <v>2074.0</v>
      </c>
      <c r="C2075" s="16" t="s">
        <v>2692</v>
      </c>
      <c r="D2075" s="16" t="s">
        <v>184</v>
      </c>
      <c r="E2075" s="16" t="s">
        <v>234</v>
      </c>
      <c r="F2075" s="16" t="s">
        <v>222</v>
      </c>
      <c r="G2075" s="16" t="s">
        <v>220</v>
      </c>
      <c r="H2075" s="16" t="s">
        <v>220</v>
      </c>
    </row>
    <row r="2076" ht="20.25" customHeight="1">
      <c r="A2076" s="32" t="str">
        <f>IMAGE("https://gymvisual.com/13511-catalog_default/elbow-dips.jpg",4,500,500)</f>
        <v/>
      </c>
      <c r="B2076" s="30">
        <v>2075.0</v>
      </c>
      <c r="C2076" s="16" t="s">
        <v>2693</v>
      </c>
      <c r="D2076" s="16" t="s">
        <v>184</v>
      </c>
      <c r="E2076" s="16" t="s">
        <v>219</v>
      </c>
      <c r="F2076" s="16" t="s">
        <v>255</v>
      </c>
      <c r="G2076" s="16" t="s">
        <v>223</v>
      </c>
      <c r="H2076" s="16" t="s">
        <v>1181</v>
      </c>
    </row>
    <row r="2077" ht="20.25" customHeight="1">
      <c r="A2077" s="32" t="str">
        <f>IMAGE("https://gymvisual.com/7615-catalog_default/elbow-lift-reverse-push-up.jpg",4,500,500)</f>
        <v/>
      </c>
      <c r="B2077" s="30">
        <v>2076.0</v>
      </c>
      <c r="C2077" s="16" t="s">
        <v>2694</v>
      </c>
      <c r="D2077" s="16" t="s">
        <v>184</v>
      </c>
      <c r="E2077" s="16" t="s">
        <v>192</v>
      </c>
      <c r="F2077" s="16" t="s">
        <v>255</v>
      </c>
      <c r="G2077" s="16" t="s">
        <v>329</v>
      </c>
      <c r="H2077" s="16" t="s">
        <v>408</v>
      </c>
    </row>
    <row r="2078" ht="20.25" customHeight="1">
      <c r="A2078" s="32" t="str">
        <f>IMAGE("https://gymvisual.com/23579-catalog_default/elbow-to-knee-side-plank-crunch-female.jpg",4,500,500)</f>
        <v/>
      </c>
      <c r="B2078" s="30">
        <v>2077.0</v>
      </c>
      <c r="C2078" s="16" t="s">
        <v>2695</v>
      </c>
      <c r="D2078" s="16" t="s">
        <v>184</v>
      </c>
      <c r="E2078" s="16" t="s">
        <v>254</v>
      </c>
      <c r="F2078" s="16" t="s">
        <v>255</v>
      </c>
      <c r="G2078" s="16" t="s">
        <v>2696</v>
      </c>
      <c r="H2078" s="16" t="s">
        <v>296</v>
      </c>
    </row>
    <row r="2079" ht="20.25" customHeight="1">
      <c r="A2079" s="32" t="str">
        <f>IMAGE("https://gymvisual.com/14022-catalog_default/elbow-to-knee-side-plank-crunch-male.jpg",4,500,500)</f>
        <v/>
      </c>
      <c r="B2079" s="30">
        <v>2078.0</v>
      </c>
      <c r="C2079" s="16" t="s">
        <v>2697</v>
      </c>
      <c r="D2079" s="16" t="s">
        <v>184</v>
      </c>
      <c r="E2079" s="16" t="s">
        <v>522</v>
      </c>
      <c r="F2079" s="16" t="s">
        <v>255</v>
      </c>
      <c r="G2079" s="16" t="s">
        <v>2698</v>
      </c>
      <c r="H2079" s="16" t="s">
        <v>296</v>
      </c>
    </row>
    <row r="2080" ht="20.25" customHeight="1">
      <c r="A2080" s="32" t="str">
        <f>IMAGE("https://gymvisual.com/13984-catalog_default/elbow-to-knee-sit-up.jpg",4,500,500)</f>
        <v/>
      </c>
      <c r="B2080" s="30">
        <v>2079.0</v>
      </c>
      <c r="C2080" s="16" t="s">
        <v>2699</v>
      </c>
      <c r="D2080" s="16" t="s">
        <v>184</v>
      </c>
      <c r="E2080" s="16" t="s">
        <v>254</v>
      </c>
      <c r="F2080" s="16" t="s">
        <v>255</v>
      </c>
      <c r="G2080" s="16" t="s">
        <v>257</v>
      </c>
      <c r="H2080" s="16" t="s">
        <v>256</v>
      </c>
    </row>
    <row r="2081" ht="20.25" customHeight="1">
      <c r="A2081" s="32" t="str">
        <f>IMAGE("https://gymvisual.com/13297-catalog_default/elbow-up-and-down-dynamic-plank.jpg",4,500,500)</f>
        <v/>
      </c>
      <c r="B2081" s="30">
        <v>2080.0</v>
      </c>
      <c r="C2081" s="16" t="s">
        <v>2700</v>
      </c>
      <c r="D2081" s="16" t="s">
        <v>184</v>
      </c>
      <c r="E2081" s="16" t="s">
        <v>1894</v>
      </c>
      <c r="F2081" s="16" t="s">
        <v>255</v>
      </c>
      <c r="G2081" s="16" t="s">
        <v>2701</v>
      </c>
      <c r="H2081" s="16" t="s">
        <v>2702</v>
      </c>
    </row>
    <row r="2082" ht="20.25" customHeight="1">
      <c r="A2082" s="32" t="str">
        <f>IMAGE("https://gymvisual.com/13299-catalog_default/elbow-up-and-down-dynamic-plank-female.jpg",4,500,500)</f>
        <v/>
      </c>
      <c r="B2082" s="30">
        <v>2081.0</v>
      </c>
      <c r="C2082" s="16" t="s">
        <v>2703</v>
      </c>
      <c r="D2082" s="16" t="s">
        <v>184</v>
      </c>
      <c r="E2082" s="16" t="s">
        <v>1894</v>
      </c>
      <c r="F2082" s="16" t="s">
        <v>255</v>
      </c>
      <c r="G2082" s="16" t="s">
        <v>2701</v>
      </c>
      <c r="H2082" s="16" t="s">
        <v>2702</v>
      </c>
    </row>
    <row r="2083" ht="20.25" customHeight="1">
      <c r="A2083" s="32" t="str">
        <f>IMAGE("https://gymvisual.com/1347-catalog_default/3-4-sit-up.jpg",4,500,500)</f>
        <v/>
      </c>
      <c r="B2083" s="30">
        <v>2082.0</v>
      </c>
      <c r="C2083" s="16" t="s">
        <v>2704</v>
      </c>
      <c r="D2083" s="16" t="s">
        <v>184</v>
      </c>
      <c r="E2083" s="16" t="s">
        <v>254</v>
      </c>
      <c r="F2083" s="16" t="s">
        <v>255</v>
      </c>
      <c r="G2083" s="16" t="s">
        <v>260</v>
      </c>
      <c r="H2083" s="16" t="s">
        <v>1332</v>
      </c>
    </row>
    <row r="2084" ht="20.25" customHeight="1">
      <c r="A2084" s="32" t="str">
        <f>IMAGE("https://gymvisual.com/14084-catalog_default/elevanted-inverted-row-between-3-chairs.jpg",4,500,500)</f>
        <v/>
      </c>
      <c r="B2084" s="30">
        <v>2083.0</v>
      </c>
      <c r="C2084" s="16" t="s">
        <v>2705</v>
      </c>
      <c r="D2084" s="16" t="s">
        <v>184</v>
      </c>
      <c r="E2084" s="16" t="s">
        <v>192</v>
      </c>
      <c r="F2084" s="16" t="s">
        <v>255</v>
      </c>
      <c r="G2084" s="16" t="s">
        <v>329</v>
      </c>
      <c r="H2084" s="16" t="s">
        <v>447</v>
      </c>
    </row>
    <row r="2085" ht="20.25" customHeight="1">
      <c r="A2085" s="32" t="str">
        <f>IMAGE("https://gymvisual.com/14086-catalog_default/elevanted-inverted-underhand-grip-row-between-3-chairs.jpg",4,500,500)</f>
        <v/>
      </c>
      <c r="B2085" s="30">
        <v>2084.0</v>
      </c>
      <c r="C2085" s="16" t="s">
        <v>2706</v>
      </c>
      <c r="D2085" s="16" t="s">
        <v>184</v>
      </c>
      <c r="E2085" s="16" t="s">
        <v>192</v>
      </c>
      <c r="F2085" s="16" t="s">
        <v>255</v>
      </c>
      <c r="G2085" s="16" t="s">
        <v>329</v>
      </c>
      <c r="H2085" s="16" t="s">
        <v>357</v>
      </c>
    </row>
    <row r="2086" ht="20.25" customHeight="1">
      <c r="A2086" s="32" t="str">
        <f>IMAGE("https://gymvisual.com/17699-catalog_default/elevanted-push-up.jpg",4,500,500)</f>
        <v/>
      </c>
      <c r="B2086" s="30">
        <v>2085.0</v>
      </c>
      <c r="C2086" s="16" t="s">
        <v>2707</v>
      </c>
      <c r="D2086" s="16" t="s">
        <v>184</v>
      </c>
      <c r="E2086" s="16" t="s">
        <v>234</v>
      </c>
      <c r="F2086" s="16" t="s">
        <v>255</v>
      </c>
      <c r="G2086" s="16" t="s">
        <v>235</v>
      </c>
      <c r="H2086" s="16" t="s">
        <v>243</v>
      </c>
    </row>
    <row r="2087" ht="20.25" customHeight="1">
      <c r="A2087" s="32" t="str">
        <f>IMAGE("https://gymvisual.com/22448-catalog_default/elevated-seated-calf-raise.jpg",4,500,500)</f>
        <v/>
      </c>
      <c r="B2087" s="30">
        <v>2086.0</v>
      </c>
      <c r="C2087" s="16" t="s">
        <v>2708</v>
      </c>
      <c r="D2087" s="16" t="s">
        <v>184</v>
      </c>
      <c r="E2087" s="16" t="s">
        <v>325</v>
      </c>
      <c r="F2087" s="16" t="s">
        <v>255</v>
      </c>
      <c r="G2087" s="16" t="s">
        <v>220</v>
      </c>
      <c r="H2087" s="16" t="s">
        <v>220</v>
      </c>
    </row>
    <row r="2088" ht="20.25" customHeight="1">
      <c r="A2088" s="32" t="str">
        <f>IMAGE("https://gymvisual.com/20982-catalog_default/elevated-side-lunge.jpg",4,500,500)</f>
        <v/>
      </c>
      <c r="B2088" s="30">
        <v>2087.0</v>
      </c>
      <c r="C2088" s="16" t="s">
        <v>2709</v>
      </c>
      <c r="D2088" s="16" t="s">
        <v>184</v>
      </c>
      <c r="E2088" s="16" t="s">
        <v>294</v>
      </c>
      <c r="F2088" s="16" t="s">
        <v>255</v>
      </c>
      <c r="G2088" s="16" t="s">
        <v>295</v>
      </c>
      <c r="H2088" s="16" t="s">
        <v>2522</v>
      </c>
    </row>
    <row r="2089" ht="20.25" customHeight="1">
      <c r="A2089" s="32" t="str">
        <f>IMAGE("https://gymvisual.com/22452-catalog_default/elevated-single-leg-hip-thrust-female.jpg",4,500,500)</f>
        <v/>
      </c>
      <c r="B2089" s="30">
        <v>2088.0</v>
      </c>
      <c r="C2089" s="16" t="s">
        <v>2710</v>
      </c>
      <c r="D2089" s="16" t="s">
        <v>184</v>
      </c>
      <c r="E2089" s="16" t="s">
        <v>185</v>
      </c>
      <c r="F2089" s="16" t="s">
        <v>255</v>
      </c>
      <c r="G2089" s="16" t="s">
        <v>220</v>
      </c>
      <c r="H2089" s="16" t="s">
        <v>220</v>
      </c>
    </row>
    <row r="2090" ht="20.25" customHeight="1">
      <c r="A2090" s="32" t="str">
        <f>IMAGE("https://gymvisual.com/22432-catalog_default/elevated-single-leg-squat.jpg",4,500,500)</f>
        <v/>
      </c>
      <c r="B2090" s="30">
        <v>2089.0</v>
      </c>
      <c r="C2090" s="16" t="s">
        <v>2711</v>
      </c>
      <c r="D2090" s="16" t="s">
        <v>184</v>
      </c>
      <c r="E2090" s="16" t="s">
        <v>285</v>
      </c>
      <c r="F2090" s="16" t="s">
        <v>255</v>
      </c>
      <c r="G2090" s="16" t="s">
        <v>220</v>
      </c>
      <c r="H2090" s="16" t="s">
        <v>220</v>
      </c>
    </row>
    <row r="2091" ht="20.25" customHeight="1">
      <c r="A2091" s="32" t="str">
        <f>IMAGE("https://gymvisual.com/22267-catalog_default/elevated-standing-calf-raise.jpg",4,500,500)</f>
        <v/>
      </c>
      <c r="B2091" s="30">
        <v>2090.0</v>
      </c>
      <c r="C2091" s="16" t="s">
        <v>2712</v>
      </c>
      <c r="D2091" s="16" t="s">
        <v>184</v>
      </c>
      <c r="E2091" s="16" t="s">
        <v>325</v>
      </c>
      <c r="F2091" s="16" t="s">
        <v>255</v>
      </c>
      <c r="G2091" s="16" t="s">
        <v>220</v>
      </c>
      <c r="H2091" s="16" t="s">
        <v>220</v>
      </c>
    </row>
    <row r="2092" ht="20.25" customHeight="1">
      <c r="A2092" s="32" t="str">
        <f>IMAGE("https://gymvisual.com/24059-catalog_default/elevated-standing-calf-raise.jpg",4,500,500)</f>
        <v/>
      </c>
      <c r="B2092" s="30">
        <v>2091.0</v>
      </c>
      <c r="C2092" s="16" t="s">
        <v>2712</v>
      </c>
      <c r="D2092" s="16" t="s">
        <v>184</v>
      </c>
      <c r="E2092" s="16" t="s">
        <v>325</v>
      </c>
      <c r="F2092" s="16" t="s">
        <v>255</v>
      </c>
      <c r="G2092" s="16" t="s">
        <v>220</v>
      </c>
      <c r="H2092" s="16" t="s">
        <v>220</v>
      </c>
    </row>
    <row r="2093" ht="20.25" customHeight="1">
      <c r="A2093" s="32" t="str">
        <f>IMAGE("https://gymvisual.com/22269-catalog_default/elevated-standing-single-leg-calf-raise.jpg",4,500,500)</f>
        <v/>
      </c>
      <c r="B2093" s="30">
        <v>2092.0</v>
      </c>
      <c r="C2093" s="16" t="s">
        <v>2713</v>
      </c>
      <c r="D2093" s="16" t="s">
        <v>184</v>
      </c>
      <c r="E2093" s="16" t="s">
        <v>325</v>
      </c>
      <c r="F2093" s="16" t="s">
        <v>255</v>
      </c>
      <c r="G2093" s="16" t="s">
        <v>220</v>
      </c>
      <c r="H2093" s="16" t="s">
        <v>220</v>
      </c>
    </row>
    <row r="2094" ht="20.25" customHeight="1">
      <c r="A2094" s="32" t="str">
        <f>IMAGE("https://gymvisual.com/13521-catalog_default/elevator.jpg",4,500,500)</f>
        <v/>
      </c>
      <c r="B2094" s="30">
        <v>2093.0</v>
      </c>
      <c r="C2094" s="16" t="s">
        <v>2714</v>
      </c>
      <c r="D2094" s="16" t="s">
        <v>184</v>
      </c>
      <c r="E2094" s="16" t="s">
        <v>192</v>
      </c>
      <c r="F2094" s="16" t="s">
        <v>255</v>
      </c>
      <c r="G2094" s="16" t="s">
        <v>220</v>
      </c>
      <c r="H2094" s="16" t="s">
        <v>220</v>
      </c>
    </row>
    <row r="2095" ht="20.25" customHeight="1">
      <c r="A2095" s="32" t="str">
        <f>IMAGE("https://gymvisual.com/6023-catalog_default/exercise-ball-alternating-arm-ups.jpg",4,500,500)</f>
        <v/>
      </c>
      <c r="B2095" s="30">
        <v>2094.0</v>
      </c>
      <c r="C2095" s="16" t="s">
        <v>2715</v>
      </c>
      <c r="D2095" s="16" t="s">
        <v>184</v>
      </c>
      <c r="E2095" s="16" t="s">
        <v>192</v>
      </c>
      <c r="F2095" s="16" t="s">
        <v>399</v>
      </c>
      <c r="G2095" s="16" t="s">
        <v>300</v>
      </c>
      <c r="H2095" s="16" t="s">
        <v>2716</v>
      </c>
    </row>
    <row r="2096" ht="20.25" customHeight="1">
      <c r="A2096" s="32" t="str">
        <f>IMAGE("https://gymvisual.com/6024-catalog_default/exercise-ball-back-extension-with-arms-extended.jpg",4,500,500)</f>
        <v/>
      </c>
      <c r="B2096" s="30">
        <v>2095.0</v>
      </c>
      <c r="C2096" s="16" t="s">
        <v>2717</v>
      </c>
      <c r="D2096" s="16" t="s">
        <v>184</v>
      </c>
      <c r="E2096" s="16" t="s">
        <v>192</v>
      </c>
      <c r="F2096" s="16" t="s">
        <v>399</v>
      </c>
      <c r="G2096" s="16" t="s">
        <v>275</v>
      </c>
      <c r="H2096" s="16" t="s">
        <v>187</v>
      </c>
    </row>
    <row r="2097" ht="20.25" customHeight="1">
      <c r="A2097" s="32" t="str">
        <f>IMAGE("https://gymvisual.com/6025-catalog_default/exercise-ball-back-extension-with-hands-behind-head.jpg",4,500,500)</f>
        <v/>
      </c>
      <c r="B2097" s="30">
        <v>2096.0</v>
      </c>
      <c r="C2097" s="16" t="s">
        <v>2718</v>
      </c>
      <c r="D2097" s="16" t="s">
        <v>184</v>
      </c>
      <c r="E2097" s="16" t="s">
        <v>192</v>
      </c>
      <c r="F2097" s="16" t="s">
        <v>399</v>
      </c>
      <c r="G2097" s="16" t="s">
        <v>275</v>
      </c>
      <c r="H2097" s="16" t="s">
        <v>187</v>
      </c>
    </row>
    <row r="2098" ht="20.25" customHeight="1">
      <c r="A2098" s="32" t="str">
        <f>IMAGE("https://gymvisual.com/12060-catalog_default/exercise-ball-back-extension-with-hands-behind-head-female.jpg",4,500,500)</f>
        <v/>
      </c>
      <c r="B2098" s="30">
        <v>2097.0</v>
      </c>
      <c r="C2098" s="16" t="s">
        <v>2719</v>
      </c>
      <c r="D2098" s="16" t="s">
        <v>184</v>
      </c>
      <c r="E2098" s="16" t="s">
        <v>192</v>
      </c>
      <c r="F2098" s="16" t="s">
        <v>399</v>
      </c>
      <c r="G2098" s="16" t="s">
        <v>275</v>
      </c>
      <c r="H2098" s="16" t="s">
        <v>187</v>
      </c>
    </row>
    <row r="2099" ht="20.25" customHeight="1">
      <c r="A2099" s="32" t="str">
        <f>IMAGE("https://gymvisual.com/6026-catalog_default/exercise-ball-back-extension-with-knees-off-ground.jpg",4,500,500)</f>
        <v/>
      </c>
      <c r="B2099" s="30">
        <v>2098.0</v>
      </c>
      <c r="C2099" s="16" t="s">
        <v>2720</v>
      </c>
      <c r="D2099" s="16" t="s">
        <v>184</v>
      </c>
      <c r="E2099" s="16" t="s">
        <v>192</v>
      </c>
      <c r="F2099" s="16" t="s">
        <v>399</v>
      </c>
      <c r="G2099" s="16" t="s">
        <v>275</v>
      </c>
      <c r="H2099" s="16" t="s">
        <v>187</v>
      </c>
    </row>
    <row r="2100" ht="20.25" customHeight="1">
      <c r="A2100" s="32" t="str">
        <f>IMAGE("https://gymvisual.com/6027-catalog_default/exercise-ball-back-extension-with-rotation.jpg",4,500,500)</f>
        <v/>
      </c>
      <c r="B2100" s="30">
        <v>2099.0</v>
      </c>
      <c r="C2100" s="16" t="s">
        <v>2721</v>
      </c>
      <c r="D2100" s="16" t="s">
        <v>184</v>
      </c>
      <c r="E2100" s="16" t="s">
        <v>192</v>
      </c>
      <c r="F2100" s="16" t="s">
        <v>399</v>
      </c>
      <c r="G2100" s="16" t="s">
        <v>275</v>
      </c>
      <c r="H2100" s="16" t="s">
        <v>2722</v>
      </c>
    </row>
    <row r="2101" ht="20.25" customHeight="1">
      <c r="A2101" s="32" t="str">
        <f>IMAGE("https://gymvisual.com/17721-catalog_default/exercise-ball-body-saw.jpg",4,500,500)</f>
        <v/>
      </c>
      <c r="B2101" s="30">
        <v>2100.0</v>
      </c>
      <c r="C2101" s="16" t="s">
        <v>2723</v>
      </c>
      <c r="D2101" s="16" t="s">
        <v>184</v>
      </c>
      <c r="E2101" s="16" t="s">
        <v>254</v>
      </c>
      <c r="F2101" s="16" t="s">
        <v>399</v>
      </c>
      <c r="G2101" s="16" t="s">
        <v>220</v>
      </c>
      <c r="H2101" s="16" t="s">
        <v>220</v>
      </c>
    </row>
    <row r="2102" ht="20.25" customHeight="1">
      <c r="A2102" s="32" t="str">
        <f>IMAGE("https://gymvisual.com/7463-catalog_default/exercise-ball-dip.jpg",4,500,500)</f>
        <v/>
      </c>
      <c r="B2102" s="30">
        <v>2101.0</v>
      </c>
      <c r="C2102" s="16" t="s">
        <v>2724</v>
      </c>
      <c r="D2102" s="16" t="s">
        <v>184</v>
      </c>
      <c r="E2102" s="16" t="s">
        <v>219</v>
      </c>
      <c r="F2102" s="16" t="s">
        <v>399</v>
      </c>
      <c r="G2102" s="16" t="s">
        <v>220</v>
      </c>
      <c r="H2102" s="16" t="s">
        <v>220</v>
      </c>
    </row>
    <row r="2103" ht="20.25" customHeight="1">
      <c r="A2103" s="32" t="str">
        <f>IMAGE("https://gymvisual.com/10611-catalog_default/exercise-ball-frog-crunch-female.jpg",4,500,500)</f>
        <v/>
      </c>
      <c r="B2103" s="30">
        <v>2102.0</v>
      </c>
      <c r="C2103" s="16" t="s">
        <v>2725</v>
      </c>
      <c r="D2103" s="16" t="s">
        <v>184</v>
      </c>
      <c r="E2103" s="16" t="s">
        <v>254</v>
      </c>
      <c r="F2103" s="16" t="s">
        <v>399</v>
      </c>
      <c r="G2103" s="16" t="s">
        <v>256</v>
      </c>
      <c r="H2103" s="16" t="s">
        <v>317</v>
      </c>
    </row>
    <row r="2104" ht="20.25" customHeight="1">
      <c r="A2104" s="32" t="str">
        <f>IMAGE("https://gymvisual.com/22847-catalog_default/exercise-ball-leg-curl.jpg",4,500,500)</f>
        <v/>
      </c>
      <c r="B2104" s="30">
        <v>2103.0</v>
      </c>
      <c r="C2104" s="16" t="s">
        <v>2726</v>
      </c>
      <c r="D2104" s="16" t="s">
        <v>184</v>
      </c>
      <c r="E2104" s="16" t="s">
        <v>285</v>
      </c>
      <c r="F2104" s="16" t="s">
        <v>399</v>
      </c>
      <c r="G2104" s="16" t="s">
        <v>188</v>
      </c>
      <c r="H2104" s="16" t="s">
        <v>665</v>
      </c>
    </row>
    <row r="2105" ht="20.25" customHeight="1">
      <c r="A2105" s="32" t="str">
        <f>IMAGE("https://gymvisual.com/6079-catalog_default/exercise-ball-on-the-wall-calf-raise.jpg",4,500,500)</f>
        <v/>
      </c>
      <c r="B2105" s="30">
        <v>2104.0</v>
      </c>
      <c r="C2105" s="16" t="s">
        <v>2727</v>
      </c>
      <c r="D2105" s="16" t="s">
        <v>184</v>
      </c>
      <c r="E2105" s="16" t="s">
        <v>325</v>
      </c>
      <c r="F2105" s="16" t="s">
        <v>222</v>
      </c>
      <c r="G2105" s="16" t="s">
        <v>368</v>
      </c>
      <c r="H2105" s="16" t="s">
        <v>463</v>
      </c>
    </row>
    <row r="2106" ht="20.25" customHeight="1">
      <c r="A2106" s="32" t="str">
        <f>IMAGE("https://gymvisual.com/13507-catalog_default/exercise-ball-on-the-wall-calf-raise-tennis-ball-between-ankles.jpg",4,500,500)</f>
        <v/>
      </c>
      <c r="B2106" s="30">
        <v>2105.0</v>
      </c>
      <c r="C2106" s="16" t="s">
        <v>2728</v>
      </c>
      <c r="D2106" s="16" t="s">
        <v>184</v>
      </c>
      <c r="E2106" s="16" t="s">
        <v>325</v>
      </c>
      <c r="F2106" s="16" t="s">
        <v>222</v>
      </c>
      <c r="G2106" s="16" t="s">
        <v>368</v>
      </c>
      <c r="H2106" s="16" t="s">
        <v>463</v>
      </c>
    </row>
    <row r="2107" ht="20.25" customHeight="1">
      <c r="A2107" s="32" t="str">
        <f>IMAGE("https://gymvisual.com/13505-catalog_default/exercise-ball-on-the-wall-calf-raise-tennis-ball-between-knees.jpg",4,500,500)</f>
        <v/>
      </c>
      <c r="B2107" s="30">
        <v>2106.0</v>
      </c>
      <c r="C2107" s="16" t="s">
        <v>2729</v>
      </c>
      <c r="D2107" s="16" t="s">
        <v>184</v>
      </c>
      <c r="E2107" s="16" t="s">
        <v>325</v>
      </c>
      <c r="F2107" s="16" t="s">
        <v>222</v>
      </c>
      <c r="G2107" s="16" t="s">
        <v>368</v>
      </c>
      <c r="H2107" s="16" t="s">
        <v>463</v>
      </c>
    </row>
    <row r="2108" ht="20.25" customHeight="1">
      <c r="A2108" s="32" t="str">
        <f>IMAGE("https://gymvisual.com/6268-catalog_default/exercise-ball-one-leg-prone-lower-body-rotation.jpg",4,500,500)</f>
        <v/>
      </c>
      <c r="B2108" s="30">
        <v>2107.0</v>
      </c>
      <c r="C2108" s="16" t="s">
        <v>2730</v>
      </c>
      <c r="D2108" s="16" t="s">
        <v>184</v>
      </c>
      <c r="E2108" s="16" t="s">
        <v>185</v>
      </c>
      <c r="F2108" s="16" t="s">
        <v>399</v>
      </c>
      <c r="G2108" s="16" t="s">
        <v>475</v>
      </c>
      <c r="H2108" s="16" t="s">
        <v>2731</v>
      </c>
    </row>
    <row r="2109" ht="20.25" customHeight="1">
      <c r="A2109" s="32" t="str">
        <f>IMAGE("https://gymvisual.com/6269-catalog_default/exercise-ball-one-legged-diagonal-kick-hamstring-curl.jpg",4,500,500)</f>
        <v/>
      </c>
      <c r="B2109" s="30">
        <v>2108.0</v>
      </c>
      <c r="C2109" s="16" t="s">
        <v>2732</v>
      </c>
      <c r="D2109" s="16" t="s">
        <v>184</v>
      </c>
      <c r="E2109" s="16" t="s">
        <v>185</v>
      </c>
      <c r="F2109" s="16" t="s">
        <v>399</v>
      </c>
      <c r="G2109" s="16" t="s">
        <v>187</v>
      </c>
      <c r="H2109" s="16" t="s">
        <v>2733</v>
      </c>
    </row>
    <row r="2110" ht="20.25" customHeight="1">
      <c r="A2110" s="32" t="str">
        <f>IMAGE("https://gymvisual.com/12064-catalog_default/exercise-ball-one-legged-diagonal-kick-hamstring-curl-female.jpg",4,500,500)</f>
        <v/>
      </c>
      <c r="B2110" s="30">
        <v>2109.0</v>
      </c>
      <c r="C2110" s="16" t="s">
        <v>2734</v>
      </c>
      <c r="D2110" s="16" t="s">
        <v>184</v>
      </c>
      <c r="E2110" s="16" t="s">
        <v>185</v>
      </c>
      <c r="F2110" s="16" t="s">
        <v>399</v>
      </c>
      <c r="G2110" s="16" t="s">
        <v>220</v>
      </c>
      <c r="H2110" s="16" t="s">
        <v>220</v>
      </c>
    </row>
    <row r="2111" ht="20.25" customHeight="1">
      <c r="A2111" s="32" t="str">
        <f>IMAGE("https://gymvisual.com/5985-catalog_default/exercise-ball-pike-push-up.jpg",4,500,500)</f>
        <v/>
      </c>
      <c r="B2111" s="30">
        <v>2110.0</v>
      </c>
      <c r="C2111" s="16" t="s">
        <v>2735</v>
      </c>
      <c r="D2111" s="16" t="s">
        <v>184</v>
      </c>
      <c r="E2111" s="16" t="s">
        <v>234</v>
      </c>
      <c r="F2111" s="16" t="s">
        <v>399</v>
      </c>
      <c r="G2111" s="16" t="s">
        <v>2736</v>
      </c>
      <c r="H2111" s="16" t="s">
        <v>382</v>
      </c>
    </row>
    <row r="2112" ht="20.25" customHeight="1">
      <c r="A2112" s="32" t="str">
        <f>IMAGE("https://gymvisual.com/6034-catalog_default/exercise-ball-prone-leg-raise.jpg",4,500,500)</f>
        <v/>
      </c>
      <c r="B2112" s="30">
        <v>2111.0</v>
      </c>
      <c r="C2112" s="16" t="s">
        <v>2737</v>
      </c>
      <c r="D2112" s="16" t="s">
        <v>184</v>
      </c>
      <c r="E2112" s="16" t="s">
        <v>192</v>
      </c>
      <c r="F2112" s="16" t="s">
        <v>399</v>
      </c>
      <c r="G2112" s="16" t="s">
        <v>2738</v>
      </c>
      <c r="H2112" s="16" t="s">
        <v>2739</v>
      </c>
    </row>
    <row r="2113" ht="20.25" customHeight="1">
      <c r="A2113" s="32" t="str">
        <f>IMAGE("https://gymvisual.com/20984-catalog_default/exercise-ball-serratus-wall-slide.jpg",4,500,500)</f>
        <v/>
      </c>
      <c r="B2113" s="30">
        <v>2112.0</v>
      </c>
      <c r="C2113" s="16" t="s">
        <v>2740</v>
      </c>
      <c r="D2113" s="16" t="s">
        <v>184</v>
      </c>
      <c r="E2113" s="16" t="s">
        <v>234</v>
      </c>
      <c r="F2113" s="16" t="s">
        <v>255</v>
      </c>
      <c r="G2113" s="16" t="s">
        <v>389</v>
      </c>
      <c r="H2113" s="16" t="s">
        <v>229</v>
      </c>
    </row>
    <row r="2114" ht="20.25" customHeight="1">
      <c r="A2114" s="32" t="str">
        <f>IMAGE("https://gymvisual.com/7465-catalog_default/exercise-ball-supine-triceps-extension.jpg",4,500,500)</f>
        <v/>
      </c>
      <c r="B2114" s="30">
        <v>2113.0</v>
      </c>
      <c r="C2114" s="16" t="s">
        <v>2741</v>
      </c>
      <c r="D2114" s="16" t="s">
        <v>184</v>
      </c>
      <c r="E2114" s="16" t="s">
        <v>219</v>
      </c>
      <c r="F2114" s="16" t="s">
        <v>222</v>
      </c>
      <c r="G2114" s="16" t="s">
        <v>220</v>
      </c>
      <c r="H2114" s="16" t="s">
        <v>220</v>
      </c>
    </row>
    <row r="2115" ht="20.25" customHeight="1">
      <c r="A2115" s="32" t="str">
        <f>IMAGE("https://gymvisual.com/6809-catalog_default/exercise-ball-wall-squat.jpg",4,500,500)</f>
        <v/>
      </c>
      <c r="B2115" s="30">
        <v>2114.0</v>
      </c>
      <c r="C2115" s="16" t="s">
        <v>2742</v>
      </c>
      <c r="D2115" s="16" t="s">
        <v>184</v>
      </c>
      <c r="E2115" s="16" t="s">
        <v>285</v>
      </c>
      <c r="F2115" s="16" t="s">
        <v>399</v>
      </c>
      <c r="G2115" s="16" t="s">
        <v>189</v>
      </c>
      <c r="H2115" s="16" t="s">
        <v>190</v>
      </c>
    </row>
    <row r="2116" ht="20.25" customHeight="1">
      <c r="A2116" s="32" t="str">
        <f>IMAGE("https://gymvisual.com/7716-catalog_default/extra-decline-sit-up.jpg",4,500,500)</f>
        <v/>
      </c>
      <c r="B2116" s="30">
        <v>2115.0</v>
      </c>
      <c r="C2116" s="16" t="s">
        <v>2743</v>
      </c>
      <c r="D2116" s="16" t="s">
        <v>184</v>
      </c>
      <c r="E2116" s="16" t="s">
        <v>254</v>
      </c>
      <c r="F2116" s="16" t="s">
        <v>255</v>
      </c>
      <c r="G2116" s="16" t="s">
        <v>220</v>
      </c>
      <c r="H2116" s="16" t="s">
        <v>220</v>
      </c>
    </row>
    <row r="2117" ht="20.25" customHeight="1">
      <c r="A2117" s="32" t="str">
        <f>IMAGE("https://gymvisual.com/13443-catalog_default/ez-bar-biceps-curl-with-arm-blaster-female.jpg",4,500,500)</f>
        <v/>
      </c>
      <c r="B2117" s="30">
        <v>2116.0</v>
      </c>
      <c r="C2117" s="16" t="s">
        <v>2744</v>
      </c>
      <c r="D2117" s="16" t="s">
        <v>184</v>
      </c>
      <c r="E2117" s="16" t="s">
        <v>219</v>
      </c>
      <c r="F2117" s="16" t="s">
        <v>2745</v>
      </c>
      <c r="G2117" s="16" t="s">
        <v>220</v>
      </c>
      <c r="H2117" s="16" t="s">
        <v>220</v>
      </c>
    </row>
    <row r="2118" ht="20.25" customHeight="1">
      <c r="A2118" s="32" t="str">
        <f>IMAGE("https://gymvisual.com/17961-catalog_default/ez-bar-california-skullcrusher-male.jpg",4,500,500)</f>
        <v/>
      </c>
      <c r="B2118" s="30">
        <v>2117.0</v>
      </c>
      <c r="C2118" s="16" t="s">
        <v>2746</v>
      </c>
      <c r="D2118" s="16" t="s">
        <v>184</v>
      </c>
      <c r="E2118" s="16" t="s">
        <v>219</v>
      </c>
      <c r="F2118" s="16" t="s">
        <v>2745</v>
      </c>
      <c r="G2118" s="16" t="s">
        <v>220</v>
      </c>
      <c r="H2118" s="16" t="s">
        <v>220</v>
      </c>
    </row>
    <row r="2119" ht="20.25" customHeight="1">
      <c r="A2119" s="32" t="str">
        <f>IMAGE("https://gymvisual.com/7466-catalog_default/ez-bar-french-press-on-exercise-ball.jpg",4,500,500)</f>
        <v/>
      </c>
      <c r="B2119" s="30">
        <v>2118.0</v>
      </c>
      <c r="C2119" s="16" t="s">
        <v>2747</v>
      </c>
      <c r="D2119" s="16" t="s">
        <v>184</v>
      </c>
      <c r="E2119" s="16" t="s">
        <v>219</v>
      </c>
      <c r="F2119" s="16" t="s">
        <v>2745</v>
      </c>
      <c r="G2119" s="16" t="s">
        <v>220</v>
      </c>
      <c r="H2119" s="16" t="s">
        <v>220</v>
      </c>
    </row>
    <row r="2120" ht="20.25" customHeight="1">
      <c r="A2120" s="32" t="str">
        <f>IMAGE("https://gymvisual.com/12474-catalog_default/ez-bar-lying-bent-arms-pullover.jpg",4,500,500)</f>
        <v/>
      </c>
      <c r="B2120" s="30">
        <v>2119.0</v>
      </c>
      <c r="C2120" s="16" t="s">
        <v>2748</v>
      </c>
      <c r="D2120" s="16" t="s">
        <v>184</v>
      </c>
      <c r="E2120" s="16" t="s">
        <v>192</v>
      </c>
      <c r="F2120" s="16" t="s">
        <v>2745</v>
      </c>
      <c r="G2120" s="16" t="s">
        <v>300</v>
      </c>
      <c r="H2120" s="16" t="s">
        <v>1533</v>
      </c>
    </row>
    <row r="2121" ht="20.25" customHeight="1">
      <c r="A2121" s="32" t="str">
        <f>IMAGE("https://gymvisual.com/7467-catalog_default/ez-bar-lying-close-grip-triceps-extension-behind-head.jpg",4,500,500)</f>
        <v/>
      </c>
      <c r="B2121" s="30">
        <v>2120.0</v>
      </c>
      <c r="C2121" s="16" t="s">
        <v>2749</v>
      </c>
      <c r="D2121" s="16" t="s">
        <v>184</v>
      </c>
      <c r="E2121" s="16" t="s">
        <v>219</v>
      </c>
      <c r="F2121" s="16" t="s">
        <v>2745</v>
      </c>
      <c r="G2121" s="16" t="s">
        <v>220</v>
      </c>
      <c r="H2121" s="16" t="s">
        <v>220</v>
      </c>
    </row>
    <row r="2122" ht="20.25" customHeight="1">
      <c r="A2122" s="32" t="str">
        <f>IMAGE("https://gymvisual.com/6035-catalog_default/ez-bar-reverse-grip-bent-over-row.jpg",4,500,500)</f>
        <v/>
      </c>
      <c r="B2122" s="30">
        <v>2121.0</v>
      </c>
      <c r="C2122" s="16" t="s">
        <v>2750</v>
      </c>
      <c r="D2122" s="16" t="s">
        <v>184</v>
      </c>
      <c r="E2122" s="16" t="s">
        <v>192</v>
      </c>
      <c r="F2122" s="16" t="s">
        <v>2745</v>
      </c>
      <c r="G2122" s="16" t="s">
        <v>329</v>
      </c>
      <c r="H2122" s="16" t="s">
        <v>457</v>
      </c>
    </row>
    <row r="2123" ht="20.25" customHeight="1">
      <c r="A2123" s="32" t="str">
        <f>IMAGE("https://gymvisual.com/7155-catalog_default/ez-bar-seated-close-grip-concentration-curl.jpg",4,500,500)</f>
        <v/>
      </c>
      <c r="B2123" s="30">
        <v>2122.0</v>
      </c>
      <c r="C2123" s="16" t="s">
        <v>2751</v>
      </c>
      <c r="D2123" s="16" t="s">
        <v>184</v>
      </c>
      <c r="E2123" s="16" t="s">
        <v>219</v>
      </c>
      <c r="F2123" s="16" t="s">
        <v>2745</v>
      </c>
      <c r="G2123" s="16" t="s">
        <v>232</v>
      </c>
      <c r="H2123" s="16" t="s">
        <v>233</v>
      </c>
    </row>
    <row r="2124" ht="20.25" customHeight="1">
      <c r="A2124" s="32" t="str">
        <f>IMAGE("https://gymvisual.com/7468-catalog_default/ez-bar-standing-french-press.jpg",4,500,500)</f>
        <v/>
      </c>
      <c r="B2124" s="30">
        <v>2123.0</v>
      </c>
      <c r="C2124" s="16" t="s">
        <v>2752</v>
      </c>
      <c r="D2124" s="16" t="s">
        <v>184</v>
      </c>
      <c r="E2124" s="16" t="s">
        <v>219</v>
      </c>
      <c r="F2124" s="16" t="s">
        <v>2745</v>
      </c>
      <c r="G2124" s="16" t="s">
        <v>223</v>
      </c>
      <c r="H2124" s="16" t="s">
        <v>220</v>
      </c>
    </row>
    <row r="2125" ht="20.25" customHeight="1">
      <c r="A2125" s="32" t="str">
        <f>IMAGE("https://gymvisual.com/1353-catalog_default/3-4-sit-up.jpg",4,500,500)</f>
        <v/>
      </c>
      <c r="B2125" s="30">
        <v>2124.0</v>
      </c>
      <c r="C2125" s="16" t="s">
        <v>2753</v>
      </c>
      <c r="D2125" s="16" t="s">
        <v>184</v>
      </c>
      <c r="E2125" s="16" t="s">
        <v>228</v>
      </c>
      <c r="F2125" s="16" t="s">
        <v>2745</v>
      </c>
      <c r="G2125" s="16" t="s">
        <v>2754</v>
      </c>
      <c r="H2125" s="16" t="s">
        <v>2755</v>
      </c>
    </row>
    <row r="2126" ht="20.25" customHeight="1">
      <c r="A2126" s="32" t="str">
        <f>IMAGE("https://gymvisual.com/14270-catalog_default/ez-barbell-anti-gravity-press-female.jpg",4,500,500)</f>
        <v/>
      </c>
      <c r="B2126" s="30">
        <v>2125.0</v>
      </c>
      <c r="C2126" s="16" t="s">
        <v>2756</v>
      </c>
      <c r="D2126" s="16" t="s">
        <v>184</v>
      </c>
      <c r="E2126" s="16" t="s">
        <v>228</v>
      </c>
      <c r="F2126" s="16" t="s">
        <v>2745</v>
      </c>
      <c r="G2126" s="16" t="s">
        <v>2754</v>
      </c>
      <c r="H2126" s="16" t="s">
        <v>2755</v>
      </c>
    </row>
    <row r="2127" ht="20.25" customHeight="1">
      <c r="A2127" s="32" t="str">
        <f>IMAGE("https://gymvisual.com/11068-catalog_default/ez-barbell-close-grip-curl-female.jpg",4,500,500)</f>
        <v/>
      </c>
      <c r="B2127" s="30">
        <v>2126.0</v>
      </c>
      <c r="C2127" s="16" t="s">
        <v>2757</v>
      </c>
      <c r="D2127" s="16" t="s">
        <v>184</v>
      </c>
      <c r="E2127" s="16" t="s">
        <v>219</v>
      </c>
      <c r="F2127" s="16" t="s">
        <v>2745</v>
      </c>
      <c r="G2127" s="16" t="s">
        <v>241</v>
      </c>
      <c r="H2127" s="16" t="s">
        <v>292</v>
      </c>
    </row>
    <row r="2128" ht="20.25" customHeight="1">
      <c r="A2128" s="32" t="str">
        <f>IMAGE("https://gymvisual.com/12072-catalog_default/ez-barbell-close-grip-preacher-curl.jpg",4,500,500)</f>
        <v/>
      </c>
      <c r="B2128" s="30">
        <v>2127.0</v>
      </c>
      <c r="C2128" s="16" t="s">
        <v>2758</v>
      </c>
      <c r="D2128" s="16" t="s">
        <v>184</v>
      </c>
      <c r="E2128" s="16" t="s">
        <v>219</v>
      </c>
      <c r="F2128" s="16" t="s">
        <v>2745</v>
      </c>
      <c r="G2128" s="16" t="s">
        <v>232</v>
      </c>
      <c r="H2128" s="16" t="s">
        <v>233</v>
      </c>
    </row>
    <row r="2129" ht="20.25" customHeight="1">
      <c r="A2129" s="32" t="str">
        <f>IMAGE("https://gymvisual.com/4610-catalog_default/3-4-sit-up.jpg",4,500,500)</f>
        <v/>
      </c>
      <c r="B2129" s="30">
        <v>2128.0</v>
      </c>
      <c r="C2129" s="16" t="s">
        <v>2759</v>
      </c>
      <c r="D2129" s="16" t="s">
        <v>184</v>
      </c>
      <c r="E2129" s="16" t="s">
        <v>219</v>
      </c>
      <c r="F2129" s="16" t="s">
        <v>2745</v>
      </c>
      <c r="G2129" s="16" t="s">
        <v>232</v>
      </c>
      <c r="H2129" s="16" t="s">
        <v>233</v>
      </c>
    </row>
    <row r="2130" ht="20.25" customHeight="1">
      <c r="A2130" s="32" t="str">
        <f>IMAGE("https://gymvisual.com/2598-catalog_default/3-4-sit-up.jpg",4,500,500)</f>
        <v/>
      </c>
      <c r="B2130" s="30">
        <v>2129.0</v>
      </c>
      <c r="C2130" s="16" t="s">
        <v>2760</v>
      </c>
      <c r="D2130" s="16" t="s">
        <v>184</v>
      </c>
      <c r="E2130" s="16" t="s">
        <v>219</v>
      </c>
      <c r="F2130" s="16" t="s">
        <v>2745</v>
      </c>
      <c r="G2130" s="16" t="s">
        <v>241</v>
      </c>
      <c r="H2130" s="16" t="s">
        <v>292</v>
      </c>
    </row>
    <row r="2131" ht="20.25" customHeight="1">
      <c r="A2131" s="32" t="str">
        <f>IMAGE("https://gymvisual.com/9628-catalog_default/ez-barbell-curl-female.jpg",4,500,500)</f>
        <v/>
      </c>
      <c r="B2131" s="30">
        <v>2130.0</v>
      </c>
      <c r="C2131" s="16" t="s">
        <v>2761</v>
      </c>
      <c r="D2131" s="16" t="s">
        <v>184</v>
      </c>
      <c r="E2131" s="16" t="s">
        <v>219</v>
      </c>
      <c r="F2131" s="16" t="s">
        <v>2745</v>
      </c>
      <c r="G2131" s="16" t="s">
        <v>241</v>
      </c>
      <c r="H2131" s="16" t="s">
        <v>292</v>
      </c>
    </row>
    <row r="2132" ht="20.25" customHeight="1">
      <c r="A2132" s="32" t="str">
        <f>IMAGE("https://gymvisual.com/15653-catalog_default/3-4-sit-up.jpg",4,500,500)</f>
        <v/>
      </c>
      <c r="B2132" s="30">
        <v>2131.0</v>
      </c>
      <c r="C2132" s="16" t="s">
        <v>2762</v>
      </c>
      <c r="D2132" s="16" t="s">
        <v>184</v>
      </c>
      <c r="E2132" s="16" t="s">
        <v>219</v>
      </c>
      <c r="F2132" s="16" t="s">
        <v>2745</v>
      </c>
      <c r="G2132" s="16" t="s">
        <v>223</v>
      </c>
      <c r="H2132" s="16" t="s">
        <v>292</v>
      </c>
    </row>
    <row r="2133" ht="20.25" customHeight="1">
      <c r="A2133" s="32" t="str">
        <f>IMAGE("https://gymvisual.com/12054-catalog_default/ez-barbell-decline-close-grip-face-press-female.jpg",4,500,500)</f>
        <v/>
      </c>
      <c r="B2133" s="30">
        <v>2132.0</v>
      </c>
      <c r="C2133" s="16" t="s">
        <v>2763</v>
      </c>
      <c r="D2133" s="16" t="s">
        <v>184</v>
      </c>
      <c r="E2133" s="16" t="s">
        <v>219</v>
      </c>
      <c r="F2133" s="16" t="s">
        <v>2745</v>
      </c>
      <c r="G2133" s="16" t="s">
        <v>220</v>
      </c>
      <c r="H2133" s="16" t="s">
        <v>220</v>
      </c>
    </row>
    <row r="2134" ht="20.25" customHeight="1">
      <c r="A2134" s="32" t="str">
        <f>IMAGE("https://gymvisual.com/8821-catalog_default/ez-barbell-decline-triceps-extension.jpg",4,500,500)</f>
        <v/>
      </c>
      <c r="B2134" s="30">
        <v>2133.0</v>
      </c>
      <c r="C2134" s="16" t="s">
        <v>2764</v>
      </c>
      <c r="D2134" s="16" t="s">
        <v>184</v>
      </c>
      <c r="E2134" s="16" t="s">
        <v>219</v>
      </c>
      <c r="F2134" s="16" t="s">
        <v>2745</v>
      </c>
      <c r="G2134" s="16" t="s">
        <v>223</v>
      </c>
      <c r="H2134" s="16" t="s">
        <v>220</v>
      </c>
    </row>
    <row r="2135" ht="20.25" customHeight="1">
      <c r="A2135" s="32" t="str">
        <f>IMAGE("https://gymvisual.com/1365-catalog_default/3-4-sit-up.jpg",4,500,500)</f>
        <v/>
      </c>
      <c r="B2135" s="30">
        <v>2134.0</v>
      </c>
      <c r="C2135" s="16" t="s">
        <v>2765</v>
      </c>
      <c r="D2135" s="16" t="s">
        <v>184</v>
      </c>
      <c r="E2135" s="16" t="s">
        <v>219</v>
      </c>
      <c r="F2135" s="16" t="s">
        <v>2745</v>
      </c>
      <c r="G2135" s="16" t="s">
        <v>223</v>
      </c>
      <c r="H2135" s="16" t="s">
        <v>220</v>
      </c>
    </row>
    <row r="2136" ht="20.25" customHeight="1">
      <c r="A2136" s="32" t="str">
        <f>IMAGE("https://gymvisual.com/1368-catalog_default/3-4-sit-up.jpg",4,500,500)</f>
        <v/>
      </c>
      <c r="B2136" s="30">
        <v>2135.0</v>
      </c>
      <c r="C2136" s="16" t="s">
        <v>2766</v>
      </c>
      <c r="D2136" s="16" t="s">
        <v>184</v>
      </c>
      <c r="E2136" s="16" t="s">
        <v>219</v>
      </c>
      <c r="F2136" s="16" t="s">
        <v>2745</v>
      </c>
      <c r="G2136" s="16" t="s">
        <v>223</v>
      </c>
      <c r="H2136" s="16" t="s">
        <v>472</v>
      </c>
    </row>
    <row r="2137" ht="20.25" customHeight="1">
      <c r="A2137" s="32" t="str">
        <f>IMAGE("https://gymvisual.com/1371-catalog_default/3-4-sit-up.jpg",4,500,500)</f>
        <v/>
      </c>
      <c r="B2137" s="30">
        <v>2136.0</v>
      </c>
      <c r="C2137" s="16" t="s">
        <v>2767</v>
      </c>
      <c r="D2137" s="16" t="s">
        <v>184</v>
      </c>
      <c r="E2137" s="16" t="s">
        <v>214</v>
      </c>
      <c r="F2137" s="16" t="s">
        <v>2745</v>
      </c>
      <c r="G2137" s="16" t="s">
        <v>216</v>
      </c>
      <c r="H2137" s="16" t="s">
        <v>217</v>
      </c>
    </row>
    <row r="2138" ht="20.25" customHeight="1">
      <c r="A2138" s="32" t="str">
        <f>IMAGE("https://gymvisual.com/11065-catalog_default/ez-barbell-reverse-grip-curl-female.jpg",4,500,500)</f>
        <v/>
      </c>
      <c r="B2138" s="30">
        <v>2137.0</v>
      </c>
      <c r="C2138" s="16" t="s">
        <v>2768</v>
      </c>
      <c r="D2138" s="16" t="s">
        <v>184</v>
      </c>
      <c r="E2138" s="16" t="s">
        <v>219</v>
      </c>
      <c r="F2138" s="16" t="s">
        <v>2745</v>
      </c>
      <c r="G2138" s="16" t="s">
        <v>216</v>
      </c>
      <c r="H2138" s="16" t="s">
        <v>217</v>
      </c>
    </row>
    <row r="2139" ht="20.25" customHeight="1">
      <c r="A2139" s="32" t="str">
        <f>IMAGE("https://gymvisual.com/24993-catalog_default/3-4-sit-up.jpg",4,500,500)</f>
        <v/>
      </c>
      <c r="B2139" s="30">
        <v>2138.0</v>
      </c>
      <c r="C2139" s="16" t="s">
        <v>2769</v>
      </c>
      <c r="D2139" s="16" t="s">
        <v>184</v>
      </c>
      <c r="E2139" s="16" t="s">
        <v>214</v>
      </c>
      <c r="F2139" s="16" t="s">
        <v>2745</v>
      </c>
      <c r="G2139" s="16" t="s">
        <v>216</v>
      </c>
      <c r="H2139" s="16" t="s">
        <v>217</v>
      </c>
    </row>
    <row r="2140" ht="20.25" customHeight="1">
      <c r="A2140" s="32" t="str">
        <f>IMAGE("https://gymvisual.com/6486-catalog_default/ez-barbell-seated-curls.jpg",4,500,500)</f>
        <v/>
      </c>
      <c r="B2140" s="30">
        <v>2139.0</v>
      </c>
      <c r="C2140" s="16" t="s">
        <v>2770</v>
      </c>
      <c r="D2140" s="16" t="s">
        <v>184</v>
      </c>
      <c r="E2140" s="16" t="s">
        <v>219</v>
      </c>
      <c r="F2140" s="16" t="s">
        <v>2745</v>
      </c>
      <c r="G2140" s="16" t="s">
        <v>241</v>
      </c>
      <c r="H2140" s="16" t="s">
        <v>292</v>
      </c>
    </row>
    <row r="2141" ht="20.25" customHeight="1">
      <c r="A2141" s="32" t="str">
        <f>IMAGE("https://gymvisual.com/25073-catalog_default/3-4-sit-up.jpg",4,500,500)</f>
        <v/>
      </c>
      <c r="B2141" s="30">
        <v>2140.0</v>
      </c>
      <c r="C2141" s="16" t="s">
        <v>2771</v>
      </c>
      <c r="D2141" s="16" t="s">
        <v>184</v>
      </c>
      <c r="E2141" s="16" t="s">
        <v>219</v>
      </c>
      <c r="F2141" s="16" t="s">
        <v>2745</v>
      </c>
      <c r="G2141" s="16" t="s">
        <v>223</v>
      </c>
      <c r="H2141" s="16" t="s">
        <v>220</v>
      </c>
    </row>
    <row r="2142" ht="20.25" customHeight="1">
      <c r="A2142" s="32" t="str">
        <f>IMAGE("https://gymvisual.com/1380-catalog_default/3-4-sit-up.jpg",4,500,500)</f>
        <v/>
      </c>
      <c r="B2142" s="30">
        <v>2141.0</v>
      </c>
      <c r="C2142" s="16" t="s">
        <v>2772</v>
      </c>
      <c r="D2142" s="16" t="s">
        <v>184</v>
      </c>
      <c r="E2142" s="16" t="s">
        <v>219</v>
      </c>
      <c r="F2142" s="16" t="s">
        <v>2745</v>
      </c>
      <c r="G2142" s="16" t="s">
        <v>217</v>
      </c>
      <c r="H2142" s="16" t="s">
        <v>216</v>
      </c>
    </row>
    <row r="2143" ht="20.25" customHeight="1">
      <c r="A2143" s="32" t="str">
        <f>IMAGE("https://gymvisual.com/7103-catalog_default/ez-barbell-spider-curl.jpg",4,500,500)</f>
        <v/>
      </c>
      <c r="B2143" s="30">
        <v>2142.0</v>
      </c>
      <c r="C2143" s="16" t="s">
        <v>2772</v>
      </c>
      <c r="D2143" s="16" t="s">
        <v>184</v>
      </c>
      <c r="E2143" s="16" t="s">
        <v>219</v>
      </c>
      <c r="F2143" s="16" t="s">
        <v>2745</v>
      </c>
      <c r="G2143" s="16" t="s">
        <v>241</v>
      </c>
      <c r="H2143" s="16" t="s">
        <v>292</v>
      </c>
    </row>
    <row r="2144" ht="20.25" customHeight="1">
      <c r="A2144" s="32" t="str">
        <f>IMAGE("https://gymvisual.com/23478-catalog_default/ez-bar-21s.jpg",4,500,500)</f>
        <v/>
      </c>
      <c r="B2144" s="30">
        <v>2143.0</v>
      </c>
      <c r="C2144" s="16" t="s">
        <v>2773</v>
      </c>
      <c r="D2144" s="16" t="s">
        <v>184</v>
      </c>
      <c r="E2144" s="16" t="s">
        <v>219</v>
      </c>
      <c r="F2144" s="16" t="s">
        <v>2745</v>
      </c>
      <c r="G2144" s="16" t="s">
        <v>217</v>
      </c>
      <c r="H2144" s="16" t="s">
        <v>216</v>
      </c>
    </row>
    <row r="2145" ht="20.25" customHeight="1">
      <c r="A2145" s="32" t="str">
        <f>IMAGE("https://gymvisual.com/10457-catalog_default/ez-bar-biceps-curl-with-arm-blaster.jpg",4,500,500)</f>
        <v/>
      </c>
      <c r="B2145" s="30">
        <v>2144.0</v>
      </c>
      <c r="C2145" s="16" t="s">
        <v>2774</v>
      </c>
      <c r="D2145" s="16" t="s">
        <v>184</v>
      </c>
      <c r="E2145" s="16" t="s">
        <v>219</v>
      </c>
      <c r="F2145" s="16" t="s">
        <v>2745</v>
      </c>
      <c r="G2145" s="16" t="s">
        <v>241</v>
      </c>
      <c r="H2145" s="16" t="s">
        <v>292</v>
      </c>
    </row>
    <row r="2146" ht="20.25" customHeight="1">
      <c r="A2146" s="32" t="str">
        <f>IMAGE("https://gymvisual.com/10543-catalog_default/ez-bar-close-grip-bench-press.jpg",4,500,500)</f>
        <v/>
      </c>
      <c r="B2146" s="30">
        <v>2145.0</v>
      </c>
      <c r="C2146" s="16" t="s">
        <v>2775</v>
      </c>
      <c r="D2146" s="16" t="s">
        <v>184</v>
      </c>
      <c r="E2146" s="16" t="s">
        <v>219</v>
      </c>
      <c r="F2146" s="16" t="s">
        <v>2745</v>
      </c>
      <c r="G2146" s="16" t="s">
        <v>223</v>
      </c>
      <c r="H2146" s="16" t="s">
        <v>472</v>
      </c>
    </row>
    <row r="2147" ht="20.25" customHeight="1">
      <c r="A2147" s="32" t="str">
        <f>IMAGE("https://gymvisual.com/10546-catalog_default/ez-bar-close-grip-bench-press-female.jpg",4,500,500)</f>
        <v/>
      </c>
      <c r="B2147" s="30">
        <v>2146.0</v>
      </c>
      <c r="C2147" s="16" t="s">
        <v>2776</v>
      </c>
      <c r="D2147" s="16" t="s">
        <v>184</v>
      </c>
      <c r="E2147" s="16" t="s">
        <v>219</v>
      </c>
      <c r="F2147" s="16" t="s">
        <v>2745</v>
      </c>
      <c r="G2147" s="16" t="s">
        <v>223</v>
      </c>
      <c r="H2147" s="16" t="s">
        <v>472</v>
      </c>
    </row>
    <row r="2148" ht="20.25" customHeight="1">
      <c r="A2148" s="32" t="str">
        <f>IMAGE("https://gymvisual.com/20475-catalog_default/ez-bar-deadlift-with-biceps-curl.jpg",4,500,500)</f>
        <v/>
      </c>
      <c r="B2148" s="30">
        <v>2147.0</v>
      </c>
      <c r="C2148" s="16" t="s">
        <v>2777</v>
      </c>
      <c r="D2148" s="16" t="s">
        <v>184</v>
      </c>
      <c r="E2148" s="16" t="s">
        <v>2778</v>
      </c>
      <c r="F2148" s="16" t="s">
        <v>2745</v>
      </c>
      <c r="G2148" s="16" t="s">
        <v>2779</v>
      </c>
      <c r="H2148" s="16" t="s">
        <v>2780</v>
      </c>
    </row>
    <row r="2149" ht="20.25" customHeight="1">
      <c r="A2149" s="32" t="str">
        <f>IMAGE("https://gymvisual.com/18967-catalog_default/ez-bar-drag-bicep-curl.jpg",4,500,500)</f>
        <v/>
      </c>
      <c r="B2149" s="30">
        <v>2148.0</v>
      </c>
      <c r="C2149" s="16" t="s">
        <v>2781</v>
      </c>
      <c r="D2149" s="16" t="s">
        <v>184</v>
      </c>
      <c r="E2149" s="16" t="s">
        <v>829</v>
      </c>
      <c r="F2149" s="16" t="s">
        <v>2745</v>
      </c>
      <c r="G2149" s="16" t="s">
        <v>236</v>
      </c>
      <c r="H2149" s="16" t="s">
        <v>292</v>
      </c>
    </row>
    <row r="2150" ht="20.25" customHeight="1">
      <c r="A2150" s="32" t="str">
        <f>IMAGE("https://gymvisual.com/17395-catalog_default/ez-bar-front-twist-raise.jpg",4,500,500)</f>
        <v/>
      </c>
      <c r="B2150" s="30">
        <v>2149.0</v>
      </c>
      <c r="C2150" s="16" t="s">
        <v>2782</v>
      </c>
      <c r="D2150" s="16" t="s">
        <v>184</v>
      </c>
      <c r="E2150" s="16" t="s">
        <v>228</v>
      </c>
      <c r="F2150" s="16" t="s">
        <v>2745</v>
      </c>
      <c r="G2150" s="16" t="s">
        <v>454</v>
      </c>
      <c r="H2150" s="16" t="s">
        <v>2783</v>
      </c>
    </row>
    <row r="2151" ht="20.25" customHeight="1">
      <c r="A2151" s="32" t="str">
        <f>IMAGE("https://gymvisual.com/17401-catalog_default/ez-bar-incline-front-raise.jpg",4,500,500)</f>
        <v/>
      </c>
      <c r="B2151" s="30">
        <v>2150.0</v>
      </c>
      <c r="C2151" s="16" t="s">
        <v>2784</v>
      </c>
      <c r="D2151" s="16" t="s">
        <v>184</v>
      </c>
      <c r="E2151" s="16" t="s">
        <v>228</v>
      </c>
      <c r="F2151" s="16" t="s">
        <v>2745</v>
      </c>
      <c r="G2151" s="16" t="s">
        <v>229</v>
      </c>
      <c r="H2151" s="16" t="s">
        <v>244</v>
      </c>
    </row>
    <row r="2152" ht="20.25" customHeight="1">
      <c r="A2152" s="32" t="str">
        <f>IMAGE("https://gymvisual.com/17598-catalog_default/ez-bar-knelling-rollout.jpg",4,500,500)</f>
        <v/>
      </c>
      <c r="B2152" s="30">
        <v>2151.0</v>
      </c>
      <c r="C2152" s="16" t="s">
        <v>2785</v>
      </c>
      <c r="D2152" s="16" t="s">
        <v>184</v>
      </c>
      <c r="E2152" s="16" t="s">
        <v>254</v>
      </c>
      <c r="F2152" s="16" t="s">
        <v>2745</v>
      </c>
      <c r="G2152" s="16" t="s">
        <v>305</v>
      </c>
      <c r="H2152" s="16" t="s">
        <v>220</v>
      </c>
    </row>
    <row r="2153" ht="20.25" customHeight="1">
      <c r="A2153" s="32" t="str">
        <f>IMAGE("https://gymvisual.com/17594-catalog_default/ez-bar-legs-side-pull-in-sit-up.jpg",4,500,500)</f>
        <v/>
      </c>
      <c r="B2153" s="30">
        <v>2152.0</v>
      </c>
      <c r="C2153" s="16" t="s">
        <v>2786</v>
      </c>
      <c r="D2153" s="16" t="s">
        <v>184</v>
      </c>
      <c r="E2153" s="16" t="s">
        <v>254</v>
      </c>
      <c r="F2153" s="16" t="s">
        <v>2745</v>
      </c>
      <c r="G2153" s="16" t="s">
        <v>2640</v>
      </c>
      <c r="H2153" s="16" t="s">
        <v>220</v>
      </c>
    </row>
    <row r="2154" ht="20.25" customHeight="1">
      <c r="A2154" s="32" t="str">
        <f>IMAGE("https://gymvisual.com/17596-catalog_default/ez-bar-reverse-crunch.jpg",4,500,500)</f>
        <v/>
      </c>
      <c r="B2154" s="30">
        <v>2153.0</v>
      </c>
      <c r="C2154" s="16" t="s">
        <v>2787</v>
      </c>
      <c r="D2154" s="16" t="s">
        <v>184</v>
      </c>
      <c r="E2154" s="16" t="s">
        <v>254</v>
      </c>
      <c r="F2154" s="16" t="s">
        <v>2745</v>
      </c>
      <c r="G2154" s="16" t="s">
        <v>305</v>
      </c>
      <c r="H2154" s="16" t="s">
        <v>220</v>
      </c>
    </row>
    <row r="2155" ht="20.25" customHeight="1">
      <c r="A2155" s="32" t="str">
        <f>IMAGE("https://gymvisual.com/20815-catalog_default/ez-bar-russian-twist-sit-up.jpg",4,500,500)</f>
        <v/>
      </c>
      <c r="B2155" s="30">
        <v>2154.0</v>
      </c>
      <c r="C2155" s="16" t="s">
        <v>2788</v>
      </c>
      <c r="D2155" s="16" t="s">
        <v>184</v>
      </c>
      <c r="E2155" s="16" t="s">
        <v>254</v>
      </c>
      <c r="F2155" s="16" t="s">
        <v>2745</v>
      </c>
      <c r="G2155" s="16" t="s">
        <v>263</v>
      </c>
      <c r="H2155" s="16" t="s">
        <v>220</v>
      </c>
    </row>
    <row r="2156" ht="20.25" customHeight="1">
      <c r="A2156" s="32" t="str">
        <f>IMAGE("https://gymvisual.com/17403-catalog_default/ez-bar-seated-close-grip-shoulder-press.jpg",4,500,500)</f>
        <v/>
      </c>
      <c r="B2156" s="30">
        <v>2155.0</v>
      </c>
      <c r="C2156" s="16" t="s">
        <v>2789</v>
      </c>
      <c r="D2156" s="16" t="s">
        <v>184</v>
      </c>
      <c r="E2156" s="16" t="s">
        <v>228</v>
      </c>
      <c r="F2156" s="16" t="s">
        <v>2745</v>
      </c>
      <c r="G2156" s="16" t="s">
        <v>229</v>
      </c>
      <c r="H2156" s="16" t="s">
        <v>2790</v>
      </c>
    </row>
    <row r="2157" ht="20.25" customHeight="1">
      <c r="A2157" s="32" t="str">
        <f>IMAGE("https://gymvisual.com/20817-catalog_default/ez-bar-shoulder-press-sit-up.jpg",4,500,500)</f>
        <v/>
      </c>
      <c r="B2157" s="30">
        <v>2156.0</v>
      </c>
      <c r="C2157" s="16" t="s">
        <v>2791</v>
      </c>
      <c r="D2157" s="16" t="s">
        <v>184</v>
      </c>
      <c r="E2157" s="16" t="s">
        <v>254</v>
      </c>
      <c r="F2157" s="16" t="s">
        <v>2745</v>
      </c>
      <c r="G2157" s="16" t="s">
        <v>2792</v>
      </c>
      <c r="H2157" s="16" t="s">
        <v>220</v>
      </c>
    </row>
    <row r="2158" ht="20.25" customHeight="1">
      <c r="A2158" s="32" t="str">
        <f>IMAGE("https://gymvisual.com/4597-catalog_default/ez-bar-standing-overhead-press.jpg",4,500,500)</f>
        <v/>
      </c>
      <c r="B2158" s="30">
        <v>2157.0</v>
      </c>
      <c r="C2158" s="16" t="s">
        <v>2793</v>
      </c>
      <c r="D2158" s="16" t="s">
        <v>184</v>
      </c>
      <c r="E2158" s="16" t="s">
        <v>228</v>
      </c>
      <c r="F2158" s="16" t="s">
        <v>2745</v>
      </c>
      <c r="G2158" s="16" t="s">
        <v>229</v>
      </c>
      <c r="H2158" s="16" t="s">
        <v>626</v>
      </c>
    </row>
    <row r="2159" ht="20.25" customHeight="1">
      <c r="A2159" s="32" t="str">
        <f>IMAGE("https://gymvisual.com/17600-catalog_default/ez-bar-up-down-twist.jpg",4,500,500)</f>
        <v/>
      </c>
      <c r="B2159" s="30">
        <v>2158.0</v>
      </c>
      <c r="C2159" s="16" t="s">
        <v>2794</v>
      </c>
      <c r="D2159" s="16" t="s">
        <v>184</v>
      </c>
      <c r="E2159" s="16" t="s">
        <v>254</v>
      </c>
      <c r="F2159" s="16" t="s">
        <v>2745</v>
      </c>
      <c r="G2159" s="16" t="s">
        <v>741</v>
      </c>
      <c r="H2159" s="16" t="s">
        <v>220</v>
      </c>
    </row>
    <row r="2160" ht="20.25" customHeight="1">
      <c r="A2160" s="32" t="str">
        <f>IMAGE("https://gymvisual.com/14382-catalog_default/ez-barbell-lying-triceps-extension-female.jpg",4,500,500)</f>
        <v/>
      </c>
      <c r="B2160" s="30">
        <v>2159.0</v>
      </c>
      <c r="C2160" s="16" t="s">
        <v>2795</v>
      </c>
      <c r="D2160" s="16" t="s">
        <v>184</v>
      </c>
      <c r="E2160" s="16" t="s">
        <v>219</v>
      </c>
      <c r="F2160" s="16" t="s">
        <v>2745</v>
      </c>
      <c r="G2160" s="16" t="s">
        <v>223</v>
      </c>
      <c r="H2160" s="16" t="s">
        <v>220</v>
      </c>
    </row>
    <row r="2161" ht="20.25" customHeight="1">
      <c r="A2161" s="32" t="str">
        <f>IMAGE("https://gymvisual.com/12116-catalog_default/ez-barbell-standing-preacher-curl.jpg",4,500,500)</f>
        <v/>
      </c>
      <c r="B2161" s="30">
        <v>2160.0</v>
      </c>
      <c r="C2161" s="16" t="s">
        <v>2796</v>
      </c>
      <c r="D2161" s="16" t="s">
        <v>184</v>
      </c>
      <c r="E2161" s="16" t="s">
        <v>219</v>
      </c>
      <c r="F2161" s="16" t="s">
        <v>2745</v>
      </c>
      <c r="G2161" s="16" t="s">
        <v>241</v>
      </c>
      <c r="H2161" s="16" t="s">
        <v>292</v>
      </c>
    </row>
    <row r="2162" ht="20.25" customHeight="1">
      <c r="A2162" s="32" t="str">
        <f>IMAGE("https://gymvisual.com/11597-catalog_default/ez-barbell-standing-wide-grip-biceps-curl.jpg",4,500,500)</f>
        <v/>
      </c>
      <c r="B2162" s="30">
        <v>2161.0</v>
      </c>
      <c r="C2162" s="16" t="s">
        <v>2797</v>
      </c>
      <c r="D2162" s="16" t="s">
        <v>184</v>
      </c>
      <c r="E2162" s="16" t="s">
        <v>219</v>
      </c>
      <c r="F2162" s="16" t="s">
        <v>2745</v>
      </c>
      <c r="G2162" s="16" t="s">
        <v>241</v>
      </c>
      <c r="H2162" s="16" t="s">
        <v>292</v>
      </c>
    </row>
    <row r="2163" ht="20.25" customHeight="1">
      <c r="A2163" s="32" t="str">
        <f>IMAGE("https://gymvisual.com/1383-catalog_default/3-4-sit-up.jpg",4,500,500)</f>
        <v/>
      </c>
      <c r="B2163" s="30">
        <v>2162.0</v>
      </c>
      <c r="C2163" s="16" t="s">
        <v>2798</v>
      </c>
      <c r="D2163" s="16" t="s">
        <v>184</v>
      </c>
      <c r="E2163" s="16" t="s">
        <v>214</v>
      </c>
      <c r="F2163" s="16" t="s">
        <v>186</v>
      </c>
      <c r="G2163" s="16" t="s">
        <v>220</v>
      </c>
      <c r="H2163" s="16" t="s">
        <v>220</v>
      </c>
    </row>
    <row r="2164" ht="20.25" customHeight="1">
      <c r="A2164" s="32" t="str">
        <f>IMAGE("https://gymvisual.com/17385-catalog_default/finger-push-up.jpg",4,500,500)</f>
        <v/>
      </c>
      <c r="B2164" s="30">
        <v>2163.0</v>
      </c>
      <c r="C2164" s="16" t="s">
        <v>2799</v>
      </c>
      <c r="D2164" s="16" t="s">
        <v>184</v>
      </c>
      <c r="E2164" s="16" t="s">
        <v>234</v>
      </c>
      <c r="F2164" s="16" t="s">
        <v>255</v>
      </c>
      <c r="G2164" s="16" t="s">
        <v>235</v>
      </c>
      <c r="H2164" s="16" t="s">
        <v>2800</v>
      </c>
    </row>
    <row r="2165" ht="20.25" customHeight="1">
      <c r="A2165" s="32" t="str">
        <f>IMAGE("https://gymvisual.com/1386-catalog_default/3-4-sit-up.jpg",4,500,500)</f>
        <v/>
      </c>
      <c r="B2165" s="30">
        <v>2164.0</v>
      </c>
      <c r="C2165" s="16" t="s">
        <v>2801</v>
      </c>
      <c r="D2165" s="16" t="s">
        <v>184</v>
      </c>
      <c r="E2165" s="16" t="s">
        <v>254</v>
      </c>
      <c r="F2165" s="16" t="s">
        <v>255</v>
      </c>
      <c r="G2165" s="16" t="s">
        <v>256</v>
      </c>
      <c r="H2165" s="16" t="s">
        <v>2802</v>
      </c>
    </row>
    <row r="2166" ht="20.25" customHeight="1">
      <c r="A2166" s="32" t="str">
        <f>IMAGE("https://gymvisual.com/1389-catalog_default/3-4-sit-up.jpg",4,500,500)</f>
        <v/>
      </c>
      <c r="B2166" s="30">
        <v>2165.0</v>
      </c>
      <c r="C2166" s="16" t="s">
        <v>2803</v>
      </c>
      <c r="D2166" s="16" t="s">
        <v>184</v>
      </c>
      <c r="E2166" s="16" t="s">
        <v>254</v>
      </c>
      <c r="F2166" s="16" t="s">
        <v>255</v>
      </c>
      <c r="G2166" s="16" t="s">
        <v>256</v>
      </c>
      <c r="H2166" s="16" t="s">
        <v>2802</v>
      </c>
    </row>
    <row r="2167" ht="20.25" customHeight="1">
      <c r="A2167" s="32" t="str">
        <f>IMAGE("https://gymvisual.com/18796-catalog_default/flexion-leg-sit-up-straight-arm-female.jpg",4,500,500)</f>
        <v/>
      </c>
      <c r="B2167" s="30">
        <v>2166.0</v>
      </c>
      <c r="C2167" s="16" t="s">
        <v>2804</v>
      </c>
      <c r="D2167" s="16" t="s">
        <v>184</v>
      </c>
      <c r="E2167" s="16" t="s">
        <v>254</v>
      </c>
      <c r="F2167" s="16" t="s">
        <v>255</v>
      </c>
      <c r="G2167" s="16" t="s">
        <v>305</v>
      </c>
      <c r="H2167" s="16" t="s">
        <v>319</v>
      </c>
    </row>
    <row r="2168" ht="20.25" customHeight="1">
      <c r="A2168" s="32" t="str">
        <f>IMAGE("https://gymvisual.com/13071-catalog_default/floor-crunch-feet-on-bench-female.jpg",4,500,500)</f>
        <v/>
      </c>
      <c r="B2168" s="30">
        <v>2167.0</v>
      </c>
      <c r="C2168" s="16" t="s">
        <v>2805</v>
      </c>
      <c r="D2168" s="16" t="s">
        <v>184</v>
      </c>
      <c r="E2168" s="16" t="s">
        <v>254</v>
      </c>
      <c r="F2168" s="16" t="s">
        <v>255</v>
      </c>
      <c r="G2168" s="16" t="s">
        <v>256</v>
      </c>
      <c r="H2168" s="16" t="s">
        <v>257</v>
      </c>
    </row>
    <row r="2169" ht="20.25" customHeight="1">
      <c r="A2169" s="32" t="str">
        <f>IMAGE("https://gymvisual.com/1392-catalog_default/3-4-sit-up.jpg",4,500,500)</f>
        <v/>
      </c>
      <c r="B2169" s="30">
        <v>2168.0</v>
      </c>
      <c r="C2169" s="16" t="s">
        <v>2806</v>
      </c>
      <c r="D2169" s="16" t="s">
        <v>184</v>
      </c>
      <c r="E2169" s="16" t="s">
        <v>234</v>
      </c>
      <c r="F2169" s="16" t="s">
        <v>186</v>
      </c>
      <c r="G2169" s="16" t="s">
        <v>347</v>
      </c>
      <c r="H2169" s="16" t="s">
        <v>420</v>
      </c>
    </row>
    <row r="2170" ht="20.25" customHeight="1">
      <c r="A2170" s="32" t="str">
        <f>IMAGE("https://gymvisual.com/17195-catalog_default/floor-fly-with-towels.jpg",4,500,500)</f>
        <v/>
      </c>
      <c r="B2170" s="30">
        <v>2169.0</v>
      </c>
      <c r="C2170" s="16" t="s">
        <v>2807</v>
      </c>
      <c r="D2170" s="16" t="s">
        <v>184</v>
      </c>
      <c r="E2170" s="16" t="s">
        <v>234</v>
      </c>
      <c r="F2170" s="16" t="s">
        <v>255</v>
      </c>
      <c r="G2170" s="16" t="s">
        <v>235</v>
      </c>
      <c r="H2170" s="16" t="s">
        <v>236</v>
      </c>
    </row>
    <row r="2171" ht="20.25" customHeight="1">
      <c r="A2171" s="32" t="str">
        <f>IMAGE("https://gymvisual.com/13118-catalog_default/floor-hyperextension-female.jpg",4,500,500)</f>
        <v/>
      </c>
      <c r="B2171" s="30">
        <v>2170.0</v>
      </c>
      <c r="C2171" s="16" t="s">
        <v>2808</v>
      </c>
      <c r="D2171" s="16" t="s">
        <v>184</v>
      </c>
      <c r="E2171" s="16" t="s">
        <v>185</v>
      </c>
      <c r="F2171" s="16" t="s">
        <v>255</v>
      </c>
      <c r="G2171" s="16" t="s">
        <v>275</v>
      </c>
      <c r="H2171" s="16" t="s">
        <v>220</v>
      </c>
    </row>
    <row r="2172" ht="20.25" customHeight="1">
      <c r="A2172" s="32" t="str">
        <f>IMAGE("https://gymvisual.com/13072-catalog_default/floor-twisting-crunch-feet-on-bench-female.jpg",4,500,500)</f>
        <v/>
      </c>
      <c r="B2172" s="30">
        <v>2171.0</v>
      </c>
      <c r="C2172" s="16" t="s">
        <v>2809</v>
      </c>
      <c r="D2172" s="16" t="s">
        <v>184</v>
      </c>
      <c r="E2172" s="16" t="s">
        <v>254</v>
      </c>
      <c r="F2172" s="16" t="s">
        <v>255</v>
      </c>
      <c r="G2172" s="16" t="s">
        <v>257</v>
      </c>
      <c r="H2172" s="16" t="s">
        <v>256</v>
      </c>
    </row>
    <row r="2173" ht="20.25" customHeight="1">
      <c r="A2173" s="32" t="str">
        <f>IMAGE("https://gymvisual.com/1395-catalog_default/3-4-sit-up.jpg",4,500,500)</f>
        <v/>
      </c>
      <c r="B2173" s="30">
        <v>2172.0</v>
      </c>
      <c r="C2173" s="16" t="s">
        <v>2810</v>
      </c>
      <c r="D2173" s="16" t="s">
        <v>184</v>
      </c>
      <c r="E2173" s="16" t="s">
        <v>185</v>
      </c>
      <c r="F2173" s="16" t="s">
        <v>255</v>
      </c>
      <c r="G2173" s="16" t="s">
        <v>187</v>
      </c>
      <c r="H2173" s="16" t="s">
        <v>188</v>
      </c>
    </row>
    <row r="2174" ht="20.25" customHeight="1">
      <c r="A2174" s="32" t="str">
        <f>IMAGE("https://gymvisual.com/12082-catalog_default/flutter-kicks-hands-under-hips-head-up-female.jpg",4,500,500)</f>
        <v/>
      </c>
      <c r="B2174" s="30">
        <v>2173.0</v>
      </c>
      <c r="C2174" s="16" t="s">
        <v>2811</v>
      </c>
      <c r="D2174" s="16" t="s">
        <v>184</v>
      </c>
      <c r="E2174" s="16" t="s">
        <v>185</v>
      </c>
      <c r="F2174" s="16" t="s">
        <v>255</v>
      </c>
      <c r="G2174" s="16" t="s">
        <v>220</v>
      </c>
      <c r="H2174" s="16" t="s">
        <v>220</v>
      </c>
    </row>
    <row r="2175" ht="20.25" customHeight="1">
      <c r="A2175" s="32" t="str">
        <f>IMAGE("https://gymvisual.com/4437-catalog_default/flutter-kicks-version-2.jpg",4,500,500)</f>
        <v/>
      </c>
      <c r="B2175" s="30">
        <v>2174.0</v>
      </c>
      <c r="C2175" s="16" t="s">
        <v>2812</v>
      </c>
      <c r="D2175" s="16" t="s">
        <v>184</v>
      </c>
      <c r="E2175" s="16" t="s">
        <v>185</v>
      </c>
      <c r="F2175" s="16" t="s">
        <v>255</v>
      </c>
      <c r="G2175" s="16" t="s">
        <v>187</v>
      </c>
      <c r="H2175" s="16" t="s">
        <v>188</v>
      </c>
    </row>
    <row r="2176" ht="20.25" customHeight="1">
      <c r="A2176" s="32" t="str">
        <f>IMAGE("https://gymvisual.com/20648-catalog_default/flutter-kicks-version-3.jpg",4,500,500)</f>
        <v/>
      </c>
      <c r="B2176" s="30">
        <v>2175.0</v>
      </c>
      <c r="C2176" s="16" t="s">
        <v>2813</v>
      </c>
      <c r="D2176" s="16" t="s">
        <v>184</v>
      </c>
      <c r="E2176" s="16" t="s">
        <v>185</v>
      </c>
      <c r="F2176" s="16" t="s">
        <v>255</v>
      </c>
      <c r="G2176" s="16" t="s">
        <v>271</v>
      </c>
      <c r="H2176" s="16" t="s">
        <v>566</v>
      </c>
    </row>
    <row r="2177" ht="20.25" customHeight="1">
      <c r="A2177" s="32" t="str">
        <f>IMAGE("https://gymvisual.com/22779-catalog_default/flutter-kicks-version-3-female.jpg",4,500,500)</f>
        <v/>
      </c>
      <c r="B2177" s="30">
        <v>2176.0</v>
      </c>
      <c r="C2177" s="16" t="s">
        <v>2814</v>
      </c>
      <c r="D2177" s="16" t="s">
        <v>184</v>
      </c>
      <c r="E2177" s="16" t="s">
        <v>185</v>
      </c>
      <c r="F2177" s="16" t="s">
        <v>255</v>
      </c>
      <c r="G2177" s="16" t="s">
        <v>305</v>
      </c>
      <c r="H2177" s="16" t="s">
        <v>1306</v>
      </c>
    </row>
    <row r="2178" ht="20.25" customHeight="1">
      <c r="A2178" s="32" t="str">
        <f>IMAGE("https://gymvisual.com/18035-catalog_default/fly-agains-chains.jpg",4,500,500)</f>
        <v/>
      </c>
      <c r="B2178" s="30">
        <v>2177.0</v>
      </c>
      <c r="C2178" s="16" t="s">
        <v>2815</v>
      </c>
      <c r="D2178" s="16" t="s">
        <v>184</v>
      </c>
      <c r="E2178" s="16" t="s">
        <v>234</v>
      </c>
      <c r="F2178" s="16" t="s">
        <v>255</v>
      </c>
      <c r="G2178" s="16" t="s">
        <v>220</v>
      </c>
      <c r="H2178" s="16" t="s">
        <v>220</v>
      </c>
    </row>
    <row r="2179" ht="20.25" customHeight="1">
      <c r="A2179" s="32" t="str">
        <f>IMAGE("https://gymvisual.com/12206-catalog_default/forearm-wall-slide.jpg",4,500,500)</f>
        <v/>
      </c>
      <c r="B2179" s="30">
        <v>2178.0</v>
      </c>
      <c r="C2179" s="16" t="s">
        <v>2816</v>
      </c>
      <c r="D2179" s="16" t="s">
        <v>184</v>
      </c>
      <c r="E2179" s="16" t="s">
        <v>192</v>
      </c>
      <c r="F2179" s="16" t="s">
        <v>255</v>
      </c>
      <c r="G2179" s="16" t="s">
        <v>220</v>
      </c>
      <c r="H2179" s="16" t="s">
        <v>220</v>
      </c>
    </row>
    <row r="2180" ht="20.25" customHeight="1">
      <c r="A2180" s="32" t="str">
        <f>IMAGE("https://gymvisual.com/7346-catalog_default/forward-hops.jpg",4,500,500)</f>
        <v/>
      </c>
      <c r="B2180" s="30">
        <v>2179.0</v>
      </c>
      <c r="C2180" s="16" t="s">
        <v>2817</v>
      </c>
      <c r="D2180" s="16" t="s">
        <v>184</v>
      </c>
      <c r="E2180" s="16" t="s">
        <v>285</v>
      </c>
      <c r="F2180" s="16" t="s">
        <v>255</v>
      </c>
      <c r="G2180" s="16" t="s">
        <v>220</v>
      </c>
      <c r="H2180" s="16" t="s">
        <v>220</v>
      </c>
    </row>
    <row r="2181" ht="20.25" customHeight="1">
      <c r="A2181" s="32" t="str">
        <f>IMAGE("https://gymvisual.com/13786-catalog_default/forward-lunge-male.jpg",4,500,500)</f>
        <v/>
      </c>
      <c r="B2181" s="30">
        <v>2180.0</v>
      </c>
      <c r="C2181" s="16" t="s">
        <v>2818</v>
      </c>
      <c r="D2181" s="16" t="s">
        <v>184</v>
      </c>
      <c r="E2181" s="16" t="s">
        <v>285</v>
      </c>
      <c r="F2181" s="16" t="s">
        <v>255</v>
      </c>
      <c r="G2181" s="16" t="s">
        <v>189</v>
      </c>
      <c r="H2181" s="16" t="s">
        <v>190</v>
      </c>
    </row>
    <row r="2182" ht="20.25" customHeight="1">
      <c r="A2182" s="32" t="str">
        <f>IMAGE("https://gymvisual.com/16007-catalog_default/forward-pulse-lunge-with-hands-overhead.jpg",4,500,500)</f>
        <v/>
      </c>
      <c r="B2182" s="30">
        <v>2181.0</v>
      </c>
      <c r="C2182" s="16" t="s">
        <v>2819</v>
      </c>
      <c r="D2182" s="16" t="s">
        <v>184</v>
      </c>
      <c r="E2182" s="16" t="s">
        <v>294</v>
      </c>
      <c r="F2182" s="16" t="s">
        <v>255</v>
      </c>
      <c r="G2182" s="16" t="s">
        <v>189</v>
      </c>
      <c r="H2182" s="16" t="s">
        <v>190</v>
      </c>
    </row>
    <row r="2183" ht="20.25" customHeight="1">
      <c r="A2183" s="32" t="str">
        <f>IMAGE("https://gymvisual.com/17805-catalog_default/forward-step-front-plank-female.jpg",4,500,500)</f>
        <v/>
      </c>
      <c r="B2183" s="30">
        <v>2182.0</v>
      </c>
      <c r="C2183" s="16" t="s">
        <v>2820</v>
      </c>
      <c r="D2183" s="16" t="s">
        <v>184</v>
      </c>
      <c r="E2183" s="16" t="s">
        <v>185</v>
      </c>
      <c r="F2183" s="16" t="s">
        <v>255</v>
      </c>
      <c r="G2183" s="16" t="s">
        <v>220</v>
      </c>
      <c r="H2183" s="16" t="s">
        <v>220</v>
      </c>
    </row>
    <row r="2184" ht="20.25" customHeight="1">
      <c r="A2184" s="32" t="str">
        <f>IMAGE("https://gymvisual.com/17333-catalog_default/forward-to-side-to-rear-lunge-female.jpg",4,500,500)</f>
        <v/>
      </c>
      <c r="B2184" s="30">
        <v>2183.0</v>
      </c>
      <c r="C2184" s="16" t="s">
        <v>2821</v>
      </c>
      <c r="D2184" s="16" t="s">
        <v>184</v>
      </c>
      <c r="E2184" s="16" t="s">
        <v>294</v>
      </c>
      <c r="F2184" s="16" t="s">
        <v>255</v>
      </c>
      <c r="G2184" s="16" t="s">
        <v>295</v>
      </c>
      <c r="H2184" s="16" t="s">
        <v>296</v>
      </c>
    </row>
    <row r="2185" ht="20.25" customHeight="1">
      <c r="A2185" s="32" t="str">
        <f>IMAGE("https://gymvisual.com/12855-catalog_default/frankenstein-squat.jpg",4,500,500)</f>
        <v/>
      </c>
      <c r="B2185" s="30">
        <v>2184.0</v>
      </c>
      <c r="C2185" s="16" t="s">
        <v>2822</v>
      </c>
      <c r="D2185" s="16" t="s">
        <v>184</v>
      </c>
      <c r="E2185" s="16" t="s">
        <v>285</v>
      </c>
      <c r="F2185" s="16" t="s">
        <v>186</v>
      </c>
      <c r="G2185" s="16" t="s">
        <v>189</v>
      </c>
      <c r="H2185" s="16" t="s">
        <v>190</v>
      </c>
    </row>
    <row r="2186" ht="20.25" customHeight="1">
      <c r="A2186" s="32" t="str">
        <f>IMAGE("https://gymvisual.com/10528-catalog_default/frog-crunch.jpg",4,500,500)</f>
        <v/>
      </c>
      <c r="B2186" s="30">
        <v>2185.0</v>
      </c>
      <c r="C2186" s="16" t="s">
        <v>2823</v>
      </c>
      <c r="D2186" s="16" t="s">
        <v>184</v>
      </c>
      <c r="E2186" s="16" t="s">
        <v>254</v>
      </c>
      <c r="F2186" s="16" t="s">
        <v>255</v>
      </c>
      <c r="G2186" s="16" t="s">
        <v>256</v>
      </c>
      <c r="H2186" s="16" t="s">
        <v>2824</v>
      </c>
    </row>
    <row r="2187" ht="20.25" customHeight="1">
      <c r="A2187" s="32" t="str">
        <f>IMAGE("https://gymvisual.com/11137-catalog_default/frog-crunch-female.jpg",4,500,500)</f>
        <v/>
      </c>
      <c r="B2187" s="30">
        <v>2186.0</v>
      </c>
      <c r="C2187" s="16" t="s">
        <v>2825</v>
      </c>
      <c r="D2187" s="16" t="s">
        <v>184</v>
      </c>
      <c r="E2187" s="16" t="s">
        <v>254</v>
      </c>
      <c r="F2187" s="16" t="s">
        <v>255</v>
      </c>
      <c r="G2187" s="16" t="s">
        <v>305</v>
      </c>
      <c r="H2187" s="16" t="s">
        <v>311</v>
      </c>
    </row>
    <row r="2188" ht="20.25" customHeight="1">
      <c r="A2188" s="32" t="str">
        <f>IMAGE("https://gymvisual.com/11834-catalog_default/frog-hip-thrust-female.jpg",4,500,500)</f>
        <v/>
      </c>
      <c r="B2188" s="30">
        <v>2187.0</v>
      </c>
      <c r="C2188" s="16" t="s">
        <v>2826</v>
      </c>
      <c r="D2188" s="16" t="s">
        <v>184</v>
      </c>
      <c r="E2188" s="16" t="s">
        <v>185</v>
      </c>
      <c r="F2188" s="16" t="s">
        <v>255</v>
      </c>
      <c r="G2188" s="16" t="s">
        <v>1240</v>
      </c>
      <c r="H2188" s="16" t="s">
        <v>1241</v>
      </c>
    </row>
    <row r="2189" ht="20.25" customHeight="1">
      <c r="A2189" s="32" t="str">
        <f>IMAGE("https://gymvisual.com/12751-catalog_default/frog-reverse-hyperextension-on-a-bench-female.jpg",4,500,500)</f>
        <v/>
      </c>
      <c r="B2189" s="30">
        <v>2188.0</v>
      </c>
      <c r="C2189" s="16" t="s">
        <v>2827</v>
      </c>
      <c r="D2189" s="16" t="s">
        <v>184</v>
      </c>
      <c r="E2189" s="16" t="s">
        <v>185</v>
      </c>
      <c r="F2189" s="16" t="s">
        <v>255</v>
      </c>
      <c r="G2189" s="16" t="s">
        <v>1201</v>
      </c>
      <c r="H2189" s="16" t="s">
        <v>188</v>
      </c>
    </row>
    <row r="2190" ht="20.25" customHeight="1">
      <c r="A2190" s="32" t="str">
        <f>IMAGE("https://gymvisual.com/17739-catalog_default/frog-reverse-hyperextension-on-a-bench-male.jpg",4,500,500)</f>
        <v/>
      </c>
      <c r="B2190" s="30">
        <v>2189.0</v>
      </c>
      <c r="C2190" s="16" t="s">
        <v>2828</v>
      </c>
      <c r="D2190" s="16" t="s">
        <v>184</v>
      </c>
      <c r="E2190" s="16" t="s">
        <v>185</v>
      </c>
      <c r="F2190" s="16" t="s">
        <v>255</v>
      </c>
      <c r="G2190" s="16" t="s">
        <v>220</v>
      </c>
      <c r="H2190" s="16" t="s">
        <v>220</v>
      </c>
    </row>
    <row r="2191" ht="20.25" customHeight="1">
      <c r="A2191" s="32" t="str">
        <f>IMAGE("https://gymvisual.com/17121-catalog_default/frog-sit-up.jpg",4,500,500)</f>
        <v/>
      </c>
      <c r="B2191" s="30">
        <v>2190.0</v>
      </c>
      <c r="C2191" s="16" t="s">
        <v>2829</v>
      </c>
      <c r="D2191" s="16" t="s">
        <v>184</v>
      </c>
      <c r="E2191" s="16" t="s">
        <v>254</v>
      </c>
      <c r="F2191" s="16" t="s">
        <v>255</v>
      </c>
      <c r="G2191" s="16" t="s">
        <v>2830</v>
      </c>
      <c r="H2191" s="16" t="s">
        <v>2831</v>
      </c>
    </row>
    <row r="2192" ht="20.25" customHeight="1">
      <c r="A2192" s="32" t="str">
        <f>IMAGE("https://gymvisual.com/16011-catalog_default/frogger.jpg",4,500,500)</f>
        <v/>
      </c>
      <c r="B2192" s="30">
        <v>2191.0</v>
      </c>
      <c r="C2192" s="16" t="s">
        <v>2832</v>
      </c>
      <c r="D2192" s="16" t="s">
        <v>184</v>
      </c>
      <c r="E2192" s="16" t="s">
        <v>254</v>
      </c>
      <c r="F2192" s="16" t="s">
        <v>255</v>
      </c>
      <c r="G2192" s="16" t="s">
        <v>2833</v>
      </c>
      <c r="H2192" s="16" t="s">
        <v>2834</v>
      </c>
    </row>
    <row r="2193" ht="20.25" customHeight="1">
      <c r="A2193" s="32" t="str">
        <f>IMAGE("https://gymvisual.com/6810-catalog_default/front-back-leg-raises.jpg",4,500,500)</f>
        <v/>
      </c>
      <c r="B2193" s="30">
        <v>2192.0</v>
      </c>
      <c r="C2193" s="16" t="s">
        <v>2835</v>
      </c>
      <c r="D2193" s="16" t="s">
        <v>184</v>
      </c>
      <c r="E2193" s="16" t="s">
        <v>185</v>
      </c>
      <c r="F2193" s="16" t="s">
        <v>255</v>
      </c>
      <c r="G2193" s="16" t="s">
        <v>220</v>
      </c>
      <c r="H2193" s="16" t="s">
        <v>220</v>
      </c>
    </row>
    <row r="2194" ht="20.25" customHeight="1">
      <c r="A2194" s="32" t="str">
        <f>IMAGE("https://gymvisual.com/13529-catalog_default/front-lever.jpg",4,500,500)</f>
        <v/>
      </c>
      <c r="B2194" s="30">
        <v>2193.0</v>
      </c>
      <c r="C2194" s="16" t="s">
        <v>2836</v>
      </c>
      <c r="D2194" s="16" t="s">
        <v>184</v>
      </c>
      <c r="E2194" s="16" t="s">
        <v>254</v>
      </c>
      <c r="F2194" s="16" t="s">
        <v>255</v>
      </c>
      <c r="G2194" s="16" t="s">
        <v>256</v>
      </c>
      <c r="H2194" s="16" t="s">
        <v>2837</v>
      </c>
    </row>
    <row r="2195" ht="20.25" customHeight="1">
      <c r="A2195" s="32" t="str">
        <f>IMAGE("https://gymvisual.com/13527-catalog_default/front-lever-reps.jpg",4,500,500)</f>
        <v/>
      </c>
      <c r="B2195" s="30">
        <v>2194.0</v>
      </c>
      <c r="C2195" s="16" t="s">
        <v>2838</v>
      </c>
      <c r="D2195" s="16" t="s">
        <v>184</v>
      </c>
      <c r="E2195" s="16" t="s">
        <v>361</v>
      </c>
      <c r="F2195" s="16" t="s">
        <v>255</v>
      </c>
      <c r="G2195" s="16" t="s">
        <v>220</v>
      </c>
      <c r="H2195" s="16" t="s">
        <v>220</v>
      </c>
    </row>
    <row r="2196" ht="20.25" customHeight="1">
      <c r="A2196" s="32" t="str">
        <f>IMAGE("https://gymvisual.com/13259-catalog_default/3-4-sit-up.jpg",4,500,500)</f>
        <v/>
      </c>
      <c r="B2196" s="30">
        <v>2195.0</v>
      </c>
      <c r="C2196" s="16" t="s">
        <v>2839</v>
      </c>
      <c r="D2196" s="16" t="s">
        <v>184</v>
      </c>
      <c r="E2196" s="16" t="s">
        <v>254</v>
      </c>
      <c r="F2196" s="16" t="s">
        <v>255</v>
      </c>
      <c r="G2196" s="16" t="s">
        <v>256</v>
      </c>
      <c r="H2196" s="16" t="s">
        <v>2840</v>
      </c>
    </row>
    <row r="2197" ht="20.25" customHeight="1">
      <c r="A2197" s="32" t="str">
        <f>IMAGE("https://gymvisual.com/1412-catalog_default/3-4-sit-up.jpg",4,500,500)</f>
        <v/>
      </c>
      <c r="B2197" s="30">
        <v>2196.0</v>
      </c>
      <c r="C2197" s="16" t="s">
        <v>2839</v>
      </c>
      <c r="D2197" s="16" t="s">
        <v>184</v>
      </c>
      <c r="E2197" s="16" t="s">
        <v>254</v>
      </c>
      <c r="F2197" s="16" t="s">
        <v>255</v>
      </c>
      <c r="G2197" s="16" t="s">
        <v>256</v>
      </c>
      <c r="H2197" s="16" t="s">
        <v>1314</v>
      </c>
    </row>
    <row r="2198" ht="20.25" customHeight="1">
      <c r="A2198" s="32" t="str">
        <f>IMAGE("https://gymvisual.com/10194-catalog_default/front-plank-butt-wrong-right.jpg",4,500,500)</f>
        <v/>
      </c>
      <c r="B2198" s="30">
        <v>2197.0</v>
      </c>
      <c r="C2198" s="16" t="s">
        <v>2841</v>
      </c>
      <c r="D2198" s="16" t="s">
        <v>184</v>
      </c>
      <c r="E2198" s="16" t="s">
        <v>254</v>
      </c>
      <c r="F2198" s="16" t="s">
        <v>255</v>
      </c>
      <c r="G2198" s="16" t="s">
        <v>220</v>
      </c>
      <c r="H2198" s="16" t="s">
        <v>220</v>
      </c>
    </row>
    <row r="2199" ht="20.25" customHeight="1">
      <c r="A2199" s="32" t="str">
        <f>IMAGE("https://gymvisual.com/12081-catalog_default/front-plank-to-push-up-female.jpg",4,500,500)</f>
        <v/>
      </c>
      <c r="B2199" s="30">
        <v>2198.0</v>
      </c>
      <c r="C2199" s="16" t="s">
        <v>2842</v>
      </c>
      <c r="D2199" s="16" t="s">
        <v>184</v>
      </c>
      <c r="E2199" s="16" t="s">
        <v>254</v>
      </c>
      <c r="F2199" s="16" t="s">
        <v>255</v>
      </c>
      <c r="G2199" s="16" t="s">
        <v>220</v>
      </c>
      <c r="H2199" s="16" t="s">
        <v>220</v>
      </c>
    </row>
    <row r="2200" ht="20.25" customHeight="1">
      <c r="A2200" s="32" t="str">
        <f>IMAGE("https://gymvisual.com/24657-catalog_default/front-plank-to-toe-tap-male.jpg",4,500,500)</f>
        <v/>
      </c>
      <c r="B2200" s="30">
        <v>2199.0</v>
      </c>
      <c r="C2200" s="16" t="s">
        <v>2843</v>
      </c>
      <c r="D2200" s="16" t="s">
        <v>184</v>
      </c>
      <c r="E2200" s="16" t="s">
        <v>185</v>
      </c>
      <c r="F2200" s="16" t="s">
        <v>255</v>
      </c>
      <c r="G2200" s="16" t="s">
        <v>220</v>
      </c>
      <c r="H2200" s="16" t="s">
        <v>220</v>
      </c>
    </row>
    <row r="2201" ht="20.25" customHeight="1">
      <c r="A2201" s="32" t="str">
        <f>IMAGE("https://gymvisual.com/17703-catalog_default/front-plank-toe-tap-male.jpg",4,500,500)</f>
        <v/>
      </c>
      <c r="B2201" s="30">
        <v>2200.0</v>
      </c>
      <c r="C2201" s="16" t="s">
        <v>2844</v>
      </c>
      <c r="D2201" s="16" t="s">
        <v>184</v>
      </c>
      <c r="E2201" s="16" t="s">
        <v>254</v>
      </c>
      <c r="F2201" s="16" t="s">
        <v>255</v>
      </c>
      <c r="G2201" s="16" t="s">
        <v>2845</v>
      </c>
      <c r="H2201" s="16" t="s">
        <v>2846</v>
      </c>
    </row>
    <row r="2202" ht="20.25" customHeight="1">
      <c r="A2202" s="32" t="str">
        <f>IMAGE("https://gymvisual.com/12087-catalog_default/front-plank-with-arm-and-leg-lift-female.jpg",4,500,500)</f>
        <v/>
      </c>
      <c r="B2202" s="30">
        <v>2201.0</v>
      </c>
      <c r="C2202" s="16" t="s">
        <v>2847</v>
      </c>
      <c r="D2202" s="16" t="s">
        <v>184</v>
      </c>
      <c r="E2202" s="16" t="s">
        <v>254</v>
      </c>
      <c r="F2202" s="16" t="s">
        <v>255</v>
      </c>
      <c r="G2202" s="16" t="s">
        <v>2848</v>
      </c>
      <c r="H2202" s="16" t="s">
        <v>2849</v>
      </c>
    </row>
    <row r="2203" ht="20.25" customHeight="1">
      <c r="A2203" s="32" t="str">
        <f>IMAGE("https://gymvisual.com/19375-catalog_default/front-plank-with-arm-and-leg-lift-push-up-position-female.jpg",4,500,500)</f>
        <v/>
      </c>
      <c r="B2203" s="30">
        <v>2202.0</v>
      </c>
      <c r="C2203" s="16" t="s">
        <v>2850</v>
      </c>
      <c r="D2203" s="16" t="s">
        <v>184</v>
      </c>
      <c r="E2203" s="16" t="s">
        <v>254</v>
      </c>
      <c r="F2203" s="16" t="s">
        <v>255</v>
      </c>
      <c r="G2203" s="16" t="s">
        <v>220</v>
      </c>
      <c r="H2203" s="16" t="s">
        <v>220</v>
      </c>
    </row>
    <row r="2204" ht="20.25" customHeight="1">
      <c r="A2204" s="32" t="str">
        <f>IMAGE("https://gymvisual.com/12085-catalog_default/front-plank-with-arm-lift-female.jpg",4,500,500)</f>
        <v/>
      </c>
      <c r="B2204" s="30">
        <v>2203.0</v>
      </c>
      <c r="C2204" s="16" t="s">
        <v>2851</v>
      </c>
      <c r="D2204" s="16" t="s">
        <v>184</v>
      </c>
      <c r="E2204" s="16" t="s">
        <v>254</v>
      </c>
      <c r="F2204" s="16" t="s">
        <v>255</v>
      </c>
      <c r="G2204" s="16" t="s">
        <v>220</v>
      </c>
      <c r="H2204" s="16" t="s">
        <v>220</v>
      </c>
    </row>
    <row r="2205" ht="20.25" customHeight="1">
      <c r="A2205" s="32" t="str">
        <f>IMAGE("https://gymvisual.com/12086-catalog_default/front-plank-with-arm-lift-push-up-position-female.jpg",4,500,500)</f>
        <v/>
      </c>
      <c r="B2205" s="30">
        <v>2204.0</v>
      </c>
      <c r="C2205" s="16" t="s">
        <v>2852</v>
      </c>
      <c r="D2205" s="16" t="s">
        <v>184</v>
      </c>
      <c r="E2205" s="16" t="s">
        <v>254</v>
      </c>
      <c r="F2205" s="16" t="s">
        <v>255</v>
      </c>
      <c r="G2205" s="16" t="s">
        <v>220</v>
      </c>
      <c r="H2205" s="16" t="s">
        <v>220</v>
      </c>
    </row>
    <row r="2206" ht="20.25" customHeight="1">
      <c r="A2206" s="32" t="str">
        <f>IMAGE("https://gymvisual.com/12089-catalog_default/front-plank-with-leg-lift-female.jpg",4,500,500)</f>
        <v/>
      </c>
      <c r="B2206" s="30">
        <v>2205.0</v>
      </c>
      <c r="C2206" s="16" t="s">
        <v>2853</v>
      </c>
      <c r="D2206" s="16" t="s">
        <v>184</v>
      </c>
      <c r="E2206" s="16" t="s">
        <v>254</v>
      </c>
      <c r="F2206" s="16" t="s">
        <v>255</v>
      </c>
      <c r="G2206" s="16" t="s">
        <v>2848</v>
      </c>
      <c r="H2206" s="16" t="s">
        <v>2854</v>
      </c>
    </row>
    <row r="2207" ht="20.25" customHeight="1">
      <c r="A2207" s="32" t="str">
        <f>IMAGE("https://gymvisual.com/14018-catalog_default/front-plank-with-leg-lift-male.jpg",4,500,500)</f>
        <v/>
      </c>
      <c r="B2207" s="30">
        <v>2206.0</v>
      </c>
      <c r="C2207" s="16" t="s">
        <v>2855</v>
      </c>
      <c r="D2207" s="16" t="s">
        <v>184</v>
      </c>
      <c r="E2207" s="16" t="s">
        <v>310</v>
      </c>
      <c r="F2207" s="16" t="s">
        <v>255</v>
      </c>
      <c r="G2207" s="16" t="s">
        <v>2848</v>
      </c>
      <c r="H2207" s="16" t="s">
        <v>2856</v>
      </c>
    </row>
    <row r="2208" ht="20.25" customHeight="1">
      <c r="A2208" s="32" t="str">
        <f>IMAGE("https://gymvisual.com/1409-catalog_default/3-4-sit-up.jpg",4,500,500)</f>
        <v/>
      </c>
      <c r="B2208" s="30">
        <v>2207.0</v>
      </c>
      <c r="C2208" s="16" t="s">
        <v>2857</v>
      </c>
      <c r="D2208" s="16" t="s">
        <v>184</v>
      </c>
      <c r="E2208" s="16" t="s">
        <v>254</v>
      </c>
      <c r="F2208" s="16" t="s">
        <v>255</v>
      </c>
      <c r="G2208" s="16" t="s">
        <v>260</v>
      </c>
      <c r="H2208" s="16" t="s">
        <v>2858</v>
      </c>
    </row>
    <row r="2209" ht="20.25" customHeight="1">
      <c r="A2209" s="32" t="str">
        <f>IMAGE("https://gymvisual.com/17797-catalog_default/front-to-side-plank-female.jpg",4,500,500)</f>
        <v/>
      </c>
      <c r="B2209" s="30">
        <v>2208.0</v>
      </c>
      <c r="C2209" s="16" t="s">
        <v>2859</v>
      </c>
      <c r="D2209" s="16" t="s">
        <v>184</v>
      </c>
      <c r="E2209" s="16" t="s">
        <v>254</v>
      </c>
      <c r="F2209" s="16" t="s">
        <v>255</v>
      </c>
      <c r="G2209" s="16" t="s">
        <v>220</v>
      </c>
      <c r="H2209" s="16" t="s">
        <v>220</v>
      </c>
    </row>
    <row r="2210" ht="20.25" customHeight="1">
      <c r="A2210" s="32" t="str">
        <f>IMAGE("https://gymvisual.com/13606-catalog_default/full-planche-push-up.jpg",4,500,500)</f>
        <v/>
      </c>
      <c r="B2210" s="30">
        <v>2209.0</v>
      </c>
      <c r="C2210" s="16" t="s">
        <v>2860</v>
      </c>
      <c r="D2210" s="16" t="s">
        <v>184</v>
      </c>
      <c r="E2210" s="16" t="s">
        <v>2861</v>
      </c>
      <c r="F2210" s="16" t="s">
        <v>255</v>
      </c>
      <c r="G2210" s="16" t="s">
        <v>2862</v>
      </c>
      <c r="H2210" s="16" t="s">
        <v>2863</v>
      </c>
    </row>
    <row r="2211" ht="20.25" customHeight="1">
      <c r="A2211" s="32" t="str">
        <f>IMAGE("https://gymvisual.com/14016-catalog_default/full-squat-mobility.jpg",4,500,500)</f>
        <v/>
      </c>
      <c r="B2211" s="30">
        <v>2210.0</v>
      </c>
      <c r="C2211" s="16" t="s">
        <v>2864</v>
      </c>
      <c r="D2211" s="16" t="s">
        <v>184</v>
      </c>
      <c r="E2211" s="16" t="s">
        <v>294</v>
      </c>
      <c r="F2211" s="16" t="s">
        <v>255</v>
      </c>
      <c r="G2211" s="16" t="s">
        <v>189</v>
      </c>
      <c r="H2211" s="16" t="s">
        <v>190</v>
      </c>
    </row>
    <row r="2212" ht="20.25" customHeight="1">
      <c r="A2212" s="32" t="str">
        <f>IMAGE("https://gymvisual.com/1414-catalog_default/3-4-sit-up.jpg",4,500,500)</f>
        <v/>
      </c>
      <c r="B2212" s="30">
        <v>2211.0</v>
      </c>
      <c r="C2212" s="16" t="s">
        <v>2865</v>
      </c>
      <c r="D2212" s="16" t="s">
        <v>184</v>
      </c>
      <c r="E2212" s="16" t="s">
        <v>192</v>
      </c>
      <c r="F2212" s="16" t="s">
        <v>255</v>
      </c>
      <c r="G2212" s="16" t="s">
        <v>300</v>
      </c>
      <c r="H2212" s="16" t="s">
        <v>1357</v>
      </c>
    </row>
    <row r="2213" ht="20.25" customHeight="1">
      <c r="A2213" s="32" t="str">
        <f>IMAGE("https://gymvisual.com/14149-catalog_default/glute-bridge-march.jpg",4,500,500)</f>
        <v/>
      </c>
      <c r="B2213" s="30">
        <v>2212.0</v>
      </c>
      <c r="C2213" s="16" t="s">
        <v>2866</v>
      </c>
      <c r="D2213" s="16" t="s">
        <v>184</v>
      </c>
      <c r="E2213" s="16" t="s">
        <v>310</v>
      </c>
      <c r="F2213" s="16" t="s">
        <v>255</v>
      </c>
      <c r="G2213" s="16" t="s">
        <v>2848</v>
      </c>
      <c r="H2213" s="16" t="s">
        <v>1204</v>
      </c>
    </row>
    <row r="2214" ht="20.25" customHeight="1">
      <c r="A2214" s="32" t="str">
        <f>IMAGE("https://gymvisual.com/22630-catalog_default/glute-bridge-march-female.jpg",4,500,500)</f>
        <v/>
      </c>
      <c r="B2214" s="30">
        <v>2213.0</v>
      </c>
      <c r="C2214" s="16" t="s">
        <v>2867</v>
      </c>
      <c r="D2214" s="16" t="s">
        <v>184</v>
      </c>
      <c r="E2214" s="16" t="s">
        <v>185</v>
      </c>
      <c r="F2214" s="16" t="s">
        <v>255</v>
      </c>
      <c r="G2214" s="16" t="s">
        <v>2868</v>
      </c>
      <c r="H2214" s="16" t="s">
        <v>1204</v>
      </c>
    </row>
    <row r="2215" ht="20.25" customHeight="1">
      <c r="A2215" s="32" t="str">
        <f>IMAGE("https://gymvisual.com/10653-catalog_default/glute-bridge-one-leg-on-bench.jpg",4,500,500)</f>
        <v/>
      </c>
      <c r="B2215" s="30">
        <v>2214.0</v>
      </c>
      <c r="C2215" s="16" t="s">
        <v>2869</v>
      </c>
      <c r="D2215" s="16" t="s">
        <v>184</v>
      </c>
      <c r="E2215" s="16" t="s">
        <v>185</v>
      </c>
      <c r="F2215" s="16" t="s">
        <v>255</v>
      </c>
      <c r="G2215" s="16" t="s">
        <v>187</v>
      </c>
      <c r="H2215" s="16" t="s">
        <v>220</v>
      </c>
    </row>
    <row r="2216" ht="20.25" customHeight="1">
      <c r="A2216" s="32" t="str">
        <f>IMAGE("https://gymvisual.com/10659-catalog_default/glute-bridge-one-leg-on-floor-bent-knee.jpg",4,500,500)</f>
        <v/>
      </c>
      <c r="B2216" s="30">
        <v>2215.0</v>
      </c>
      <c r="C2216" s="16" t="s">
        <v>2870</v>
      </c>
      <c r="D2216" s="16" t="s">
        <v>184</v>
      </c>
      <c r="E2216" s="16" t="s">
        <v>185</v>
      </c>
      <c r="F2216" s="16" t="s">
        <v>255</v>
      </c>
      <c r="G2216" s="16" t="s">
        <v>187</v>
      </c>
      <c r="H2216" s="16" t="s">
        <v>220</v>
      </c>
    </row>
    <row r="2217" ht="20.25" customHeight="1">
      <c r="A2217" s="32" t="str">
        <f>IMAGE("https://gymvisual.com/10656-catalog_default/glute-bridge-one-leg-on-floor-straight-leg.jpg",4,500,500)</f>
        <v/>
      </c>
      <c r="B2217" s="30">
        <v>2216.0</v>
      </c>
      <c r="C2217" s="16" t="s">
        <v>2871</v>
      </c>
      <c r="D2217" s="16" t="s">
        <v>184</v>
      </c>
      <c r="E2217" s="16" t="s">
        <v>185</v>
      </c>
      <c r="F2217" s="16" t="s">
        <v>255</v>
      </c>
      <c r="G2217" s="16" t="s">
        <v>187</v>
      </c>
      <c r="H2217" s="16" t="s">
        <v>220</v>
      </c>
    </row>
    <row r="2218" ht="20.25" customHeight="1">
      <c r="A2218" s="32" t="str">
        <f>IMAGE("https://gymvisual.com/10650-catalog_default/glute-bridge-two-legs-on-bench.jpg",4,500,500)</f>
        <v/>
      </c>
      <c r="B2218" s="30">
        <v>2217.0</v>
      </c>
      <c r="C2218" s="16" t="s">
        <v>2872</v>
      </c>
      <c r="D2218" s="16" t="s">
        <v>184</v>
      </c>
      <c r="E2218" s="16" t="s">
        <v>185</v>
      </c>
      <c r="F2218" s="16" t="s">
        <v>255</v>
      </c>
      <c r="G2218" s="16" t="s">
        <v>187</v>
      </c>
      <c r="H2218" s="16" t="s">
        <v>220</v>
      </c>
    </row>
    <row r="2219" ht="20.25" customHeight="1">
      <c r="A2219" s="32" t="str">
        <f>IMAGE("https://gymvisual.com/14056-catalog_default/glute-bridge-two-legs-on-bench-male.jpg",4,500,500)</f>
        <v/>
      </c>
      <c r="B2219" s="30">
        <v>2218.0</v>
      </c>
      <c r="C2219" s="16" t="s">
        <v>2873</v>
      </c>
      <c r="D2219" s="16" t="s">
        <v>184</v>
      </c>
      <c r="E2219" s="16" t="s">
        <v>185</v>
      </c>
      <c r="F2219" s="16" t="s">
        <v>255</v>
      </c>
      <c r="G2219" s="16" t="s">
        <v>187</v>
      </c>
      <c r="H2219" s="16" t="s">
        <v>188</v>
      </c>
    </row>
    <row r="2220" ht="20.25" customHeight="1">
      <c r="A2220" s="32" t="str">
        <f>IMAGE("https://gymvisual.com/22542-catalog_default/glute-bridge-two-legs-on-floor-female.jpg",4,500,500)</f>
        <v/>
      </c>
      <c r="B2220" s="30">
        <v>2219.0</v>
      </c>
      <c r="C2220" s="16" t="s">
        <v>2874</v>
      </c>
      <c r="D2220" s="16" t="s">
        <v>184</v>
      </c>
      <c r="E2220" s="16" t="s">
        <v>185</v>
      </c>
      <c r="F2220" s="16" t="s">
        <v>255</v>
      </c>
      <c r="G2220" s="16" t="s">
        <v>187</v>
      </c>
      <c r="H2220" s="16" t="s">
        <v>854</v>
      </c>
    </row>
    <row r="2221" ht="20.25" customHeight="1">
      <c r="A2221" s="32" t="str">
        <f>IMAGE("https://gymvisual.com/22271-catalog_default/glute-ham-developer-hip-extension.jpg",4,500,500)</f>
        <v/>
      </c>
      <c r="B2221" s="30">
        <v>2220.0</v>
      </c>
      <c r="C2221" s="16" t="s">
        <v>2875</v>
      </c>
      <c r="D2221" s="16" t="s">
        <v>184</v>
      </c>
      <c r="E2221" s="16" t="s">
        <v>185</v>
      </c>
      <c r="F2221" s="16" t="s">
        <v>255</v>
      </c>
      <c r="G2221" s="16" t="s">
        <v>220</v>
      </c>
      <c r="H2221" s="16" t="s">
        <v>220</v>
      </c>
    </row>
    <row r="2222" ht="20.25" customHeight="1">
      <c r="A2222" s="32" t="str">
        <f>IMAGE("https://gymvisual.com/22273-catalog_default/glute-ham-developer-sit-up-and-russian-twist.jpg",4,500,500)</f>
        <v/>
      </c>
      <c r="B2222" s="30">
        <v>2221.0</v>
      </c>
      <c r="C2222" s="16" t="s">
        <v>2876</v>
      </c>
      <c r="D2222" s="16" t="s">
        <v>184</v>
      </c>
      <c r="E2222" s="16" t="s">
        <v>254</v>
      </c>
      <c r="F2222" s="16" t="s">
        <v>255</v>
      </c>
      <c r="G2222" s="16" t="s">
        <v>220</v>
      </c>
      <c r="H2222" s="16" t="s">
        <v>220</v>
      </c>
    </row>
    <row r="2223" ht="20.25" customHeight="1">
      <c r="A2223" s="32" t="str">
        <f>IMAGE("https://gymvisual.com/22275-catalog_default/glute-ham-hyperextension-twist.jpg",4,500,500)</f>
        <v/>
      </c>
      <c r="B2223" s="30">
        <v>2222.0</v>
      </c>
      <c r="C2223" s="16" t="s">
        <v>2877</v>
      </c>
      <c r="D2223" s="16" t="s">
        <v>184</v>
      </c>
      <c r="E2223" s="16" t="s">
        <v>185</v>
      </c>
      <c r="F2223" s="16" t="s">
        <v>255</v>
      </c>
      <c r="G2223" s="16" t="s">
        <v>220</v>
      </c>
      <c r="H2223" s="16" t="s">
        <v>220</v>
      </c>
    </row>
    <row r="2224" ht="20.25" customHeight="1">
      <c r="A2224" s="32" t="str">
        <f>IMAGE("https://gymvisual.com/19014-catalog_default/glute-ham-raise-version-2.jpg",4,500,500)</f>
        <v/>
      </c>
      <c r="B2224" s="30">
        <v>2223.0</v>
      </c>
      <c r="C2224" s="16" t="s">
        <v>2878</v>
      </c>
      <c r="D2224" s="16" t="s">
        <v>184</v>
      </c>
      <c r="E2224" s="16" t="s">
        <v>285</v>
      </c>
      <c r="F2224" s="16" t="s">
        <v>255</v>
      </c>
      <c r="G2224" s="16" t="s">
        <v>188</v>
      </c>
      <c r="H2224" s="16" t="s">
        <v>2879</v>
      </c>
    </row>
    <row r="2225" ht="20.25" customHeight="1">
      <c r="A2225" s="32" t="str">
        <f>IMAGE("https://gymvisual.com/22428-catalog_default/glute-ham-raise-with-extended-arms.jpg",4,500,500)</f>
        <v/>
      </c>
      <c r="B2225" s="30">
        <v>2224.0</v>
      </c>
      <c r="C2225" s="16" t="s">
        <v>2880</v>
      </c>
      <c r="D2225" s="16" t="s">
        <v>184</v>
      </c>
      <c r="E2225" s="16" t="s">
        <v>285</v>
      </c>
      <c r="F2225" s="16" t="s">
        <v>255</v>
      </c>
      <c r="G2225" s="16" t="s">
        <v>220</v>
      </c>
      <c r="H2225" s="16" t="s">
        <v>220</v>
      </c>
    </row>
    <row r="2226" ht="20.25" customHeight="1">
      <c r="A2226" s="32" t="str">
        <f>IMAGE("https://gymvisual.com/22277-catalog_default/glute-ham-single-leg-hyperextension.jpg",4,500,500)</f>
        <v/>
      </c>
      <c r="B2226" s="30">
        <v>2225.0</v>
      </c>
      <c r="C2226" s="16" t="s">
        <v>2881</v>
      </c>
      <c r="D2226" s="16" t="s">
        <v>184</v>
      </c>
      <c r="E2226" s="16" t="s">
        <v>185</v>
      </c>
      <c r="F2226" s="16" t="s">
        <v>255</v>
      </c>
      <c r="G2226" s="16" t="s">
        <v>220</v>
      </c>
      <c r="H2226" s="16" t="s">
        <v>220</v>
      </c>
    </row>
    <row r="2227" ht="20.25" customHeight="1">
      <c r="A2227" s="32" t="str">
        <f>IMAGE("https://gymvisual.com/24083-catalog_default/glute-ham-twist.jpg",4,500,500)</f>
        <v/>
      </c>
      <c r="B2227" s="30">
        <v>2226.0</v>
      </c>
      <c r="C2227" s="16" t="s">
        <v>2882</v>
      </c>
      <c r="D2227" s="16" t="s">
        <v>184</v>
      </c>
      <c r="E2227" s="16" t="s">
        <v>254</v>
      </c>
      <c r="F2227" s="16" t="s">
        <v>255</v>
      </c>
      <c r="G2227" s="16" t="s">
        <v>220</v>
      </c>
      <c r="H2227" s="16" t="s">
        <v>220</v>
      </c>
    </row>
    <row r="2228" ht="20.25" customHeight="1">
      <c r="A2228" s="32" t="str">
        <f>IMAGE("https://gymvisual.com/23557-catalog_default/glute-march.jpg",4,500,500)</f>
        <v/>
      </c>
      <c r="B2228" s="30">
        <v>2227.0</v>
      </c>
      <c r="C2228" s="16" t="s">
        <v>2883</v>
      </c>
      <c r="D2228" s="16" t="s">
        <v>184</v>
      </c>
      <c r="E2228" s="16" t="s">
        <v>185</v>
      </c>
      <c r="F2228" s="16" t="s">
        <v>255</v>
      </c>
      <c r="G2228" s="16" t="s">
        <v>2868</v>
      </c>
      <c r="H2228" s="16" t="s">
        <v>1202</v>
      </c>
    </row>
    <row r="2229" ht="20.25" customHeight="1">
      <c r="A2229" s="32" t="str">
        <f>IMAGE("https://gymvisual.com/20684-catalog_default/glute-ham-raise.jpg",4,500,500)</f>
        <v/>
      </c>
      <c r="B2229" s="30">
        <v>2228.0</v>
      </c>
      <c r="C2229" s="16" t="s">
        <v>2884</v>
      </c>
      <c r="D2229" s="16" t="s">
        <v>184</v>
      </c>
      <c r="E2229" s="16" t="s">
        <v>285</v>
      </c>
      <c r="F2229" s="16" t="s">
        <v>255</v>
      </c>
      <c r="G2229" s="16" t="s">
        <v>188</v>
      </c>
      <c r="H2229" s="16" t="s">
        <v>2879</v>
      </c>
    </row>
    <row r="2230" ht="20.25" customHeight="1">
      <c r="A2230" s="32" t="str">
        <f>IMAGE("https://gymvisual.com/22159-catalog_default/good-morning-squat.jpg",4,500,500)</f>
        <v/>
      </c>
      <c r="B2230" s="30">
        <v>2229.0</v>
      </c>
      <c r="C2230" s="16" t="s">
        <v>2885</v>
      </c>
      <c r="D2230" s="16" t="s">
        <v>184</v>
      </c>
      <c r="E2230" s="16" t="s">
        <v>185</v>
      </c>
      <c r="F2230" s="16" t="s">
        <v>255</v>
      </c>
      <c r="G2230" s="16" t="s">
        <v>188</v>
      </c>
      <c r="H2230" s="16" t="s">
        <v>857</v>
      </c>
    </row>
    <row r="2231" ht="20.25" customHeight="1">
      <c r="A2231" s="32" t="str">
        <f>IMAGE("https://gymvisual.com/1417-catalog_default/3-4-sit-up.jpg",4,500,500)</f>
        <v/>
      </c>
      <c r="B2231" s="30">
        <v>2230.0</v>
      </c>
      <c r="C2231" s="16" t="s">
        <v>2886</v>
      </c>
      <c r="D2231" s="16" t="s">
        <v>184</v>
      </c>
      <c r="E2231" s="16" t="s">
        <v>254</v>
      </c>
      <c r="F2231" s="16" t="s">
        <v>255</v>
      </c>
      <c r="G2231" s="16" t="s">
        <v>256</v>
      </c>
      <c r="H2231" s="16" t="s">
        <v>2887</v>
      </c>
    </row>
    <row r="2232" ht="20.25" customHeight="1">
      <c r="A2232" s="32" t="str">
        <f>IMAGE("https://gymvisual.com/11483-catalog_default/gorilla-chin-female.jpg",4,500,500)</f>
        <v/>
      </c>
      <c r="B2232" s="30">
        <v>2231.0</v>
      </c>
      <c r="C2232" s="16" t="s">
        <v>2888</v>
      </c>
      <c r="D2232" s="16" t="s">
        <v>184</v>
      </c>
      <c r="E2232" s="16" t="s">
        <v>192</v>
      </c>
      <c r="F2232" s="16" t="s">
        <v>255</v>
      </c>
      <c r="G2232" s="16" t="s">
        <v>220</v>
      </c>
      <c r="H2232" s="16" t="s">
        <v>220</v>
      </c>
    </row>
    <row r="2233" ht="20.25" customHeight="1">
      <c r="A2233" s="32" t="str">
        <f>IMAGE("https://gymvisual.com/1420-catalog_default/3-4-sit-up.jpg",4,500,500)</f>
        <v/>
      </c>
      <c r="B2233" s="30">
        <v>2232.0</v>
      </c>
      <c r="C2233" s="16" t="s">
        <v>2889</v>
      </c>
      <c r="D2233" s="16" t="s">
        <v>184</v>
      </c>
      <c r="E2233" s="16" t="s">
        <v>192</v>
      </c>
      <c r="F2233" s="16" t="s">
        <v>255</v>
      </c>
      <c r="G2233" s="16" t="s">
        <v>2640</v>
      </c>
      <c r="H2233" s="16" t="s">
        <v>2890</v>
      </c>
    </row>
    <row r="2234" ht="20.25" customHeight="1">
      <c r="A2234" s="32" t="str">
        <f>IMAGE("https://gymvisual.com/1422-catalog_default/3-4-sit-up.jpg",4,500,500)</f>
        <v/>
      </c>
      <c r="B2234" s="30">
        <v>2233.0</v>
      </c>
      <c r="C2234" s="16" t="s">
        <v>2891</v>
      </c>
      <c r="D2234" s="16" t="s">
        <v>184</v>
      </c>
      <c r="E2234" s="16" t="s">
        <v>254</v>
      </c>
      <c r="F2234" s="16" t="s">
        <v>255</v>
      </c>
      <c r="G2234" s="16" t="s">
        <v>256</v>
      </c>
      <c r="H2234" s="16" t="s">
        <v>257</v>
      </c>
    </row>
    <row r="2235" ht="20.25" customHeight="1">
      <c r="A2235" s="32" t="str">
        <f>IMAGE("https://gymvisual.com/13447-catalog_default/groin-crunch-female.jpg",4,500,500)</f>
        <v/>
      </c>
      <c r="B2235" s="30">
        <v>2234.0</v>
      </c>
      <c r="C2235" s="16" t="s">
        <v>2892</v>
      </c>
      <c r="D2235" s="16" t="s">
        <v>184</v>
      </c>
      <c r="E2235" s="16" t="s">
        <v>254</v>
      </c>
      <c r="F2235" s="16" t="s">
        <v>255</v>
      </c>
      <c r="G2235" s="16" t="s">
        <v>220</v>
      </c>
      <c r="H2235" s="16" t="s">
        <v>220</v>
      </c>
    </row>
    <row r="2236" ht="20.25" customHeight="1">
      <c r="A2236" s="32" t="str">
        <f>IMAGE("https://gymvisual.com/6080-catalog_default/hack-calf-raise.jpg",4,500,500)</f>
        <v/>
      </c>
      <c r="B2236" s="30">
        <v>2235.0</v>
      </c>
      <c r="C2236" s="16" t="s">
        <v>823</v>
      </c>
      <c r="D2236" s="16" t="s">
        <v>184</v>
      </c>
      <c r="E2236" s="16" t="s">
        <v>325</v>
      </c>
      <c r="F2236" s="16" t="s">
        <v>2893</v>
      </c>
      <c r="G2236" s="16" t="s">
        <v>368</v>
      </c>
      <c r="H2236" s="16" t="s">
        <v>463</v>
      </c>
    </row>
    <row r="2237" ht="20.25" customHeight="1">
      <c r="A2237" s="32" t="str">
        <f>IMAGE("https://gymvisual.com/6081-catalog_default/hack-one-leg-calf-raise.jpg",4,500,500)</f>
        <v/>
      </c>
      <c r="B2237" s="30">
        <v>2236.0</v>
      </c>
      <c r="C2237" s="16" t="s">
        <v>2894</v>
      </c>
      <c r="D2237" s="16" t="s">
        <v>184</v>
      </c>
      <c r="E2237" s="16" t="s">
        <v>325</v>
      </c>
      <c r="F2237" s="16" t="s">
        <v>2893</v>
      </c>
      <c r="G2237" s="16" t="s">
        <v>368</v>
      </c>
      <c r="H2237" s="16" t="s">
        <v>463</v>
      </c>
    </row>
    <row r="2238" ht="20.25" customHeight="1">
      <c r="A2238" s="32" t="str">
        <f>IMAGE("https://gymvisual.com/12879-catalog_default/half-sit-up-male.jpg",4,500,500)</f>
        <v/>
      </c>
      <c r="B2238" s="30">
        <v>2237.0</v>
      </c>
      <c r="C2238" s="16" t="s">
        <v>2895</v>
      </c>
      <c r="D2238" s="16" t="s">
        <v>184</v>
      </c>
      <c r="E2238" s="16" t="s">
        <v>254</v>
      </c>
      <c r="F2238" s="16" t="s">
        <v>255</v>
      </c>
      <c r="G2238" s="16" t="s">
        <v>305</v>
      </c>
      <c r="H2238" s="16" t="s">
        <v>257</v>
      </c>
    </row>
    <row r="2239" ht="20.25" customHeight="1">
      <c r="A2239" s="32" t="str">
        <f>IMAGE("https://gymvisual.com/4624-catalog_default/half-wipers-bent-leg.jpg",4,500,500)</f>
        <v/>
      </c>
      <c r="B2239" s="30">
        <v>2238.0</v>
      </c>
      <c r="C2239" s="16" t="s">
        <v>2896</v>
      </c>
      <c r="D2239" s="16" t="s">
        <v>184</v>
      </c>
      <c r="E2239" s="16" t="s">
        <v>254</v>
      </c>
      <c r="F2239" s="16" t="s">
        <v>255</v>
      </c>
      <c r="G2239" s="16" t="s">
        <v>257</v>
      </c>
      <c r="H2239" s="16" t="s">
        <v>220</v>
      </c>
    </row>
    <row r="2240" ht="20.25" customHeight="1">
      <c r="A2240" s="32" t="str">
        <f>IMAGE("https://gymvisual.com/7717-catalog_default/hammer-grip-pull-up-on-dip-cage.jpg",4,500,500)</f>
        <v/>
      </c>
      <c r="B2240" s="30">
        <v>2239.0</v>
      </c>
      <c r="C2240" s="16" t="s">
        <v>2897</v>
      </c>
      <c r="D2240" s="16" t="s">
        <v>184</v>
      </c>
      <c r="E2240" s="16" t="s">
        <v>192</v>
      </c>
      <c r="F2240" s="16" t="s">
        <v>255</v>
      </c>
      <c r="G2240" s="16" t="s">
        <v>300</v>
      </c>
      <c r="H2240" s="16" t="s">
        <v>387</v>
      </c>
    </row>
    <row r="2241" ht="20.25" customHeight="1">
      <c r="A2241" s="32" t="str">
        <f>IMAGE("https://gymvisual.com/17140-catalog_default/hammer-grip-pull-up-on-dip-cage-female.jpg",4,500,500)</f>
        <v/>
      </c>
      <c r="B2241" s="30">
        <v>2240.0</v>
      </c>
      <c r="C2241" s="16" t="s">
        <v>2898</v>
      </c>
      <c r="D2241" s="16" t="s">
        <v>184</v>
      </c>
      <c r="E2241" s="16" t="s">
        <v>192</v>
      </c>
      <c r="F2241" s="16" t="s">
        <v>255</v>
      </c>
      <c r="G2241" s="16" t="s">
        <v>300</v>
      </c>
      <c r="H2241" s="16" t="s">
        <v>2899</v>
      </c>
    </row>
    <row r="2242" ht="20.25" customHeight="1">
      <c r="A2242" s="32" t="str">
        <f>IMAGE("https://gymvisual.com/1425-catalog_default/3-4-sit-up.jpg",4,500,500)</f>
        <v/>
      </c>
      <c r="B2242" s="30">
        <v>2241.0</v>
      </c>
      <c r="C2242" s="16" t="s">
        <v>2900</v>
      </c>
      <c r="D2242" s="16" t="s">
        <v>184</v>
      </c>
      <c r="E2242" s="16" t="s">
        <v>254</v>
      </c>
      <c r="F2242" s="16" t="s">
        <v>255</v>
      </c>
      <c r="G2242" s="16" t="s">
        <v>260</v>
      </c>
      <c r="H2242" s="16" t="s">
        <v>220</v>
      </c>
    </row>
    <row r="2243" ht="20.25" customHeight="1">
      <c r="A2243" s="32" t="str">
        <f>IMAGE("https://gymvisual.com/13647-catalog_default/hand-spring-wrist-curl.jpg",4,500,500)</f>
        <v/>
      </c>
      <c r="B2243" s="30">
        <v>2242.0</v>
      </c>
      <c r="C2243" s="16" t="s">
        <v>2901</v>
      </c>
      <c r="D2243" s="16" t="s">
        <v>184</v>
      </c>
      <c r="E2243" s="16" t="s">
        <v>214</v>
      </c>
      <c r="F2243" s="16" t="s">
        <v>396</v>
      </c>
      <c r="G2243" s="16" t="s">
        <v>720</v>
      </c>
      <c r="H2243" s="16" t="s">
        <v>220</v>
      </c>
    </row>
    <row r="2244" ht="20.25" customHeight="1">
      <c r="A2244" s="32" t="str">
        <f>IMAGE("https://gymvisual.com/17783-catalog_default/hands-release-push-up-female.jpg",4,500,500)</f>
        <v/>
      </c>
      <c r="B2244" s="30">
        <v>2243.0</v>
      </c>
      <c r="C2244" s="16" t="s">
        <v>2902</v>
      </c>
      <c r="D2244" s="16" t="s">
        <v>184</v>
      </c>
      <c r="E2244" s="16" t="s">
        <v>234</v>
      </c>
      <c r="F2244" s="16" t="s">
        <v>255</v>
      </c>
      <c r="G2244" s="16" t="s">
        <v>220</v>
      </c>
      <c r="H2244" s="16" t="s">
        <v>220</v>
      </c>
    </row>
    <row r="2245" ht="20.25" customHeight="1">
      <c r="A2245" s="32" t="str">
        <f>IMAGE("https://gymvisual.com/1428-catalog_default/3-4-sit-up.jpg",4,500,500)</f>
        <v/>
      </c>
      <c r="B2245" s="30">
        <v>2244.0</v>
      </c>
      <c r="C2245" s="16" t="s">
        <v>2903</v>
      </c>
      <c r="D2245" s="16" t="s">
        <v>184</v>
      </c>
      <c r="E2245" s="16" t="s">
        <v>228</v>
      </c>
      <c r="F2245" s="16" t="s">
        <v>255</v>
      </c>
      <c r="G2245" s="16" t="s">
        <v>223</v>
      </c>
      <c r="H2245" s="16" t="s">
        <v>2904</v>
      </c>
    </row>
    <row r="2246" ht="20.25" customHeight="1">
      <c r="A2246" s="32" t="str">
        <f>IMAGE("https://gymvisual.com/10312-catalog_default/handstand-push-up-female.jpg",4,500,500)</f>
        <v/>
      </c>
      <c r="B2246" s="30">
        <v>2245.0</v>
      </c>
      <c r="C2246" s="16" t="s">
        <v>2905</v>
      </c>
      <c r="D2246" s="16" t="s">
        <v>184</v>
      </c>
      <c r="E2246" s="16" t="s">
        <v>219</v>
      </c>
      <c r="F2246" s="16" t="s">
        <v>255</v>
      </c>
      <c r="G2246" s="16" t="s">
        <v>223</v>
      </c>
      <c r="H2246" s="16" t="s">
        <v>2906</v>
      </c>
    </row>
    <row r="2247" ht="20.25" customHeight="1">
      <c r="A2247" s="32" t="str">
        <f>IMAGE("https://gymvisual.com/17779-catalog_default/handstand-shoulder-press-with-wall-between-benches.jpg",4,500,500)</f>
        <v/>
      </c>
      <c r="B2247" s="30">
        <v>2246.0</v>
      </c>
      <c r="C2247" s="16" t="s">
        <v>2907</v>
      </c>
      <c r="D2247" s="16" t="s">
        <v>184</v>
      </c>
      <c r="E2247" s="16" t="s">
        <v>228</v>
      </c>
      <c r="F2247" s="16" t="s">
        <v>255</v>
      </c>
      <c r="G2247" s="16" t="s">
        <v>220</v>
      </c>
      <c r="H2247" s="16" t="s">
        <v>220</v>
      </c>
    </row>
    <row r="2248" ht="20.25" customHeight="1">
      <c r="A2248" s="32" t="str">
        <f>IMAGE("https://gymvisual.com/19415-catalog_default/hanging-deadbug.jpg",4,500,500)</f>
        <v/>
      </c>
      <c r="B2248" s="30">
        <v>2247.0</v>
      </c>
      <c r="C2248" s="16" t="s">
        <v>2908</v>
      </c>
      <c r="D2248" s="16" t="s">
        <v>184</v>
      </c>
      <c r="E2248" s="16" t="s">
        <v>185</v>
      </c>
      <c r="F2248" s="16" t="s">
        <v>255</v>
      </c>
      <c r="G2248" s="16" t="s">
        <v>305</v>
      </c>
      <c r="H2248" s="16" t="s">
        <v>1306</v>
      </c>
    </row>
    <row r="2249" ht="20.25" customHeight="1">
      <c r="A2249" s="32" t="str">
        <f>IMAGE("https://gymvisual.com/20702-catalog_default/hanging-flutter-kick.jpg",4,500,500)</f>
        <v/>
      </c>
      <c r="B2249" s="30">
        <v>2248.0</v>
      </c>
      <c r="C2249" s="16" t="s">
        <v>2909</v>
      </c>
      <c r="D2249" s="16" t="s">
        <v>184</v>
      </c>
      <c r="E2249" s="16" t="s">
        <v>254</v>
      </c>
      <c r="F2249" s="16" t="s">
        <v>255</v>
      </c>
      <c r="G2249" s="16" t="s">
        <v>305</v>
      </c>
      <c r="H2249" s="16" t="s">
        <v>1306</v>
      </c>
    </row>
    <row r="2250" ht="20.25" customHeight="1">
      <c r="A2250" s="32" t="str">
        <f>IMAGE("https://gymvisual.com/22430-catalog_default/hanging-half-windmill.jpg",4,500,500)</f>
        <v/>
      </c>
      <c r="B2250" s="30">
        <v>2249.0</v>
      </c>
      <c r="C2250" s="16" t="s">
        <v>2910</v>
      </c>
      <c r="D2250" s="16" t="s">
        <v>184</v>
      </c>
      <c r="E2250" s="16" t="s">
        <v>254</v>
      </c>
      <c r="F2250" s="16" t="s">
        <v>255</v>
      </c>
      <c r="G2250" s="16" t="s">
        <v>220</v>
      </c>
      <c r="H2250" s="16" t="s">
        <v>220</v>
      </c>
    </row>
    <row r="2251" ht="20.25" customHeight="1">
      <c r="A2251" s="32" t="str">
        <f>IMAGE("https://gymvisual.com/22279-catalog_default/hanging-knee-circle-raise.jpg",4,500,500)</f>
        <v/>
      </c>
      <c r="B2251" s="30">
        <v>2250.0</v>
      </c>
      <c r="C2251" s="16" t="s">
        <v>2911</v>
      </c>
      <c r="D2251" s="16" t="s">
        <v>184</v>
      </c>
      <c r="E2251" s="16" t="s">
        <v>185</v>
      </c>
      <c r="F2251" s="16" t="s">
        <v>255</v>
      </c>
      <c r="G2251" s="16" t="s">
        <v>220</v>
      </c>
      <c r="H2251" s="16" t="s">
        <v>220</v>
      </c>
    </row>
    <row r="2252" ht="20.25" customHeight="1">
      <c r="A2252" s="32" t="str">
        <f>IMAGE("https://gymvisual.com/20690-catalog_default/hanging-knees-to-elbows.jpg",4,500,500)</f>
        <v/>
      </c>
      <c r="B2252" s="30">
        <v>2251.0</v>
      </c>
      <c r="C2252" s="16" t="s">
        <v>2912</v>
      </c>
      <c r="D2252" s="16" t="s">
        <v>184</v>
      </c>
      <c r="E2252" s="16" t="s">
        <v>254</v>
      </c>
      <c r="F2252" s="16" t="s">
        <v>255</v>
      </c>
      <c r="G2252" s="16" t="s">
        <v>305</v>
      </c>
      <c r="H2252" s="16" t="s">
        <v>319</v>
      </c>
    </row>
    <row r="2253" ht="20.25" customHeight="1">
      <c r="A2253" s="32" t="str">
        <f>IMAGE("https://gymvisual.com/7590-catalog_default/hanging-leg-hip-raise.jpg",4,500,500)</f>
        <v/>
      </c>
      <c r="B2253" s="30">
        <v>2252.0</v>
      </c>
      <c r="C2253" s="16" t="s">
        <v>2913</v>
      </c>
      <c r="D2253" s="16" t="s">
        <v>184</v>
      </c>
      <c r="E2253" s="16" t="s">
        <v>254</v>
      </c>
      <c r="F2253" s="16" t="s">
        <v>255</v>
      </c>
      <c r="G2253" s="16" t="s">
        <v>305</v>
      </c>
      <c r="H2253" s="16" t="s">
        <v>600</v>
      </c>
    </row>
    <row r="2254" ht="20.25" customHeight="1">
      <c r="A2254" s="32" t="str">
        <f>IMAGE("https://gymvisual.com/11212-catalog_default/hanging-leg-hip-raise-female.jpg",4,500,500)</f>
        <v/>
      </c>
      <c r="B2254" s="30">
        <v>2253.0</v>
      </c>
      <c r="C2254" s="16" t="s">
        <v>2914</v>
      </c>
      <c r="D2254" s="16" t="s">
        <v>184</v>
      </c>
      <c r="E2254" s="16" t="s">
        <v>310</v>
      </c>
      <c r="F2254" s="16" t="s">
        <v>255</v>
      </c>
      <c r="G2254" s="16" t="s">
        <v>305</v>
      </c>
      <c r="H2254" s="16" t="s">
        <v>600</v>
      </c>
    </row>
    <row r="2255" ht="20.25" customHeight="1">
      <c r="A2255" s="32" t="str">
        <f>IMAGE("https://gymvisual.com/1431-catalog_default/3-4-sit-up.jpg",4,500,500)</f>
        <v/>
      </c>
      <c r="B2255" s="30">
        <v>2254.0</v>
      </c>
      <c r="C2255" s="16" t="s">
        <v>2915</v>
      </c>
      <c r="D2255" s="16" t="s">
        <v>184</v>
      </c>
      <c r="E2255" s="16" t="s">
        <v>185</v>
      </c>
      <c r="F2255" s="16" t="s">
        <v>255</v>
      </c>
      <c r="G2255" s="16" t="s">
        <v>271</v>
      </c>
      <c r="H2255" s="16" t="s">
        <v>2916</v>
      </c>
    </row>
    <row r="2256" ht="20.25" customHeight="1">
      <c r="A2256" s="32" t="str">
        <f>IMAGE("https://gymvisual.com/7573-catalog_default/hanging-oblique-knee-raise.jpg",4,500,500)</f>
        <v/>
      </c>
      <c r="B2256" s="30">
        <v>2255.0</v>
      </c>
      <c r="C2256" s="16" t="s">
        <v>2917</v>
      </c>
      <c r="D2256" s="16" t="s">
        <v>184</v>
      </c>
      <c r="E2256" s="16" t="s">
        <v>254</v>
      </c>
      <c r="F2256" s="16" t="s">
        <v>255</v>
      </c>
      <c r="G2256" s="16" t="s">
        <v>424</v>
      </c>
      <c r="H2256" s="16" t="s">
        <v>2918</v>
      </c>
    </row>
    <row r="2257" ht="20.25" customHeight="1">
      <c r="A2257" s="32" t="str">
        <f>IMAGE("https://gymvisual.com/13449-catalog_default/hanging-oblique-knee-raise-female.jpg",4,500,500)</f>
        <v/>
      </c>
      <c r="B2257" s="30">
        <v>2256.0</v>
      </c>
      <c r="C2257" s="16" t="s">
        <v>2919</v>
      </c>
      <c r="D2257" s="16" t="s">
        <v>184</v>
      </c>
      <c r="E2257" s="16" t="s">
        <v>254</v>
      </c>
      <c r="F2257" s="16" t="s">
        <v>255</v>
      </c>
      <c r="G2257" s="16" t="s">
        <v>263</v>
      </c>
      <c r="H2257" s="16" t="s">
        <v>2920</v>
      </c>
    </row>
    <row r="2258" ht="20.25" customHeight="1">
      <c r="A2258" s="32" t="str">
        <f>IMAGE("https://gymvisual.com/1434-catalog_default/3-4-sit-up.jpg",4,500,500)</f>
        <v/>
      </c>
      <c r="B2258" s="30">
        <v>2257.0</v>
      </c>
      <c r="C2258" s="16" t="s">
        <v>2921</v>
      </c>
      <c r="D2258" s="16" t="s">
        <v>184</v>
      </c>
      <c r="E2258" s="16" t="s">
        <v>254</v>
      </c>
      <c r="F2258" s="16" t="s">
        <v>255</v>
      </c>
      <c r="G2258" s="16" t="s">
        <v>256</v>
      </c>
      <c r="H2258" s="16" t="s">
        <v>2922</v>
      </c>
    </row>
    <row r="2259" ht="20.25" customHeight="1">
      <c r="A2259" s="32" t="str">
        <f>IMAGE("https://gymvisual.com/11486-catalog_default/hanging-pike-female.jpg",4,500,500)</f>
        <v/>
      </c>
      <c r="B2259" s="30">
        <v>2258.0</v>
      </c>
      <c r="C2259" s="16" t="s">
        <v>2923</v>
      </c>
      <c r="D2259" s="16" t="s">
        <v>184</v>
      </c>
      <c r="E2259" s="16" t="s">
        <v>254</v>
      </c>
      <c r="F2259" s="16" t="s">
        <v>255</v>
      </c>
      <c r="G2259" s="16" t="s">
        <v>220</v>
      </c>
      <c r="H2259" s="16" t="s">
        <v>220</v>
      </c>
    </row>
    <row r="2260" ht="20.25" customHeight="1">
      <c r="A2260" s="32" t="str">
        <f>IMAGE("https://gymvisual.com/17997-catalog_default/hanging-scapular-shrug.jpg",4,500,500)</f>
        <v/>
      </c>
      <c r="B2260" s="30">
        <v>2259.0</v>
      </c>
      <c r="C2260" s="16" t="s">
        <v>2924</v>
      </c>
      <c r="D2260" s="16" t="s">
        <v>184</v>
      </c>
      <c r="E2260" s="16" t="s">
        <v>192</v>
      </c>
      <c r="F2260" s="16" t="s">
        <v>255</v>
      </c>
      <c r="G2260" s="16" t="s">
        <v>220</v>
      </c>
      <c r="H2260" s="16" t="s">
        <v>220</v>
      </c>
    </row>
    <row r="2261" ht="20.25" customHeight="1">
      <c r="A2261" s="32" t="str">
        <f>IMAGE("https://gymvisual.com/1437-catalog_default/3-4-sit-up.jpg",4,500,500)</f>
        <v/>
      </c>
      <c r="B2261" s="30">
        <v>2260.0</v>
      </c>
      <c r="C2261" s="16" t="s">
        <v>2925</v>
      </c>
      <c r="D2261" s="16" t="s">
        <v>184</v>
      </c>
      <c r="E2261" s="16" t="s">
        <v>254</v>
      </c>
      <c r="F2261" s="16" t="s">
        <v>255</v>
      </c>
      <c r="G2261" s="16" t="s">
        <v>256</v>
      </c>
      <c r="H2261" s="16" t="s">
        <v>2926</v>
      </c>
    </row>
    <row r="2262" ht="20.25" customHeight="1">
      <c r="A2262" s="32" t="str">
        <f>IMAGE("https://gymvisual.com/14272-catalog_default/hanging-straight-leg-hip-raise-female.jpg",4,500,500)</f>
        <v/>
      </c>
      <c r="B2262" s="30">
        <v>2261.0</v>
      </c>
      <c r="C2262" s="16" t="s">
        <v>2927</v>
      </c>
      <c r="D2262" s="16" t="s">
        <v>184</v>
      </c>
      <c r="E2262" s="16" t="s">
        <v>310</v>
      </c>
      <c r="F2262" s="16" t="s">
        <v>255</v>
      </c>
      <c r="G2262" s="16" t="s">
        <v>305</v>
      </c>
      <c r="H2262" s="16" t="s">
        <v>2928</v>
      </c>
    </row>
    <row r="2263" ht="20.25" customHeight="1">
      <c r="A2263" s="32" t="str">
        <f>IMAGE("https://gymvisual.com/24922-catalog_default/3-4-sit-up.jpg",4,500,500)</f>
        <v/>
      </c>
      <c r="B2263" s="30">
        <v>2262.0</v>
      </c>
      <c r="C2263" s="16" t="s">
        <v>2929</v>
      </c>
      <c r="D2263" s="16" t="s">
        <v>184</v>
      </c>
      <c r="E2263" s="16" t="s">
        <v>185</v>
      </c>
      <c r="F2263" s="16" t="s">
        <v>255</v>
      </c>
      <c r="G2263" s="16" t="s">
        <v>271</v>
      </c>
      <c r="H2263" s="16" t="s">
        <v>566</v>
      </c>
    </row>
    <row r="2264" ht="20.25" customHeight="1">
      <c r="A2264" s="32" t="str">
        <f>IMAGE("https://gymvisual.com/11149-catalog_default/hanging-straight-leg-raise-female.jpg",4,500,500)</f>
        <v/>
      </c>
      <c r="B2264" s="30">
        <v>2263.0</v>
      </c>
      <c r="C2264" s="16" t="s">
        <v>2930</v>
      </c>
      <c r="D2264" s="16" t="s">
        <v>184</v>
      </c>
      <c r="E2264" s="16" t="s">
        <v>310</v>
      </c>
      <c r="F2264" s="16" t="s">
        <v>255</v>
      </c>
      <c r="G2264" s="16" t="s">
        <v>305</v>
      </c>
      <c r="H2264" s="16" t="s">
        <v>1306</v>
      </c>
    </row>
    <row r="2265" ht="20.25" customHeight="1">
      <c r="A2265" s="32" t="str">
        <f>IMAGE("https://gymvisual.com/20630-catalog_default/3-4-sit-up.jpg",4,500,500)</f>
        <v/>
      </c>
      <c r="B2265" s="30">
        <v>2264.0</v>
      </c>
      <c r="C2265" s="16" t="s">
        <v>2931</v>
      </c>
      <c r="D2265" s="16" t="s">
        <v>184</v>
      </c>
      <c r="E2265" s="16" t="s">
        <v>254</v>
      </c>
      <c r="F2265" s="16" t="s">
        <v>255</v>
      </c>
      <c r="G2265" s="16" t="s">
        <v>260</v>
      </c>
      <c r="H2265" s="16" t="s">
        <v>2932</v>
      </c>
    </row>
    <row r="2266" ht="20.25" customHeight="1">
      <c r="A2266" s="32" t="str">
        <f>IMAGE("https://gymvisual.com/11607-catalog_default/hanging-straight-twisting-leg-hip-raise-female.jpg",4,500,500)</f>
        <v/>
      </c>
      <c r="B2266" s="30">
        <v>2265.0</v>
      </c>
      <c r="C2266" s="16" t="s">
        <v>2933</v>
      </c>
      <c r="D2266" s="16" t="s">
        <v>184</v>
      </c>
      <c r="E2266" s="16" t="s">
        <v>310</v>
      </c>
      <c r="F2266" s="16" t="s">
        <v>255</v>
      </c>
      <c r="G2266" s="16" t="s">
        <v>220</v>
      </c>
      <c r="H2266" s="16" t="s">
        <v>220</v>
      </c>
    </row>
    <row r="2267" ht="20.25" customHeight="1">
      <c r="A2267" s="32" t="str">
        <f>IMAGE("https://gymvisual.com/17125-catalog_default/hanging-toes-to-bar.jpg",4,500,500)</f>
        <v/>
      </c>
      <c r="B2267" s="30">
        <v>2266.0</v>
      </c>
      <c r="C2267" s="16" t="s">
        <v>2934</v>
      </c>
      <c r="D2267" s="16" t="s">
        <v>184</v>
      </c>
      <c r="E2267" s="16" t="s">
        <v>254</v>
      </c>
      <c r="F2267" s="16" t="s">
        <v>255</v>
      </c>
      <c r="G2267" s="16" t="s">
        <v>305</v>
      </c>
      <c r="H2267" s="16" t="s">
        <v>600</v>
      </c>
    </row>
    <row r="2268" ht="20.25" customHeight="1">
      <c r="A2268" s="32" t="str">
        <f>IMAGE("https://gymvisual.com/13693-catalog_default/hawaian-squat.jpg",4,500,500)</f>
        <v/>
      </c>
      <c r="B2268" s="30">
        <v>2267.0</v>
      </c>
      <c r="C2268" s="16" t="s">
        <v>2935</v>
      </c>
      <c r="D2268" s="16" t="s">
        <v>184</v>
      </c>
      <c r="E2268" s="16" t="s">
        <v>294</v>
      </c>
      <c r="F2268" s="16" t="s">
        <v>255</v>
      </c>
      <c r="G2268" s="16" t="s">
        <v>189</v>
      </c>
      <c r="H2268" s="16" t="s">
        <v>2512</v>
      </c>
    </row>
    <row r="2269" ht="20.25" customHeight="1">
      <c r="A2269" s="32" t="str">
        <f>IMAGE("https://gymvisual.com/17743-catalog_default/heel-drops.jpg",4,500,500)</f>
        <v/>
      </c>
      <c r="B2269" s="30">
        <v>2268.0</v>
      </c>
      <c r="C2269" s="16" t="s">
        <v>2936</v>
      </c>
      <c r="D2269" s="16" t="s">
        <v>184</v>
      </c>
      <c r="E2269" s="16" t="s">
        <v>185</v>
      </c>
      <c r="F2269" s="16" t="s">
        <v>255</v>
      </c>
      <c r="G2269" s="16" t="s">
        <v>220</v>
      </c>
      <c r="H2269" s="16" t="s">
        <v>220</v>
      </c>
    </row>
    <row r="2270" ht="20.25" customHeight="1">
      <c r="A2270" s="32" t="str">
        <f>IMAGE("https://gymvisual.com/22476-catalog_default/high-bar-inverted-row.jpg",4,500,500)</f>
        <v/>
      </c>
      <c r="B2270" s="30">
        <v>2269.0</v>
      </c>
      <c r="C2270" s="16" t="s">
        <v>2937</v>
      </c>
      <c r="D2270" s="16" t="s">
        <v>184</v>
      </c>
      <c r="E2270" s="16" t="s">
        <v>192</v>
      </c>
      <c r="F2270" s="16" t="s">
        <v>255</v>
      </c>
      <c r="G2270" s="16" t="s">
        <v>220</v>
      </c>
      <c r="H2270" s="16" t="s">
        <v>220</v>
      </c>
    </row>
    <row r="2271" ht="20.25" customHeight="1">
      <c r="A2271" s="32" t="str">
        <f>IMAGE("https://gymvisual.com/23563-catalog_default/high-knee-run-female.jpg",4,500,500)</f>
        <v/>
      </c>
      <c r="B2271" s="30">
        <v>2270.0</v>
      </c>
      <c r="C2271" s="16" t="s">
        <v>2938</v>
      </c>
      <c r="D2271" s="16" t="s">
        <v>184</v>
      </c>
      <c r="E2271" s="16" t="s">
        <v>1162</v>
      </c>
      <c r="F2271" s="16" t="s">
        <v>255</v>
      </c>
      <c r="G2271" s="16" t="s">
        <v>220</v>
      </c>
      <c r="H2271" s="16" t="s">
        <v>220</v>
      </c>
    </row>
    <row r="2272" ht="20.25" customHeight="1">
      <c r="A2272" s="32" t="str">
        <f>IMAGE("https://gymvisual.com/23603-catalog_default/high-knee-squat-version-2-male.jpg",4,500,500)</f>
        <v/>
      </c>
      <c r="B2272" s="30">
        <v>2271.0</v>
      </c>
      <c r="C2272" s="16" t="s">
        <v>2939</v>
      </c>
      <c r="D2272" s="16" t="s">
        <v>184</v>
      </c>
      <c r="E2272" s="16" t="s">
        <v>321</v>
      </c>
      <c r="F2272" s="16" t="s">
        <v>255</v>
      </c>
      <c r="G2272" s="16" t="s">
        <v>220</v>
      </c>
      <c r="H2272" s="16" t="s">
        <v>220</v>
      </c>
    </row>
    <row r="2273" ht="20.25" customHeight="1">
      <c r="A2273" s="32" t="str">
        <f>IMAGE("https://gymvisual.com/22801-catalog_default/hip-clam-shell.jpg",4,500,500)</f>
        <v/>
      </c>
      <c r="B2273" s="30">
        <v>2272.0</v>
      </c>
      <c r="C2273" s="16" t="s">
        <v>2940</v>
      </c>
      <c r="D2273" s="16" t="s">
        <v>184</v>
      </c>
      <c r="E2273" s="16" t="s">
        <v>185</v>
      </c>
      <c r="F2273" s="16" t="s">
        <v>255</v>
      </c>
      <c r="G2273" s="16" t="s">
        <v>475</v>
      </c>
      <c r="H2273" s="16" t="s">
        <v>476</v>
      </c>
    </row>
    <row r="2274" ht="20.25" customHeight="1">
      <c r="A2274" s="32" t="str">
        <f>IMAGE("https://gymvisual.com/1461-catalog_default/3-4-sit-up.jpg",4,500,500)</f>
        <v/>
      </c>
      <c r="B2274" s="30">
        <v>2273.0</v>
      </c>
      <c r="C2274" s="16" t="s">
        <v>2941</v>
      </c>
      <c r="D2274" s="16" t="s">
        <v>184</v>
      </c>
      <c r="E2274" s="16" t="s">
        <v>254</v>
      </c>
      <c r="F2274" s="16" t="s">
        <v>255</v>
      </c>
      <c r="G2274" s="16" t="s">
        <v>305</v>
      </c>
      <c r="H2274" s="16" t="s">
        <v>371</v>
      </c>
    </row>
    <row r="2275" ht="20.25" customHeight="1">
      <c r="A2275" s="32" t="str">
        <f>IMAGE("https://gymvisual.com/7692-catalog_default/hip-lift-low-back-off-floor.jpg",4,500,500)</f>
        <v/>
      </c>
      <c r="B2275" s="30">
        <v>2274.0</v>
      </c>
      <c r="C2275" s="16" t="s">
        <v>2942</v>
      </c>
      <c r="D2275" s="16" t="s">
        <v>184</v>
      </c>
      <c r="E2275" s="16" t="s">
        <v>254</v>
      </c>
      <c r="F2275" s="16" t="s">
        <v>255</v>
      </c>
      <c r="G2275" s="16" t="s">
        <v>220</v>
      </c>
      <c r="H2275" s="16" t="s">
        <v>220</v>
      </c>
    </row>
    <row r="2276" ht="20.25" customHeight="1">
      <c r="A2276" s="32" t="str">
        <f>IMAGE("https://gymvisual.com/1467-catalog_default/3-4-sit-up.jpg",4,500,500)</f>
        <v/>
      </c>
      <c r="B2276" s="30">
        <v>2275.0</v>
      </c>
      <c r="C2276" s="16" t="s">
        <v>2943</v>
      </c>
      <c r="D2276" s="16" t="s">
        <v>184</v>
      </c>
      <c r="E2276" s="16" t="s">
        <v>254</v>
      </c>
      <c r="F2276" s="16" t="s">
        <v>255</v>
      </c>
      <c r="G2276" s="16" t="s">
        <v>305</v>
      </c>
      <c r="H2276" s="16" t="s">
        <v>371</v>
      </c>
    </row>
    <row r="2277" ht="20.25" customHeight="1">
      <c r="A2277" s="32" t="str">
        <f>IMAGE("https://gymvisual.com/11489-catalog_default/hip-raise-bent-knee-female.jpg",4,500,500)</f>
        <v/>
      </c>
      <c r="B2277" s="30">
        <v>2276.0</v>
      </c>
      <c r="C2277" s="16" t="s">
        <v>2944</v>
      </c>
      <c r="D2277" s="16" t="s">
        <v>184</v>
      </c>
      <c r="E2277" s="16" t="s">
        <v>254</v>
      </c>
      <c r="F2277" s="16" t="s">
        <v>255</v>
      </c>
      <c r="G2277" s="16" t="s">
        <v>220</v>
      </c>
      <c r="H2277" s="16" t="s">
        <v>220</v>
      </c>
    </row>
    <row r="2278" ht="20.25" customHeight="1">
      <c r="A2278" s="32" t="str">
        <f>IMAGE("https://gymvisual.com/1473-catalog_default/3-4-sit-up.jpg",4,500,500)</f>
        <v/>
      </c>
      <c r="B2278" s="30">
        <v>2277.0</v>
      </c>
      <c r="C2278" s="16" t="s">
        <v>2945</v>
      </c>
      <c r="D2278" s="16" t="s">
        <v>184</v>
      </c>
      <c r="E2278" s="16" t="s">
        <v>254</v>
      </c>
      <c r="F2278" s="16" t="s">
        <v>255</v>
      </c>
      <c r="G2278" s="16" t="s">
        <v>256</v>
      </c>
      <c r="H2278" s="16" t="s">
        <v>2946</v>
      </c>
    </row>
    <row r="2279" ht="20.25" customHeight="1">
      <c r="A2279" s="32" t="str">
        <f>IMAGE("https://gymvisual.com/1470-catalog_default/3-4-sit-up.jpg",4,500,500)</f>
        <v/>
      </c>
      <c r="B2279" s="30">
        <v>2278.0</v>
      </c>
      <c r="C2279" s="16" t="s">
        <v>2947</v>
      </c>
      <c r="D2279" s="16" t="s">
        <v>184</v>
      </c>
      <c r="E2279" s="16" t="s">
        <v>254</v>
      </c>
      <c r="F2279" s="16" t="s">
        <v>255</v>
      </c>
      <c r="G2279" s="16" t="s">
        <v>256</v>
      </c>
      <c r="H2279" s="16" t="s">
        <v>1330</v>
      </c>
    </row>
    <row r="2280" ht="20.25" customHeight="1">
      <c r="A2280" s="32" t="str">
        <f>IMAGE("https://gymvisual.com/1476-catalog_default/3-4-sit-up.jpg",4,500,500)</f>
        <v/>
      </c>
      <c r="B2280" s="30">
        <v>2279.0</v>
      </c>
      <c r="C2280" s="16" t="s">
        <v>2948</v>
      </c>
      <c r="D2280" s="16" t="s">
        <v>184</v>
      </c>
      <c r="E2280" s="16" t="s">
        <v>185</v>
      </c>
      <c r="F2280" s="16" t="s">
        <v>255</v>
      </c>
      <c r="G2280" s="16" t="s">
        <v>256</v>
      </c>
      <c r="H2280" s="16" t="s">
        <v>2949</v>
      </c>
    </row>
    <row r="2281" ht="20.25" customHeight="1">
      <c r="A2281" s="32" t="str">
        <f>IMAGE("https://gymvisual.com/19439-catalog_default/hip-roll-plank.jpg",4,500,500)</f>
        <v/>
      </c>
      <c r="B2281" s="30">
        <v>2280.0</v>
      </c>
      <c r="C2281" s="16" t="s">
        <v>2950</v>
      </c>
      <c r="D2281" s="16" t="s">
        <v>184</v>
      </c>
      <c r="E2281" s="16" t="s">
        <v>254</v>
      </c>
      <c r="F2281" s="16" t="s">
        <v>255</v>
      </c>
      <c r="G2281" s="16" t="s">
        <v>220</v>
      </c>
      <c r="H2281" s="16" t="s">
        <v>220</v>
      </c>
    </row>
    <row r="2282" ht="20.25" customHeight="1">
      <c r="A2282" s="32" t="str">
        <f>IMAGE("https://gymvisual.com/23629-catalog_default/hip-swirls.jpg",4,500,500)</f>
        <v/>
      </c>
      <c r="B2282" s="30">
        <v>2281.0</v>
      </c>
      <c r="C2282" s="16" t="s">
        <v>2951</v>
      </c>
      <c r="D2282" s="16" t="s">
        <v>184</v>
      </c>
      <c r="E2282" s="16" t="s">
        <v>185</v>
      </c>
      <c r="F2282" s="16" t="s">
        <v>255</v>
      </c>
      <c r="G2282" s="16" t="s">
        <v>2952</v>
      </c>
      <c r="H2282" s="16" t="s">
        <v>2953</v>
      </c>
    </row>
    <row r="2283" ht="20.25" customHeight="1">
      <c r="A2283" s="32" t="str">
        <f>IMAGE("https://gymvisual.com/10103-catalog_default/hip-thrusts.jpg",4,500,500)</f>
        <v/>
      </c>
      <c r="B2283" s="30">
        <v>2282.0</v>
      </c>
      <c r="C2283" s="16" t="s">
        <v>2954</v>
      </c>
      <c r="D2283" s="16" t="s">
        <v>184</v>
      </c>
      <c r="E2283" s="16" t="s">
        <v>185</v>
      </c>
      <c r="F2283" s="16" t="s">
        <v>255</v>
      </c>
      <c r="G2283" s="16" t="s">
        <v>220</v>
      </c>
      <c r="H2283" s="16" t="s">
        <v>220</v>
      </c>
    </row>
    <row r="2284" ht="20.25" customHeight="1">
      <c r="A2284" s="32" t="str">
        <f>IMAGE("https://gymvisual.com/8770-catalog_default/hip-thrusts-female.jpg",4,500,500)</f>
        <v/>
      </c>
      <c r="B2284" s="30">
        <v>2283.0</v>
      </c>
      <c r="C2284" s="16" t="s">
        <v>2955</v>
      </c>
      <c r="D2284" s="16" t="s">
        <v>184</v>
      </c>
      <c r="E2284" s="16" t="s">
        <v>185</v>
      </c>
      <c r="F2284" s="16" t="s">
        <v>255</v>
      </c>
      <c r="G2284" s="16" t="s">
        <v>187</v>
      </c>
      <c r="H2284" s="16" t="s">
        <v>854</v>
      </c>
    </row>
    <row r="2285" ht="20.25" customHeight="1">
      <c r="A2285" s="32" t="str">
        <f>IMAGE("https://gymvisual.com/4622-catalog_default/hollow-hold.jpg",4,500,500)</f>
        <v/>
      </c>
      <c r="B2285" s="30">
        <v>2284.0</v>
      </c>
      <c r="C2285" s="16" t="s">
        <v>2956</v>
      </c>
      <c r="D2285" s="16" t="s">
        <v>184</v>
      </c>
      <c r="E2285" s="16" t="s">
        <v>254</v>
      </c>
      <c r="F2285" s="16" t="s">
        <v>255</v>
      </c>
      <c r="G2285" s="16" t="s">
        <v>305</v>
      </c>
      <c r="H2285" s="16" t="s">
        <v>319</v>
      </c>
    </row>
    <row r="2286" ht="20.25" customHeight="1">
      <c r="A2286" s="32" t="str">
        <f>IMAGE("https://gymvisual.com/19379-catalog_default/hyght-dumbbell-fly.jpg",4,500,500)</f>
        <v/>
      </c>
      <c r="B2286" s="30">
        <v>2285.0</v>
      </c>
      <c r="C2286" s="16" t="s">
        <v>2957</v>
      </c>
      <c r="D2286" s="16" t="s">
        <v>184</v>
      </c>
      <c r="E2286" s="16" t="s">
        <v>234</v>
      </c>
      <c r="F2286" s="16" t="s">
        <v>222</v>
      </c>
      <c r="G2286" s="16" t="s">
        <v>415</v>
      </c>
      <c r="H2286" s="16" t="s">
        <v>236</v>
      </c>
    </row>
    <row r="2287" ht="20.25" customHeight="1">
      <c r="A2287" s="32" t="str">
        <f>IMAGE("https://gymvisual.com/13884-catalog_default/hyght-dumbbell-fly-female.jpg",4,500,500)</f>
        <v/>
      </c>
      <c r="B2287" s="30">
        <v>2286.0</v>
      </c>
      <c r="C2287" s="16" t="s">
        <v>2958</v>
      </c>
      <c r="D2287" s="16" t="s">
        <v>184</v>
      </c>
      <c r="E2287" s="16" t="s">
        <v>234</v>
      </c>
      <c r="F2287" s="16" t="s">
        <v>222</v>
      </c>
      <c r="G2287" s="16" t="s">
        <v>220</v>
      </c>
      <c r="H2287" s="16" t="s">
        <v>220</v>
      </c>
    </row>
    <row r="2288" ht="20.25" customHeight="1">
      <c r="A2288" s="32" t="str">
        <f>IMAGE("https://gymvisual.com/19339-catalog_default/3-4-sit-up.jpg",4,500,500)</f>
        <v/>
      </c>
      <c r="B2288" s="30">
        <v>2287.0</v>
      </c>
      <c r="C2288" s="16" t="s">
        <v>2959</v>
      </c>
      <c r="D2288" s="16" t="s">
        <v>184</v>
      </c>
      <c r="E2288" s="16" t="s">
        <v>254</v>
      </c>
      <c r="F2288" s="16" t="s">
        <v>255</v>
      </c>
      <c r="G2288" s="16" t="s">
        <v>275</v>
      </c>
      <c r="H2288" s="16" t="s">
        <v>2412</v>
      </c>
    </row>
    <row r="2289" ht="20.25" customHeight="1">
      <c r="A2289" s="32" t="str">
        <f>IMAGE("https://gymvisual.com/11152-catalog_default/hyperextension-female.jpg",4,500,500)</f>
        <v/>
      </c>
      <c r="B2289" s="30">
        <v>2288.0</v>
      </c>
      <c r="C2289" s="16" t="s">
        <v>2960</v>
      </c>
      <c r="D2289" s="16" t="s">
        <v>184</v>
      </c>
      <c r="E2289" s="16" t="s">
        <v>185</v>
      </c>
      <c r="F2289" s="16" t="s">
        <v>255</v>
      </c>
      <c r="G2289" s="16" t="s">
        <v>220</v>
      </c>
      <c r="H2289" s="16" t="s">
        <v>220</v>
      </c>
    </row>
    <row r="2290" ht="20.25" customHeight="1">
      <c r="A2290" s="32" t="str">
        <f>IMAGE("https://gymvisual.com/1479-catalog_default/3-4-sit-up.jpg",4,500,500)</f>
        <v/>
      </c>
      <c r="B2290" s="30">
        <v>2289.0</v>
      </c>
      <c r="C2290" s="16" t="s">
        <v>2961</v>
      </c>
      <c r="D2290" s="16" t="s">
        <v>184</v>
      </c>
      <c r="E2290" s="16" t="s">
        <v>254</v>
      </c>
      <c r="F2290" s="16" t="s">
        <v>255</v>
      </c>
      <c r="G2290" s="16" t="s">
        <v>275</v>
      </c>
      <c r="H2290" s="16" t="s">
        <v>2412</v>
      </c>
    </row>
    <row r="2291" ht="20.25" customHeight="1">
      <c r="A2291" s="32" t="str">
        <f>IMAGE("https://gymvisual.com/7712-catalog_default/hyperextension-version-2.jpg",4,500,500)</f>
        <v/>
      </c>
      <c r="B2291" s="30">
        <v>2290.0</v>
      </c>
      <c r="C2291" s="16" t="s">
        <v>2962</v>
      </c>
      <c r="D2291" s="16" t="s">
        <v>184</v>
      </c>
      <c r="E2291" s="16" t="s">
        <v>185</v>
      </c>
      <c r="F2291" s="16" t="s">
        <v>255</v>
      </c>
      <c r="G2291" s="16" t="s">
        <v>275</v>
      </c>
      <c r="H2291" s="16" t="s">
        <v>2412</v>
      </c>
    </row>
    <row r="2292" ht="20.25" customHeight="1">
      <c r="A2292" s="32" t="str">
        <f>IMAGE("https://gymvisual.com/13515-catalog_default/impossible-dips.jpg",4,500,500)</f>
        <v/>
      </c>
      <c r="B2292" s="30">
        <v>2291.0</v>
      </c>
      <c r="C2292" s="16" t="s">
        <v>2963</v>
      </c>
      <c r="D2292" s="16" t="s">
        <v>184</v>
      </c>
      <c r="E2292" s="16" t="s">
        <v>2964</v>
      </c>
      <c r="F2292" s="16" t="s">
        <v>255</v>
      </c>
      <c r="G2292" s="16" t="s">
        <v>220</v>
      </c>
      <c r="H2292" s="16" t="s">
        <v>220</v>
      </c>
    </row>
    <row r="2293" ht="20.25" customHeight="1">
      <c r="A2293" s="32" t="str">
        <f>IMAGE("https://gymvisual.com/6409-catalog_default/inchworm.jpg",4,500,500)</f>
        <v/>
      </c>
      <c r="B2293" s="30">
        <v>2292.0</v>
      </c>
      <c r="C2293" s="16" t="s">
        <v>2965</v>
      </c>
      <c r="D2293" s="16" t="s">
        <v>184</v>
      </c>
      <c r="E2293" s="16" t="s">
        <v>254</v>
      </c>
      <c r="F2293" s="16" t="s">
        <v>255</v>
      </c>
      <c r="G2293" s="16" t="s">
        <v>2966</v>
      </c>
      <c r="H2293" s="16" t="s">
        <v>2967</v>
      </c>
    </row>
    <row r="2294" ht="20.25" customHeight="1">
      <c r="A2294" s="32" t="str">
        <f>IMAGE("https://gymvisual.com/15146-catalog_default/inchworm-version-2.jpg",4,500,500)</f>
        <v/>
      </c>
      <c r="B2294" s="30">
        <v>2293.0</v>
      </c>
      <c r="C2294" s="16" t="s">
        <v>2968</v>
      </c>
      <c r="D2294" s="16" t="s">
        <v>184</v>
      </c>
      <c r="E2294" s="16" t="s">
        <v>254</v>
      </c>
      <c r="F2294" s="16" t="s">
        <v>255</v>
      </c>
      <c r="G2294" s="16" t="s">
        <v>2969</v>
      </c>
      <c r="H2294" s="16" t="s">
        <v>2970</v>
      </c>
    </row>
    <row r="2295" ht="20.25" customHeight="1">
      <c r="A2295" s="32" t="str">
        <f>IMAGE("https://gymvisual.com/22281-catalog_default/incline-alternate-flutter-kicks.jpg",4,500,500)</f>
        <v/>
      </c>
      <c r="B2295" s="30">
        <v>2294.0</v>
      </c>
      <c r="C2295" s="16" t="s">
        <v>2971</v>
      </c>
      <c r="D2295" s="16" t="s">
        <v>184</v>
      </c>
      <c r="E2295" s="16" t="s">
        <v>185</v>
      </c>
      <c r="F2295" s="16" t="s">
        <v>255</v>
      </c>
      <c r="G2295" s="16" t="s">
        <v>220</v>
      </c>
      <c r="H2295" s="16" t="s">
        <v>220</v>
      </c>
    </row>
    <row r="2296" ht="20.25" customHeight="1">
      <c r="A2296" s="32" t="str">
        <f>IMAGE("https://gymvisual.com/23929-catalog_default/incline-close-grip-push-up.jpg",4,500,500)</f>
        <v/>
      </c>
      <c r="B2296" s="30">
        <v>2295.0</v>
      </c>
      <c r="C2296" s="16" t="s">
        <v>2972</v>
      </c>
      <c r="D2296" s="16" t="s">
        <v>184</v>
      </c>
      <c r="E2296" s="16" t="s">
        <v>219</v>
      </c>
      <c r="F2296" s="16" t="s">
        <v>255</v>
      </c>
      <c r="G2296" s="16" t="s">
        <v>2400</v>
      </c>
      <c r="H2296" s="16" t="s">
        <v>229</v>
      </c>
    </row>
    <row r="2297" ht="20.25" customHeight="1">
      <c r="A2297" s="32" t="str">
        <f>IMAGE("https://gymvisual.com/1485-catalog_default/3-4-sit-up.jpg",4,500,500)</f>
        <v/>
      </c>
      <c r="B2297" s="30">
        <v>2296.0</v>
      </c>
      <c r="C2297" s="16" t="s">
        <v>2973</v>
      </c>
      <c r="D2297" s="16" t="s">
        <v>184</v>
      </c>
      <c r="E2297" s="16" t="s">
        <v>228</v>
      </c>
      <c r="F2297" s="16" t="s">
        <v>255</v>
      </c>
      <c r="G2297" s="16" t="s">
        <v>223</v>
      </c>
      <c r="H2297" s="16" t="s">
        <v>472</v>
      </c>
    </row>
    <row r="2298" ht="20.25" customHeight="1">
      <c r="A2298" s="32" t="str">
        <f>IMAGE("https://gymvisual.com/2604-catalog_default/3-4-sit-up.jpg",4,500,500)</f>
        <v/>
      </c>
      <c r="B2298" s="30">
        <v>2297.0</v>
      </c>
      <c r="C2298" s="16" t="s">
        <v>2974</v>
      </c>
      <c r="D2298" s="16" t="s">
        <v>184</v>
      </c>
      <c r="E2298" s="16" t="s">
        <v>254</v>
      </c>
      <c r="F2298" s="16" t="s">
        <v>255</v>
      </c>
      <c r="G2298" s="16" t="s">
        <v>305</v>
      </c>
      <c r="H2298" s="16" t="s">
        <v>317</v>
      </c>
    </row>
    <row r="2299" ht="20.25" customHeight="1">
      <c r="A2299" s="32" t="str">
        <f>IMAGE("https://gymvisual.com/11610-catalog_default/incline-leg-hip-raise-leg-straight-female.jpg",4,500,500)</f>
        <v/>
      </c>
      <c r="B2299" s="30">
        <v>2298.0</v>
      </c>
      <c r="C2299" s="16" t="s">
        <v>2975</v>
      </c>
      <c r="D2299" s="16" t="s">
        <v>184</v>
      </c>
      <c r="E2299" s="16" t="s">
        <v>254</v>
      </c>
      <c r="F2299" s="16" t="s">
        <v>255</v>
      </c>
      <c r="G2299" s="16" t="s">
        <v>305</v>
      </c>
      <c r="H2299" s="16" t="s">
        <v>319</v>
      </c>
    </row>
    <row r="2300" ht="20.25" customHeight="1">
      <c r="A2300" s="32" t="str">
        <f>IMAGE("https://gymvisual.com/7684-catalog_default/incline-push-press.jpg",4,500,500)</f>
        <v/>
      </c>
      <c r="B2300" s="30">
        <v>2299.0</v>
      </c>
      <c r="C2300" s="16" t="s">
        <v>2976</v>
      </c>
      <c r="D2300" s="16" t="s">
        <v>184</v>
      </c>
      <c r="E2300" s="16" t="s">
        <v>234</v>
      </c>
      <c r="F2300" s="16" t="s">
        <v>255</v>
      </c>
      <c r="G2300" s="16" t="s">
        <v>347</v>
      </c>
      <c r="H2300" s="16" t="s">
        <v>382</v>
      </c>
    </row>
    <row r="2301" ht="20.25" customHeight="1">
      <c r="A2301" s="32" t="str">
        <f>IMAGE("https://gymvisual.com/1493-catalog_default/3-4-sit-up.jpg",4,500,500)</f>
        <v/>
      </c>
      <c r="B2301" s="30">
        <v>2300.0</v>
      </c>
      <c r="C2301" s="16" t="s">
        <v>2977</v>
      </c>
      <c r="D2301" s="16" t="s">
        <v>184</v>
      </c>
      <c r="E2301" s="16" t="s">
        <v>234</v>
      </c>
      <c r="F2301" s="16" t="s">
        <v>255</v>
      </c>
      <c r="G2301" s="16" t="s">
        <v>347</v>
      </c>
      <c r="H2301" s="16" t="s">
        <v>382</v>
      </c>
    </row>
    <row r="2302" ht="20.25" customHeight="1">
      <c r="A2302" s="32" t="str">
        <f>IMAGE("https://gymvisual.com/24836-catalog_default/incline-push-up-on-bench-male.jpg",4,500,500)</f>
        <v/>
      </c>
      <c r="B2302" s="30">
        <v>2301.0</v>
      </c>
      <c r="C2302" s="16" t="s">
        <v>2978</v>
      </c>
      <c r="D2302" s="16" t="s">
        <v>184</v>
      </c>
      <c r="E2302" s="16" t="s">
        <v>234</v>
      </c>
      <c r="F2302" s="16" t="s">
        <v>255</v>
      </c>
      <c r="G2302" s="16" t="s">
        <v>235</v>
      </c>
      <c r="H2302" s="16" t="s">
        <v>243</v>
      </c>
    </row>
    <row r="2303" ht="20.25" customHeight="1">
      <c r="A2303" s="32" t="str">
        <f>IMAGE("https://gymvisual.com/16777-catalog_default/incline-push-up-on-box.jpg",4,500,500)</f>
        <v/>
      </c>
      <c r="B2303" s="30">
        <v>2302.0</v>
      </c>
      <c r="C2303" s="16" t="s">
        <v>2979</v>
      </c>
      <c r="D2303" s="16" t="s">
        <v>184</v>
      </c>
      <c r="E2303" s="16" t="s">
        <v>234</v>
      </c>
      <c r="F2303" s="16" t="s">
        <v>255</v>
      </c>
      <c r="G2303" s="16" t="s">
        <v>235</v>
      </c>
      <c r="H2303" s="16" t="s">
        <v>243</v>
      </c>
    </row>
    <row r="2304" ht="20.25" customHeight="1">
      <c r="A2304" s="32" t="str">
        <f>IMAGE("https://gymvisual.com/1496-catalog_default/3-4-sit-up.jpg",4,500,500)</f>
        <v/>
      </c>
      <c r="B2304" s="30">
        <v>2303.0</v>
      </c>
      <c r="C2304" s="16" t="s">
        <v>2980</v>
      </c>
      <c r="D2304" s="16" t="s">
        <v>184</v>
      </c>
      <c r="E2304" s="16" t="s">
        <v>234</v>
      </c>
      <c r="F2304" s="16" t="s">
        <v>255</v>
      </c>
      <c r="G2304" s="16" t="s">
        <v>347</v>
      </c>
      <c r="H2304" s="16" t="s">
        <v>2981</v>
      </c>
    </row>
    <row r="2305" ht="20.25" customHeight="1">
      <c r="A2305" s="32" t="str">
        <f>IMAGE("https://gymvisual.com/12753-catalog_default/incline-reverse-hyperextension.jpg",4,500,500)</f>
        <v/>
      </c>
      <c r="B2305" s="30">
        <v>2304.0</v>
      </c>
      <c r="C2305" s="16" t="s">
        <v>2982</v>
      </c>
      <c r="D2305" s="16" t="s">
        <v>184</v>
      </c>
      <c r="E2305" s="16" t="s">
        <v>185</v>
      </c>
      <c r="F2305" s="16" t="s">
        <v>255</v>
      </c>
      <c r="G2305" s="16" t="s">
        <v>267</v>
      </c>
      <c r="H2305" s="16" t="s">
        <v>188</v>
      </c>
    </row>
    <row r="2306" ht="20.25" customHeight="1">
      <c r="A2306" s="32" t="str">
        <f>IMAGE("https://gymvisual.com/12400-catalog_default/incline-scapula-push-up.jpg",4,500,500)</f>
        <v/>
      </c>
      <c r="B2306" s="30">
        <v>2305.0</v>
      </c>
      <c r="C2306" s="16" t="s">
        <v>2983</v>
      </c>
      <c r="D2306" s="16" t="s">
        <v>184</v>
      </c>
      <c r="E2306" s="16" t="s">
        <v>234</v>
      </c>
      <c r="F2306" s="16" t="s">
        <v>255</v>
      </c>
      <c r="G2306" s="16" t="s">
        <v>885</v>
      </c>
      <c r="H2306" s="16" t="s">
        <v>220</v>
      </c>
    </row>
    <row r="2307" ht="20.25" customHeight="1">
      <c r="A2307" s="32" t="str">
        <f>IMAGE("https://gymvisual.com/23555-catalog_default/incline-shoulder-tap.jpg",4,500,500)</f>
        <v/>
      </c>
      <c r="B2307" s="30">
        <v>2306.0</v>
      </c>
      <c r="C2307" s="16" t="s">
        <v>2984</v>
      </c>
      <c r="D2307" s="16" t="s">
        <v>184</v>
      </c>
      <c r="E2307" s="16" t="s">
        <v>234</v>
      </c>
      <c r="F2307" s="16" t="s">
        <v>255</v>
      </c>
      <c r="G2307" s="16" t="s">
        <v>235</v>
      </c>
      <c r="H2307" s="16" t="s">
        <v>2985</v>
      </c>
    </row>
    <row r="2308" ht="20.25" customHeight="1">
      <c r="A2308" s="32" t="str">
        <f>IMAGE("https://gymvisual.com/2607-catalog_default/3-4-sit-up.jpg",4,500,500)</f>
        <v/>
      </c>
      <c r="B2308" s="30">
        <v>2307.0</v>
      </c>
      <c r="C2308" s="16" t="s">
        <v>2986</v>
      </c>
      <c r="D2308" s="16" t="s">
        <v>184</v>
      </c>
      <c r="E2308" s="16" t="s">
        <v>254</v>
      </c>
      <c r="F2308" s="16" t="s">
        <v>255</v>
      </c>
      <c r="G2308" s="16" t="s">
        <v>424</v>
      </c>
      <c r="H2308" s="16" t="s">
        <v>425</v>
      </c>
    </row>
    <row r="2309" ht="20.25" customHeight="1">
      <c r="A2309" s="32" t="str">
        <f>IMAGE("https://gymvisual.com/24305-catalog_default/incline-twisting-sit-up-version-2.jpg",4,500,500)</f>
        <v/>
      </c>
      <c r="B2309" s="30">
        <v>2308.0</v>
      </c>
      <c r="C2309" s="16" t="s">
        <v>2987</v>
      </c>
      <c r="D2309" s="16" t="s">
        <v>184</v>
      </c>
      <c r="E2309" s="16" t="s">
        <v>254</v>
      </c>
      <c r="F2309" s="16" t="s">
        <v>255</v>
      </c>
      <c r="G2309" s="16" t="s">
        <v>424</v>
      </c>
      <c r="H2309" s="16" t="s">
        <v>2988</v>
      </c>
    </row>
    <row r="2310" ht="20.25" customHeight="1">
      <c r="A2310" s="32" t="str">
        <f>IMAGE("https://gymvisual.com/1502-catalog_default/3-4-sit-up.jpg",4,500,500)</f>
        <v/>
      </c>
      <c r="B2310" s="30">
        <v>2309.0</v>
      </c>
      <c r="C2310" s="16" t="s">
        <v>2989</v>
      </c>
      <c r="D2310" s="16" t="s">
        <v>184</v>
      </c>
      <c r="E2310" s="16" t="s">
        <v>285</v>
      </c>
      <c r="F2310" s="16" t="s">
        <v>255</v>
      </c>
      <c r="G2310" s="16" t="s">
        <v>188</v>
      </c>
      <c r="H2310" s="16" t="s">
        <v>561</v>
      </c>
    </row>
    <row r="2311" ht="20.25" customHeight="1">
      <c r="A2311" s="32" t="str">
        <f>IMAGE("https://gymvisual.com/10448-catalog_default/inverse-leg-curl-on-pull-up-cable-machine.jpg",4,500,500)</f>
        <v/>
      </c>
      <c r="B2311" s="30">
        <v>2310.0</v>
      </c>
      <c r="C2311" s="16" t="s">
        <v>2990</v>
      </c>
      <c r="D2311" s="16" t="s">
        <v>184</v>
      </c>
      <c r="E2311" s="16" t="s">
        <v>285</v>
      </c>
      <c r="F2311" s="16" t="s">
        <v>255</v>
      </c>
      <c r="G2311" s="16" t="s">
        <v>188</v>
      </c>
      <c r="H2311" s="16" t="s">
        <v>2991</v>
      </c>
    </row>
    <row r="2312" ht="20.25" customHeight="1">
      <c r="A2312" s="32" t="str">
        <f>IMAGE("https://gymvisual.com/22526-catalog_default/inverse-leg-curl-with-bench-pads.jpg",4,500,500)</f>
        <v/>
      </c>
      <c r="B2312" s="30">
        <v>2311.0</v>
      </c>
      <c r="C2312" s="16" t="s">
        <v>2992</v>
      </c>
      <c r="D2312" s="16" t="s">
        <v>184</v>
      </c>
      <c r="E2312" s="16" t="s">
        <v>285</v>
      </c>
      <c r="F2312" s="16" t="s">
        <v>255</v>
      </c>
      <c r="G2312" s="16" t="s">
        <v>220</v>
      </c>
      <c r="H2312" s="16" t="s">
        <v>220</v>
      </c>
    </row>
    <row r="2313" ht="20.25" customHeight="1">
      <c r="A2313" s="32" t="str">
        <f>IMAGE("https://gymvisual.com/13988-catalog_default/inverted-chin-curl-with-bent-knee-between-chairs.jpg",4,500,500)</f>
        <v/>
      </c>
      <c r="B2313" s="30">
        <v>2312.0</v>
      </c>
      <c r="C2313" s="16" t="s">
        <v>2993</v>
      </c>
      <c r="D2313" s="16" t="s">
        <v>184</v>
      </c>
      <c r="E2313" s="16" t="s">
        <v>219</v>
      </c>
      <c r="F2313" s="16" t="s">
        <v>255</v>
      </c>
      <c r="G2313" s="16" t="s">
        <v>241</v>
      </c>
      <c r="H2313" s="16" t="s">
        <v>292</v>
      </c>
    </row>
    <row r="2314" ht="20.25" customHeight="1">
      <c r="A2314" s="32" t="str">
        <f>IMAGE("https://gymvisual.com/9763-catalog_default/3-4-sit-up.jpg",4,500,500)</f>
        <v/>
      </c>
      <c r="B2314" s="30">
        <v>2313.0</v>
      </c>
      <c r="C2314" s="16" t="s">
        <v>2994</v>
      </c>
      <c r="D2314" s="16" t="s">
        <v>184</v>
      </c>
      <c r="E2314" s="16" t="s">
        <v>192</v>
      </c>
      <c r="F2314" s="16" t="s">
        <v>255</v>
      </c>
      <c r="G2314" s="16" t="s">
        <v>329</v>
      </c>
      <c r="H2314" s="16" t="s">
        <v>457</v>
      </c>
    </row>
    <row r="2315" ht="20.25" customHeight="1">
      <c r="A2315" s="32" t="str">
        <f>IMAGE("https://gymvisual.com/20654-catalog_default/inverted-row-female.jpg",4,500,500)</f>
        <v/>
      </c>
      <c r="B2315" s="30">
        <v>2314.0</v>
      </c>
      <c r="C2315" s="16" t="s">
        <v>2995</v>
      </c>
      <c r="D2315" s="16" t="s">
        <v>184</v>
      </c>
      <c r="E2315" s="16" t="s">
        <v>192</v>
      </c>
      <c r="F2315" s="16" t="s">
        <v>255</v>
      </c>
      <c r="G2315" s="16" t="s">
        <v>329</v>
      </c>
      <c r="H2315" s="16" t="s">
        <v>457</v>
      </c>
    </row>
    <row r="2316" ht="20.25" customHeight="1">
      <c r="A2316" s="32" t="str">
        <f>IMAGE("https://gymvisual.com/1505-catalog_default/3-4-sit-up.jpg",4,500,500)</f>
        <v/>
      </c>
      <c r="B2316" s="30">
        <v>2315.0</v>
      </c>
      <c r="C2316" s="16" t="s">
        <v>2996</v>
      </c>
      <c r="D2316" s="16" t="s">
        <v>184</v>
      </c>
      <c r="E2316" s="16" t="s">
        <v>192</v>
      </c>
      <c r="F2316" s="16" t="s">
        <v>255</v>
      </c>
      <c r="G2316" s="16" t="s">
        <v>329</v>
      </c>
      <c r="H2316" s="16" t="s">
        <v>457</v>
      </c>
    </row>
    <row r="2317" ht="20.25" customHeight="1">
      <c r="A2317" s="32" t="str">
        <f>IMAGE("https://gymvisual.com/13727-catalog_default/inverted-row-bent-knee-under-table-female.jpg",4,500,500)</f>
        <v/>
      </c>
      <c r="B2317" s="30">
        <v>2316.0</v>
      </c>
      <c r="C2317" s="16" t="s">
        <v>2997</v>
      </c>
      <c r="D2317" s="16" t="s">
        <v>184</v>
      </c>
      <c r="E2317" s="16" t="s">
        <v>192</v>
      </c>
      <c r="F2317" s="16" t="s">
        <v>255</v>
      </c>
      <c r="G2317" s="16" t="s">
        <v>329</v>
      </c>
      <c r="H2317" s="16" t="s">
        <v>357</v>
      </c>
    </row>
    <row r="2318" ht="20.25" customHeight="1">
      <c r="A2318" s="32" t="str">
        <f>IMAGE("https://gymvisual.com/9766-catalog_default/inverted-row-bent-knees.jpg",4,500,500)</f>
        <v/>
      </c>
      <c r="B2318" s="30">
        <v>2317.0</v>
      </c>
      <c r="C2318" s="16" t="s">
        <v>2998</v>
      </c>
      <c r="D2318" s="16" t="s">
        <v>184</v>
      </c>
      <c r="E2318" s="16" t="s">
        <v>192</v>
      </c>
      <c r="F2318" s="16" t="s">
        <v>255</v>
      </c>
      <c r="G2318" s="16" t="s">
        <v>329</v>
      </c>
      <c r="H2318" s="16" t="s">
        <v>457</v>
      </c>
    </row>
    <row r="2319" ht="20.25" customHeight="1">
      <c r="A2319" s="32" t="str">
        <f>IMAGE("https://gymvisual.com/13739-catalog_default/inverted-row-between-chairs.jpg",4,500,500)</f>
        <v/>
      </c>
      <c r="B2319" s="30">
        <v>2318.0</v>
      </c>
      <c r="C2319" s="16" t="s">
        <v>2999</v>
      </c>
      <c r="D2319" s="16" t="s">
        <v>184</v>
      </c>
      <c r="E2319" s="16" t="s">
        <v>192</v>
      </c>
      <c r="F2319" s="16" t="s">
        <v>255</v>
      </c>
      <c r="G2319" s="16" t="s">
        <v>329</v>
      </c>
      <c r="H2319" s="16" t="s">
        <v>357</v>
      </c>
    </row>
    <row r="2320" ht="20.25" customHeight="1">
      <c r="A2320" s="32" t="str">
        <f>IMAGE("https://gymvisual.com/14050-catalog_default/inverted-row-between-chairs-female.jpg",4,500,500)</f>
        <v/>
      </c>
      <c r="B2320" s="30">
        <v>2319.0</v>
      </c>
      <c r="C2320" s="16" t="s">
        <v>3000</v>
      </c>
      <c r="D2320" s="16" t="s">
        <v>184</v>
      </c>
      <c r="E2320" s="16" t="s">
        <v>192</v>
      </c>
      <c r="F2320" s="16" t="s">
        <v>255</v>
      </c>
      <c r="G2320" s="16" t="s">
        <v>329</v>
      </c>
      <c r="H2320" s="16" t="s">
        <v>357</v>
      </c>
    </row>
    <row r="2321" ht="20.25" customHeight="1">
      <c r="A2321" s="32" t="str">
        <f>IMAGE("https://gymvisual.com/9764-catalog_default/inverted-row-on-bench.jpg",4,500,500)</f>
        <v/>
      </c>
      <c r="B2321" s="30">
        <v>2320.0</v>
      </c>
      <c r="C2321" s="16" t="s">
        <v>3001</v>
      </c>
      <c r="D2321" s="16" t="s">
        <v>184</v>
      </c>
      <c r="E2321" s="16" t="s">
        <v>192</v>
      </c>
      <c r="F2321" s="16" t="s">
        <v>255</v>
      </c>
      <c r="G2321" s="16" t="s">
        <v>329</v>
      </c>
      <c r="H2321" s="16" t="s">
        <v>457</v>
      </c>
    </row>
    <row r="2322" ht="20.25" customHeight="1">
      <c r="A2322" s="32" t="str">
        <f>IMAGE("https://gymvisual.com/22283-catalog_default/inverted-row-slide.jpg",4,500,500)</f>
        <v/>
      </c>
      <c r="B2322" s="30">
        <v>2321.0</v>
      </c>
      <c r="C2322" s="16" t="s">
        <v>3002</v>
      </c>
      <c r="D2322" s="16" t="s">
        <v>184</v>
      </c>
      <c r="E2322" s="16" t="s">
        <v>192</v>
      </c>
      <c r="F2322" s="16" t="s">
        <v>255</v>
      </c>
      <c r="G2322" s="16" t="s">
        <v>220</v>
      </c>
      <c r="H2322" s="16" t="s">
        <v>220</v>
      </c>
    </row>
    <row r="2323" ht="20.25" customHeight="1">
      <c r="A2323" s="32" t="str">
        <f>IMAGE("https://gymvisual.com/22502-catalog_default/inverted-row-slide-on-floor.jpg",4,500,500)</f>
        <v/>
      </c>
      <c r="B2323" s="30">
        <v>2322.0</v>
      </c>
      <c r="C2323" s="16" t="s">
        <v>3003</v>
      </c>
      <c r="D2323" s="16" t="s">
        <v>184</v>
      </c>
      <c r="E2323" s="16" t="s">
        <v>192</v>
      </c>
      <c r="F2323" s="16" t="s">
        <v>255</v>
      </c>
      <c r="G2323" s="16" t="s">
        <v>220</v>
      </c>
      <c r="H2323" s="16" t="s">
        <v>220</v>
      </c>
    </row>
    <row r="2324" ht="20.25" customHeight="1">
      <c r="A2324" s="32" t="str">
        <f>IMAGE("https://gymvisual.com/13725-catalog_default/inverted-row-under-table-female.jpg",4,500,500)</f>
        <v/>
      </c>
      <c r="B2324" s="30">
        <v>2323.0</v>
      </c>
      <c r="C2324" s="16" t="s">
        <v>3004</v>
      </c>
      <c r="D2324" s="16" t="s">
        <v>184</v>
      </c>
      <c r="E2324" s="16" t="s">
        <v>192</v>
      </c>
      <c r="F2324" s="16" t="s">
        <v>255</v>
      </c>
      <c r="G2324" s="16" t="s">
        <v>329</v>
      </c>
      <c r="H2324" s="16" t="s">
        <v>357</v>
      </c>
    </row>
    <row r="2325" ht="20.25" customHeight="1">
      <c r="A2325" s="32" t="str">
        <f>IMAGE("https://gymvisual.com/16540-catalog_default/inverted-row-with-bed-sheet.jpg",4,500,500)</f>
        <v/>
      </c>
      <c r="B2325" s="30">
        <v>2324.0</v>
      </c>
      <c r="C2325" s="16" t="s">
        <v>3005</v>
      </c>
      <c r="D2325" s="16" t="s">
        <v>184</v>
      </c>
      <c r="E2325" s="16" t="s">
        <v>192</v>
      </c>
      <c r="F2325" s="16" t="s">
        <v>255</v>
      </c>
      <c r="G2325" s="16" t="s">
        <v>329</v>
      </c>
      <c r="H2325" s="16" t="s">
        <v>447</v>
      </c>
    </row>
    <row r="2326" ht="20.25" customHeight="1">
      <c r="A2326" s="32" t="str">
        <f>IMAGE("https://gymvisual.com/13986-catalog_default/inverted-row-with-bent-knee-between-chairs.jpg",4,500,500)</f>
        <v/>
      </c>
      <c r="B2326" s="30">
        <v>2325.0</v>
      </c>
      <c r="C2326" s="16" t="s">
        <v>3006</v>
      </c>
      <c r="D2326" s="16" t="s">
        <v>184</v>
      </c>
      <c r="E2326" s="16" t="s">
        <v>192</v>
      </c>
      <c r="F2326" s="16" t="s">
        <v>255</v>
      </c>
      <c r="G2326" s="16" t="s">
        <v>329</v>
      </c>
      <c r="H2326" s="16" t="s">
        <v>357</v>
      </c>
    </row>
    <row r="2327" ht="20.25" customHeight="1">
      <c r="A2327" s="32" t="str">
        <f>IMAGE("https://gymvisual.com/1508-catalog_default/3-4-sit-up.jpg",4,500,500)</f>
        <v/>
      </c>
      <c r="B2327" s="30">
        <v>2326.0</v>
      </c>
      <c r="C2327" s="16" t="s">
        <v>3007</v>
      </c>
      <c r="D2327" s="16" t="s">
        <v>184</v>
      </c>
      <c r="E2327" s="16" t="s">
        <v>192</v>
      </c>
      <c r="F2327" s="16" t="s">
        <v>255</v>
      </c>
      <c r="G2327" s="16" t="s">
        <v>329</v>
      </c>
      <c r="H2327" s="16" t="s">
        <v>447</v>
      </c>
    </row>
    <row r="2328" ht="20.25" customHeight="1">
      <c r="A2328" s="32" t="str">
        <f>IMAGE("https://gymvisual.com/17138-catalog_default/inverted-row-with-straps-female.jpg",4,500,500)</f>
        <v/>
      </c>
      <c r="B2328" s="30">
        <v>2327.0</v>
      </c>
      <c r="C2328" s="16" t="s">
        <v>3008</v>
      </c>
      <c r="D2328" s="16" t="s">
        <v>184</v>
      </c>
      <c r="E2328" s="16" t="s">
        <v>192</v>
      </c>
      <c r="F2328" s="16" t="s">
        <v>3009</v>
      </c>
      <c r="G2328" s="16" t="s">
        <v>329</v>
      </c>
      <c r="H2328" s="16" t="s">
        <v>447</v>
      </c>
    </row>
    <row r="2329" ht="20.25" customHeight="1">
      <c r="A2329" s="32" t="str">
        <f>IMAGE("https://gymvisual.com/17831-catalog_default/inverted-shrug.jpg",4,500,500)</f>
        <v/>
      </c>
      <c r="B2329" s="30">
        <v>2328.0</v>
      </c>
      <c r="C2329" s="16" t="s">
        <v>3010</v>
      </c>
      <c r="D2329" s="16" t="s">
        <v>184</v>
      </c>
      <c r="E2329" s="16" t="s">
        <v>192</v>
      </c>
      <c r="F2329" s="16" t="s">
        <v>255</v>
      </c>
      <c r="G2329" s="16" t="s">
        <v>220</v>
      </c>
      <c r="H2329" s="16" t="s">
        <v>220</v>
      </c>
    </row>
    <row r="2330" ht="20.25" customHeight="1">
      <c r="A2330" s="32" t="str">
        <f>IMAGE("https://gymvisual.com/17819-catalog_default/inverted-shrug-on-parallel-bars.jpg",4,500,500)</f>
        <v/>
      </c>
      <c r="B2330" s="30">
        <v>2329.0</v>
      </c>
      <c r="C2330" s="16" t="s">
        <v>3011</v>
      </c>
      <c r="D2330" s="16" t="s">
        <v>184</v>
      </c>
      <c r="E2330" s="16" t="s">
        <v>192</v>
      </c>
      <c r="F2330" s="16" t="s">
        <v>255</v>
      </c>
      <c r="G2330" s="16" t="s">
        <v>220</v>
      </c>
      <c r="H2330" s="16" t="s">
        <v>220</v>
      </c>
    </row>
    <row r="2331" ht="20.25" customHeight="1">
      <c r="A2331" s="32" t="str">
        <f>IMAGE("https://gymvisual.com/14088-catalog_default/inverted-underhand-grip-row-between-chairs.jpg",4,500,500)</f>
        <v/>
      </c>
      <c r="B2331" s="30">
        <v>2330.0</v>
      </c>
      <c r="C2331" s="16" t="s">
        <v>3012</v>
      </c>
      <c r="D2331" s="16" t="s">
        <v>184</v>
      </c>
      <c r="E2331" s="16" t="s">
        <v>192</v>
      </c>
      <c r="F2331" s="16" t="s">
        <v>255</v>
      </c>
      <c r="G2331" s="16" t="s">
        <v>329</v>
      </c>
      <c r="H2331" s="16" t="s">
        <v>357</v>
      </c>
    </row>
    <row r="2332" ht="20.25" customHeight="1">
      <c r="A2332" s="32" t="str">
        <f>IMAGE("https://gymvisual.com/20704-catalog_default/inverted-wide-row.jpg",4,500,500)</f>
        <v/>
      </c>
      <c r="B2332" s="30">
        <v>2331.0</v>
      </c>
      <c r="C2332" s="16" t="s">
        <v>3013</v>
      </c>
      <c r="D2332" s="16" t="s">
        <v>184</v>
      </c>
      <c r="E2332" s="16" t="s">
        <v>192</v>
      </c>
      <c r="F2332" s="16" t="s">
        <v>255</v>
      </c>
      <c r="G2332" s="16" t="s">
        <v>3014</v>
      </c>
      <c r="H2332" s="16" t="s">
        <v>447</v>
      </c>
    </row>
    <row r="2333" ht="20.25" customHeight="1">
      <c r="A2333" s="32" t="str">
        <f>IMAGE("https://gymvisual.com/22468-catalog_default/inverted-wide-to-narrow-row.jpg",4,500,500)</f>
        <v/>
      </c>
      <c r="B2333" s="30">
        <v>2332.0</v>
      </c>
      <c r="C2333" s="16" t="s">
        <v>3015</v>
      </c>
      <c r="D2333" s="16" t="s">
        <v>184</v>
      </c>
      <c r="E2333" s="16" t="s">
        <v>192</v>
      </c>
      <c r="F2333" s="16" t="s">
        <v>255</v>
      </c>
      <c r="G2333" s="16" t="s">
        <v>220</v>
      </c>
      <c r="H2333" s="16" t="s">
        <v>220</v>
      </c>
    </row>
    <row r="2334" ht="20.25" customHeight="1">
      <c r="A2334" s="32" t="str">
        <f>IMAGE("https://gymvisual.com/4505-catalog_default/iron-cross-plank.jpg",4,500,500)</f>
        <v/>
      </c>
      <c r="B2334" s="30">
        <v>2333.0</v>
      </c>
      <c r="C2334" s="16" t="s">
        <v>3016</v>
      </c>
      <c r="D2334" s="16" t="s">
        <v>184</v>
      </c>
      <c r="E2334" s="16" t="s">
        <v>192</v>
      </c>
      <c r="F2334" s="16" t="s">
        <v>255</v>
      </c>
      <c r="G2334" s="16" t="s">
        <v>3017</v>
      </c>
      <c r="H2334" s="16" t="s">
        <v>220</v>
      </c>
    </row>
    <row r="2335" ht="20.25" customHeight="1">
      <c r="A2335" s="32" t="str">
        <f>IMAGE("https://gymvisual.com/5986-catalog_default/isometric-chest-squeeze.jpg",4,500,500)</f>
        <v/>
      </c>
      <c r="B2335" s="30">
        <v>2334.0</v>
      </c>
      <c r="C2335" s="16" t="s">
        <v>3018</v>
      </c>
      <c r="D2335" s="16" t="s">
        <v>184</v>
      </c>
      <c r="E2335" s="16" t="s">
        <v>234</v>
      </c>
      <c r="F2335" s="16" t="s">
        <v>255</v>
      </c>
      <c r="G2335" s="16" t="s">
        <v>347</v>
      </c>
      <c r="H2335" s="16" t="s">
        <v>382</v>
      </c>
    </row>
    <row r="2336" ht="20.25" customHeight="1">
      <c r="A2336" s="32" t="str">
        <f>IMAGE("https://gymvisual.com/1514-catalog_default/3-4-sit-up.jpg",4,500,500)</f>
        <v/>
      </c>
      <c r="B2336" s="30">
        <v>2335.0</v>
      </c>
      <c r="C2336" s="16" t="s">
        <v>3019</v>
      </c>
      <c r="D2336" s="16" t="s">
        <v>184</v>
      </c>
      <c r="E2336" s="16" t="s">
        <v>234</v>
      </c>
      <c r="F2336" s="16" t="s">
        <v>255</v>
      </c>
      <c r="G2336" s="16" t="s">
        <v>347</v>
      </c>
      <c r="H2336" s="16" t="s">
        <v>3020</v>
      </c>
    </row>
    <row r="2337" ht="20.25" customHeight="1">
      <c r="A2337" s="32" t="str">
        <f>IMAGE("https://gymvisual.com/1519-catalog_default/3-4-sit-up.jpg",4,500,500)</f>
        <v/>
      </c>
      <c r="B2337" s="30">
        <v>2336.0</v>
      </c>
      <c r="C2337" s="16" t="s">
        <v>3021</v>
      </c>
      <c r="D2337" s="16" t="s">
        <v>184</v>
      </c>
      <c r="E2337" s="16" t="s">
        <v>254</v>
      </c>
      <c r="F2337" s="16" t="s">
        <v>255</v>
      </c>
      <c r="G2337" s="16" t="s">
        <v>256</v>
      </c>
      <c r="H2337" s="16" t="s">
        <v>1308</v>
      </c>
    </row>
    <row r="2338" ht="20.25" customHeight="1">
      <c r="A2338" s="32" t="str">
        <f>IMAGE("https://gymvisual.com/1522-catalog_default/3-4-sit-up.jpg",4,500,500)</f>
        <v/>
      </c>
      <c r="B2338" s="30">
        <v>2337.0</v>
      </c>
      <c r="C2338" s="16" t="s">
        <v>3022</v>
      </c>
      <c r="D2338" s="16" t="s">
        <v>184</v>
      </c>
      <c r="E2338" s="16" t="s">
        <v>254</v>
      </c>
      <c r="F2338" s="16" t="s">
        <v>399</v>
      </c>
      <c r="G2338" s="16" t="s">
        <v>256</v>
      </c>
      <c r="H2338" s="16" t="s">
        <v>1308</v>
      </c>
    </row>
    <row r="2339" ht="20.25" customHeight="1">
      <c r="A2339" s="32" t="str">
        <f>IMAGE("https://gymvisual.com/17767-catalog_default/jack-knife-sit-up-female.jpg",4,500,500)</f>
        <v/>
      </c>
      <c r="B2339" s="30">
        <v>2338.0</v>
      </c>
      <c r="C2339" s="16" t="s">
        <v>3023</v>
      </c>
      <c r="D2339" s="16" t="s">
        <v>184</v>
      </c>
      <c r="E2339" s="16" t="s">
        <v>254</v>
      </c>
      <c r="F2339" s="16" t="s">
        <v>255</v>
      </c>
      <c r="G2339" s="16" t="s">
        <v>220</v>
      </c>
      <c r="H2339" s="16" t="s">
        <v>220</v>
      </c>
    </row>
    <row r="2340" ht="20.25" customHeight="1">
      <c r="A2340" s="32" t="str">
        <f>IMAGE("https://gymvisual.com/6423-catalog_default/jack-plank.jpg",4,500,500)</f>
        <v/>
      </c>
      <c r="B2340" s="30">
        <v>2339.0</v>
      </c>
      <c r="C2340" s="16" t="s">
        <v>3024</v>
      </c>
      <c r="D2340" s="16" t="s">
        <v>184</v>
      </c>
      <c r="E2340" s="16" t="s">
        <v>254</v>
      </c>
      <c r="F2340" s="16" t="s">
        <v>255</v>
      </c>
      <c r="G2340" s="16" t="s">
        <v>1213</v>
      </c>
      <c r="H2340" s="16" t="s">
        <v>3025</v>
      </c>
    </row>
    <row r="2341" ht="20.25" customHeight="1">
      <c r="A2341" s="32" t="str">
        <f>IMAGE("https://gymvisual.com/11251-catalog_default/jack-plank-on-medicine-ball-female.jpg",4,500,500)</f>
        <v/>
      </c>
      <c r="B2341" s="30">
        <v>2340.0</v>
      </c>
      <c r="C2341" s="16" t="s">
        <v>3026</v>
      </c>
      <c r="D2341" s="16" t="s">
        <v>184</v>
      </c>
      <c r="E2341" s="16" t="s">
        <v>254</v>
      </c>
      <c r="F2341" s="16" t="s">
        <v>373</v>
      </c>
      <c r="G2341" s="16" t="s">
        <v>220</v>
      </c>
      <c r="H2341" s="16" t="s">
        <v>220</v>
      </c>
    </row>
    <row r="2342" ht="20.25" customHeight="1">
      <c r="A2342" s="32" t="str">
        <f>IMAGE("https://gymvisual.com/1528-catalog_default/3-4-sit-up.jpg",4,500,500)</f>
        <v/>
      </c>
      <c r="B2342" s="30">
        <v>2341.0</v>
      </c>
      <c r="C2342" s="16" t="s">
        <v>3027</v>
      </c>
      <c r="D2342" s="16" t="s">
        <v>184</v>
      </c>
      <c r="E2342" s="16" t="s">
        <v>254</v>
      </c>
      <c r="F2342" s="16" t="s">
        <v>255</v>
      </c>
      <c r="G2342" s="16" t="s">
        <v>305</v>
      </c>
      <c r="H2342" s="16" t="s">
        <v>3028</v>
      </c>
    </row>
    <row r="2343" ht="20.25" customHeight="1">
      <c r="A2343" s="32" t="str">
        <f>IMAGE("https://gymvisual.com/23609-catalog_default/jack-step-male.jpg",4,500,500)</f>
        <v/>
      </c>
      <c r="B2343" s="30">
        <v>2342.0</v>
      </c>
      <c r="C2343" s="16" t="s">
        <v>3029</v>
      </c>
      <c r="D2343" s="16" t="s">
        <v>184</v>
      </c>
      <c r="E2343" s="16" t="s">
        <v>321</v>
      </c>
      <c r="F2343" s="16" t="s">
        <v>255</v>
      </c>
      <c r="G2343" s="16" t="s">
        <v>220</v>
      </c>
      <c r="H2343" s="16" t="s">
        <v>220</v>
      </c>
    </row>
    <row r="2344" ht="20.25" customHeight="1">
      <c r="A2344" s="32" t="str">
        <f>IMAGE("https://gymvisual.com/1534-catalog_default/3-4-sit-up.jpg",4,500,500)</f>
        <v/>
      </c>
      <c r="B2344" s="30">
        <v>2343.0</v>
      </c>
      <c r="C2344" s="16" t="s">
        <v>3030</v>
      </c>
      <c r="D2344" s="16" t="s">
        <v>184</v>
      </c>
      <c r="E2344" s="16" t="s">
        <v>254</v>
      </c>
      <c r="F2344" s="16" t="s">
        <v>255</v>
      </c>
      <c r="G2344" s="16" t="s">
        <v>305</v>
      </c>
      <c r="H2344" s="16" t="s">
        <v>317</v>
      </c>
    </row>
    <row r="2345" ht="20.25" customHeight="1">
      <c r="A2345" s="32" t="str">
        <f>IMAGE("https://gymvisual.com/13455-catalog_default/janda-sit-up-female.jpg",4,500,500)</f>
        <v/>
      </c>
      <c r="B2345" s="30">
        <v>2344.0</v>
      </c>
      <c r="C2345" s="16" t="s">
        <v>3031</v>
      </c>
      <c r="D2345" s="16" t="s">
        <v>184</v>
      </c>
      <c r="E2345" s="16" t="s">
        <v>254</v>
      </c>
      <c r="F2345" s="16" t="s">
        <v>255</v>
      </c>
      <c r="G2345" s="16" t="s">
        <v>256</v>
      </c>
      <c r="H2345" s="16" t="s">
        <v>257</v>
      </c>
    </row>
    <row r="2346" ht="20.25" customHeight="1">
      <c r="A2346" s="32" t="str">
        <f>IMAGE("https://gymvisual.com/1537-catalog_default/3-4-sit-up.jpg",4,500,500)</f>
        <v/>
      </c>
      <c r="B2346" s="30">
        <v>2345.0</v>
      </c>
      <c r="C2346" s="16" t="s">
        <v>3032</v>
      </c>
      <c r="D2346" s="16" t="s">
        <v>184</v>
      </c>
      <c r="E2346" s="16" t="s">
        <v>254</v>
      </c>
      <c r="F2346" s="16" t="s">
        <v>255</v>
      </c>
      <c r="G2346" s="16" t="s">
        <v>256</v>
      </c>
      <c r="H2346" s="16" t="s">
        <v>257</v>
      </c>
    </row>
    <row r="2347" ht="20.25" customHeight="1">
      <c r="A2347" s="32" t="str">
        <f>IMAGE("https://gymvisual.com/1564-catalog_default/3-4-sit-up.jpg",4,500,500)</f>
        <v/>
      </c>
      <c r="B2347" s="30">
        <v>2346.0</v>
      </c>
      <c r="C2347" s="16" t="s">
        <v>3033</v>
      </c>
      <c r="D2347" s="16" t="s">
        <v>184</v>
      </c>
      <c r="E2347" s="16" t="s">
        <v>254</v>
      </c>
      <c r="F2347" s="16" t="s">
        <v>3034</v>
      </c>
      <c r="G2347" s="16" t="s">
        <v>424</v>
      </c>
      <c r="H2347" s="16" t="s">
        <v>220</v>
      </c>
    </row>
    <row r="2348" ht="20.25" customHeight="1">
      <c r="A2348" s="32" t="str">
        <f>IMAGE("https://gymvisual.com/1567-catalog_default/3-4-sit-up.jpg",4,500,500)</f>
        <v/>
      </c>
      <c r="B2348" s="30">
        <v>2347.0</v>
      </c>
      <c r="C2348" s="16" t="s">
        <v>3035</v>
      </c>
      <c r="D2348" s="16" t="s">
        <v>184</v>
      </c>
      <c r="E2348" s="16" t="s">
        <v>214</v>
      </c>
      <c r="F2348" s="16" t="s">
        <v>3034</v>
      </c>
      <c r="G2348" s="16" t="s">
        <v>3036</v>
      </c>
      <c r="H2348" s="16" t="s">
        <v>882</v>
      </c>
    </row>
    <row r="2349" ht="20.25" customHeight="1">
      <c r="A2349" s="32" t="str">
        <f>IMAGE("https://gymvisual.com/1573-catalog_default/3-4-sit-up.jpg",4,500,500)</f>
        <v/>
      </c>
      <c r="B2349" s="30">
        <v>2348.0</v>
      </c>
      <c r="C2349" s="16" t="s">
        <v>3037</v>
      </c>
      <c r="D2349" s="16" t="s">
        <v>184</v>
      </c>
      <c r="E2349" s="16" t="s">
        <v>228</v>
      </c>
      <c r="F2349" s="16" t="s">
        <v>3034</v>
      </c>
      <c r="G2349" s="16" t="s">
        <v>229</v>
      </c>
      <c r="H2349" s="16" t="s">
        <v>230</v>
      </c>
    </row>
    <row r="2350" ht="20.25" customHeight="1">
      <c r="A2350" s="32" t="str">
        <f>IMAGE("https://gymvisual.com/1570-catalog_default/3-4-sit-up.jpg",4,500,500)</f>
        <v/>
      </c>
      <c r="B2350" s="30">
        <v>2349.0</v>
      </c>
      <c r="C2350" s="16" t="s">
        <v>3038</v>
      </c>
      <c r="D2350" s="16" t="s">
        <v>184</v>
      </c>
      <c r="E2350" s="16" t="s">
        <v>234</v>
      </c>
      <c r="F2350" s="16" t="s">
        <v>3034</v>
      </c>
      <c r="G2350" s="16" t="s">
        <v>235</v>
      </c>
      <c r="H2350" s="16" t="s">
        <v>243</v>
      </c>
    </row>
    <row r="2351" ht="20.25" customHeight="1">
      <c r="A2351" s="32" t="str">
        <f>IMAGE("https://gymvisual.com/18923-catalog_default/kettlebell-alternating-press-on-floor-female.jpg",4,500,500)</f>
        <v/>
      </c>
      <c r="B2351" s="30">
        <v>2350.0</v>
      </c>
      <c r="C2351" s="16" t="s">
        <v>3039</v>
      </c>
      <c r="D2351" s="16" t="s">
        <v>184</v>
      </c>
      <c r="E2351" s="16" t="s">
        <v>234</v>
      </c>
      <c r="F2351" s="16" t="s">
        <v>3034</v>
      </c>
      <c r="G2351" s="16" t="s">
        <v>220</v>
      </c>
      <c r="H2351" s="16" t="s">
        <v>220</v>
      </c>
    </row>
    <row r="2352" ht="20.25" customHeight="1">
      <c r="A2352" s="32" t="str">
        <f>IMAGE("https://gymvisual.com/1576-catalog_default/3-4-sit-up.jpg",4,500,500)</f>
        <v/>
      </c>
      <c r="B2352" s="30">
        <v>2351.0</v>
      </c>
      <c r="C2352" s="16" t="s">
        <v>3040</v>
      </c>
      <c r="D2352" s="16" t="s">
        <v>184</v>
      </c>
      <c r="E2352" s="16" t="s">
        <v>192</v>
      </c>
      <c r="F2352" s="16" t="s">
        <v>3034</v>
      </c>
      <c r="G2352" s="16" t="s">
        <v>3041</v>
      </c>
      <c r="H2352" s="16" t="s">
        <v>457</v>
      </c>
    </row>
    <row r="2353" ht="20.25" customHeight="1">
      <c r="A2353" s="32" t="str">
        <f>IMAGE("https://gymvisual.com/11158-catalog_default/kettlebell-alternating-renegade-row-female.jpg",4,500,500)</f>
        <v/>
      </c>
      <c r="B2353" s="30">
        <v>2352.0</v>
      </c>
      <c r="C2353" s="16" t="s">
        <v>3042</v>
      </c>
      <c r="D2353" s="16" t="s">
        <v>184</v>
      </c>
      <c r="E2353" s="16" t="s">
        <v>192</v>
      </c>
      <c r="F2353" s="16" t="s">
        <v>3034</v>
      </c>
      <c r="G2353" s="16" t="s">
        <v>220</v>
      </c>
      <c r="H2353" s="16" t="s">
        <v>220</v>
      </c>
    </row>
    <row r="2354" ht="20.25" customHeight="1">
      <c r="A2354" s="32" t="str">
        <f>IMAGE("https://gymvisual.com/18917-catalog_default/3-4-sit-up.jpg",4,500,500)</f>
        <v/>
      </c>
      <c r="B2354" s="30">
        <v>2353.0</v>
      </c>
      <c r="C2354" s="16" t="s">
        <v>3043</v>
      </c>
      <c r="D2354" s="16" t="s">
        <v>184</v>
      </c>
      <c r="E2354" s="16" t="s">
        <v>192</v>
      </c>
      <c r="F2354" s="16" t="s">
        <v>3034</v>
      </c>
      <c r="G2354" s="16" t="s">
        <v>3044</v>
      </c>
      <c r="H2354" s="16" t="s">
        <v>457</v>
      </c>
    </row>
    <row r="2355" ht="20.25" customHeight="1">
      <c r="A2355" s="32" t="str">
        <f>IMAGE("https://gymvisual.com/12207-catalog_default/kettlebell-angled-press.jpg",4,500,500)</f>
        <v/>
      </c>
      <c r="B2355" s="30">
        <v>2354.0</v>
      </c>
      <c r="C2355" s="16" t="s">
        <v>3045</v>
      </c>
      <c r="D2355" s="16" t="s">
        <v>184</v>
      </c>
      <c r="E2355" s="16" t="s">
        <v>192</v>
      </c>
      <c r="F2355" s="16" t="s">
        <v>3034</v>
      </c>
      <c r="G2355" s="16" t="s">
        <v>2135</v>
      </c>
      <c r="H2355" s="16" t="s">
        <v>2112</v>
      </c>
    </row>
    <row r="2356" ht="20.25" customHeight="1">
      <c r="A2356" s="32" t="str">
        <f>IMAGE("https://gymvisual.com/1582-catalog_default/3-4-sit-up.jpg",4,500,500)</f>
        <v/>
      </c>
      <c r="B2356" s="30">
        <v>2355.0</v>
      </c>
      <c r="C2356" s="16" t="s">
        <v>3046</v>
      </c>
      <c r="D2356" s="16" t="s">
        <v>184</v>
      </c>
      <c r="E2356" s="16" t="s">
        <v>228</v>
      </c>
      <c r="F2356" s="16" t="s">
        <v>3034</v>
      </c>
      <c r="G2356" s="16" t="s">
        <v>229</v>
      </c>
      <c r="H2356" s="16" t="s">
        <v>230</v>
      </c>
    </row>
    <row r="2357" ht="20.25" customHeight="1">
      <c r="A2357" s="32" t="str">
        <f>IMAGE("https://gymvisual.com/12204-catalog_default/kettlebell-around-head-rotation.jpg",4,500,500)</f>
        <v/>
      </c>
      <c r="B2357" s="30">
        <v>2356.0</v>
      </c>
      <c r="C2357" s="16" t="s">
        <v>3047</v>
      </c>
      <c r="D2357" s="16" t="s">
        <v>184</v>
      </c>
      <c r="E2357" s="16" t="s">
        <v>228</v>
      </c>
      <c r="F2357" s="16" t="s">
        <v>3034</v>
      </c>
      <c r="G2357" s="16" t="s">
        <v>333</v>
      </c>
      <c r="H2357" s="16" t="s">
        <v>3048</v>
      </c>
    </row>
    <row r="2358" ht="20.25" customHeight="1">
      <c r="A2358" s="32" t="str">
        <f>IMAGE("https://gymvisual.com/19509-catalog_default/kettlebell-assisted-bulgarian-split-squat.jpg",4,500,500)</f>
        <v/>
      </c>
      <c r="B2358" s="30">
        <v>2357.0</v>
      </c>
      <c r="C2358" s="16" t="s">
        <v>3049</v>
      </c>
      <c r="D2358" s="16" t="s">
        <v>184</v>
      </c>
      <c r="E2358" s="16" t="s">
        <v>285</v>
      </c>
      <c r="F2358" s="16" t="s">
        <v>3034</v>
      </c>
      <c r="G2358" s="16" t="s">
        <v>220</v>
      </c>
      <c r="H2358" s="16" t="s">
        <v>220</v>
      </c>
    </row>
    <row r="2359" ht="20.25" customHeight="1">
      <c r="A2359" s="32" t="str">
        <f>IMAGE("https://gymvisual.com/14209-catalog_default/kettlebell-backward-lunge.jpg",4,500,500)</f>
        <v/>
      </c>
      <c r="B2359" s="30">
        <v>2358.0</v>
      </c>
      <c r="C2359" s="16" t="s">
        <v>3050</v>
      </c>
      <c r="D2359" s="16" t="s">
        <v>184</v>
      </c>
      <c r="E2359" s="16" t="s">
        <v>294</v>
      </c>
      <c r="F2359" s="16" t="s">
        <v>3034</v>
      </c>
      <c r="G2359" s="16" t="s">
        <v>189</v>
      </c>
      <c r="H2359" s="16" t="s">
        <v>190</v>
      </c>
    </row>
    <row r="2360" ht="20.25" customHeight="1">
      <c r="A2360" s="32" t="str">
        <f>IMAGE("https://gymvisual.com/17977-catalog_default/kettlebell-banded-swing.jpg",4,500,500)</f>
        <v/>
      </c>
      <c r="B2360" s="30">
        <v>2359.0</v>
      </c>
      <c r="C2360" s="16" t="s">
        <v>3051</v>
      </c>
      <c r="D2360" s="16" t="s">
        <v>184</v>
      </c>
      <c r="E2360" s="16" t="s">
        <v>185</v>
      </c>
      <c r="F2360" s="16" t="s">
        <v>3034</v>
      </c>
      <c r="G2360" s="16" t="s">
        <v>220</v>
      </c>
      <c r="H2360" s="16" t="s">
        <v>220</v>
      </c>
    </row>
    <row r="2361" ht="20.25" customHeight="1">
      <c r="A2361" s="32" t="str">
        <f>IMAGE("https://gymvisual.com/19563-catalog_default/kettlebell-bent-arm-pullover-with-knees-bent-female.jpg",4,500,500)</f>
        <v/>
      </c>
      <c r="B2361" s="30">
        <v>2360.0</v>
      </c>
      <c r="C2361" s="16" t="s">
        <v>3052</v>
      </c>
      <c r="D2361" s="16" t="s">
        <v>184</v>
      </c>
      <c r="E2361" s="16" t="s">
        <v>192</v>
      </c>
      <c r="F2361" s="16" t="s">
        <v>3034</v>
      </c>
      <c r="G2361" s="16" t="s">
        <v>220</v>
      </c>
      <c r="H2361" s="16" t="s">
        <v>220</v>
      </c>
    </row>
    <row r="2362" ht="20.25" customHeight="1">
      <c r="A2362" s="32" t="str">
        <f>IMAGE("https://gymvisual.com/26108-catalog_default/kettlebell-bent-over-alternate-twist-row.jpg",4,500,500)</f>
        <v/>
      </c>
      <c r="B2362" s="30">
        <v>2361.0</v>
      </c>
      <c r="C2362" s="16" t="s">
        <v>3053</v>
      </c>
      <c r="D2362" s="16" t="s">
        <v>184</v>
      </c>
      <c r="E2362" s="16" t="s">
        <v>192</v>
      </c>
      <c r="F2362" s="16" t="s">
        <v>3034</v>
      </c>
      <c r="G2362" s="16" t="s">
        <v>220</v>
      </c>
      <c r="H2362" s="16" t="s">
        <v>220</v>
      </c>
    </row>
    <row r="2363" ht="20.25" customHeight="1">
      <c r="A2363" s="32" t="str">
        <f>IMAGE("https://gymvisual.com/1585-catalog_default/3-4-sit-up.jpg",4,500,500)</f>
        <v/>
      </c>
      <c r="B2363" s="30">
        <v>2362.0</v>
      </c>
      <c r="C2363" s="16" t="s">
        <v>3054</v>
      </c>
      <c r="D2363" s="16" t="s">
        <v>184</v>
      </c>
      <c r="E2363" s="16" t="s">
        <v>254</v>
      </c>
      <c r="F2363" s="16" t="s">
        <v>3034</v>
      </c>
      <c r="G2363" s="16" t="s">
        <v>741</v>
      </c>
      <c r="H2363" s="16" t="s">
        <v>3055</v>
      </c>
    </row>
    <row r="2364" ht="20.25" customHeight="1">
      <c r="A2364" s="32" t="str">
        <f>IMAGE("https://gymvisual.com/11492-catalog_default/kettlebell-bent-press-female.jpg",4,500,500)</f>
        <v/>
      </c>
      <c r="B2364" s="30">
        <v>2363.0</v>
      </c>
      <c r="C2364" s="16" t="s">
        <v>3056</v>
      </c>
      <c r="D2364" s="16" t="s">
        <v>184</v>
      </c>
      <c r="E2364" s="16" t="s">
        <v>254</v>
      </c>
      <c r="F2364" s="16" t="s">
        <v>3034</v>
      </c>
      <c r="G2364" s="16" t="s">
        <v>741</v>
      </c>
      <c r="H2364" s="16" t="s">
        <v>3057</v>
      </c>
    </row>
    <row r="2365" ht="20.25" customHeight="1">
      <c r="A2365" s="32" t="str">
        <f>IMAGE("https://gymvisual.com/19561-catalog_default/kettlebell-bent-over-row-female.jpg",4,500,500)</f>
        <v/>
      </c>
      <c r="B2365" s="30">
        <v>2364.0</v>
      </c>
      <c r="C2365" s="16" t="s">
        <v>3058</v>
      </c>
      <c r="D2365" s="16" t="s">
        <v>184</v>
      </c>
      <c r="E2365" s="16" t="s">
        <v>192</v>
      </c>
      <c r="F2365" s="16" t="s">
        <v>3034</v>
      </c>
      <c r="G2365" s="16" t="s">
        <v>220</v>
      </c>
      <c r="H2365" s="16" t="s">
        <v>220</v>
      </c>
    </row>
    <row r="2366" ht="20.25" customHeight="1">
      <c r="A2366" s="32" t="str">
        <f>IMAGE("https://gymvisual.com/26088-catalog_default/kettlebell-biceps-curl.jpg",4,500,500)</f>
        <v/>
      </c>
      <c r="B2366" s="30">
        <v>2365.0</v>
      </c>
      <c r="C2366" s="16" t="s">
        <v>3059</v>
      </c>
      <c r="D2366" s="16" t="s">
        <v>184</v>
      </c>
      <c r="E2366" s="16" t="s">
        <v>219</v>
      </c>
      <c r="F2366" s="16" t="s">
        <v>3034</v>
      </c>
      <c r="G2366" s="16" t="s">
        <v>220</v>
      </c>
      <c r="H2366" s="16" t="s">
        <v>220</v>
      </c>
    </row>
    <row r="2367" ht="20.25" customHeight="1">
      <c r="A2367" s="32" t="str">
        <f>IMAGE("https://gymvisual.com/16410-catalog_default/kettlebell-bottom-up-one-arm-bench-press.jpg",4,500,500)</f>
        <v/>
      </c>
      <c r="B2367" s="30">
        <v>2366.0</v>
      </c>
      <c r="C2367" s="16" t="s">
        <v>3060</v>
      </c>
      <c r="D2367" s="16" t="s">
        <v>184</v>
      </c>
      <c r="E2367" s="16" t="s">
        <v>234</v>
      </c>
      <c r="F2367" s="16" t="s">
        <v>3034</v>
      </c>
      <c r="G2367" s="16" t="s">
        <v>235</v>
      </c>
      <c r="H2367" s="16" t="s">
        <v>243</v>
      </c>
    </row>
    <row r="2368" ht="20.25" customHeight="1">
      <c r="A2368" s="32" t="str">
        <f>IMAGE("https://gymvisual.com/1588-catalog_default/3-4-sit-up.jpg",4,500,500)</f>
        <v/>
      </c>
      <c r="B2368" s="30">
        <v>2367.0</v>
      </c>
      <c r="C2368" s="16" t="s">
        <v>3061</v>
      </c>
      <c r="D2368" s="16" t="s">
        <v>184</v>
      </c>
      <c r="E2368" s="16" t="s">
        <v>214</v>
      </c>
      <c r="F2368" s="16" t="s">
        <v>3034</v>
      </c>
      <c r="G2368" s="16" t="s">
        <v>292</v>
      </c>
      <c r="H2368" s="16" t="s">
        <v>236</v>
      </c>
    </row>
    <row r="2369" ht="20.25" customHeight="1">
      <c r="A2369" s="32" t="str">
        <f>IMAGE("https://gymvisual.com/18093-catalog_default/kettlebell-bottoms-up-to-knee-turkish-get-up.jpg",4,500,500)</f>
        <v/>
      </c>
      <c r="B2369" s="30">
        <v>2368.0</v>
      </c>
      <c r="C2369" s="16" t="s">
        <v>3062</v>
      </c>
      <c r="D2369" s="16" t="s">
        <v>184</v>
      </c>
      <c r="E2369" s="16" t="s">
        <v>285</v>
      </c>
      <c r="F2369" s="16" t="s">
        <v>3034</v>
      </c>
      <c r="G2369" s="16" t="s">
        <v>220</v>
      </c>
      <c r="H2369" s="16" t="s">
        <v>220</v>
      </c>
    </row>
    <row r="2370" ht="20.25" customHeight="1">
      <c r="A2370" s="32" t="str">
        <f>IMAGE("https://gymvisual.com/23693-catalog_default/kettlebell-box-squat.jpg",4,500,500)</f>
        <v/>
      </c>
      <c r="B2370" s="30">
        <v>2369.0</v>
      </c>
      <c r="C2370" s="16" t="s">
        <v>3063</v>
      </c>
      <c r="D2370" s="16" t="s">
        <v>184</v>
      </c>
      <c r="E2370" s="16" t="s">
        <v>185</v>
      </c>
      <c r="F2370" s="16" t="s">
        <v>3034</v>
      </c>
      <c r="G2370" s="16" t="s">
        <v>189</v>
      </c>
      <c r="H2370" s="16" t="s">
        <v>190</v>
      </c>
    </row>
    <row r="2371" ht="20.25" customHeight="1">
      <c r="A2371" s="32" t="str">
        <f>IMAGE("https://gymvisual.com/26112-catalog_default/kettlebell-calf-raise-and-front-squat-male.jpg",4,500,500)</f>
        <v/>
      </c>
      <c r="B2371" s="30">
        <v>2370.0</v>
      </c>
      <c r="C2371" s="16" t="s">
        <v>3064</v>
      </c>
      <c r="D2371" s="16" t="s">
        <v>184</v>
      </c>
      <c r="E2371" s="16" t="s">
        <v>285</v>
      </c>
      <c r="F2371" s="16" t="s">
        <v>3034</v>
      </c>
      <c r="G2371" s="16" t="s">
        <v>220</v>
      </c>
      <c r="H2371" s="16" t="s">
        <v>220</v>
      </c>
    </row>
    <row r="2372" ht="20.25" customHeight="1">
      <c r="A2372" s="32" t="str">
        <f>IMAGE("https://gymvisual.com/19183-catalog_default/kettlebell-clean-and-jerk.jpg",4,500,500)</f>
        <v/>
      </c>
      <c r="B2372" s="30">
        <v>2371.0</v>
      </c>
      <c r="C2372" s="16" t="s">
        <v>3065</v>
      </c>
      <c r="D2372" s="16" t="s">
        <v>184</v>
      </c>
      <c r="E2372" s="16" t="s">
        <v>691</v>
      </c>
      <c r="F2372" s="16" t="s">
        <v>3034</v>
      </c>
      <c r="G2372" s="16" t="s">
        <v>220</v>
      </c>
      <c r="H2372" s="16" t="s">
        <v>220</v>
      </c>
    </row>
    <row r="2373" ht="20.25" customHeight="1">
      <c r="A2373" s="32" t="str">
        <f>IMAGE("https://gymvisual.com/26084-catalog_default/kettlebell-clean-and-press.jpg",4,500,500)</f>
        <v/>
      </c>
      <c r="B2373" s="30">
        <v>2372.0</v>
      </c>
      <c r="C2373" s="16" t="s">
        <v>3066</v>
      </c>
      <c r="D2373" s="16" t="s">
        <v>184</v>
      </c>
      <c r="E2373" s="16" t="s">
        <v>764</v>
      </c>
      <c r="F2373" s="16" t="s">
        <v>3034</v>
      </c>
      <c r="G2373" s="16" t="s">
        <v>220</v>
      </c>
      <c r="H2373" s="16" t="s">
        <v>220</v>
      </c>
    </row>
    <row r="2374" ht="20.25" customHeight="1">
      <c r="A2374" s="32" t="str">
        <f>IMAGE("https://gymvisual.com/26086-catalog_default/kettlebell-concentration-curl.jpg",4,500,500)</f>
        <v/>
      </c>
      <c r="B2374" s="30">
        <v>2373.0</v>
      </c>
      <c r="C2374" s="16" t="s">
        <v>3067</v>
      </c>
      <c r="D2374" s="16" t="s">
        <v>184</v>
      </c>
      <c r="E2374" s="16" t="s">
        <v>219</v>
      </c>
      <c r="F2374" s="16" t="s">
        <v>3034</v>
      </c>
      <c r="G2374" s="16" t="s">
        <v>220</v>
      </c>
      <c r="H2374" s="16" t="s">
        <v>220</v>
      </c>
    </row>
    <row r="2375" ht="20.25" customHeight="1">
      <c r="A2375" s="32" t="str">
        <f>IMAGE("https://gymvisual.com/17827-catalog_default/kettlebell-dead-bug.jpg",4,500,500)</f>
        <v/>
      </c>
      <c r="B2375" s="30">
        <v>2374.0</v>
      </c>
      <c r="C2375" s="16" t="s">
        <v>3068</v>
      </c>
      <c r="D2375" s="16" t="s">
        <v>184</v>
      </c>
      <c r="E2375" s="16" t="s">
        <v>254</v>
      </c>
      <c r="F2375" s="16" t="s">
        <v>3034</v>
      </c>
      <c r="G2375" s="16" t="s">
        <v>220</v>
      </c>
      <c r="H2375" s="16" t="s">
        <v>220</v>
      </c>
    </row>
    <row r="2376" ht="20.25" customHeight="1">
      <c r="A2376" s="32" t="str">
        <f>IMAGE("https://gymvisual.com/6812-catalog_default/kettlebell-dead-clean.jpg",4,500,500)</f>
        <v/>
      </c>
      <c r="B2376" s="30">
        <v>2375.0</v>
      </c>
      <c r="C2376" s="16" t="s">
        <v>3069</v>
      </c>
      <c r="D2376" s="16" t="s">
        <v>184</v>
      </c>
      <c r="E2376" s="16" t="s">
        <v>764</v>
      </c>
      <c r="F2376" s="16" t="s">
        <v>3034</v>
      </c>
      <c r="G2376" s="16" t="s">
        <v>220</v>
      </c>
      <c r="H2376" s="16" t="s">
        <v>220</v>
      </c>
    </row>
    <row r="2377" ht="20.25" customHeight="1">
      <c r="A2377" s="32" t="str">
        <f>IMAGE("https://gymvisual.com/13567-catalog_default/kettlebell-deadlift.jpg",4,500,500)</f>
        <v/>
      </c>
      <c r="B2377" s="30">
        <v>2376.0</v>
      </c>
      <c r="C2377" s="16" t="s">
        <v>3070</v>
      </c>
      <c r="D2377" s="16" t="s">
        <v>184</v>
      </c>
      <c r="E2377" s="16" t="s">
        <v>294</v>
      </c>
      <c r="F2377" s="16" t="s">
        <v>3034</v>
      </c>
      <c r="G2377" s="16" t="s">
        <v>189</v>
      </c>
      <c r="H2377" s="16" t="s">
        <v>314</v>
      </c>
    </row>
    <row r="2378" ht="20.25" customHeight="1">
      <c r="A2378" s="32" t="str">
        <f>IMAGE("https://gymvisual.com/17148-catalog_default/kettlebell-deadlift-female.jpg",4,500,500)</f>
        <v/>
      </c>
      <c r="B2378" s="30">
        <v>2377.0</v>
      </c>
      <c r="C2378" s="16" t="s">
        <v>3071</v>
      </c>
      <c r="D2378" s="16" t="s">
        <v>184</v>
      </c>
      <c r="E2378" s="16" t="s">
        <v>294</v>
      </c>
      <c r="F2378" s="16" t="s">
        <v>3034</v>
      </c>
      <c r="G2378" s="16" t="s">
        <v>2010</v>
      </c>
      <c r="H2378" s="16" t="s">
        <v>2076</v>
      </c>
    </row>
    <row r="2379" ht="20.25" customHeight="1">
      <c r="A2379" s="32" t="str">
        <f>IMAGE("https://gymvisual.com/14217-catalog_default/kettlebell-deck-squat.jpg",4,500,500)</f>
        <v/>
      </c>
      <c r="B2379" s="30">
        <v>2378.0</v>
      </c>
      <c r="C2379" s="16" t="s">
        <v>3072</v>
      </c>
      <c r="D2379" s="16" t="s">
        <v>184</v>
      </c>
      <c r="E2379" s="16" t="s">
        <v>2396</v>
      </c>
      <c r="F2379" s="16" t="s">
        <v>3034</v>
      </c>
      <c r="G2379" s="16" t="s">
        <v>220</v>
      </c>
      <c r="H2379" s="16" t="s">
        <v>220</v>
      </c>
    </row>
    <row r="2380" ht="20.25" customHeight="1">
      <c r="A2380" s="32" t="str">
        <f>IMAGE("https://gymvisual.com/14219-catalog_default/kettlebell-deep-push-up.jpg",4,500,500)</f>
        <v/>
      </c>
      <c r="B2380" s="30">
        <v>2379.0</v>
      </c>
      <c r="C2380" s="16" t="s">
        <v>3073</v>
      </c>
      <c r="D2380" s="16" t="s">
        <v>184</v>
      </c>
      <c r="E2380" s="16" t="s">
        <v>234</v>
      </c>
      <c r="F2380" s="16" t="s">
        <v>3034</v>
      </c>
      <c r="G2380" s="16" t="s">
        <v>235</v>
      </c>
      <c r="H2380" s="16" t="s">
        <v>243</v>
      </c>
    </row>
    <row r="2381" ht="20.25" customHeight="1">
      <c r="A2381" s="32" t="str">
        <f>IMAGE("https://gymvisual.com/1591-catalog_default/3-4-sit-up.jpg",4,500,500)</f>
        <v/>
      </c>
      <c r="B2381" s="30">
        <v>2380.0</v>
      </c>
      <c r="C2381" s="16" t="s">
        <v>3074</v>
      </c>
      <c r="D2381" s="16" t="s">
        <v>184</v>
      </c>
      <c r="E2381" s="16" t="s">
        <v>214</v>
      </c>
      <c r="F2381" s="16" t="s">
        <v>3034</v>
      </c>
      <c r="G2381" s="16" t="s">
        <v>292</v>
      </c>
      <c r="H2381" s="16" t="s">
        <v>420</v>
      </c>
    </row>
    <row r="2382" ht="20.25" customHeight="1">
      <c r="A2382" s="32" t="str">
        <f>IMAGE("https://gymvisual.com/1594-catalog_default/3-4-sit-up.jpg",4,500,500)</f>
        <v/>
      </c>
      <c r="B2382" s="30">
        <v>2381.0</v>
      </c>
      <c r="C2382" s="16" t="s">
        <v>3075</v>
      </c>
      <c r="D2382" s="16" t="s">
        <v>184</v>
      </c>
      <c r="E2382" s="16" t="s">
        <v>228</v>
      </c>
      <c r="F2382" s="16" t="s">
        <v>3034</v>
      </c>
      <c r="G2382" s="16" t="s">
        <v>220</v>
      </c>
      <c r="H2382" s="16" t="s">
        <v>220</v>
      </c>
    </row>
    <row r="2383" ht="20.25" customHeight="1">
      <c r="A2383" s="32" t="str">
        <f>IMAGE("https://gymvisual.com/1597-catalog_default/3-4-sit-up.jpg",4,500,500)</f>
        <v/>
      </c>
      <c r="B2383" s="30">
        <v>2382.0</v>
      </c>
      <c r="C2383" s="16" t="s">
        <v>3076</v>
      </c>
      <c r="D2383" s="16" t="s">
        <v>184</v>
      </c>
      <c r="E2383" s="16" t="s">
        <v>228</v>
      </c>
      <c r="F2383" s="16" t="s">
        <v>3034</v>
      </c>
      <c r="G2383" s="16" t="s">
        <v>220</v>
      </c>
      <c r="H2383" s="16" t="s">
        <v>220</v>
      </c>
    </row>
    <row r="2384" ht="20.25" customHeight="1">
      <c r="A2384" s="32" t="str">
        <f>IMAGE("https://gymvisual.com/11161-catalog_default/kettlebell-double-push-press-female.jpg",4,500,500)</f>
        <v/>
      </c>
      <c r="B2384" s="30">
        <v>2383.0</v>
      </c>
      <c r="C2384" s="16" t="s">
        <v>3077</v>
      </c>
      <c r="D2384" s="16" t="s">
        <v>184</v>
      </c>
      <c r="E2384" s="16" t="s">
        <v>1129</v>
      </c>
      <c r="F2384" s="16" t="s">
        <v>3034</v>
      </c>
      <c r="G2384" s="16" t="s">
        <v>220</v>
      </c>
      <c r="H2384" s="16" t="s">
        <v>220</v>
      </c>
    </row>
    <row r="2385" ht="20.25" customHeight="1">
      <c r="A2385" s="32" t="str">
        <f>IMAGE("https://gymvisual.com/1599-catalog_default/3-4-sit-up.jpg",4,500,500)</f>
        <v/>
      </c>
      <c r="B2385" s="30">
        <v>2384.0</v>
      </c>
      <c r="C2385" s="16" t="s">
        <v>3078</v>
      </c>
      <c r="D2385" s="16" t="s">
        <v>184</v>
      </c>
      <c r="E2385" s="16" t="s">
        <v>228</v>
      </c>
      <c r="F2385" s="16" t="s">
        <v>3034</v>
      </c>
      <c r="G2385" s="16" t="s">
        <v>220</v>
      </c>
      <c r="H2385" s="16" t="s">
        <v>220</v>
      </c>
    </row>
    <row r="2386" ht="20.25" customHeight="1">
      <c r="A2386" s="32" t="str">
        <f>IMAGE("https://gymvisual.com/1601-catalog_default/3-4-sit-up.jpg",4,500,500)</f>
        <v/>
      </c>
      <c r="B2386" s="30">
        <v>2385.0</v>
      </c>
      <c r="C2386" s="16" t="s">
        <v>3079</v>
      </c>
      <c r="D2386" s="16" t="s">
        <v>184</v>
      </c>
      <c r="E2386" s="16" t="s">
        <v>254</v>
      </c>
      <c r="F2386" s="16" t="s">
        <v>3034</v>
      </c>
      <c r="G2386" s="16" t="s">
        <v>257</v>
      </c>
      <c r="H2386" s="16" t="s">
        <v>3080</v>
      </c>
    </row>
    <row r="2387" ht="20.25" customHeight="1">
      <c r="A2387" s="32" t="str">
        <f>IMAGE("https://gymvisual.com/19527-catalog_default/kettlebell-double-windmill-female.jpg",4,500,500)</f>
        <v/>
      </c>
      <c r="B2387" s="30">
        <v>2386.0</v>
      </c>
      <c r="C2387" s="16" t="s">
        <v>3081</v>
      </c>
      <c r="D2387" s="16" t="s">
        <v>184</v>
      </c>
      <c r="E2387" s="16" t="s">
        <v>254</v>
      </c>
      <c r="F2387" s="16" t="s">
        <v>3034</v>
      </c>
      <c r="G2387" s="16" t="s">
        <v>220</v>
      </c>
      <c r="H2387" s="16" t="s">
        <v>220</v>
      </c>
    </row>
    <row r="2388" ht="20.25" customHeight="1">
      <c r="A2388" s="32" t="str">
        <f>IMAGE("https://gymvisual.com/11828-catalog_default/kettlebell-dumbbell-sumo-squat-off-stepbox-female.jpg",4,500,500)</f>
        <v/>
      </c>
      <c r="B2388" s="30">
        <v>2387.0</v>
      </c>
      <c r="C2388" s="16" t="s">
        <v>3082</v>
      </c>
      <c r="D2388" s="16" t="s">
        <v>184</v>
      </c>
      <c r="E2388" s="16" t="s">
        <v>185</v>
      </c>
      <c r="F2388" s="16" t="s">
        <v>3034</v>
      </c>
      <c r="G2388" s="16" t="s">
        <v>220</v>
      </c>
      <c r="H2388" s="16" t="s">
        <v>220</v>
      </c>
    </row>
    <row r="2389" ht="20.25" customHeight="1">
      <c r="A2389" s="32" t="str">
        <f>IMAGE("https://gymvisual.com/24250-catalog_default/kettlebell-elevanted-goblet-squat.jpg",4,500,500)</f>
        <v/>
      </c>
      <c r="B2389" s="30">
        <v>2388.0</v>
      </c>
      <c r="C2389" s="16" t="s">
        <v>3083</v>
      </c>
      <c r="D2389" s="16" t="s">
        <v>184</v>
      </c>
      <c r="E2389" s="16" t="s">
        <v>285</v>
      </c>
      <c r="F2389" s="16" t="s">
        <v>3034</v>
      </c>
      <c r="G2389" s="16" t="s">
        <v>189</v>
      </c>
      <c r="H2389" s="16" t="s">
        <v>190</v>
      </c>
    </row>
    <row r="2390" ht="20.25" customHeight="1">
      <c r="A2390" s="32" t="str">
        <f>IMAGE("https://gymvisual.com/1604-catalog_default/3-4-sit-up.jpg",4,500,500)</f>
        <v/>
      </c>
      <c r="B2390" s="30">
        <v>2389.0</v>
      </c>
      <c r="C2390" s="16" t="s">
        <v>3084</v>
      </c>
      <c r="D2390" s="16" t="s">
        <v>184</v>
      </c>
      <c r="E2390" s="16" t="s">
        <v>234</v>
      </c>
      <c r="F2390" s="16" t="s">
        <v>3034</v>
      </c>
      <c r="G2390" s="16" t="s">
        <v>235</v>
      </c>
      <c r="H2390" s="16" t="s">
        <v>243</v>
      </c>
    </row>
    <row r="2391" ht="20.25" customHeight="1">
      <c r="A2391" s="32" t="str">
        <f>IMAGE("https://gymvisual.com/14211-catalog_default/kettlebell-farmers-carry.jpg",4,500,500)</f>
        <v/>
      </c>
      <c r="B2391" s="30">
        <v>2390.0</v>
      </c>
      <c r="C2391" s="16" t="s">
        <v>3085</v>
      </c>
      <c r="D2391" s="16" t="s">
        <v>184</v>
      </c>
      <c r="E2391" s="16" t="s">
        <v>294</v>
      </c>
      <c r="F2391" s="16" t="s">
        <v>3034</v>
      </c>
      <c r="G2391" s="16" t="s">
        <v>189</v>
      </c>
      <c r="H2391" s="16" t="s">
        <v>190</v>
      </c>
    </row>
    <row r="2392" ht="20.25" customHeight="1">
      <c r="A2392" s="32" t="str">
        <f>IMAGE("https://gymvisual.com/1607-catalog_default/3-4-sit-up.jpg",4,500,500)</f>
        <v/>
      </c>
      <c r="B2392" s="30">
        <v>2391.0</v>
      </c>
      <c r="C2392" s="16" t="s">
        <v>3086</v>
      </c>
      <c r="D2392" s="16" t="s">
        <v>184</v>
      </c>
      <c r="E2392" s="16" t="s">
        <v>254</v>
      </c>
      <c r="F2392" s="16" t="s">
        <v>3034</v>
      </c>
      <c r="G2392" s="16" t="s">
        <v>257</v>
      </c>
      <c r="H2392" s="16" t="s">
        <v>256</v>
      </c>
    </row>
    <row r="2393" ht="20.25" customHeight="1">
      <c r="A2393" s="32" t="str">
        <f>IMAGE("https://gymvisual.com/11164-catalog_default/kettlebell-figure-8-female.jpg",4,500,500)</f>
        <v/>
      </c>
      <c r="B2393" s="30">
        <v>2392.0</v>
      </c>
      <c r="C2393" s="16" t="s">
        <v>3087</v>
      </c>
      <c r="D2393" s="16" t="s">
        <v>184</v>
      </c>
      <c r="E2393" s="16" t="s">
        <v>254</v>
      </c>
      <c r="F2393" s="16" t="s">
        <v>3034</v>
      </c>
      <c r="G2393" s="16" t="s">
        <v>220</v>
      </c>
      <c r="H2393" s="16" t="s">
        <v>220</v>
      </c>
    </row>
    <row r="2394" ht="20.25" customHeight="1">
      <c r="A2394" s="32" t="str">
        <f>IMAGE("https://gymvisual.com/26090-catalog_default/kettlebell-floor-fly.jpg",4,500,500)</f>
        <v/>
      </c>
      <c r="B2394" s="30">
        <v>2393.0</v>
      </c>
      <c r="C2394" s="16" t="s">
        <v>3088</v>
      </c>
      <c r="D2394" s="16" t="s">
        <v>184</v>
      </c>
      <c r="E2394" s="16" t="s">
        <v>234</v>
      </c>
      <c r="F2394" s="16" t="s">
        <v>3034</v>
      </c>
      <c r="G2394" s="16" t="s">
        <v>220</v>
      </c>
      <c r="H2394" s="16" t="s">
        <v>220</v>
      </c>
    </row>
    <row r="2395" ht="20.25" customHeight="1">
      <c r="A2395" s="32" t="str">
        <f>IMAGE("https://gymvisual.com/14207-catalog_default/kettlebell-forward-lunge.jpg",4,500,500)</f>
        <v/>
      </c>
      <c r="B2395" s="30">
        <v>2394.0</v>
      </c>
      <c r="C2395" s="16" t="s">
        <v>3089</v>
      </c>
      <c r="D2395" s="16" t="s">
        <v>184</v>
      </c>
      <c r="E2395" s="16" t="s">
        <v>294</v>
      </c>
      <c r="F2395" s="16" t="s">
        <v>3034</v>
      </c>
      <c r="G2395" s="16" t="s">
        <v>220</v>
      </c>
      <c r="H2395" s="16" t="s">
        <v>220</v>
      </c>
    </row>
    <row r="2396" ht="20.25" customHeight="1">
      <c r="A2396" s="32" t="str">
        <f>IMAGE("https://gymvisual.com/19537-catalog_default/kettlebell-forward-lunge-female.jpg",4,500,500)</f>
        <v/>
      </c>
      <c r="B2396" s="30">
        <v>2395.0</v>
      </c>
      <c r="C2396" s="16" t="s">
        <v>3090</v>
      </c>
      <c r="D2396" s="16" t="s">
        <v>184</v>
      </c>
      <c r="E2396" s="16" t="s">
        <v>285</v>
      </c>
      <c r="F2396" s="16" t="s">
        <v>3034</v>
      </c>
      <c r="G2396" s="16" t="s">
        <v>220</v>
      </c>
      <c r="H2396" s="16" t="s">
        <v>220</v>
      </c>
    </row>
    <row r="2397" ht="20.25" customHeight="1">
      <c r="A2397" s="32" t="str">
        <f>IMAGE("https://gymvisual.com/23064-catalog_default/kettlebell-forward-lunge-version-2-female.jpg",4,500,500)</f>
        <v/>
      </c>
      <c r="B2397" s="30">
        <v>2396.0</v>
      </c>
      <c r="C2397" s="16" t="s">
        <v>3091</v>
      </c>
      <c r="D2397" s="16" t="s">
        <v>184</v>
      </c>
      <c r="E2397" s="16" t="s">
        <v>285</v>
      </c>
      <c r="F2397" s="16" t="s">
        <v>3034</v>
      </c>
      <c r="G2397" s="16" t="s">
        <v>220</v>
      </c>
      <c r="H2397" s="16" t="s">
        <v>220</v>
      </c>
    </row>
    <row r="2398" ht="20.25" customHeight="1">
      <c r="A2398" s="32" t="str">
        <f>IMAGE("https://gymvisual.com/19553-catalog_default/kettlebell-forward-lunge-and-press-female.jpg",4,500,500)</f>
        <v/>
      </c>
      <c r="B2398" s="30">
        <v>2397.0</v>
      </c>
      <c r="C2398" s="16" t="s">
        <v>3092</v>
      </c>
      <c r="D2398" s="16" t="s">
        <v>184</v>
      </c>
      <c r="E2398" s="16" t="s">
        <v>285</v>
      </c>
      <c r="F2398" s="16" t="s">
        <v>3034</v>
      </c>
      <c r="G2398" s="16" t="s">
        <v>220</v>
      </c>
      <c r="H2398" s="16" t="s">
        <v>220</v>
      </c>
    </row>
    <row r="2399" ht="20.25" customHeight="1">
      <c r="A2399" s="32" t="str">
        <f>IMAGE("https://gymvisual.com/26092-catalog_default/kettlebell-front-raise.jpg",4,500,500)</f>
        <v/>
      </c>
      <c r="B2399" s="30">
        <v>2398.0</v>
      </c>
      <c r="C2399" s="16" t="s">
        <v>3093</v>
      </c>
      <c r="D2399" s="16" t="s">
        <v>184</v>
      </c>
      <c r="E2399" s="16" t="s">
        <v>228</v>
      </c>
      <c r="F2399" s="16" t="s">
        <v>3034</v>
      </c>
      <c r="G2399" s="16" t="s">
        <v>220</v>
      </c>
      <c r="H2399" s="16" t="s">
        <v>220</v>
      </c>
    </row>
    <row r="2400" ht="20.25" customHeight="1">
      <c r="A2400" s="32" t="str">
        <f>IMAGE("https://gymvisual.com/1610-catalog_default/3-4-sit-up.jpg",4,500,500)</f>
        <v/>
      </c>
      <c r="B2400" s="30">
        <v>2399.0</v>
      </c>
      <c r="C2400" s="16" t="s">
        <v>3094</v>
      </c>
      <c r="D2400" s="16" t="s">
        <v>184</v>
      </c>
      <c r="E2400" s="16" t="s">
        <v>285</v>
      </c>
      <c r="F2400" s="16" t="s">
        <v>3034</v>
      </c>
      <c r="G2400" s="16" t="s">
        <v>189</v>
      </c>
      <c r="H2400" s="16" t="s">
        <v>190</v>
      </c>
    </row>
    <row r="2401" ht="20.25" customHeight="1">
      <c r="A2401" s="32" t="str">
        <f>IMAGE("https://gymvisual.com/11447-catalog_default/kettlebell-front-squat-female.jpg",4,500,500)</f>
        <v/>
      </c>
      <c r="B2401" s="30">
        <v>2400.0</v>
      </c>
      <c r="C2401" s="16" t="s">
        <v>3095</v>
      </c>
      <c r="D2401" s="16" t="s">
        <v>184</v>
      </c>
      <c r="E2401" s="16" t="s">
        <v>294</v>
      </c>
      <c r="F2401" s="16" t="s">
        <v>3034</v>
      </c>
      <c r="G2401" s="16" t="s">
        <v>189</v>
      </c>
      <c r="H2401" s="16" t="s">
        <v>190</v>
      </c>
    </row>
    <row r="2402" ht="20.25" customHeight="1">
      <c r="A2402" s="32" t="str">
        <f>IMAGE("https://gymvisual.com/20748-catalog_default/kettlebell-full-squat-from-deficit-female.jpg",4,500,500)</f>
        <v/>
      </c>
      <c r="B2402" s="30">
        <v>2401.0</v>
      </c>
      <c r="C2402" s="16" t="s">
        <v>3096</v>
      </c>
      <c r="D2402" s="16" t="s">
        <v>184</v>
      </c>
      <c r="E2402" s="16" t="s">
        <v>294</v>
      </c>
      <c r="F2402" s="16" t="s">
        <v>3034</v>
      </c>
      <c r="G2402" s="16" t="s">
        <v>189</v>
      </c>
      <c r="H2402" s="16" t="s">
        <v>190</v>
      </c>
    </row>
    <row r="2403" ht="20.25" customHeight="1">
      <c r="A2403" s="32" t="str">
        <f>IMAGE("https://gymvisual.com/14201-catalog_default/kettlebell-full-swing.jpg",4,500,500)</f>
        <v/>
      </c>
      <c r="B2403" s="30">
        <v>2402.0</v>
      </c>
      <c r="C2403" s="16" t="s">
        <v>3097</v>
      </c>
      <c r="D2403" s="16" t="s">
        <v>184</v>
      </c>
      <c r="E2403" s="16" t="s">
        <v>3098</v>
      </c>
      <c r="F2403" s="16" t="s">
        <v>3034</v>
      </c>
      <c r="G2403" s="16" t="s">
        <v>1224</v>
      </c>
      <c r="H2403" s="16" t="s">
        <v>3099</v>
      </c>
    </row>
    <row r="2404" ht="20.25" customHeight="1">
      <c r="A2404" s="32" t="str">
        <f>IMAGE("https://gymvisual.com/16396-catalog_default/kettlebell-gobelt-curtsey-lunge.jpg",4,500,500)</f>
        <v/>
      </c>
      <c r="B2404" s="30">
        <v>2403.0</v>
      </c>
      <c r="C2404" s="16" t="s">
        <v>3100</v>
      </c>
      <c r="D2404" s="16" t="s">
        <v>184</v>
      </c>
      <c r="E2404" s="16" t="s">
        <v>285</v>
      </c>
      <c r="F2404" s="16" t="s">
        <v>3034</v>
      </c>
      <c r="G2404" s="16" t="s">
        <v>295</v>
      </c>
      <c r="H2404" s="16" t="s">
        <v>3101</v>
      </c>
    </row>
    <row r="2405" ht="20.25" customHeight="1">
      <c r="A2405" s="32" t="str">
        <f>IMAGE("https://gymvisual.com/12178-catalog_default/kettlebell-goblet-carry.jpg",4,500,500)</f>
        <v/>
      </c>
      <c r="B2405" s="30">
        <v>2404.0</v>
      </c>
      <c r="C2405" s="16" t="s">
        <v>3102</v>
      </c>
      <c r="D2405" s="16" t="s">
        <v>184</v>
      </c>
      <c r="E2405" s="16" t="s">
        <v>285</v>
      </c>
      <c r="F2405" s="16" t="s">
        <v>3034</v>
      </c>
      <c r="G2405" s="16" t="s">
        <v>220</v>
      </c>
      <c r="H2405" s="16" t="s">
        <v>220</v>
      </c>
    </row>
    <row r="2406" ht="20.25" customHeight="1">
      <c r="A2406" s="32" t="str">
        <f>IMAGE("https://gymvisual.com/1613-catalog_default/3-4-sit-up.jpg",4,500,500)</f>
        <v/>
      </c>
      <c r="B2406" s="30">
        <v>2405.0</v>
      </c>
      <c r="C2406" s="16" t="s">
        <v>3103</v>
      </c>
      <c r="D2406" s="16" t="s">
        <v>184</v>
      </c>
      <c r="E2406" s="16" t="s">
        <v>285</v>
      </c>
      <c r="F2406" s="16" t="s">
        <v>3034</v>
      </c>
      <c r="G2406" s="16" t="s">
        <v>189</v>
      </c>
      <c r="H2406" s="16" t="s">
        <v>1121</v>
      </c>
    </row>
    <row r="2407" ht="20.25" customHeight="1">
      <c r="A2407" s="32" t="str">
        <f>IMAGE("https://gymvisual.com/10221-catalog_default/kettlebell-goblet-squat-female.jpg",4,500,500)</f>
        <v/>
      </c>
      <c r="B2407" s="30">
        <v>2406.0</v>
      </c>
      <c r="C2407" s="16" t="s">
        <v>3104</v>
      </c>
      <c r="D2407" s="16" t="s">
        <v>184</v>
      </c>
      <c r="E2407" s="16" t="s">
        <v>285</v>
      </c>
      <c r="F2407" s="16" t="s">
        <v>3034</v>
      </c>
      <c r="G2407" s="16" t="s">
        <v>552</v>
      </c>
      <c r="H2407" s="16" t="s">
        <v>3105</v>
      </c>
    </row>
    <row r="2408" ht="20.25" customHeight="1">
      <c r="A2408" s="32" t="str">
        <f>IMAGE("https://gymvisual.com/12338-catalog_default/kettlebell-goblet-squat-mobility.jpg",4,500,500)</f>
        <v/>
      </c>
      <c r="B2408" s="30">
        <v>2407.0</v>
      </c>
      <c r="C2408" s="16" t="s">
        <v>3106</v>
      </c>
      <c r="D2408" s="16" t="s">
        <v>184</v>
      </c>
      <c r="E2408" s="16" t="s">
        <v>285</v>
      </c>
      <c r="F2408" s="16" t="s">
        <v>3034</v>
      </c>
      <c r="G2408" s="16" t="s">
        <v>189</v>
      </c>
      <c r="H2408" s="16" t="s">
        <v>2046</v>
      </c>
    </row>
    <row r="2409" ht="20.25" customHeight="1">
      <c r="A2409" s="32" t="str">
        <f>IMAGE("https://gymvisual.com/23669-catalog_default/kettlebell-good-morning.jpg",4,500,500)</f>
        <v/>
      </c>
      <c r="B2409" s="30">
        <v>2408.0</v>
      </c>
      <c r="C2409" s="16" t="s">
        <v>3107</v>
      </c>
      <c r="D2409" s="16" t="s">
        <v>184</v>
      </c>
      <c r="E2409" s="16" t="s">
        <v>185</v>
      </c>
      <c r="F2409" s="16" t="s">
        <v>3034</v>
      </c>
      <c r="G2409" s="16" t="s">
        <v>188</v>
      </c>
      <c r="H2409" s="16" t="s">
        <v>857</v>
      </c>
    </row>
    <row r="2410" ht="20.25" customHeight="1">
      <c r="A2410" s="32" t="str">
        <f>IMAGE("https://gymvisual.com/19513-catalog_default/kettlebell-half-kneeling-one-arm-bottoms-up-press.jpg",4,500,500)</f>
        <v/>
      </c>
      <c r="B2410" s="30">
        <v>2409.0</v>
      </c>
      <c r="C2410" s="16" t="s">
        <v>3108</v>
      </c>
      <c r="D2410" s="16" t="s">
        <v>184</v>
      </c>
      <c r="E2410" s="16" t="s">
        <v>228</v>
      </c>
      <c r="F2410" s="16" t="s">
        <v>3034</v>
      </c>
      <c r="G2410" s="16" t="s">
        <v>220</v>
      </c>
      <c r="H2410" s="16" t="s">
        <v>220</v>
      </c>
    </row>
    <row r="2411" ht="20.25" customHeight="1">
      <c r="A2411" s="32" t="str">
        <f>IMAGE("https://gymvisual.com/12199-catalog_default/kettlebell-half-kneeling-shoulder-press.jpg",4,500,500)</f>
        <v/>
      </c>
      <c r="B2411" s="30">
        <v>2410.0</v>
      </c>
      <c r="C2411" s="16" t="s">
        <v>3109</v>
      </c>
      <c r="D2411" s="16" t="s">
        <v>184</v>
      </c>
      <c r="E2411" s="16" t="s">
        <v>228</v>
      </c>
      <c r="F2411" s="16" t="s">
        <v>3034</v>
      </c>
      <c r="G2411" s="16" t="s">
        <v>220</v>
      </c>
      <c r="H2411" s="16" t="s">
        <v>220</v>
      </c>
    </row>
    <row r="2412" ht="20.25" customHeight="1">
      <c r="A2412" s="32" t="str">
        <f>IMAGE("https://gymvisual.com/13569-catalog_default/kettlebell-half-turkish-get-up.jpg",4,500,500)</f>
        <v/>
      </c>
      <c r="B2412" s="30">
        <v>2411.0</v>
      </c>
      <c r="C2412" s="16" t="s">
        <v>3110</v>
      </c>
      <c r="D2412" s="16" t="s">
        <v>184</v>
      </c>
      <c r="E2412" s="16" t="s">
        <v>3111</v>
      </c>
      <c r="F2412" s="16" t="s">
        <v>3034</v>
      </c>
      <c r="G2412" s="16" t="s">
        <v>524</v>
      </c>
      <c r="H2412" s="16" t="s">
        <v>220</v>
      </c>
    </row>
    <row r="2413" ht="20.25" customHeight="1">
      <c r="A2413" s="32" t="str">
        <f>IMAGE("https://gymvisual.com/23537-catalog_default/3-4-sit-up.jpg",4,500,500)</f>
        <v/>
      </c>
      <c r="B2413" s="30">
        <v>2412.0</v>
      </c>
      <c r="C2413" s="16" t="s">
        <v>3112</v>
      </c>
      <c r="D2413" s="16" t="s">
        <v>184</v>
      </c>
      <c r="E2413" s="16" t="s">
        <v>285</v>
      </c>
      <c r="F2413" s="16" t="s">
        <v>3034</v>
      </c>
      <c r="G2413" s="16" t="s">
        <v>866</v>
      </c>
      <c r="H2413" s="16" t="s">
        <v>220</v>
      </c>
    </row>
    <row r="2414" ht="20.25" customHeight="1">
      <c r="A2414" s="32" t="str">
        <f>IMAGE("https://gymvisual.com/16400-catalog_default/kettlebell-kickstand-one-leg-deadlift.jpg",4,500,500)</f>
        <v/>
      </c>
      <c r="B2414" s="30">
        <v>2413.0</v>
      </c>
      <c r="C2414" s="16" t="s">
        <v>3113</v>
      </c>
      <c r="D2414" s="16" t="s">
        <v>184</v>
      </c>
      <c r="E2414" s="16" t="s">
        <v>294</v>
      </c>
      <c r="F2414" s="16" t="s">
        <v>3034</v>
      </c>
      <c r="G2414" s="16" t="s">
        <v>2010</v>
      </c>
      <c r="H2414" s="16" t="s">
        <v>314</v>
      </c>
    </row>
    <row r="2415" ht="20.25" customHeight="1">
      <c r="A2415" s="32" t="str">
        <f>IMAGE("https://gymvisual.com/12192-catalog_default/kettlebell-kneeling-one-arm-bottoms-up-press.jpg",4,500,500)</f>
        <v/>
      </c>
      <c r="B2415" s="30">
        <v>2414.0</v>
      </c>
      <c r="C2415" s="16" t="s">
        <v>3114</v>
      </c>
      <c r="D2415" s="16" t="s">
        <v>184</v>
      </c>
      <c r="E2415" s="16" t="s">
        <v>228</v>
      </c>
      <c r="F2415" s="16" t="s">
        <v>3034</v>
      </c>
      <c r="G2415" s="16" t="s">
        <v>220</v>
      </c>
      <c r="H2415" s="16" t="s">
        <v>220</v>
      </c>
    </row>
    <row r="2416" ht="20.25" customHeight="1">
      <c r="A2416" s="32" t="str">
        <f>IMAGE("https://gymvisual.com/12197-catalog_default/kettlebell-kneeling-one-arm-shoulder-press.jpg",4,500,500)</f>
        <v/>
      </c>
      <c r="B2416" s="30">
        <v>2415.0</v>
      </c>
      <c r="C2416" s="16" t="s">
        <v>3115</v>
      </c>
      <c r="D2416" s="16" t="s">
        <v>184</v>
      </c>
      <c r="E2416" s="16" t="s">
        <v>228</v>
      </c>
      <c r="F2416" s="16" t="s">
        <v>3034</v>
      </c>
      <c r="G2416" s="16" t="s">
        <v>220</v>
      </c>
      <c r="H2416" s="16" t="s">
        <v>220</v>
      </c>
    </row>
    <row r="2417" ht="20.25" customHeight="1">
      <c r="A2417" s="32" t="str">
        <f>IMAGE("https://gymvisual.com/17823-catalog_default/kettlebell-lateral-lunge.jpg",4,500,500)</f>
        <v/>
      </c>
      <c r="B2417" s="30">
        <v>2416.0</v>
      </c>
      <c r="C2417" s="16" t="s">
        <v>3116</v>
      </c>
      <c r="D2417" s="16" t="s">
        <v>184</v>
      </c>
      <c r="E2417" s="16" t="s">
        <v>285</v>
      </c>
      <c r="F2417" s="16" t="s">
        <v>3034</v>
      </c>
      <c r="G2417" s="16" t="s">
        <v>220</v>
      </c>
      <c r="H2417" s="16" t="s">
        <v>220</v>
      </c>
    </row>
    <row r="2418" ht="20.25" customHeight="1">
      <c r="A2418" s="32" t="str">
        <f>IMAGE("https://gymvisual.com/16412-catalog_default/kettlebell-lateral-raise.jpg",4,500,500)</f>
        <v/>
      </c>
      <c r="B2418" s="30">
        <v>2417.0</v>
      </c>
      <c r="C2418" s="16" t="s">
        <v>3117</v>
      </c>
      <c r="D2418" s="16" t="s">
        <v>184</v>
      </c>
      <c r="E2418" s="16" t="s">
        <v>228</v>
      </c>
      <c r="F2418" s="16" t="s">
        <v>3034</v>
      </c>
      <c r="G2418" s="16" t="s">
        <v>544</v>
      </c>
      <c r="H2418" s="16" t="s">
        <v>545</v>
      </c>
    </row>
    <row r="2419" ht="20.25" customHeight="1">
      <c r="A2419" s="32" t="str">
        <f>IMAGE("https://gymvisual.com/14213-catalog_default/kettlebell-lunge-clean-and-press.jpg",4,500,500)</f>
        <v/>
      </c>
      <c r="B2419" s="30">
        <v>2418.0</v>
      </c>
      <c r="C2419" s="16" t="s">
        <v>3118</v>
      </c>
      <c r="D2419" s="16" t="s">
        <v>184</v>
      </c>
      <c r="E2419" s="16" t="s">
        <v>691</v>
      </c>
      <c r="F2419" s="16" t="s">
        <v>3034</v>
      </c>
      <c r="G2419" s="16" t="s">
        <v>793</v>
      </c>
      <c r="H2419" s="16" t="s">
        <v>2392</v>
      </c>
    </row>
    <row r="2420" ht="20.25" customHeight="1">
      <c r="A2420" s="32" t="str">
        <f>IMAGE("https://gymvisual.com/1618-catalog_default/3-4-sit-up.jpg",4,500,500)</f>
        <v/>
      </c>
      <c r="B2420" s="30">
        <v>2419.0</v>
      </c>
      <c r="C2420" s="16" t="s">
        <v>3119</v>
      </c>
      <c r="D2420" s="16" t="s">
        <v>184</v>
      </c>
      <c r="E2420" s="16" t="s">
        <v>285</v>
      </c>
      <c r="F2420" s="16" t="s">
        <v>3034</v>
      </c>
      <c r="G2420" s="16" t="s">
        <v>189</v>
      </c>
      <c r="H2420" s="16" t="s">
        <v>3120</v>
      </c>
    </row>
    <row r="2421" ht="20.25" customHeight="1">
      <c r="A2421" s="32" t="str">
        <f>IMAGE("https://gymvisual.com/11167-catalog_default/kettlebell-lunge-pass-through-female.jpg",4,500,500)</f>
        <v/>
      </c>
      <c r="B2421" s="30">
        <v>2420.0</v>
      </c>
      <c r="C2421" s="16" t="s">
        <v>3121</v>
      </c>
      <c r="D2421" s="16" t="s">
        <v>184</v>
      </c>
      <c r="E2421" s="16" t="s">
        <v>294</v>
      </c>
      <c r="F2421" s="16" t="s">
        <v>3034</v>
      </c>
      <c r="G2421" s="16" t="s">
        <v>220</v>
      </c>
      <c r="H2421" s="16" t="s">
        <v>220</v>
      </c>
    </row>
    <row r="2422" ht="20.25" customHeight="1">
      <c r="A2422" s="32" t="str">
        <f>IMAGE("https://gymvisual.com/24103-catalog_default/kettlebell-lunge-with-twist.jpg",4,500,500)</f>
        <v/>
      </c>
      <c r="B2422" s="30">
        <v>2421.0</v>
      </c>
      <c r="C2422" s="16" t="s">
        <v>3122</v>
      </c>
      <c r="D2422" s="16" t="s">
        <v>184</v>
      </c>
      <c r="E2422" s="16" t="s">
        <v>285</v>
      </c>
      <c r="F2422" s="16" t="s">
        <v>3034</v>
      </c>
      <c r="G2422" s="16" t="s">
        <v>220</v>
      </c>
      <c r="H2422" s="16" t="s">
        <v>220</v>
      </c>
    </row>
    <row r="2423" ht="20.25" customHeight="1">
      <c r="A2423" s="32" t="str">
        <f>IMAGE("https://gymvisual.com/22375-catalog_default/kettlebell-lying-on-floor-chest-press.jpg",4,500,500)</f>
        <v/>
      </c>
      <c r="B2423" s="30">
        <v>2422.0</v>
      </c>
      <c r="C2423" s="16" t="s">
        <v>3123</v>
      </c>
      <c r="D2423" s="16" t="s">
        <v>184</v>
      </c>
      <c r="E2423" s="16" t="s">
        <v>234</v>
      </c>
      <c r="F2423" s="16" t="s">
        <v>3034</v>
      </c>
      <c r="G2423" s="16" t="s">
        <v>220</v>
      </c>
      <c r="H2423" s="16" t="s">
        <v>220</v>
      </c>
    </row>
    <row r="2424" ht="20.25" customHeight="1">
      <c r="A2424" s="32" t="str">
        <f>IMAGE("https://gymvisual.com/22377-catalog_default/kettlebell-lying-on-floor-single-arm-bottoms-up-chest-press.jpg",4,500,500)</f>
        <v/>
      </c>
      <c r="B2424" s="30">
        <v>2423.0</v>
      </c>
      <c r="C2424" s="16" t="s">
        <v>3124</v>
      </c>
      <c r="D2424" s="16" t="s">
        <v>184</v>
      </c>
      <c r="E2424" s="16" t="s">
        <v>234</v>
      </c>
      <c r="F2424" s="16" t="s">
        <v>3034</v>
      </c>
      <c r="G2424" s="16" t="s">
        <v>220</v>
      </c>
      <c r="H2424" s="16" t="s">
        <v>220</v>
      </c>
    </row>
    <row r="2425" ht="20.25" customHeight="1">
      <c r="A2425" s="32" t="str">
        <f>IMAGE("https://gymvisual.com/26096-catalog_default/kettlebell-lying-triceps-extension-skull-crusher.jpg",4,500,500)</f>
        <v/>
      </c>
      <c r="B2425" s="30">
        <v>2424.0</v>
      </c>
      <c r="C2425" s="16" t="s">
        <v>3125</v>
      </c>
      <c r="D2425" s="16" t="s">
        <v>184</v>
      </c>
      <c r="E2425" s="16" t="s">
        <v>219</v>
      </c>
      <c r="F2425" s="16" t="s">
        <v>3034</v>
      </c>
      <c r="G2425" s="16" t="s">
        <v>220</v>
      </c>
      <c r="H2425" s="16" t="s">
        <v>220</v>
      </c>
    </row>
    <row r="2426" ht="20.25" customHeight="1">
      <c r="A2426" s="32" t="str">
        <f>IMAGE("https://gymvisual.com/16408-catalog_default/kettlebell-one-arm-bench-press.jpg",4,500,500)</f>
        <v/>
      </c>
      <c r="B2426" s="30">
        <v>2425.0</v>
      </c>
      <c r="C2426" s="16" t="s">
        <v>3126</v>
      </c>
      <c r="D2426" s="16" t="s">
        <v>184</v>
      </c>
      <c r="E2426" s="16" t="s">
        <v>234</v>
      </c>
      <c r="F2426" s="16" t="s">
        <v>3034</v>
      </c>
      <c r="G2426" s="16" t="s">
        <v>235</v>
      </c>
      <c r="H2426" s="16" t="s">
        <v>243</v>
      </c>
    </row>
    <row r="2427" ht="20.25" customHeight="1">
      <c r="A2427" s="32" t="str">
        <f>IMAGE("https://gymvisual.com/19185-catalog_default/kettlebell-one-arm-clean.jpg",4,500,500)</f>
        <v/>
      </c>
      <c r="B2427" s="30">
        <v>2426.0</v>
      </c>
      <c r="C2427" s="16" t="s">
        <v>3127</v>
      </c>
      <c r="D2427" s="16" t="s">
        <v>184</v>
      </c>
      <c r="E2427" s="16" t="s">
        <v>691</v>
      </c>
      <c r="F2427" s="16" t="s">
        <v>3034</v>
      </c>
      <c r="G2427" s="16" t="s">
        <v>220</v>
      </c>
      <c r="H2427" s="16" t="s">
        <v>220</v>
      </c>
    </row>
    <row r="2428" ht="20.25" customHeight="1">
      <c r="A2428" s="32" t="str">
        <f>IMAGE("https://gymvisual.com/1621-catalog_default/3-4-sit-up.jpg",4,500,500)</f>
        <v/>
      </c>
      <c r="B2428" s="30">
        <v>2427.0</v>
      </c>
      <c r="C2428" s="16" t="s">
        <v>3128</v>
      </c>
      <c r="D2428" s="16" t="s">
        <v>184</v>
      </c>
      <c r="E2428" s="16" t="s">
        <v>228</v>
      </c>
      <c r="F2428" s="16" t="s">
        <v>3034</v>
      </c>
      <c r="G2428" s="16" t="s">
        <v>3129</v>
      </c>
      <c r="H2428" s="16" t="s">
        <v>220</v>
      </c>
    </row>
    <row r="2429" ht="20.25" customHeight="1">
      <c r="A2429" s="32" t="str">
        <f>IMAGE("https://gymvisual.com/5987-catalog_default/kettlebell-one-arm-floor-press.jpg",4,500,500)</f>
        <v/>
      </c>
      <c r="B2429" s="30">
        <v>2428.0</v>
      </c>
      <c r="C2429" s="16" t="s">
        <v>3130</v>
      </c>
      <c r="D2429" s="16" t="s">
        <v>184</v>
      </c>
      <c r="E2429" s="16" t="s">
        <v>234</v>
      </c>
      <c r="F2429" s="16" t="s">
        <v>3034</v>
      </c>
      <c r="G2429" s="16" t="s">
        <v>347</v>
      </c>
      <c r="H2429" s="16" t="s">
        <v>382</v>
      </c>
    </row>
    <row r="2430" ht="20.25" customHeight="1">
      <c r="A2430" s="32" t="str">
        <f>IMAGE("https://gymvisual.com/1623-catalog_default/3-4-sit-up.jpg",4,500,500)</f>
        <v/>
      </c>
      <c r="B2430" s="30">
        <v>2429.0</v>
      </c>
      <c r="C2430" s="16" t="s">
        <v>3131</v>
      </c>
      <c r="D2430" s="16" t="s">
        <v>184</v>
      </c>
      <c r="E2430" s="16" t="s">
        <v>228</v>
      </c>
      <c r="F2430" s="16" t="s">
        <v>3034</v>
      </c>
      <c r="G2430" s="16" t="s">
        <v>3132</v>
      </c>
      <c r="H2430" s="16" t="s">
        <v>220</v>
      </c>
    </row>
    <row r="2431" ht="20.25" customHeight="1">
      <c r="A2431" s="32" t="str">
        <f>IMAGE("https://gymvisual.com/1626-catalog_default/3-4-sit-up.jpg",4,500,500)</f>
        <v/>
      </c>
      <c r="B2431" s="30">
        <v>2430.0</v>
      </c>
      <c r="C2431" s="16" t="s">
        <v>3133</v>
      </c>
      <c r="D2431" s="16" t="s">
        <v>184</v>
      </c>
      <c r="E2431" s="16" t="s">
        <v>228</v>
      </c>
      <c r="F2431" s="16" t="s">
        <v>3034</v>
      </c>
      <c r="G2431" s="16" t="s">
        <v>229</v>
      </c>
      <c r="H2431" s="16" t="s">
        <v>3134</v>
      </c>
    </row>
    <row r="2432" ht="20.25" customHeight="1">
      <c r="A2432" s="32" t="str">
        <f>IMAGE("https://gymvisual.com/6813-catalog_default/kettlebell-one-arm-overhead-squat.jpg",4,500,500)</f>
        <v/>
      </c>
      <c r="B2432" s="30">
        <v>2431.0</v>
      </c>
      <c r="C2432" s="16" t="s">
        <v>3135</v>
      </c>
      <c r="D2432" s="16" t="s">
        <v>184</v>
      </c>
      <c r="E2432" s="16" t="s">
        <v>285</v>
      </c>
      <c r="F2432" s="16" t="s">
        <v>3034</v>
      </c>
      <c r="G2432" s="16" t="s">
        <v>189</v>
      </c>
      <c r="H2432" s="16" t="s">
        <v>190</v>
      </c>
    </row>
    <row r="2433" ht="20.25" customHeight="1">
      <c r="A2433" s="32" t="str">
        <f>IMAGE("https://gymvisual.com/1629-catalog_default/3-4-sit-up.jpg",4,500,500)</f>
        <v/>
      </c>
      <c r="B2433" s="30">
        <v>2432.0</v>
      </c>
      <c r="C2433" s="16" t="s">
        <v>3136</v>
      </c>
      <c r="D2433" s="16" t="s">
        <v>184</v>
      </c>
      <c r="E2433" s="16" t="s">
        <v>228</v>
      </c>
      <c r="F2433" s="16" t="s">
        <v>3034</v>
      </c>
      <c r="G2433" s="16" t="s">
        <v>229</v>
      </c>
      <c r="H2433" s="16" t="s">
        <v>3137</v>
      </c>
    </row>
    <row r="2434" ht="20.25" customHeight="1">
      <c r="A2434" s="32" t="str">
        <f>IMAGE("https://gymvisual.com/1631-catalog_default/3-4-sit-up.jpg",4,500,500)</f>
        <v/>
      </c>
      <c r="B2434" s="30">
        <v>2433.0</v>
      </c>
      <c r="C2434" s="16" t="s">
        <v>3138</v>
      </c>
      <c r="D2434" s="16" t="s">
        <v>184</v>
      </c>
      <c r="E2434" s="16" t="s">
        <v>192</v>
      </c>
      <c r="F2434" s="16" t="s">
        <v>3034</v>
      </c>
      <c r="G2434" s="16" t="s">
        <v>3139</v>
      </c>
      <c r="H2434" s="16" t="s">
        <v>330</v>
      </c>
    </row>
    <row r="2435" ht="20.25" customHeight="1">
      <c r="A2435" s="32" t="str">
        <f>IMAGE("https://gymvisual.com/1634-catalog_default/3-4-sit-up.jpg",4,500,500)</f>
        <v/>
      </c>
      <c r="B2435" s="30">
        <v>2434.0</v>
      </c>
      <c r="C2435" s="16" t="s">
        <v>3140</v>
      </c>
      <c r="D2435" s="16" t="s">
        <v>184</v>
      </c>
      <c r="E2435" s="16" t="s">
        <v>228</v>
      </c>
      <c r="F2435" s="16" t="s">
        <v>3034</v>
      </c>
      <c r="G2435" s="16" t="s">
        <v>3141</v>
      </c>
      <c r="H2435" s="16" t="s">
        <v>220</v>
      </c>
    </row>
    <row r="2436" ht="20.25" customHeight="1">
      <c r="A2436" s="32" t="str">
        <f>IMAGE("https://gymvisual.com/6815-catalog_default/kettlebell-one-arm-swing.jpg",4,500,500)</f>
        <v/>
      </c>
      <c r="B2436" s="30">
        <v>2435.0</v>
      </c>
      <c r="C2436" s="16" t="s">
        <v>3142</v>
      </c>
      <c r="D2436" s="16" t="s">
        <v>184</v>
      </c>
      <c r="E2436" s="16" t="s">
        <v>764</v>
      </c>
      <c r="F2436" s="16" t="s">
        <v>3034</v>
      </c>
      <c r="G2436" s="16" t="s">
        <v>2060</v>
      </c>
      <c r="H2436" s="16" t="s">
        <v>2061</v>
      </c>
    </row>
    <row r="2437" ht="20.25" customHeight="1">
      <c r="A2437" s="32" t="str">
        <f>IMAGE("https://gymvisual.com/19181-catalog_default/kettlebell-one-arm-thruster.jpg",4,500,500)</f>
        <v/>
      </c>
      <c r="B2437" s="30">
        <v>2436.0</v>
      </c>
      <c r="C2437" s="16" t="s">
        <v>3143</v>
      </c>
      <c r="D2437" s="16" t="s">
        <v>184</v>
      </c>
      <c r="E2437" s="16" t="s">
        <v>691</v>
      </c>
      <c r="F2437" s="16" t="s">
        <v>3034</v>
      </c>
      <c r="G2437" s="16" t="s">
        <v>220</v>
      </c>
      <c r="H2437" s="16" t="s">
        <v>220</v>
      </c>
    </row>
    <row r="2438" ht="20.25" customHeight="1">
      <c r="A2438" s="32" t="str">
        <f>IMAGE("https://gymvisual.com/6816-catalog_default/kettlebell-one-legged-deadlift.jpg",4,500,500)</f>
        <v/>
      </c>
      <c r="B2438" s="30">
        <v>2437.0</v>
      </c>
      <c r="C2438" s="16" t="s">
        <v>3144</v>
      </c>
      <c r="D2438" s="16" t="s">
        <v>184</v>
      </c>
      <c r="E2438" s="16" t="s">
        <v>185</v>
      </c>
      <c r="F2438" s="16" t="s">
        <v>3034</v>
      </c>
      <c r="G2438" s="16" t="s">
        <v>187</v>
      </c>
      <c r="H2438" s="16" t="s">
        <v>482</v>
      </c>
    </row>
    <row r="2439" ht="20.25" customHeight="1">
      <c r="A2439" s="32" t="str">
        <f>IMAGE("https://gymvisual.com/6814-catalog_default/kettlebell-open-palm-clean.jpg",4,500,500)</f>
        <v/>
      </c>
      <c r="B2439" s="30">
        <v>2438.0</v>
      </c>
      <c r="C2439" s="16" t="s">
        <v>3145</v>
      </c>
      <c r="D2439" s="16" t="s">
        <v>184</v>
      </c>
      <c r="E2439" s="16" t="s">
        <v>764</v>
      </c>
      <c r="F2439" s="16" t="s">
        <v>3034</v>
      </c>
      <c r="G2439" s="16" t="s">
        <v>220</v>
      </c>
      <c r="H2439" s="16" t="s">
        <v>220</v>
      </c>
    </row>
    <row r="2440" ht="20.25" customHeight="1">
      <c r="A2440" s="32" t="str">
        <f>IMAGE("https://gymvisual.com/14645-catalog_default/kettlebell-overhand-grip-swing-female.jpg",4,500,500)</f>
        <v/>
      </c>
      <c r="B2440" s="30">
        <v>2439.0</v>
      </c>
      <c r="C2440" s="16" t="s">
        <v>3146</v>
      </c>
      <c r="D2440" s="16" t="s">
        <v>184</v>
      </c>
      <c r="E2440" s="16" t="s">
        <v>185</v>
      </c>
      <c r="F2440" s="16" t="s">
        <v>3034</v>
      </c>
      <c r="G2440" s="16" t="s">
        <v>2060</v>
      </c>
      <c r="H2440" s="16" t="s">
        <v>3147</v>
      </c>
    </row>
    <row r="2441" ht="20.25" customHeight="1">
      <c r="A2441" s="32" t="str">
        <f>IMAGE("https://gymvisual.com/18103-catalog_default/kettlebell-overhead-carry.jpg",4,500,500)</f>
        <v/>
      </c>
      <c r="B2441" s="30">
        <v>2440.0</v>
      </c>
      <c r="C2441" s="16" t="s">
        <v>3148</v>
      </c>
      <c r="D2441" s="16" t="s">
        <v>184</v>
      </c>
      <c r="E2441" s="16" t="s">
        <v>285</v>
      </c>
      <c r="F2441" s="16" t="s">
        <v>3034</v>
      </c>
      <c r="G2441" s="16" t="s">
        <v>220</v>
      </c>
      <c r="H2441" s="16" t="s">
        <v>220</v>
      </c>
    </row>
    <row r="2442" ht="20.25" customHeight="1">
      <c r="A2442" s="32" t="str">
        <f>IMAGE("https://gymvisual.com/26094-catalog_default/kettlebell-overhead-triceps-extension.jpg",4,500,500)</f>
        <v/>
      </c>
      <c r="B2442" s="30">
        <v>2441.0</v>
      </c>
      <c r="C2442" s="16" t="s">
        <v>3149</v>
      </c>
      <c r="D2442" s="16" t="s">
        <v>184</v>
      </c>
      <c r="E2442" s="16" t="s">
        <v>219</v>
      </c>
      <c r="F2442" s="16" t="s">
        <v>3034</v>
      </c>
      <c r="G2442" s="16" t="s">
        <v>220</v>
      </c>
      <c r="H2442" s="16" t="s">
        <v>220</v>
      </c>
    </row>
    <row r="2443" ht="20.25" customHeight="1">
      <c r="A2443" s="32" t="str">
        <f>IMAGE("https://gymvisual.com/1636-catalog_default/3-4-sit-up.jpg",4,500,500)</f>
        <v/>
      </c>
      <c r="B2443" s="30">
        <v>2442.0</v>
      </c>
      <c r="C2443" s="16" t="s">
        <v>3150</v>
      </c>
      <c r="D2443" s="16" t="s">
        <v>184</v>
      </c>
      <c r="E2443" s="16" t="s">
        <v>228</v>
      </c>
      <c r="F2443" s="16" t="s">
        <v>3034</v>
      </c>
      <c r="G2443" s="16" t="s">
        <v>408</v>
      </c>
      <c r="H2443" s="16" t="s">
        <v>3151</v>
      </c>
    </row>
    <row r="2444" ht="20.25" customHeight="1">
      <c r="A2444" s="32" t="str">
        <f>IMAGE("https://gymvisual.com/1639-catalog_default/3-4-sit-up.jpg",4,500,500)</f>
        <v/>
      </c>
      <c r="B2444" s="30">
        <v>2443.0</v>
      </c>
      <c r="C2444" s="16" t="s">
        <v>3152</v>
      </c>
      <c r="D2444" s="16" t="s">
        <v>184</v>
      </c>
      <c r="E2444" s="16" t="s">
        <v>285</v>
      </c>
      <c r="F2444" s="16" t="s">
        <v>3034</v>
      </c>
      <c r="G2444" s="16" t="s">
        <v>189</v>
      </c>
      <c r="H2444" s="16" t="s">
        <v>190</v>
      </c>
    </row>
    <row r="2445" ht="20.25" customHeight="1">
      <c r="A2445" s="32" t="str">
        <f>IMAGE("https://gymvisual.com/1642-catalog_default/3-4-sit-up.jpg",4,500,500)</f>
        <v/>
      </c>
      <c r="B2445" s="30">
        <v>2444.0</v>
      </c>
      <c r="C2445" s="16" t="s">
        <v>3153</v>
      </c>
      <c r="D2445" s="16" t="s">
        <v>184</v>
      </c>
      <c r="E2445" s="16" t="s">
        <v>234</v>
      </c>
      <c r="F2445" s="16" t="s">
        <v>3034</v>
      </c>
      <c r="G2445" s="16" t="s">
        <v>347</v>
      </c>
      <c r="H2445" s="16" t="s">
        <v>382</v>
      </c>
    </row>
    <row r="2446" ht="20.25" customHeight="1">
      <c r="A2446" s="32" t="str">
        <f>IMAGE("https://gymvisual.com/19529-catalog_default/kettlebell-press-up-female.jpg",4,500,500)</f>
        <v/>
      </c>
      <c r="B2446" s="30">
        <v>2445.0</v>
      </c>
      <c r="C2446" s="16" t="s">
        <v>3154</v>
      </c>
      <c r="D2446" s="16" t="s">
        <v>184</v>
      </c>
      <c r="E2446" s="16" t="s">
        <v>234</v>
      </c>
      <c r="F2446" s="16" t="s">
        <v>3034</v>
      </c>
      <c r="G2446" s="16" t="s">
        <v>220</v>
      </c>
      <c r="H2446" s="16" t="s">
        <v>220</v>
      </c>
    </row>
    <row r="2447" ht="20.25" customHeight="1">
      <c r="A2447" s="32" t="str">
        <f>IMAGE("https://gymvisual.com/16402-catalog_default/kettlebell-pullover-3-month-position.jpg",4,500,500)</f>
        <v/>
      </c>
      <c r="B2447" s="30">
        <v>2446.0</v>
      </c>
      <c r="C2447" s="16" t="s">
        <v>3155</v>
      </c>
      <c r="D2447" s="16" t="s">
        <v>184</v>
      </c>
      <c r="E2447" s="16" t="s">
        <v>192</v>
      </c>
      <c r="F2447" s="16" t="s">
        <v>3034</v>
      </c>
      <c r="G2447" s="16" t="s">
        <v>300</v>
      </c>
      <c r="H2447" s="16" t="s">
        <v>3156</v>
      </c>
    </row>
    <row r="2448" ht="20.25" customHeight="1">
      <c r="A2448" s="32" t="str">
        <f>IMAGE("https://gymvisual.com/19559-catalog_default/kettlebell-rear-delt-row-female.jpg",4,500,500)</f>
        <v/>
      </c>
      <c r="B2448" s="30">
        <v>2447.0</v>
      </c>
      <c r="C2448" s="16" t="s">
        <v>3157</v>
      </c>
      <c r="D2448" s="16" t="s">
        <v>184</v>
      </c>
      <c r="E2448" s="16" t="s">
        <v>192</v>
      </c>
      <c r="F2448" s="16" t="s">
        <v>3034</v>
      </c>
      <c r="G2448" s="16" t="s">
        <v>220</v>
      </c>
      <c r="H2448" s="16" t="s">
        <v>220</v>
      </c>
    </row>
    <row r="2449" ht="20.25" customHeight="1">
      <c r="A2449" s="32" t="str">
        <f>IMAGE("https://gymvisual.com/24105-catalog_default/kettlebell-rear-lunge.jpg",4,500,500)</f>
        <v/>
      </c>
      <c r="B2449" s="30">
        <v>2448.0</v>
      </c>
      <c r="C2449" s="16" t="s">
        <v>3158</v>
      </c>
      <c r="D2449" s="16" t="s">
        <v>184</v>
      </c>
      <c r="E2449" s="16" t="s">
        <v>285</v>
      </c>
      <c r="F2449" s="16" t="s">
        <v>3034</v>
      </c>
      <c r="G2449" s="16" t="s">
        <v>220</v>
      </c>
      <c r="H2449" s="16" t="s">
        <v>220</v>
      </c>
    </row>
    <row r="2450" ht="20.25" customHeight="1">
      <c r="A2450" s="32" t="str">
        <f>IMAGE("https://gymvisual.com/11830-catalog_default/kettlebell-resistance-band-full-squat-from-deficit-female.jpg",4,500,500)</f>
        <v/>
      </c>
      <c r="B2450" s="30">
        <v>2449.0</v>
      </c>
      <c r="C2450" s="16" t="s">
        <v>3159</v>
      </c>
      <c r="D2450" s="16" t="s">
        <v>184</v>
      </c>
      <c r="E2450" s="16" t="s">
        <v>185</v>
      </c>
      <c r="F2450" s="16" t="s">
        <v>3160</v>
      </c>
      <c r="G2450" s="16" t="s">
        <v>220</v>
      </c>
      <c r="H2450" s="16" t="s">
        <v>220</v>
      </c>
    </row>
    <row r="2451" ht="20.25" customHeight="1">
      <c r="A2451" s="32" t="str">
        <f>IMAGE("https://gymvisual.com/22406-catalog_default/kettlebell-romanian-deadlift.jpg",4,500,500)</f>
        <v/>
      </c>
      <c r="B2451" s="30">
        <v>2450.0</v>
      </c>
      <c r="C2451" s="16" t="s">
        <v>3161</v>
      </c>
      <c r="D2451" s="16" t="s">
        <v>184</v>
      </c>
      <c r="E2451" s="16" t="s">
        <v>185</v>
      </c>
      <c r="F2451" s="16" t="s">
        <v>3034</v>
      </c>
      <c r="G2451" s="16" t="s">
        <v>220</v>
      </c>
      <c r="H2451" s="16" t="s">
        <v>220</v>
      </c>
    </row>
    <row r="2452" ht="20.25" customHeight="1">
      <c r="A2452" s="32" t="str">
        <f>IMAGE("https://gymvisual.com/26122-catalog_default/kettlebell-rotational-deadlift-male.jpg",4,500,500)</f>
        <v/>
      </c>
      <c r="B2452" s="30">
        <v>2451.0</v>
      </c>
      <c r="C2452" s="16" t="s">
        <v>3162</v>
      </c>
      <c r="D2452" s="16" t="s">
        <v>184</v>
      </c>
      <c r="E2452" s="16" t="s">
        <v>185</v>
      </c>
      <c r="F2452" s="16" t="s">
        <v>3034</v>
      </c>
      <c r="G2452" s="16" t="s">
        <v>220</v>
      </c>
      <c r="H2452" s="16" t="s">
        <v>220</v>
      </c>
    </row>
    <row r="2453" ht="20.25" customHeight="1">
      <c r="A2453" s="32" t="str">
        <f>IMAGE("https://gymvisual.com/19455-catalog_default/kettlebell-russian-twist.jpg",4,500,500)</f>
        <v/>
      </c>
      <c r="B2453" s="30">
        <v>2452.0</v>
      </c>
      <c r="C2453" s="16" t="s">
        <v>3163</v>
      </c>
      <c r="D2453" s="16" t="s">
        <v>184</v>
      </c>
      <c r="E2453" s="16" t="s">
        <v>254</v>
      </c>
      <c r="F2453" s="16" t="s">
        <v>3034</v>
      </c>
      <c r="G2453" s="16" t="s">
        <v>220</v>
      </c>
      <c r="H2453" s="16" t="s">
        <v>220</v>
      </c>
    </row>
    <row r="2454" ht="20.25" customHeight="1">
      <c r="A2454" s="32" t="str">
        <f>IMAGE("https://gymvisual.com/16406-catalog_default/kettlebell-seated-one-arm-military-press.jpg",4,500,500)</f>
        <v/>
      </c>
      <c r="B2454" s="30">
        <v>2453.0</v>
      </c>
      <c r="C2454" s="16" t="s">
        <v>3164</v>
      </c>
      <c r="D2454" s="16" t="s">
        <v>184</v>
      </c>
      <c r="E2454" s="16" t="s">
        <v>228</v>
      </c>
      <c r="F2454" s="16" t="s">
        <v>3034</v>
      </c>
      <c r="G2454" s="16" t="s">
        <v>229</v>
      </c>
      <c r="H2454" s="16" t="s">
        <v>626</v>
      </c>
    </row>
    <row r="2455" ht="20.25" customHeight="1">
      <c r="A2455" s="32" t="str">
        <f>IMAGE("https://gymvisual.com/1645-catalog_default/3-4-sit-up.jpg",4,500,500)</f>
        <v/>
      </c>
      <c r="B2455" s="30">
        <v>2454.0</v>
      </c>
      <c r="C2455" s="16" t="s">
        <v>3165</v>
      </c>
      <c r="D2455" s="16" t="s">
        <v>184</v>
      </c>
      <c r="E2455" s="16" t="s">
        <v>228</v>
      </c>
      <c r="F2455" s="16" t="s">
        <v>3034</v>
      </c>
      <c r="G2455" s="16" t="s">
        <v>229</v>
      </c>
      <c r="H2455" s="16" t="s">
        <v>626</v>
      </c>
    </row>
    <row r="2456" ht="20.25" customHeight="1">
      <c r="A2456" s="32" t="str">
        <f>IMAGE("https://gymvisual.com/6452-catalog_default/kettlebell-seated-two-arm-military-press.jpg",4,500,500)</f>
        <v/>
      </c>
      <c r="B2456" s="30">
        <v>2455.0</v>
      </c>
      <c r="C2456" s="16" t="s">
        <v>3166</v>
      </c>
      <c r="D2456" s="16" t="s">
        <v>184</v>
      </c>
      <c r="E2456" s="16" t="s">
        <v>228</v>
      </c>
      <c r="F2456" s="16" t="s">
        <v>3034</v>
      </c>
      <c r="G2456" s="16" t="s">
        <v>229</v>
      </c>
      <c r="H2456" s="16" t="s">
        <v>230</v>
      </c>
    </row>
    <row r="2457" ht="20.25" customHeight="1">
      <c r="A2457" s="32" t="str">
        <f>IMAGE("https://gymvisual.com/1648-catalog_default/3-4-sit-up.jpg",4,500,500)</f>
        <v/>
      </c>
      <c r="B2457" s="30">
        <v>2456.0</v>
      </c>
      <c r="C2457" s="16" t="s">
        <v>3167</v>
      </c>
      <c r="D2457" s="16" t="s">
        <v>184</v>
      </c>
      <c r="E2457" s="16" t="s">
        <v>228</v>
      </c>
      <c r="F2457" s="16" t="s">
        <v>3034</v>
      </c>
      <c r="G2457" s="16" t="s">
        <v>229</v>
      </c>
      <c r="H2457" s="16" t="s">
        <v>3168</v>
      </c>
    </row>
    <row r="2458" ht="20.25" customHeight="1">
      <c r="A2458" s="32" t="str">
        <f>IMAGE("https://gymvisual.com/19461-catalog_default/kettlebell-side-bend-version-2.jpg",4,500,500)</f>
        <v/>
      </c>
      <c r="B2458" s="30">
        <v>2457.0</v>
      </c>
      <c r="C2458" s="16" t="s">
        <v>3169</v>
      </c>
      <c r="D2458" s="16" t="s">
        <v>184</v>
      </c>
      <c r="E2458" s="16" t="s">
        <v>254</v>
      </c>
      <c r="F2458" s="16" t="s">
        <v>3034</v>
      </c>
      <c r="G2458" s="16" t="s">
        <v>220</v>
      </c>
      <c r="H2458" s="16" t="s">
        <v>220</v>
      </c>
    </row>
    <row r="2459" ht="20.25" customHeight="1">
      <c r="A2459" s="32" t="str">
        <f>IMAGE("https://gymvisual.com/19539-catalog_default/kettlebell-side-lunge-female.jpg",4,500,500)</f>
        <v/>
      </c>
      <c r="B2459" s="30">
        <v>2458.0</v>
      </c>
      <c r="C2459" s="16" t="s">
        <v>3170</v>
      </c>
      <c r="D2459" s="16" t="s">
        <v>184</v>
      </c>
      <c r="E2459" s="16" t="s">
        <v>285</v>
      </c>
      <c r="F2459" s="16" t="s">
        <v>3034</v>
      </c>
      <c r="G2459" s="16" t="s">
        <v>220</v>
      </c>
      <c r="H2459" s="16" t="s">
        <v>220</v>
      </c>
    </row>
    <row r="2460" ht="20.25" customHeight="1">
      <c r="A2460" s="32" t="str">
        <f>IMAGE("https://gymvisual.com/17897-catalog_default/kettlebell-side-lunge-male.jpg",4,500,500)</f>
        <v/>
      </c>
      <c r="B2460" s="30">
        <v>2459.0</v>
      </c>
      <c r="C2460" s="16" t="s">
        <v>3171</v>
      </c>
      <c r="D2460" s="16" t="s">
        <v>184</v>
      </c>
      <c r="E2460" s="16" t="s">
        <v>285</v>
      </c>
      <c r="F2460" s="16" t="s">
        <v>3034</v>
      </c>
      <c r="G2460" s="16" t="s">
        <v>220</v>
      </c>
      <c r="H2460" s="16" t="s">
        <v>220</v>
      </c>
    </row>
    <row r="2461" ht="20.25" customHeight="1">
      <c r="A2461" s="32" t="str">
        <f>IMAGE("https://gymvisual.com/26110-catalog_default/kettlebell-side-plank-male.jpg",4,500,500)</f>
        <v/>
      </c>
      <c r="B2461" s="30">
        <v>2460.0</v>
      </c>
      <c r="C2461" s="16" t="s">
        <v>3172</v>
      </c>
      <c r="D2461" s="16" t="s">
        <v>184</v>
      </c>
      <c r="E2461" s="16" t="s">
        <v>254</v>
      </c>
      <c r="F2461" s="16" t="s">
        <v>3034</v>
      </c>
      <c r="G2461" s="16" t="s">
        <v>220</v>
      </c>
      <c r="H2461" s="16" t="s">
        <v>220</v>
      </c>
    </row>
    <row r="2462" ht="20.25" customHeight="1">
      <c r="A2462" s="32" t="str">
        <f>IMAGE("https://gymvisual.com/19535-catalog_default/kettlebell-side-squat-step-female.jpg",4,500,500)</f>
        <v/>
      </c>
      <c r="B2462" s="30">
        <v>2461.0</v>
      </c>
      <c r="C2462" s="16" t="s">
        <v>3173</v>
      </c>
      <c r="D2462" s="16" t="s">
        <v>184</v>
      </c>
      <c r="E2462" s="16" t="s">
        <v>285</v>
      </c>
      <c r="F2462" s="16" t="s">
        <v>3034</v>
      </c>
      <c r="G2462" s="16" t="s">
        <v>220</v>
      </c>
      <c r="H2462" s="16" t="s">
        <v>220</v>
      </c>
    </row>
    <row r="2463" ht="20.25" customHeight="1">
      <c r="A2463" s="32" t="str">
        <f>IMAGE("https://gymvisual.com/19547-catalog_default/kettlebell-single-arm-clean-female.jpg",4,500,500)</f>
        <v/>
      </c>
      <c r="B2463" s="30">
        <v>2462.0</v>
      </c>
      <c r="C2463" s="16" t="s">
        <v>3174</v>
      </c>
      <c r="D2463" s="16" t="s">
        <v>184</v>
      </c>
      <c r="E2463" s="16" t="s">
        <v>764</v>
      </c>
      <c r="F2463" s="16" t="s">
        <v>3034</v>
      </c>
      <c r="G2463" s="16" t="s">
        <v>220</v>
      </c>
      <c r="H2463" s="16" t="s">
        <v>220</v>
      </c>
    </row>
    <row r="2464" ht="20.25" customHeight="1">
      <c r="A2464" s="32" t="str">
        <f>IMAGE("https://gymvisual.com/19549-catalog_default/kettlebell-single-arm-clean-and-press-female.jpg",4,500,500)</f>
        <v/>
      </c>
      <c r="B2464" s="30">
        <v>2463.0</v>
      </c>
      <c r="C2464" s="16" t="s">
        <v>3175</v>
      </c>
      <c r="D2464" s="16" t="s">
        <v>184</v>
      </c>
      <c r="E2464" s="16" t="s">
        <v>764</v>
      </c>
      <c r="F2464" s="16" t="s">
        <v>3034</v>
      </c>
      <c r="G2464" s="16" t="s">
        <v>220</v>
      </c>
      <c r="H2464" s="16" t="s">
        <v>220</v>
      </c>
    </row>
    <row r="2465" ht="20.25" customHeight="1">
      <c r="A2465" s="32" t="str">
        <f>IMAGE("https://gymvisual.com/24107-catalog_default/kettlebell-single-arm-overhead-lunge.jpg",4,500,500)</f>
        <v/>
      </c>
      <c r="B2465" s="30">
        <v>2464.0</v>
      </c>
      <c r="C2465" s="16" t="s">
        <v>3176</v>
      </c>
      <c r="D2465" s="16" t="s">
        <v>184</v>
      </c>
      <c r="E2465" s="16" t="s">
        <v>285</v>
      </c>
      <c r="F2465" s="16" t="s">
        <v>3034</v>
      </c>
      <c r="G2465" s="16" t="s">
        <v>220</v>
      </c>
      <c r="H2465" s="16" t="s">
        <v>220</v>
      </c>
    </row>
    <row r="2466" ht="20.25" customHeight="1">
      <c r="A2466" s="32" t="str">
        <f>IMAGE("https://gymvisual.com/19557-catalog_default/kettlebell-single-arm-sit-up-female.jpg",4,500,500)</f>
        <v/>
      </c>
      <c r="B2466" s="30">
        <v>2465.0</v>
      </c>
      <c r="C2466" s="16" t="s">
        <v>3177</v>
      </c>
      <c r="D2466" s="16" t="s">
        <v>184</v>
      </c>
      <c r="E2466" s="16" t="s">
        <v>234</v>
      </c>
      <c r="F2466" s="16" t="s">
        <v>3034</v>
      </c>
      <c r="G2466" s="16" t="s">
        <v>220</v>
      </c>
      <c r="H2466" s="16" t="s">
        <v>220</v>
      </c>
    </row>
    <row r="2467" ht="20.25" customHeight="1">
      <c r="A2467" s="32" t="str">
        <f>IMAGE("https://gymvisual.com/19541-catalog_default/kettlebell-single-arm-swing-female.jpg",4,500,500)</f>
        <v/>
      </c>
      <c r="B2467" s="30">
        <v>2466.0</v>
      </c>
      <c r="C2467" s="16" t="s">
        <v>3178</v>
      </c>
      <c r="D2467" s="16" t="s">
        <v>184</v>
      </c>
      <c r="E2467" s="16" t="s">
        <v>185</v>
      </c>
      <c r="F2467" s="16" t="s">
        <v>3034</v>
      </c>
      <c r="G2467" s="16" t="s">
        <v>220</v>
      </c>
      <c r="H2467" s="16" t="s">
        <v>220</v>
      </c>
    </row>
    <row r="2468" ht="20.25" customHeight="1">
      <c r="A2468" s="32" t="str">
        <f>IMAGE("https://gymvisual.com/19523-catalog_default/kettlebell-single-arm-thruster-female.jpg",4,500,500)</f>
        <v/>
      </c>
      <c r="B2468" s="30">
        <v>2467.0</v>
      </c>
      <c r="C2468" s="16" t="s">
        <v>3179</v>
      </c>
      <c r="D2468" s="16" t="s">
        <v>184</v>
      </c>
      <c r="E2468" s="16" t="s">
        <v>764</v>
      </c>
      <c r="F2468" s="16" t="s">
        <v>3034</v>
      </c>
      <c r="G2468" s="16" t="s">
        <v>220</v>
      </c>
      <c r="H2468" s="16" t="s">
        <v>220</v>
      </c>
    </row>
    <row r="2469" ht="20.25" customHeight="1">
      <c r="A2469" s="32" t="str">
        <f>IMAGE("https://gymvisual.com/17947-catalog_default/kettlebell-single-front-squat-male.jpg",4,500,500)</f>
        <v/>
      </c>
      <c r="B2469" s="30">
        <v>2468.0</v>
      </c>
      <c r="C2469" s="16" t="s">
        <v>3180</v>
      </c>
      <c r="D2469" s="16" t="s">
        <v>184</v>
      </c>
      <c r="E2469" s="16" t="s">
        <v>285</v>
      </c>
      <c r="F2469" s="16" t="s">
        <v>3034</v>
      </c>
      <c r="G2469" s="16" t="s">
        <v>220</v>
      </c>
      <c r="H2469" s="16" t="s">
        <v>220</v>
      </c>
    </row>
    <row r="2470" ht="20.25" customHeight="1">
      <c r="A2470" s="32" t="str">
        <f>IMAGE("https://gymvisual.com/19533-catalog_default/kettlebell-single-leg-deadlift-female.jpg",4,500,500)</f>
        <v/>
      </c>
      <c r="B2470" s="30">
        <v>2469.0</v>
      </c>
      <c r="C2470" s="16" t="s">
        <v>3181</v>
      </c>
      <c r="D2470" s="16" t="s">
        <v>184</v>
      </c>
      <c r="E2470" s="16" t="s">
        <v>185</v>
      </c>
      <c r="F2470" s="16" t="s">
        <v>3034</v>
      </c>
      <c r="G2470" s="16" t="s">
        <v>220</v>
      </c>
      <c r="H2470" s="16" t="s">
        <v>220</v>
      </c>
    </row>
    <row r="2471" ht="20.25" customHeight="1">
      <c r="A2471" s="32" t="str">
        <f>IMAGE("https://gymvisual.com/14054-catalog_default/kettlebell-single-leg-glute-bridge-pullover.jpg",4,500,500)</f>
        <v/>
      </c>
      <c r="B2471" s="30">
        <v>2470.0</v>
      </c>
      <c r="C2471" s="16" t="s">
        <v>3182</v>
      </c>
      <c r="D2471" s="16" t="s">
        <v>184</v>
      </c>
      <c r="E2471" s="16" t="s">
        <v>3183</v>
      </c>
      <c r="F2471" s="16" t="s">
        <v>3034</v>
      </c>
      <c r="G2471" s="16" t="s">
        <v>3184</v>
      </c>
      <c r="H2471" s="16" t="s">
        <v>220</v>
      </c>
    </row>
    <row r="2472" ht="20.25" customHeight="1">
      <c r="A2472" s="32" t="str">
        <f>IMAGE("https://gymvisual.com/17969-catalog_default/kettlebell-single-leg-step-up-male.jpg",4,500,500)</f>
        <v/>
      </c>
      <c r="B2472" s="30">
        <v>2471.0</v>
      </c>
      <c r="C2472" s="16" t="s">
        <v>3185</v>
      </c>
      <c r="D2472" s="16" t="s">
        <v>184</v>
      </c>
      <c r="E2472" s="16" t="s">
        <v>285</v>
      </c>
      <c r="F2472" s="16" t="s">
        <v>3034</v>
      </c>
      <c r="G2472" s="16" t="s">
        <v>220</v>
      </c>
      <c r="H2472" s="16" t="s">
        <v>220</v>
      </c>
    </row>
    <row r="2473" ht="20.25" customHeight="1">
      <c r="A2473" s="32" t="str">
        <f>IMAGE("https://gymvisual.com/4461-catalog_default/kettlebell-sit-up.jpg",4,500,500)</f>
        <v/>
      </c>
      <c r="B2473" s="30">
        <v>2472.0</v>
      </c>
      <c r="C2473" s="16" t="s">
        <v>3186</v>
      </c>
      <c r="D2473" s="16" t="s">
        <v>184</v>
      </c>
      <c r="E2473" s="16" t="s">
        <v>254</v>
      </c>
      <c r="F2473" s="16" t="s">
        <v>3034</v>
      </c>
      <c r="G2473" s="16" t="s">
        <v>256</v>
      </c>
      <c r="H2473" s="16" t="s">
        <v>257</v>
      </c>
    </row>
    <row r="2474" ht="20.25" customHeight="1">
      <c r="A2474" s="32" t="str">
        <f>IMAGE("https://gymvisual.com/19531-catalog_default/kettlebell-sit-up-female.jpg",4,500,500)</f>
        <v/>
      </c>
      <c r="B2474" s="30">
        <v>2473.0</v>
      </c>
      <c r="C2474" s="16" t="s">
        <v>3187</v>
      </c>
      <c r="D2474" s="16" t="s">
        <v>184</v>
      </c>
      <c r="E2474" s="16" t="s">
        <v>234</v>
      </c>
      <c r="F2474" s="16" t="s">
        <v>3034</v>
      </c>
      <c r="G2474" s="16" t="s">
        <v>220</v>
      </c>
      <c r="H2474" s="16" t="s">
        <v>220</v>
      </c>
    </row>
    <row r="2475" ht="20.25" customHeight="1">
      <c r="A2475" s="32" t="str">
        <f>IMAGE("https://gymvisual.com/24109-catalog_default/kettlebell-sit-up-press.jpg",4,500,500)</f>
        <v/>
      </c>
      <c r="B2475" s="30">
        <v>2474.0</v>
      </c>
      <c r="C2475" s="16" t="s">
        <v>3188</v>
      </c>
      <c r="D2475" s="16" t="s">
        <v>184</v>
      </c>
      <c r="E2475" s="16" t="s">
        <v>254</v>
      </c>
      <c r="F2475" s="16" t="s">
        <v>3034</v>
      </c>
      <c r="G2475" s="16" t="s">
        <v>220</v>
      </c>
      <c r="H2475" s="16" t="s">
        <v>220</v>
      </c>
    </row>
    <row r="2476" ht="20.25" customHeight="1">
      <c r="A2476" s="32" t="str">
        <f>IMAGE("https://gymvisual.com/14215-catalog_default/kettlebell-slingshot.jpg",4,500,500)</f>
        <v/>
      </c>
      <c r="B2476" s="30">
        <v>2475.0</v>
      </c>
      <c r="C2476" s="16" t="s">
        <v>3189</v>
      </c>
      <c r="D2476" s="16" t="s">
        <v>184</v>
      </c>
      <c r="E2476" s="16" t="s">
        <v>228</v>
      </c>
      <c r="F2476" s="16" t="s">
        <v>3034</v>
      </c>
      <c r="G2476" s="16" t="s">
        <v>333</v>
      </c>
      <c r="H2476" s="16" t="s">
        <v>220</v>
      </c>
    </row>
    <row r="2477" ht="20.25" customHeight="1">
      <c r="A2477" s="32" t="str">
        <f>IMAGE("https://gymvisual.com/19551-catalog_default/kettlebell-snatch-female.jpg",4,500,500)</f>
        <v/>
      </c>
      <c r="B2477" s="30">
        <v>2476.0</v>
      </c>
      <c r="C2477" s="16" t="s">
        <v>3190</v>
      </c>
      <c r="D2477" s="16" t="s">
        <v>184</v>
      </c>
      <c r="E2477" s="16" t="s">
        <v>764</v>
      </c>
      <c r="F2477" s="16" t="s">
        <v>3034</v>
      </c>
      <c r="G2477" s="16" t="s">
        <v>220</v>
      </c>
      <c r="H2477" s="16" t="s">
        <v>220</v>
      </c>
    </row>
    <row r="2478" ht="20.25" customHeight="1">
      <c r="A2478" s="32" t="str">
        <f>IMAGE("https://gymvisual.com/14205-catalog_default/kettlebell-sots-press.jpg",4,500,500)</f>
        <v/>
      </c>
      <c r="B2478" s="30">
        <v>2477.0</v>
      </c>
      <c r="C2478" s="16" t="s">
        <v>3191</v>
      </c>
      <c r="D2478" s="16" t="s">
        <v>184</v>
      </c>
      <c r="E2478" s="16" t="s">
        <v>691</v>
      </c>
      <c r="F2478" s="16" t="s">
        <v>3034</v>
      </c>
      <c r="G2478" s="16" t="s">
        <v>793</v>
      </c>
      <c r="H2478" s="16" t="s">
        <v>1130</v>
      </c>
    </row>
    <row r="2479" ht="20.25" customHeight="1">
      <c r="A2479" s="32" t="str">
        <f>IMAGE("https://gymvisual.com/18055-catalog_default/kettlebell-split-snatch.jpg",4,500,500)</f>
        <v/>
      </c>
      <c r="B2479" s="30">
        <v>2478.0</v>
      </c>
      <c r="C2479" s="16" t="s">
        <v>3192</v>
      </c>
      <c r="D2479" s="16" t="s">
        <v>184</v>
      </c>
      <c r="E2479" s="16" t="s">
        <v>185</v>
      </c>
      <c r="F2479" s="16" t="s">
        <v>3034</v>
      </c>
      <c r="G2479" s="16" t="s">
        <v>220</v>
      </c>
      <c r="H2479" s="16" t="s">
        <v>220</v>
      </c>
    </row>
    <row r="2480" ht="20.25" customHeight="1">
      <c r="A2480" s="32" t="str">
        <f>IMAGE("https://gymvisual.com/17851-catalog_default/kettlebell-split-squat.jpg",4,500,500)</f>
        <v/>
      </c>
      <c r="B2480" s="30">
        <v>2479.0</v>
      </c>
      <c r="C2480" s="16" t="s">
        <v>3193</v>
      </c>
      <c r="D2480" s="16" t="s">
        <v>184</v>
      </c>
      <c r="E2480" s="16" t="s">
        <v>285</v>
      </c>
      <c r="F2480" s="16" t="s">
        <v>3034</v>
      </c>
      <c r="G2480" s="16" t="s">
        <v>220</v>
      </c>
      <c r="H2480" s="16" t="s">
        <v>220</v>
      </c>
    </row>
    <row r="2481" ht="20.25" customHeight="1">
      <c r="A2481" s="32" t="str">
        <f>IMAGE("https://gymvisual.com/16404-catalog_default/kettlebell-standing-bottoms-up-one-arm-shoulder-press.jpg",4,500,500)</f>
        <v/>
      </c>
      <c r="B2481" s="30">
        <v>2480.0</v>
      </c>
      <c r="C2481" s="16" t="s">
        <v>3194</v>
      </c>
      <c r="D2481" s="16" t="s">
        <v>184</v>
      </c>
      <c r="E2481" s="16" t="s">
        <v>228</v>
      </c>
      <c r="F2481" s="16" t="s">
        <v>3034</v>
      </c>
      <c r="G2481" s="16" t="s">
        <v>229</v>
      </c>
      <c r="H2481" s="16" t="s">
        <v>626</v>
      </c>
    </row>
    <row r="2482" ht="20.25" customHeight="1">
      <c r="A2482" s="32" t="str">
        <f>IMAGE("https://gymvisual.com/26082-catalog_default/kettlebell-standing-calf-raise.jpg",4,500,500)</f>
        <v/>
      </c>
      <c r="B2482" s="30">
        <v>2481.0</v>
      </c>
      <c r="C2482" s="16" t="s">
        <v>3195</v>
      </c>
      <c r="D2482" s="16" t="s">
        <v>184</v>
      </c>
      <c r="E2482" s="16" t="s">
        <v>325</v>
      </c>
      <c r="F2482" s="16" t="s">
        <v>3034</v>
      </c>
      <c r="G2482" s="16" t="s">
        <v>220</v>
      </c>
      <c r="H2482" s="16" t="s">
        <v>220</v>
      </c>
    </row>
    <row r="2483" ht="20.25" customHeight="1">
      <c r="A2483" s="32" t="str">
        <f>IMAGE("https://gymvisual.com/26100-catalog_default/kettlebell-standing-one-arm-extension.jpg",4,500,500)</f>
        <v/>
      </c>
      <c r="B2483" s="30">
        <v>2482.0</v>
      </c>
      <c r="C2483" s="16" t="s">
        <v>3196</v>
      </c>
      <c r="D2483" s="16" t="s">
        <v>184</v>
      </c>
      <c r="E2483" s="16" t="s">
        <v>219</v>
      </c>
      <c r="F2483" s="16" t="s">
        <v>3034</v>
      </c>
      <c r="G2483" s="16" t="s">
        <v>220</v>
      </c>
      <c r="H2483" s="16" t="s">
        <v>220</v>
      </c>
    </row>
    <row r="2484" ht="20.25" customHeight="1">
      <c r="A2484" s="32" t="str">
        <f>IMAGE("https://gymvisual.com/19555-catalog_default/kettlebell-standing-slingshots-female.jpg",4,500,500)</f>
        <v/>
      </c>
      <c r="B2484" s="30">
        <v>2483.0</v>
      </c>
      <c r="C2484" s="16" t="s">
        <v>3197</v>
      </c>
      <c r="D2484" s="16" t="s">
        <v>184</v>
      </c>
      <c r="E2484" s="16" t="s">
        <v>228</v>
      </c>
      <c r="F2484" s="16" t="s">
        <v>3034</v>
      </c>
      <c r="G2484" s="16" t="s">
        <v>220</v>
      </c>
      <c r="H2484" s="16" t="s">
        <v>220</v>
      </c>
    </row>
    <row r="2485" ht="20.25" customHeight="1">
      <c r="A2485" s="32" t="str">
        <f>IMAGE("https://gymvisual.com/19469-catalog_default/kettlebell-step-up.jpg",4,500,500)</f>
        <v/>
      </c>
      <c r="B2485" s="30">
        <v>2484.0</v>
      </c>
      <c r="C2485" s="16" t="s">
        <v>3198</v>
      </c>
      <c r="D2485" s="16" t="s">
        <v>184</v>
      </c>
      <c r="E2485" s="16" t="s">
        <v>285</v>
      </c>
      <c r="F2485" s="16" t="s">
        <v>3034</v>
      </c>
      <c r="G2485" s="16" t="s">
        <v>220</v>
      </c>
      <c r="H2485" s="16" t="s">
        <v>220</v>
      </c>
    </row>
    <row r="2486" ht="20.25" customHeight="1">
      <c r="A2486" s="32" t="str">
        <f>IMAGE("https://gymvisual.com/19501-catalog_default/kettlebell-step-up-version-2.jpg",4,500,500)</f>
        <v/>
      </c>
      <c r="B2486" s="30">
        <v>2485.0</v>
      </c>
      <c r="C2486" s="16" t="s">
        <v>3199</v>
      </c>
      <c r="D2486" s="16" t="s">
        <v>184</v>
      </c>
      <c r="E2486" s="16" t="s">
        <v>285</v>
      </c>
      <c r="F2486" s="16" t="s">
        <v>3034</v>
      </c>
      <c r="G2486" s="16" t="s">
        <v>189</v>
      </c>
      <c r="H2486" s="16" t="s">
        <v>190</v>
      </c>
    </row>
    <row r="2487" ht="20.25" customHeight="1">
      <c r="A2487" s="32" t="str">
        <f>IMAGE("https://gymvisual.com/16398-catalog_default/kettlebell-straight-leg-deadlift.jpg",4,500,500)</f>
        <v/>
      </c>
      <c r="B2487" s="30">
        <v>2486.0</v>
      </c>
      <c r="C2487" s="16" t="s">
        <v>3200</v>
      </c>
      <c r="D2487" s="16" t="s">
        <v>184</v>
      </c>
      <c r="E2487" s="16" t="s">
        <v>185</v>
      </c>
      <c r="F2487" s="16" t="s">
        <v>3034</v>
      </c>
      <c r="G2487" s="16" t="s">
        <v>267</v>
      </c>
      <c r="H2487" s="16" t="s">
        <v>3201</v>
      </c>
    </row>
    <row r="2488" ht="20.25" customHeight="1">
      <c r="A2488" s="32" t="str">
        <f>IMAGE("https://gymvisual.com/14203-catalog_default/kettlebell-strict-press.jpg",4,500,500)</f>
        <v/>
      </c>
      <c r="B2488" s="30">
        <v>2487.0</v>
      </c>
      <c r="C2488" s="16" t="s">
        <v>3202</v>
      </c>
      <c r="D2488" s="16" t="s">
        <v>184</v>
      </c>
      <c r="E2488" s="16" t="s">
        <v>228</v>
      </c>
      <c r="F2488" s="16" t="s">
        <v>3034</v>
      </c>
      <c r="G2488" s="16" t="s">
        <v>229</v>
      </c>
      <c r="H2488" s="16" t="s">
        <v>626</v>
      </c>
    </row>
    <row r="2489" ht="20.25" customHeight="1">
      <c r="A2489" s="32" t="str">
        <f>IMAGE("https://gymvisual.com/17967-catalog_default/kettlebell-suitcase-deadlift-male.jpg",4,500,500)</f>
        <v/>
      </c>
      <c r="B2489" s="30">
        <v>2488.0</v>
      </c>
      <c r="C2489" s="16" t="s">
        <v>3203</v>
      </c>
      <c r="D2489" s="16" t="s">
        <v>184</v>
      </c>
      <c r="E2489" s="16" t="s">
        <v>185</v>
      </c>
      <c r="F2489" s="16" t="s">
        <v>3034</v>
      </c>
      <c r="G2489" s="16" t="s">
        <v>187</v>
      </c>
      <c r="H2489" s="16" t="s">
        <v>482</v>
      </c>
    </row>
    <row r="2490" ht="20.25" customHeight="1">
      <c r="A2490" s="32" t="str">
        <f>IMAGE("https://gymvisual.com/17825-catalog_default/kettlebell-sumo-deadlift.jpg",4,500,500)</f>
        <v/>
      </c>
      <c r="B2490" s="30">
        <v>2489.0</v>
      </c>
      <c r="C2490" s="16" t="s">
        <v>3204</v>
      </c>
      <c r="D2490" s="16" t="s">
        <v>184</v>
      </c>
      <c r="E2490" s="16" t="s">
        <v>185</v>
      </c>
      <c r="F2490" s="16" t="s">
        <v>3034</v>
      </c>
      <c r="G2490" s="16" t="s">
        <v>220</v>
      </c>
      <c r="H2490" s="16" t="s">
        <v>220</v>
      </c>
    </row>
    <row r="2491" ht="20.25" customHeight="1">
      <c r="A2491" s="32" t="str">
        <f>IMAGE("https://gymvisual.com/17965-catalog_default/kettlebell-sumo-deadlift-with-high-pull-male.jpg",4,500,500)</f>
        <v/>
      </c>
      <c r="B2491" s="30">
        <v>2490.0</v>
      </c>
      <c r="C2491" s="16" t="s">
        <v>3205</v>
      </c>
      <c r="D2491" s="16" t="s">
        <v>184</v>
      </c>
      <c r="E2491" s="16" t="s">
        <v>185</v>
      </c>
      <c r="F2491" s="16" t="s">
        <v>3034</v>
      </c>
      <c r="G2491" s="16" t="s">
        <v>189</v>
      </c>
      <c r="H2491" s="16" t="s">
        <v>1121</v>
      </c>
    </row>
    <row r="2492" ht="20.25" customHeight="1">
      <c r="A2492" s="32" t="str">
        <f>IMAGE("https://gymvisual.com/1651-catalog_default/3-4-sit-up.jpg",4,500,500)</f>
        <v/>
      </c>
      <c r="B2492" s="30">
        <v>2491.0</v>
      </c>
      <c r="C2492" s="16" t="s">
        <v>3206</v>
      </c>
      <c r="D2492" s="16" t="s">
        <v>184</v>
      </c>
      <c r="E2492" s="16" t="s">
        <v>192</v>
      </c>
      <c r="F2492" s="16" t="s">
        <v>3034</v>
      </c>
      <c r="G2492" s="16" t="s">
        <v>3207</v>
      </c>
      <c r="H2492" s="16" t="s">
        <v>220</v>
      </c>
    </row>
    <row r="2493" ht="20.25" customHeight="1">
      <c r="A2493" s="32" t="str">
        <f>IMAGE("https://gymvisual.com/17879-catalog_default/kettlebell-sumo-squat-male.jpg",4,500,500)</f>
        <v/>
      </c>
      <c r="B2493" s="30">
        <v>2492.0</v>
      </c>
      <c r="C2493" s="16" t="s">
        <v>3208</v>
      </c>
      <c r="D2493" s="16" t="s">
        <v>184</v>
      </c>
      <c r="E2493" s="16" t="s">
        <v>185</v>
      </c>
      <c r="F2493" s="16" t="s">
        <v>3034</v>
      </c>
      <c r="G2493" s="16" t="s">
        <v>220</v>
      </c>
      <c r="H2493" s="16" t="s">
        <v>220</v>
      </c>
    </row>
    <row r="2494" ht="20.25" customHeight="1">
      <c r="A2494" s="32" t="str">
        <f>IMAGE("https://gymvisual.com/24111-catalog_default/kettlebell-sumo-squat-version-2.jpg",4,500,500)</f>
        <v/>
      </c>
      <c r="B2494" s="30">
        <v>2493.0</v>
      </c>
      <c r="C2494" s="16" t="s">
        <v>3209</v>
      </c>
      <c r="D2494" s="16" t="s">
        <v>184</v>
      </c>
      <c r="E2494" s="16" t="s">
        <v>185</v>
      </c>
      <c r="F2494" s="16" t="s">
        <v>3034</v>
      </c>
      <c r="G2494" s="16" t="s">
        <v>220</v>
      </c>
      <c r="H2494" s="16" t="s">
        <v>220</v>
      </c>
    </row>
    <row r="2495" ht="20.25" customHeight="1">
      <c r="A2495" s="32" t="str">
        <f>IMAGE("https://gymvisual.com/1654-catalog_default/3-4-sit-up.jpg",4,500,500)</f>
        <v/>
      </c>
      <c r="B2495" s="30">
        <v>2494.0</v>
      </c>
      <c r="C2495" s="16" t="s">
        <v>3210</v>
      </c>
      <c r="D2495" s="16" t="s">
        <v>184</v>
      </c>
      <c r="E2495" s="16" t="s">
        <v>285</v>
      </c>
      <c r="F2495" s="16" t="s">
        <v>3034</v>
      </c>
      <c r="G2495" s="16" t="s">
        <v>2060</v>
      </c>
      <c r="H2495" s="16" t="s">
        <v>2061</v>
      </c>
    </row>
    <row r="2496" ht="20.25" customHeight="1">
      <c r="A2496" s="32" t="str">
        <f>IMAGE("https://gymvisual.com/11170-catalog_default/kettlebell-swing-female.jpg",4,500,500)</f>
        <v/>
      </c>
      <c r="B2496" s="30">
        <v>2495.0</v>
      </c>
      <c r="C2496" s="16" t="s">
        <v>3211</v>
      </c>
      <c r="D2496" s="16" t="s">
        <v>184</v>
      </c>
      <c r="E2496" s="16" t="s">
        <v>691</v>
      </c>
      <c r="F2496" s="16" t="s">
        <v>3034</v>
      </c>
      <c r="G2496" s="16" t="s">
        <v>2060</v>
      </c>
      <c r="H2496" s="16" t="s">
        <v>2061</v>
      </c>
    </row>
    <row r="2497" ht="20.25" customHeight="1">
      <c r="A2497" s="32" t="str">
        <f>IMAGE("https://gymvisual.com/23062-catalog_default/kettlebell-swing-clean-grip-front-squat-overhead-press.jpg",4,500,500)</f>
        <v/>
      </c>
      <c r="B2497" s="30">
        <v>2496.0</v>
      </c>
      <c r="C2497" s="16" t="s">
        <v>3212</v>
      </c>
      <c r="D2497" s="16" t="s">
        <v>184</v>
      </c>
      <c r="E2497" s="16" t="s">
        <v>185</v>
      </c>
      <c r="F2497" s="16" t="s">
        <v>3034</v>
      </c>
      <c r="G2497" s="16" t="s">
        <v>220</v>
      </c>
      <c r="H2497" s="16" t="s">
        <v>220</v>
      </c>
    </row>
    <row r="2498" ht="20.25" customHeight="1">
      <c r="A2498" s="32" t="str">
        <f>IMAGE("https://gymvisual.com/1657-catalog_default/3-4-sit-up.jpg",4,500,500)</f>
        <v/>
      </c>
      <c r="B2498" s="30">
        <v>2497.0</v>
      </c>
      <c r="C2498" s="16" t="s">
        <v>3213</v>
      </c>
      <c r="D2498" s="16" t="s">
        <v>184</v>
      </c>
      <c r="E2498" s="16" t="s">
        <v>228</v>
      </c>
      <c r="F2498" s="16" t="s">
        <v>3034</v>
      </c>
      <c r="G2498" s="16" t="s">
        <v>3214</v>
      </c>
      <c r="H2498" s="16" t="s">
        <v>220</v>
      </c>
    </row>
    <row r="2499" ht="20.25" customHeight="1">
      <c r="A2499" s="32" t="str">
        <f>IMAGE("https://gymvisual.com/19521-catalog_default/kettlebell-thruster-female.jpg",4,500,500)</f>
        <v/>
      </c>
      <c r="B2499" s="30">
        <v>2498.0</v>
      </c>
      <c r="C2499" s="16" t="s">
        <v>3215</v>
      </c>
      <c r="D2499" s="16" t="s">
        <v>184</v>
      </c>
      <c r="E2499" s="16" t="s">
        <v>764</v>
      </c>
      <c r="F2499" s="16" t="s">
        <v>3034</v>
      </c>
      <c r="G2499" s="16" t="s">
        <v>220</v>
      </c>
      <c r="H2499" s="16" t="s">
        <v>220</v>
      </c>
    </row>
    <row r="2500" ht="20.25" customHeight="1">
      <c r="A2500" s="32" t="str">
        <f>IMAGE("https://gymvisual.com/13261-catalog_default/3-4-sit-up.jpg",4,500,500)</f>
        <v/>
      </c>
      <c r="B2500" s="30">
        <v>2499.0</v>
      </c>
      <c r="C2500" s="16" t="s">
        <v>3216</v>
      </c>
      <c r="D2500" s="16" t="s">
        <v>184</v>
      </c>
      <c r="E2500" s="16" t="s">
        <v>285</v>
      </c>
      <c r="F2500" s="16" t="s">
        <v>3034</v>
      </c>
      <c r="G2500" s="16" t="s">
        <v>3217</v>
      </c>
      <c r="H2500" s="16" t="s">
        <v>220</v>
      </c>
    </row>
    <row r="2501" ht="20.25" customHeight="1">
      <c r="A2501" s="32" t="str">
        <f>IMAGE("https://gymvisual.com/17847-catalog_default/kettlebell-turkish-get-up-to-hand.jpg",4,500,500)</f>
        <v/>
      </c>
      <c r="B2501" s="30">
        <v>2500.0</v>
      </c>
      <c r="C2501" s="16" t="s">
        <v>3218</v>
      </c>
      <c r="D2501" s="16" t="s">
        <v>184</v>
      </c>
      <c r="E2501" s="16" t="s">
        <v>285</v>
      </c>
      <c r="F2501" s="16" t="s">
        <v>3034</v>
      </c>
      <c r="G2501" s="16" t="s">
        <v>220</v>
      </c>
      <c r="H2501" s="16" t="s">
        <v>220</v>
      </c>
    </row>
    <row r="2502" ht="20.25" customHeight="1">
      <c r="A2502" s="32" t="str">
        <f>IMAGE("https://gymvisual.com/1662-catalog_default/3-4-sit-up.jpg",4,500,500)</f>
        <v/>
      </c>
      <c r="B2502" s="30">
        <v>2501.0</v>
      </c>
      <c r="C2502" s="16" t="s">
        <v>3219</v>
      </c>
      <c r="D2502" s="16" t="s">
        <v>184</v>
      </c>
      <c r="E2502" s="16" t="s">
        <v>228</v>
      </c>
      <c r="F2502" s="16" t="s">
        <v>3034</v>
      </c>
      <c r="G2502" s="16" t="s">
        <v>220</v>
      </c>
      <c r="H2502" s="16" t="s">
        <v>220</v>
      </c>
    </row>
    <row r="2503" ht="20.25" customHeight="1">
      <c r="A2503" s="32" t="str">
        <f>IMAGE("https://gymvisual.com/1665-catalog_default/3-4-sit-up.jpg",4,500,500)</f>
        <v/>
      </c>
      <c r="B2503" s="30">
        <v>2502.0</v>
      </c>
      <c r="C2503" s="16" t="s">
        <v>3220</v>
      </c>
      <c r="D2503" s="16" t="s">
        <v>184</v>
      </c>
      <c r="E2503" s="16" t="s">
        <v>228</v>
      </c>
      <c r="F2503" s="16" t="s">
        <v>3034</v>
      </c>
      <c r="G2503" s="16" t="s">
        <v>229</v>
      </c>
      <c r="H2503" s="16" t="s">
        <v>230</v>
      </c>
    </row>
    <row r="2504" ht="20.25" customHeight="1">
      <c r="A2504" s="32" t="str">
        <f>IMAGE("https://gymvisual.com/14181-catalog_default/kettlebell-two-arm-row.jpg",4,500,500)</f>
        <v/>
      </c>
      <c r="B2504" s="30">
        <v>2503.0</v>
      </c>
      <c r="C2504" s="16" t="s">
        <v>3221</v>
      </c>
      <c r="D2504" s="16" t="s">
        <v>184</v>
      </c>
      <c r="E2504" s="16" t="s">
        <v>192</v>
      </c>
      <c r="F2504" s="16" t="s">
        <v>3034</v>
      </c>
      <c r="G2504" s="16" t="s">
        <v>329</v>
      </c>
      <c r="H2504" s="16" t="s">
        <v>457</v>
      </c>
    </row>
    <row r="2505" ht="20.25" customHeight="1">
      <c r="A2505" s="32" t="str">
        <f>IMAGE("https://gymvisual.com/19485-catalog_default/kettlebell-upright-row.jpg",4,500,500)</f>
        <v/>
      </c>
      <c r="B2505" s="30">
        <v>2504.0</v>
      </c>
      <c r="C2505" s="16" t="s">
        <v>3222</v>
      </c>
      <c r="D2505" s="16" t="s">
        <v>184</v>
      </c>
      <c r="E2505" s="16" t="s">
        <v>228</v>
      </c>
      <c r="F2505" s="16" t="s">
        <v>3034</v>
      </c>
      <c r="G2505" s="16" t="s">
        <v>544</v>
      </c>
      <c r="H2505" s="16" t="s">
        <v>713</v>
      </c>
    </row>
    <row r="2506" ht="20.25" customHeight="1">
      <c r="A2506" s="32" t="str">
        <f>IMAGE("https://gymvisual.com/1668-catalog_default/3-4-sit-up.jpg",4,500,500)</f>
        <v/>
      </c>
      <c r="B2506" s="30">
        <v>2505.0</v>
      </c>
      <c r="C2506" s="16" t="s">
        <v>3223</v>
      </c>
      <c r="D2506" s="16" t="s">
        <v>184</v>
      </c>
      <c r="E2506" s="16" t="s">
        <v>254</v>
      </c>
      <c r="F2506" s="16" t="s">
        <v>3034</v>
      </c>
      <c r="G2506" s="16" t="s">
        <v>424</v>
      </c>
      <c r="H2506" s="16" t="s">
        <v>476</v>
      </c>
    </row>
    <row r="2507" ht="20.25" customHeight="1">
      <c r="A2507" s="32" t="str">
        <f>IMAGE("https://gymvisual.com/19525-catalog_default/kettlebell-windmill-female.jpg",4,500,500)</f>
        <v/>
      </c>
      <c r="B2507" s="30">
        <v>2506.0</v>
      </c>
      <c r="C2507" s="16" t="s">
        <v>3224</v>
      </c>
      <c r="D2507" s="16" t="s">
        <v>184</v>
      </c>
      <c r="E2507" s="16" t="s">
        <v>254</v>
      </c>
      <c r="F2507" s="16" t="s">
        <v>3034</v>
      </c>
      <c r="G2507" s="16" t="s">
        <v>220</v>
      </c>
      <c r="H2507" s="16" t="s">
        <v>220</v>
      </c>
    </row>
    <row r="2508" ht="20.25" customHeight="1">
      <c r="A2508" s="32" t="str">
        <f>IMAGE("https://gymvisual.com/26098-catalog_default/kettlebell-wrist-curl.jpg",4,500,500)</f>
        <v/>
      </c>
      <c r="B2508" s="30">
        <v>2507.0</v>
      </c>
      <c r="C2508" s="16" t="s">
        <v>3225</v>
      </c>
      <c r="D2508" s="16" t="s">
        <v>184</v>
      </c>
      <c r="E2508" s="16" t="s">
        <v>214</v>
      </c>
      <c r="F2508" s="16" t="s">
        <v>3034</v>
      </c>
      <c r="G2508" s="16" t="s">
        <v>220</v>
      </c>
      <c r="H2508" s="16" t="s">
        <v>220</v>
      </c>
    </row>
    <row r="2509" ht="20.25" customHeight="1">
      <c r="A2509" s="32" t="str">
        <f>IMAGE("https://gymvisual.com/19475-catalog_default/kettlebells-sumo-deadlift.jpg",4,500,500)</f>
        <v/>
      </c>
      <c r="B2509" s="30">
        <v>2508.0</v>
      </c>
      <c r="C2509" s="16" t="s">
        <v>3226</v>
      </c>
      <c r="D2509" s="16" t="s">
        <v>184</v>
      </c>
      <c r="E2509" s="16" t="s">
        <v>185</v>
      </c>
      <c r="F2509" s="16" t="s">
        <v>3034</v>
      </c>
      <c r="G2509" s="16" t="s">
        <v>220</v>
      </c>
      <c r="H2509" s="16" t="s">
        <v>220</v>
      </c>
    </row>
    <row r="2510" ht="20.25" customHeight="1">
      <c r="A2510" s="32" t="str">
        <f>IMAGE("https://gymvisual.com/1671-catalog_default/3-4-sit-up.jpg",4,500,500)</f>
        <v/>
      </c>
      <c r="B2510" s="30">
        <v>2509.0</v>
      </c>
      <c r="C2510" s="16" t="s">
        <v>3227</v>
      </c>
      <c r="D2510" s="16" t="s">
        <v>184</v>
      </c>
      <c r="E2510" s="16" t="s">
        <v>285</v>
      </c>
      <c r="F2510" s="16" t="s">
        <v>255</v>
      </c>
      <c r="G2510" s="16" t="s">
        <v>854</v>
      </c>
      <c r="H2510" s="16" t="s">
        <v>190</v>
      </c>
    </row>
    <row r="2511" ht="20.25" customHeight="1">
      <c r="A2511" s="32" t="str">
        <f>IMAGE("https://gymvisual.com/1676-catalog_default/3-4-sit-up.jpg",4,500,500)</f>
        <v/>
      </c>
      <c r="B2511" s="30">
        <v>2510.0</v>
      </c>
      <c r="C2511" s="16" t="s">
        <v>3228</v>
      </c>
      <c r="D2511" s="16" t="s">
        <v>184</v>
      </c>
      <c r="E2511" s="16" t="s">
        <v>185</v>
      </c>
      <c r="F2511" s="16" t="s">
        <v>255</v>
      </c>
      <c r="G2511" s="16" t="s">
        <v>187</v>
      </c>
      <c r="H2511" s="16" t="s">
        <v>3229</v>
      </c>
    </row>
    <row r="2512" ht="20.25" customHeight="1">
      <c r="A2512" s="32" t="str">
        <f>IMAGE("https://gymvisual.com/1673-catalog_default/3-4-sit-up.jpg",4,500,500)</f>
        <v/>
      </c>
      <c r="B2512" s="30">
        <v>2511.0</v>
      </c>
      <c r="C2512" s="16" t="s">
        <v>3230</v>
      </c>
      <c r="D2512" s="16" t="s">
        <v>184</v>
      </c>
      <c r="E2512" s="16" t="s">
        <v>185</v>
      </c>
      <c r="F2512" s="16" t="s">
        <v>255</v>
      </c>
      <c r="G2512" s="16" t="s">
        <v>187</v>
      </c>
      <c r="H2512" s="16" t="s">
        <v>3229</v>
      </c>
    </row>
    <row r="2513" ht="20.25" customHeight="1">
      <c r="A2513" s="32" t="str">
        <f>IMAGE("https://gymvisual.com/24330-catalog_default/kipping-handstand-push-up.jpg",4,500,500)</f>
        <v/>
      </c>
      <c r="B2513" s="30">
        <v>2512.0</v>
      </c>
      <c r="C2513" s="16" t="s">
        <v>3231</v>
      </c>
      <c r="D2513" s="16" t="s">
        <v>184</v>
      </c>
      <c r="E2513" s="16" t="s">
        <v>228</v>
      </c>
      <c r="F2513" s="16" t="s">
        <v>255</v>
      </c>
      <c r="G2513" s="16" t="s">
        <v>220</v>
      </c>
      <c r="H2513" s="16" t="s">
        <v>220</v>
      </c>
    </row>
    <row r="2514" ht="20.25" customHeight="1">
      <c r="A2514" s="32" t="str">
        <f>IMAGE("https://gymvisual.com/1679-catalog_default/3-4-sit-up.jpg",4,500,500)</f>
        <v/>
      </c>
      <c r="B2514" s="30">
        <v>2513.0</v>
      </c>
      <c r="C2514" s="16" t="s">
        <v>3232</v>
      </c>
      <c r="D2514" s="16" t="s">
        <v>184</v>
      </c>
      <c r="E2514" s="16" t="s">
        <v>192</v>
      </c>
      <c r="F2514" s="16" t="s">
        <v>255</v>
      </c>
      <c r="G2514" s="16" t="s">
        <v>1230</v>
      </c>
      <c r="H2514" s="16" t="s">
        <v>3233</v>
      </c>
    </row>
    <row r="2515" ht="20.25" customHeight="1">
      <c r="A2515" s="32" t="str">
        <f>IMAGE("https://gymvisual.com/18802-catalog_default/knee-raise-male.jpg",4,500,500)</f>
        <v/>
      </c>
      <c r="B2515" s="30">
        <v>2514.0</v>
      </c>
      <c r="C2515" s="16" t="s">
        <v>3234</v>
      </c>
      <c r="D2515" s="16" t="s">
        <v>184</v>
      </c>
      <c r="E2515" s="16" t="s">
        <v>285</v>
      </c>
      <c r="F2515" s="16" t="s">
        <v>255</v>
      </c>
      <c r="G2515" s="16" t="s">
        <v>189</v>
      </c>
      <c r="H2515" s="16" t="s">
        <v>220</v>
      </c>
    </row>
    <row r="2516" ht="20.25" customHeight="1">
      <c r="A2516" s="32" t="str">
        <f>IMAGE("https://gymvisual.com/14370-catalog_default/knee-touch-crunch.jpg",4,500,500)</f>
        <v/>
      </c>
      <c r="B2516" s="30">
        <v>2515.0</v>
      </c>
      <c r="C2516" s="16" t="s">
        <v>3235</v>
      </c>
      <c r="D2516" s="16" t="s">
        <v>184</v>
      </c>
      <c r="E2516" s="16" t="s">
        <v>254</v>
      </c>
      <c r="F2516" s="16" t="s">
        <v>255</v>
      </c>
      <c r="G2516" s="16" t="s">
        <v>256</v>
      </c>
      <c r="H2516" s="16" t="s">
        <v>257</v>
      </c>
    </row>
    <row r="2517" ht="20.25" customHeight="1">
      <c r="A2517" s="32" t="str">
        <f>IMAGE("https://gymvisual.com/22141-catalog_default/knee-touch-crunch-female.jpg",4,500,500)</f>
        <v/>
      </c>
      <c r="B2517" s="30">
        <v>2516.0</v>
      </c>
      <c r="C2517" s="16" t="s">
        <v>3236</v>
      </c>
      <c r="D2517" s="16" t="s">
        <v>184</v>
      </c>
      <c r="E2517" s="16" t="s">
        <v>254</v>
      </c>
      <c r="F2517" s="16" t="s">
        <v>255</v>
      </c>
      <c r="G2517" s="16" t="s">
        <v>220</v>
      </c>
      <c r="H2517" s="16" t="s">
        <v>220</v>
      </c>
    </row>
    <row r="2518" ht="20.25" customHeight="1">
      <c r="A2518" s="32" t="str">
        <f>IMAGE("https://gymvisual.com/24057-catalog_default/knee-tuck-oblique-crunch.jpg",4,500,500)</f>
        <v/>
      </c>
      <c r="B2518" s="30">
        <v>2517.0</v>
      </c>
      <c r="C2518" s="16" t="s">
        <v>3237</v>
      </c>
      <c r="D2518" s="16" t="s">
        <v>184</v>
      </c>
      <c r="E2518" s="16" t="s">
        <v>254</v>
      </c>
      <c r="F2518" s="16" t="s">
        <v>255</v>
      </c>
      <c r="G2518" s="16" t="s">
        <v>220</v>
      </c>
      <c r="H2518" s="16" t="s">
        <v>220</v>
      </c>
    </row>
    <row r="2519" ht="20.25" customHeight="1">
      <c r="A2519" s="32" t="str">
        <f>IMAGE("https://gymvisual.com/20479-catalog_default/kneeling-abdominal-draw-in.jpg",4,500,500)</f>
        <v/>
      </c>
      <c r="B2519" s="30">
        <v>2518.0</v>
      </c>
      <c r="C2519" s="16" t="s">
        <v>3238</v>
      </c>
      <c r="D2519" s="16" t="s">
        <v>184</v>
      </c>
      <c r="E2519" s="16" t="s">
        <v>254</v>
      </c>
      <c r="F2519" s="16" t="s">
        <v>255</v>
      </c>
      <c r="G2519" s="16" t="s">
        <v>256</v>
      </c>
      <c r="H2519" s="16" t="s">
        <v>220</v>
      </c>
    </row>
    <row r="2520" ht="20.25" customHeight="1">
      <c r="A2520" s="32" t="str">
        <f>IMAGE("https://gymvisual.com/20730-catalog_default/kneeling-assisted-sliding-chin-up.jpg",4,500,500)</f>
        <v/>
      </c>
      <c r="B2520" s="30">
        <v>2519.0</v>
      </c>
      <c r="C2520" s="16" t="s">
        <v>3239</v>
      </c>
      <c r="D2520" s="16" t="s">
        <v>184</v>
      </c>
      <c r="E2520" s="16" t="s">
        <v>192</v>
      </c>
      <c r="F2520" s="16" t="s">
        <v>255</v>
      </c>
      <c r="G2520" s="16" t="s">
        <v>329</v>
      </c>
      <c r="H2520" s="16" t="s">
        <v>3240</v>
      </c>
    </row>
    <row r="2521" ht="20.25" customHeight="1">
      <c r="A2521" s="32" t="str">
        <f>IMAGE("https://gymvisual.com/12194-catalog_default/kneeling-battling-ropes.jpg",4,500,500)</f>
        <v/>
      </c>
      <c r="B2521" s="30">
        <v>2520.0</v>
      </c>
      <c r="C2521" s="16" t="s">
        <v>3241</v>
      </c>
      <c r="D2521" s="16" t="s">
        <v>184</v>
      </c>
      <c r="E2521" s="16" t="s">
        <v>321</v>
      </c>
      <c r="F2521" s="16" t="s">
        <v>1160</v>
      </c>
      <c r="G2521" s="16" t="s">
        <v>220</v>
      </c>
      <c r="H2521" s="16" t="s">
        <v>220</v>
      </c>
    </row>
    <row r="2522" ht="20.25" customHeight="1">
      <c r="A2522" s="32" t="str">
        <f>IMAGE("https://gymvisual.com/13994-catalog_default/kneeling-cobra-push-up.jpg",4,500,500)</f>
        <v/>
      </c>
      <c r="B2522" s="30">
        <v>2521.0</v>
      </c>
      <c r="C2522" s="16" t="s">
        <v>3242</v>
      </c>
      <c r="D2522" s="16" t="s">
        <v>184</v>
      </c>
      <c r="E2522" s="16" t="s">
        <v>1798</v>
      </c>
      <c r="F2522" s="16" t="s">
        <v>255</v>
      </c>
      <c r="G2522" s="16" t="s">
        <v>1799</v>
      </c>
      <c r="H2522" s="16" t="s">
        <v>382</v>
      </c>
    </row>
    <row r="2523" ht="20.25" customHeight="1">
      <c r="A2523" s="32" t="str">
        <f>IMAGE("https://gymvisual.com/24673-catalog_default/kneeling-forward-hip-circles.jpg",4,500,500)</f>
        <v/>
      </c>
      <c r="B2523" s="30">
        <v>2522.0</v>
      </c>
      <c r="C2523" s="16" t="s">
        <v>3243</v>
      </c>
      <c r="D2523" s="16" t="s">
        <v>184</v>
      </c>
      <c r="E2523" s="16" t="s">
        <v>185</v>
      </c>
      <c r="F2523" s="16" t="s">
        <v>255</v>
      </c>
      <c r="G2523" s="16" t="s">
        <v>220</v>
      </c>
      <c r="H2523" s="16" t="s">
        <v>220</v>
      </c>
    </row>
    <row r="2524" ht="20.25" customHeight="1">
      <c r="A2524" s="32" t="str">
        <f>IMAGE("https://gymvisual.com/22434-catalog_default/kneeling-half-triceps-extension.jpg",4,500,500)</f>
        <v/>
      </c>
      <c r="B2524" s="30">
        <v>2523.0</v>
      </c>
      <c r="C2524" s="16" t="s">
        <v>3244</v>
      </c>
      <c r="D2524" s="16" t="s">
        <v>184</v>
      </c>
      <c r="E2524" s="16" t="s">
        <v>219</v>
      </c>
      <c r="F2524" s="16" t="s">
        <v>255</v>
      </c>
      <c r="G2524" s="16" t="s">
        <v>220</v>
      </c>
      <c r="H2524" s="16" t="s">
        <v>220</v>
      </c>
    </row>
    <row r="2525" ht="20.25" customHeight="1">
      <c r="A2525" s="32" t="str">
        <f>IMAGE("https://gymvisual.com/1685-catalog_default/3-4-sit-up.jpg",4,500,500)</f>
        <v/>
      </c>
      <c r="B2525" s="30">
        <v>2524.0</v>
      </c>
      <c r="C2525" s="16" t="s">
        <v>3245</v>
      </c>
      <c r="D2525" s="16" t="s">
        <v>184</v>
      </c>
      <c r="E2525" s="16" t="s">
        <v>285</v>
      </c>
      <c r="F2525" s="16" t="s">
        <v>255</v>
      </c>
      <c r="G2525" s="16" t="s">
        <v>189</v>
      </c>
      <c r="H2525" s="16" t="s">
        <v>220</v>
      </c>
    </row>
    <row r="2526" ht="20.25" customHeight="1">
      <c r="A2526" s="32" t="str">
        <f>IMAGE("https://gymvisual.com/22785-catalog_default/kneeling-hip-thrust-female.jpg",4,500,500)</f>
        <v/>
      </c>
      <c r="B2526" s="30">
        <v>2525.0</v>
      </c>
      <c r="C2526" s="16" t="s">
        <v>3246</v>
      </c>
      <c r="D2526" s="16" t="s">
        <v>184</v>
      </c>
      <c r="E2526" s="16" t="s">
        <v>185</v>
      </c>
      <c r="F2526" s="16" t="s">
        <v>255</v>
      </c>
      <c r="G2526" s="16" t="s">
        <v>187</v>
      </c>
      <c r="H2526" s="16" t="s">
        <v>854</v>
      </c>
    </row>
    <row r="2527" ht="20.25" customHeight="1">
      <c r="A2527" s="32" t="str">
        <f>IMAGE("https://gymvisual.com/22797-catalog_default/kneeling-leg-half-circle-female.jpg",4,500,500)</f>
        <v/>
      </c>
      <c r="B2527" s="30">
        <v>2526.0</v>
      </c>
      <c r="C2527" s="16" t="s">
        <v>3247</v>
      </c>
      <c r="D2527" s="16" t="s">
        <v>184</v>
      </c>
      <c r="E2527" s="16" t="s">
        <v>185</v>
      </c>
      <c r="F2527" s="16" t="s">
        <v>255</v>
      </c>
      <c r="G2527" s="16" t="s">
        <v>3248</v>
      </c>
      <c r="H2527" s="16" t="s">
        <v>1323</v>
      </c>
    </row>
    <row r="2528" ht="20.25" customHeight="1">
      <c r="A2528" s="32" t="str">
        <f>IMAGE("https://gymvisual.com/23661-catalog_default/kneeling-leg-half-circle-male.jpg",4,500,500)</f>
        <v/>
      </c>
      <c r="B2528" s="30">
        <v>2527.0</v>
      </c>
      <c r="C2528" s="16" t="s">
        <v>3249</v>
      </c>
      <c r="D2528" s="16" t="s">
        <v>184</v>
      </c>
      <c r="E2528" s="16" t="s">
        <v>185</v>
      </c>
      <c r="F2528" s="16" t="s">
        <v>255</v>
      </c>
      <c r="G2528" s="16" t="s">
        <v>3248</v>
      </c>
      <c r="H2528" s="16" t="s">
        <v>1323</v>
      </c>
    </row>
    <row r="2529" ht="20.25" customHeight="1">
      <c r="A2529" s="32" t="str">
        <f>IMAGE("https://gymvisual.com/22518-catalog_default/kneeling-modified-hindu-push-up-male.jpg",4,500,500)</f>
        <v/>
      </c>
      <c r="B2529" s="30">
        <v>2528.0</v>
      </c>
      <c r="C2529" s="16" t="s">
        <v>3250</v>
      </c>
      <c r="D2529" s="16" t="s">
        <v>184</v>
      </c>
      <c r="E2529" s="16" t="s">
        <v>254</v>
      </c>
      <c r="F2529" s="16" t="s">
        <v>255</v>
      </c>
      <c r="G2529" s="16" t="s">
        <v>220</v>
      </c>
      <c r="H2529" s="16" t="s">
        <v>220</v>
      </c>
    </row>
    <row r="2530" ht="20.25" customHeight="1">
      <c r="A2530" s="32" t="str">
        <f>IMAGE("https://gymvisual.com/22831-catalog_default/kneeling-plank-female.jpg",4,500,500)</f>
        <v/>
      </c>
      <c r="B2530" s="30">
        <v>2529.0</v>
      </c>
      <c r="C2530" s="16" t="s">
        <v>3251</v>
      </c>
      <c r="D2530" s="16" t="s">
        <v>184</v>
      </c>
      <c r="E2530" s="16" t="s">
        <v>254</v>
      </c>
      <c r="F2530" s="16" t="s">
        <v>255</v>
      </c>
      <c r="G2530" s="16" t="s">
        <v>305</v>
      </c>
      <c r="H2530" s="16" t="s">
        <v>3252</v>
      </c>
    </row>
    <row r="2531" ht="20.25" customHeight="1">
      <c r="A2531" s="32" t="str">
        <f>IMAGE("https://gymvisual.com/13501-catalog_default/kneeling-plank-male.jpg",4,500,500)</f>
        <v/>
      </c>
      <c r="B2531" s="30">
        <v>2530.0</v>
      </c>
      <c r="C2531" s="16" t="s">
        <v>3253</v>
      </c>
      <c r="D2531" s="16" t="s">
        <v>184</v>
      </c>
      <c r="E2531" s="16" t="s">
        <v>254</v>
      </c>
      <c r="F2531" s="16" t="s">
        <v>255</v>
      </c>
      <c r="G2531" s="16" t="s">
        <v>256</v>
      </c>
      <c r="H2531" s="16" t="s">
        <v>3254</v>
      </c>
    </row>
    <row r="2532" ht="20.25" customHeight="1">
      <c r="A2532" s="32" t="str">
        <f>IMAGE("https://gymvisual.com/13503-catalog_default/kneeling-plank-tap-shoulder-male.jpg",4,500,500)</f>
        <v/>
      </c>
      <c r="B2532" s="30">
        <v>2531.0</v>
      </c>
      <c r="C2532" s="16" t="s">
        <v>3255</v>
      </c>
      <c r="D2532" s="16" t="s">
        <v>184</v>
      </c>
      <c r="E2532" s="16" t="s">
        <v>254</v>
      </c>
      <c r="F2532" s="16" t="s">
        <v>255</v>
      </c>
      <c r="G2532" s="16" t="s">
        <v>220</v>
      </c>
      <c r="H2532" s="16" t="s">
        <v>220</v>
      </c>
    </row>
    <row r="2533" ht="20.25" customHeight="1">
      <c r="A2533" s="32" t="str">
        <f>IMAGE("https://gymvisual.com/23633-catalog_default/kneeling-pulse.jpg",4,500,500)</f>
        <v/>
      </c>
      <c r="B2533" s="30">
        <v>2532.0</v>
      </c>
      <c r="C2533" s="16" t="s">
        <v>3256</v>
      </c>
      <c r="D2533" s="16" t="s">
        <v>184</v>
      </c>
      <c r="E2533" s="16" t="s">
        <v>185</v>
      </c>
      <c r="F2533" s="16" t="s">
        <v>255</v>
      </c>
      <c r="G2533" s="16" t="s">
        <v>267</v>
      </c>
      <c r="H2533" s="16" t="s">
        <v>188</v>
      </c>
    </row>
    <row r="2534" ht="20.25" customHeight="1">
      <c r="A2534" s="32" t="str">
        <f>IMAGE("https://gymvisual.com/23937-catalog_default/kneeling-pulse-male.jpg",4,500,500)</f>
        <v/>
      </c>
      <c r="B2534" s="30">
        <v>2533.0</v>
      </c>
      <c r="C2534" s="16" t="s">
        <v>3257</v>
      </c>
      <c r="D2534" s="16" t="s">
        <v>184</v>
      </c>
      <c r="E2534" s="16" t="s">
        <v>185</v>
      </c>
      <c r="F2534" s="16" t="s">
        <v>255</v>
      </c>
      <c r="G2534" s="16" t="s">
        <v>267</v>
      </c>
      <c r="H2534" s="16" t="s">
        <v>188</v>
      </c>
    </row>
    <row r="2535" ht="20.25" customHeight="1">
      <c r="A2535" s="32" t="str">
        <f>IMAGE("https://gymvisual.com/12897-catalog_default/kneeling-push-up-male.jpg",4,500,500)</f>
        <v/>
      </c>
      <c r="B2535" s="30">
        <v>2534.0</v>
      </c>
      <c r="C2535" s="16" t="s">
        <v>3258</v>
      </c>
      <c r="D2535" s="16" t="s">
        <v>184</v>
      </c>
      <c r="E2535" s="16" t="s">
        <v>234</v>
      </c>
      <c r="F2535" s="16" t="s">
        <v>255</v>
      </c>
      <c r="G2535" s="16" t="s">
        <v>235</v>
      </c>
      <c r="H2535" s="16" t="s">
        <v>243</v>
      </c>
    </row>
    <row r="2536" ht="20.25" customHeight="1">
      <c r="A2536" s="32" t="str">
        <f>IMAGE("https://gymvisual.com/14000-catalog_default/kneeling-rotational-push-up.jpg",4,500,500)</f>
        <v/>
      </c>
      <c r="B2536" s="30">
        <v>2535.0</v>
      </c>
      <c r="C2536" s="16" t="s">
        <v>3259</v>
      </c>
      <c r="D2536" s="16" t="s">
        <v>184</v>
      </c>
      <c r="E2536" s="16" t="s">
        <v>3260</v>
      </c>
      <c r="F2536" s="16" t="s">
        <v>255</v>
      </c>
      <c r="G2536" s="16" t="s">
        <v>1874</v>
      </c>
      <c r="H2536" s="16" t="s">
        <v>3261</v>
      </c>
    </row>
    <row r="2537" ht="20.25" customHeight="1">
      <c r="A2537" s="32" t="str">
        <f>IMAGE("https://gymvisual.com/17935-catalog_default/kneeling-scapular-push-up-male.jpg",4,500,500)</f>
        <v/>
      </c>
      <c r="B2537" s="30">
        <v>2536.0</v>
      </c>
      <c r="C2537" s="16" t="s">
        <v>3262</v>
      </c>
      <c r="D2537" s="16" t="s">
        <v>184</v>
      </c>
      <c r="E2537" s="16" t="s">
        <v>192</v>
      </c>
      <c r="F2537" s="16" t="s">
        <v>255</v>
      </c>
      <c r="G2537" s="16" t="s">
        <v>220</v>
      </c>
      <c r="H2537" s="16" t="s">
        <v>220</v>
      </c>
    </row>
    <row r="2538" ht="20.25" customHeight="1">
      <c r="A2538" s="32" t="str">
        <f>IMAGE("https://gymvisual.com/22157-catalog_default/kneeling-shoulder-tap.jpg",4,500,500)</f>
        <v/>
      </c>
      <c r="B2538" s="30">
        <v>2537.0</v>
      </c>
      <c r="C2538" s="16" t="s">
        <v>3263</v>
      </c>
      <c r="D2538" s="16" t="s">
        <v>184</v>
      </c>
      <c r="E2538" s="16" t="s">
        <v>234</v>
      </c>
      <c r="F2538" s="16" t="s">
        <v>255</v>
      </c>
      <c r="G2538" s="16" t="s">
        <v>235</v>
      </c>
      <c r="H2538" s="16" t="s">
        <v>2985</v>
      </c>
    </row>
    <row r="2539" ht="20.25" customHeight="1">
      <c r="A2539" s="32" t="str">
        <f>IMAGE("https://gymvisual.com/23641-catalog_default/kneeling-shoulder-tap-female.jpg",4,500,500)</f>
        <v/>
      </c>
      <c r="B2539" s="30">
        <v>2538.0</v>
      </c>
      <c r="C2539" s="16" t="s">
        <v>3264</v>
      </c>
      <c r="D2539" s="16" t="s">
        <v>184</v>
      </c>
      <c r="E2539" s="16" t="s">
        <v>254</v>
      </c>
      <c r="F2539" s="16" t="s">
        <v>255</v>
      </c>
      <c r="G2539" s="16" t="s">
        <v>235</v>
      </c>
      <c r="H2539" s="16" t="s">
        <v>3265</v>
      </c>
    </row>
    <row r="2540" ht="20.25" customHeight="1">
      <c r="A2540" s="32" t="str">
        <f>IMAGE("https://gymvisual.com/23637-catalog_default/kneeling-shoulder-tap-push-up-female.jpg",4,500,500)</f>
        <v/>
      </c>
      <c r="B2540" s="30">
        <v>2539.0</v>
      </c>
      <c r="C2540" s="16" t="s">
        <v>3266</v>
      </c>
      <c r="D2540" s="16" t="s">
        <v>184</v>
      </c>
      <c r="E2540" s="16" t="s">
        <v>321</v>
      </c>
      <c r="F2540" s="16" t="s">
        <v>255</v>
      </c>
      <c r="G2540" s="16" t="s">
        <v>235</v>
      </c>
      <c r="H2540" s="16" t="s">
        <v>3267</v>
      </c>
    </row>
    <row r="2541" ht="20.25" customHeight="1">
      <c r="A2541" s="32" t="str">
        <f>IMAGE("https://gymvisual.com/22795-catalog_default/kneeling-side-leg-to-kick-female.jpg",4,500,500)</f>
        <v/>
      </c>
      <c r="B2541" s="30">
        <v>2540.0</v>
      </c>
      <c r="C2541" s="16" t="s">
        <v>3268</v>
      </c>
      <c r="D2541" s="16" t="s">
        <v>184</v>
      </c>
      <c r="E2541" s="16" t="s">
        <v>185</v>
      </c>
      <c r="F2541" s="16" t="s">
        <v>255</v>
      </c>
      <c r="G2541" s="16" t="s">
        <v>3269</v>
      </c>
      <c r="H2541" s="16" t="s">
        <v>3270</v>
      </c>
    </row>
    <row r="2542" ht="20.25" customHeight="1">
      <c r="A2542" s="32" t="str">
        <f>IMAGE("https://gymvisual.com/23657-catalog_default/kneeling-side-leg-to-kick-male.jpg",4,500,500)</f>
        <v/>
      </c>
      <c r="B2542" s="30">
        <v>2541.0</v>
      </c>
      <c r="C2542" s="16" t="s">
        <v>3271</v>
      </c>
      <c r="D2542" s="16" t="s">
        <v>184</v>
      </c>
      <c r="E2542" s="16" t="s">
        <v>185</v>
      </c>
      <c r="F2542" s="16" t="s">
        <v>255</v>
      </c>
      <c r="G2542" s="16" t="s">
        <v>295</v>
      </c>
      <c r="H2542" s="16" t="s">
        <v>476</v>
      </c>
    </row>
    <row r="2543" ht="20.25" customHeight="1">
      <c r="A2543" s="32" t="str">
        <f>IMAGE("https://gymvisual.com/24685-catalog_default/kneeling-staggered-push-up-female.jpg",4,500,500)</f>
        <v/>
      </c>
      <c r="B2543" s="30">
        <v>2542.0</v>
      </c>
      <c r="C2543" s="16" t="s">
        <v>3272</v>
      </c>
      <c r="D2543" s="16" t="s">
        <v>184</v>
      </c>
      <c r="E2543" s="16" t="s">
        <v>234</v>
      </c>
      <c r="F2543" s="16" t="s">
        <v>255</v>
      </c>
      <c r="G2543" s="16" t="s">
        <v>220</v>
      </c>
      <c r="H2543" s="16" t="s">
        <v>220</v>
      </c>
    </row>
    <row r="2544" ht="20.25" customHeight="1">
      <c r="A2544" s="32" t="str">
        <f>IMAGE("https://gymvisual.com/22287-catalog_default/kneeling-straight-leg-kickback-version-2-female.jpg",4,500,500)</f>
        <v/>
      </c>
      <c r="B2544" s="30">
        <v>2543.0</v>
      </c>
      <c r="C2544" s="16" t="s">
        <v>3273</v>
      </c>
      <c r="D2544" s="16" t="s">
        <v>184</v>
      </c>
      <c r="E2544" s="16" t="s">
        <v>185</v>
      </c>
      <c r="F2544" s="16" t="s">
        <v>255</v>
      </c>
      <c r="G2544" s="16" t="s">
        <v>220</v>
      </c>
      <c r="H2544" s="16" t="s">
        <v>220</v>
      </c>
    </row>
    <row r="2545" ht="20.25" customHeight="1">
      <c r="A2545" s="32" t="str">
        <f>IMAGE("https://gymvisual.com/22440-catalog_default/kneeling-straight-leg-side-kick-female.jpg",4,500,500)</f>
        <v/>
      </c>
      <c r="B2545" s="30">
        <v>2544.0</v>
      </c>
      <c r="C2545" s="16" t="s">
        <v>3274</v>
      </c>
      <c r="D2545" s="16" t="s">
        <v>184</v>
      </c>
      <c r="E2545" s="16" t="s">
        <v>185</v>
      </c>
      <c r="F2545" s="16" t="s">
        <v>255</v>
      </c>
      <c r="G2545" s="16" t="s">
        <v>220</v>
      </c>
      <c r="H2545" s="16" t="s">
        <v>220</v>
      </c>
    </row>
    <row r="2546" ht="20.25" customHeight="1">
      <c r="A2546" s="32" t="str">
        <f>IMAGE("https://gymvisual.com/14141-catalog_default/kneeling-wide-hand-push-up.jpg",4,500,500)</f>
        <v/>
      </c>
      <c r="B2546" s="30">
        <v>2545.0</v>
      </c>
      <c r="C2546" s="16" t="s">
        <v>3275</v>
      </c>
      <c r="D2546" s="16" t="s">
        <v>184</v>
      </c>
      <c r="E2546" s="16" t="s">
        <v>234</v>
      </c>
      <c r="F2546" s="16" t="s">
        <v>255</v>
      </c>
      <c r="G2546" s="16" t="s">
        <v>347</v>
      </c>
      <c r="H2546" s="16" t="s">
        <v>382</v>
      </c>
    </row>
    <row r="2547" ht="20.25" customHeight="1">
      <c r="A2547" s="32" t="str">
        <f>IMAGE("https://gymvisual.com/18019-catalog_default/knuckle-push-up.jpg",4,500,500)</f>
        <v/>
      </c>
      <c r="B2547" s="30">
        <v>2546.0</v>
      </c>
      <c r="C2547" s="16" t="s">
        <v>3276</v>
      </c>
      <c r="D2547" s="16" t="s">
        <v>184</v>
      </c>
      <c r="E2547" s="16" t="s">
        <v>234</v>
      </c>
      <c r="F2547" s="16" t="s">
        <v>255</v>
      </c>
      <c r="G2547" s="16" t="s">
        <v>220</v>
      </c>
      <c r="H2547" s="16" t="s">
        <v>220</v>
      </c>
    </row>
    <row r="2548" ht="20.25" customHeight="1">
      <c r="A2548" s="32" t="str">
        <f>IMAGE("https://gymvisual.com/13513-catalog_default/korean-dips.jpg",4,500,500)</f>
        <v/>
      </c>
      <c r="B2548" s="30">
        <v>2547.0</v>
      </c>
      <c r="C2548" s="16" t="s">
        <v>3277</v>
      </c>
      <c r="D2548" s="16" t="s">
        <v>184</v>
      </c>
      <c r="E2548" s="16" t="s">
        <v>234</v>
      </c>
      <c r="F2548" s="16" t="s">
        <v>255</v>
      </c>
      <c r="G2548" s="16" t="s">
        <v>235</v>
      </c>
      <c r="H2548" s="16" t="s">
        <v>3278</v>
      </c>
    </row>
    <row r="2549" ht="20.25" customHeight="1">
      <c r="A2549" s="32" t="str">
        <f>IMAGE("https://gymvisual.com/13876-catalog_default/l-pull-up.jpg",4,500,500)</f>
        <v/>
      </c>
      <c r="B2549" s="30">
        <v>2548.0</v>
      </c>
      <c r="C2549" s="16" t="s">
        <v>3279</v>
      </c>
      <c r="D2549" s="16" t="s">
        <v>184</v>
      </c>
      <c r="E2549" s="16" t="s">
        <v>361</v>
      </c>
      <c r="F2549" s="16" t="s">
        <v>255</v>
      </c>
      <c r="G2549" s="16" t="s">
        <v>220</v>
      </c>
      <c r="H2549" s="16" t="s">
        <v>220</v>
      </c>
    </row>
    <row r="2550" ht="20.25" customHeight="1">
      <c r="A2550" s="32" t="str">
        <f>IMAGE("https://gymvisual.com/6243-catalog_default/l-sit.jpg",4,500,500)</f>
        <v/>
      </c>
      <c r="B2550" s="30">
        <v>2549.0</v>
      </c>
      <c r="C2550" s="16" t="s">
        <v>3280</v>
      </c>
      <c r="D2550" s="16" t="s">
        <v>184</v>
      </c>
      <c r="E2550" s="16" t="s">
        <v>254</v>
      </c>
      <c r="F2550" s="16" t="s">
        <v>255</v>
      </c>
      <c r="G2550" s="16" t="s">
        <v>3281</v>
      </c>
      <c r="H2550" s="16" t="s">
        <v>220</v>
      </c>
    </row>
    <row r="2551" ht="20.25" customHeight="1">
      <c r="A2551" s="32" t="str">
        <f>IMAGE("https://gymvisual.com/1691-catalog_default/3-4-sit-up.jpg",4,500,500)</f>
        <v/>
      </c>
      <c r="B2551" s="30">
        <v>2550.0</v>
      </c>
      <c r="C2551" s="16" t="s">
        <v>3282</v>
      </c>
      <c r="D2551" s="16" t="s">
        <v>184</v>
      </c>
      <c r="E2551" s="16" t="s">
        <v>254</v>
      </c>
      <c r="F2551" s="16" t="s">
        <v>186</v>
      </c>
      <c r="G2551" s="16" t="s">
        <v>257</v>
      </c>
      <c r="H2551" s="16" t="s">
        <v>256</v>
      </c>
    </row>
    <row r="2552" ht="20.25" customHeight="1">
      <c r="A2552" s="32" t="str">
        <f>IMAGE("https://gymvisual.com/14274-catalog_default/landmine-180-female.jpg",4,500,500)</f>
        <v/>
      </c>
      <c r="B2552" s="30">
        <v>2551.0</v>
      </c>
      <c r="C2552" s="16" t="s">
        <v>3283</v>
      </c>
      <c r="D2552" s="16" t="s">
        <v>184</v>
      </c>
      <c r="E2552" s="16" t="s">
        <v>254</v>
      </c>
      <c r="F2552" s="16" t="s">
        <v>346</v>
      </c>
      <c r="G2552" s="16" t="s">
        <v>257</v>
      </c>
      <c r="H2552" s="16" t="s">
        <v>256</v>
      </c>
    </row>
    <row r="2553" ht="20.25" customHeight="1">
      <c r="A2553" s="32" t="str">
        <f>IMAGE("https://gymvisual.com/17193-catalog_default/landmine-floor-one-arm-chest-fly.jpg",4,500,500)</f>
        <v/>
      </c>
      <c r="B2553" s="30">
        <v>2552.0</v>
      </c>
      <c r="C2553" s="16" t="s">
        <v>3284</v>
      </c>
      <c r="D2553" s="16" t="s">
        <v>184</v>
      </c>
      <c r="E2553" s="16" t="s">
        <v>234</v>
      </c>
      <c r="F2553" s="16" t="s">
        <v>346</v>
      </c>
      <c r="G2553" s="16" t="s">
        <v>235</v>
      </c>
      <c r="H2553" s="16" t="s">
        <v>236</v>
      </c>
    </row>
    <row r="2554" ht="20.25" customHeight="1">
      <c r="A2554" s="32" t="str">
        <f>IMAGE("https://gymvisual.com/17650-catalog_default/landmine-front-squat.jpg",4,500,500)</f>
        <v/>
      </c>
      <c r="B2554" s="30">
        <v>2553.0</v>
      </c>
      <c r="C2554" s="16" t="s">
        <v>3285</v>
      </c>
      <c r="D2554" s="16" t="s">
        <v>184</v>
      </c>
      <c r="E2554" s="16" t="s">
        <v>294</v>
      </c>
      <c r="F2554" s="16" t="s">
        <v>186</v>
      </c>
      <c r="G2554" s="16" t="s">
        <v>189</v>
      </c>
      <c r="H2554" s="16" t="s">
        <v>190</v>
      </c>
    </row>
    <row r="2555" ht="20.25" customHeight="1">
      <c r="A2555" s="32" t="str">
        <f>IMAGE("https://gymvisual.com/24826-catalog_default/landmine-hack-squat.jpg",4,500,500)</f>
        <v/>
      </c>
      <c r="B2555" s="30">
        <v>2554.0</v>
      </c>
      <c r="C2555" s="16" t="s">
        <v>3286</v>
      </c>
      <c r="D2555" s="16" t="s">
        <v>184</v>
      </c>
      <c r="E2555" s="16" t="s">
        <v>285</v>
      </c>
      <c r="F2555" s="16" t="s">
        <v>186</v>
      </c>
      <c r="G2555" s="16" t="s">
        <v>189</v>
      </c>
      <c r="H2555" s="16" t="s">
        <v>190</v>
      </c>
    </row>
    <row r="2556" ht="20.25" customHeight="1">
      <c r="A2556" s="32" t="str">
        <f>IMAGE("https://gymvisual.com/14062-catalog_default/landmine-kneeling-one-arm-shoulder-press.jpg",4,500,500)</f>
        <v/>
      </c>
      <c r="B2556" s="30">
        <v>2555.0</v>
      </c>
      <c r="C2556" s="16" t="s">
        <v>3287</v>
      </c>
      <c r="D2556" s="16" t="s">
        <v>184</v>
      </c>
      <c r="E2556" s="16" t="s">
        <v>228</v>
      </c>
      <c r="F2556" s="16" t="s">
        <v>346</v>
      </c>
      <c r="G2556" s="16" t="s">
        <v>229</v>
      </c>
      <c r="H2556" s="16" t="s">
        <v>626</v>
      </c>
    </row>
    <row r="2557" ht="20.25" customHeight="1">
      <c r="A2557" s="32" t="str">
        <f>IMAGE("https://gymvisual.com/24834-catalog_default/landmine-kneeling-one-arm-shoulder-press-version-2.jpg",4,500,500)</f>
        <v/>
      </c>
      <c r="B2557" s="30">
        <v>2556.0</v>
      </c>
      <c r="C2557" s="16" t="s">
        <v>3288</v>
      </c>
      <c r="D2557" s="16" t="s">
        <v>184</v>
      </c>
      <c r="E2557" s="16" t="s">
        <v>228</v>
      </c>
      <c r="F2557" s="16" t="s">
        <v>222</v>
      </c>
      <c r="G2557" s="16" t="s">
        <v>229</v>
      </c>
      <c r="H2557" s="16" t="s">
        <v>626</v>
      </c>
    </row>
    <row r="2558" ht="20.25" customHeight="1">
      <c r="A2558" s="32" t="str">
        <f>IMAGE("https://gymvisual.com/17189-catalog_default/landmine-kneeling-squeeze-press.jpg",4,500,500)</f>
        <v/>
      </c>
      <c r="B2558" s="30">
        <v>2557.0</v>
      </c>
      <c r="C2558" s="16" t="s">
        <v>3289</v>
      </c>
      <c r="D2558" s="16" t="s">
        <v>184</v>
      </c>
      <c r="E2558" s="16" t="s">
        <v>234</v>
      </c>
      <c r="F2558" s="16" t="s">
        <v>346</v>
      </c>
      <c r="G2558" s="16" t="s">
        <v>415</v>
      </c>
      <c r="H2558" s="16" t="s">
        <v>2329</v>
      </c>
    </row>
    <row r="2559" ht="20.25" customHeight="1">
      <c r="A2559" s="32" t="str">
        <f>IMAGE("https://gymvisual.com/20551-catalog_default/landmine-kneeling-thruster-press.jpg",4,500,500)</f>
        <v/>
      </c>
      <c r="B2559" s="30">
        <v>2558.0</v>
      </c>
      <c r="C2559" s="16" t="s">
        <v>3290</v>
      </c>
      <c r="D2559" s="16" t="s">
        <v>184</v>
      </c>
      <c r="E2559" s="16" t="s">
        <v>691</v>
      </c>
      <c r="F2559" s="16" t="s">
        <v>186</v>
      </c>
      <c r="G2559" s="16" t="s">
        <v>793</v>
      </c>
      <c r="H2559" s="16" t="s">
        <v>3291</v>
      </c>
    </row>
    <row r="2560" ht="20.25" customHeight="1">
      <c r="A2560" s="32" t="str">
        <f>IMAGE("https://gymvisual.com/12992-catalog_default/landmine-lateral-raise.jpg",4,500,500)</f>
        <v/>
      </c>
      <c r="B2560" s="30">
        <v>2559.0</v>
      </c>
      <c r="C2560" s="16" t="s">
        <v>3292</v>
      </c>
      <c r="D2560" s="16" t="s">
        <v>184</v>
      </c>
      <c r="E2560" s="16" t="s">
        <v>228</v>
      </c>
      <c r="F2560" s="16" t="s">
        <v>186</v>
      </c>
      <c r="G2560" s="16" t="s">
        <v>544</v>
      </c>
      <c r="H2560" s="16" t="s">
        <v>3293</v>
      </c>
    </row>
    <row r="2561" ht="20.25" customHeight="1">
      <c r="A2561" s="32" t="str">
        <f>IMAGE("https://gymvisual.com/22843-catalog_default/landmine-one-arm-bent-over-row-version-2.jpg",4,500,500)</f>
        <v/>
      </c>
      <c r="B2561" s="30">
        <v>2560.0</v>
      </c>
      <c r="C2561" s="16" t="s">
        <v>3294</v>
      </c>
      <c r="D2561" s="16" t="s">
        <v>184</v>
      </c>
      <c r="E2561" s="16" t="s">
        <v>192</v>
      </c>
      <c r="F2561" s="16" t="s">
        <v>186</v>
      </c>
      <c r="G2561" s="16" t="s">
        <v>570</v>
      </c>
      <c r="H2561" s="16" t="s">
        <v>447</v>
      </c>
    </row>
    <row r="2562" ht="20.25" customHeight="1">
      <c r="A2562" s="32" t="str">
        <f>IMAGE("https://gymvisual.com/17529-catalog_default/landmine-one-arm-bent-over-bench-row.jpg",4,500,500)</f>
        <v/>
      </c>
      <c r="B2562" s="30">
        <v>2561.0</v>
      </c>
      <c r="C2562" s="16" t="s">
        <v>3295</v>
      </c>
      <c r="D2562" s="16" t="s">
        <v>184</v>
      </c>
      <c r="E2562" s="16" t="s">
        <v>192</v>
      </c>
      <c r="F2562" s="16" t="s">
        <v>346</v>
      </c>
      <c r="G2562" s="16" t="s">
        <v>329</v>
      </c>
      <c r="H2562" s="16" t="s">
        <v>447</v>
      </c>
    </row>
    <row r="2563" ht="20.25" customHeight="1">
      <c r="A2563" s="32" t="str">
        <f>IMAGE("https://gymvisual.com/17527-catalog_default/landmine-one-arm-bent-over-row.jpg",4,500,500)</f>
        <v/>
      </c>
      <c r="B2563" s="30">
        <v>2562.0</v>
      </c>
      <c r="C2563" s="16" t="s">
        <v>3296</v>
      </c>
      <c r="D2563" s="16" t="s">
        <v>184</v>
      </c>
      <c r="E2563" s="16" t="s">
        <v>192</v>
      </c>
      <c r="F2563" s="16" t="s">
        <v>346</v>
      </c>
      <c r="G2563" s="16" t="s">
        <v>329</v>
      </c>
      <c r="H2563" s="16" t="s">
        <v>447</v>
      </c>
    </row>
    <row r="2564" ht="20.25" customHeight="1">
      <c r="A2564" s="32" t="str">
        <f>IMAGE("https://gymvisual.com/24687-catalog_default/landmine-one-leg-stiff-leg-deadlift.jpg",4,500,500)</f>
        <v/>
      </c>
      <c r="B2564" s="30">
        <v>2563.0</v>
      </c>
      <c r="C2564" s="16" t="s">
        <v>3297</v>
      </c>
      <c r="D2564" s="16" t="s">
        <v>184</v>
      </c>
      <c r="E2564" s="16" t="s">
        <v>185</v>
      </c>
      <c r="F2564" s="16" t="s">
        <v>255</v>
      </c>
      <c r="G2564" s="16" t="s">
        <v>220</v>
      </c>
      <c r="H2564" s="16" t="s">
        <v>220</v>
      </c>
    </row>
    <row r="2565" ht="20.25" customHeight="1">
      <c r="A2565" s="32" t="str">
        <f>IMAGE("https://gymvisual.com/24113-catalog_default/landmine-press.jpg",4,500,500)</f>
        <v/>
      </c>
      <c r="B2565" s="30">
        <v>2564.0</v>
      </c>
      <c r="C2565" s="16" t="s">
        <v>3298</v>
      </c>
      <c r="D2565" s="16" t="s">
        <v>184</v>
      </c>
      <c r="E2565" s="16" t="s">
        <v>228</v>
      </c>
      <c r="F2565" s="16" t="s">
        <v>255</v>
      </c>
      <c r="G2565" s="16" t="s">
        <v>220</v>
      </c>
      <c r="H2565" s="16" t="s">
        <v>220</v>
      </c>
    </row>
    <row r="2566" ht="20.25" customHeight="1">
      <c r="A2566" s="32" t="str">
        <f>IMAGE("https://gymvisual.com/17185-catalog_default/landmine-rear-lunge.jpg",4,500,500)</f>
        <v/>
      </c>
      <c r="B2566" s="30">
        <v>2565.0</v>
      </c>
      <c r="C2566" s="16" t="s">
        <v>3299</v>
      </c>
      <c r="D2566" s="16" t="s">
        <v>184</v>
      </c>
      <c r="E2566" s="16" t="s">
        <v>294</v>
      </c>
      <c r="F2566" s="16" t="s">
        <v>346</v>
      </c>
      <c r="G2566" s="16" t="s">
        <v>189</v>
      </c>
      <c r="H2566" s="16" t="s">
        <v>190</v>
      </c>
    </row>
    <row r="2567" ht="20.25" customHeight="1">
      <c r="A2567" s="32" t="str">
        <f>IMAGE("https://gymvisual.com/17531-catalog_default/landmine-rear-lunge-version-2.jpg",4,500,500)</f>
        <v/>
      </c>
      <c r="B2567" s="30">
        <v>2566.0</v>
      </c>
      <c r="C2567" s="16" t="s">
        <v>3300</v>
      </c>
      <c r="D2567" s="16" t="s">
        <v>184</v>
      </c>
      <c r="E2567" s="16" t="s">
        <v>294</v>
      </c>
      <c r="F2567" s="16" t="s">
        <v>346</v>
      </c>
      <c r="G2567" s="16" t="s">
        <v>189</v>
      </c>
      <c r="H2567" s="16" t="s">
        <v>190</v>
      </c>
    </row>
    <row r="2568" ht="20.25" customHeight="1">
      <c r="A2568" s="32" t="str">
        <f>IMAGE("https://gymvisual.com/18039-catalog_default/landmine-resistance-band-one-arm-shoulder-press.jpg",4,500,500)</f>
        <v/>
      </c>
      <c r="B2568" s="30">
        <v>2567.0</v>
      </c>
      <c r="C2568" s="16" t="s">
        <v>3301</v>
      </c>
      <c r="D2568" s="16" t="s">
        <v>184</v>
      </c>
      <c r="E2568" s="16" t="s">
        <v>228</v>
      </c>
      <c r="F2568" s="16" t="s">
        <v>523</v>
      </c>
      <c r="G2568" s="16" t="s">
        <v>220</v>
      </c>
      <c r="H2568" s="16" t="s">
        <v>220</v>
      </c>
    </row>
    <row r="2569" ht="20.25" customHeight="1">
      <c r="A2569" s="32" t="str">
        <f>IMAGE("https://gymvisual.com/17927-catalog_default/landmine-romanian-deadlift-male.jpg",4,500,500)</f>
        <v/>
      </c>
      <c r="B2569" s="30">
        <v>2568.0</v>
      </c>
      <c r="C2569" s="16" t="s">
        <v>3302</v>
      </c>
      <c r="D2569" s="16" t="s">
        <v>184</v>
      </c>
      <c r="E2569" s="16" t="s">
        <v>185</v>
      </c>
      <c r="F2569" s="16" t="s">
        <v>186</v>
      </c>
      <c r="G2569" s="16" t="s">
        <v>267</v>
      </c>
      <c r="H2569" s="16" t="s">
        <v>975</v>
      </c>
    </row>
    <row r="2570" ht="20.25" customHeight="1">
      <c r="A2570" s="32" t="str">
        <f>IMAGE("https://gymvisual.com/17652-catalog_default/landmine-romanian-deadlift-version-2.jpg",4,500,500)</f>
        <v/>
      </c>
      <c r="B2570" s="30">
        <v>2569.0</v>
      </c>
      <c r="C2570" s="16" t="s">
        <v>3303</v>
      </c>
      <c r="D2570" s="16" t="s">
        <v>184</v>
      </c>
      <c r="E2570" s="16" t="s">
        <v>185</v>
      </c>
      <c r="F2570" s="16" t="s">
        <v>186</v>
      </c>
      <c r="G2570" s="16" t="s">
        <v>267</v>
      </c>
      <c r="H2570" s="16" t="s">
        <v>3201</v>
      </c>
    </row>
    <row r="2571" ht="20.25" customHeight="1">
      <c r="A2571" s="32" t="str">
        <f>IMAGE("https://gymvisual.com/23897-catalog_default/landmine-single-arm-press.jpg",4,500,500)</f>
        <v/>
      </c>
      <c r="B2571" s="30">
        <v>2570.0</v>
      </c>
      <c r="C2571" s="16" t="s">
        <v>3304</v>
      </c>
      <c r="D2571" s="16" t="s">
        <v>184</v>
      </c>
      <c r="E2571" s="16" t="s">
        <v>228</v>
      </c>
      <c r="F2571" s="16" t="s">
        <v>255</v>
      </c>
      <c r="G2571" s="16" t="s">
        <v>347</v>
      </c>
      <c r="H2571" s="16" t="s">
        <v>382</v>
      </c>
    </row>
    <row r="2572" ht="20.25" customHeight="1">
      <c r="A2572" s="32" t="str">
        <f>IMAGE("https://gymvisual.com/17183-catalog_default/landmine-single-leg-landmine-rdl.jpg",4,500,500)</f>
        <v/>
      </c>
      <c r="B2572" s="30">
        <v>2571.0</v>
      </c>
      <c r="C2572" s="16" t="s">
        <v>3305</v>
      </c>
      <c r="D2572" s="16" t="s">
        <v>184</v>
      </c>
      <c r="E2572" s="16" t="s">
        <v>185</v>
      </c>
      <c r="F2572" s="16" t="s">
        <v>346</v>
      </c>
      <c r="G2572" s="16" t="s">
        <v>267</v>
      </c>
      <c r="H2572" s="16" t="s">
        <v>188</v>
      </c>
    </row>
    <row r="2573" ht="20.25" customHeight="1">
      <c r="A2573" s="32" t="str">
        <f>IMAGE("https://gymvisual.com/13195-catalog_default/landmine-squat-and-press.jpg",4,500,500)</f>
        <v/>
      </c>
      <c r="B2573" s="30">
        <v>2572.0</v>
      </c>
      <c r="C2573" s="16" t="s">
        <v>3306</v>
      </c>
      <c r="D2573" s="16" t="s">
        <v>184</v>
      </c>
      <c r="E2573" s="16" t="s">
        <v>1129</v>
      </c>
      <c r="F2573" s="16" t="s">
        <v>346</v>
      </c>
      <c r="G2573" s="16" t="s">
        <v>793</v>
      </c>
      <c r="H2573" s="16" t="s">
        <v>220</v>
      </c>
    </row>
    <row r="2574" ht="20.25" customHeight="1">
      <c r="A2574" s="32" t="str">
        <f>IMAGE("https://gymvisual.com/13295-catalog_default/landmine-squat-and-press-female.jpg",4,500,500)</f>
        <v/>
      </c>
      <c r="B2574" s="30">
        <v>2573.0</v>
      </c>
      <c r="C2574" s="16" t="s">
        <v>3307</v>
      </c>
      <c r="D2574" s="16" t="s">
        <v>184</v>
      </c>
      <c r="E2574" s="16" t="s">
        <v>691</v>
      </c>
      <c r="F2574" s="16" t="s">
        <v>346</v>
      </c>
      <c r="G2574" s="16" t="s">
        <v>220</v>
      </c>
      <c r="H2574" s="16" t="s">
        <v>220</v>
      </c>
    </row>
    <row r="2575" ht="20.25" customHeight="1">
      <c r="A2575" s="32" t="str">
        <f>IMAGE("https://gymvisual.com/17881-catalog_default/landmine-sumo-squat-male.jpg",4,500,500)</f>
        <v/>
      </c>
      <c r="B2575" s="30">
        <v>2574.0</v>
      </c>
      <c r="C2575" s="16" t="s">
        <v>3308</v>
      </c>
      <c r="D2575" s="16" t="s">
        <v>184</v>
      </c>
      <c r="E2575" s="16" t="s">
        <v>185</v>
      </c>
      <c r="F2575" s="16" t="s">
        <v>186</v>
      </c>
      <c r="G2575" s="16" t="s">
        <v>189</v>
      </c>
      <c r="H2575" s="16" t="s">
        <v>902</v>
      </c>
    </row>
    <row r="2576" ht="20.25" customHeight="1">
      <c r="A2576" s="32" t="str">
        <f>IMAGE("https://gymvisual.com/20065-catalog_default/lateral-raise-arms-wrong-right.jpg",4,500,500)</f>
        <v/>
      </c>
      <c r="B2576" s="30">
        <v>2575.0</v>
      </c>
      <c r="C2576" s="16" t="s">
        <v>3309</v>
      </c>
      <c r="D2576" s="16" t="s">
        <v>184</v>
      </c>
      <c r="E2576" s="16" t="s">
        <v>228</v>
      </c>
      <c r="F2576" s="16" t="s">
        <v>222</v>
      </c>
      <c r="G2576" s="16" t="s">
        <v>220</v>
      </c>
      <c r="H2576" s="16" t="s">
        <v>220</v>
      </c>
    </row>
    <row r="2577" ht="20.25" customHeight="1">
      <c r="A2577" s="32" t="str">
        <f>IMAGE("https://gymvisual.com/16520-catalog_default/lateral-raise-with-towel.jpg",4,500,500)</f>
        <v/>
      </c>
      <c r="B2577" s="30">
        <v>2576.0</v>
      </c>
      <c r="C2577" s="16" t="s">
        <v>3310</v>
      </c>
      <c r="D2577" s="16" t="s">
        <v>184</v>
      </c>
      <c r="E2577" s="16" t="s">
        <v>228</v>
      </c>
      <c r="F2577" s="16" t="s">
        <v>255</v>
      </c>
      <c r="G2577" s="16" t="s">
        <v>544</v>
      </c>
      <c r="H2577" s="16" t="s">
        <v>545</v>
      </c>
    </row>
    <row r="2578" ht="20.25" customHeight="1">
      <c r="A2578" s="32" t="str">
        <f>IMAGE("https://gymvisual.com/6407-catalog_default/lateral-side-plank.jpg",4,500,500)</f>
        <v/>
      </c>
      <c r="B2578" s="30">
        <v>2577.0</v>
      </c>
      <c r="C2578" s="16" t="s">
        <v>3311</v>
      </c>
      <c r="D2578" s="16" t="s">
        <v>184</v>
      </c>
      <c r="E2578" s="16" t="s">
        <v>185</v>
      </c>
      <c r="F2578" s="16" t="s">
        <v>255</v>
      </c>
      <c r="G2578" s="16" t="s">
        <v>508</v>
      </c>
      <c r="H2578" s="16" t="s">
        <v>2802</v>
      </c>
    </row>
    <row r="2579" ht="20.25" customHeight="1">
      <c r="A2579" s="32" t="str">
        <f>IMAGE("https://gymvisual.com/6405-catalog_default/lateral-side-plank-bent-leg.jpg",4,500,500)</f>
        <v/>
      </c>
      <c r="B2579" s="30">
        <v>2578.0</v>
      </c>
      <c r="C2579" s="16" t="s">
        <v>3312</v>
      </c>
      <c r="D2579" s="16" t="s">
        <v>184</v>
      </c>
      <c r="E2579" s="16" t="s">
        <v>185</v>
      </c>
      <c r="F2579" s="16" t="s">
        <v>255</v>
      </c>
      <c r="G2579" s="16" t="s">
        <v>508</v>
      </c>
      <c r="H2579" s="16" t="s">
        <v>424</v>
      </c>
    </row>
    <row r="2580" ht="20.25" customHeight="1">
      <c r="A2580" s="32" t="str">
        <f>IMAGE("https://gymvisual.com/1702-catalog_default/3-4-sit-up.jpg",4,500,500)</f>
        <v/>
      </c>
      <c r="B2580" s="30">
        <v>2579.0</v>
      </c>
      <c r="C2580" s="16" t="s">
        <v>3313</v>
      </c>
      <c r="D2580" s="16" t="s">
        <v>184</v>
      </c>
      <c r="E2580" s="16" t="s">
        <v>185</v>
      </c>
      <c r="F2580" s="16" t="s">
        <v>255</v>
      </c>
      <c r="G2580" s="16" t="s">
        <v>189</v>
      </c>
      <c r="H2580" s="16" t="s">
        <v>2046</v>
      </c>
    </row>
    <row r="2581" ht="20.25" customHeight="1">
      <c r="A2581" s="32" t="str">
        <f>IMAGE("https://gymvisual.com/23921-catalog_default/lateral-step-up.jpg",4,500,500)</f>
        <v/>
      </c>
      <c r="B2581" s="30">
        <v>2580.0</v>
      </c>
      <c r="C2581" s="16" t="s">
        <v>3313</v>
      </c>
      <c r="D2581" s="16" t="s">
        <v>184</v>
      </c>
      <c r="E2581" s="16" t="s">
        <v>285</v>
      </c>
      <c r="F2581" s="16" t="s">
        <v>255</v>
      </c>
      <c r="G2581" s="16" t="s">
        <v>189</v>
      </c>
      <c r="H2581" s="16" t="s">
        <v>190</v>
      </c>
    </row>
    <row r="2582" ht="20.25" customHeight="1">
      <c r="A2582" s="32" t="str">
        <f>IMAGE("https://gymvisual.com/23923-catalog_default/lateral-step-up-with-knee-drive.jpg",4,500,500)</f>
        <v/>
      </c>
      <c r="B2582" s="30">
        <v>2581.0</v>
      </c>
      <c r="C2582" s="16" t="s">
        <v>3314</v>
      </c>
      <c r="D2582" s="16" t="s">
        <v>184</v>
      </c>
      <c r="E2582" s="16" t="s">
        <v>285</v>
      </c>
      <c r="F2582" s="16" t="s">
        <v>255</v>
      </c>
      <c r="G2582" s="16" t="s">
        <v>2952</v>
      </c>
      <c r="H2582" s="16" t="s">
        <v>3315</v>
      </c>
    </row>
    <row r="2583" ht="20.25" customHeight="1">
      <c r="A2583" s="32" t="str">
        <f>IMAGE("https://gymvisual.com/22478-catalog_default/leg-assisted-ring-pull-up.jpg",4,500,500)</f>
        <v/>
      </c>
      <c r="B2583" s="30">
        <v>2582.0</v>
      </c>
      <c r="C2583" s="16" t="s">
        <v>3316</v>
      </c>
      <c r="D2583" s="16" t="s">
        <v>184</v>
      </c>
      <c r="E2583" s="16" t="s">
        <v>192</v>
      </c>
      <c r="F2583" s="16" t="s">
        <v>255</v>
      </c>
      <c r="G2583" s="16" t="s">
        <v>220</v>
      </c>
      <c r="H2583" s="16" t="s">
        <v>220</v>
      </c>
    </row>
    <row r="2584" ht="20.25" customHeight="1">
      <c r="A2584" s="32" t="str">
        <f>IMAGE("https://gymvisual.com/1708-catalog_default/3-4-sit-up.jpg",4,500,500)</f>
        <v/>
      </c>
      <c r="B2584" s="30">
        <v>2583.0</v>
      </c>
      <c r="C2584" s="16" t="s">
        <v>3317</v>
      </c>
      <c r="D2584" s="16" t="s">
        <v>184</v>
      </c>
      <c r="E2584" s="16" t="s">
        <v>254</v>
      </c>
      <c r="F2584" s="16" t="s">
        <v>255</v>
      </c>
      <c r="G2584" s="16" t="s">
        <v>257</v>
      </c>
      <c r="H2584" s="16" t="s">
        <v>3318</v>
      </c>
    </row>
    <row r="2585" ht="20.25" customHeight="1">
      <c r="A2585" s="32" t="str">
        <f>IMAGE("https://gymvisual.com/1711-catalog_default/3-4-sit-up.jpg",4,500,500)</f>
        <v/>
      </c>
      <c r="B2585" s="30">
        <v>2584.0</v>
      </c>
      <c r="C2585" s="16" t="s">
        <v>3319</v>
      </c>
      <c r="D2585" s="16" t="s">
        <v>184</v>
      </c>
      <c r="E2585" s="16" t="s">
        <v>285</v>
      </c>
      <c r="F2585" s="16" t="s">
        <v>399</v>
      </c>
      <c r="G2585" s="16" t="s">
        <v>188</v>
      </c>
      <c r="H2585" s="16" t="s">
        <v>665</v>
      </c>
    </row>
    <row r="2586" ht="20.25" customHeight="1">
      <c r="A2586" s="32" t="str">
        <f>IMAGE("https://gymvisual.com/14276-catalog_default/leg-extension-crunch-with-stability-ball-male.jpg",4,500,500)</f>
        <v/>
      </c>
      <c r="B2586" s="30">
        <v>2585.0</v>
      </c>
      <c r="C2586" s="16" t="s">
        <v>3320</v>
      </c>
      <c r="D2586" s="16" t="s">
        <v>184</v>
      </c>
      <c r="E2586" s="16" t="s">
        <v>3321</v>
      </c>
      <c r="F2586" s="16" t="s">
        <v>399</v>
      </c>
      <c r="G2586" s="16" t="s">
        <v>3322</v>
      </c>
      <c r="H2586" s="16" t="s">
        <v>3323</v>
      </c>
    </row>
    <row r="2587" ht="20.25" customHeight="1">
      <c r="A2587" s="32" t="str">
        <f>IMAGE("https://gymvisual.com/19441-catalog_default/leg-extension-plank.jpg",4,500,500)</f>
        <v/>
      </c>
      <c r="B2587" s="30">
        <v>2586.0</v>
      </c>
      <c r="C2587" s="16" t="s">
        <v>3324</v>
      </c>
      <c r="D2587" s="16" t="s">
        <v>184</v>
      </c>
      <c r="E2587" s="16" t="s">
        <v>254</v>
      </c>
      <c r="F2587" s="16" t="s">
        <v>255</v>
      </c>
      <c r="G2587" s="16" t="s">
        <v>220</v>
      </c>
      <c r="H2587" s="16" t="s">
        <v>220</v>
      </c>
    </row>
    <row r="2588" ht="20.25" customHeight="1">
      <c r="A2588" s="32" t="str">
        <f>IMAGE("https://gymvisual.com/22787-catalog_default/leg-over-knee-glute-bridge-female.jpg",4,500,500)</f>
        <v/>
      </c>
      <c r="B2588" s="30">
        <v>2587.0</v>
      </c>
      <c r="C2588" s="16" t="s">
        <v>3325</v>
      </c>
      <c r="D2588" s="16" t="s">
        <v>184</v>
      </c>
      <c r="E2588" s="16" t="s">
        <v>185</v>
      </c>
      <c r="F2588" s="16" t="s">
        <v>255</v>
      </c>
      <c r="G2588" s="16" t="s">
        <v>187</v>
      </c>
      <c r="H2588" s="16" t="s">
        <v>854</v>
      </c>
    </row>
    <row r="2589" ht="20.25" customHeight="1">
      <c r="A2589" s="32" t="str">
        <f>IMAGE("https://gymvisual.com/23655-catalog_default/leg-over-knee-glute-bridge-male.jpg",4,500,500)</f>
        <v/>
      </c>
      <c r="B2589" s="30">
        <v>2588.0</v>
      </c>
      <c r="C2589" s="16" t="s">
        <v>3326</v>
      </c>
      <c r="D2589" s="16" t="s">
        <v>184</v>
      </c>
      <c r="E2589" s="16" t="s">
        <v>185</v>
      </c>
      <c r="F2589" s="16" t="s">
        <v>255</v>
      </c>
      <c r="G2589" s="16" t="s">
        <v>187</v>
      </c>
      <c r="H2589" s="16" t="s">
        <v>854</v>
      </c>
    </row>
    <row r="2590" ht="20.25" customHeight="1">
      <c r="A2590" s="32" t="str">
        <f>IMAGE("https://gymvisual.com/1714-catalog_default/3-4-sit-up.jpg",4,500,500)</f>
        <v/>
      </c>
      <c r="B2590" s="30">
        <v>2589.0</v>
      </c>
      <c r="C2590" s="16" t="s">
        <v>3327</v>
      </c>
      <c r="D2590" s="16" t="s">
        <v>184</v>
      </c>
      <c r="E2590" s="16" t="s">
        <v>254</v>
      </c>
      <c r="F2590" s="16" t="s">
        <v>255</v>
      </c>
      <c r="G2590" s="16" t="s">
        <v>256</v>
      </c>
      <c r="H2590" s="16" t="s">
        <v>1707</v>
      </c>
    </row>
    <row r="2591" ht="20.25" customHeight="1">
      <c r="A2591" s="32" t="str">
        <f>IMAGE("https://gymvisual.com/17849-catalog_default/leg-raise-dragon-flag.jpg",4,500,500)</f>
        <v/>
      </c>
      <c r="B2591" s="30">
        <v>2590.0</v>
      </c>
      <c r="C2591" s="16" t="s">
        <v>3328</v>
      </c>
      <c r="D2591" s="16" t="s">
        <v>184</v>
      </c>
      <c r="E2591" s="16" t="s">
        <v>254</v>
      </c>
      <c r="F2591" s="16" t="s">
        <v>255</v>
      </c>
      <c r="G2591" s="16" t="s">
        <v>220</v>
      </c>
      <c r="H2591" s="16" t="s">
        <v>220</v>
      </c>
    </row>
    <row r="2592" ht="20.25" customHeight="1">
      <c r="A2592" s="32" t="str">
        <f>IMAGE("https://gymvisual.com/7689-catalog_default/leg-raise-hip-lift.jpg",4,500,500)</f>
        <v/>
      </c>
      <c r="B2592" s="30">
        <v>2591.0</v>
      </c>
      <c r="C2592" s="16" t="s">
        <v>3329</v>
      </c>
      <c r="D2592" s="16" t="s">
        <v>184</v>
      </c>
      <c r="E2592" s="16" t="s">
        <v>254</v>
      </c>
      <c r="F2592" s="16" t="s">
        <v>255</v>
      </c>
      <c r="G2592" s="16" t="s">
        <v>305</v>
      </c>
      <c r="H2592" s="16" t="s">
        <v>311</v>
      </c>
    </row>
    <row r="2593" ht="20.25" customHeight="1">
      <c r="A2593" s="32" t="str">
        <f>IMAGE("https://gymvisual.com/7698-catalog_default/leg-raise-hip-lift-with-head-up.jpg",4,500,500)</f>
        <v/>
      </c>
      <c r="B2593" s="30">
        <v>2592.0</v>
      </c>
      <c r="C2593" s="16" t="s">
        <v>3330</v>
      </c>
      <c r="D2593" s="16" t="s">
        <v>184</v>
      </c>
      <c r="E2593" s="16" t="s">
        <v>254</v>
      </c>
      <c r="F2593" s="16" t="s">
        <v>255</v>
      </c>
      <c r="G2593" s="16" t="s">
        <v>305</v>
      </c>
      <c r="H2593" s="16" t="s">
        <v>600</v>
      </c>
    </row>
    <row r="2594" ht="20.25" customHeight="1">
      <c r="A2594" s="32" t="str">
        <f>IMAGE("https://gymvisual.com/22839-catalog_default/leg-raise-oblique-crunch.jpg",4,500,500)</f>
        <v/>
      </c>
      <c r="B2594" s="30">
        <v>2593.0</v>
      </c>
      <c r="C2594" s="16" t="s">
        <v>3331</v>
      </c>
      <c r="D2594" s="16" t="s">
        <v>184</v>
      </c>
      <c r="E2594" s="16" t="s">
        <v>254</v>
      </c>
      <c r="F2594" s="16" t="s">
        <v>255</v>
      </c>
      <c r="G2594" s="16" t="s">
        <v>3332</v>
      </c>
      <c r="H2594" s="16" t="s">
        <v>3333</v>
      </c>
    </row>
    <row r="2595" ht="20.25" customHeight="1">
      <c r="A2595" s="32" t="str">
        <f>IMAGE("https://gymvisual.com/7695-catalog_default/leg-raise-slightly-bent-knee.jpg",4,500,500)</f>
        <v/>
      </c>
      <c r="B2595" s="30">
        <v>2594.0</v>
      </c>
      <c r="C2595" s="16" t="s">
        <v>3334</v>
      </c>
      <c r="D2595" s="16" t="s">
        <v>184</v>
      </c>
      <c r="E2595" s="16" t="s">
        <v>254</v>
      </c>
      <c r="F2595" s="16" t="s">
        <v>255</v>
      </c>
      <c r="G2595" s="16" t="s">
        <v>220</v>
      </c>
      <c r="H2595" s="16" t="s">
        <v>220</v>
      </c>
    </row>
    <row r="2596" ht="20.25" customHeight="1">
      <c r="A2596" s="32" t="str">
        <f>IMAGE("https://gymvisual.com/24772-catalog_default/lever-ab-coaster-crunch-female.jpg",4,500,500)</f>
        <v/>
      </c>
      <c r="B2596" s="30">
        <v>2595.0</v>
      </c>
      <c r="C2596" s="16" t="s">
        <v>3335</v>
      </c>
      <c r="D2596" s="16" t="s">
        <v>184</v>
      </c>
      <c r="E2596" s="16" t="s">
        <v>254</v>
      </c>
      <c r="F2596" s="16" t="s">
        <v>346</v>
      </c>
      <c r="G2596" s="16" t="s">
        <v>220</v>
      </c>
      <c r="H2596" s="16" t="s">
        <v>220</v>
      </c>
    </row>
    <row r="2597" ht="20.25" customHeight="1">
      <c r="A2597" s="32" t="str">
        <f>IMAGE("https://gymvisual.com/11807-catalog_default/lever-abduction-squat-female.jpg",4,500,500)</f>
        <v/>
      </c>
      <c r="B2597" s="30">
        <v>2596.0</v>
      </c>
      <c r="C2597" s="16" t="s">
        <v>3336</v>
      </c>
      <c r="D2597" s="16" t="s">
        <v>184</v>
      </c>
      <c r="E2597" s="16" t="s">
        <v>185</v>
      </c>
      <c r="F2597" s="16" t="s">
        <v>346</v>
      </c>
      <c r="G2597" s="16" t="s">
        <v>220</v>
      </c>
      <c r="H2597" s="16" t="s">
        <v>220</v>
      </c>
    </row>
    <row r="2598" ht="20.25" customHeight="1">
      <c r="A2598" s="32" t="str">
        <f>IMAGE("https://gymvisual.com/11810-catalog_default/lever-adduction-thrust-female.jpg",4,500,500)</f>
        <v/>
      </c>
      <c r="B2598" s="30">
        <v>2597.0</v>
      </c>
      <c r="C2598" s="16" t="s">
        <v>3337</v>
      </c>
      <c r="D2598" s="16" t="s">
        <v>184</v>
      </c>
      <c r="E2598" s="16" t="s">
        <v>185</v>
      </c>
      <c r="F2598" s="16" t="s">
        <v>346</v>
      </c>
      <c r="G2598" s="16" t="s">
        <v>220</v>
      </c>
      <c r="H2598" s="16" t="s">
        <v>220</v>
      </c>
    </row>
    <row r="2599" ht="20.25" customHeight="1">
      <c r="A2599" s="32" t="str">
        <f>IMAGE("https://gymvisual.com/2930-catalog_default/lever-alternate-biceps-curl.jpg",4,500,500)</f>
        <v/>
      </c>
      <c r="B2599" s="30">
        <v>2598.0</v>
      </c>
      <c r="C2599" s="16" t="s">
        <v>3338</v>
      </c>
      <c r="D2599" s="16" t="s">
        <v>184</v>
      </c>
      <c r="E2599" s="16" t="s">
        <v>219</v>
      </c>
      <c r="F2599" s="16" t="s">
        <v>346</v>
      </c>
      <c r="G2599" s="16" t="s">
        <v>508</v>
      </c>
      <c r="H2599" s="16" t="s">
        <v>220</v>
      </c>
    </row>
    <row r="2600" ht="20.25" customHeight="1">
      <c r="A2600" s="32" t="str">
        <f>IMAGE("https://gymvisual.com/7726-catalog_default/lever-alternate-leg-extension-plate-loaded.jpg",4,500,500)</f>
        <v/>
      </c>
      <c r="B2600" s="30">
        <v>2599.0</v>
      </c>
      <c r="C2600" s="16" t="s">
        <v>3339</v>
      </c>
      <c r="D2600" s="16" t="s">
        <v>184</v>
      </c>
      <c r="E2600" s="16" t="s">
        <v>285</v>
      </c>
      <c r="F2600" s="16" t="s">
        <v>346</v>
      </c>
      <c r="G2600" s="16" t="s">
        <v>552</v>
      </c>
      <c r="H2600" s="16" t="s">
        <v>220</v>
      </c>
    </row>
    <row r="2601" ht="20.25" customHeight="1">
      <c r="A2601" s="32" t="str">
        <f>IMAGE("https://gymvisual.com/9720-catalog_default/lever-alternate-leg-press-plate-loaded.jpg",4,500,500)</f>
        <v/>
      </c>
      <c r="B2601" s="30">
        <v>2600.0</v>
      </c>
      <c r="C2601" s="16" t="s">
        <v>3340</v>
      </c>
      <c r="D2601" s="16" t="s">
        <v>184</v>
      </c>
      <c r="E2601" s="16" t="s">
        <v>294</v>
      </c>
      <c r="F2601" s="16" t="s">
        <v>346</v>
      </c>
      <c r="G2601" s="16" t="s">
        <v>220</v>
      </c>
      <c r="H2601" s="16" t="s">
        <v>220</v>
      </c>
    </row>
    <row r="2602" ht="20.25" customHeight="1">
      <c r="A2602" s="32" t="str">
        <f>IMAGE("https://gymvisual.com/13461-catalog_default/lever-alternating-narrow-grip-seated-row-plate-loaded-female.jpg",4,500,500)</f>
        <v/>
      </c>
      <c r="B2602" s="30">
        <v>2601.0</v>
      </c>
      <c r="C2602" s="16" t="s">
        <v>3341</v>
      </c>
      <c r="D2602" s="16" t="s">
        <v>184</v>
      </c>
      <c r="E2602" s="16" t="s">
        <v>192</v>
      </c>
      <c r="F2602" s="16" t="s">
        <v>346</v>
      </c>
      <c r="G2602" s="16" t="s">
        <v>220</v>
      </c>
      <c r="H2602" s="16" t="s">
        <v>220</v>
      </c>
    </row>
    <row r="2603" ht="20.25" customHeight="1">
      <c r="A2603" s="32" t="str">
        <f>IMAGE("https://gymvisual.com/16056-catalog_default/3-4-sit-up.jpg",4,500,500)</f>
        <v/>
      </c>
      <c r="B2603" s="30">
        <v>2602.0</v>
      </c>
      <c r="C2603" s="16" t="s">
        <v>3342</v>
      </c>
      <c r="D2603" s="16" t="s">
        <v>184</v>
      </c>
      <c r="E2603" s="16" t="s">
        <v>192</v>
      </c>
      <c r="F2603" s="16" t="s">
        <v>346</v>
      </c>
      <c r="G2603" s="16" t="s">
        <v>300</v>
      </c>
      <c r="H2603" s="16" t="s">
        <v>3343</v>
      </c>
    </row>
    <row r="2604" ht="20.25" customHeight="1">
      <c r="A2604" s="32" t="str">
        <f>IMAGE("https://gymvisual.com/11816-catalog_default/lever-assisted-leg-press-female.jpg",4,500,500)</f>
        <v/>
      </c>
      <c r="B2604" s="30">
        <v>2603.0</v>
      </c>
      <c r="C2604" s="16" t="s">
        <v>3344</v>
      </c>
      <c r="D2604" s="16" t="s">
        <v>184</v>
      </c>
      <c r="E2604" s="16" t="s">
        <v>185</v>
      </c>
      <c r="F2604" s="16" t="s">
        <v>346</v>
      </c>
      <c r="G2604" s="16" t="s">
        <v>220</v>
      </c>
      <c r="H2604" s="16" t="s">
        <v>220</v>
      </c>
    </row>
    <row r="2605" ht="20.25" customHeight="1">
      <c r="A2605" s="32" t="str">
        <f>IMAGE("https://gymvisual.com/1723-catalog_default/3-4-sit-up.jpg",4,500,500)</f>
        <v/>
      </c>
      <c r="B2605" s="30">
        <v>2604.0</v>
      </c>
      <c r="C2605" s="16" t="s">
        <v>3345</v>
      </c>
      <c r="D2605" s="16" t="s">
        <v>184</v>
      </c>
      <c r="E2605" s="16" t="s">
        <v>254</v>
      </c>
      <c r="F2605" s="16" t="s">
        <v>346</v>
      </c>
      <c r="G2605" s="16" t="s">
        <v>275</v>
      </c>
      <c r="H2605" s="16" t="s">
        <v>220</v>
      </c>
    </row>
    <row r="2606" ht="20.25" customHeight="1">
      <c r="A2606" s="32" t="str">
        <f>IMAGE("https://gymvisual.com/14278-catalog_default/lever-back-extension-female.jpg",4,500,500)</f>
        <v/>
      </c>
      <c r="B2606" s="30">
        <v>2605.0</v>
      </c>
      <c r="C2606" s="16" t="s">
        <v>3346</v>
      </c>
      <c r="D2606" s="16" t="s">
        <v>184</v>
      </c>
      <c r="E2606" s="16" t="s">
        <v>185</v>
      </c>
      <c r="F2606" s="16" t="s">
        <v>346</v>
      </c>
      <c r="G2606" s="16" t="s">
        <v>275</v>
      </c>
      <c r="H2606" s="16" t="s">
        <v>220</v>
      </c>
    </row>
    <row r="2607" ht="20.25" customHeight="1">
      <c r="A2607" s="32" t="str">
        <f>IMAGE("https://gymvisual.com/9685-catalog_default/lever-back-extension-version-2.jpg",4,500,500)</f>
        <v/>
      </c>
      <c r="B2607" s="30">
        <v>2606.0</v>
      </c>
      <c r="C2607" s="16" t="s">
        <v>3347</v>
      </c>
      <c r="D2607" s="16" t="s">
        <v>184</v>
      </c>
      <c r="E2607" s="16" t="s">
        <v>3183</v>
      </c>
      <c r="F2607" s="16" t="s">
        <v>346</v>
      </c>
      <c r="G2607" s="16" t="s">
        <v>220</v>
      </c>
      <c r="H2607" s="16" t="s">
        <v>220</v>
      </c>
    </row>
    <row r="2608" ht="20.25" customHeight="1">
      <c r="A2608" s="32" t="str">
        <f>IMAGE("https://gymvisual.com/18059-catalog_default/lever-banded-chest-press.jpg",4,500,500)</f>
        <v/>
      </c>
      <c r="B2608" s="30">
        <v>2607.0</v>
      </c>
      <c r="C2608" s="16" t="s">
        <v>3348</v>
      </c>
      <c r="D2608" s="16" t="s">
        <v>184</v>
      </c>
      <c r="E2608" s="16" t="s">
        <v>234</v>
      </c>
      <c r="F2608" s="16" t="s">
        <v>346</v>
      </c>
      <c r="G2608" s="16" t="s">
        <v>220</v>
      </c>
      <c r="H2608" s="16" t="s">
        <v>220</v>
      </c>
    </row>
    <row r="2609" ht="20.25" customHeight="1">
      <c r="A2609" s="32" t="str">
        <f>IMAGE("https://gymvisual.com/12230-catalog_default/lever-belt-squat.jpg",4,500,500)</f>
        <v/>
      </c>
      <c r="B2609" s="30">
        <v>2608.0</v>
      </c>
      <c r="C2609" s="16" t="s">
        <v>3349</v>
      </c>
      <c r="D2609" s="16" t="s">
        <v>184</v>
      </c>
      <c r="E2609" s="16" t="s">
        <v>285</v>
      </c>
      <c r="F2609" s="16" t="s">
        <v>346</v>
      </c>
      <c r="G2609" s="16" t="s">
        <v>220</v>
      </c>
      <c r="H2609" s="16" t="s">
        <v>220</v>
      </c>
    </row>
    <row r="2610" ht="20.25" customHeight="1">
      <c r="A2610" s="32" t="str">
        <f>IMAGE("https://gymvisual.com/1726-catalog_default/3-4-sit-up.jpg",4,500,500)</f>
        <v/>
      </c>
      <c r="B2610" s="30">
        <v>2609.0</v>
      </c>
      <c r="C2610" s="16" t="s">
        <v>3350</v>
      </c>
      <c r="D2610" s="16" t="s">
        <v>184</v>
      </c>
      <c r="E2610" s="16" t="s">
        <v>192</v>
      </c>
      <c r="F2610" s="16" t="s">
        <v>186</v>
      </c>
      <c r="G2610" s="16" t="s">
        <v>329</v>
      </c>
      <c r="H2610" s="16" t="s">
        <v>457</v>
      </c>
    </row>
    <row r="2611" ht="20.25" customHeight="1">
      <c r="A2611" s="32" t="str">
        <f>IMAGE("https://gymvisual.com/13463-catalog_default/lever-bent-over-row-plate-loaded-female.jpg",4,500,500)</f>
        <v/>
      </c>
      <c r="B2611" s="30">
        <v>2610.0</v>
      </c>
      <c r="C2611" s="16" t="s">
        <v>3351</v>
      </c>
      <c r="D2611" s="16" t="s">
        <v>184</v>
      </c>
      <c r="E2611" s="16" t="s">
        <v>192</v>
      </c>
      <c r="F2611" s="16" t="s">
        <v>346</v>
      </c>
      <c r="G2611" s="16" t="s">
        <v>220</v>
      </c>
      <c r="H2611" s="16" t="s">
        <v>220</v>
      </c>
    </row>
    <row r="2612" ht="20.25" customHeight="1">
      <c r="A2612" s="32" t="str">
        <f>IMAGE("https://gymvisual.com/22446-catalog_default/lever-bent-over-wide-row-plate-loaded.jpg",4,500,500)</f>
        <v/>
      </c>
      <c r="B2612" s="30">
        <v>2611.0</v>
      </c>
      <c r="C2612" s="16" t="s">
        <v>3352</v>
      </c>
      <c r="D2612" s="16" t="s">
        <v>184</v>
      </c>
      <c r="E2612" s="16" t="s">
        <v>192</v>
      </c>
      <c r="F2612" s="16" t="s">
        <v>346</v>
      </c>
      <c r="G2612" s="16" t="s">
        <v>220</v>
      </c>
      <c r="H2612" s="16" t="s">
        <v>220</v>
      </c>
    </row>
    <row r="2613" ht="20.25" customHeight="1">
      <c r="A2613" s="32" t="str">
        <f>IMAGE("https://gymvisual.com/12874-catalog_default/lever-bent-over-row-with-v-bar-plate-loaded.jpg",4,500,500)</f>
        <v/>
      </c>
      <c r="B2613" s="30">
        <v>2612.0</v>
      </c>
      <c r="C2613" s="16" t="s">
        <v>3353</v>
      </c>
      <c r="D2613" s="16" t="s">
        <v>184</v>
      </c>
      <c r="E2613" s="16" t="s">
        <v>192</v>
      </c>
      <c r="F2613" s="16" t="s">
        <v>346</v>
      </c>
      <c r="G2613" s="16" t="s">
        <v>329</v>
      </c>
      <c r="H2613" s="16" t="s">
        <v>447</v>
      </c>
    </row>
    <row r="2614" ht="20.25" customHeight="1">
      <c r="A2614" s="32" t="str">
        <f>IMAGE("https://gymvisual.com/1729-catalog_default/3-4-sit-up.jpg",4,500,500)</f>
        <v/>
      </c>
      <c r="B2614" s="30">
        <v>2613.0</v>
      </c>
      <c r="C2614" s="16" t="s">
        <v>3354</v>
      </c>
      <c r="D2614" s="16" t="s">
        <v>184</v>
      </c>
      <c r="E2614" s="16" t="s">
        <v>219</v>
      </c>
      <c r="F2614" s="16" t="s">
        <v>346</v>
      </c>
      <c r="G2614" s="16" t="s">
        <v>232</v>
      </c>
      <c r="H2614" s="16" t="s">
        <v>241</v>
      </c>
    </row>
    <row r="2615" ht="20.25" customHeight="1">
      <c r="A2615" s="32" t="str">
        <f>IMAGE("https://gymvisual.com/13465-catalog_default/lever-bicep-curl-female.jpg",4,500,500)</f>
        <v/>
      </c>
      <c r="B2615" s="30">
        <v>2614.0</v>
      </c>
      <c r="C2615" s="16" t="s">
        <v>3355</v>
      </c>
      <c r="D2615" s="16" t="s">
        <v>184</v>
      </c>
      <c r="E2615" s="16" t="s">
        <v>219</v>
      </c>
      <c r="F2615" s="16" t="s">
        <v>346</v>
      </c>
      <c r="G2615" s="16" t="s">
        <v>220</v>
      </c>
      <c r="H2615" s="16" t="s">
        <v>220</v>
      </c>
    </row>
    <row r="2616" ht="20.25" customHeight="1">
      <c r="A2616" s="32" t="str">
        <f>IMAGE("https://gymvisual.com/18744-catalog_default/lever-biceps-curl.jpg",4,500,500)</f>
        <v/>
      </c>
      <c r="B2616" s="30">
        <v>2615.0</v>
      </c>
      <c r="C2616" s="16" t="s">
        <v>3356</v>
      </c>
      <c r="D2616" s="16" t="s">
        <v>184</v>
      </c>
      <c r="E2616" s="16" t="s">
        <v>219</v>
      </c>
      <c r="F2616" s="16" t="s">
        <v>346</v>
      </c>
      <c r="G2616" s="16" t="s">
        <v>220</v>
      </c>
      <c r="H2616" s="16" t="s">
        <v>220</v>
      </c>
    </row>
    <row r="2617" ht="20.25" customHeight="1">
      <c r="A2617" s="32" t="str">
        <f>IMAGE("https://gymvisual.com/7715-catalog_default/lever-cable-rear-pulldown.jpg",4,500,500)</f>
        <v/>
      </c>
      <c r="B2617" s="30">
        <v>2616.0</v>
      </c>
      <c r="C2617" s="16" t="s">
        <v>3357</v>
      </c>
      <c r="D2617" s="16" t="s">
        <v>184</v>
      </c>
      <c r="E2617" s="16" t="s">
        <v>192</v>
      </c>
      <c r="F2617" s="16" t="s">
        <v>346</v>
      </c>
      <c r="G2617" s="16" t="s">
        <v>220</v>
      </c>
      <c r="H2617" s="16" t="s">
        <v>220</v>
      </c>
    </row>
    <row r="2618" ht="20.25" customHeight="1">
      <c r="A2618" s="32" t="str">
        <f>IMAGE("https://gymvisual.com/7714-catalog_default/lever-cable-shoulder-press.jpg",4,500,500)</f>
        <v/>
      </c>
      <c r="B2618" s="30">
        <v>2617.0</v>
      </c>
      <c r="C2618" s="16" t="s">
        <v>3358</v>
      </c>
      <c r="D2618" s="16" t="s">
        <v>184</v>
      </c>
      <c r="E2618" s="16" t="s">
        <v>228</v>
      </c>
      <c r="F2618" s="16" t="s">
        <v>346</v>
      </c>
      <c r="G2618" s="16" t="s">
        <v>220</v>
      </c>
      <c r="H2618" s="16" t="s">
        <v>220</v>
      </c>
    </row>
    <row r="2619" ht="20.25" customHeight="1">
      <c r="A2619" s="32" t="str">
        <f>IMAGE("https://gymvisual.com/9722-catalog_default/lever-calf-press-plate-loaded.jpg",4,500,500)</f>
        <v/>
      </c>
      <c r="B2619" s="30">
        <v>2618.0</v>
      </c>
      <c r="C2619" s="16" t="s">
        <v>3359</v>
      </c>
      <c r="D2619" s="16" t="s">
        <v>184</v>
      </c>
      <c r="E2619" s="16" t="s">
        <v>325</v>
      </c>
      <c r="F2619" s="16" t="s">
        <v>346</v>
      </c>
      <c r="G2619" s="16" t="s">
        <v>220</v>
      </c>
      <c r="H2619" s="16" t="s">
        <v>220</v>
      </c>
    </row>
    <row r="2620" ht="20.25" customHeight="1">
      <c r="A2620" s="32" t="str">
        <f>IMAGE("https://gymvisual.com/4591-catalog_default/lever-calf-raise-bench-press-machine.jpg",4,500,500)</f>
        <v/>
      </c>
      <c r="B2620" s="30">
        <v>2619.0</v>
      </c>
      <c r="C2620" s="16" t="s">
        <v>3360</v>
      </c>
      <c r="D2620" s="16" t="s">
        <v>184</v>
      </c>
      <c r="E2620" s="16" t="s">
        <v>325</v>
      </c>
      <c r="F2620" s="16" t="s">
        <v>346</v>
      </c>
      <c r="G2620" s="16" t="s">
        <v>368</v>
      </c>
      <c r="H2620" s="16" t="s">
        <v>463</v>
      </c>
    </row>
    <row r="2621" ht="20.25" customHeight="1">
      <c r="A2621" s="32" t="str">
        <f>IMAGE("https://gymvisual.com/2936-catalog_default/lever-chair-squat.jpg",4,500,500)</f>
        <v/>
      </c>
      <c r="B2621" s="30">
        <v>2620.0</v>
      </c>
      <c r="C2621" s="16" t="s">
        <v>3361</v>
      </c>
      <c r="D2621" s="16" t="s">
        <v>184</v>
      </c>
      <c r="E2621" s="16" t="s">
        <v>285</v>
      </c>
      <c r="F2621" s="16" t="s">
        <v>346</v>
      </c>
      <c r="G2621" s="16" t="s">
        <v>189</v>
      </c>
      <c r="H2621" s="16" t="s">
        <v>190</v>
      </c>
    </row>
    <row r="2622" ht="20.25" customHeight="1">
      <c r="A2622" s="32" t="str">
        <f>IMAGE("https://gymvisual.com/1735-catalog_default/3-4-sit-up.jpg",4,500,500)</f>
        <v/>
      </c>
      <c r="B2622" s="30">
        <v>2621.0</v>
      </c>
      <c r="C2622" s="16" t="s">
        <v>3362</v>
      </c>
      <c r="D2622" s="16" t="s">
        <v>184</v>
      </c>
      <c r="E2622" s="16" t="s">
        <v>234</v>
      </c>
      <c r="F2622" s="16" t="s">
        <v>346</v>
      </c>
      <c r="G2622" s="16" t="s">
        <v>347</v>
      </c>
      <c r="H2622" s="16" t="s">
        <v>382</v>
      </c>
    </row>
    <row r="2623" ht="20.25" customHeight="1">
      <c r="A2623" s="32" t="str">
        <f>IMAGE("https://gymvisual.com/10996-catalog_default/lever-chest-press-female.jpg",4,500,500)</f>
        <v/>
      </c>
      <c r="B2623" s="30">
        <v>2622.0</v>
      </c>
      <c r="C2623" s="16" t="s">
        <v>3363</v>
      </c>
      <c r="D2623" s="16" t="s">
        <v>184</v>
      </c>
      <c r="E2623" s="16" t="s">
        <v>234</v>
      </c>
      <c r="F2623" s="16" t="s">
        <v>346</v>
      </c>
      <c r="G2623" s="16" t="s">
        <v>220</v>
      </c>
      <c r="H2623" s="16" t="s">
        <v>220</v>
      </c>
    </row>
    <row r="2624" ht="20.25" customHeight="1">
      <c r="A2624" s="32" t="str">
        <f>IMAGE("https://gymvisual.com/1732-catalog_default/3-4-sit-up.jpg",4,500,500)</f>
        <v/>
      </c>
      <c r="B2624" s="30">
        <v>2623.0</v>
      </c>
      <c r="C2624" s="16" t="s">
        <v>3364</v>
      </c>
      <c r="D2624" s="16" t="s">
        <v>184</v>
      </c>
      <c r="E2624" s="16" t="s">
        <v>234</v>
      </c>
      <c r="F2624" s="16" t="s">
        <v>346</v>
      </c>
      <c r="G2624" s="16" t="s">
        <v>347</v>
      </c>
      <c r="H2624" s="16" t="s">
        <v>382</v>
      </c>
    </row>
    <row r="2625" ht="20.25" customHeight="1">
      <c r="A2625" s="32" t="str">
        <f>IMAGE("https://gymvisual.com/10993-catalog_default/lever-chest-press-plate-loaded-female.jpg",4,500,500)</f>
        <v/>
      </c>
      <c r="B2625" s="30">
        <v>2624.0</v>
      </c>
      <c r="C2625" s="16" t="s">
        <v>3365</v>
      </c>
      <c r="D2625" s="16" t="s">
        <v>184</v>
      </c>
      <c r="E2625" s="16" t="s">
        <v>234</v>
      </c>
      <c r="F2625" s="16" t="s">
        <v>346</v>
      </c>
      <c r="G2625" s="16" t="s">
        <v>347</v>
      </c>
      <c r="H2625" s="16" t="s">
        <v>382</v>
      </c>
    </row>
    <row r="2626" ht="20.25" customHeight="1">
      <c r="A2626" s="32" t="str">
        <f>IMAGE("https://gymvisual.com/6468-catalog_default/lever-chest-press-version-2.jpg",4,500,500)</f>
        <v/>
      </c>
      <c r="B2626" s="30">
        <v>2625.0</v>
      </c>
      <c r="C2626" s="16" t="s">
        <v>3366</v>
      </c>
      <c r="D2626" s="16" t="s">
        <v>184</v>
      </c>
      <c r="E2626" s="16" t="s">
        <v>234</v>
      </c>
      <c r="F2626" s="16" t="s">
        <v>346</v>
      </c>
      <c r="G2626" s="16" t="s">
        <v>347</v>
      </c>
      <c r="H2626" s="16" t="s">
        <v>382</v>
      </c>
    </row>
    <row r="2627" ht="20.25" customHeight="1">
      <c r="A2627" s="32" t="str">
        <f>IMAGE("https://gymvisual.com/9700-catalog_default/lever-chest-press-version-4.jpg",4,500,500)</f>
        <v/>
      </c>
      <c r="B2627" s="30">
        <v>2626.0</v>
      </c>
      <c r="C2627" s="16" t="s">
        <v>3367</v>
      </c>
      <c r="D2627" s="16" t="s">
        <v>184</v>
      </c>
      <c r="E2627" s="16" t="s">
        <v>234</v>
      </c>
      <c r="F2627" s="16" t="s">
        <v>346</v>
      </c>
      <c r="G2627" s="16" t="s">
        <v>347</v>
      </c>
      <c r="H2627" s="16" t="s">
        <v>382</v>
      </c>
    </row>
    <row r="2628" ht="20.25" customHeight="1">
      <c r="A2628" s="32" t="str">
        <f>IMAGE("https://gymvisual.com/13641-catalog_default/lever-crossovers.jpg",4,500,500)</f>
        <v/>
      </c>
      <c r="B2628" s="30">
        <v>2627.0</v>
      </c>
      <c r="C2628" s="16" t="s">
        <v>3368</v>
      </c>
      <c r="D2628" s="16" t="s">
        <v>184</v>
      </c>
      <c r="E2628" s="16" t="s">
        <v>234</v>
      </c>
      <c r="F2628" s="16" t="s">
        <v>346</v>
      </c>
      <c r="G2628" s="16" t="s">
        <v>347</v>
      </c>
      <c r="H2628" s="16" t="s">
        <v>220</v>
      </c>
    </row>
    <row r="2629" ht="20.25" customHeight="1">
      <c r="A2629" s="32" t="str">
        <f>IMAGE("https://gymvisual.com/1738-catalog_default/3-4-sit-up.jpg",4,500,500)</f>
        <v/>
      </c>
      <c r="B2629" s="30">
        <v>2628.0</v>
      </c>
      <c r="C2629" s="16" t="s">
        <v>3369</v>
      </c>
      <c r="D2629" s="16" t="s">
        <v>184</v>
      </c>
      <c r="E2629" s="16" t="s">
        <v>285</v>
      </c>
      <c r="F2629" s="16" t="s">
        <v>346</v>
      </c>
      <c r="G2629" s="16" t="s">
        <v>189</v>
      </c>
      <c r="H2629" s="16" t="s">
        <v>190</v>
      </c>
    </row>
    <row r="2630" ht="20.25" customHeight="1">
      <c r="A2630" s="32" t="str">
        <f>IMAGE("https://gymvisual.com/13467-catalog_default/lever-deadlift-plate-loaded-female.jpg",4,500,500)</f>
        <v/>
      </c>
      <c r="B2630" s="30">
        <v>2629.0</v>
      </c>
      <c r="C2630" s="16" t="s">
        <v>3370</v>
      </c>
      <c r="D2630" s="16" t="s">
        <v>184</v>
      </c>
      <c r="E2630" s="16" t="s">
        <v>294</v>
      </c>
      <c r="F2630" s="16" t="s">
        <v>346</v>
      </c>
      <c r="G2630" s="16" t="s">
        <v>220</v>
      </c>
      <c r="H2630" s="16" t="s">
        <v>220</v>
      </c>
    </row>
    <row r="2631" ht="20.25" customHeight="1">
      <c r="A2631" s="32" t="str">
        <f>IMAGE("https://gymvisual.com/5989-catalog_default/lever-decline-chest-press.jpg",4,500,500)</f>
        <v/>
      </c>
      <c r="B2631" s="30">
        <v>2630.0</v>
      </c>
      <c r="C2631" s="16" t="s">
        <v>3371</v>
      </c>
      <c r="D2631" s="16" t="s">
        <v>184</v>
      </c>
      <c r="E2631" s="16" t="s">
        <v>234</v>
      </c>
      <c r="F2631" s="16" t="s">
        <v>346</v>
      </c>
      <c r="G2631" s="16" t="s">
        <v>347</v>
      </c>
      <c r="H2631" s="16" t="s">
        <v>382</v>
      </c>
    </row>
    <row r="2632" ht="20.25" customHeight="1">
      <c r="A2632" s="32" t="str">
        <f>IMAGE("https://gymvisual.com/10987-catalog_default/lever-decline-chest-press-female.jpg",4,500,500)</f>
        <v/>
      </c>
      <c r="B2632" s="30">
        <v>2631.0</v>
      </c>
      <c r="C2632" s="16" t="s">
        <v>3372</v>
      </c>
      <c r="D2632" s="16" t="s">
        <v>184</v>
      </c>
      <c r="E2632" s="16" t="s">
        <v>234</v>
      </c>
      <c r="F2632" s="16" t="s">
        <v>346</v>
      </c>
      <c r="G2632" s="16" t="s">
        <v>220</v>
      </c>
      <c r="H2632" s="16" t="s">
        <v>220</v>
      </c>
    </row>
    <row r="2633" ht="20.25" customHeight="1">
      <c r="A2633" s="32" t="str">
        <f>IMAGE("https://gymvisual.com/9703-catalog_default/lever-decline-chest-press-version-2.jpg",4,500,500)</f>
        <v/>
      </c>
      <c r="B2633" s="30">
        <v>2632.0</v>
      </c>
      <c r="C2633" s="16" t="s">
        <v>3373</v>
      </c>
      <c r="D2633" s="16" t="s">
        <v>184</v>
      </c>
      <c r="E2633" s="16" t="s">
        <v>234</v>
      </c>
      <c r="F2633" s="16" t="s">
        <v>346</v>
      </c>
      <c r="G2633" s="16" t="s">
        <v>347</v>
      </c>
      <c r="H2633" s="16" t="s">
        <v>382</v>
      </c>
    </row>
    <row r="2634" ht="20.25" customHeight="1">
      <c r="A2634" s="32" t="str">
        <f>IMAGE("https://gymvisual.com/7710-catalog_default/lever-decline-sit-up.jpg",4,500,500)</f>
        <v/>
      </c>
      <c r="B2634" s="30">
        <v>2633.0</v>
      </c>
      <c r="C2634" s="16" t="s">
        <v>3374</v>
      </c>
      <c r="D2634" s="16" t="s">
        <v>184</v>
      </c>
      <c r="E2634" s="16" t="s">
        <v>254</v>
      </c>
      <c r="F2634" s="16" t="s">
        <v>346</v>
      </c>
      <c r="G2634" s="16" t="s">
        <v>220</v>
      </c>
      <c r="H2634" s="16" t="s">
        <v>220</v>
      </c>
    </row>
    <row r="2635" ht="20.25" customHeight="1">
      <c r="A2635" s="32" t="str">
        <f>IMAGE("https://gymvisual.com/5939-catalog_default/lever-donkey-calf-raise.jpg",4,500,500)</f>
        <v/>
      </c>
      <c r="B2635" s="30">
        <v>2634.0</v>
      </c>
      <c r="C2635" s="16" t="s">
        <v>3375</v>
      </c>
      <c r="D2635" s="16" t="s">
        <v>184</v>
      </c>
      <c r="E2635" s="16" t="s">
        <v>325</v>
      </c>
      <c r="F2635" s="16" t="s">
        <v>346</v>
      </c>
      <c r="G2635" s="16" t="s">
        <v>368</v>
      </c>
      <c r="H2635" s="16" t="s">
        <v>463</v>
      </c>
    </row>
    <row r="2636" ht="20.25" customHeight="1">
      <c r="A2636" s="32" t="str">
        <f>IMAGE("https://gymvisual.com/1741-catalog_default/3-4-sit-up.jpg",4,500,500)</f>
        <v/>
      </c>
      <c r="B2636" s="30">
        <v>2635.0</v>
      </c>
      <c r="C2636" s="16" t="s">
        <v>3376</v>
      </c>
      <c r="D2636" s="16" t="s">
        <v>184</v>
      </c>
      <c r="E2636" s="16" t="s">
        <v>192</v>
      </c>
      <c r="F2636" s="16" t="s">
        <v>346</v>
      </c>
      <c r="G2636" s="16" t="s">
        <v>300</v>
      </c>
      <c r="H2636" s="16" t="s">
        <v>387</v>
      </c>
    </row>
    <row r="2637" ht="20.25" customHeight="1">
      <c r="A2637" s="32" t="str">
        <f>IMAGE("https://gymvisual.com/2937-catalog_default/lever-full-squat.jpg",4,500,500)</f>
        <v/>
      </c>
      <c r="B2637" s="30">
        <v>2636.0</v>
      </c>
      <c r="C2637" s="16" t="s">
        <v>3377</v>
      </c>
      <c r="D2637" s="16" t="s">
        <v>184</v>
      </c>
      <c r="E2637" s="16" t="s">
        <v>285</v>
      </c>
      <c r="F2637" s="16" t="s">
        <v>346</v>
      </c>
      <c r="G2637" s="16" t="s">
        <v>347</v>
      </c>
      <c r="H2637" s="16" t="s">
        <v>382</v>
      </c>
    </row>
    <row r="2638" ht="20.25" customHeight="1">
      <c r="A2638" s="32" t="str">
        <f>IMAGE("https://gymvisual.com/1744-catalog_default/3-4-sit-up.jpg",4,500,500)</f>
        <v/>
      </c>
      <c r="B2638" s="30">
        <v>2637.0</v>
      </c>
      <c r="C2638" s="16" t="s">
        <v>3378</v>
      </c>
      <c r="D2638" s="16" t="s">
        <v>184</v>
      </c>
      <c r="E2638" s="16" t="s">
        <v>192</v>
      </c>
      <c r="F2638" s="16" t="s">
        <v>346</v>
      </c>
      <c r="G2638" s="16" t="s">
        <v>238</v>
      </c>
      <c r="H2638" s="16" t="s">
        <v>1621</v>
      </c>
    </row>
    <row r="2639" ht="20.25" customHeight="1">
      <c r="A2639" s="32" t="str">
        <f>IMAGE("https://gymvisual.com/6454-catalog_default/lever-gripless-shrug-version-2.jpg",4,500,500)</f>
        <v/>
      </c>
      <c r="B2639" s="30">
        <v>2638.0</v>
      </c>
      <c r="C2639" s="16" t="s">
        <v>3379</v>
      </c>
      <c r="D2639" s="16" t="s">
        <v>184</v>
      </c>
      <c r="E2639" s="16" t="s">
        <v>192</v>
      </c>
      <c r="F2639" s="16" t="s">
        <v>346</v>
      </c>
      <c r="G2639" s="16" t="s">
        <v>238</v>
      </c>
      <c r="H2639" s="16" t="s">
        <v>618</v>
      </c>
    </row>
    <row r="2640" ht="20.25" customHeight="1">
      <c r="A2640" s="32" t="str">
        <f>IMAGE("https://gymvisual.com/9721-catalog_default/lever-gripper-hands-plate-loaded.jpg",4,500,500)</f>
        <v/>
      </c>
      <c r="B2640" s="30">
        <v>2639.0</v>
      </c>
      <c r="C2640" s="16" t="s">
        <v>3380</v>
      </c>
      <c r="D2640" s="16" t="s">
        <v>184</v>
      </c>
      <c r="E2640" s="16" t="s">
        <v>214</v>
      </c>
      <c r="F2640" s="16" t="s">
        <v>346</v>
      </c>
      <c r="G2640" s="16" t="s">
        <v>220</v>
      </c>
      <c r="H2640" s="16" t="s">
        <v>220</v>
      </c>
    </row>
    <row r="2641" ht="20.25" customHeight="1">
      <c r="A2641" s="32" t="str">
        <f>IMAGE("https://gymvisual.com/7087-catalog_default/lever-hammer-grip-preacher-curl.jpg",4,500,500)</f>
        <v/>
      </c>
      <c r="B2641" s="30">
        <v>2640.0</v>
      </c>
      <c r="C2641" s="16" t="s">
        <v>3381</v>
      </c>
      <c r="D2641" s="16" t="s">
        <v>184</v>
      </c>
      <c r="E2641" s="16" t="s">
        <v>219</v>
      </c>
      <c r="F2641" s="16" t="s">
        <v>346</v>
      </c>
      <c r="G2641" s="16" t="s">
        <v>220</v>
      </c>
      <c r="H2641" s="16" t="s">
        <v>220</v>
      </c>
    </row>
    <row r="2642" ht="20.25" customHeight="1">
      <c r="A2642" s="32" t="str">
        <f>IMAGE("https://gymvisual.com/1747-catalog_default/3-4-sit-up.jpg",4,500,500)</f>
        <v/>
      </c>
      <c r="B2642" s="30">
        <v>2641.0</v>
      </c>
      <c r="C2642" s="16" t="s">
        <v>3382</v>
      </c>
      <c r="D2642" s="16" t="s">
        <v>184</v>
      </c>
      <c r="E2642" s="16" t="s">
        <v>192</v>
      </c>
      <c r="F2642" s="16" t="s">
        <v>346</v>
      </c>
      <c r="G2642" s="16" t="s">
        <v>329</v>
      </c>
      <c r="H2642" s="16" t="s">
        <v>457</v>
      </c>
    </row>
    <row r="2643" ht="20.25" customHeight="1">
      <c r="A2643" s="32" t="str">
        <f>IMAGE("https://gymvisual.com/12225-catalog_default/lever-high-row-plate-loaded.jpg",4,500,500)</f>
        <v/>
      </c>
      <c r="B2643" s="30">
        <v>2642.0</v>
      </c>
      <c r="C2643" s="16" t="s">
        <v>3382</v>
      </c>
      <c r="D2643" s="16" t="s">
        <v>184</v>
      </c>
      <c r="E2643" s="16" t="s">
        <v>192</v>
      </c>
      <c r="F2643" s="16" t="s">
        <v>346</v>
      </c>
      <c r="G2643" s="16" t="s">
        <v>570</v>
      </c>
      <c r="H2643" s="16" t="s">
        <v>447</v>
      </c>
    </row>
    <row r="2644" ht="20.25" customHeight="1">
      <c r="A2644" s="32" t="str">
        <f>IMAGE("https://gymvisual.com/13469-catalog_default/lever-high-row-plate-loaded-female.jpg",4,500,500)</f>
        <v/>
      </c>
      <c r="B2644" s="30">
        <v>2643.0</v>
      </c>
      <c r="C2644" s="16" t="s">
        <v>3383</v>
      </c>
      <c r="D2644" s="16" t="s">
        <v>184</v>
      </c>
      <c r="E2644" s="16" t="s">
        <v>192</v>
      </c>
      <c r="F2644" s="16" t="s">
        <v>346</v>
      </c>
      <c r="G2644" s="16" t="s">
        <v>570</v>
      </c>
      <c r="H2644" s="16" t="s">
        <v>447</v>
      </c>
    </row>
    <row r="2645" ht="20.25" customHeight="1">
      <c r="A2645" s="32" t="str">
        <f>IMAGE("https://gymvisual.com/12226-catalog_default/lever-high-row-plate-loaded-version-3.jpg",4,500,500)</f>
        <v/>
      </c>
      <c r="B2645" s="30">
        <v>2644.0</v>
      </c>
      <c r="C2645" s="16" t="s">
        <v>3384</v>
      </c>
      <c r="D2645" s="16" t="s">
        <v>184</v>
      </c>
      <c r="E2645" s="16" t="s">
        <v>192</v>
      </c>
      <c r="F2645" s="16" t="s">
        <v>346</v>
      </c>
      <c r="G2645" s="16" t="s">
        <v>570</v>
      </c>
      <c r="H2645" s="16" t="s">
        <v>447</v>
      </c>
    </row>
    <row r="2646" ht="20.25" customHeight="1">
      <c r="A2646" s="32" t="str">
        <f>IMAGE("https://gymvisual.com/9719-catalog_default/lever-hip-extension-version-2.jpg",4,500,500)</f>
        <v/>
      </c>
      <c r="B2646" s="30">
        <v>2645.0</v>
      </c>
      <c r="C2646" s="16" t="s">
        <v>3385</v>
      </c>
      <c r="D2646" s="16" t="s">
        <v>184</v>
      </c>
      <c r="E2646" s="16" t="s">
        <v>185</v>
      </c>
      <c r="F2646" s="16" t="s">
        <v>346</v>
      </c>
      <c r="G2646" s="16" t="s">
        <v>220</v>
      </c>
      <c r="H2646" s="16" t="s">
        <v>220</v>
      </c>
    </row>
    <row r="2647" ht="20.25" customHeight="1">
      <c r="A2647" s="32" t="str">
        <f>IMAGE("https://gymvisual.com/8778-catalog_default/lever-hip-thrust.jpg",4,500,500)</f>
        <v/>
      </c>
      <c r="B2647" s="30">
        <v>2646.0</v>
      </c>
      <c r="C2647" s="16" t="s">
        <v>3386</v>
      </c>
      <c r="D2647" s="16" t="s">
        <v>184</v>
      </c>
      <c r="E2647" s="16" t="s">
        <v>185</v>
      </c>
      <c r="F2647" s="16" t="s">
        <v>346</v>
      </c>
      <c r="G2647" s="16" t="s">
        <v>187</v>
      </c>
      <c r="H2647" s="16" t="s">
        <v>2646</v>
      </c>
    </row>
    <row r="2648" ht="20.25" customHeight="1">
      <c r="A2648" s="32" t="str">
        <f>IMAGE("https://gymvisual.com/14125-catalog_default/lever-hip-thrust-plate-loaded-female.jpg",4,500,500)</f>
        <v/>
      </c>
      <c r="B2648" s="30">
        <v>2647.0</v>
      </c>
      <c r="C2648" s="16" t="s">
        <v>3387</v>
      </c>
      <c r="D2648" s="16" t="s">
        <v>184</v>
      </c>
      <c r="E2648" s="16" t="s">
        <v>185</v>
      </c>
      <c r="F2648" s="16" t="s">
        <v>346</v>
      </c>
      <c r="G2648" s="16" t="s">
        <v>187</v>
      </c>
      <c r="H2648" s="16" t="s">
        <v>188</v>
      </c>
    </row>
    <row r="2649" ht="20.25" customHeight="1">
      <c r="A2649" s="32" t="str">
        <f>IMAGE("https://gymvisual.com/11798-catalog_default/lever-hip-thrust-version-2-female.jpg",4,500,500)</f>
        <v/>
      </c>
      <c r="B2649" s="30">
        <v>2648.0</v>
      </c>
      <c r="C2649" s="16" t="s">
        <v>3388</v>
      </c>
      <c r="D2649" s="16" t="s">
        <v>184</v>
      </c>
      <c r="E2649" s="16" t="s">
        <v>185</v>
      </c>
      <c r="F2649" s="16" t="s">
        <v>346</v>
      </c>
      <c r="G2649" s="16" t="s">
        <v>187</v>
      </c>
      <c r="H2649" s="16" t="s">
        <v>188</v>
      </c>
    </row>
    <row r="2650" ht="20.25" customHeight="1">
      <c r="A2650" s="32" t="str">
        <f>IMAGE("https://gymvisual.com/11795-catalog_default/lever-hip-thrust-with-stepbox-version-2-female.jpg",4,500,500)</f>
        <v/>
      </c>
      <c r="B2650" s="30">
        <v>2649.0</v>
      </c>
      <c r="C2650" s="16" t="s">
        <v>3389</v>
      </c>
      <c r="D2650" s="16" t="s">
        <v>184</v>
      </c>
      <c r="E2650" s="16" t="s">
        <v>185</v>
      </c>
      <c r="F2650" s="16" t="s">
        <v>346</v>
      </c>
      <c r="G2650" s="16" t="s">
        <v>187</v>
      </c>
      <c r="H2650" s="16" t="s">
        <v>188</v>
      </c>
    </row>
    <row r="2651" ht="20.25" customHeight="1">
      <c r="A2651" s="32" t="str">
        <f>IMAGE("https://gymvisual.com/8783-catalog_default/lever-hip-thrust-with-resistance-band.jpg",4,500,500)</f>
        <v/>
      </c>
      <c r="B2651" s="30">
        <v>2650.0</v>
      </c>
      <c r="C2651" s="16" t="s">
        <v>3390</v>
      </c>
      <c r="D2651" s="16" t="s">
        <v>184</v>
      </c>
      <c r="E2651" s="16" t="s">
        <v>185</v>
      </c>
      <c r="F2651" s="16" t="s">
        <v>3391</v>
      </c>
      <c r="G2651" s="16" t="s">
        <v>187</v>
      </c>
      <c r="H2651" s="16" t="s">
        <v>854</v>
      </c>
    </row>
    <row r="2652" ht="20.25" customHeight="1">
      <c r="A2652" s="32" t="str">
        <f>IMAGE("https://gymvisual.com/12231-catalog_default/lever-horizontal-leg-press.jpg",4,500,500)</f>
        <v/>
      </c>
      <c r="B2652" s="30">
        <v>2651.0</v>
      </c>
      <c r="C2652" s="16" t="s">
        <v>3392</v>
      </c>
      <c r="D2652" s="16" t="s">
        <v>184</v>
      </c>
      <c r="E2652" s="16" t="s">
        <v>285</v>
      </c>
      <c r="F2652" s="16" t="s">
        <v>346</v>
      </c>
      <c r="G2652" s="16" t="s">
        <v>220</v>
      </c>
      <c r="H2652" s="16" t="s">
        <v>220</v>
      </c>
    </row>
    <row r="2653" ht="20.25" customHeight="1">
      <c r="A2653" s="32" t="str">
        <f>IMAGE("https://gymvisual.com/10304-catalog_default/lever-horizontal-leg-press-female.jpg",4,500,500)</f>
        <v/>
      </c>
      <c r="B2653" s="30">
        <v>2652.0</v>
      </c>
      <c r="C2653" s="16" t="s">
        <v>3393</v>
      </c>
      <c r="D2653" s="16" t="s">
        <v>184</v>
      </c>
      <c r="E2653" s="16" t="s">
        <v>285</v>
      </c>
      <c r="F2653" s="16" t="s">
        <v>346</v>
      </c>
      <c r="G2653" s="16" t="s">
        <v>189</v>
      </c>
      <c r="H2653" s="16" t="s">
        <v>190</v>
      </c>
    </row>
    <row r="2654" ht="20.25" customHeight="1">
      <c r="A2654" s="32" t="str">
        <f>IMAGE("https://gymvisual.com/2773-catalog_default/lever-horizontal-one-leg-press.jpg",4,500,500)</f>
        <v/>
      </c>
      <c r="B2654" s="30">
        <v>2653.0</v>
      </c>
      <c r="C2654" s="16" t="s">
        <v>3394</v>
      </c>
      <c r="D2654" s="16" t="s">
        <v>184</v>
      </c>
      <c r="E2654" s="16" t="s">
        <v>185</v>
      </c>
      <c r="F2654" s="16" t="s">
        <v>346</v>
      </c>
      <c r="G2654" s="16" t="s">
        <v>1878</v>
      </c>
      <c r="H2654" s="16" t="s">
        <v>857</v>
      </c>
    </row>
    <row r="2655" ht="20.25" customHeight="1">
      <c r="A2655" s="32" t="str">
        <f>IMAGE("https://gymvisual.com/10753-catalog_default/lever-horizontal-one-leg-press.jpg",4,500,500)</f>
        <v/>
      </c>
      <c r="B2655" s="30">
        <v>2654.0</v>
      </c>
      <c r="C2655" s="16" t="s">
        <v>3394</v>
      </c>
      <c r="D2655" s="16" t="s">
        <v>184</v>
      </c>
      <c r="E2655" s="16" t="s">
        <v>285</v>
      </c>
      <c r="F2655" s="16" t="s">
        <v>346</v>
      </c>
      <c r="G2655" s="16" t="s">
        <v>189</v>
      </c>
      <c r="H2655" s="16" t="s">
        <v>1939</v>
      </c>
    </row>
    <row r="2656" ht="20.25" customHeight="1">
      <c r="A2656" s="32" t="str">
        <f>IMAGE("https://gymvisual.com/5988-catalog_default/lever-incline-chest-press.jpg",4,500,500)</f>
        <v/>
      </c>
      <c r="B2656" s="30">
        <v>2655.0</v>
      </c>
      <c r="C2656" s="16" t="s">
        <v>3395</v>
      </c>
      <c r="D2656" s="16" t="s">
        <v>184</v>
      </c>
      <c r="E2656" s="16" t="s">
        <v>234</v>
      </c>
      <c r="F2656" s="16" t="s">
        <v>346</v>
      </c>
      <c r="G2656" s="16" t="s">
        <v>415</v>
      </c>
      <c r="H2656" s="16" t="s">
        <v>243</v>
      </c>
    </row>
    <row r="2657" ht="20.25" customHeight="1">
      <c r="A2657" s="32" t="str">
        <f>IMAGE("https://gymvisual.com/10990-catalog_default/lever-incline-chest-press-female.jpg",4,500,500)</f>
        <v/>
      </c>
      <c r="B2657" s="30">
        <v>2656.0</v>
      </c>
      <c r="C2657" s="16" t="s">
        <v>3396</v>
      </c>
      <c r="D2657" s="16" t="s">
        <v>184</v>
      </c>
      <c r="E2657" s="16" t="s">
        <v>234</v>
      </c>
      <c r="F2657" s="16" t="s">
        <v>346</v>
      </c>
      <c r="G2657" s="16" t="s">
        <v>220</v>
      </c>
      <c r="H2657" s="16" t="s">
        <v>220</v>
      </c>
    </row>
    <row r="2658" ht="20.25" customHeight="1">
      <c r="A2658" s="32" t="str">
        <f>IMAGE("https://gymvisual.com/24824-catalog_default/lever-incline-chest-press-plate-loaded.jpg",4,500,500)</f>
        <v/>
      </c>
      <c r="B2658" s="30">
        <v>2657.0</v>
      </c>
      <c r="C2658" s="16" t="s">
        <v>3397</v>
      </c>
      <c r="D2658" s="16" t="s">
        <v>184</v>
      </c>
      <c r="E2658" s="16" t="s">
        <v>234</v>
      </c>
      <c r="F2658" s="16" t="s">
        <v>346</v>
      </c>
      <c r="G2658" s="16" t="s">
        <v>415</v>
      </c>
      <c r="H2658" s="16" t="s">
        <v>243</v>
      </c>
    </row>
    <row r="2659" ht="20.25" customHeight="1">
      <c r="A2659" s="32" t="str">
        <f>IMAGE("https://gymvisual.com/6425-catalog_default/lever-incline-chest-press-versions-2.jpg",4,500,500)</f>
        <v/>
      </c>
      <c r="B2659" s="30">
        <v>2658.0</v>
      </c>
      <c r="C2659" s="16" t="s">
        <v>3398</v>
      </c>
      <c r="D2659" s="16" t="s">
        <v>184</v>
      </c>
      <c r="E2659" s="16" t="s">
        <v>234</v>
      </c>
      <c r="F2659" s="16" t="s">
        <v>346</v>
      </c>
      <c r="G2659" s="16" t="s">
        <v>415</v>
      </c>
      <c r="H2659" s="16" t="s">
        <v>243</v>
      </c>
    </row>
    <row r="2660" ht="20.25" customHeight="1">
      <c r="A2660" s="32" t="str">
        <f>IMAGE("https://gymvisual.com/25894-catalog_default/lever-incline-fly-male.jpg",4,500,500)</f>
        <v/>
      </c>
      <c r="B2660" s="30">
        <v>2659.0</v>
      </c>
      <c r="C2660" s="16" t="s">
        <v>3399</v>
      </c>
      <c r="D2660" s="16" t="s">
        <v>184</v>
      </c>
      <c r="E2660" s="16" t="s">
        <v>234</v>
      </c>
      <c r="F2660" s="16" t="s">
        <v>346</v>
      </c>
      <c r="G2660" s="16" t="s">
        <v>235</v>
      </c>
      <c r="H2660" s="16" t="s">
        <v>229</v>
      </c>
    </row>
    <row r="2661" ht="20.25" customHeight="1">
      <c r="A2661" s="32" t="str">
        <f>IMAGE("https://gymvisual.com/4523-catalog_default/lever-incline-hammer-chest-press.jpg",4,500,500)</f>
        <v/>
      </c>
      <c r="B2661" s="30">
        <v>2660.0</v>
      </c>
      <c r="C2661" s="16" t="s">
        <v>3400</v>
      </c>
      <c r="D2661" s="16" t="s">
        <v>184</v>
      </c>
      <c r="E2661" s="16" t="s">
        <v>234</v>
      </c>
      <c r="F2661" s="16" t="s">
        <v>346</v>
      </c>
      <c r="G2661" s="16" t="s">
        <v>415</v>
      </c>
      <c r="H2661" s="16" t="s">
        <v>2329</v>
      </c>
    </row>
    <row r="2662" ht="20.25" customHeight="1">
      <c r="A2662" s="32" t="str">
        <f>IMAGE("https://gymvisual.com/14280-catalog_default/lever-incline-hammer-chest-press-female.jpg",4,500,500)</f>
        <v/>
      </c>
      <c r="B2662" s="30">
        <v>2661.0</v>
      </c>
      <c r="C2662" s="16" t="s">
        <v>3401</v>
      </c>
      <c r="D2662" s="16" t="s">
        <v>184</v>
      </c>
      <c r="E2662" s="16" t="s">
        <v>234</v>
      </c>
      <c r="F2662" s="16" t="s">
        <v>346</v>
      </c>
      <c r="G2662" s="16" t="s">
        <v>415</v>
      </c>
      <c r="H2662" s="16" t="s">
        <v>243</v>
      </c>
    </row>
    <row r="2663" ht="20.25" customHeight="1">
      <c r="A2663" s="32" t="str">
        <f>IMAGE("https://gymvisual.com/19411-catalog_default/lever-incline-one-arm-chest-press-plate-loaded.jpg",4,500,500)</f>
        <v/>
      </c>
      <c r="B2663" s="30">
        <v>2662.0</v>
      </c>
      <c r="C2663" s="16" t="s">
        <v>3402</v>
      </c>
      <c r="D2663" s="16" t="s">
        <v>184</v>
      </c>
      <c r="E2663" s="16" t="s">
        <v>234</v>
      </c>
      <c r="F2663" s="16" t="s">
        <v>346</v>
      </c>
      <c r="G2663" s="16" t="s">
        <v>220</v>
      </c>
      <c r="H2663" s="16" t="s">
        <v>220</v>
      </c>
    </row>
    <row r="2664" ht="20.25" customHeight="1">
      <c r="A2664" s="32" t="str">
        <f>IMAGE("https://gymvisual.com/10076-catalog_default/3-4-sit-up.jpg",4,500,500)</f>
        <v/>
      </c>
      <c r="B2664" s="30">
        <v>2663.0</v>
      </c>
      <c r="C2664" s="16" t="s">
        <v>3403</v>
      </c>
      <c r="D2664" s="16" t="s">
        <v>184</v>
      </c>
      <c r="E2664" s="16" t="s">
        <v>285</v>
      </c>
      <c r="F2664" s="16" t="s">
        <v>346</v>
      </c>
      <c r="G2664" s="16" t="s">
        <v>188</v>
      </c>
      <c r="H2664" s="16" t="s">
        <v>561</v>
      </c>
    </row>
    <row r="2665" ht="20.25" customHeight="1">
      <c r="A2665" s="32" t="str">
        <f>IMAGE("https://gymvisual.com/14282-catalog_default/lever-kneeling-leg-curl-plate-loaded-female.jpg",4,500,500)</f>
        <v/>
      </c>
      <c r="B2665" s="30">
        <v>2664.0</v>
      </c>
      <c r="C2665" s="16" t="s">
        <v>3404</v>
      </c>
      <c r="D2665" s="16" t="s">
        <v>184</v>
      </c>
      <c r="E2665" s="16" t="s">
        <v>285</v>
      </c>
      <c r="F2665" s="16" t="s">
        <v>346</v>
      </c>
      <c r="G2665" s="16" t="s">
        <v>188</v>
      </c>
      <c r="H2665" s="16" t="s">
        <v>368</v>
      </c>
    </row>
    <row r="2666" ht="20.25" customHeight="1">
      <c r="A2666" s="32" t="str">
        <f>IMAGE("https://gymvisual.com/11813-catalog_default/lever-kneeling-reverse-hyperextension-female.jpg",4,500,500)</f>
        <v/>
      </c>
      <c r="B2666" s="30">
        <v>2665.0</v>
      </c>
      <c r="C2666" s="16" t="s">
        <v>3405</v>
      </c>
      <c r="D2666" s="16" t="s">
        <v>184</v>
      </c>
      <c r="E2666" s="16" t="s">
        <v>185</v>
      </c>
      <c r="F2666" s="16" t="s">
        <v>346</v>
      </c>
      <c r="G2666" s="16" t="s">
        <v>220</v>
      </c>
      <c r="H2666" s="16" t="s">
        <v>220</v>
      </c>
    </row>
    <row r="2667" ht="20.25" customHeight="1">
      <c r="A2667" s="32" t="str">
        <f>IMAGE("https://gymvisual.com/1753-catalog_default/3-4-sit-up.jpg",4,500,500)</f>
        <v/>
      </c>
      <c r="B2667" s="30">
        <v>2666.0</v>
      </c>
      <c r="C2667" s="16" t="s">
        <v>3406</v>
      </c>
      <c r="D2667" s="16" t="s">
        <v>184</v>
      </c>
      <c r="E2667" s="16" t="s">
        <v>254</v>
      </c>
      <c r="F2667" s="16" t="s">
        <v>346</v>
      </c>
      <c r="G2667" s="16" t="s">
        <v>257</v>
      </c>
      <c r="H2667" s="16" t="s">
        <v>220</v>
      </c>
    </row>
    <row r="2668" ht="20.25" customHeight="1">
      <c r="A2668" s="32" t="str">
        <f>IMAGE("https://gymvisual.com/7722-catalog_default/lever-lateral-pulldown-plate-loaded.jpg",4,500,500)</f>
        <v/>
      </c>
      <c r="B2668" s="30">
        <v>2667.0</v>
      </c>
      <c r="C2668" s="16" t="s">
        <v>3407</v>
      </c>
      <c r="D2668" s="16" t="s">
        <v>184</v>
      </c>
      <c r="E2668" s="16" t="s">
        <v>192</v>
      </c>
      <c r="F2668" s="16" t="s">
        <v>346</v>
      </c>
      <c r="G2668" s="16" t="s">
        <v>300</v>
      </c>
      <c r="H2668" s="16" t="s">
        <v>387</v>
      </c>
    </row>
    <row r="2669" ht="20.25" customHeight="1">
      <c r="A2669" s="32" t="str">
        <f>IMAGE("https://gymvisual.com/1756-catalog_default/3-4-sit-up.jpg",4,500,500)</f>
        <v/>
      </c>
      <c r="B2669" s="30">
        <v>2668.0</v>
      </c>
      <c r="C2669" s="16" t="s">
        <v>3408</v>
      </c>
      <c r="D2669" s="16" t="s">
        <v>184</v>
      </c>
      <c r="E2669" s="16" t="s">
        <v>228</v>
      </c>
      <c r="F2669" s="16" t="s">
        <v>346</v>
      </c>
      <c r="G2669" s="16" t="s">
        <v>544</v>
      </c>
      <c r="H2669" s="16" t="s">
        <v>545</v>
      </c>
    </row>
    <row r="2670" ht="20.25" customHeight="1">
      <c r="A2670" s="32" t="str">
        <f>IMAGE("https://gymvisual.com/14322-catalog_default/lever-lateral-raise-female.jpg",4,500,500)</f>
        <v/>
      </c>
      <c r="B2670" s="30">
        <v>2669.0</v>
      </c>
      <c r="C2670" s="16" t="s">
        <v>3409</v>
      </c>
      <c r="D2670" s="16" t="s">
        <v>184</v>
      </c>
      <c r="E2670" s="16" t="s">
        <v>228</v>
      </c>
      <c r="F2670" s="16" t="s">
        <v>346</v>
      </c>
      <c r="G2670" s="16" t="s">
        <v>544</v>
      </c>
      <c r="H2670" s="16" t="s">
        <v>545</v>
      </c>
    </row>
    <row r="2671" ht="20.25" customHeight="1">
      <c r="A2671" s="32" t="str">
        <f>IMAGE("https://gymvisual.com/7728-catalog_default/lever-lateral-raise-plate-loaded.jpg",4,500,500)</f>
        <v/>
      </c>
      <c r="B2671" s="30">
        <v>2670.0</v>
      </c>
      <c r="C2671" s="16" t="s">
        <v>3410</v>
      </c>
      <c r="D2671" s="16" t="s">
        <v>184</v>
      </c>
      <c r="E2671" s="16" t="s">
        <v>228</v>
      </c>
      <c r="F2671" s="16" t="s">
        <v>346</v>
      </c>
      <c r="G2671" s="16" t="s">
        <v>544</v>
      </c>
      <c r="H2671" s="16" t="s">
        <v>545</v>
      </c>
    </row>
    <row r="2672" ht="20.25" customHeight="1">
      <c r="A2672" s="32" t="str">
        <f>IMAGE("https://gymvisual.com/13639-catalog_default/lever-lateral-raise-version-2.jpg",4,500,500)</f>
        <v/>
      </c>
      <c r="B2672" s="30">
        <v>2671.0</v>
      </c>
      <c r="C2672" s="16" t="s">
        <v>3411</v>
      </c>
      <c r="D2672" s="16" t="s">
        <v>184</v>
      </c>
      <c r="E2672" s="16" t="s">
        <v>228</v>
      </c>
      <c r="F2672" s="16" t="s">
        <v>346</v>
      </c>
      <c r="G2672" s="16" t="s">
        <v>544</v>
      </c>
      <c r="H2672" s="16" t="s">
        <v>220</v>
      </c>
    </row>
    <row r="2673" ht="20.25" customHeight="1">
      <c r="A2673" s="32" t="str">
        <f>IMAGE("https://gymvisual.com/12228-catalog_default/lever-lateral-wide-pulldown.jpg",4,500,500)</f>
        <v/>
      </c>
      <c r="B2673" s="30">
        <v>2672.0</v>
      </c>
      <c r="C2673" s="16" t="s">
        <v>3412</v>
      </c>
      <c r="D2673" s="16" t="s">
        <v>184</v>
      </c>
      <c r="E2673" s="16" t="s">
        <v>192</v>
      </c>
      <c r="F2673" s="16" t="s">
        <v>346</v>
      </c>
      <c r="G2673" s="16" t="s">
        <v>300</v>
      </c>
      <c r="H2673" s="16" t="s">
        <v>3413</v>
      </c>
    </row>
    <row r="2674" ht="20.25" customHeight="1">
      <c r="A2674" s="32" t="str">
        <f>IMAGE("https://gymvisual.com/1759-catalog_default/3-4-sit-up.jpg",4,500,500)</f>
        <v/>
      </c>
      <c r="B2674" s="30">
        <v>2673.0</v>
      </c>
      <c r="C2674" s="16" t="s">
        <v>3414</v>
      </c>
      <c r="D2674" s="16" t="s">
        <v>184</v>
      </c>
      <c r="E2674" s="16" t="s">
        <v>285</v>
      </c>
      <c r="F2674" s="16" t="s">
        <v>346</v>
      </c>
      <c r="G2674" s="16" t="s">
        <v>552</v>
      </c>
      <c r="H2674" s="16" t="s">
        <v>220</v>
      </c>
    </row>
    <row r="2675" ht="20.25" customHeight="1">
      <c r="A2675" s="32" t="str">
        <f>IMAGE("https://gymvisual.com/8953-catalog_default/lever-leg-extension-female.jpg",4,500,500)</f>
        <v/>
      </c>
      <c r="B2675" s="30">
        <v>2674.0</v>
      </c>
      <c r="C2675" s="16" t="s">
        <v>3415</v>
      </c>
      <c r="D2675" s="16" t="s">
        <v>184</v>
      </c>
      <c r="E2675" s="16" t="s">
        <v>285</v>
      </c>
      <c r="F2675" s="16" t="s">
        <v>346</v>
      </c>
      <c r="G2675" s="16" t="s">
        <v>552</v>
      </c>
      <c r="H2675" s="16" t="s">
        <v>220</v>
      </c>
    </row>
    <row r="2676" ht="20.25" customHeight="1">
      <c r="A2676" s="32" t="str">
        <f>IMAGE("https://gymvisual.com/7725-catalog_default/lever-leg-extension-plate-loaded.jpg",4,500,500)</f>
        <v/>
      </c>
      <c r="B2676" s="30">
        <v>2675.0</v>
      </c>
      <c r="C2676" s="16" t="s">
        <v>3416</v>
      </c>
      <c r="D2676" s="16" t="s">
        <v>184</v>
      </c>
      <c r="E2676" s="16" t="s">
        <v>285</v>
      </c>
      <c r="F2676" s="16" t="s">
        <v>346</v>
      </c>
      <c r="G2676" s="16" t="s">
        <v>220</v>
      </c>
      <c r="H2676" s="16" t="s">
        <v>220</v>
      </c>
    </row>
    <row r="2677" ht="20.25" customHeight="1">
      <c r="A2677" s="32" t="str">
        <f>IMAGE("https://gymvisual.com/18061-catalog_default/lever-low-row-plate-loaded.jpg",4,500,500)</f>
        <v/>
      </c>
      <c r="B2677" s="30">
        <v>2676.0</v>
      </c>
      <c r="C2677" s="16" t="s">
        <v>3417</v>
      </c>
      <c r="D2677" s="16" t="s">
        <v>184</v>
      </c>
      <c r="E2677" s="16" t="s">
        <v>192</v>
      </c>
      <c r="F2677" s="16" t="s">
        <v>346</v>
      </c>
      <c r="G2677" s="16" t="s">
        <v>570</v>
      </c>
      <c r="H2677" s="16" t="s">
        <v>447</v>
      </c>
    </row>
    <row r="2678" ht="20.25" customHeight="1">
      <c r="A2678" s="32" t="str">
        <f>IMAGE("https://gymvisual.com/17857-catalog_default/lever-lying-banded-t-bar-row.jpg",4,500,500)</f>
        <v/>
      </c>
      <c r="B2678" s="30">
        <v>2677.0</v>
      </c>
      <c r="C2678" s="16" t="s">
        <v>3418</v>
      </c>
      <c r="D2678" s="16" t="s">
        <v>184</v>
      </c>
      <c r="E2678" s="16" t="s">
        <v>192</v>
      </c>
      <c r="F2678" s="16" t="s">
        <v>346</v>
      </c>
      <c r="G2678" s="16" t="s">
        <v>220</v>
      </c>
      <c r="H2678" s="16" t="s">
        <v>220</v>
      </c>
    </row>
    <row r="2679" ht="20.25" customHeight="1">
      <c r="A2679" s="32" t="str">
        <f>IMAGE("https://gymvisual.com/2939-catalog_default/lever-lying-chest-press-plate-loaded.jpg",4,500,500)</f>
        <v/>
      </c>
      <c r="B2679" s="30">
        <v>2678.0</v>
      </c>
      <c r="C2679" s="16" t="s">
        <v>3419</v>
      </c>
      <c r="D2679" s="16" t="s">
        <v>184</v>
      </c>
      <c r="E2679" s="16" t="s">
        <v>234</v>
      </c>
      <c r="F2679" s="16" t="s">
        <v>346</v>
      </c>
      <c r="G2679" s="16" t="s">
        <v>347</v>
      </c>
      <c r="H2679" s="16" t="s">
        <v>382</v>
      </c>
    </row>
    <row r="2680" ht="20.25" customHeight="1">
      <c r="A2680" s="32" t="str">
        <f>IMAGE("https://gymvisual.com/14284-catalog_default/lever-lying-chest-press-plate-loaded-female.jpg",4,500,500)</f>
        <v/>
      </c>
      <c r="B2680" s="30">
        <v>2679.0</v>
      </c>
      <c r="C2680" s="16" t="s">
        <v>3420</v>
      </c>
      <c r="D2680" s="16" t="s">
        <v>184</v>
      </c>
      <c r="E2680" s="16" t="s">
        <v>234</v>
      </c>
      <c r="F2680" s="16" t="s">
        <v>346</v>
      </c>
      <c r="G2680" s="16" t="s">
        <v>235</v>
      </c>
      <c r="H2680" s="16" t="s">
        <v>243</v>
      </c>
    </row>
    <row r="2681" ht="20.25" customHeight="1">
      <c r="A2681" s="32" t="str">
        <f>IMAGE("https://gymvisual.com/9697-catalog_default/lever-lying-crunch.jpg",4,500,500)</f>
        <v/>
      </c>
      <c r="B2681" s="30">
        <v>2680.0</v>
      </c>
      <c r="C2681" s="16" t="s">
        <v>3421</v>
      </c>
      <c r="D2681" s="16" t="s">
        <v>184</v>
      </c>
      <c r="E2681" s="16" t="s">
        <v>254</v>
      </c>
      <c r="F2681" s="16" t="s">
        <v>346</v>
      </c>
      <c r="G2681" s="16" t="s">
        <v>256</v>
      </c>
      <c r="H2681" s="16" t="s">
        <v>257</v>
      </c>
    </row>
    <row r="2682" ht="20.25" customHeight="1">
      <c r="A2682" s="32" t="str">
        <f>IMAGE("https://gymvisual.com/10139-catalog_default/lever-lying-crunch-version-2-female.jpg",4,500,500)</f>
        <v/>
      </c>
      <c r="B2682" s="30">
        <v>2681.0</v>
      </c>
      <c r="C2682" s="16" t="s">
        <v>3422</v>
      </c>
      <c r="D2682" s="16" t="s">
        <v>184</v>
      </c>
      <c r="E2682" s="16" t="s">
        <v>254</v>
      </c>
      <c r="F2682" s="16" t="s">
        <v>346</v>
      </c>
      <c r="G2682" s="16" t="s">
        <v>256</v>
      </c>
      <c r="H2682" s="16" t="s">
        <v>257</v>
      </c>
    </row>
    <row r="2683" ht="20.25" customHeight="1">
      <c r="A2683" s="32" t="str">
        <f>IMAGE("https://gymvisual.com/1762-catalog_default/3-4-sit-up.jpg",4,500,500)</f>
        <v/>
      </c>
      <c r="B2683" s="30">
        <v>2682.0</v>
      </c>
      <c r="C2683" s="16" t="s">
        <v>3423</v>
      </c>
      <c r="D2683" s="16" t="s">
        <v>184</v>
      </c>
      <c r="E2683" s="16" t="s">
        <v>285</v>
      </c>
      <c r="F2683" s="16" t="s">
        <v>346</v>
      </c>
      <c r="G2683" s="16" t="s">
        <v>188</v>
      </c>
      <c r="H2683" s="16" t="s">
        <v>561</v>
      </c>
    </row>
    <row r="2684" ht="20.25" customHeight="1">
      <c r="A2684" s="32" t="str">
        <f>IMAGE("https://gymvisual.com/9583-catalog_default/lever-lying-leg-curl-female.jpg",4,500,500)</f>
        <v/>
      </c>
      <c r="B2684" s="30">
        <v>2683.0</v>
      </c>
      <c r="C2684" s="16" t="s">
        <v>3424</v>
      </c>
      <c r="D2684" s="16" t="s">
        <v>184</v>
      </c>
      <c r="E2684" s="16" t="s">
        <v>285</v>
      </c>
      <c r="F2684" s="16" t="s">
        <v>346</v>
      </c>
      <c r="G2684" s="16" t="s">
        <v>188</v>
      </c>
      <c r="H2684" s="16" t="s">
        <v>665</v>
      </c>
    </row>
    <row r="2685" ht="20.25" customHeight="1">
      <c r="A2685" s="32" t="str">
        <f>IMAGE("https://gymvisual.com/7706-catalog_default/lever-lying-leg-raise-bent-knee.jpg",4,500,500)</f>
        <v/>
      </c>
      <c r="B2685" s="30">
        <v>2684.0</v>
      </c>
      <c r="C2685" s="16" t="s">
        <v>3425</v>
      </c>
      <c r="D2685" s="16" t="s">
        <v>184</v>
      </c>
      <c r="E2685" s="16" t="s">
        <v>254</v>
      </c>
      <c r="F2685" s="16" t="s">
        <v>346</v>
      </c>
      <c r="G2685" s="16" t="s">
        <v>305</v>
      </c>
      <c r="H2685" s="16" t="s">
        <v>289</v>
      </c>
    </row>
    <row r="2686" ht="20.25" customHeight="1">
      <c r="A2686" s="32" t="str">
        <f>IMAGE("https://gymvisual.com/6837-catalog_default/lever-lying-single-leg-curl.jpg",4,500,500)</f>
        <v/>
      </c>
      <c r="B2686" s="30">
        <v>2685.0</v>
      </c>
      <c r="C2686" s="16" t="s">
        <v>3426</v>
      </c>
      <c r="D2686" s="16" t="s">
        <v>184</v>
      </c>
      <c r="E2686" s="16" t="s">
        <v>285</v>
      </c>
      <c r="F2686" s="16" t="s">
        <v>346</v>
      </c>
      <c r="G2686" s="16" t="s">
        <v>188</v>
      </c>
      <c r="H2686" s="16" t="s">
        <v>665</v>
      </c>
    </row>
    <row r="2687" ht="20.25" customHeight="1">
      <c r="A2687" s="32" t="str">
        <f>IMAGE("https://gymvisual.com/22155-catalog_default/lever-lying-single-leg-curl-female.jpg",4,500,500)</f>
        <v/>
      </c>
      <c r="B2687" s="30">
        <v>2686.0</v>
      </c>
      <c r="C2687" s="16" t="s">
        <v>3427</v>
      </c>
      <c r="D2687" s="16" t="s">
        <v>184</v>
      </c>
      <c r="E2687" s="16" t="s">
        <v>285</v>
      </c>
      <c r="F2687" s="16" t="s">
        <v>346</v>
      </c>
      <c r="G2687" s="16" t="s">
        <v>188</v>
      </c>
      <c r="H2687" s="16" t="s">
        <v>665</v>
      </c>
    </row>
    <row r="2688" ht="20.25" customHeight="1">
      <c r="A2688" s="32" t="str">
        <f>IMAGE("https://gymvisual.com/4520-catalog_default/lever-lying-t-bar-row.jpg",4,500,500)</f>
        <v/>
      </c>
      <c r="B2688" s="30">
        <v>2687.0</v>
      </c>
      <c r="C2688" s="16" t="s">
        <v>3428</v>
      </c>
      <c r="D2688" s="16" t="s">
        <v>184</v>
      </c>
      <c r="E2688" s="16" t="s">
        <v>192</v>
      </c>
      <c r="F2688" s="16" t="s">
        <v>346</v>
      </c>
      <c r="G2688" s="16" t="s">
        <v>329</v>
      </c>
      <c r="H2688" s="16" t="s">
        <v>3429</v>
      </c>
    </row>
    <row r="2689" ht="20.25" customHeight="1">
      <c r="A2689" s="32" t="str">
        <f>IMAGE("https://gymvisual.com/12857-catalog_default/lever-lying-two-one-leg-curl.jpg",4,500,500)</f>
        <v/>
      </c>
      <c r="B2689" s="30">
        <v>2688.0</v>
      </c>
      <c r="C2689" s="16" t="s">
        <v>3430</v>
      </c>
      <c r="D2689" s="16" t="s">
        <v>184</v>
      </c>
      <c r="E2689" s="16" t="s">
        <v>285</v>
      </c>
      <c r="F2689" s="16" t="s">
        <v>346</v>
      </c>
      <c r="G2689" s="16" t="s">
        <v>188</v>
      </c>
      <c r="H2689" s="16" t="s">
        <v>368</v>
      </c>
    </row>
    <row r="2690" ht="20.25" customHeight="1">
      <c r="A2690" s="32" t="str">
        <f>IMAGE("https://gymvisual.com/1765-catalog_default/3-4-sit-up.jpg",4,500,500)</f>
        <v/>
      </c>
      <c r="B2690" s="30">
        <v>2689.0</v>
      </c>
      <c r="C2690" s="16" t="s">
        <v>3431</v>
      </c>
      <c r="D2690" s="16" t="s">
        <v>184</v>
      </c>
      <c r="E2690" s="16" t="s">
        <v>228</v>
      </c>
      <c r="F2690" s="16" t="s">
        <v>346</v>
      </c>
      <c r="G2690" s="16" t="s">
        <v>229</v>
      </c>
      <c r="H2690" s="16" t="s">
        <v>626</v>
      </c>
    </row>
    <row r="2691" ht="20.25" customHeight="1">
      <c r="A2691" s="32" t="str">
        <f>IMAGE("https://gymvisual.com/13471-catalog_default/lever-military-press-plate-loaded-female.jpg",4,500,500)</f>
        <v/>
      </c>
      <c r="B2691" s="30">
        <v>2690.0</v>
      </c>
      <c r="C2691" s="16" t="s">
        <v>3432</v>
      </c>
      <c r="D2691" s="16" t="s">
        <v>184</v>
      </c>
      <c r="E2691" s="16" t="s">
        <v>228</v>
      </c>
      <c r="F2691" s="16" t="s">
        <v>346</v>
      </c>
      <c r="G2691" s="16" t="s">
        <v>229</v>
      </c>
      <c r="H2691" s="16" t="s">
        <v>230</v>
      </c>
    </row>
    <row r="2692" ht="20.25" customHeight="1">
      <c r="A2692" s="32" t="str">
        <f>IMAGE("https://gymvisual.com/13473-catalog_default/lever-narrow-grip-seated-row-plate-loaded-female.jpg",4,500,500)</f>
        <v/>
      </c>
      <c r="B2692" s="30">
        <v>2691.0</v>
      </c>
      <c r="C2692" s="16" t="s">
        <v>3433</v>
      </c>
      <c r="D2692" s="16" t="s">
        <v>184</v>
      </c>
      <c r="E2692" s="16" t="s">
        <v>192</v>
      </c>
      <c r="F2692" s="16" t="s">
        <v>346</v>
      </c>
      <c r="G2692" s="16" t="s">
        <v>220</v>
      </c>
      <c r="H2692" s="16" t="s">
        <v>220</v>
      </c>
    </row>
    <row r="2693" ht="20.25" customHeight="1">
      <c r="A2693" s="32" t="str">
        <f>IMAGE("https://gymvisual.com/9715-catalog_default/lever-neck-extension-plate-loaded.jpg",4,500,500)</f>
        <v/>
      </c>
      <c r="B2693" s="30">
        <v>2692.0</v>
      </c>
      <c r="C2693" s="16" t="s">
        <v>3434</v>
      </c>
      <c r="D2693" s="16" t="s">
        <v>184</v>
      </c>
      <c r="E2693" s="16" t="s">
        <v>351</v>
      </c>
      <c r="F2693" s="16" t="s">
        <v>346</v>
      </c>
      <c r="G2693" s="16" t="s">
        <v>220</v>
      </c>
      <c r="H2693" s="16" t="s">
        <v>220</v>
      </c>
    </row>
    <row r="2694" ht="20.25" customHeight="1">
      <c r="A2694" s="32" t="str">
        <f>IMAGE("https://gymvisual.com/9716-catalog_default/lever-neck-left-side-flexion-plate-loaded.jpg",4,500,500)</f>
        <v/>
      </c>
      <c r="B2694" s="30">
        <v>2693.0</v>
      </c>
      <c r="C2694" s="16" t="s">
        <v>3435</v>
      </c>
      <c r="D2694" s="16" t="s">
        <v>184</v>
      </c>
      <c r="E2694" s="16" t="s">
        <v>351</v>
      </c>
      <c r="F2694" s="16" t="s">
        <v>346</v>
      </c>
      <c r="G2694" s="16" t="s">
        <v>220</v>
      </c>
      <c r="H2694" s="16" t="s">
        <v>220</v>
      </c>
    </row>
    <row r="2695" ht="20.25" customHeight="1">
      <c r="A2695" s="32" t="str">
        <f>IMAGE("https://gymvisual.com/9717-catalog_default/lever-neck-right-side-flexion-plate-loaded.jpg",4,500,500)</f>
        <v/>
      </c>
      <c r="B2695" s="30">
        <v>2694.0</v>
      </c>
      <c r="C2695" s="16" t="s">
        <v>3436</v>
      </c>
      <c r="D2695" s="16" t="s">
        <v>184</v>
      </c>
      <c r="E2695" s="16" t="s">
        <v>351</v>
      </c>
      <c r="F2695" s="16" t="s">
        <v>346</v>
      </c>
      <c r="G2695" s="16" t="s">
        <v>220</v>
      </c>
      <c r="H2695" s="16" t="s">
        <v>220</v>
      </c>
    </row>
    <row r="2696" ht="20.25" customHeight="1">
      <c r="A2696" s="32" t="str">
        <f>IMAGE("https://gymvisual.com/23441-catalog_default/lever-neutral-grip-seated-row-plate-loaded.jpg",4,500,500)</f>
        <v/>
      </c>
      <c r="B2696" s="30">
        <v>2695.0</v>
      </c>
      <c r="C2696" s="16" t="s">
        <v>3437</v>
      </c>
      <c r="D2696" s="16" t="s">
        <v>184</v>
      </c>
      <c r="E2696" s="16" t="s">
        <v>192</v>
      </c>
      <c r="F2696" s="16" t="s">
        <v>346</v>
      </c>
      <c r="G2696" s="16" t="s">
        <v>329</v>
      </c>
      <c r="H2696" s="16" t="s">
        <v>457</v>
      </c>
    </row>
    <row r="2697" ht="20.25" customHeight="1">
      <c r="A2697" s="32" t="str">
        <f>IMAGE("https://gymvisual.com/1771-catalog_default/3-4-sit-up.jpg",4,500,500)</f>
        <v/>
      </c>
      <c r="B2697" s="30">
        <v>2696.0</v>
      </c>
      <c r="C2697" s="16" t="s">
        <v>3438</v>
      </c>
      <c r="D2697" s="16" t="s">
        <v>184</v>
      </c>
      <c r="E2697" s="16" t="s">
        <v>192</v>
      </c>
      <c r="F2697" s="16" t="s">
        <v>186</v>
      </c>
      <c r="G2697" s="16" t="s">
        <v>329</v>
      </c>
      <c r="H2697" s="16" t="s">
        <v>457</v>
      </c>
    </row>
    <row r="2698" ht="20.25" customHeight="1">
      <c r="A2698" s="32" t="str">
        <f>IMAGE("https://gymvisual.com/13291-catalog_default/lever-one-arm-chest-press-plate-loaded.jpg",4,500,500)</f>
        <v/>
      </c>
      <c r="B2698" s="30">
        <v>2697.0</v>
      </c>
      <c r="C2698" s="16" t="s">
        <v>3439</v>
      </c>
      <c r="D2698" s="16" t="s">
        <v>184</v>
      </c>
      <c r="E2698" s="16" t="s">
        <v>234</v>
      </c>
      <c r="F2698" s="16" t="s">
        <v>346</v>
      </c>
      <c r="G2698" s="16" t="s">
        <v>220</v>
      </c>
      <c r="H2698" s="16" t="s">
        <v>220</v>
      </c>
    </row>
    <row r="2699" ht="20.25" customHeight="1">
      <c r="A2699" s="32" t="str">
        <f>IMAGE("https://gymvisual.com/13293-catalog_default/lever-one-arm-chest-press-plate-loaded-female.jpg",4,500,500)</f>
        <v/>
      </c>
      <c r="B2699" s="30">
        <v>2698.0</v>
      </c>
      <c r="C2699" s="16" t="s">
        <v>3440</v>
      </c>
      <c r="D2699" s="16" t="s">
        <v>184</v>
      </c>
      <c r="E2699" s="16" t="s">
        <v>234</v>
      </c>
      <c r="F2699" s="16" t="s">
        <v>346</v>
      </c>
      <c r="G2699" s="16" t="s">
        <v>220</v>
      </c>
      <c r="H2699" s="16" t="s">
        <v>220</v>
      </c>
    </row>
    <row r="2700" ht="20.25" customHeight="1">
      <c r="A2700" s="32" t="str">
        <f>IMAGE("https://gymvisual.com/24766-catalog_default/lever-one-arm-incline-chest-press-plate-loaded.jpg",4,500,500)</f>
        <v/>
      </c>
      <c r="B2700" s="30">
        <v>2699.0</v>
      </c>
      <c r="C2700" s="16" t="s">
        <v>3441</v>
      </c>
      <c r="D2700" s="16" t="s">
        <v>184</v>
      </c>
      <c r="E2700" s="16" t="s">
        <v>234</v>
      </c>
      <c r="F2700" s="16" t="s">
        <v>346</v>
      </c>
      <c r="G2700" s="16" t="s">
        <v>220</v>
      </c>
      <c r="H2700" s="16" t="s">
        <v>220</v>
      </c>
    </row>
    <row r="2701" ht="20.25" customHeight="1">
      <c r="A2701" s="32" t="str">
        <f>IMAGE("https://gymvisual.com/6047-catalog_default/lever-one-arm-lateral-high-row.jpg",4,500,500)</f>
        <v/>
      </c>
      <c r="B2701" s="30">
        <v>2700.0</v>
      </c>
      <c r="C2701" s="16" t="s">
        <v>3442</v>
      </c>
      <c r="D2701" s="16" t="s">
        <v>184</v>
      </c>
      <c r="E2701" s="16" t="s">
        <v>192</v>
      </c>
      <c r="F2701" s="16" t="s">
        <v>346</v>
      </c>
      <c r="G2701" s="16" t="s">
        <v>329</v>
      </c>
      <c r="H2701" s="16" t="s">
        <v>457</v>
      </c>
    </row>
    <row r="2702" ht="20.25" customHeight="1">
      <c r="A2702" s="32" t="str">
        <f>IMAGE("https://gymvisual.com/6038-catalog_default/lever-one-arm-lateral-wide-pulldown-plate-loaded.jpg",4,500,500)</f>
        <v/>
      </c>
      <c r="B2702" s="30">
        <v>2701.0</v>
      </c>
      <c r="C2702" s="16" t="s">
        <v>3443</v>
      </c>
      <c r="D2702" s="16" t="s">
        <v>184</v>
      </c>
      <c r="E2702" s="16" t="s">
        <v>192</v>
      </c>
      <c r="F2702" s="16" t="s">
        <v>346</v>
      </c>
      <c r="G2702" s="16" t="s">
        <v>300</v>
      </c>
      <c r="H2702" s="16" t="s">
        <v>3444</v>
      </c>
    </row>
    <row r="2703" ht="20.25" customHeight="1">
      <c r="A2703" s="32" t="str">
        <f>IMAGE("https://gymvisual.com/18063-catalog_default/lever-one-arm-low-row-plate-loaded.jpg",4,500,500)</f>
        <v/>
      </c>
      <c r="B2703" s="30">
        <v>2702.0</v>
      </c>
      <c r="C2703" s="16" t="s">
        <v>3445</v>
      </c>
      <c r="D2703" s="16" t="s">
        <v>184</v>
      </c>
      <c r="E2703" s="16" t="s">
        <v>192</v>
      </c>
      <c r="F2703" s="16" t="s">
        <v>346</v>
      </c>
      <c r="G2703" s="16" t="s">
        <v>220</v>
      </c>
      <c r="H2703" s="16" t="s">
        <v>220</v>
      </c>
    </row>
    <row r="2704" ht="20.25" customHeight="1">
      <c r="A2704" s="32" t="str">
        <f>IMAGE("https://gymvisual.com/4606-catalog_default/lever-one-arm-seated-row-seated-row-machine.jpg",4,500,500)</f>
        <v/>
      </c>
      <c r="B2704" s="30">
        <v>2703.0</v>
      </c>
      <c r="C2704" s="16" t="s">
        <v>3446</v>
      </c>
      <c r="D2704" s="16" t="s">
        <v>184</v>
      </c>
      <c r="E2704" s="16" t="s">
        <v>192</v>
      </c>
      <c r="F2704" s="16" t="s">
        <v>346</v>
      </c>
      <c r="G2704" s="16" t="s">
        <v>329</v>
      </c>
      <c r="H2704" s="16" t="s">
        <v>457</v>
      </c>
    </row>
    <row r="2705" ht="20.25" customHeight="1">
      <c r="A2705" s="32" t="str">
        <f>IMAGE("https://gymvisual.com/1774-catalog_default/3-4-sit-up.jpg",4,500,500)</f>
        <v/>
      </c>
      <c r="B2705" s="30">
        <v>2704.0</v>
      </c>
      <c r="C2705" s="16" t="s">
        <v>3447</v>
      </c>
      <c r="D2705" s="16" t="s">
        <v>184</v>
      </c>
      <c r="E2705" s="16" t="s">
        <v>228</v>
      </c>
      <c r="F2705" s="16" t="s">
        <v>346</v>
      </c>
      <c r="G2705" s="16" t="s">
        <v>229</v>
      </c>
      <c r="H2705" s="16" t="s">
        <v>3448</v>
      </c>
    </row>
    <row r="2706" ht="20.25" customHeight="1">
      <c r="A2706" s="32" t="str">
        <f>IMAGE("https://gymvisual.com/25657-catalog_default/lever-one-arm-side-chest-press-male.jpg",4,500,500)</f>
        <v/>
      </c>
      <c r="B2706" s="30">
        <v>2705.0</v>
      </c>
      <c r="C2706" s="16" t="s">
        <v>3449</v>
      </c>
      <c r="D2706" s="16" t="s">
        <v>184</v>
      </c>
      <c r="E2706" s="16" t="s">
        <v>234</v>
      </c>
      <c r="F2706" s="16" t="s">
        <v>346</v>
      </c>
      <c r="G2706" s="16" t="s">
        <v>220</v>
      </c>
      <c r="H2706" s="16" t="s">
        <v>220</v>
      </c>
    </row>
    <row r="2707" ht="20.25" customHeight="1">
      <c r="A2707" s="32" t="str">
        <f>IMAGE("https://gymvisual.com/6818-catalog_default/lever-one-leg-extension.jpg",4,500,500)</f>
        <v/>
      </c>
      <c r="B2707" s="30">
        <v>2706.0</v>
      </c>
      <c r="C2707" s="16" t="s">
        <v>3450</v>
      </c>
      <c r="D2707" s="16" t="s">
        <v>184</v>
      </c>
      <c r="E2707" s="16" t="s">
        <v>285</v>
      </c>
      <c r="F2707" s="16" t="s">
        <v>346</v>
      </c>
      <c r="G2707" s="16" t="s">
        <v>552</v>
      </c>
      <c r="H2707" s="16" t="s">
        <v>220</v>
      </c>
    </row>
    <row r="2708" ht="20.25" customHeight="1">
      <c r="A2708" s="32" t="str">
        <f>IMAGE("https://gymvisual.com/1777-catalog_default/3-4-sit-up.jpg",4,500,500)</f>
        <v/>
      </c>
      <c r="B2708" s="30">
        <v>2707.0</v>
      </c>
      <c r="C2708" s="16" t="s">
        <v>3451</v>
      </c>
      <c r="D2708" s="16" t="s">
        <v>184</v>
      </c>
      <c r="E2708" s="16" t="s">
        <v>219</v>
      </c>
      <c r="F2708" s="16" t="s">
        <v>346</v>
      </c>
      <c r="G2708" s="16" t="s">
        <v>223</v>
      </c>
      <c r="H2708" s="16" t="s">
        <v>394</v>
      </c>
    </row>
    <row r="2709" ht="20.25" customHeight="1">
      <c r="A2709" s="32" t="str">
        <f>IMAGE("https://gymvisual.com/2927-catalog_default/lever-parallel-chest-press.jpg",4,500,500)</f>
        <v/>
      </c>
      <c r="B2709" s="30">
        <v>2708.0</v>
      </c>
      <c r="C2709" s="16" t="s">
        <v>3452</v>
      </c>
      <c r="D2709" s="16" t="s">
        <v>184</v>
      </c>
      <c r="E2709" s="16" t="s">
        <v>234</v>
      </c>
      <c r="F2709" s="16" t="s">
        <v>346</v>
      </c>
      <c r="G2709" s="16" t="s">
        <v>187</v>
      </c>
      <c r="H2709" s="16" t="s">
        <v>188</v>
      </c>
    </row>
    <row r="2710" ht="20.25" customHeight="1">
      <c r="A2710" s="32" t="str">
        <f>IMAGE("https://gymvisual.com/2928-catalog_default/lever-pec-deck-fly.jpg",4,500,500)</f>
        <v/>
      </c>
      <c r="B2710" s="30">
        <v>2709.0</v>
      </c>
      <c r="C2710" s="16" t="s">
        <v>3453</v>
      </c>
      <c r="D2710" s="16" t="s">
        <v>184</v>
      </c>
      <c r="E2710" s="16" t="s">
        <v>234</v>
      </c>
      <c r="F2710" s="16" t="s">
        <v>346</v>
      </c>
      <c r="G2710" s="16" t="s">
        <v>241</v>
      </c>
      <c r="H2710" s="16" t="s">
        <v>292</v>
      </c>
    </row>
    <row r="2711" ht="20.25" customHeight="1">
      <c r="A2711" s="32" t="str">
        <f>IMAGE("https://gymvisual.com/10522-catalog_default/lever-pec-deck-fly-female.jpg",4,500,500)</f>
        <v/>
      </c>
      <c r="B2711" s="30">
        <v>2710.0</v>
      </c>
      <c r="C2711" s="16" t="s">
        <v>3454</v>
      </c>
      <c r="D2711" s="16" t="s">
        <v>184</v>
      </c>
      <c r="E2711" s="16" t="s">
        <v>234</v>
      </c>
      <c r="F2711" s="16" t="s">
        <v>346</v>
      </c>
      <c r="G2711" s="16" t="s">
        <v>347</v>
      </c>
      <c r="H2711" s="16" t="s">
        <v>389</v>
      </c>
    </row>
    <row r="2712" ht="20.25" customHeight="1">
      <c r="A2712" s="32" t="str">
        <f>IMAGE("https://gymvisual.com/20033-catalog_default/lever-pendulum-squat-plate-loaded.jpg",4,500,500)</f>
        <v/>
      </c>
      <c r="B2712" s="30">
        <v>2711.0</v>
      </c>
      <c r="C2712" s="16" t="s">
        <v>3455</v>
      </c>
      <c r="D2712" s="16" t="s">
        <v>184</v>
      </c>
      <c r="E2712" s="16" t="s">
        <v>294</v>
      </c>
      <c r="F2712" s="16" t="s">
        <v>346</v>
      </c>
      <c r="G2712" s="16" t="s">
        <v>189</v>
      </c>
      <c r="H2712" s="16" t="s">
        <v>190</v>
      </c>
    </row>
    <row r="2713" ht="20.25" customHeight="1">
      <c r="A2713" s="32" t="str">
        <f>IMAGE("https://gymvisual.com/2938-catalog_default/lever-pistol-squat.jpg",4,500,500)</f>
        <v/>
      </c>
      <c r="B2713" s="30">
        <v>2712.0</v>
      </c>
      <c r="C2713" s="16" t="s">
        <v>3456</v>
      </c>
      <c r="D2713" s="16" t="s">
        <v>184</v>
      </c>
      <c r="E2713" s="16" t="s">
        <v>285</v>
      </c>
      <c r="F2713" s="16" t="s">
        <v>346</v>
      </c>
      <c r="G2713" s="16" t="s">
        <v>3457</v>
      </c>
      <c r="H2713" s="16" t="s">
        <v>3458</v>
      </c>
    </row>
    <row r="2714" ht="20.25" customHeight="1">
      <c r="A2714" s="32" t="str">
        <f>IMAGE("https://gymvisual.com/20601-catalog_default/3-4-sit-up.jpg",4,500,500)</f>
        <v/>
      </c>
      <c r="B2714" s="30">
        <v>2713.0</v>
      </c>
      <c r="C2714" s="16" t="s">
        <v>3459</v>
      </c>
      <c r="D2714" s="16" t="s">
        <v>184</v>
      </c>
      <c r="E2714" s="16" t="s">
        <v>219</v>
      </c>
      <c r="F2714" s="16" t="s">
        <v>346</v>
      </c>
      <c r="G2714" s="16" t="s">
        <v>232</v>
      </c>
      <c r="H2714" s="16" t="s">
        <v>233</v>
      </c>
    </row>
    <row r="2715" ht="20.25" customHeight="1">
      <c r="A2715" s="32" t="str">
        <f>IMAGE("https://gymvisual.com/7724-catalog_default/lever-preacher-curl-plate-loaded.jpg",4,500,500)</f>
        <v/>
      </c>
      <c r="B2715" s="30">
        <v>2714.0</v>
      </c>
      <c r="C2715" s="16" t="s">
        <v>3460</v>
      </c>
      <c r="D2715" s="16" t="s">
        <v>184</v>
      </c>
      <c r="E2715" s="16" t="s">
        <v>219</v>
      </c>
      <c r="F2715" s="16" t="s">
        <v>346</v>
      </c>
      <c r="G2715" s="16" t="s">
        <v>232</v>
      </c>
      <c r="H2715" s="16" t="s">
        <v>233</v>
      </c>
    </row>
    <row r="2716" ht="20.25" customHeight="1">
      <c r="A2716" s="32" t="str">
        <f>IMAGE("https://gymvisual.com/12223-catalog_default/lever-preacher-curl-plate-loaded.jpg",4,500,500)</f>
        <v/>
      </c>
      <c r="B2716" s="30">
        <v>2715.0</v>
      </c>
      <c r="C2716" s="16" t="s">
        <v>3460</v>
      </c>
      <c r="D2716" s="16" t="s">
        <v>184</v>
      </c>
      <c r="E2716" s="16" t="s">
        <v>219</v>
      </c>
      <c r="F2716" s="16" t="s">
        <v>346</v>
      </c>
      <c r="G2716" s="16" t="s">
        <v>232</v>
      </c>
      <c r="H2716" s="16" t="s">
        <v>233</v>
      </c>
    </row>
    <row r="2717" ht="20.25" customHeight="1">
      <c r="A2717" s="32" t="str">
        <f>IMAGE("https://gymvisual.com/13475-catalog_default/lever-preacher-curl-plate-loaded-female.jpg",4,500,500)</f>
        <v/>
      </c>
      <c r="B2717" s="30">
        <v>2716.0</v>
      </c>
      <c r="C2717" s="16" t="s">
        <v>3461</v>
      </c>
      <c r="D2717" s="16" t="s">
        <v>184</v>
      </c>
      <c r="E2717" s="16" t="s">
        <v>219</v>
      </c>
      <c r="F2717" s="16" t="s">
        <v>346</v>
      </c>
      <c r="G2717" s="16" t="s">
        <v>220</v>
      </c>
      <c r="H2717" s="16" t="s">
        <v>220</v>
      </c>
    </row>
    <row r="2718" ht="20.25" customHeight="1">
      <c r="A2718" s="32" t="str">
        <f>IMAGE("https://gymvisual.com/20594-catalog_default/lever-preacher-curl-turned-torso.jpg",4,500,500)</f>
        <v/>
      </c>
      <c r="B2718" s="30">
        <v>2717.0</v>
      </c>
      <c r="C2718" s="16" t="s">
        <v>3462</v>
      </c>
      <c r="D2718" s="16" t="s">
        <v>184</v>
      </c>
      <c r="E2718" s="16" t="s">
        <v>219</v>
      </c>
      <c r="F2718" s="16" t="s">
        <v>346</v>
      </c>
      <c r="G2718" s="16" t="s">
        <v>232</v>
      </c>
      <c r="H2718" s="16" t="s">
        <v>233</v>
      </c>
    </row>
    <row r="2719" ht="20.25" customHeight="1">
      <c r="A2719" s="32" t="str">
        <f>IMAGE("https://gymvisual.com/7085-catalog_default/lever-preacher-curl-version-2.jpg",4,500,500)</f>
        <v/>
      </c>
      <c r="B2719" s="30">
        <v>2718.0</v>
      </c>
      <c r="C2719" s="16" t="s">
        <v>3463</v>
      </c>
      <c r="D2719" s="16" t="s">
        <v>184</v>
      </c>
      <c r="E2719" s="16" t="s">
        <v>219</v>
      </c>
      <c r="F2719" s="16" t="s">
        <v>346</v>
      </c>
      <c r="G2719" s="16" t="s">
        <v>232</v>
      </c>
      <c r="H2719" s="16" t="s">
        <v>233</v>
      </c>
    </row>
    <row r="2720" ht="20.25" customHeight="1">
      <c r="A2720" s="32" t="str">
        <f>IMAGE("https://gymvisual.com/12058-catalog_default/lever-preacher-curl-version-2-female.jpg",4,500,500)</f>
        <v/>
      </c>
      <c r="B2720" s="30">
        <v>2719.0</v>
      </c>
      <c r="C2720" s="16" t="s">
        <v>3464</v>
      </c>
      <c r="D2720" s="16" t="s">
        <v>184</v>
      </c>
      <c r="E2720" s="16" t="s">
        <v>219</v>
      </c>
      <c r="F2720" s="16" t="s">
        <v>346</v>
      </c>
      <c r="G2720" s="16" t="s">
        <v>232</v>
      </c>
      <c r="H2720" s="16" t="s">
        <v>233</v>
      </c>
    </row>
    <row r="2721" ht="20.25" customHeight="1">
      <c r="A2721" s="32" t="str">
        <f>IMAGE("https://gymvisual.com/23447-catalog_default/lever-pronated-grip-seated-row-plate-loaded.jpg",4,500,500)</f>
        <v/>
      </c>
      <c r="B2721" s="30">
        <v>2720.0</v>
      </c>
      <c r="C2721" s="16" t="s">
        <v>3465</v>
      </c>
      <c r="D2721" s="16" t="s">
        <v>184</v>
      </c>
      <c r="E2721" s="16" t="s">
        <v>192</v>
      </c>
      <c r="F2721" s="16" t="s">
        <v>346</v>
      </c>
      <c r="G2721" s="16" t="s">
        <v>570</v>
      </c>
      <c r="H2721" s="16" t="s">
        <v>447</v>
      </c>
    </row>
    <row r="2722" ht="20.25" customHeight="1">
      <c r="A2722" s="32" t="str">
        <f>IMAGE("https://gymvisual.com/23451-catalog_default/lever-pronated-grip-seated-scapular-retraction-shrug-plate-loaded.jpg",4,500,500)</f>
        <v/>
      </c>
      <c r="B2722" s="30">
        <v>2721.0</v>
      </c>
      <c r="C2722" s="16" t="s">
        <v>3466</v>
      </c>
      <c r="D2722" s="16" t="s">
        <v>184</v>
      </c>
      <c r="E2722" s="16" t="s">
        <v>192</v>
      </c>
      <c r="F2722" s="16" t="s">
        <v>346</v>
      </c>
      <c r="G2722" s="16" t="s">
        <v>3467</v>
      </c>
      <c r="H2722" s="16" t="s">
        <v>3468</v>
      </c>
    </row>
    <row r="2723" ht="20.25" customHeight="1">
      <c r="A2723" s="32" t="str">
        <f>IMAGE("https://gymvisual.com/9718-catalog_default/lever-pullover-plate-loaded.jpg",4,500,500)</f>
        <v/>
      </c>
      <c r="B2723" s="30">
        <v>2722.0</v>
      </c>
      <c r="C2723" s="16" t="s">
        <v>3469</v>
      </c>
      <c r="D2723" s="16" t="s">
        <v>184</v>
      </c>
      <c r="E2723" s="16" t="s">
        <v>192</v>
      </c>
      <c r="F2723" s="16" t="s">
        <v>346</v>
      </c>
      <c r="G2723" s="16" t="s">
        <v>347</v>
      </c>
      <c r="H2723" s="16" t="s">
        <v>2362</v>
      </c>
    </row>
    <row r="2724" ht="20.25" customHeight="1">
      <c r="A2724" s="32" t="str">
        <f>IMAGE("https://gymvisual.com/19425-catalog_default/lever-reverse-grip-high-row-plate-loaded.jpg",4,500,500)</f>
        <v/>
      </c>
      <c r="B2724" s="30">
        <v>2723.0</v>
      </c>
      <c r="C2724" s="16" t="s">
        <v>3470</v>
      </c>
      <c r="D2724" s="16" t="s">
        <v>184</v>
      </c>
      <c r="E2724" s="16" t="s">
        <v>192</v>
      </c>
      <c r="F2724" s="16" t="s">
        <v>346</v>
      </c>
      <c r="G2724" s="16" t="s">
        <v>220</v>
      </c>
      <c r="H2724" s="16" t="s">
        <v>220</v>
      </c>
    </row>
    <row r="2725" ht="20.25" customHeight="1">
      <c r="A2725" s="32" t="str">
        <f>IMAGE("https://gymvisual.com/10897-catalog_default/lever-reverse-grip-lateral-pulldown-plate-loaded.jpg",4,500,500)</f>
        <v/>
      </c>
      <c r="B2725" s="30">
        <v>2724.0</v>
      </c>
      <c r="C2725" s="16" t="s">
        <v>3471</v>
      </c>
      <c r="D2725" s="16" t="s">
        <v>184</v>
      </c>
      <c r="E2725" s="16" t="s">
        <v>192</v>
      </c>
      <c r="F2725" s="16" t="s">
        <v>346</v>
      </c>
      <c r="G2725" s="16" t="s">
        <v>300</v>
      </c>
      <c r="H2725" s="16" t="s">
        <v>708</v>
      </c>
    </row>
    <row r="2726" ht="20.25" customHeight="1">
      <c r="A2726" s="32" t="str">
        <f>IMAGE("https://gymvisual.com/7089-catalog_default/lever-reverse-grip-preacher-curl.jpg",4,500,500)</f>
        <v/>
      </c>
      <c r="B2726" s="30">
        <v>2725.0</v>
      </c>
      <c r="C2726" s="16" t="s">
        <v>3472</v>
      </c>
      <c r="D2726" s="16" t="s">
        <v>184</v>
      </c>
      <c r="E2726" s="16" t="s">
        <v>219</v>
      </c>
      <c r="F2726" s="16" t="s">
        <v>346</v>
      </c>
      <c r="G2726" s="16" t="s">
        <v>220</v>
      </c>
      <c r="H2726" s="16" t="s">
        <v>220</v>
      </c>
    </row>
    <row r="2727" ht="20.25" customHeight="1">
      <c r="A2727" s="32" t="str">
        <f>IMAGE("https://gymvisual.com/6039-catalog_default/lever-reverse-grip-vertical-row.jpg",4,500,500)</f>
        <v/>
      </c>
      <c r="B2727" s="30">
        <v>2726.0</v>
      </c>
      <c r="C2727" s="16" t="s">
        <v>3473</v>
      </c>
      <c r="D2727" s="16" t="s">
        <v>184</v>
      </c>
      <c r="E2727" s="16" t="s">
        <v>192</v>
      </c>
      <c r="F2727" s="16" t="s">
        <v>346</v>
      </c>
      <c r="G2727" s="16" t="s">
        <v>329</v>
      </c>
      <c r="H2727" s="16" t="s">
        <v>457</v>
      </c>
    </row>
    <row r="2728" ht="20.25" customHeight="1">
      <c r="A2728" s="32" t="str">
        <f>IMAGE("https://gymvisual.com/11387-catalog_default/lever-reverse-grip-vertical-row-female.jpg",4,500,500)</f>
        <v/>
      </c>
      <c r="B2728" s="30">
        <v>2727.0</v>
      </c>
      <c r="C2728" s="16" t="s">
        <v>3474</v>
      </c>
      <c r="D2728" s="16" t="s">
        <v>184</v>
      </c>
      <c r="E2728" s="16" t="s">
        <v>192</v>
      </c>
      <c r="F2728" s="16" t="s">
        <v>346</v>
      </c>
      <c r="G2728" s="16" t="s">
        <v>220</v>
      </c>
      <c r="H2728" s="16" t="s">
        <v>220</v>
      </c>
    </row>
    <row r="2729" ht="20.25" customHeight="1">
      <c r="A2729" s="32" t="str">
        <f>IMAGE("https://gymvisual.com/1783-catalog_default/3-4-sit-up.jpg",4,500,500)</f>
        <v/>
      </c>
      <c r="B2729" s="30">
        <v>2728.0</v>
      </c>
      <c r="C2729" s="16" t="s">
        <v>3475</v>
      </c>
      <c r="D2729" s="16" t="s">
        <v>184</v>
      </c>
      <c r="E2729" s="16" t="s">
        <v>185</v>
      </c>
      <c r="F2729" s="16" t="s">
        <v>346</v>
      </c>
      <c r="G2729" s="16" t="s">
        <v>187</v>
      </c>
      <c r="H2729" s="16" t="s">
        <v>188</v>
      </c>
    </row>
    <row r="2730" ht="20.25" customHeight="1">
      <c r="A2730" s="32" t="str">
        <f>IMAGE("https://gymvisual.com/12749-catalog_default/lever-reverse-hyperextension-plate-loaded-female.jpg",4,500,500)</f>
        <v/>
      </c>
      <c r="B2730" s="30">
        <v>2729.0</v>
      </c>
      <c r="C2730" s="16" t="s">
        <v>3476</v>
      </c>
      <c r="D2730" s="16" t="s">
        <v>184</v>
      </c>
      <c r="E2730" s="16" t="s">
        <v>185</v>
      </c>
      <c r="F2730" s="16" t="s">
        <v>346</v>
      </c>
      <c r="G2730" s="16" t="s">
        <v>267</v>
      </c>
      <c r="H2730" s="16" t="s">
        <v>188</v>
      </c>
    </row>
    <row r="2731" ht="20.25" customHeight="1">
      <c r="A2731" s="32" t="str">
        <f>IMAGE("https://gymvisual.com/17991-catalog_default/lever-reverse-shoulder-press-plate-loaded.jpg",4,500,500)</f>
        <v/>
      </c>
      <c r="B2731" s="30">
        <v>2730.0</v>
      </c>
      <c r="C2731" s="16" t="s">
        <v>3477</v>
      </c>
      <c r="D2731" s="16" t="s">
        <v>184</v>
      </c>
      <c r="E2731" s="16" t="s">
        <v>228</v>
      </c>
      <c r="F2731" s="16" t="s">
        <v>346</v>
      </c>
      <c r="G2731" s="16" t="s">
        <v>220</v>
      </c>
      <c r="H2731" s="16" t="s">
        <v>220</v>
      </c>
    </row>
    <row r="2732" ht="20.25" customHeight="1">
      <c r="A2732" s="32" t="str">
        <f>IMAGE("https://gymvisual.com/6040-catalog_default/lever-reverse-t-bar-row.jpg",4,500,500)</f>
        <v/>
      </c>
      <c r="B2732" s="30">
        <v>2731.0</v>
      </c>
      <c r="C2732" s="16" t="s">
        <v>3478</v>
      </c>
      <c r="D2732" s="16" t="s">
        <v>184</v>
      </c>
      <c r="E2732" s="16" t="s">
        <v>192</v>
      </c>
      <c r="F2732" s="16" t="s">
        <v>346</v>
      </c>
      <c r="G2732" s="16" t="s">
        <v>329</v>
      </c>
      <c r="H2732" s="16" t="s">
        <v>457</v>
      </c>
    </row>
    <row r="2733" ht="20.25" customHeight="1">
      <c r="A2733" s="32" t="str">
        <f>IMAGE("https://gymvisual.com/13477-catalog_default/lever-reverse-t-bar-row-female.jpg",4,500,500)</f>
        <v/>
      </c>
      <c r="B2733" s="30">
        <v>2732.0</v>
      </c>
      <c r="C2733" s="16" t="s">
        <v>3479</v>
      </c>
      <c r="D2733" s="16" t="s">
        <v>184</v>
      </c>
      <c r="E2733" s="16" t="s">
        <v>192</v>
      </c>
      <c r="F2733" s="16" t="s">
        <v>346</v>
      </c>
      <c r="G2733" s="16" t="s">
        <v>570</v>
      </c>
      <c r="H2733" s="16" t="s">
        <v>447</v>
      </c>
    </row>
    <row r="2734" ht="20.25" customHeight="1">
      <c r="A2734" s="32" t="str">
        <f>IMAGE("https://gymvisual.com/24324-catalog_default/lever-reverse-vertical-hack-squat.jpg",4,500,500)</f>
        <v/>
      </c>
      <c r="B2734" s="30">
        <v>2733.0</v>
      </c>
      <c r="C2734" s="16" t="s">
        <v>3480</v>
      </c>
      <c r="D2734" s="16" t="s">
        <v>184</v>
      </c>
      <c r="E2734" s="16" t="s">
        <v>185</v>
      </c>
      <c r="F2734" s="16" t="s">
        <v>346</v>
      </c>
      <c r="G2734" s="16" t="s">
        <v>189</v>
      </c>
      <c r="H2734" s="16" t="s">
        <v>190</v>
      </c>
    </row>
    <row r="2735" ht="20.25" customHeight="1">
      <c r="A2735" s="32" t="str">
        <f>IMAGE("https://gymvisual.com/10143-catalog_default/lever-rotary-calf.jpg",4,500,500)</f>
        <v/>
      </c>
      <c r="B2735" s="30">
        <v>2734.0</v>
      </c>
      <c r="C2735" s="16" t="s">
        <v>3481</v>
      </c>
      <c r="D2735" s="16" t="s">
        <v>184</v>
      </c>
      <c r="E2735" s="16" t="s">
        <v>325</v>
      </c>
      <c r="F2735" s="16" t="s">
        <v>346</v>
      </c>
      <c r="G2735" s="16" t="s">
        <v>368</v>
      </c>
      <c r="H2735" s="16" t="s">
        <v>463</v>
      </c>
    </row>
    <row r="2736" ht="20.25" customHeight="1">
      <c r="A2736" s="32" t="str">
        <f>IMAGE("https://gymvisual.com/13479-catalog_default/lever-rotary-calf-female.jpg",4,500,500)</f>
        <v/>
      </c>
      <c r="B2736" s="30">
        <v>2735.0</v>
      </c>
      <c r="C2736" s="16" t="s">
        <v>3482</v>
      </c>
      <c r="D2736" s="16" t="s">
        <v>184</v>
      </c>
      <c r="E2736" s="16" t="s">
        <v>325</v>
      </c>
      <c r="F2736" s="16" t="s">
        <v>346</v>
      </c>
      <c r="G2736" s="16" t="s">
        <v>368</v>
      </c>
      <c r="H2736" s="16" t="s">
        <v>463</v>
      </c>
    </row>
    <row r="2737" ht="20.25" customHeight="1">
      <c r="A2737" s="32" t="str">
        <f>IMAGE("https://gymvisual.com/4608-catalog_default/lever-row-plate-loaded.jpg",4,500,500)</f>
        <v/>
      </c>
      <c r="B2737" s="30">
        <v>2736.0</v>
      </c>
      <c r="C2737" s="16" t="s">
        <v>3483</v>
      </c>
      <c r="D2737" s="16" t="s">
        <v>184</v>
      </c>
      <c r="E2737" s="16" t="s">
        <v>192</v>
      </c>
      <c r="F2737" s="16" t="s">
        <v>346</v>
      </c>
      <c r="G2737" s="16" t="s">
        <v>329</v>
      </c>
      <c r="H2737" s="16" t="s">
        <v>457</v>
      </c>
    </row>
    <row r="2738" ht="20.25" customHeight="1">
      <c r="A2738" s="32" t="str">
        <f>IMAGE("https://gymvisual.com/10055-catalog_default/lever-seated-calf-press.jpg",4,500,500)</f>
        <v/>
      </c>
      <c r="B2738" s="30">
        <v>2737.0</v>
      </c>
      <c r="C2738" s="16" t="s">
        <v>3484</v>
      </c>
      <c r="D2738" s="16" t="s">
        <v>184</v>
      </c>
      <c r="E2738" s="16" t="s">
        <v>325</v>
      </c>
      <c r="F2738" s="16" t="s">
        <v>346</v>
      </c>
      <c r="G2738" s="16" t="s">
        <v>368</v>
      </c>
      <c r="H2738" s="16" t="s">
        <v>463</v>
      </c>
    </row>
    <row r="2739" ht="20.25" customHeight="1">
      <c r="A2739" s="32" t="str">
        <f>IMAGE("https://gymvisual.com/11233-catalog_default/lever-seated-calf-press-female.jpg",4,500,500)</f>
        <v/>
      </c>
      <c r="B2739" s="30">
        <v>2738.0</v>
      </c>
      <c r="C2739" s="16" t="s">
        <v>3485</v>
      </c>
      <c r="D2739" s="16" t="s">
        <v>184</v>
      </c>
      <c r="E2739" s="16" t="s">
        <v>325</v>
      </c>
      <c r="F2739" s="16" t="s">
        <v>346</v>
      </c>
      <c r="G2739" s="16" t="s">
        <v>368</v>
      </c>
      <c r="H2739" s="16" t="s">
        <v>463</v>
      </c>
    </row>
    <row r="2740" ht="20.25" customHeight="1">
      <c r="A2740" s="32" t="str">
        <f>IMAGE("https://gymvisual.com/1786-catalog_default/3-4-sit-up.jpg",4,500,500)</f>
        <v/>
      </c>
      <c r="B2740" s="30">
        <v>2739.0</v>
      </c>
      <c r="C2740" s="16" t="s">
        <v>3486</v>
      </c>
      <c r="D2740" s="16" t="s">
        <v>184</v>
      </c>
      <c r="E2740" s="16" t="s">
        <v>325</v>
      </c>
      <c r="F2740" s="16" t="s">
        <v>346</v>
      </c>
      <c r="G2740" s="16" t="s">
        <v>463</v>
      </c>
      <c r="H2740" s="16" t="s">
        <v>368</v>
      </c>
    </row>
    <row r="2741" ht="20.25" customHeight="1">
      <c r="A2741" s="32" t="str">
        <f>IMAGE("https://gymvisual.com/13481-catalog_default/lever-seated-calf-raise-plate-loaded-female.jpg",4,500,500)</f>
        <v/>
      </c>
      <c r="B2741" s="30">
        <v>2740.0</v>
      </c>
      <c r="C2741" s="16" t="s">
        <v>3487</v>
      </c>
      <c r="D2741" s="16" t="s">
        <v>184</v>
      </c>
      <c r="E2741" s="16" t="s">
        <v>325</v>
      </c>
      <c r="F2741" s="16" t="s">
        <v>346</v>
      </c>
      <c r="G2741" s="16" t="s">
        <v>368</v>
      </c>
      <c r="H2741" s="16" t="s">
        <v>463</v>
      </c>
    </row>
    <row r="2742" ht="20.25" customHeight="1">
      <c r="A2742" s="32" t="str">
        <f>IMAGE("https://gymvisual.com/12229-catalog_default/lever-seated-calf-raise-plate-loaded-version-2.jpg",4,500,500)</f>
        <v/>
      </c>
      <c r="B2742" s="30">
        <v>2741.0</v>
      </c>
      <c r="C2742" s="16" t="s">
        <v>3488</v>
      </c>
      <c r="D2742" s="16" t="s">
        <v>184</v>
      </c>
      <c r="E2742" s="16" t="s">
        <v>325</v>
      </c>
      <c r="F2742" s="16" t="s">
        <v>346</v>
      </c>
      <c r="G2742" s="16" t="s">
        <v>368</v>
      </c>
      <c r="H2742" s="16" t="s">
        <v>463</v>
      </c>
    </row>
    <row r="2743" ht="20.25" customHeight="1">
      <c r="A2743" s="32" t="str">
        <f>IMAGE("https://gymvisual.com/6462-catalog_default/lever-seated-crunch.jpg",4,500,500)</f>
        <v/>
      </c>
      <c r="B2743" s="30">
        <v>2742.0</v>
      </c>
      <c r="C2743" s="16" t="s">
        <v>3489</v>
      </c>
      <c r="D2743" s="16" t="s">
        <v>184</v>
      </c>
      <c r="E2743" s="16" t="s">
        <v>254</v>
      </c>
      <c r="F2743" s="16" t="s">
        <v>346</v>
      </c>
      <c r="G2743" s="16" t="s">
        <v>256</v>
      </c>
      <c r="H2743" s="16" t="s">
        <v>257</v>
      </c>
    </row>
    <row r="2744" ht="20.25" customHeight="1">
      <c r="A2744" s="32" t="str">
        <f>IMAGE("https://gymvisual.com/1789-catalog_default/3-4-sit-up.jpg",4,500,500)</f>
        <v/>
      </c>
      <c r="B2744" s="30">
        <v>2743.0</v>
      </c>
      <c r="C2744" s="16" t="s">
        <v>3490</v>
      </c>
      <c r="D2744" s="16" t="s">
        <v>184</v>
      </c>
      <c r="E2744" s="16" t="s">
        <v>254</v>
      </c>
      <c r="F2744" s="16" t="s">
        <v>346</v>
      </c>
      <c r="G2744" s="16" t="s">
        <v>256</v>
      </c>
      <c r="H2744" s="16" t="s">
        <v>257</v>
      </c>
    </row>
    <row r="2745" ht="20.25" customHeight="1">
      <c r="A2745" s="32" t="str">
        <f>IMAGE("https://gymvisual.com/16616-catalog_default/lever-seated-crunch-chest-pad-female.jpg",4,500,500)</f>
        <v/>
      </c>
      <c r="B2745" s="30">
        <v>2744.0</v>
      </c>
      <c r="C2745" s="16" t="s">
        <v>3491</v>
      </c>
      <c r="D2745" s="16" t="s">
        <v>184</v>
      </c>
      <c r="E2745" s="16" t="s">
        <v>254</v>
      </c>
      <c r="F2745" s="16" t="s">
        <v>346</v>
      </c>
      <c r="G2745" s="16" t="s">
        <v>256</v>
      </c>
      <c r="H2745" s="16" t="s">
        <v>257</v>
      </c>
    </row>
    <row r="2746" ht="20.25" customHeight="1">
      <c r="A2746" s="32" t="str">
        <f>IMAGE("https://gymvisual.com/10960-catalog_default/lever-seated-crunch-female.jpg",4,500,500)</f>
        <v/>
      </c>
      <c r="B2746" s="30">
        <v>2745.0</v>
      </c>
      <c r="C2746" s="16" t="s">
        <v>3492</v>
      </c>
      <c r="D2746" s="16" t="s">
        <v>184</v>
      </c>
      <c r="E2746" s="16" t="s">
        <v>254</v>
      </c>
      <c r="F2746" s="16" t="s">
        <v>346</v>
      </c>
      <c r="G2746" s="16" t="s">
        <v>256</v>
      </c>
      <c r="H2746" s="16" t="s">
        <v>257</v>
      </c>
    </row>
    <row r="2747" ht="20.25" customHeight="1">
      <c r="A2747" s="32" t="str">
        <f>IMAGE("https://gymvisual.com/9691-catalog_default/lever-seated-crunch-hands-pad.jpg",4,500,500)</f>
        <v/>
      </c>
      <c r="B2747" s="30">
        <v>2746.0</v>
      </c>
      <c r="C2747" s="16" t="s">
        <v>3493</v>
      </c>
      <c r="D2747" s="16" t="s">
        <v>184</v>
      </c>
      <c r="E2747" s="16" t="s">
        <v>254</v>
      </c>
      <c r="F2747" s="16" t="s">
        <v>346</v>
      </c>
      <c r="G2747" s="16" t="s">
        <v>256</v>
      </c>
      <c r="H2747" s="16" t="s">
        <v>257</v>
      </c>
    </row>
    <row r="2748" ht="20.25" customHeight="1">
      <c r="A2748" s="32" t="str">
        <f>IMAGE("https://gymvisual.com/16676-catalog_default/lever-seated-crunch-version-2.jpg",4,500,500)</f>
        <v/>
      </c>
      <c r="B2748" s="30">
        <v>2747.0</v>
      </c>
      <c r="C2748" s="16" t="s">
        <v>3494</v>
      </c>
      <c r="D2748" s="16" t="s">
        <v>184</v>
      </c>
      <c r="E2748" s="16" t="s">
        <v>254</v>
      </c>
      <c r="F2748" s="16" t="s">
        <v>346</v>
      </c>
      <c r="G2748" s="16" t="s">
        <v>256</v>
      </c>
      <c r="H2748" s="16" t="s">
        <v>257</v>
      </c>
    </row>
    <row r="2749" ht="20.25" customHeight="1">
      <c r="A2749" s="32" t="str">
        <f>IMAGE("https://gymvisual.com/6460-catalog_default/lever-seated-dip.jpg",4,500,500)</f>
        <v/>
      </c>
      <c r="B2749" s="30">
        <v>2748.0</v>
      </c>
      <c r="C2749" s="16" t="s">
        <v>3495</v>
      </c>
      <c r="D2749" s="16" t="s">
        <v>184</v>
      </c>
      <c r="E2749" s="16" t="s">
        <v>219</v>
      </c>
      <c r="F2749" s="16" t="s">
        <v>346</v>
      </c>
      <c r="G2749" s="16" t="s">
        <v>223</v>
      </c>
      <c r="H2749" s="16" t="s">
        <v>394</v>
      </c>
    </row>
    <row r="2750" ht="20.25" customHeight="1">
      <c r="A2750" s="32" t="str">
        <f>IMAGE("https://gymvisual.com/9664-catalog_default/lever-seated-dip-female.jpg",4,500,500)</f>
        <v/>
      </c>
      <c r="B2750" s="30">
        <v>2749.0</v>
      </c>
      <c r="C2750" s="16" t="s">
        <v>3496</v>
      </c>
      <c r="D2750" s="16" t="s">
        <v>184</v>
      </c>
      <c r="E2750" s="16" t="s">
        <v>219</v>
      </c>
      <c r="F2750" s="16" t="s">
        <v>346</v>
      </c>
      <c r="G2750" s="16" t="s">
        <v>223</v>
      </c>
      <c r="H2750" s="16" t="s">
        <v>394</v>
      </c>
    </row>
    <row r="2751" ht="20.25" customHeight="1">
      <c r="A2751" s="32" t="str">
        <f>IMAGE("https://gymvisual.com/1792-catalog_default/3-4-sit-up.jpg",4,500,500)</f>
        <v/>
      </c>
      <c r="B2751" s="30">
        <v>2750.0</v>
      </c>
      <c r="C2751" s="16" t="s">
        <v>3497</v>
      </c>
      <c r="D2751" s="16" t="s">
        <v>184</v>
      </c>
      <c r="E2751" s="16" t="s">
        <v>234</v>
      </c>
      <c r="F2751" s="16" t="s">
        <v>346</v>
      </c>
      <c r="G2751" s="16" t="s">
        <v>347</v>
      </c>
      <c r="H2751" s="16" t="s">
        <v>2466</v>
      </c>
    </row>
    <row r="2752" ht="20.25" customHeight="1">
      <c r="A2752" s="32" t="str">
        <f>IMAGE("https://gymvisual.com/9679-catalog_default/lever-seated-fly-female.jpg",4,500,500)</f>
        <v/>
      </c>
      <c r="B2752" s="30">
        <v>2751.0</v>
      </c>
      <c r="C2752" s="16" t="s">
        <v>3498</v>
      </c>
      <c r="D2752" s="16" t="s">
        <v>184</v>
      </c>
      <c r="E2752" s="16" t="s">
        <v>234</v>
      </c>
      <c r="F2752" s="16" t="s">
        <v>346</v>
      </c>
      <c r="G2752" s="16" t="s">
        <v>235</v>
      </c>
      <c r="H2752" s="16" t="s">
        <v>236</v>
      </c>
    </row>
    <row r="2753" ht="20.25" customHeight="1">
      <c r="A2753" s="32" t="str">
        <f>IMAGE("https://gymvisual.com/17761-catalog_default/lever-seated-full-crunch.jpg",4,500,500)</f>
        <v/>
      </c>
      <c r="B2753" s="30">
        <v>2752.0</v>
      </c>
      <c r="C2753" s="16" t="s">
        <v>3499</v>
      </c>
      <c r="D2753" s="16" t="s">
        <v>184</v>
      </c>
      <c r="E2753" s="16" t="s">
        <v>254</v>
      </c>
      <c r="F2753" s="16" t="s">
        <v>346</v>
      </c>
      <c r="G2753" s="16" t="s">
        <v>220</v>
      </c>
      <c r="H2753" s="16" t="s">
        <v>220</v>
      </c>
    </row>
    <row r="2754" ht="20.25" customHeight="1">
      <c r="A2754" s="32" t="str">
        <f>IMAGE("https://gymvisual.com/16674-catalog_default/lever-seated-good-morning.jpg",4,500,500)</f>
        <v/>
      </c>
      <c r="B2754" s="30">
        <v>2753.0</v>
      </c>
      <c r="C2754" s="16" t="s">
        <v>3500</v>
      </c>
      <c r="D2754" s="16" t="s">
        <v>184</v>
      </c>
      <c r="E2754" s="16" t="s">
        <v>185</v>
      </c>
      <c r="F2754" s="16" t="s">
        <v>346</v>
      </c>
      <c r="G2754" s="16" t="s">
        <v>267</v>
      </c>
      <c r="H2754" s="16" t="s">
        <v>220</v>
      </c>
    </row>
    <row r="2755" ht="20.25" customHeight="1">
      <c r="A2755" s="32" t="str">
        <f>IMAGE("https://gymvisual.com/12283-catalog_default/lever-seated-hammer-grip-shoulder-press.jpg",4,500,500)</f>
        <v/>
      </c>
      <c r="B2755" s="30">
        <v>2754.0</v>
      </c>
      <c r="C2755" s="16" t="s">
        <v>3501</v>
      </c>
      <c r="D2755" s="16" t="s">
        <v>184</v>
      </c>
      <c r="E2755" s="16" t="s">
        <v>228</v>
      </c>
      <c r="F2755" s="16" t="s">
        <v>346</v>
      </c>
      <c r="G2755" s="16" t="s">
        <v>229</v>
      </c>
      <c r="H2755" s="16" t="s">
        <v>3502</v>
      </c>
    </row>
    <row r="2756" ht="20.25" customHeight="1">
      <c r="A2756" s="32" t="str">
        <f>IMAGE("https://gymvisual.com/12715-catalog_default/3-4-sit-up.jpg",4,500,500)</f>
        <v/>
      </c>
      <c r="B2756" s="30">
        <v>2755.0</v>
      </c>
      <c r="C2756" s="16" t="s">
        <v>3503</v>
      </c>
      <c r="D2756" s="16" t="s">
        <v>184</v>
      </c>
      <c r="E2756" s="16" t="s">
        <v>185</v>
      </c>
      <c r="F2756" s="16" t="s">
        <v>346</v>
      </c>
      <c r="G2756" s="16" t="s">
        <v>1240</v>
      </c>
      <c r="H2756" s="16" t="s">
        <v>476</v>
      </c>
    </row>
    <row r="2757" ht="20.25" customHeight="1">
      <c r="A2757" s="32" t="str">
        <f>IMAGE("https://gymvisual.com/14286-catalog_default/lever-seated-hip-abduction-female.jpg",4,500,500)</f>
        <v/>
      </c>
      <c r="B2757" s="30">
        <v>2756.0</v>
      </c>
      <c r="C2757" s="16" t="s">
        <v>3504</v>
      </c>
      <c r="D2757" s="16" t="s">
        <v>184</v>
      </c>
      <c r="E2757" s="16" t="s">
        <v>185</v>
      </c>
      <c r="F2757" s="16" t="s">
        <v>346</v>
      </c>
      <c r="G2757" s="16" t="s">
        <v>475</v>
      </c>
      <c r="H2757" s="16" t="s">
        <v>476</v>
      </c>
    </row>
    <row r="2758" ht="20.25" customHeight="1">
      <c r="A2758" s="32" t="str">
        <f>IMAGE("https://gymvisual.com/7721-catalog_default/lever-seated-hip-abduction-version-2.jpg",4,500,500)</f>
        <v/>
      </c>
      <c r="B2758" s="30">
        <v>2757.0</v>
      </c>
      <c r="C2758" s="16" t="s">
        <v>3505</v>
      </c>
      <c r="D2758" s="16" t="s">
        <v>184</v>
      </c>
      <c r="E2758" s="16" t="s">
        <v>185</v>
      </c>
      <c r="F2758" s="16" t="s">
        <v>346</v>
      </c>
      <c r="G2758" s="16" t="s">
        <v>220</v>
      </c>
      <c r="H2758" s="16" t="s">
        <v>220</v>
      </c>
    </row>
    <row r="2759" ht="20.25" customHeight="1">
      <c r="A2759" s="32" t="str">
        <f>IMAGE("https://gymvisual.com/11218-catalog_default/lever-seated-hip-abduction-version-2-female.jpg",4,500,500)</f>
        <v/>
      </c>
      <c r="B2759" s="30">
        <v>2758.0</v>
      </c>
      <c r="C2759" s="16" t="s">
        <v>3506</v>
      </c>
      <c r="D2759" s="16" t="s">
        <v>184</v>
      </c>
      <c r="E2759" s="16" t="s">
        <v>185</v>
      </c>
      <c r="F2759" s="16" t="s">
        <v>346</v>
      </c>
      <c r="G2759" s="16" t="s">
        <v>220</v>
      </c>
      <c r="H2759" s="16" t="s">
        <v>220</v>
      </c>
    </row>
    <row r="2760" ht="20.25" customHeight="1">
      <c r="A2760" s="32" t="str">
        <f>IMAGE("https://gymvisual.com/24924-catalog_default/3-4-sit-up.jpg",4,500,500)</f>
        <v/>
      </c>
      <c r="B2760" s="30">
        <v>2759.0</v>
      </c>
      <c r="C2760" s="16" t="s">
        <v>3507</v>
      </c>
      <c r="D2760" s="16" t="s">
        <v>184</v>
      </c>
      <c r="E2760" s="16" t="s">
        <v>285</v>
      </c>
      <c r="F2760" s="16" t="s">
        <v>346</v>
      </c>
      <c r="G2760" s="16" t="s">
        <v>511</v>
      </c>
      <c r="H2760" s="16" t="s">
        <v>3508</v>
      </c>
    </row>
    <row r="2761" ht="20.25" customHeight="1">
      <c r="A2761" s="32" t="str">
        <f>IMAGE("https://gymvisual.com/14288-catalog_default/lever-seated-hip-adduction-female.jpg",4,500,500)</f>
        <v/>
      </c>
      <c r="B2761" s="30">
        <v>2760.0</v>
      </c>
      <c r="C2761" s="16" t="s">
        <v>3509</v>
      </c>
      <c r="D2761" s="16" t="s">
        <v>184</v>
      </c>
      <c r="E2761" s="16" t="s">
        <v>185</v>
      </c>
      <c r="F2761" s="16" t="s">
        <v>346</v>
      </c>
      <c r="G2761" s="16" t="s">
        <v>514</v>
      </c>
      <c r="H2761" s="16" t="s">
        <v>515</v>
      </c>
    </row>
    <row r="2762" ht="20.25" customHeight="1">
      <c r="A2762" s="32" t="str">
        <f>IMAGE("https://gymvisual.com/7719-catalog_default/lever-seated-hip-adduction-version-2.jpg",4,500,500)</f>
        <v/>
      </c>
      <c r="B2762" s="30">
        <v>2761.0</v>
      </c>
      <c r="C2762" s="16" t="s">
        <v>3510</v>
      </c>
      <c r="D2762" s="16" t="s">
        <v>184</v>
      </c>
      <c r="E2762" s="16" t="s">
        <v>185</v>
      </c>
      <c r="F2762" s="16" t="s">
        <v>346</v>
      </c>
      <c r="G2762" s="16" t="s">
        <v>220</v>
      </c>
      <c r="H2762" s="16" t="s">
        <v>220</v>
      </c>
    </row>
    <row r="2763" ht="20.25" customHeight="1">
      <c r="A2763" s="32" t="str">
        <f>IMAGE("https://gymvisual.com/11215-catalog_default/lever-seated-hip-adduction-version-2-female.jpg",4,500,500)</f>
        <v/>
      </c>
      <c r="B2763" s="30">
        <v>2762.0</v>
      </c>
      <c r="C2763" s="16" t="s">
        <v>3511</v>
      </c>
      <c r="D2763" s="16" t="s">
        <v>184</v>
      </c>
      <c r="E2763" s="16" t="s">
        <v>185</v>
      </c>
      <c r="F2763" s="16" t="s">
        <v>346</v>
      </c>
      <c r="G2763" s="16" t="s">
        <v>220</v>
      </c>
      <c r="H2763" s="16" t="s">
        <v>220</v>
      </c>
    </row>
    <row r="2764" ht="20.25" customHeight="1">
      <c r="A2764" s="32" t="str">
        <f>IMAGE("https://gymvisual.com/16735-catalog_default/lever-seated-horizontal-leg-press.jpg",4,500,500)</f>
        <v/>
      </c>
      <c r="B2764" s="30">
        <v>2763.0</v>
      </c>
      <c r="C2764" s="16" t="s">
        <v>3512</v>
      </c>
      <c r="D2764" s="16" t="s">
        <v>184</v>
      </c>
      <c r="E2764" s="16" t="s">
        <v>294</v>
      </c>
      <c r="F2764" s="16" t="s">
        <v>346</v>
      </c>
      <c r="G2764" s="16" t="s">
        <v>189</v>
      </c>
      <c r="H2764" s="16" t="s">
        <v>190</v>
      </c>
    </row>
    <row r="2765" ht="20.25" customHeight="1">
      <c r="A2765" s="32" t="str">
        <f>IMAGE("https://gymvisual.com/17763-catalog_default/lever-seated-left-side-crunch.jpg",4,500,500)</f>
        <v/>
      </c>
      <c r="B2765" s="30">
        <v>2764.0</v>
      </c>
      <c r="C2765" s="16" t="s">
        <v>3513</v>
      </c>
      <c r="D2765" s="16" t="s">
        <v>184</v>
      </c>
      <c r="E2765" s="16" t="s">
        <v>254</v>
      </c>
      <c r="F2765" s="16" t="s">
        <v>346</v>
      </c>
      <c r="G2765" s="16" t="s">
        <v>220</v>
      </c>
      <c r="H2765" s="16" t="s">
        <v>220</v>
      </c>
    </row>
    <row r="2766" ht="20.25" customHeight="1">
      <c r="A2766" s="32" t="str">
        <f>IMAGE("https://gymvisual.com/10481-catalog_default/3-4-sit-up.jpg",4,500,500)</f>
        <v/>
      </c>
      <c r="B2766" s="30">
        <v>2765.0</v>
      </c>
      <c r="C2766" s="16" t="s">
        <v>3514</v>
      </c>
      <c r="D2766" s="16" t="s">
        <v>184</v>
      </c>
      <c r="E2766" s="16" t="s">
        <v>285</v>
      </c>
      <c r="F2766" s="16" t="s">
        <v>346</v>
      </c>
      <c r="G2766" s="16" t="s">
        <v>188</v>
      </c>
      <c r="H2766" s="16" t="s">
        <v>2733</v>
      </c>
    </row>
    <row r="2767" ht="20.25" customHeight="1">
      <c r="A2767" s="32" t="str">
        <f>IMAGE("https://gymvisual.com/10483-catalog_default/lever-seated-leg-curl-female.jpg",4,500,500)</f>
        <v/>
      </c>
      <c r="B2767" s="30">
        <v>2766.0</v>
      </c>
      <c r="C2767" s="16" t="s">
        <v>3515</v>
      </c>
      <c r="D2767" s="16" t="s">
        <v>184</v>
      </c>
      <c r="E2767" s="16" t="s">
        <v>285</v>
      </c>
      <c r="F2767" s="16" t="s">
        <v>346</v>
      </c>
      <c r="G2767" s="16" t="s">
        <v>188</v>
      </c>
      <c r="H2767" s="16" t="s">
        <v>2733</v>
      </c>
    </row>
    <row r="2768" ht="20.25" customHeight="1">
      <c r="A2768" s="32" t="str">
        <f>IMAGE("https://gymvisual.com/13735-catalog_default/lever-seated-leg-extension-version-2.jpg",4,500,500)</f>
        <v/>
      </c>
      <c r="B2768" s="30">
        <v>2767.0</v>
      </c>
      <c r="C2768" s="16" t="s">
        <v>3516</v>
      </c>
      <c r="D2768" s="16" t="s">
        <v>184</v>
      </c>
      <c r="E2768" s="16" t="s">
        <v>285</v>
      </c>
      <c r="F2768" s="16" t="s">
        <v>346</v>
      </c>
      <c r="G2768" s="16" t="s">
        <v>552</v>
      </c>
      <c r="H2768" s="16" t="s">
        <v>220</v>
      </c>
    </row>
    <row r="2769" ht="20.25" customHeight="1">
      <c r="A2769" s="32" t="str">
        <f>IMAGE("https://gymvisual.com/9688-catalog_default/lever-seated-leg-press.jpg",4,500,500)</f>
        <v/>
      </c>
      <c r="B2769" s="30">
        <v>2768.0</v>
      </c>
      <c r="C2769" s="16" t="s">
        <v>3517</v>
      </c>
      <c r="D2769" s="16" t="s">
        <v>184</v>
      </c>
      <c r="E2769" s="16" t="s">
        <v>294</v>
      </c>
      <c r="F2769" s="16" t="s">
        <v>346</v>
      </c>
      <c r="G2769" s="16" t="s">
        <v>189</v>
      </c>
      <c r="H2769" s="16" t="s">
        <v>190</v>
      </c>
    </row>
    <row r="2770" ht="20.25" customHeight="1">
      <c r="A2770" s="32" t="str">
        <f>IMAGE("https://gymvisual.com/11372-catalog_default/lever-seated-leg-press-female.jpg",4,500,500)</f>
        <v/>
      </c>
      <c r="B2770" s="30">
        <v>2769.0</v>
      </c>
      <c r="C2770" s="16" t="s">
        <v>3518</v>
      </c>
      <c r="D2770" s="16" t="s">
        <v>184</v>
      </c>
      <c r="E2770" s="16" t="s">
        <v>294</v>
      </c>
      <c r="F2770" s="16" t="s">
        <v>346</v>
      </c>
      <c r="G2770" s="16" t="s">
        <v>220</v>
      </c>
      <c r="H2770" s="16" t="s">
        <v>220</v>
      </c>
    </row>
    <row r="2771" ht="20.25" customHeight="1">
      <c r="A2771" s="32" t="str">
        <f>IMAGE("https://gymvisual.com/13733-catalog_default/lever-seated-leg-press-version-2.jpg",4,500,500)</f>
        <v/>
      </c>
      <c r="B2771" s="30">
        <v>2770.0</v>
      </c>
      <c r="C2771" s="16" t="s">
        <v>3519</v>
      </c>
      <c r="D2771" s="16" t="s">
        <v>184</v>
      </c>
      <c r="E2771" s="16" t="s">
        <v>294</v>
      </c>
      <c r="F2771" s="16" t="s">
        <v>346</v>
      </c>
      <c r="G2771" s="16" t="s">
        <v>189</v>
      </c>
      <c r="H2771" s="16" t="s">
        <v>190</v>
      </c>
    </row>
    <row r="2772" ht="20.25" customHeight="1">
      <c r="A2772" s="32" t="str">
        <f>IMAGE("https://gymvisual.com/1804-catalog_default/3-4-sit-up.jpg",4,500,500)</f>
        <v/>
      </c>
      <c r="B2772" s="30">
        <v>2771.0</v>
      </c>
      <c r="C2772" s="16" t="s">
        <v>3520</v>
      </c>
      <c r="D2772" s="16" t="s">
        <v>184</v>
      </c>
      <c r="E2772" s="16" t="s">
        <v>254</v>
      </c>
      <c r="F2772" s="16" t="s">
        <v>346</v>
      </c>
      <c r="G2772" s="16" t="s">
        <v>256</v>
      </c>
      <c r="H2772" s="16" t="s">
        <v>257</v>
      </c>
    </row>
    <row r="2773" ht="20.25" customHeight="1">
      <c r="A2773" s="32" t="str">
        <f>IMAGE("https://gymvisual.com/14384-catalog_default/lever-seated-leg-raise-crunch-plate-loaded-female.jpg",4,500,500)</f>
        <v/>
      </c>
      <c r="B2773" s="30">
        <v>2772.0</v>
      </c>
      <c r="C2773" s="16" t="s">
        <v>3521</v>
      </c>
      <c r="D2773" s="16" t="s">
        <v>184</v>
      </c>
      <c r="E2773" s="16" t="s">
        <v>254</v>
      </c>
      <c r="F2773" s="16" t="s">
        <v>346</v>
      </c>
      <c r="G2773" s="16" t="s">
        <v>256</v>
      </c>
      <c r="H2773" s="16" t="s">
        <v>257</v>
      </c>
    </row>
    <row r="2774" ht="20.25" customHeight="1">
      <c r="A2774" s="32" t="str">
        <f>IMAGE("https://gymvisual.com/4584-catalog_default/lever-seated-one-leg-calf-raise.jpg",4,500,500)</f>
        <v/>
      </c>
      <c r="B2774" s="30">
        <v>2773.0</v>
      </c>
      <c r="C2774" s="16" t="s">
        <v>3522</v>
      </c>
      <c r="D2774" s="16" t="s">
        <v>184</v>
      </c>
      <c r="E2774" s="16" t="s">
        <v>325</v>
      </c>
      <c r="F2774" s="16" t="s">
        <v>346</v>
      </c>
      <c r="G2774" s="16" t="s">
        <v>463</v>
      </c>
      <c r="H2774" s="16" t="s">
        <v>368</v>
      </c>
    </row>
    <row r="2775" ht="20.25" customHeight="1">
      <c r="A2775" s="32" t="str">
        <f>IMAGE("https://gymvisual.com/26070-catalog_default/lever-seated-one-leg-curl.jpg",4,500,500)</f>
        <v/>
      </c>
      <c r="B2775" s="30">
        <v>2774.0</v>
      </c>
      <c r="C2775" s="16" t="s">
        <v>3523</v>
      </c>
      <c r="D2775" s="16" t="s">
        <v>184</v>
      </c>
      <c r="E2775" s="16" t="s">
        <v>285</v>
      </c>
      <c r="F2775" s="16" t="s">
        <v>346</v>
      </c>
      <c r="G2775" s="16" t="s">
        <v>188</v>
      </c>
      <c r="H2775" s="16" t="s">
        <v>665</v>
      </c>
    </row>
    <row r="2776" ht="20.25" customHeight="1">
      <c r="A2776" s="32" t="str">
        <f>IMAGE("https://gymvisual.com/6820-catalog_default/lever-seated-one-leg-squat.jpg",4,500,500)</f>
        <v/>
      </c>
      <c r="B2776" s="30">
        <v>2775.0</v>
      </c>
      <c r="C2776" s="16" t="s">
        <v>3524</v>
      </c>
      <c r="D2776" s="16" t="s">
        <v>184</v>
      </c>
      <c r="E2776" s="16" t="s">
        <v>285</v>
      </c>
      <c r="F2776" s="16" t="s">
        <v>346</v>
      </c>
      <c r="G2776" s="16" t="s">
        <v>220</v>
      </c>
      <c r="H2776" s="16" t="s">
        <v>220</v>
      </c>
    </row>
    <row r="2777" ht="20.25" customHeight="1">
      <c r="A2777" s="32" t="str">
        <f>IMAGE("https://gymvisual.com/6819-catalog_default/lever-seated-one-leg-wide-squat.jpg",4,500,500)</f>
        <v/>
      </c>
      <c r="B2777" s="30">
        <v>2776.0</v>
      </c>
      <c r="C2777" s="16" t="s">
        <v>3525</v>
      </c>
      <c r="D2777" s="16" t="s">
        <v>184</v>
      </c>
      <c r="E2777" s="16" t="s">
        <v>285</v>
      </c>
      <c r="F2777" s="16" t="s">
        <v>346</v>
      </c>
      <c r="G2777" s="16" t="s">
        <v>220</v>
      </c>
      <c r="H2777" s="16" t="s">
        <v>220</v>
      </c>
    </row>
    <row r="2778" ht="20.25" customHeight="1">
      <c r="A2778" s="32" t="str">
        <f>IMAGE("https://gymvisual.com/1810-catalog_default/3-4-sit-up.jpg",4,500,500)</f>
        <v/>
      </c>
      <c r="B2778" s="30">
        <v>2777.0</v>
      </c>
      <c r="C2778" s="16" t="s">
        <v>3526</v>
      </c>
      <c r="D2778" s="16" t="s">
        <v>184</v>
      </c>
      <c r="E2778" s="16" t="s">
        <v>228</v>
      </c>
      <c r="F2778" s="16" t="s">
        <v>346</v>
      </c>
      <c r="G2778" s="16" t="s">
        <v>408</v>
      </c>
      <c r="H2778" s="16" t="s">
        <v>452</v>
      </c>
    </row>
    <row r="2779" ht="20.25" customHeight="1">
      <c r="A2779" s="32" t="str">
        <f>IMAGE("https://gymvisual.com/12061-catalog_default/lever-seated-reverse-fly-female.jpg",4,500,500)</f>
        <v/>
      </c>
      <c r="B2779" s="30">
        <v>2778.0</v>
      </c>
      <c r="C2779" s="16" t="s">
        <v>3527</v>
      </c>
      <c r="D2779" s="16" t="s">
        <v>184</v>
      </c>
      <c r="E2779" s="16" t="s">
        <v>228</v>
      </c>
      <c r="F2779" s="16" t="s">
        <v>346</v>
      </c>
      <c r="G2779" s="16" t="s">
        <v>408</v>
      </c>
      <c r="H2779" s="16" t="s">
        <v>452</v>
      </c>
    </row>
    <row r="2780" ht="20.25" customHeight="1">
      <c r="A2780" s="32" t="str">
        <f>IMAGE("https://gymvisual.com/1807-catalog_default/3-4-sit-up.jpg",4,500,500)</f>
        <v/>
      </c>
      <c r="B2780" s="30">
        <v>2779.0</v>
      </c>
      <c r="C2780" s="16" t="s">
        <v>3528</v>
      </c>
      <c r="D2780" s="16" t="s">
        <v>184</v>
      </c>
      <c r="E2780" s="16" t="s">
        <v>228</v>
      </c>
      <c r="F2780" s="16" t="s">
        <v>346</v>
      </c>
      <c r="G2780" s="16" t="s">
        <v>408</v>
      </c>
      <c r="H2780" s="16" t="s">
        <v>731</v>
      </c>
    </row>
    <row r="2781" ht="20.25" customHeight="1">
      <c r="A2781" s="32" t="str">
        <f>IMAGE("https://gymvisual.com/17765-catalog_default/lever-seated-right-side-crunch.jpg",4,500,500)</f>
        <v/>
      </c>
      <c r="B2781" s="30">
        <v>2780.0</v>
      </c>
      <c r="C2781" s="16" t="s">
        <v>3529</v>
      </c>
      <c r="D2781" s="16" t="s">
        <v>184</v>
      </c>
      <c r="E2781" s="16" t="s">
        <v>254</v>
      </c>
      <c r="F2781" s="16" t="s">
        <v>346</v>
      </c>
      <c r="G2781" s="16" t="s">
        <v>220</v>
      </c>
      <c r="H2781" s="16" t="s">
        <v>220</v>
      </c>
    </row>
    <row r="2782" ht="20.25" customHeight="1">
      <c r="A2782" s="32" t="str">
        <f>IMAGE("https://gymvisual.com/6041-catalog_default/lever-seated-row.jpg",4,500,500)</f>
        <v/>
      </c>
      <c r="B2782" s="30">
        <v>2781.0</v>
      </c>
      <c r="C2782" s="16" t="s">
        <v>3530</v>
      </c>
      <c r="D2782" s="16" t="s">
        <v>184</v>
      </c>
      <c r="E2782" s="16" t="s">
        <v>192</v>
      </c>
      <c r="F2782" s="16" t="s">
        <v>346</v>
      </c>
      <c r="G2782" s="16" t="s">
        <v>329</v>
      </c>
      <c r="H2782" s="16" t="s">
        <v>457</v>
      </c>
    </row>
    <row r="2783" ht="20.25" customHeight="1">
      <c r="A2783" s="32" t="str">
        <f>IMAGE("https://gymvisual.com/9652-catalog_default/lever-seated-row-female.jpg",4,500,500)</f>
        <v/>
      </c>
      <c r="B2783" s="30">
        <v>2782.0</v>
      </c>
      <c r="C2783" s="16" t="s">
        <v>3531</v>
      </c>
      <c r="D2783" s="16" t="s">
        <v>184</v>
      </c>
      <c r="E2783" s="16" t="s">
        <v>192</v>
      </c>
      <c r="F2783" s="16" t="s">
        <v>346</v>
      </c>
      <c r="G2783" s="16" t="s">
        <v>570</v>
      </c>
      <c r="H2783" s="16" t="s">
        <v>447</v>
      </c>
    </row>
    <row r="2784" ht="20.25" customHeight="1">
      <c r="A2784" s="32" t="str">
        <f>IMAGE("https://gymvisual.com/12227-catalog_default/lever-seated-row-plate-loaded.jpg",4,500,500)</f>
        <v/>
      </c>
      <c r="B2784" s="30">
        <v>2783.0</v>
      </c>
      <c r="C2784" s="16" t="s">
        <v>3532</v>
      </c>
      <c r="D2784" s="16" t="s">
        <v>184</v>
      </c>
      <c r="E2784" s="16" t="s">
        <v>192</v>
      </c>
      <c r="F2784" s="16" t="s">
        <v>346</v>
      </c>
      <c r="G2784" s="16" t="s">
        <v>570</v>
      </c>
      <c r="H2784" s="16" t="s">
        <v>447</v>
      </c>
    </row>
    <row r="2785" ht="20.25" customHeight="1">
      <c r="A2785" s="32" t="str">
        <f>IMAGE("https://gymvisual.com/9682-catalog_default/lever-seated-row-version-2.jpg",4,500,500)</f>
        <v/>
      </c>
      <c r="B2785" s="30">
        <v>2784.0</v>
      </c>
      <c r="C2785" s="16" t="s">
        <v>3533</v>
      </c>
      <c r="D2785" s="16" t="s">
        <v>184</v>
      </c>
      <c r="E2785" s="16" t="s">
        <v>192</v>
      </c>
      <c r="F2785" s="16" t="s">
        <v>346</v>
      </c>
      <c r="G2785" s="16" t="s">
        <v>570</v>
      </c>
      <c r="H2785" s="16" t="s">
        <v>447</v>
      </c>
    </row>
    <row r="2786" ht="20.25" customHeight="1">
      <c r="A2786" s="32" t="str">
        <f>IMAGE("https://gymvisual.com/6466-catalog_default/lever-seated-shoulder-press.jpg",4,500,500)</f>
        <v/>
      </c>
      <c r="B2786" s="30">
        <v>2785.0</v>
      </c>
      <c r="C2786" s="16" t="s">
        <v>3534</v>
      </c>
      <c r="D2786" s="16" t="s">
        <v>184</v>
      </c>
      <c r="E2786" s="16" t="s">
        <v>228</v>
      </c>
      <c r="F2786" s="16" t="s">
        <v>346</v>
      </c>
      <c r="G2786" s="16" t="s">
        <v>229</v>
      </c>
      <c r="H2786" s="16" t="s">
        <v>626</v>
      </c>
    </row>
    <row r="2787" ht="20.25" customHeight="1">
      <c r="A2787" s="32" t="str">
        <f>IMAGE("https://gymvisual.com/12053-catalog_default/lever-seated-shoulder-press-female.jpg",4,500,500)</f>
        <v/>
      </c>
      <c r="B2787" s="30">
        <v>2786.0</v>
      </c>
      <c r="C2787" s="16" t="s">
        <v>3535</v>
      </c>
      <c r="D2787" s="16" t="s">
        <v>184</v>
      </c>
      <c r="E2787" s="16" t="s">
        <v>228</v>
      </c>
      <c r="F2787" s="16" t="s">
        <v>346</v>
      </c>
      <c r="G2787" s="16" t="s">
        <v>229</v>
      </c>
      <c r="H2787" s="16" t="s">
        <v>230</v>
      </c>
    </row>
    <row r="2788" ht="20.25" customHeight="1">
      <c r="A2788" s="32" t="str">
        <f>IMAGE("https://gymvisual.com/4603-catalog_default/lever-seated-squat.jpg",4,500,500)</f>
        <v/>
      </c>
      <c r="B2788" s="30">
        <v>2787.0</v>
      </c>
      <c r="C2788" s="16" t="s">
        <v>3536</v>
      </c>
      <c r="D2788" s="16" t="s">
        <v>184</v>
      </c>
      <c r="E2788" s="16" t="s">
        <v>285</v>
      </c>
      <c r="F2788" s="16" t="s">
        <v>346</v>
      </c>
      <c r="G2788" s="16" t="s">
        <v>189</v>
      </c>
      <c r="H2788" s="16" t="s">
        <v>190</v>
      </c>
    </row>
    <row r="2789" ht="20.25" customHeight="1">
      <c r="A2789" s="32" t="str">
        <f>IMAGE("https://gymvisual.com/11378-catalog_default/lever-seated-squat-calf-raise-on-leg-press-female.jpg",4,500,500)</f>
        <v/>
      </c>
      <c r="B2789" s="30">
        <v>2788.0</v>
      </c>
      <c r="C2789" s="16" t="s">
        <v>3537</v>
      </c>
      <c r="D2789" s="16" t="s">
        <v>184</v>
      </c>
      <c r="E2789" s="16" t="s">
        <v>294</v>
      </c>
      <c r="F2789" s="16" t="s">
        <v>346</v>
      </c>
      <c r="G2789" s="16" t="s">
        <v>220</v>
      </c>
      <c r="H2789" s="16" t="s">
        <v>220</v>
      </c>
    </row>
    <row r="2790" ht="20.25" customHeight="1">
      <c r="A2790" s="32" t="str">
        <f>IMAGE("https://gymvisual.com/6082-catalog_default/lever-seated-squat-calf-raise-on-leg-press-machine.jpg",4,500,500)</f>
        <v/>
      </c>
      <c r="B2790" s="30">
        <v>2789.0</v>
      </c>
      <c r="C2790" s="16" t="s">
        <v>3538</v>
      </c>
      <c r="D2790" s="16" t="s">
        <v>184</v>
      </c>
      <c r="E2790" s="16" t="s">
        <v>325</v>
      </c>
      <c r="F2790" s="16" t="s">
        <v>346</v>
      </c>
      <c r="G2790" s="16" t="s">
        <v>3539</v>
      </c>
      <c r="H2790" s="16" t="s">
        <v>3540</v>
      </c>
    </row>
    <row r="2791" ht="20.25" customHeight="1">
      <c r="A2791" s="32" t="str">
        <f>IMAGE("https://gymvisual.com/6464-catalog_default/lever-seated-twist.jpg",4,500,500)</f>
        <v/>
      </c>
      <c r="B2791" s="30">
        <v>2790.0</v>
      </c>
      <c r="C2791" s="16" t="s">
        <v>3541</v>
      </c>
      <c r="D2791" s="16" t="s">
        <v>184</v>
      </c>
      <c r="E2791" s="16" t="s">
        <v>254</v>
      </c>
      <c r="F2791" s="16" t="s">
        <v>346</v>
      </c>
      <c r="G2791" s="16" t="s">
        <v>257</v>
      </c>
      <c r="H2791" s="16" t="s">
        <v>220</v>
      </c>
    </row>
    <row r="2792" ht="20.25" customHeight="1">
      <c r="A2792" s="32" t="str">
        <f>IMAGE("https://gymvisual.com/10957-catalog_default/lever-seated-twist-female.jpg",4,500,500)</f>
        <v/>
      </c>
      <c r="B2792" s="30">
        <v>2791.0</v>
      </c>
      <c r="C2792" s="16" t="s">
        <v>3542</v>
      </c>
      <c r="D2792" s="16" t="s">
        <v>184</v>
      </c>
      <c r="E2792" s="16" t="s">
        <v>254</v>
      </c>
      <c r="F2792" s="16" t="s">
        <v>346</v>
      </c>
      <c r="G2792" s="16" t="s">
        <v>220</v>
      </c>
      <c r="H2792" s="16" t="s">
        <v>220</v>
      </c>
    </row>
    <row r="2793" ht="20.25" customHeight="1">
      <c r="A2793" s="32" t="str">
        <f>IMAGE("https://gymvisual.com/6821-catalog_default/lever-seated-wide-squat.jpg",4,500,500)</f>
        <v/>
      </c>
      <c r="B2793" s="30">
        <v>2792.0</v>
      </c>
      <c r="C2793" s="16" t="s">
        <v>3543</v>
      </c>
      <c r="D2793" s="16" t="s">
        <v>184</v>
      </c>
      <c r="E2793" s="16" t="s">
        <v>285</v>
      </c>
      <c r="F2793" s="16" t="s">
        <v>346</v>
      </c>
      <c r="G2793" s="16" t="s">
        <v>220</v>
      </c>
      <c r="H2793" s="16" t="s">
        <v>220</v>
      </c>
    </row>
    <row r="2794" ht="20.25" customHeight="1">
      <c r="A2794" s="32" t="str">
        <f>IMAGE("https://gymvisual.com/1813-catalog_default/3-4-sit-up.jpg",4,500,500)</f>
        <v/>
      </c>
      <c r="B2794" s="30">
        <v>2793.0</v>
      </c>
      <c r="C2794" s="16" t="s">
        <v>3544</v>
      </c>
      <c r="D2794" s="16" t="s">
        <v>184</v>
      </c>
      <c r="E2794" s="16" t="s">
        <v>228</v>
      </c>
      <c r="F2794" s="16" t="s">
        <v>346</v>
      </c>
      <c r="G2794" s="16" t="s">
        <v>1224</v>
      </c>
      <c r="H2794" s="16" t="s">
        <v>3545</v>
      </c>
    </row>
    <row r="2795" ht="20.25" customHeight="1">
      <c r="A2795" s="32" t="str">
        <f>IMAGE("https://gymvisual.com/9817-catalog_default/lever-shoulder-press-plate-loaded-version-3.jpg",4,500,500)</f>
        <v/>
      </c>
      <c r="B2795" s="30">
        <v>2794.0</v>
      </c>
      <c r="C2795" s="16" t="s">
        <v>3546</v>
      </c>
      <c r="D2795" s="16" t="s">
        <v>184</v>
      </c>
      <c r="E2795" s="16" t="s">
        <v>228</v>
      </c>
      <c r="F2795" s="16" t="s">
        <v>346</v>
      </c>
      <c r="G2795" s="16" t="s">
        <v>229</v>
      </c>
      <c r="H2795" s="16" t="s">
        <v>626</v>
      </c>
    </row>
    <row r="2796" ht="20.25" customHeight="1">
      <c r="A2796" s="32" t="str">
        <f>IMAGE("https://gymvisual.com/2645-catalog_default/lever-shoulder-press-plate-loaded-version-2.jpg",4,500,500)</f>
        <v/>
      </c>
      <c r="B2796" s="30">
        <v>2795.0</v>
      </c>
      <c r="C2796" s="16" t="s">
        <v>3547</v>
      </c>
      <c r="D2796" s="16" t="s">
        <v>184</v>
      </c>
      <c r="E2796" s="16" t="s">
        <v>228</v>
      </c>
      <c r="F2796" s="16" t="s">
        <v>346</v>
      </c>
      <c r="G2796" s="16" t="s">
        <v>229</v>
      </c>
      <c r="H2796" s="16" t="s">
        <v>626</v>
      </c>
    </row>
    <row r="2797" ht="20.25" customHeight="1">
      <c r="A2797" s="32" t="str">
        <f>IMAGE("https://gymvisual.com/4592-catalog_default/lever-shrug-bench-press-machine.jpg",4,500,500)</f>
        <v/>
      </c>
      <c r="B2797" s="30">
        <v>2796.0</v>
      </c>
      <c r="C2797" s="16" t="s">
        <v>3548</v>
      </c>
      <c r="D2797" s="16" t="s">
        <v>184</v>
      </c>
      <c r="E2797" s="16" t="s">
        <v>192</v>
      </c>
      <c r="F2797" s="16" t="s">
        <v>346</v>
      </c>
      <c r="G2797" s="16" t="s">
        <v>238</v>
      </c>
      <c r="H2797" s="16" t="s">
        <v>618</v>
      </c>
    </row>
    <row r="2798" ht="20.25" customHeight="1">
      <c r="A2798" s="32" t="str">
        <f>IMAGE("https://gymvisual.com/1816-catalog_default/3-4-sit-up.jpg",4,500,500)</f>
        <v/>
      </c>
      <c r="B2798" s="30">
        <v>2797.0</v>
      </c>
      <c r="C2798" s="16" t="s">
        <v>3549</v>
      </c>
      <c r="D2798" s="16" t="s">
        <v>184</v>
      </c>
      <c r="E2798" s="16" t="s">
        <v>192</v>
      </c>
      <c r="F2798" s="16" t="s">
        <v>346</v>
      </c>
      <c r="G2798" s="16" t="s">
        <v>238</v>
      </c>
      <c r="H2798" s="16" t="s">
        <v>618</v>
      </c>
    </row>
    <row r="2799" ht="20.25" customHeight="1">
      <c r="A2799" s="32" t="str">
        <f>IMAGE("https://gymvisual.com/13483-catalog_default/lever-shrug-plate-loaded-female.jpg",4,500,500)</f>
        <v/>
      </c>
      <c r="B2799" s="30">
        <v>2798.0</v>
      </c>
      <c r="C2799" s="16" t="s">
        <v>3550</v>
      </c>
      <c r="D2799" s="16" t="s">
        <v>184</v>
      </c>
      <c r="E2799" s="16" t="s">
        <v>192</v>
      </c>
      <c r="F2799" s="16" t="s">
        <v>346</v>
      </c>
      <c r="G2799" s="16" t="s">
        <v>238</v>
      </c>
      <c r="H2799" s="16" t="s">
        <v>618</v>
      </c>
    </row>
    <row r="2800" ht="20.25" customHeight="1">
      <c r="A2800" s="32" t="str">
        <f>IMAGE("https://gymvisual.com/2932-catalog_default/lever-side-hip-abduction.jpg",4,500,500)</f>
        <v/>
      </c>
      <c r="B2800" s="30">
        <v>2799.0</v>
      </c>
      <c r="C2800" s="16" t="s">
        <v>3551</v>
      </c>
      <c r="D2800" s="16" t="s">
        <v>184</v>
      </c>
      <c r="E2800" s="16" t="s">
        <v>185</v>
      </c>
      <c r="F2800" s="16" t="s">
        <v>346</v>
      </c>
      <c r="G2800" s="16" t="s">
        <v>271</v>
      </c>
      <c r="H2800" s="16" t="s">
        <v>3552</v>
      </c>
    </row>
    <row r="2801" ht="20.25" customHeight="1">
      <c r="A2801" s="32" t="str">
        <f>IMAGE("https://gymvisual.com/11836-catalog_default/lever-side-hip-abduction-female.jpg",4,500,500)</f>
        <v/>
      </c>
      <c r="B2801" s="30">
        <v>2800.0</v>
      </c>
      <c r="C2801" s="16" t="s">
        <v>3553</v>
      </c>
      <c r="D2801" s="16" t="s">
        <v>184</v>
      </c>
      <c r="E2801" s="16" t="s">
        <v>185</v>
      </c>
      <c r="F2801" s="16" t="s">
        <v>346</v>
      </c>
      <c r="G2801" s="16" t="s">
        <v>508</v>
      </c>
      <c r="H2801" s="16" t="s">
        <v>220</v>
      </c>
    </row>
    <row r="2802" ht="20.25" customHeight="1">
      <c r="A2802" s="32" t="str">
        <f>IMAGE("https://gymvisual.com/2933-catalog_default/lever-side-hip-adduction.jpg",4,500,500)</f>
        <v/>
      </c>
      <c r="B2802" s="30">
        <v>2801.0</v>
      </c>
      <c r="C2802" s="16" t="s">
        <v>3554</v>
      </c>
      <c r="D2802" s="16" t="s">
        <v>184</v>
      </c>
      <c r="E2802" s="16" t="s">
        <v>185</v>
      </c>
      <c r="F2802" s="16" t="s">
        <v>346</v>
      </c>
      <c r="G2802" s="16" t="s">
        <v>187</v>
      </c>
      <c r="H2802" s="16" t="s">
        <v>220</v>
      </c>
    </row>
    <row r="2803" ht="20.25" customHeight="1">
      <c r="A2803" s="32" t="str">
        <f>IMAGE("https://gymvisual.com/23436-catalog_default/lever-single-arm-neutral-grip-seated-row-plate-loaded.jpg",4,500,500)</f>
        <v/>
      </c>
      <c r="B2803" s="30">
        <v>2802.0</v>
      </c>
      <c r="C2803" s="16" t="s">
        <v>3555</v>
      </c>
      <c r="D2803" s="16" t="s">
        <v>184</v>
      </c>
      <c r="E2803" s="16" t="s">
        <v>192</v>
      </c>
      <c r="F2803" s="16" t="s">
        <v>346</v>
      </c>
      <c r="G2803" s="16" t="s">
        <v>329</v>
      </c>
      <c r="H2803" s="16" t="s">
        <v>457</v>
      </c>
    </row>
    <row r="2804" ht="20.25" customHeight="1">
      <c r="A2804" s="32" t="str">
        <f>IMAGE("https://gymvisual.com/23945-catalog_default/lever-single-leg-extension-plate-loaded.jpg",4,500,500)</f>
        <v/>
      </c>
      <c r="B2804" s="30">
        <v>2803.0</v>
      </c>
      <c r="C2804" s="16" t="s">
        <v>3556</v>
      </c>
      <c r="D2804" s="16" t="s">
        <v>184</v>
      </c>
      <c r="E2804" s="16" t="s">
        <v>285</v>
      </c>
      <c r="F2804" s="16" t="s">
        <v>346</v>
      </c>
      <c r="G2804" s="16" t="s">
        <v>552</v>
      </c>
      <c r="H2804" s="16" t="s">
        <v>220</v>
      </c>
    </row>
    <row r="2805" ht="20.25" customHeight="1">
      <c r="A2805" s="32" t="str">
        <f>IMAGE("https://gymvisual.com/8784-catalog_default/lever-single-leg-hip-thrust.jpg",4,500,500)</f>
        <v/>
      </c>
      <c r="B2805" s="30">
        <v>2804.0</v>
      </c>
      <c r="C2805" s="16" t="s">
        <v>3557</v>
      </c>
      <c r="D2805" s="16" t="s">
        <v>184</v>
      </c>
      <c r="E2805" s="16" t="s">
        <v>185</v>
      </c>
      <c r="F2805" s="16" t="s">
        <v>346</v>
      </c>
      <c r="G2805" s="16" t="s">
        <v>187</v>
      </c>
      <c r="H2805" s="16" t="s">
        <v>854</v>
      </c>
    </row>
    <row r="2806" ht="20.25" customHeight="1">
      <c r="A2806" s="32" t="str">
        <f>IMAGE("https://gymvisual.com/7727-catalog_default/lever-squat-plate-loaded.jpg",4,500,500)</f>
        <v/>
      </c>
      <c r="B2806" s="30">
        <v>2805.0</v>
      </c>
      <c r="C2806" s="16" t="s">
        <v>3558</v>
      </c>
      <c r="D2806" s="16" t="s">
        <v>184</v>
      </c>
      <c r="E2806" s="16" t="s">
        <v>285</v>
      </c>
      <c r="F2806" s="16" t="s">
        <v>346</v>
      </c>
      <c r="G2806" s="16" t="s">
        <v>189</v>
      </c>
      <c r="H2806" s="16" t="s">
        <v>190</v>
      </c>
    </row>
    <row r="2807" ht="20.25" customHeight="1">
      <c r="A2807" s="32" t="str">
        <f>IMAGE("https://gymvisual.com/1819-catalog_default/3-4-sit-up.jpg",4,500,500)</f>
        <v/>
      </c>
      <c r="B2807" s="30">
        <v>2806.0</v>
      </c>
      <c r="C2807" s="16" t="s">
        <v>3559</v>
      </c>
      <c r="D2807" s="16" t="s">
        <v>184</v>
      </c>
      <c r="E2807" s="16" t="s">
        <v>325</v>
      </c>
      <c r="F2807" s="16" t="s">
        <v>346</v>
      </c>
      <c r="G2807" s="16" t="s">
        <v>368</v>
      </c>
      <c r="H2807" s="16" t="s">
        <v>463</v>
      </c>
    </row>
    <row r="2808" ht="20.25" customHeight="1">
      <c r="A2808" s="32" t="str">
        <f>IMAGE("https://gymvisual.com/9547-catalog_default/lever-standing-calf-raise-female.jpg",4,500,500)</f>
        <v/>
      </c>
      <c r="B2808" s="30">
        <v>2807.0</v>
      </c>
      <c r="C2808" s="16" t="s">
        <v>3560</v>
      </c>
      <c r="D2808" s="16" t="s">
        <v>184</v>
      </c>
      <c r="E2808" s="16" t="s">
        <v>325</v>
      </c>
      <c r="F2808" s="16" t="s">
        <v>346</v>
      </c>
      <c r="G2808" s="16" t="s">
        <v>368</v>
      </c>
      <c r="H2808" s="16" t="s">
        <v>463</v>
      </c>
    </row>
    <row r="2809" ht="20.25" customHeight="1">
      <c r="A2809" s="32" t="str">
        <f>IMAGE("https://gymvisual.com/16672-catalog_default/lever-standing-chest-press.jpg",4,500,500)</f>
        <v/>
      </c>
      <c r="B2809" s="30">
        <v>2808.0</v>
      </c>
      <c r="C2809" s="16" t="s">
        <v>3561</v>
      </c>
      <c r="D2809" s="16" t="s">
        <v>184</v>
      </c>
      <c r="E2809" s="16" t="s">
        <v>234</v>
      </c>
      <c r="F2809" s="16" t="s">
        <v>346</v>
      </c>
      <c r="G2809" s="16" t="s">
        <v>235</v>
      </c>
      <c r="H2809" s="16" t="s">
        <v>243</v>
      </c>
    </row>
    <row r="2810" ht="20.25" customHeight="1">
      <c r="A2810" s="32" t="str">
        <f>IMAGE("https://gymvisual.com/2929-catalog_default/lever-standing-hip-extension.jpg",4,500,500)</f>
        <v/>
      </c>
      <c r="B2810" s="30">
        <v>2809.0</v>
      </c>
      <c r="C2810" s="16" t="s">
        <v>3562</v>
      </c>
      <c r="D2810" s="16" t="s">
        <v>184</v>
      </c>
      <c r="E2810" s="16" t="s">
        <v>185</v>
      </c>
      <c r="F2810" s="16" t="s">
        <v>346</v>
      </c>
      <c r="G2810" s="16" t="s">
        <v>223</v>
      </c>
      <c r="H2810" s="16" t="s">
        <v>220</v>
      </c>
    </row>
    <row r="2811" ht="20.25" customHeight="1">
      <c r="A2811" s="32" t="str">
        <f>IMAGE("https://gymvisual.com/14388-catalog_default/lever-standing-hip-extension-female.jpg",4,500,500)</f>
        <v/>
      </c>
      <c r="B2811" s="30">
        <v>2810.0</v>
      </c>
      <c r="C2811" s="16" t="s">
        <v>3563</v>
      </c>
      <c r="D2811" s="16" t="s">
        <v>184</v>
      </c>
      <c r="E2811" s="16" t="s">
        <v>185</v>
      </c>
      <c r="F2811" s="16" t="s">
        <v>346</v>
      </c>
      <c r="G2811" s="16" t="s">
        <v>187</v>
      </c>
      <c r="H2811" s="16" t="s">
        <v>188</v>
      </c>
    </row>
    <row r="2812" ht="20.25" customHeight="1">
      <c r="A2812" s="32" t="str">
        <f>IMAGE("https://gymvisual.com/18766-catalog_default/lever-standing-leg-curl.jpg",4,500,500)</f>
        <v/>
      </c>
      <c r="B2812" s="30">
        <v>2811.0</v>
      </c>
      <c r="C2812" s="16" t="s">
        <v>3564</v>
      </c>
      <c r="D2812" s="16" t="s">
        <v>184</v>
      </c>
      <c r="E2812" s="16" t="s">
        <v>285</v>
      </c>
      <c r="F2812" s="16" t="s">
        <v>346</v>
      </c>
      <c r="G2812" s="16" t="s">
        <v>220</v>
      </c>
      <c r="H2812" s="16" t="s">
        <v>220</v>
      </c>
    </row>
    <row r="2813" ht="20.25" customHeight="1">
      <c r="A2813" s="32" t="str">
        <f>IMAGE("https://gymvisual.com/2934-catalog_default/lever-standing-leg-raise.jpg",4,500,500)</f>
        <v/>
      </c>
      <c r="B2813" s="30">
        <v>2812.0</v>
      </c>
      <c r="C2813" s="16" t="s">
        <v>3565</v>
      </c>
      <c r="D2813" s="16" t="s">
        <v>184</v>
      </c>
      <c r="E2813" s="16" t="s">
        <v>185</v>
      </c>
      <c r="F2813" s="16" t="s">
        <v>346</v>
      </c>
      <c r="G2813" s="16" t="s">
        <v>189</v>
      </c>
      <c r="H2813" s="16" t="s">
        <v>190</v>
      </c>
    </row>
    <row r="2814" ht="20.25" customHeight="1">
      <c r="A2814" s="32" t="str">
        <f>IMAGE("https://gymvisual.com/2935-catalog_default/lever-standing-rear-kick.jpg",4,500,500)</f>
        <v/>
      </c>
      <c r="B2814" s="30">
        <v>2813.0</v>
      </c>
      <c r="C2814" s="16" t="s">
        <v>3566</v>
      </c>
      <c r="D2814" s="16" t="s">
        <v>184</v>
      </c>
      <c r="E2814" s="16" t="s">
        <v>185</v>
      </c>
      <c r="F2814" s="16" t="s">
        <v>346</v>
      </c>
      <c r="G2814" s="16" t="s">
        <v>189</v>
      </c>
      <c r="H2814" s="16" t="s">
        <v>190</v>
      </c>
    </row>
    <row r="2815" ht="20.25" customHeight="1">
      <c r="A2815" s="32" t="str">
        <f>IMAGE("https://gymvisual.com/14290-catalog_default/lever-standing-rear-kick-female.jpg",4,500,500)</f>
        <v/>
      </c>
      <c r="B2815" s="30">
        <v>2814.0</v>
      </c>
      <c r="C2815" s="16" t="s">
        <v>3567</v>
      </c>
      <c r="D2815" s="16" t="s">
        <v>184</v>
      </c>
      <c r="E2815" s="16" t="s">
        <v>185</v>
      </c>
      <c r="F2815" s="16" t="s">
        <v>346</v>
      </c>
      <c r="G2815" s="16" t="s">
        <v>187</v>
      </c>
      <c r="H2815" s="16" t="s">
        <v>220</v>
      </c>
    </row>
    <row r="2816" ht="20.25" customHeight="1">
      <c r="A2816" s="32" t="str">
        <f>IMAGE("https://gymvisual.com/15656-catalog_default/3-4-sit-up.jpg",4,500,500)</f>
        <v/>
      </c>
      <c r="B2816" s="30">
        <v>2815.0</v>
      </c>
      <c r="C2816" s="16" t="s">
        <v>3568</v>
      </c>
      <c r="D2816" s="16" t="s">
        <v>184</v>
      </c>
      <c r="E2816" s="16" t="s">
        <v>192</v>
      </c>
      <c r="F2816" s="16" t="s">
        <v>346</v>
      </c>
      <c r="G2816" s="16" t="s">
        <v>329</v>
      </c>
      <c r="H2816" s="16" t="s">
        <v>457</v>
      </c>
    </row>
    <row r="2817" ht="20.25" customHeight="1">
      <c r="A2817" s="32" t="str">
        <f>IMAGE("https://gymvisual.com/6042-catalog_default/lever-t-bar-reverse-grip-row.jpg",4,500,500)</f>
        <v/>
      </c>
      <c r="B2817" s="30">
        <v>2816.0</v>
      </c>
      <c r="C2817" s="16" t="s">
        <v>3569</v>
      </c>
      <c r="D2817" s="16" t="s">
        <v>184</v>
      </c>
      <c r="E2817" s="16" t="s">
        <v>192</v>
      </c>
      <c r="F2817" s="16" t="s">
        <v>346</v>
      </c>
      <c r="G2817" s="16" t="s">
        <v>329</v>
      </c>
      <c r="H2817" s="16" t="s">
        <v>457</v>
      </c>
    </row>
    <row r="2818" ht="20.25" customHeight="1">
      <c r="A2818" s="32" t="str">
        <f>IMAGE("https://gymvisual.com/22554-catalog_default/lever-t-bar-romanian-deadlift.jpg",4,500,500)</f>
        <v/>
      </c>
      <c r="B2818" s="30">
        <v>2817.0</v>
      </c>
      <c r="C2818" s="16" t="s">
        <v>3570</v>
      </c>
      <c r="D2818" s="16" t="s">
        <v>184</v>
      </c>
      <c r="E2818" s="16" t="s">
        <v>185</v>
      </c>
      <c r="F2818" s="16" t="s">
        <v>346</v>
      </c>
      <c r="G2818" s="16" t="s">
        <v>220</v>
      </c>
      <c r="H2818" s="16" t="s">
        <v>220</v>
      </c>
    </row>
    <row r="2819" ht="20.25" customHeight="1">
      <c r="A2819" s="32" t="str">
        <f>IMAGE("https://gymvisual.com/19373-catalog_default/lever-t-bar-row-plate-loaded-female.jpg",4,500,500)</f>
        <v/>
      </c>
      <c r="B2819" s="30">
        <v>2818.0</v>
      </c>
      <c r="C2819" s="16" t="s">
        <v>3571</v>
      </c>
      <c r="D2819" s="16" t="s">
        <v>184</v>
      </c>
      <c r="E2819" s="16" t="s">
        <v>192</v>
      </c>
      <c r="F2819" s="16" t="s">
        <v>346</v>
      </c>
      <c r="G2819" s="16" t="s">
        <v>570</v>
      </c>
      <c r="H2819" s="16" t="s">
        <v>447</v>
      </c>
    </row>
    <row r="2820" ht="20.25" customHeight="1">
      <c r="A2820" s="32" t="str">
        <f>IMAGE("https://gymvisual.com/24053-catalog_default/lever-total-abdominal-crunch.jpg",4,500,500)</f>
        <v/>
      </c>
      <c r="B2820" s="30">
        <v>2819.0</v>
      </c>
      <c r="C2820" s="16" t="s">
        <v>3572</v>
      </c>
      <c r="D2820" s="16" t="s">
        <v>184</v>
      </c>
      <c r="E2820" s="16" t="s">
        <v>254</v>
      </c>
      <c r="F2820" s="16" t="s">
        <v>346</v>
      </c>
      <c r="G2820" s="16" t="s">
        <v>256</v>
      </c>
      <c r="H2820" s="16" t="s">
        <v>257</v>
      </c>
    </row>
    <row r="2821" ht="20.25" customHeight="1">
      <c r="A2821" s="32" t="str">
        <f>IMAGE("https://gymvisual.com/7723-catalog_default/lever-triceps-dip-plate-loaded.jpg",4,500,500)</f>
        <v/>
      </c>
      <c r="B2821" s="30">
        <v>2820.0</v>
      </c>
      <c r="C2821" s="16" t="s">
        <v>3573</v>
      </c>
      <c r="D2821" s="16" t="s">
        <v>184</v>
      </c>
      <c r="E2821" s="16" t="s">
        <v>219</v>
      </c>
      <c r="F2821" s="16" t="s">
        <v>346</v>
      </c>
      <c r="G2821" s="16" t="s">
        <v>223</v>
      </c>
      <c r="H2821" s="16" t="s">
        <v>394</v>
      </c>
    </row>
    <row r="2822" ht="20.25" customHeight="1">
      <c r="A2822" s="32" t="str">
        <f>IMAGE("https://gymvisual.com/1825-catalog_default/3-4-sit-up.jpg",4,500,500)</f>
        <v/>
      </c>
      <c r="B2822" s="30">
        <v>2821.0</v>
      </c>
      <c r="C2822" s="16" t="s">
        <v>3574</v>
      </c>
      <c r="D2822" s="16" t="s">
        <v>184</v>
      </c>
      <c r="E2822" s="16" t="s">
        <v>219</v>
      </c>
      <c r="F2822" s="16" t="s">
        <v>346</v>
      </c>
      <c r="G2822" s="16" t="s">
        <v>223</v>
      </c>
      <c r="H2822" s="16" t="s">
        <v>220</v>
      </c>
    </row>
    <row r="2823" ht="20.25" customHeight="1">
      <c r="A2823" s="32" t="str">
        <f>IMAGE("https://gymvisual.com/2931-catalog_default/lever-triceps-extension.jpg",4,500,500)</f>
        <v/>
      </c>
      <c r="B2823" s="30">
        <v>2822.0</v>
      </c>
      <c r="C2823" s="16" t="s">
        <v>3574</v>
      </c>
      <c r="D2823" s="16" t="s">
        <v>184</v>
      </c>
      <c r="E2823" s="16" t="s">
        <v>219</v>
      </c>
      <c r="F2823" s="16" t="s">
        <v>346</v>
      </c>
      <c r="G2823" s="16" t="s">
        <v>511</v>
      </c>
      <c r="H2823" s="16" t="s">
        <v>3575</v>
      </c>
    </row>
    <row r="2824" ht="20.25" customHeight="1">
      <c r="A2824" s="32" t="str">
        <f>IMAGE("https://gymvisual.com/14292-catalog_default/lever-triceps-extension-female.jpg",4,500,500)</f>
        <v/>
      </c>
      <c r="B2824" s="30">
        <v>2823.0</v>
      </c>
      <c r="C2824" s="16" t="s">
        <v>3576</v>
      </c>
      <c r="D2824" s="16" t="s">
        <v>184</v>
      </c>
      <c r="E2824" s="16" t="s">
        <v>219</v>
      </c>
      <c r="F2824" s="16" t="s">
        <v>346</v>
      </c>
      <c r="G2824" s="16" t="s">
        <v>223</v>
      </c>
      <c r="H2824" s="16" t="s">
        <v>220</v>
      </c>
    </row>
    <row r="2825" ht="20.25" customHeight="1">
      <c r="A2825" s="32" t="str">
        <f>IMAGE("https://gymvisual.com/12059-catalog_default/lever-triceps-extension-version-2-female.jpg",4,500,500)</f>
        <v/>
      </c>
      <c r="B2825" s="30">
        <v>2824.0</v>
      </c>
      <c r="C2825" s="16" t="s">
        <v>3577</v>
      </c>
      <c r="D2825" s="16" t="s">
        <v>184</v>
      </c>
      <c r="E2825" s="16" t="s">
        <v>219</v>
      </c>
      <c r="F2825" s="16" t="s">
        <v>346</v>
      </c>
      <c r="G2825" s="16" t="s">
        <v>223</v>
      </c>
      <c r="H2825" s="16" t="s">
        <v>220</v>
      </c>
    </row>
    <row r="2826" ht="20.25" customHeight="1">
      <c r="A2826" s="32" t="str">
        <f>IMAGE("https://gymvisual.com/22656-catalog_default/lever-trunk-rotation.jpg",4,500,500)</f>
        <v/>
      </c>
      <c r="B2826" s="30">
        <v>2825.0</v>
      </c>
      <c r="C2826" s="16" t="s">
        <v>3578</v>
      </c>
      <c r="D2826" s="16" t="s">
        <v>184</v>
      </c>
      <c r="E2826" s="16" t="s">
        <v>254</v>
      </c>
      <c r="F2826" s="16" t="s">
        <v>346</v>
      </c>
      <c r="G2826" s="16" t="s">
        <v>257</v>
      </c>
      <c r="H2826" s="16" t="s">
        <v>256</v>
      </c>
    </row>
    <row r="2827" ht="20.25" customHeight="1">
      <c r="A2827" s="32" t="str">
        <f>IMAGE("https://gymvisual.com/1828-catalog_default/3-4-sit-up.jpg",4,500,500)</f>
        <v/>
      </c>
      <c r="B2827" s="30">
        <v>2826.0</v>
      </c>
      <c r="C2827" s="16" t="s">
        <v>3579</v>
      </c>
      <c r="D2827" s="16" t="s">
        <v>184</v>
      </c>
      <c r="E2827" s="16" t="s">
        <v>254</v>
      </c>
      <c r="F2827" s="16" t="s">
        <v>346</v>
      </c>
      <c r="G2827" s="16" t="s">
        <v>257</v>
      </c>
      <c r="H2827" s="16" t="s">
        <v>271</v>
      </c>
    </row>
    <row r="2828" ht="20.25" customHeight="1">
      <c r="A2828" s="32" t="str">
        <f>IMAGE("https://gymvisual.com/6004-catalog_default/lever-unilateral-row.jpg",4,500,500)</f>
        <v/>
      </c>
      <c r="B2828" s="30">
        <v>2827.0</v>
      </c>
      <c r="C2828" s="16" t="s">
        <v>3580</v>
      </c>
      <c r="D2828" s="16" t="s">
        <v>184</v>
      </c>
      <c r="E2828" s="16" t="s">
        <v>192</v>
      </c>
      <c r="F2828" s="16" t="s">
        <v>346</v>
      </c>
      <c r="G2828" s="16" t="s">
        <v>329</v>
      </c>
      <c r="H2828" s="16" t="s">
        <v>457</v>
      </c>
    </row>
    <row r="2829" ht="20.25" customHeight="1">
      <c r="A2829" s="32" t="str">
        <f>IMAGE("https://gymvisual.com/21008-catalog_default/lever-vmx-multy-mode-rope-lat-pulldown.jpg",4,500,500)</f>
        <v/>
      </c>
      <c r="B2829" s="30">
        <v>2828.0</v>
      </c>
      <c r="C2829" s="16" t="s">
        <v>3581</v>
      </c>
      <c r="D2829" s="16" t="s">
        <v>184</v>
      </c>
      <c r="E2829" s="16" t="s">
        <v>192</v>
      </c>
      <c r="F2829" s="16" t="s">
        <v>346</v>
      </c>
      <c r="G2829" s="16" t="s">
        <v>300</v>
      </c>
      <c r="H2829" s="16" t="s">
        <v>3582</v>
      </c>
    </row>
    <row r="2830" ht="20.25" customHeight="1">
      <c r="A2830" s="32" t="str">
        <f>IMAGE("https://gymvisual.com/1831-catalog_default/3-4-sit-up.jpg",4,500,500)</f>
        <v/>
      </c>
      <c r="B2830" s="30">
        <v>2829.0</v>
      </c>
      <c r="C2830" s="16" t="s">
        <v>3583</v>
      </c>
      <c r="D2830" s="16" t="s">
        <v>184</v>
      </c>
      <c r="E2830" s="16" t="s">
        <v>192</v>
      </c>
      <c r="F2830" s="16" t="s">
        <v>1160</v>
      </c>
      <c r="G2830" s="16" t="s">
        <v>329</v>
      </c>
      <c r="H2830" s="16" t="s">
        <v>457</v>
      </c>
    </row>
    <row r="2831" ht="20.25" customHeight="1">
      <c r="A2831" s="32" t="str">
        <f>IMAGE("https://gymvisual.com/22109-catalog_default/long-arm-crunch.jpg",4,500,500)</f>
        <v/>
      </c>
      <c r="B2831" s="30">
        <v>2830.0</v>
      </c>
      <c r="C2831" s="16" t="s">
        <v>3584</v>
      </c>
      <c r="D2831" s="16" t="s">
        <v>184</v>
      </c>
      <c r="E2831" s="16" t="s">
        <v>254</v>
      </c>
      <c r="F2831" s="16" t="s">
        <v>255</v>
      </c>
      <c r="G2831" s="16" t="s">
        <v>256</v>
      </c>
      <c r="H2831" s="16" t="s">
        <v>257</v>
      </c>
    </row>
    <row r="2832" ht="20.25" customHeight="1">
      <c r="A2832" s="32" t="str">
        <f>IMAGE("https://gymvisual.com/22758-catalog_default/long-arm-crunch-female.jpg",4,500,500)</f>
        <v/>
      </c>
      <c r="B2832" s="30">
        <v>2831.0</v>
      </c>
      <c r="C2832" s="16" t="s">
        <v>3585</v>
      </c>
      <c r="D2832" s="16" t="s">
        <v>184</v>
      </c>
      <c r="E2832" s="16" t="s">
        <v>254</v>
      </c>
      <c r="F2832" s="16" t="s">
        <v>255</v>
      </c>
      <c r="G2832" s="16" t="s">
        <v>220</v>
      </c>
      <c r="H2832" s="16" t="s">
        <v>220</v>
      </c>
    </row>
    <row r="2833" ht="20.25" customHeight="1">
      <c r="A2833" s="32" t="str">
        <f>IMAGE("https://gymvisual.com/22458-catalog_default/long-lever-decline-sit-up-female.jpg",4,500,500)</f>
        <v/>
      </c>
      <c r="B2833" s="30">
        <v>2832.0</v>
      </c>
      <c r="C2833" s="16" t="s">
        <v>3586</v>
      </c>
      <c r="D2833" s="16" t="s">
        <v>184</v>
      </c>
      <c r="E2833" s="16" t="s">
        <v>254</v>
      </c>
      <c r="F2833" s="16" t="s">
        <v>346</v>
      </c>
      <c r="G2833" s="16" t="s">
        <v>220</v>
      </c>
      <c r="H2833" s="16" t="s">
        <v>220</v>
      </c>
    </row>
    <row r="2834" ht="20.25" customHeight="1">
      <c r="A2834" s="32" t="str">
        <f>IMAGE("https://gymvisual.com/22484-catalog_default/long-lever-lying-back-extension.jpg",4,500,500)</f>
        <v/>
      </c>
      <c r="B2834" s="30">
        <v>2833.0</v>
      </c>
      <c r="C2834" s="16" t="s">
        <v>3587</v>
      </c>
      <c r="D2834" s="16" t="s">
        <v>184</v>
      </c>
      <c r="E2834" s="16" t="s">
        <v>185</v>
      </c>
      <c r="F2834" s="16" t="s">
        <v>346</v>
      </c>
      <c r="G2834" s="16" t="s">
        <v>220</v>
      </c>
      <c r="H2834" s="16" t="s">
        <v>220</v>
      </c>
    </row>
    <row r="2835" ht="20.25" customHeight="1">
      <c r="A2835" s="32" t="str">
        <f>IMAGE("https://gymvisual.com/12406-catalog_default/low-glute-bridge-on-floor.jpg",4,500,500)</f>
        <v/>
      </c>
      <c r="B2835" s="30">
        <v>2834.0</v>
      </c>
      <c r="C2835" s="16" t="s">
        <v>3588</v>
      </c>
      <c r="D2835" s="16" t="s">
        <v>184</v>
      </c>
      <c r="E2835" s="16" t="s">
        <v>185</v>
      </c>
      <c r="F2835" s="16" t="s">
        <v>255</v>
      </c>
      <c r="G2835" s="16" t="s">
        <v>187</v>
      </c>
      <c r="H2835" s="16" t="s">
        <v>220</v>
      </c>
    </row>
    <row r="2836" ht="20.25" customHeight="1">
      <c r="A2836" s="32" t="str">
        <f>IMAGE("https://gymvisual.com/12409-catalog_default/low-glute-bridge-on-floor-female.jpg",4,500,500)</f>
        <v/>
      </c>
      <c r="B2836" s="30">
        <v>2835.0</v>
      </c>
      <c r="C2836" s="16" t="s">
        <v>3589</v>
      </c>
      <c r="D2836" s="16" t="s">
        <v>184</v>
      </c>
      <c r="E2836" s="16" t="s">
        <v>185</v>
      </c>
      <c r="F2836" s="16" t="s">
        <v>255</v>
      </c>
      <c r="G2836" s="16" t="s">
        <v>187</v>
      </c>
      <c r="H2836" s="16" t="s">
        <v>220</v>
      </c>
    </row>
    <row r="2837" ht="20.25" customHeight="1">
      <c r="A2837" s="32" t="str">
        <f>IMAGE("https://gymvisual.com/6043-catalog_default/lower-back-curl.jpg",4,500,500)</f>
        <v/>
      </c>
      <c r="B2837" s="30">
        <v>2836.0</v>
      </c>
      <c r="C2837" s="16" t="s">
        <v>3590</v>
      </c>
      <c r="D2837" s="16" t="s">
        <v>184</v>
      </c>
      <c r="E2837" s="16" t="s">
        <v>192</v>
      </c>
      <c r="F2837" s="16" t="s">
        <v>255</v>
      </c>
      <c r="G2837" s="16" t="s">
        <v>275</v>
      </c>
      <c r="H2837" s="16" t="s">
        <v>220</v>
      </c>
    </row>
    <row r="2838" ht="20.25" customHeight="1">
      <c r="A2838" s="32" t="str">
        <f>IMAGE("https://gymvisual.com/1839-catalog_default/3-4-sit-up.jpg",4,500,500)</f>
        <v/>
      </c>
      <c r="B2838" s="30">
        <v>2837.0</v>
      </c>
      <c r="C2838" s="16" t="s">
        <v>3591</v>
      </c>
      <c r="D2838" s="16" t="s">
        <v>184</v>
      </c>
      <c r="E2838" s="16" t="s">
        <v>185</v>
      </c>
      <c r="F2838" s="16" t="s">
        <v>255</v>
      </c>
      <c r="G2838" s="16" t="s">
        <v>189</v>
      </c>
      <c r="H2838" s="16" t="s">
        <v>190</v>
      </c>
    </row>
    <row r="2839" ht="20.25" customHeight="1">
      <c r="A2839" s="32" t="str">
        <f>IMAGE("https://gymvisual.com/20060-catalog_default/lunge-thighs-wrong-right.jpg",4,500,500)</f>
        <v/>
      </c>
      <c r="B2839" s="30">
        <v>2838.0</v>
      </c>
      <c r="C2839" s="16" t="s">
        <v>3592</v>
      </c>
      <c r="D2839" s="16" t="s">
        <v>184</v>
      </c>
      <c r="E2839" s="16" t="s">
        <v>285</v>
      </c>
      <c r="F2839" s="16" t="s">
        <v>255</v>
      </c>
      <c r="G2839" s="16" t="s">
        <v>220</v>
      </c>
      <c r="H2839" s="16" t="s">
        <v>220</v>
      </c>
    </row>
    <row r="2840" ht="20.25" customHeight="1">
      <c r="A2840" s="32" t="str">
        <f>IMAGE("https://gymvisual.com/1837-catalog_default/3-4-sit-up.jpg",4,500,500)</f>
        <v/>
      </c>
      <c r="B2840" s="30">
        <v>2839.0</v>
      </c>
      <c r="C2840" s="16" t="s">
        <v>3593</v>
      </c>
      <c r="D2840" s="16" t="s">
        <v>184</v>
      </c>
      <c r="E2840" s="16" t="s">
        <v>285</v>
      </c>
      <c r="F2840" s="16" t="s">
        <v>255</v>
      </c>
      <c r="G2840" s="16" t="s">
        <v>3594</v>
      </c>
      <c r="H2840" s="16" t="s">
        <v>3595</v>
      </c>
    </row>
    <row r="2841" ht="20.25" customHeight="1">
      <c r="A2841" s="32" t="str">
        <f>IMAGE("https://gymvisual.com/14226-catalog_default/lunge-with-leg-lift.jpg",4,500,500)</f>
        <v/>
      </c>
      <c r="B2841" s="30">
        <v>2840.0</v>
      </c>
      <c r="C2841" s="16" t="s">
        <v>3596</v>
      </c>
      <c r="D2841" s="16" t="s">
        <v>184</v>
      </c>
      <c r="E2841" s="16" t="s">
        <v>285</v>
      </c>
      <c r="F2841" s="16" t="s">
        <v>255</v>
      </c>
      <c r="G2841" s="16" t="s">
        <v>189</v>
      </c>
      <c r="H2841" s="16" t="s">
        <v>190</v>
      </c>
    </row>
    <row r="2842" ht="20.25" customHeight="1">
      <c r="A2842" s="32" t="str">
        <f>IMAGE("https://gymvisual.com/7310-catalog_default/lunge-with-twist.jpg",4,500,500)</f>
        <v/>
      </c>
      <c r="B2842" s="30">
        <v>2841.0</v>
      </c>
      <c r="C2842" s="16" t="s">
        <v>3597</v>
      </c>
      <c r="D2842" s="16" t="s">
        <v>184</v>
      </c>
      <c r="E2842" s="16" t="s">
        <v>254</v>
      </c>
      <c r="F2842" s="16" t="s">
        <v>255</v>
      </c>
      <c r="G2842" s="16" t="s">
        <v>524</v>
      </c>
      <c r="H2842" s="16" t="s">
        <v>190</v>
      </c>
    </row>
    <row r="2843" ht="20.25" customHeight="1">
      <c r="A2843" s="32" t="str">
        <f>IMAGE("https://gymvisual.com/19033-catalog_default/lying-ab-press-female.jpg",4,500,500)</f>
        <v/>
      </c>
      <c r="B2843" s="30">
        <v>2842.0</v>
      </c>
      <c r="C2843" s="16" t="s">
        <v>3598</v>
      </c>
      <c r="D2843" s="16" t="s">
        <v>184</v>
      </c>
      <c r="E2843" s="16" t="s">
        <v>254</v>
      </c>
      <c r="F2843" s="16" t="s">
        <v>255</v>
      </c>
      <c r="G2843" s="16" t="s">
        <v>256</v>
      </c>
      <c r="H2843" s="16" t="s">
        <v>271</v>
      </c>
    </row>
    <row r="2844" ht="20.25" customHeight="1">
      <c r="A2844" s="32" t="str">
        <f>IMAGE("https://gymvisual.com/19029-catalog_default/lying-ab-press-male.jpg",4,500,500)</f>
        <v/>
      </c>
      <c r="B2844" s="30">
        <v>2843.0</v>
      </c>
      <c r="C2844" s="16" t="s">
        <v>3599</v>
      </c>
      <c r="D2844" s="16" t="s">
        <v>184</v>
      </c>
      <c r="E2844" s="16" t="s">
        <v>254</v>
      </c>
      <c r="F2844" s="16" t="s">
        <v>255</v>
      </c>
      <c r="G2844" s="16" t="s">
        <v>256</v>
      </c>
      <c r="H2844" s="16" t="s">
        <v>271</v>
      </c>
    </row>
    <row r="2845" ht="20.25" customHeight="1">
      <c r="A2845" s="32" t="str">
        <f>IMAGE("https://gymvisual.com/23679-catalog_default/lying-air-cycles.jpg",4,500,500)</f>
        <v/>
      </c>
      <c r="B2845" s="30">
        <v>2844.0</v>
      </c>
      <c r="C2845" s="16" t="s">
        <v>3600</v>
      </c>
      <c r="D2845" s="16" t="s">
        <v>184</v>
      </c>
      <c r="E2845" s="16" t="s">
        <v>321</v>
      </c>
      <c r="F2845" s="16" t="s">
        <v>255</v>
      </c>
      <c r="G2845" s="16" t="s">
        <v>220</v>
      </c>
      <c r="H2845" s="16" t="s">
        <v>220</v>
      </c>
    </row>
    <row r="2846" ht="20.25" customHeight="1">
      <c r="A2846" s="32" t="str">
        <f>IMAGE("https://gymvisual.com/23681-catalog_default/lying-air-cycles-female.jpg",4,500,500)</f>
        <v/>
      </c>
      <c r="B2846" s="30">
        <v>2845.0</v>
      </c>
      <c r="C2846" s="16" t="s">
        <v>3601</v>
      </c>
      <c r="D2846" s="16" t="s">
        <v>184</v>
      </c>
      <c r="E2846" s="16" t="s">
        <v>321</v>
      </c>
      <c r="F2846" s="16" t="s">
        <v>255</v>
      </c>
      <c r="G2846" s="16" t="s">
        <v>220</v>
      </c>
      <c r="H2846" s="16" t="s">
        <v>220</v>
      </c>
    </row>
    <row r="2847" ht="20.25" customHeight="1">
      <c r="A2847" s="32" t="str">
        <f>IMAGE("https://gymvisual.com/1845-catalog_default/3-4-sit-up.jpg",4,500,500)</f>
        <v/>
      </c>
      <c r="B2847" s="30">
        <v>2846.0</v>
      </c>
      <c r="C2847" s="16" t="s">
        <v>3602</v>
      </c>
      <c r="D2847" s="16" t="s">
        <v>184</v>
      </c>
      <c r="E2847" s="16" t="s">
        <v>185</v>
      </c>
      <c r="F2847" s="16" t="s">
        <v>255</v>
      </c>
      <c r="G2847" s="16" t="s">
        <v>187</v>
      </c>
      <c r="H2847" s="16" t="s">
        <v>188</v>
      </c>
    </row>
    <row r="2848" ht="20.25" customHeight="1">
      <c r="A2848" s="32" t="str">
        <f>IMAGE("https://gymvisual.com/24081-catalog_default/lying-alternate-toe-touch-floor.jpg",4,500,500)</f>
        <v/>
      </c>
      <c r="B2848" s="30">
        <v>2847.0</v>
      </c>
      <c r="C2848" s="16" t="s">
        <v>3603</v>
      </c>
      <c r="D2848" s="16" t="s">
        <v>184</v>
      </c>
      <c r="E2848" s="16" t="s">
        <v>185</v>
      </c>
      <c r="F2848" s="16" t="s">
        <v>255</v>
      </c>
      <c r="G2848" s="16" t="s">
        <v>220</v>
      </c>
      <c r="H2848" s="16" t="s">
        <v>220</v>
      </c>
    </row>
    <row r="2849" ht="20.25" customHeight="1">
      <c r="A2849" s="32" t="str">
        <f>IMAGE("https://gymvisual.com/23567-catalog_default/lying-around-the-world.jpg",4,500,500)</f>
        <v/>
      </c>
      <c r="B2849" s="30">
        <v>2848.0</v>
      </c>
      <c r="C2849" s="16" t="s">
        <v>3604</v>
      </c>
      <c r="D2849" s="16" t="s">
        <v>184</v>
      </c>
      <c r="E2849" s="16" t="s">
        <v>228</v>
      </c>
      <c r="F2849" s="16" t="s">
        <v>255</v>
      </c>
      <c r="G2849" s="16" t="s">
        <v>1997</v>
      </c>
      <c r="H2849" s="16" t="s">
        <v>3605</v>
      </c>
    </row>
    <row r="2850" ht="20.25" customHeight="1">
      <c r="A2850" s="32" t="str">
        <f>IMAGE("https://gymvisual.com/23685-catalog_default/lying-around-the-world-female.jpg",4,500,500)</f>
        <v/>
      </c>
      <c r="B2850" s="30">
        <v>2849.0</v>
      </c>
      <c r="C2850" s="16" t="s">
        <v>3606</v>
      </c>
      <c r="D2850" s="16" t="s">
        <v>184</v>
      </c>
      <c r="E2850" s="16" t="s">
        <v>228</v>
      </c>
      <c r="F2850" s="16" t="s">
        <v>255</v>
      </c>
      <c r="G2850" s="16" t="s">
        <v>408</v>
      </c>
      <c r="H2850" s="16" t="s">
        <v>3607</v>
      </c>
    </row>
    <row r="2851" ht="20.25" customHeight="1">
      <c r="A2851" s="32" t="str">
        <f>IMAGE("https://gymvisual.com/23875-catalog_default/lying-bent-knee-figure-8.jpg",4,500,500)</f>
        <v/>
      </c>
      <c r="B2851" s="30">
        <v>2850.0</v>
      </c>
      <c r="C2851" s="16" t="s">
        <v>3608</v>
      </c>
      <c r="D2851" s="16" t="s">
        <v>184</v>
      </c>
      <c r="E2851" s="16" t="s">
        <v>185</v>
      </c>
      <c r="F2851" s="16" t="s">
        <v>255</v>
      </c>
      <c r="G2851" s="16" t="s">
        <v>3609</v>
      </c>
      <c r="H2851" s="16" t="s">
        <v>3610</v>
      </c>
    </row>
    <row r="2852" ht="20.25" customHeight="1">
      <c r="A2852" s="32" t="str">
        <f>IMAGE("https://gymvisual.com/23853-catalog_default/lying-bent-legs-raise.jpg",4,500,500)</f>
        <v/>
      </c>
      <c r="B2852" s="30">
        <v>2851.0</v>
      </c>
      <c r="C2852" s="16" t="s">
        <v>3611</v>
      </c>
      <c r="D2852" s="16" t="s">
        <v>184</v>
      </c>
      <c r="E2852" s="16" t="s">
        <v>254</v>
      </c>
      <c r="F2852" s="16" t="s">
        <v>255</v>
      </c>
      <c r="G2852" s="16" t="s">
        <v>220</v>
      </c>
      <c r="H2852" s="16" t="s">
        <v>220</v>
      </c>
    </row>
    <row r="2853" ht="20.25" customHeight="1">
      <c r="A2853" s="32" t="str">
        <f>IMAGE("https://gymvisual.com/14143-catalog_default/lying-biceps-curl-with-towel.jpg",4,500,500)</f>
        <v/>
      </c>
      <c r="B2853" s="30">
        <v>2852.0</v>
      </c>
      <c r="C2853" s="16" t="s">
        <v>3612</v>
      </c>
      <c r="D2853" s="16" t="s">
        <v>184</v>
      </c>
      <c r="E2853" s="16" t="s">
        <v>219</v>
      </c>
      <c r="F2853" s="16" t="s">
        <v>396</v>
      </c>
      <c r="G2853" s="16" t="s">
        <v>217</v>
      </c>
      <c r="H2853" s="16" t="s">
        <v>216</v>
      </c>
    </row>
    <row r="2854" ht="20.25" customHeight="1">
      <c r="A2854" s="32" t="str">
        <f>IMAGE("https://gymvisual.com/25831-catalog_default/lying-bicycle-crunch.jpg",4,500,500)</f>
        <v/>
      </c>
      <c r="B2854" s="30">
        <v>2853.0</v>
      </c>
      <c r="C2854" s="16" t="s">
        <v>3613</v>
      </c>
      <c r="D2854" s="16" t="s">
        <v>184</v>
      </c>
      <c r="E2854" s="16" t="s">
        <v>254</v>
      </c>
      <c r="F2854" s="16" t="s">
        <v>255</v>
      </c>
      <c r="G2854" s="16" t="s">
        <v>2868</v>
      </c>
      <c r="H2854" s="16" t="s">
        <v>1306</v>
      </c>
    </row>
    <row r="2855" ht="20.25" customHeight="1">
      <c r="A2855" s="32" t="str">
        <f>IMAGE("https://gymvisual.com/24093-catalog_default/lying-chin-tucks.jpg",4,500,500)</f>
        <v/>
      </c>
      <c r="B2855" s="30">
        <v>2854.0</v>
      </c>
      <c r="C2855" s="16" t="s">
        <v>3614</v>
      </c>
      <c r="D2855" s="16" t="s">
        <v>184</v>
      </c>
      <c r="E2855" s="16" t="s">
        <v>351</v>
      </c>
      <c r="F2855" s="16" t="s">
        <v>255</v>
      </c>
      <c r="G2855" s="16" t="s">
        <v>220</v>
      </c>
      <c r="H2855" s="16" t="s">
        <v>220</v>
      </c>
    </row>
    <row r="2856" ht="20.25" customHeight="1">
      <c r="A2856" s="32" t="str">
        <f>IMAGE("https://gymvisual.com/22803-catalog_default/lying-criss-cross-legs.jpg",4,500,500)</f>
        <v/>
      </c>
      <c r="B2856" s="30">
        <v>2855.0</v>
      </c>
      <c r="C2856" s="16" t="s">
        <v>3615</v>
      </c>
      <c r="D2856" s="16" t="s">
        <v>184</v>
      </c>
      <c r="E2856" s="16" t="s">
        <v>185</v>
      </c>
      <c r="F2856" s="16" t="s">
        <v>255</v>
      </c>
      <c r="G2856" s="16" t="s">
        <v>3616</v>
      </c>
      <c r="H2856" s="16" t="s">
        <v>3617</v>
      </c>
    </row>
    <row r="2857" ht="20.25" customHeight="1">
      <c r="A2857" s="32" t="str">
        <f>IMAGE("https://gymvisual.com/16609-catalog_default/lying-double-legs-biceps-curl-with-towel.jpg",4,500,500)</f>
        <v/>
      </c>
      <c r="B2857" s="30">
        <v>2856.0</v>
      </c>
      <c r="C2857" s="16" t="s">
        <v>3618</v>
      </c>
      <c r="D2857" s="16" t="s">
        <v>184</v>
      </c>
      <c r="E2857" s="16" t="s">
        <v>219</v>
      </c>
      <c r="F2857" s="16" t="s">
        <v>255</v>
      </c>
      <c r="G2857" s="16" t="s">
        <v>241</v>
      </c>
      <c r="H2857" s="16" t="s">
        <v>292</v>
      </c>
    </row>
    <row r="2858" ht="20.25" customHeight="1">
      <c r="A2858" s="32" t="str">
        <f>IMAGE("https://gymvisual.com/22097-catalog_default/lying-double-legs-hammer-curl-with-towel.jpg",4,500,500)</f>
        <v/>
      </c>
      <c r="B2858" s="30">
        <v>2857.0</v>
      </c>
      <c r="C2858" s="16" t="s">
        <v>3619</v>
      </c>
      <c r="D2858" s="16" t="s">
        <v>184</v>
      </c>
      <c r="E2858" s="16" t="s">
        <v>219</v>
      </c>
      <c r="F2858" s="16" t="s">
        <v>255</v>
      </c>
      <c r="G2858" s="16" t="s">
        <v>216</v>
      </c>
      <c r="H2858" s="16" t="s">
        <v>217</v>
      </c>
    </row>
    <row r="2859" ht="20.25" customHeight="1">
      <c r="A2859" s="32" t="str">
        <f>IMAGE("https://gymvisual.com/9798-catalog_default/lying-elbow-to-knee.jpg",4,500,500)</f>
        <v/>
      </c>
      <c r="B2859" s="30">
        <v>2858.0</v>
      </c>
      <c r="C2859" s="16" t="s">
        <v>3620</v>
      </c>
      <c r="D2859" s="16" t="s">
        <v>184</v>
      </c>
      <c r="E2859" s="16" t="s">
        <v>254</v>
      </c>
      <c r="F2859" s="16" t="s">
        <v>255</v>
      </c>
      <c r="G2859" s="16" t="s">
        <v>257</v>
      </c>
      <c r="H2859" s="16" t="s">
        <v>256</v>
      </c>
    </row>
    <row r="2860" ht="20.25" customHeight="1">
      <c r="A2860" s="32" t="str">
        <f>IMAGE("https://gymvisual.com/22422-catalog_default/lying-flat-hip-raise-female.jpg",4,500,500)</f>
        <v/>
      </c>
      <c r="B2860" s="30">
        <v>2859.0</v>
      </c>
      <c r="C2860" s="16" t="s">
        <v>3621</v>
      </c>
      <c r="D2860" s="16" t="s">
        <v>184</v>
      </c>
      <c r="E2860" s="16" t="s">
        <v>254</v>
      </c>
      <c r="F2860" s="16" t="s">
        <v>255</v>
      </c>
      <c r="G2860" s="16" t="s">
        <v>220</v>
      </c>
      <c r="H2860" s="16" t="s">
        <v>220</v>
      </c>
    </row>
    <row r="2861" ht="20.25" customHeight="1">
      <c r="A2861" s="32" t="str">
        <f>IMAGE("https://gymvisual.com/24121-catalog_default/lying-floor-fly.jpg",4,500,500)</f>
        <v/>
      </c>
      <c r="B2861" s="30">
        <v>2860.0</v>
      </c>
      <c r="C2861" s="16" t="s">
        <v>3622</v>
      </c>
      <c r="D2861" s="16" t="s">
        <v>184</v>
      </c>
      <c r="E2861" s="16" t="s">
        <v>234</v>
      </c>
      <c r="F2861" s="16" t="s">
        <v>255</v>
      </c>
      <c r="G2861" s="16" t="s">
        <v>220</v>
      </c>
      <c r="H2861" s="16" t="s">
        <v>220</v>
      </c>
    </row>
    <row r="2862" ht="20.25" customHeight="1">
      <c r="A2862" s="32" t="str">
        <f>IMAGE("https://gymvisual.com/22095-catalog_default/lying-floor-hyperextension.jpg",4,500,500)</f>
        <v/>
      </c>
      <c r="B2862" s="30">
        <v>2861.0</v>
      </c>
      <c r="C2862" s="16" t="s">
        <v>3623</v>
      </c>
      <c r="D2862" s="16" t="s">
        <v>184</v>
      </c>
      <c r="E2862" s="16" t="s">
        <v>185</v>
      </c>
      <c r="F2862" s="16" t="s">
        <v>255</v>
      </c>
      <c r="G2862" s="16" t="s">
        <v>275</v>
      </c>
      <c r="H2862" s="16" t="s">
        <v>2412</v>
      </c>
    </row>
    <row r="2863" ht="20.25" customHeight="1">
      <c r="A2863" s="32" t="str">
        <f>IMAGE("https://gymvisual.com/22712-catalog_default/lying-floor-hyperextension-with-towel.jpg",4,500,500)</f>
        <v/>
      </c>
      <c r="B2863" s="30">
        <v>2862.0</v>
      </c>
      <c r="C2863" s="16" t="s">
        <v>3624</v>
      </c>
      <c r="D2863" s="16" t="s">
        <v>184</v>
      </c>
      <c r="E2863" s="16" t="s">
        <v>185</v>
      </c>
      <c r="F2863" s="16" t="s">
        <v>255</v>
      </c>
      <c r="G2863" s="16" t="s">
        <v>275</v>
      </c>
      <c r="H2863" s="16" t="s">
        <v>2412</v>
      </c>
    </row>
    <row r="2864" ht="20.25" customHeight="1">
      <c r="A2864" s="32" t="str">
        <f>IMAGE("https://gymvisual.com/14006-catalog_default/lying-floor-row-with-bent-knee.jpg",4,500,500)</f>
        <v/>
      </c>
      <c r="B2864" s="30">
        <v>2863.0</v>
      </c>
      <c r="C2864" s="16" t="s">
        <v>3625</v>
      </c>
      <c r="D2864" s="16" t="s">
        <v>184</v>
      </c>
      <c r="E2864" s="16" t="s">
        <v>192</v>
      </c>
      <c r="F2864" s="16" t="s">
        <v>255</v>
      </c>
      <c r="G2864" s="16" t="s">
        <v>3626</v>
      </c>
      <c r="H2864" s="16" t="s">
        <v>408</v>
      </c>
    </row>
    <row r="2865" ht="20.25" customHeight="1">
      <c r="A2865" s="32" t="str">
        <f>IMAGE("https://gymvisual.com/1854-catalog_default/3-4-sit-up.jpg",4,500,500)</f>
        <v/>
      </c>
      <c r="B2865" s="30">
        <v>2864.0</v>
      </c>
      <c r="C2865" s="16" t="s">
        <v>3627</v>
      </c>
      <c r="D2865" s="16" t="s">
        <v>184</v>
      </c>
      <c r="E2865" s="16" t="s">
        <v>185</v>
      </c>
      <c r="F2865" s="16" t="s">
        <v>255</v>
      </c>
      <c r="G2865" s="16" t="s">
        <v>271</v>
      </c>
      <c r="H2865" s="16" t="s">
        <v>3552</v>
      </c>
    </row>
    <row r="2866" ht="20.25" customHeight="1">
      <c r="A2866" s="32" t="str">
        <f>IMAGE("https://gymvisual.com/1857-catalog_default/3-4-sit-up.jpg",4,500,500)</f>
        <v/>
      </c>
      <c r="B2866" s="30">
        <v>2865.0</v>
      </c>
      <c r="C2866" s="16" t="s">
        <v>3628</v>
      </c>
      <c r="D2866" s="16" t="s">
        <v>184</v>
      </c>
      <c r="E2866" s="16" t="s">
        <v>185</v>
      </c>
      <c r="F2866" s="16" t="s">
        <v>399</v>
      </c>
      <c r="G2866" s="16" t="s">
        <v>187</v>
      </c>
      <c r="H2866" s="16" t="s">
        <v>188</v>
      </c>
    </row>
    <row r="2867" ht="20.25" customHeight="1">
      <c r="A2867" s="32" t="str">
        <f>IMAGE("https://gymvisual.com/26068-catalog_default/lying-hip-lift-on-stability-ball-ii.jpg",4,500,500)</f>
        <v/>
      </c>
      <c r="B2867" s="30">
        <v>2866.0</v>
      </c>
      <c r="C2867" s="16" t="s">
        <v>3629</v>
      </c>
      <c r="D2867" s="16" t="s">
        <v>184</v>
      </c>
      <c r="E2867" s="16" t="s">
        <v>185</v>
      </c>
      <c r="F2867" s="16" t="s">
        <v>399</v>
      </c>
      <c r="G2867" s="16" t="s">
        <v>187</v>
      </c>
      <c r="H2867" s="16" t="s">
        <v>188</v>
      </c>
    </row>
    <row r="2868" ht="20.25" customHeight="1">
      <c r="A2868" s="32" t="str">
        <f>IMAGE("https://gymvisual.com/19017-catalog_default/3-4-sit-up.jpg",4,500,500)</f>
        <v/>
      </c>
      <c r="B2868" s="30">
        <v>2867.0</v>
      </c>
      <c r="C2868" s="16" t="s">
        <v>3630</v>
      </c>
      <c r="D2868" s="16" t="s">
        <v>184</v>
      </c>
      <c r="E2868" s="16" t="s">
        <v>185</v>
      </c>
      <c r="F2868" s="16" t="s">
        <v>255</v>
      </c>
      <c r="G2868" s="16" t="s">
        <v>271</v>
      </c>
      <c r="H2868" s="16" t="s">
        <v>566</v>
      </c>
    </row>
    <row r="2869" ht="20.25" customHeight="1">
      <c r="A2869" s="32" t="str">
        <f>IMAGE("https://gymvisual.com/22420-catalog_default/lying-incline-hip-raise-female.jpg",4,500,500)</f>
        <v/>
      </c>
      <c r="B2869" s="30">
        <v>2868.0</v>
      </c>
      <c r="C2869" s="16" t="s">
        <v>3631</v>
      </c>
      <c r="D2869" s="16" t="s">
        <v>184</v>
      </c>
      <c r="E2869" s="16" t="s">
        <v>254</v>
      </c>
      <c r="F2869" s="16" t="s">
        <v>255</v>
      </c>
      <c r="G2869" s="16" t="s">
        <v>220</v>
      </c>
      <c r="H2869" s="16" t="s">
        <v>220</v>
      </c>
    </row>
    <row r="2870" ht="20.25" customHeight="1">
      <c r="A2870" s="32" t="str">
        <f>IMAGE("https://gymvisual.com/22821-catalog_default/lying-lat-pulldown.jpg",4,500,500)</f>
        <v/>
      </c>
      <c r="B2870" s="30">
        <v>2869.0</v>
      </c>
      <c r="C2870" s="16" t="s">
        <v>3632</v>
      </c>
      <c r="D2870" s="16" t="s">
        <v>184</v>
      </c>
      <c r="E2870" s="16" t="s">
        <v>192</v>
      </c>
      <c r="F2870" s="16" t="s">
        <v>255</v>
      </c>
      <c r="G2870" s="16" t="s">
        <v>404</v>
      </c>
      <c r="H2870" s="16" t="s">
        <v>447</v>
      </c>
    </row>
    <row r="2871" ht="20.25" customHeight="1">
      <c r="A2871" s="32" t="str">
        <f>IMAGE("https://gymvisual.com/22829-catalog_default/lying-leg-cross.jpg",4,500,500)</f>
        <v/>
      </c>
      <c r="B2871" s="30">
        <v>2870.0</v>
      </c>
      <c r="C2871" s="16" t="s">
        <v>3633</v>
      </c>
      <c r="D2871" s="16" t="s">
        <v>184</v>
      </c>
      <c r="E2871" s="16" t="s">
        <v>254</v>
      </c>
      <c r="F2871" s="16" t="s">
        <v>255</v>
      </c>
      <c r="G2871" s="16" t="s">
        <v>3634</v>
      </c>
      <c r="H2871" s="16" t="s">
        <v>3635</v>
      </c>
    </row>
    <row r="2872" ht="20.25" customHeight="1">
      <c r="A2872" s="32" t="str">
        <f>IMAGE("https://gymvisual.com/22524-catalog_default/lying-leg-figure-eight.jpg",4,500,500)</f>
        <v/>
      </c>
      <c r="B2872" s="30">
        <v>2871.0</v>
      </c>
      <c r="C2872" s="16" t="s">
        <v>3636</v>
      </c>
      <c r="D2872" s="16" t="s">
        <v>184</v>
      </c>
      <c r="E2872" s="16" t="s">
        <v>254</v>
      </c>
      <c r="F2872" s="16" t="s">
        <v>255</v>
      </c>
      <c r="G2872" s="16" t="s">
        <v>220</v>
      </c>
      <c r="H2872" s="16" t="s">
        <v>220</v>
      </c>
    </row>
    <row r="2873" ht="20.25" customHeight="1">
      <c r="A2873" s="32" t="str">
        <f>IMAGE("https://gymvisual.com/10966-catalog_default/lying-leg-hip-raise-female.jpg",4,500,500)</f>
        <v/>
      </c>
      <c r="B2873" s="30">
        <v>2872.0</v>
      </c>
      <c r="C2873" s="16" t="s">
        <v>3637</v>
      </c>
      <c r="D2873" s="16" t="s">
        <v>184</v>
      </c>
      <c r="E2873" s="16" t="s">
        <v>254</v>
      </c>
      <c r="F2873" s="16" t="s">
        <v>255</v>
      </c>
      <c r="G2873" s="16" t="s">
        <v>305</v>
      </c>
      <c r="H2873" s="16" t="s">
        <v>600</v>
      </c>
    </row>
    <row r="2874" ht="20.25" customHeight="1">
      <c r="A2874" s="32" t="str">
        <f>IMAGE("https://gymvisual.com/13758-catalog_default/lying-leg-hip-raise-on-floor.jpg",4,500,500)</f>
        <v/>
      </c>
      <c r="B2874" s="30">
        <v>2873.0</v>
      </c>
      <c r="C2874" s="16" t="s">
        <v>3638</v>
      </c>
      <c r="D2874" s="16" t="s">
        <v>184</v>
      </c>
      <c r="E2874" s="16" t="s">
        <v>254</v>
      </c>
      <c r="F2874" s="16" t="s">
        <v>255</v>
      </c>
      <c r="G2874" s="16" t="s">
        <v>305</v>
      </c>
      <c r="H2874" s="16" t="s">
        <v>220</v>
      </c>
    </row>
    <row r="2875" ht="20.25" customHeight="1">
      <c r="A2875" s="32" t="str">
        <f>IMAGE("https://gymvisual.com/22736-catalog_default/lying-leg-hip-raise-on-floor-version-2.jpg",4,500,500)</f>
        <v/>
      </c>
      <c r="B2875" s="30">
        <v>2874.0</v>
      </c>
      <c r="C2875" s="16" t="s">
        <v>3639</v>
      </c>
      <c r="D2875" s="16" t="s">
        <v>184</v>
      </c>
      <c r="E2875" s="16" t="s">
        <v>254</v>
      </c>
      <c r="F2875" s="16" t="s">
        <v>255</v>
      </c>
      <c r="G2875" s="16" t="s">
        <v>305</v>
      </c>
      <c r="H2875" s="16" t="s">
        <v>600</v>
      </c>
    </row>
    <row r="2876" ht="20.25" customHeight="1">
      <c r="A2876" s="32" t="str">
        <f>IMAGE("https://gymvisual.com/17573-catalog_default/lying-leg-hip-side-raise-on-floor.jpg",4,500,500)</f>
        <v/>
      </c>
      <c r="B2876" s="30">
        <v>2875.0</v>
      </c>
      <c r="C2876" s="16" t="s">
        <v>3640</v>
      </c>
      <c r="D2876" s="16" t="s">
        <v>184</v>
      </c>
      <c r="E2876" s="16" t="s">
        <v>310</v>
      </c>
      <c r="F2876" s="16" t="s">
        <v>255</v>
      </c>
      <c r="G2876" s="16" t="s">
        <v>263</v>
      </c>
      <c r="H2876" s="16" t="s">
        <v>3641</v>
      </c>
    </row>
    <row r="2877" ht="20.25" customHeight="1">
      <c r="A2877" s="32" t="str">
        <f>IMAGE("https://gymvisual.com/4376-catalog_default/lying-leg-raise.jpg",4,500,500)</f>
        <v/>
      </c>
      <c r="B2877" s="30">
        <v>2876.0</v>
      </c>
      <c r="C2877" s="16" t="s">
        <v>3642</v>
      </c>
      <c r="D2877" s="16" t="s">
        <v>184</v>
      </c>
      <c r="E2877" s="16" t="s">
        <v>254</v>
      </c>
      <c r="F2877" s="16" t="s">
        <v>255</v>
      </c>
      <c r="G2877" s="16" t="s">
        <v>256</v>
      </c>
      <c r="H2877" s="16" t="s">
        <v>3643</v>
      </c>
    </row>
    <row r="2878" ht="20.25" customHeight="1">
      <c r="A2878" s="32" t="str">
        <f>IMAGE("https://gymvisual.com/22341-catalog_default/lying-leg-raise-female.jpg",4,500,500)</f>
        <v/>
      </c>
      <c r="B2878" s="30">
        <v>2877.0</v>
      </c>
      <c r="C2878" s="16" t="s">
        <v>3644</v>
      </c>
      <c r="D2878" s="16" t="s">
        <v>184</v>
      </c>
      <c r="E2878" s="16" t="s">
        <v>254</v>
      </c>
      <c r="F2878" s="16" t="s">
        <v>255</v>
      </c>
      <c r="G2878" s="16" t="s">
        <v>220</v>
      </c>
      <c r="H2878" s="16" t="s">
        <v>220</v>
      </c>
    </row>
    <row r="2879" ht="20.25" customHeight="1">
      <c r="A2879" s="32" t="str">
        <f>IMAGE("https://gymvisual.com/22504-catalog_default/lying-leg-raise-female.jpg",4,500,500)</f>
        <v/>
      </c>
      <c r="B2879" s="30">
        <v>2878.0</v>
      </c>
      <c r="C2879" s="16" t="s">
        <v>3644</v>
      </c>
      <c r="D2879" s="16" t="s">
        <v>184</v>
      </c>
      <c r="E2879" s="16" t="s">
        <v>254</v>
      </c>
      <c r="F2879" s="16" t="s">
        <v>255</v>
      </c>
      <c r="G2879" s="16" t="s">
        <v>220</v>
      </c>
      <c r="H2879" s="16" t="s">
        <v>220</v>
      </c>
    </row>
    <row r="2880" ht="20.25" customHeight="1">
      <c r="A2880" s="32" t="str">
        <f>IMAGE("https://gymvisual.com/23599-catalog_default/lying-leg-raise-modified.jpg",4,500,500)</f>
        <v/>
      </c>
      <c r="B2880" s="30">
        <v>2879.0</v>
      </c>
      <c r="C2880" s="16" t="s">
        <v>3645</v>
      </c>
      <c r="D2880" s="16" t="s">
        <v>184</v>
      </c>
      <c r="E2880" s="16" t="s">
        <v>185</v>
      </c>
      <c r="F2880" s="16" t="s">
        <v>255</v>
      </c>
      <c r="G2880" s="16" t="s">
        <v>305</v>
      </c>
      <c r="H2880" s="16" t="s">
        <v>289</v>
      </c>
    </row>
    <row r="2881" ht="20.25" customHeight="1">
      <c r="A2881" s="32" t="str">
        <f>IMAGE("https://gymvisual.com/4621-catalog_default/lying-leg-raise-and-hold.jpg",4,500,500)</f>
        <v/>
      </c>
      <c r="B2881" s="30">
        <v>2880.0</v>
      </c>
      <c r="C2881" s="16" t="s">
        <v>3646</v>
      </c>
      <c r="D2881" s="16" t="s">
        <v>184</v>
      </c>
      <c r="E2881" s="16" t="s">
        <v>185</v>
      </c>
      <c r="F2881" s="16" t="s">
        <v>255</v>
      </c>
      <c r="G2881" s="16" t="s">
        <v>271</v>
      </c>
      <c r="H2881" s="16" t="s">
        <v>3322</v>
      </c>
    </row>
    <row r="2882" ht="20.25" customHeight="1">
      <c r="A2882" s="32" t="str">
        <f>IMAGE("https://gymvisual.com/1863-catalog_default/3-4-sit-up.jpg",4,500,500)</f>
        <v/>
      </c>
      <c r="B2882" s="30">
        <v>2881.0</v>
      </c>
      <c r="C2882" s="16" t="s">
        <v>3647</v>
      </c>
      <c r="D2882" s="16" t="s">
        <v>184</v>
      </c>
      <c r="E2882" s="16" t="s">
        <v>254</v>
      </c>
      <c r="F2882" s="16" t="s">
        <v>255</v>
      </c>
      <c r="G2882" s="16" t="s">
        <v>305</v>
      </c>
      <c r="H2882" s="16" t="s">
        <v>3648</v>
      </c>
    </row>
    <row r="2883" ht="20.25" customHeight="1">
      <c r="A2883" s="32" t="str">
        <f>IMAGE("https://gymvisual.com/2634-catalog_default/lying-leg-hip-raise.jpg",4,500,500)</f>
        <v/>
      </c>
      <c r="B2883" s="30">
        <v>2882.0</v>
      </c>
      <c r="C2883" s="16" t="s">
        <v>3649</v>
      </c>
      <c r="D2883" s="16" t="s">
        <v>184</v>
      </c>
      <c r="E2883" s="16" t="s">
        <v>254</v>
      </c>
      <c r="F2883" s="16" t="s">
        <v>255</v>
      </c>
      <c r="G2883" s="16" t="s">
        <v>305</v>
      </c>
      <c r="H2883" s="16" t="s">
        <v>371</v>
      </c>
    </row>
    <row r="2884" ht="20.25" customHeight="1">
      <c r="A2884" s="32" t="str">
        <f>IMAGE("https://gymvisual.com/24061-catalog_default/lying-prone-a.jpg",4,500,500)</f>
        <v/>
      </c>
      <c r="B2884" s="30">
        <v>2883.0</v>
      </c>
      <c r="C2884" s="16" t="s">
        <v>3650</v>
      </c>
      <c r="D2884" s="16" t="s">
        <v>184</v>
      </c>
      <c r="E2884" s="16" t="s">
        <v>192</v>
      </c>
      <c r="F2884" s="16" t="s">
        <v>255</v>
      </c>
      <c r="G2884" s="16" t="s">
        <v>220</v>
      </c>
      <c r="H2884" s="16" t="s">
        <v>220</v>
      </c>
    </row>
    <row r="2885" ht="20.25" customHeight="1">
      <c r="A2885" s="32" t="str">
        <f>IMAGE("https://gymvisual.com/24063-catalog_default/lying-prone-t.jpg",4,500,500)</f>
        <v/>
      </c>
      <c r="B2885" s="30">
        <v>2884.0</v>
      </c>
      <c r="C2885" s="16" t="s">
        <v>3651</v>
      </c>
      <c r="D2885" s="16" t="s">
        <v>184</v>
      </c>
      <c r="E2885" s="16" t="s">
        <v>192</v>
      </c>
      <c r="F2885" s="16" t="s">
        <v>255</v>
      </c>
      <c r="G2885" s="16" t="s">
        <v>220</v>
      </c>
      <c r="H2885" s="16" t="s">
        <v>220</v>
      </c>
    </row>
    <row r="2886" ht="20.25" customHeight="1">
      <c r="A2886" s="32" t="str">
        <f>IMAGE("https://gymvisual.com/24065-catalog_default/lying-prone-w.jpg",4,500,500)</f>
        <v/>
      </c>
      <c r="B2886" s="30">
        <v>2885.0</v>
      </c>
      <c r="C2886" s="16" t="s">
        <v>3652</v>
      </c>
      <c r="D2886" s="16" t="s">
        <v>184</v>
      </c>
      <c r="E2886" s="16" t="s">
        <v>192</v>
      </c>
      <c r="F2886" s="16" t="s">
        <v>255</v>
      </c>
      <c r="G2886" s="16" t="s">
        <v>220</v>
      </c>
      <c r="H2886" s="16" t="s">
        <v>220</v>
      </c>
    </row>
    <row r="2887" ht="20.25" customHeight="1">
      <c r="A2887" s="32" t="str">
        <f>IMAGE("https://gymvisual.com/24067-catalog_default/lying-prone-w-to-t.jpg",4,500,500)</f>
        <v/>
      </c>
      <c r="B2887" s="30">
        <v>2886.0</v>
      </c>
      <c r="C2887" s="16" t="s">
        <v>3653</v>
      </c>
      <c r="D2887" s="16" t="s">
        <v>184</v>
      </c>
      <c r="E2887" s="16" t="s">
        <v>192</v>
      </c>
      <c r="F2887" s="16" t="s">
        <v>255</v>
      </c>
      <c r="G2887" s="16" t="s">
        <v>220</v>
      </c>
      <c r="H2887" s="16" t="s">
        <v>220</v>
      </c>
    </row>
    <row r="2888" ht="20.25" customHeight="1">
      <c r="A2888" s="32" t="str">
        <f>IMAGE("https://gymvisual.com/24069-catalog_default/lying-prone-w-to-y.jpg",4,500,500)</f>
        <v/>
      </c>
      <c r="B2888" s="30">
        <v>2887.0</v>
      </c>
      <c r="C2888" s="16" t="s">
        <v>3654</v>
      </c>
      <c r="D2888" s="16" t="s">
        <v>184</v>
      </c>
      <c r="E2888" s="16" t="s">
        <v>192</v>
      </c>
      <c r="F2888" s="16" t="s">
        <v>255</v>
      </c>
      <c r="G2888" s="16" t="s">
        <v>220</v>
      </c>
      <c r="H2888" s="16" t="s">
        <v>220</v>
      </c>
    </row>
    <row r="2889" ht="20.25" customHeight="1">
      <c r="A2889" s="32" t="str">
        <f>IMAGE("https://gymvisual.com/19908-catalog_default/lying-rear-lateral-raise.jpg",4,500,500)</f>
        <v/>
      </c>
      <c r="B2889" s="30">
        <v>2888.0</v>
      </c>
      <c r="C2889" s="16" t="s">
        <v>3655</v>
      </c>
      <c r="D2889" s="16" t="s">
        <v>184</v>
      </c>
      <c r="E2889" s="16" t="s">
        <v>228</v>
      </c>
      <c r="F2889" s="16" t="s">
        <v>255</v>
      </c>
      <c r="G2889" s="16" t="s">
        <v>408</v>
      </c>
      <c r="H2889" s="16" t="s">
        <v>731</v>
      </c>
    </row>
    <row r="2890" ht="20.25" customHeight="1">
      <c r="A2890" s="32" t="str">
        <f>IMAGE("https://gymvisual.com/1866-catalog_default/3-4-sit-up.jpg",4,500,500)</f>
        <v/>
      </c>
      <c r="B2890" s="30">
        <v>2889.0</v>
      </c>
      <c r="C2890" s="16" t="s">
        <v>3656</v>
      </c>
      <c r="D2890" s="16" t="s">
        <v>184</v>
      </c>
      <c r="E2890" s="16" t="s">
        <v>254</v>
      </c>
      <c r="F2890" s="16" t="s">
        <v>255</v>
      </c>
      <c r="G2890" s="16" t="s">
        <v>305</v>
      </c>
      <c r="H2890" s="16" t="s">
        <v>2482</v>
      </c>
    </row>
    <row r="2891" ht="20.25" customHeight="1">
      <c r="A2891" s="32" t="str">
        <f>IMAGE("https://gymvisual.com/1869-catalog_default/3-4-sit-up.jpg",4,500,500)</f>
        <v/>
      </c>
      <c r="B2891" s="30">
        <v>2890.0</v>
      </c>
      <c r="C2891" s="16" t="s">
        <v>3657</v>
      </c>
      <c r="D2891" s="16" t="s">
        <v>184</v>
      </c>
      <c r="E2891" s="16" t="s">
        <v>185</v>
      </c>
      <c r="F2891" s="16" t="s">
        <v>255</v>
      </c>
      <c r="G2891" s="16" t="s">
        <v>271</v>
      </c>
      <c r="H2891" s="16" t="s">
        <v>303</v>
      </c>
    </row>
    <row r="2892" ht="20.25" customHeight="1">
      <c r="A2892" s="32" t="str">
        <f>IMAGE("https://gymvisual.com/23625-catalog_default/lying-side-to-side-knee.jpg",4,500,500)</f>
        <v/>
      </c>
      <c r="B2892" s="30">
        <v>2891.0</v>
      </c>
      <c r="C2892" s="16" t="s">
        <v>3658</v>
      </c>
      <c r="D2892" s="16" t="s">
        <v>184</v>
      </c>
      <c r="E2892" s="16" t="s">
        <v>185</v>
      </c>
      <c r="F2892" s="16" t="s">
        <v>255</v>
      </c>
      <c r="G2892" s="16" t="s">
        <v>3634</v>
      </c>
      <c r="H2892" s="16" t="s">
        <v>3659</v>
      </c>
    </row>
    <row r="2893" ht="20.25" customHeight="1">
      <c r="A2893" s="32" t="str">
        <f>IMAGE("https://gymvisual.com/2613-catalog_default/3-4-sit-up.jpg",4,500,500)</f>
        <v/>
      </c>
      <c r="B2893" s="30">
        <v>2892.0</v>
      </c>
      <c r="C2893" s="16" t="s">
        <v>3660</v>
      </c>
      <c r="D2893" s="16" t="s">
        <v>184</v>
      </c>
      <c r="E2893" s="16" t="s">
        <v>185</v>
      </c>
      <c r="F2893" s="16" t="s">
        <v>255</v>
      </c>
      <c r="G2893" s="16" t="s">
        <v>271</v>
      </c>
      <c r="H2893" s="16" t="s">
        <v>563</v>
      </c>
    </row>
    <row r="2894" ht="20.25" customHeight="1">
      <c r="A2894" s="32" t="str">
        <f>IMAGE("https://gymvisual.com/4440-catalog_default/lying-simultaneous-alternating-straight-leg-raise.jpg",4,500,500)</f>
        <v/>
      </c>
      <c r="B2894" s="30">
        <v>2893.0</v>
      </c>
      <c r="C2894" s="16" t="s">
        <v>3661</v>
      </c>
      <c r="D2894" s="16" t="s">
        <v>184</v>
      </c>
      <c r="E2894" s="16" t="s">
        <v>185</v>
      </c>
      <c r="F2894" s="16" t="s">
        <v>255</v>
      </c>
      <c r="G2894" s="16" t="s">
        <v>271</v>
      </c>
      <c r="H2894" s="16" t="s">
        <v>566</v>
      </c>
    </row>
    <row r="2895" ht="20.25" customHeight="1">
      <c r="A2895" s="32" t="str">
        <f>IMAGE("https://gymvisual.com/22099-catalog_default/lying-single-legs-reverse-biceps-curl-with-towel.jpg",4,500,500)</f>
        <v/>
      </c>
      <c r="B2895" s="30">
        <v>2894.0</v>
      </c>
      <c r="C2895" s="16" t="s">
        <v>3662</v>
      </c>
      <c r="D2895" s="16" t="s">
        <v>184</v>
      </c>
      <c r="E2895" s="16" t="s">
        <v>214</v>
      </c>
      <c r="F2895" s="16" t="s">
        <v>255</v>
      </c>
      <c r="G2895" s="16" t="s">
        <v>216</v>
      </c>
      <c r="H2895" s="16" t="s">
        <v>217</v>
      </c>
    </row>
    <row r="2896" ht="20.25" customHeight="1">
      <c r="A2896" s="32" t="str">
        <f>IMAGE("https://gymvisual.com/7607-catalog_default/lying-single-straight-leg-hip-extension.jpg",4,500,500)</f>
        <v/>
      </c>
      <c r="B2896" s="30">
        <v>2895.0</v>
      </c>
      <c r="C2896" s="16" t="s">
        <v>3663</v>
      </c>
      <c r="D2896" s="16" t="s">
        <v>184</v>
      </c>
      <c r="E2896" s="16" t="s">
        <v>285</v>
      </c>
      <c r="F2896" s="16" t="s">
        <v>255</v>
      </c>
      <c r="G2896" s="16" t="s">
        <v>220</v>
      </c>
      <c r="H2896" s="16" t="s">
        <v>220</v>
      </c>
    </row>
    <row r="2897" ht="20.25" customHeight="1">
      <c r="A2897" s="32" t="str">
        <f>IMAGE("https://gymvisual.com/14008-catalog_default/lying-straight-leg-marches.jpg",4,500,500)</f>
        <v/>
      </c>
      <c r="B2897" s="30">
        <v>2896.0</v>
      </c>
      <c r="C2897" s="16" t="s">
        <v>3664</v>
      </c>
      <c r="D2897" s="16" t="s">
        <v>184</v>
      </c>
      <c r="E2897" s="16" t="s">
        <v>310</v>
      </c>
      <c r="F2897" s="16" t="s">
        <v>255</v>
      </c>
      <c r="G2897" s="16" t="s">
        <v>2868</v>
      </c>
      <c r="H2897" s="16" t="s">
        <v>1204</v>
      </c>
    </row>
    <row r="2898" ht="20.25" customHeight="1">
      <c r="A2898" s="32" t="str">
        <f>IMAGE("https://gymvisual.com/4443-catalog_default/lying-straight-leg-raise-version-2.jpg",4,500,500)</f>
        <v/>
      </c>
      <c r="B2898" s="30">
        <v>2897.0</v>
      </c>
      <c r="C2898" s="16" t="s">
        <v>3665</v>
      </c>
      <c r="D2898" s="16" t="s">
        <v>184</v>
      </c>
      <c r="E2898" s="16" t="s">
        <v>185</v>
      </c>
      <c r="F2898" s="16" t="s">
        <v>255</v>
      </c>
      <c r="G2898" s="16" t="s">
        <v>271</v>
      </c>
      <c r="H2898" s="16" t="s">
        <v>566</v>
      </c>
    </row>
    <row r="2899" ht="20.25" customHeight="1">
      <c r="A2899" s="32" t="str">
        <f>IMAGE("https://gymvisual.com/5990-catalog_default/machine-inner-chest-press.jpg",4,500,500)</f>
        <v/>
      </c>
      <c r="B2899" s="30">
        <v>2898.0</v>
      </c>
      <c r="C2899" s="16" t="s">
        <v>3666</v>
      </c>
      <c r="D2899" s="16" t="s">
        <v>184</v>
      </c>
      <c r="E2899" s="16" t="s">
        <v>234</v>
      </c>
      <c r="F2899" s="16" t="s">
        <v>346</v>
      </c>
      <c r="G2899" s="16" t="s">
        <v>347</v>
      </c>
      <c r="H2899" s="16" t="s">
        <v>382</v>
      </c>
    </row>
    <row r="2900" ht="20.25" customHeight="1">
      <c r="A2900" s="32" t="str">
        <f>IMAGE("https://gymvisual.com/1875-catalog_default/3-4-sit-up.jpg",4,500,500)</f>
        <v/>
      </c>
      <c r="B2900" s="30">
        <v>2899.0</v>
      </c>
      <c r="C2900" s="16" t="s">
        <v>3667</v>
      </c>
      <c r="D2900" s="16" t="s">
        <v>184</v>
      </c>
      <c r="E2900" s="16" t="s">
        <v>285</v>
      </c>
      <c r="F2900" s="16" t="s">
        <v>255</v>
      </c>
      <c r="G2900" s="16" t="s">
        <v>189</v>
      </c>
      <c r="H2900" s="16" t="s">
        <v>190</v>
      </c>
    </row>
    <row r="2901" ht="20.25" customHeight="1">
      <c r="A2901" s="32" t="str">
        <f>IMAGE("https://gymvisual.com/23601-catalog_default/marching-on-spot.jpg",4,500,500)</f>
        <v/>
      </c>
      <c r="B2901" s="30">
        <v>2900.0</v>
      </c>
      <c r="C2901" s="16" t="s">
        <v>3668</v>
      </c>
      <c r="D2901" s="16" t="s">
        <v>184</v>
      </c>
      <c r="E2901" s="16" t="s">
        <v>1162</v>
      </c>
      <c r="F2901" s="16" t="s">
        <v>255</v>
      </c>
      <c r="G2901" s="16" t="s">
        <v>220</v>
      </c>
      <c r="H2901" s="16" t="s">
        <v>220</v>
      </c>
    </row>
    <row r="2902" ht="20.25" customHeight="1">
      <c r="A2902" s="32" t="str">
        <f>IMAGE("https://gymvisual.com/19419-catalog_default/medicine-ball-around-head-rotation.jpg",4,500,500)</f>
        <v/>
      </c>
      <c r="B2902" s="30">
        <v>2901.0</v>
      </c>
      <c r="C2902" s="16" t="s">
        <v>3669</v>
      </c>
      <c r="D2902" s="16" t="s">
        <v>184</v>
      </c>
      <c r="E2902" s="16" t="s">
        <v>228</v>
      </c>
      <c r="F2902" s="16" t="s">
        <v>373</v>
      </c>
      <c r="G2902" s="16" t="s">
        <v>220</v>
      </c>
      <c r="H2902" s="16" t="s">
        <v>220</v>
      </c>
    </row>
    <row r="2903" ht="20.25" customHeight="1">
      <c r="A2903" s="32" t="str">
        <f>IMAGE("https://gymvisual.com/13840-catalog_default/medicine-ball-backward-throw.jpg",4,500,500)</f>
        <v/>
      </c>
      <c r="B2903" s="30">
        <v>2902.0</v>
      </c>
      <c r="C2903" s="16" t="s">
        <v>3670</v>
      </c>
      <c r="D2903" s="16" t="s">
        <v>184</v>
      </c>
      <c r="E2903" s="16" t="s">
        <v>185</v>
      </c>
      <c r="F2903" s="16" t="s">
        <v>373</v>
      </c>
      <c r="G2903" s="16" t="s">
        <v>1114</v>
      </c>
      <c r="H2903" s="16" t="s">
        <v>220</v>
      </c>
    </row>
    <row r="2904" ht="20.25" customHeight="1">
      <c r="A2904" s="32" t="str">
        <f>IMAGE("https://gymvisual.com/6044-catalog_default/medicine-ball-catch-and-overhead-throw.jpg",4,500,500)</f>
        <v/>
      </c>
      <c r="B2904" s="30">
        <v>2903.0</v>
      </c>
      <c r="C2904" s="16" t="s">
        <v>3671</v>
      </c>
      <c r="D2904" s="16" t="s">
        <v>184</v>
      </c>
      <c r="E2904" s="16" t="s">
        <v>192</v>
      </c>
      <c r="F2904" s="16" t="s">
        <v>373</v>
      </c>
      <c r="G2904" s="16" t="s">
        <v>3672</v>
      </c>
      <c r="H2904" s="16" t="s">
        <v>3673</v>
      </c>
    </row>
    <row r="2905" ht="20.25" customHeight="1">
      <c r="A2905" s="32" t="str">
        <f>IMAGE("https://gymvisual.com/5991-catalog_default/medicine-ball-chest-pass.jpg",4,500,500)</f>
        <v/>
      </c>
      <c r="B2905" s="30">
        <v>2904.0</v>
      </c>
      <c r="C2905" s="16" t="s">
        <v>3674</v>
      </c>
      <c r="D2905" s="16" t="s">
        <v>184</v>
      </c>
      <c r="E2905" s="16" t="s">
        <v>234</v>
      </c>
      <c r="F2905" s="16" t="s">
        <v>373</v>
      </c>
      <c r="G2905" s="16" t="s">
        <v>347</v>
      </c>
      <c r="H2905" s="16" t="s">
        <v>382</v>
      </c>
    </row>
    <row r="2906" ht="20.25" customHeight="1">
      <c r="A2906" s="32" t="str">
        <f>IMAGE("https://gymvisual.com/24486-catalog_default/medicine-ball-chest-pass-against-wall.jpg",4,500,500)</f>
        <v/>
      </c>
      <c r="B2906" s="30">
        <v>2905.0</v>
      </c>
      <c r="C2906" s="16" t="s">
        <v>3675</v>
      </c>
      <c r="D2906" s="16" t="s">
        <v>184</v>
      </c>
      <c r="E2906" s="16" t="s">
        <v>234</v>
      </c>
      <c r="F2906" s="16" t="s">
        <v>373</v>
      </c>
      <c r="G2906" s="16" t="s">
        <v>220</v>
      </c>
      <c r="H2906" s="16" t="s">
        <v>220</v>
      </c>
    </row>
    <row r="2907" ht="20.25" customHeight="1">
      <c r="A2907" s="32" t="str">
        <f>IMAGE("https://gymvisual.com/6001-catalog_default/medicine-ball-chest-push-from-3-point-stance.jpg",4,500,500)</f>
        <v/>
      </c>
      <c r="B2907" s="30">
        <v>2906.0</v>
      </c>
      <c r="C2907" s="16" t="s">
        <v>3676</v>
      </c>
      <c r="D2907" s="16" t="s">
        <v>184</v>
      </c>
      <c r="E2907" s="16" t="s">
        <v>234</v>
      </c>
      <c r="F2907" s="16" t="s">
        <v>373</v>
      </c>
      <c r="G2907" s="16" t="s">
        <v>347</v>
      </c>
      <c r="H2907" s="16" t="s">
        <v>3677</v>
      </c>
    </row>
    <row r="2908" ht="20.25" customHeight="1">
      <c r="A2908" s="32" t="str">
        <f>IMAGE("https://gymvisual.com/5993-catalog_default/medicine-ball-chest-push-multiple-response.jpg",4,500,500)</f>
        <v/>
      </c>
      <c r="B2908" s="30">
        <v>2907.0</v>
      </c>
      <c r="C2908" s="16" t="s">
        <v>3678</v>
      </c>
      <c r="D2908" s="16" t="s">
        <v>184</v>
      </c>
      <c r="E2908" s="16" t="s">
        <v>234</v>
      </c>
      <c r="F2908" s="16" t="s">
        <v>373</v>
      </c>
      <c r="G2908" s="16" t="s">
        <v>347</v>
      </c>
      <c r="H2908" s="16" t="s">
        <v>3679</v>
      </c>
    </row>
    <row r="2909" ht="20.25" customHeight="1">
      <c r="A2909" s="32" t="str">
        <f>IMAGE("https://gymvisual.com/5994-catalog_default/medicine-ball-chest-push-single-response.jpg",4,500,500)</f>
        <v/>
      </c>
      <c r="B2909" s="30">
        <v>2908.0</v>
      </c>
      <c r="C2909" s="16" t="s">
        <v>823</v>
      </c>
      <c r="D2909" s="16" t="s">
        <v>184</v>
      </c>
      <c r="E2909" s="16" t="s">
        <v>234</v>
      </c>
      <c r="F2909" s="16" t="s">
        <v>373</v>
      </c>
      <c r="G2909" s="16" t="s">
        <v>347</v>
      </c>
      <c r="H2909" s="16" t="s">
        <v>3680</v>
      </c>
    </row>
    <row r="2910" ht="20.25" customHeight="1">
      <c r="A2910" s="32" t="str">
        <f>IMAGE("https://gymvisual.com/6003-catalog_default/medicine-ball-chest-push-with-run-release.jpg",4,500,500)</f>
        <v/>
      </c>
      <c r="B2910" s="30">
        <v>2909.0</v>
      </c>
      <c r="C2910" s="16" t="s">
        <v>3681</v>
      </c>
      <c r="D2910" s="16" t="s">
        <v>184</v>
      </c>
      <c r="E2910" s="16" t="s">
        <v>234</v>
      </c>
      <c r="F2910" s="16" t="s">
        <v>373</v>
      </c>
      <c r="G2910" s="16" t="s">
        <v>347</v>
      </c>
      <c r="H2910" s="16" t="s">
        <v>3673</v>
      </c>
    </row>
    <row r="2911" ht="20.25" customHeight="1">
      <c r="A2911" s="32" t="str">
        <f>IMAGE("https://gymvisual.com/7355-catalog_default/medicine-ball-close-grip-push-up.jpg",4,500,500)</f>
        <v/>
      </c>
      <c r="B2911" s="30">
        <v>2910.0</v>
      </c>
      <c r="C2911" s="16" t="s">
        <v>3682</v>
      </c>
      <c r="D2911" s="16" t="s">
        <v>184</v>
      </c>
      <c r="E2911" s="16" t="s">
        <v>219</v>
      </c>
      <c r="F2911" s="16" t="s">
        <v>373</v>
      </c>
      <c r="G2911" s="16" t="s">
        <v>223</v>
      </c>
      <c r="H2911" s="16" t="s">
        <v>472</v>
      </c>
    </row>
    <row r="2912" ht="20.25" customHeight="1">
      <c r="A2912" s="32" t="str">
        <f>IMAGE("https://gymvisual.com/18720-catalog_default/medicine-ball-crunch.jpg",4,500,500)</f>
        <v/>
      </c>
      <c r="B2912" s="30">
        <v>2911.0</v>
      </c>
      <c r="C2912" s="16" t="s">
        <v>3683</v>
      </c>
      <c r="D2912" s="16" t="s">
        <v>184</v>
      </c>
      <c r="E2912" s="16" t="s">
        <v>254</v>
      </c>
      <c r="F2912" s="16" t="s">
        <v>373</v>
      </c>
      <c r="G2912" s="16" t="s">
        <v>220</v>
      </c>
      <c r="H2912" s="16" t="s">
        <v>220</v>
      </c>
    </row>
    <row r="2913" ht="20.25" customHeight="1">
      <c r="A2913" s="32" t="str">
        <f>IMAGE("https://gymvisual.com/17899-catalog_default/medicine-ball-half-kneeling-chest-push-male.jpg",4,500,500)</f>
        <v/>
      </c>
      <c r="B2913" s="30">
        <v>2912.0</v>
      </c>
      <c r="C2913" s="16" t="s">
        <v>3684</v>
      </c>
      <c r="D2913" s="16" t="s">
        <v>184</v>
      </c>
      <c r="E2913" s="16" t="s">
        <v>234</v>
      </c>
      <c r="F2913" s="16" t="s">
        <v>373</v>
      </c>
      <c r="G2913" s="16" t="s">
        <v>220</v>
      </c>
      <c r="H2913" s="16" t="s">
        <v>220</v>
      </c>
    </row>
    <row r="2914" ht="20.25" customHeight="1">
      <c r="A2914" s="32" t="str">
        <f>IMAGE("https://gymvisual.com/20471-catalog_default/medicine-ball-lunge-with-biceps-curl.jpg",4,500,500)</f>
        <v/>
      </c>
      <c r="B2914" s="30">
        <v>2913.0</v>
      </c>
      <c r="C2914" s="16" t="s">
        <v>3685</v>
      </c>
      <c r="D2914" s="16" t="s">
        <v>184</v>
      </c>
      <c r="E2914" s="16" t="s">
        <v>3686</v>
      </c>
      <c r="F2914" s="16" t="s">
        <v>373</v>
      </c>
      <c r="G2914" s="16" t="s">
        <v>2779</v>
      </c>
      <c r="H2914" s="16" t="s">
        <v>3687</v>
      </c>
    </row>
    <row r="2915" ht="20.25" customHeight="1">
      <c r="A2915" s="32" t="str">
        <f>IMAGE("https://gymvisual.com/22837-catalog_default/medicine-ball-lying-leg-raise.jpg",4,500,500)</f>
        <v/>
      </c>
      <c r="B2915" s="30">
        <v>2914.0</v>
      </c>
      <c r="C2915" s="16" t="s">
        <v>3688</v>
      </c>
      <c r="D2915" s="16" t="s">
        <v>184</v>
      </c>
      <c r="E2915" s="16" t="s">
        <v>254</v>
      </c>
      <c r="F2915" s="16" t="s">
        <v>373</v>
      </c>
      <c r="G2915" s="16" t="s">
        <v>305</v>
      </c>
      <c r="H2915" s="16" t="s">
        <v>1306</v>
      </c>
    </row>
    <row r="2916" ht="20.25" customHeight="1">
      <c r="A2916" s="32" t="str">
        <f>IMAGE("https://gymvisual.com/6045-catalog_default/medicine-ball-overhead-slam.jpg",4,500,500)</f>
        <v/>
      </c>
      <c r="B2916" s="30">
        <v>2915.0</v>
      </c>
      <c r="C2916" s="16" t="s">
        <v>3689</v>
      </c>
      <c r="D2916" s="16" t="s">
        <v>184</v>
      </c>
      <c r="E2916" s="16" t="s">
        <v>192</v>
      </c>
      <c r="F2916" s="16" t="s">
        <v>373</v>
      </c>
      <c r="G2916" s="16" t="s">
        <v>329</v>
      </c>
      <c r="H2916" s="16" t="s">
        <v>3690</v>
      </c>
    </row>
    <row r="2917" ht="20.25" customHeight="1">
      <c r="A2917" s="32" t="str">
        <f>IMAGE("https://gymvisual.com/11194-catalog_default/medicine-ball-overhead-slam-female.jpg",4,500,500)</f>
        <v/>
      </c>
      <c r="B2917" s="30">
        <v>2916.0</v>
      </c>
      <c r="C2917" s="16" t="s">
        <v>3691</v>
      </c>
      <c r="D2917" s="16" t="s">
        <v>184</v>
      </c>
      <c r="E2917" s="16" t="s">
        <v>310</v>
      </c>
      <c r="F2917" s="16" t="s">
        <v>373</v>
      </c>
      <c r="G2917" s="16" t="s">
        <v>1230</v>
      </c>
      <c r="H2917" s="16" t="s">
        <v>3692</v>
      </c>
    </row>
    <row r="2918" ht="20.25" customHeight="1">
      <c r="A2918" s="32" t="str">
        <f>IMAGE("https://gymvisual.com/7343-catalog_default/medicine-ball-reverse-wood-chop-squat.jpg",4,500,500)</f>
        <v/>
      </c>
      <c r="B2918" s="30">
        <v>2917.0</v>
      </c>
      <c r="C2918" s="16" t="s">
        <v>3693</v>
      </c>
      <c r="D2918" s="16" t="s">
        <v>184</v>
      </c>
      <c r="E2918" s="16" t="s">
        <v>254</v>
      </c>
      <c r="F2918" s="16" t="s">
        <v>373</v>
      </c>
      <c r="G2918" s="16" t="s">
        <v>220</v>
      </c>
      <c r="H2918" s="16" t="s">
        <v>220</v>
      </c>
    </row>
    <row r="2919" ht="20.25" customHeight="1">
      <c r="A2919" s="32" t="str">
        <f>IMAGE("https://gymvisual.com/7349-catalog_default/medicine-ball-rotational-throw.jpg",4,500,500)</f>
        <v/>
      </c>
      <c r="B2919" s="30">
        <v>2918.0</v>
      </c>
      <c r="C2919" s="16" t="s">
        <v>3694</v>
      </c>
      <c r="D2919" s="16" t="s">
        <v>184</v>
      </c>
      <c r="E2919" s="16" t="s">
        <v>254</v>
      </c>
      <c r="F2919" s="16" t="s">
        <v>373</v>
      </c>
      <c r="G2919" s="16" t="s">
        <v>220</v>
      </c>
      <c r="H2919" s="16" t="s">
        <v>220</v>
      </c>
    </row>
    <row r="2920" ht="20.25" customHeight="1">
      <c r="A2920" s="32" t="str">
        <f>IMAGE("https://gymvisual.com/7331-catalog_default/medicine-ball-single-leg-deadlift.jpg",4,500,500)</f>
        <v/>
      </c>
      <c r="B2920" s="30">
        <v>2919.0</v>
      </c>
      <c r="C2920" s="16" t="s">
        <v>3695</v>
      </c>
      <c r="D2920" s="16" t="s">
        <v>184</v>
      </c>
      <c r="E2920" s="16" t="s">
        <v>185</v>
      </c>
      <c r="F2920" s="16" t="s">
        <v>373</v>
      </c>
      <c r="G2920" s="16" t="s">
        <v>220</v>
      </c>
      <c r="H2920" s="16" t="s">
        <v>220</v>
      </c>
    </row>
    <row r="2921" ht="20.25" customHeight="1">
      <c r="A2921" s="32" t="str">
        <f>IMAGE("https://gymvisual.com/1878-catalog_default/3-4-sit-up.jpg",4,500,500)</f>
        <v/>
      </c>
      <c r="B2921" s="30">
        <v>2920.0</v>
      </c>
      <c r="C2921" s="16" t="s">
        <v>3696</v>
      </c>
      <c r="D2921" s="16" t="s">
        <v>184</v>
      </c>
      <c r="E2921" s="16" t="s">
        <v>254</v>
      </c>
      <c r="F2921" s="16" t="s">
        <v>373</v>
      </c>
      <c r="G2921" s="16" t="s">
        <v>305</v>
      </c>
      <c r="H2921" s="16" t="s">
        <v>3697</v>
      </c>
    </row>
    <row r="2922" ht="20.25" customHeight="1">
      <c r="A2922" s="32" t="str">
        <f>IMAGE("https://gymvisual.com/13842-catalog_default/medicine-ball-standing-overhead-throw.jpg",4,500,500)</f>
        <v/>
      </c>
      <c r="B2922" s="30">
        <v>2921.0</v>
      </c>
      <c r="C2922" s="16" t="s">
        <v>3698</v>
      </c>
      <c r="D2922" s="16" t="s">
        <v>184</v>
      </c>
      <c r="E2922" s="16" t="s">
        <v>1894</v>
      </c>
      <c r="F2922" s="16" t="s">
        <v>373</v>
      </c>
      <c r="G2922" s="16" t="s">
        <v>2400</v>
      </c>
      <c r="H2922" s="16" t="s">
        <v>545</v>
      </c>
    </row>
    <row r="2923" ht="20.25" customHeight="1">
      <c r="A2923" s="32" t="str">
        <f>IMAGE("https://gymvisual.com/7469-catalog_default/medicine-ball-supine-chest-throw.jpg",4,500,500)</f>
        <v/>
      </c>
      <c r="B2923" s="30">
        <v>2922.0</v>
      </c>
      <c r="C2923" s="16" t="s">
        <v>3699</v>
      </c>
      <c r="D2923" s="16" t="s">
        <v>184</v>
      </c>
      <c r="E2923" s="16" t="s">
        <v>219</v>
      </c>
      <c r="F2923" s="16" t="s">
        <v>373</v>
      </c>
      <c r="G2923" s="16" t="s">
        <v>220</v>
      </c>
      <c r="H2923" s="16" t="s">
        <v>220</v>
      </c>
    </row>
    <row r="2924" ht="20.25" customHeight="1">
      <c r="A2924" s="32" t="str">
        <f>IMAGE("https://gymvisual.com/24488-catalog_default/medicine-ball-throw-squat-with-wall.jpg",4,500,500)</f>
        <v/>
      </c>
      <c r="B2924" s="30">
        <v>2923.0</v>
      </c>
      <c r="C2924" s="16" t="s">
        <v>3700</v>
      </c>
      <c r="D2924" s="16" t="s">
        <v>184</v>
      </c>
      <c r="E2924" s="16" t="s">
        <v>228</v>
      </c>
      <c r="F2924" s="16" t="s">
        <v>373</v>
      </c>
      <c r="G2924" s="16" t="s">
        <v>220</v>
      </c>
      <c r="H2924" s="16" t="s">
        <v>220</v>
      </c>
    </row>
    <row r="2925" ht="20.25" customHeight="1">
      <c r="A2925" s="32" t="str">
        <f>IMAGE("https://gymvisual.com/23565-catalog_default/mid-air-lateral-raises-with-switching-palms.jpg",4,500,500)</f>
        <v/>
      </c>
      <c r="B2925" s="30">
        <v>2924.0</v>
      </c>
      <c r="C2925" s="16" t="s">
        <v>3701</v>
      </c>
      <c r="D2925" s="16" t="s">
        <v>184</v>
      </c>
      <c r="E2925" s="16" t="s">
        <v>228</v>
      </c>
      <c r="F2925" s="16" t="s">
        <v>255</v>
      </c>
      <c r="G2925" s="16" t="s">
        <v>544</v>
      </c>
      <c r="H2925" s="16" t="s">
        <v>545</v>
      </c>
    </row>
    <row r="2926" ht="20.25" customHeight="1">
      <c r="A2926" s="32" t="str">
        <f>IMAGE("https://gymvisual.com/1883-catalog_default/3-4-sit-up.jpg",4,500,500)</f>
        <v/>
      </c>
      <c r="B2926" s="30">
        <v>2925.0</v>
      </c>
      <c r="C2926" s="16" t="s">
        <v>3702</v>
      </c>
      <c r="D2926" s="16" t="s">
        <v>184</v>
      </c>
      <c r="E2926" s="16" t="s">
        <v>192</v>
      </c>
      <c r="F2926" s="16" t="s">
        <v>255</v>
      </c>
      <c r="G2926" s="16" t="s">
        <v>300</v>
      </c>
      <c r="H2926" s="16" t="s">
        <v>3703</v>
      </c>
    </row>
    <row r="2927" ht="20.25" customHeight="1">
      <c r="A2927" s="32" t="str">
        <f>IMAGE("https://gymvisual.com/6273-catalog_default/modified-push-up-to-forearms.jpg",4,500,500)</f>
        <v/>
      </c>
      <c r="B2927" s="30">
        <v>2926.0</v>
      </c>
      <c r="C2927" s="16" t="s">
        <v>3704</v>
      </c>
      <c r="D2927" s="16" t="s">
        <v>184</v>
      </c>
      <c r="E2927" s="16" t="s">
        <v>214</v>
      </c>
      <c r="F2927" s="16" t="s">
        <v>255</v>
      </c>
      <c r="G2927" s="16" t="s">
        <v>3705</v>
      </c>
      <c r="H2927" s="16" t="s">
        <v>804</v>
      </c>
    </row>
    <row r="2928" ht="20.25" customHeight="1">
      <c r="A2928" s="32" t="str">
        <f>IMAGE("https://gymvisual.com/1895-catalog_default/3-4-sit-up.jpg",4,500,500)</f>
        <v/>
      </c>
      <c r="B2928" s="30">
        <v>2927.0</v>
      </c>
      <c r="C2928" s="16" t="s">
        <v>3706</v>
      </c>
      <c r="D2928" s="16" t="s">
        <v>184</v>
      </c>
      <c r="E2928" s="16" t="s">
        <v>192</v>
      </c>
      <c r="F2928" s="16" t="s">
        <v>255</v>
      </c>
      <c r="G2928" s="16" t="s">
        <v>300</v>
      </c>
      <c r="H2928" s="16" t="s">
        <v>3707</v>
      </c>
    </row>
    <row r="2929" ht="20.25" customHeight="1">
      <c r="A2929" s="32" t="str">
        <f>IMAGE("https://gymvisual.com/6242-catalog_default/muscle-up-on-vertical-bar.jpg",4,500,500)</f>
        <v/>
      </c>
      <c r="B2929" s="30">
        <v>2928.0</v>
      </c>
      <c r="C2929" s="16" t="s">
        <v>3708</v>
      </c>
      <c r="D2929" s="16" t="s">
        <v>184</v>
      </c>
      <c r="E2929" s="16" t="s">
        <v>192</v>
      </c>
      <c r="F2929" s="16" t="s">
        <v>255</v>
      </c>
      <c r="G2929" s="16" t="s">
        <v>3709</v>
      </c>
      <c r="H2929" s="16" t="s">
        <v>220</v>
      </c>
    </row>
    <row r="2930" ht="20.25" customHeight="1">
      <c r="A2930" s="32" t="str">
        <f>IMAGE("https://gymvisual.com/21026-catalog_default/myotatic-crunch-on-bosu-ball.jpg",4,500,500)</f>
        <v/>
      </c>
      <c r="B2930" s="30">
        <v>2929.0</v>
      </c>
      <c r="C2930" s="16" t="s">
        <v>3710</v>
      </c>
      <c r="D2930" s="16" t="s">
        <v>184</v>
      </c>
      <c r="E2930" s="16" t="s">
        <v>254</v>
      </c>
      <c r="F2930" s="16" t="s">
        <v>316</v>
      </c>
      <c r="G2930" s="16" t="s">
        <v>256</v>
      </c>
      <c r="H2930" s="16" t="s">
        <v>257</v>
      </c>
    </row>
    <row r="2931" ht="20.25" customHeight="1">
      <c r="A2931" s="32" t="str">
        <f>IMAGE("https://gymvisual.com/1898-catalog_default/3-4-sit-up.jpg",4,500,500)</f>
        <v/>
      </c>
      <c r="B2931" s="30">
        <v>2930.0</v>
      </c>
      <c r="C2931" s="16" t="s">
        <v>3711</v>
      </c>
      <c r="D2931" s="16" t="s">
        <v>184</v>
      </c>
      <c r="E2931" s="16" t="s">
        <v>254</v>
      </c>
      <c r="F2931" s="16" t="s">
        <v>255</v>
      </c>
      <c r="G2931" s="16" t="s">
        <v>256</v>
      </c>
      <c r="H2931" s="16" t="s">
        <v>1316</v>
      </c>
    </row>
    <row r="2932" ht="20.25" customHeight="1">
      <c r="A2932" s="32" t="str">
        <f>IMAGE("https://gymvisual.com/10031-catalog_default/narrow-push-up-on-exercise-ball.jpg",4,500,500)</f>
        <v/>
      </c>
      <c r="B2932" s="30">
        <v>2931.0</v>
      </c>
      <c r="C2932" s="16" t="s">
        <v>3712</v>
      </c>
      <c r="D2932" s="16" t="s">
        <v>184</v>
      </c>
      <c r="E2932" s="16" t="s">
        <v>219</v>
      </c>
      <c r="F2932" s="16" t="s">
        <v>399</v>
      </c>
      <c r="G2932" s="16" t="s">
        <v>223</v>
      </c>
      <c r="H2932" s="16" t="s">
        <v>472</v>
      </c>
    </row>
    <row r="2933" ht="20.25" customHeight="1">
      <c r="A2933" s="32" t="str">
        <f>IMAGE("https://gymvisual.com/20706-catalog_default/narrow-seated-chin-up.jpg",4,500,500)</f>
        <v/>
      </c>
      <c r="B2933" s="30">
        <v>2932.0</v>
      </c>
      <c r="C2933" s="16" t="s">
        <v>3713</v>
      </c>
      <c r="D2933" s="16" t="s">
        <v>184</v>
      </c>
      <c r="E2933" s="16" t="s">
        <v>192</v>
      </c>
      <c r="F2933" s="16" t="s">
        <v>255</v>
      </c>
      <c r="G2933" s="16" t="s">
        <v>329</v>
      </c>
      <c r="H2933" s="16" t="s">
        <v>357</v>
      </c>
    </row>
    <row r="2934" ht="20.25" customHeight="1">
      <c r="A2934" s="32" t="str">
        <f>IMAGE("https://gymvisual.com/13747-catalog_default/narrow-squat-from-deficit.jpg",4,500,500)</f>
        <v/>
      </c>
      <c r="B2934" s="30">
        <v>2933.0</v>
      </c>
      <c r="C2934" s="16" t="s">
        <v>3714</v>
      </c>
      <c r="D2934" s="16" t="s">
        <v>184</v>
      </c>
      <c r="E2934" s="16" t="s">
        <v>294</v>
      </c>
      <c r="F2934" s="16" t="s">
        <v>255</v>
      </c>
      <c r="G2934" s="16" t="s">
        <v>189</v>
      </c>
      <c r="H2934" s="16" t="s">
        <v>190</v>
      </c>
    </row>
    <row r="2935" ht="20.25" customHeight="1">
      <c r="A2935" s="32" t="str">
        <f>IMAGE("https://gymvisual.com/22472-catalog_default/narrow-top-half-pull-up-female.jpg",4,500,500)</f>
        <v/>
      </c>
      <c r="B2935" s="30">
        <v>2934.0</v>
      </c>
      <c r="C2935" s="16" t="s">
        <v>3715</v>
      </c>
      <c r="D2935" s="16" t="s">
        <v>184</v>
      </c>
      <c r="E2935" s="16" t="s">
        <v>192</v>
      </c>
      <c r="F2935" s="16" t="s">
        <v>255</v>
      </c>
      <c r="G2935" s="16" t="s">
        <v>220</v>
      </c>
      <c r="H2935" s="16" t="s">
        <v>220</v>
      </c>
    </row>
    <row r="2936" ht="20.25" customHeight="1">
      <c r="A2936" s="32" t="str">
        <f>IMAGE("https://gymvisual.com/1901-catalog_default/3-4-sit-up.jpg",4,500,500)</f>
        <v/>
      </c>
      <c r="B2936" s="30">
        <v>2935.0</v>
      </c>
      <c r="C2936" s="16" t="s">
        <v>3716</v>
      </c>
      <c r="D2936" s="16" t="s">
        <v>184</v>
      </c>
      <c r="E2936" s="16" t="s">
        <v>351</v>
      </c>
      <c r="F2936" s="16" t="s">
        <v>255</v>
      </c>
      <c r="G2936" s="16" t="s">
        <v>3717</v>
      </c>
      <c r="H2936" s="16" t="s">
        <v>238</v>
      </c>
    </row>
    <row r="2937" ht="20.25" customHeight="1">
      <c r="A2937" s="32" t="str">
        <f>IMAGE("https://gymvisual.com/1904-catalog_default/3-4-sit-up.jpg",4,500,500)</f>
        <v/>
      </c>
      <c r="B2937" s="30">
        <v>2936.0</v>
      </c>
      <c r="C2937" s="16" t="s">
        <v>3718</v>
      </c>
      <c r="D2937" s="16" t="s">
        <v>184</v>
      </c>
      <c r="E2937" s="16" t="s">
        <v>254</v>
      </c>
      <c r="F2937" s="16" t="s">
        <v>255</v>
      </c>
      <c r="G2937" s="16" t="s">
        <v>256</v>
      </c>
      <c r="H2937" s="16" t="s">
        <v>257</v>
      </c>
    </row>
    <row r="2938" ht="20.25" customHeight="1">
      <c r="A2938" s="32" t="str">
        <f>IMAGE("https://gymvisual.com/22514-catalog_default/negative-dragon-flag.jpg",4,500,500)</f>
        <v/>
      </c>
      <c r="B2938" s="30">
        <v>2937.0</v>
      </c>
      <c r="C2938" s="16" t="s">
        <v>3719</v>
      </c>
      <c r="D2938" s="16" t="s">
        <v>184</v>
      </c>
      <c r="E2938" s="16" t="s">
        <v>254</v>
      </c>
      <c r="F2938" s="16" t="s">
        <v>255</v>
      </c>
      <c r="G2938" s="16" t="s">
        <v>305</v>
      </c>
      <c r="H2938" s="16" t="s">
        <v>600</v>
      </c>
    </row>
    <row r="2939" ht="20.25" customHeight="1">
      <c r="A2939" s="32" t="str">
        <f>IMAGE("https://gymvisual.com/20540-catalog_default/negative-dragon-flag-female.jpg",4,500,500)</f>
        <v/>
      </c>
      <c r="B2939" s="30">
        <v>2938.0</v>
      </c>
      <c r="C2939" s="16" t="s">
        <v>3720</v>
      </c>
      <c r="D2939" s="16" t="s">
        <v>184</v>
      </c>
      <c r="E2939" s="16" t="s">
        <v>254</v>
      </c>
      <c r="F2939" s="16" t="s">
        <v>255</v>
      </c>
      <c r="G2939" s="16" t="s">
        <v>3721</v>
      </c>
      <c r="H2939" s="16" t="s">
        <v>3722</v>
      </c>
    </row>
    <row r="2940" ht="20.25" customHeight="1">
      <c r="A2940" s="32" t="str">
        <f>IMAGE("https://gymvisual.com/24691-catalog_default/negative-push-up.jpg",4,500,500)</f>
        <v/>
      </c>
      <c r="B2940" s="30">
        <v>2939.0</v>
      </c>
      <c r="C2940" s="16" t="s">
        <v>3723</v>
      </c>
      <c r="D2940" s="16" t="s">
        <v>184</v>
      </c>
      <c r="E2940" s="16" t="s">
        <v>234</v>
      </c>
      <c r="F2940" s="16" t="s">
        <v>255</v>
      </c>
      <c r="G2940" s="16" t="s">
        <v>220</v>
      </c>
      <c r="H2940" s="16" t="s">
        <v>220</v>
      </c>
    </row>
    <row r="2941" ht="20.25" customHeight="1">
      <c r="A2941" s="32" t="str">
        <f>IMAGE("https://gymvisual.com/6719-catalog_default/oblique-crunch-version-2.jpg",4,500,500)</f>
        <v/>
      </c>
      <c r="B2941" s="30">
        <v>2940.0</v>
      </c>
      <c r="C2941" s="16" t="s">
        <v>3724</v>
      </c>
      <c r="D2941" s="16" t="s">
        <v>184</v>
      </c>
      <c r="E2941" s="16" t="s">
        <v>254</v>
      </c>
      <c r="F2941" s="16" t="s">
        <v>255</v>
      </c>
      <c r="G2941" s="16" t="s">
        <v>257</v>
      </c>
      <c r="H2941" s="16" t="s">
        <v>256</v>
      </c>
    </row>
    <row r="2942" ht="20.25" customHeight="1">
      <c r="A2942" s="32" t="str">
        <f>IMAGE("https://gymvisual.com/10954-catalog_default/oblique-crunch-version-2-female.jpg",4,500,500)</f>
        <v/>
      </c>
      <c r="B2942" s="30">
        <v>2941.0</v>
      </c>
      <c r="C2942" s="16" t="s">
        <v>3725</v>
      </c>
      <c r="D2942" s="16" t="s">
        <v>184</v>
      </c>
      <c r="E2942" s="16" t="s">
        <v>254</v>
      </c>
      <c r="F2942" s="16" t="s">
        <v>255</v>
      </c>
      <c r="G2942" s="16" t="s">
        <v>220</v>
      </c>
      <c r="H2942" s="16" t="s">
        <v>220</v>
      </c>
    </row>
    <row r="2943" ht="20.25" customHeight="1">
      <c r="A2943" s="32" t="str">
        <f>IMAGE("https://gymvisual.com/1907-catalog_default/3-4-sit-up.jpg",4,500,500)</f>
        <v/>
      </c>
      <c r="B2943" s="30">
        <v>2942.0</v>
      </c>
      <c r="C2943" s="16" t="s">
        <v>3726</v>
      </c>
      <c r="D2943" s="16" t="s">
        <v>184</v>
      </c>
      <c r="E2943" s="16" t="s">
        <v>254</v>
      </c>
      <c r="F2943" s="16" t="s">
        <v>255</v>
      </c>
      <c r="G2943" s="16" t="s">
        <v>257</v>
      </c>
      <c r="H2943" s="16" t="s">
        <v>256</v>
      </c>
    </row>
    <row r="2944" ht="20.25" customHeight="1">
      <c r="A2944" s="32" t="str">
        <f>IMAGE("https://gymvisual.com/13608-catalog_default/oblique-crunches-with-bent-knee-leg-lift.jpg",4,500,500)</f>
        <v/>
      </c>
      <c r="B2944" s="30">
        <v>2943.0</v>
      </c>
      <c r="C2944" s="16" t="s">
        <v>3727</v>
      </c>
      <c r="D2944" s="16" t="s">
        <v>184</v>
      </c>
      <c r="E2944" s="16" t="s">
        <v>254</v>
      </c>
      <c r="F2944" s="16" t="s">
        <v>255</v>
      </c>
      <c r="G2944" s="16" t="s">
        <v>3728</v>
      </c>
      <c r="H2944" s="16" t="s">
        <v>3729</v>
      </c>
    </row>
    <row r="2945" ht="20.25" customHeight="1">
      <c r="A2945" s="32" t="str">
        <f>IMAGE("https://gymvisual.com/13610-catalog_default/oblique-crunches-with-straight-leg-lift.jpg",4,500,500)</f>
        <v/>
      </c>
      <c r="B2945" s="30">
        <v>2944.0</v>
      </c>
      <c r="C2945" s="16" t="s">
        <v>3730</v>
      </c>
      <c r="D2945" s="16" t="s">
        <v>184</v>
      </c>
      <c r="E2945" s="16" t="s">
        <v>254</v>
      </c>
      <c r="F2945" s="16" t="s">
        <v>255</v>
      </c>
      <c r="G2945" s="16" t="s">
        <v>3731</v>
      </c>
      <c r="H2945" s="16" t="s">
        <v>256</v>
      </c>
    </row>
    <row r="2946" ht="20.25" customHeight="1">
      <c r="A2946" s="32" t="str">
        <f>IMAGE("https://gymvisual.com/14040-catalog_default/oblique-v-up-on-floor.jpg",4,500,500)</f>
        <v/>
      </c>
      <c r="B2946" s="30">
        <v>2945.0</v>
      </c>
      <c r="C2946" s="16" t="s">
        <v>3732</v>
      </c>
      <c r="D2946" s="16" t="s">
        <v>184</v>
      </c>
      <c r="E2946" s="16" t="s">
        <v>310</v>
      </c>
      <c r="F2946" s="16" t="s">
        <v>255</v>
      </c>
      <c r="G2946" s="16" t="s">
        <v>3733</v>
      </c>
      <c r="H2946" s="16" t="s">
        <v>3734</v>
      </c>
    </row>
    <row r="2947" ht="20.25" customHeight="1">
      <c r="A2947" s="32" t="str">
        <f>IMAGE("https://gymvisual.com/20477-catalog_default/old-school-reverse-extensions.jpg",4,500,500)</f>
        <v/>
      </c>
      <c r="B2947" s="30">
        <v>2946.0</v>
      </c>
      <c r="C2947" s="16" t="s">
        <v>3735</v>
      </c>
      <c r="D2947" s="16" t="s">
        <v>184</v>
      </c>
      <c r="E2947" s="16" t="s">
        <v>3736</v>
      </c>
      <c r="F2947" s="16" t="s">
        <v>186</v>
      </c>
      <c r="G2947" s="16" t="s">
        <v>3737</v>
      </c>
      <c r="H2947" s="16" t="s">
        <v>3738</v>
      </c>
    </row>
    <row r="2948" ht="20.25" customHeight="1">
      <c r="A2948" s="32" t="str">
        <f>IMAGE("https://gymvisual.com/20511-catalog_default/old-school-reverse-extensions-female.jpg",4,500,500)</f>
        <v/>
      </c>
      <c r="B2948" s="30">
        <v>2947.0</v>
      </c>
      <c r="C2948" s="16" t="s">
        <v>3739</v>
      </c>
      <c r="D2948" s="16" t="s">
        <v>184</v>
      </c>
      <c r="E2948" s="16" t="s">
        <v>3736</v>
      </c>
      <c r="F2948" s="16" t="s">
        <v>186</v>
      </c>
      <c r="G2948" s="16" t="s">
        <v>3737</v>
      </c>
      <c r="H2948" s="16" t="s">
        <v>3740</v>
      </c>
    </row>
    <row r="2949" ht="20.25" customHeight="1">
      <c r="A2949" s="32" t="str">
        <f>IMAGE("https://gymvisual.com/1910-catalog_default/3-4-sit-up.jpg",4,500,500)</f>
        <v/>
      </c>
      <c r="B2949" s="30">
        <v>2948.0</v>
      </c>
      <c r="C2949" s="16" t="s">
        <v>3741</v>
      </c>
      <c r="D2949" s="16" t="s">
        <v>184</v>
      </c>
      <c r="E2949" s="16" t="s">
        <v>214</v>
      </c>
      <c r="F2949" s="16" t="s">
        <v>3742</v>
      </c>
      <c r="G2949" s="16" t="s">
        <v>216</v>
      </c>
      <c r="H2949" s="16" t="s">
        <v>217</v>
      </c>
    </row>
    <row r="2950" ht="20.25" customHeight="1">
      <c r="A2950" s="32" t="str">
        <f>IMAGE("https://gymvisual.com/1913-catalog_default/3-4-sit-up.jpg",4,500,500)</f>
        <v/>
      </c>
      <c r="B2950" s="30">
        <v>2949.0</v>
      </c>
      <c r="C2950" s="16" t="s">
        <v>3743</v>
      </c>
      <c r="D2950" s="16" t="s">
        <v>184</v>
      </c>
      <c r="E2950" s="16" t="s">
        <v>219</v>
      </c>
      <c r="F2950" s="16" t="s">
        <v>3742</v>
      </c>
      <c r="G2950" s="16" t="s">
        <v>223</v>
      </c>
      <c r="H2950" s="16" t="s">
        <v>220</v>
      </c>
    </row>
    <row r="2951" ht="20.25" customHeight="1">
      <c r="A2951" s="32" t="str">
        <f>IMAGE("https://gymvisual.com/6046-catalog_default/one-arm-against-wall.jpg",4,500,500)</f>
        <v/>
      </c>
      <c r="B2951" s="30">
        <v>2950.0</v>
      </c>
      <c r="C2951" s="16" t="s">
        <v>3744</v>
      </c>
      <c r="D2951" s="16" t="s">
        <v>184</v>
      </c>
      <c r="E2951" s="16" t="s">
        <v>192</v>
      </c>
      <c r="F2951" s="16" t="s">
        <v>255</v>
      </c>
      <c r="G2951" s="16" t="s">
        <v>1934</v>
      </c>
      <c r="H2951" s="16" t="s">
        <v>220</v>
      </c>
    </row>
    <row r="2952" ht="20.25" customHeight="1">
      <c r="A2952" s="32" t="str">
        <f>IMAGE("https://gymvisual.com/1916-catalog_default/3-4-sit-up.jpg",4,500,500)</f>
        <v/>
      </c>
      <c r="B2952" s="30">
        <v>2951.0</v>
      </c>
      <c r="C2952" s="16" t="s">
        <v>3745</v>
      </c>
      <c r="D2952" s="16" t="s">
        <v>184</v>
      </c>
      <c r="E2952" s="16" t="s">
        <v>192</v>
      </c>
      <c r="F2952" s="16" t="s">
        <v>255</v>
      </c>
      <c r="G2952" s="16" t="s">
        <v>300</v>
      </c>
      <c r="H2952" s="16" t="s">
        <v>535</v>
      </c>
    </row>
    <row r="2953" ht="20.25" customHeight="1">
      <c r="A2953" s="32" t="str">
        <f>IMAGE("https://gymvisual.com/1919-catalog_default/3-4-sit-up.jpg",4,500,500)</f>
        <v/>
      </c>
      <c r="B2953" s="30">
        <v>2952.0</v>
      </c>
      <c r="C2953" s="16" t="s">
        <v>3746</v>
      </c>
      <c r="D2953" s="16" t="s">
        <v>184</v>
      </c>
      <c r="E2953" s="16" t="s">
        <v>219</v>
      </c>
      <c r="F2953" s="16" t="s">
        <v>255</v>
      </c>
      <c r="G2953" s="16" t="s">
        <v>223</v>
      </c>
      <c r="H2953" s="16" t="s">
        <v>3747</v>
      </c>
    </row>
    <row r="2954" ht="20.25" customHeight="1">
      <c r="A2954" s="32" t="str">
        <f>IMAGE("https://gymvisual.com/17389-catalog_default/one-arm-front-plank.jpg",4,500,500)</f>
        <v/>
      </c>
      <c r="B2954" s="30">
        <v>2953.0</v>
      </c>
      <c r="C2954" s="16" t="s">
        <v>3748</v>
      </c>
      <c r="D2954" s="16" t="s">
        <v>184</v>
      </c>
      <c r="E2954" s="16" t="s">
        <v>254</v>
      </c>
      <c r="F2954" s="16" t="s">
        <v>255</v>
      </c>
      <c r="G2954" s="16" t="s">
        <v>260</v>
      </c>
      <c r="H2954" s="16" t="s">
        <v>3749</v>
      </c>
    </row>
    <row r="2955" ht="20.25" customHeight="1">
      <c r="A2955" s="32" t="str">
        <f>IMAGE("https://gymvisual.com/1922-catalog_default/3-4-sit-up.jpg",4,500,500)</f>
        <v/>
      </c>
      <c r="B2955" s="30">
        <v>2954.0</v>
      </c>
      <c r="C2955" s="16" t="s">
        <v>3750</v>
      </c>
      <c r="D2955" s="16" t="s">
        <v>184</v>
      </c>
      <c r="E2955" s="16" t="s">
        <v>254</v>
      </c>
      <c r="F2955" s="16" t="s">
        <v>373</v>
      </c>
      <c r="G2955" s="16" t="s">
        <v>260</v>
      </c>
      <c r="H2955" s="16" t="s">
        <v>220</v>
      </c>
    </row>
    <row r="2956" ht="20.25" customHeight="1">
      <c r="A2956" s="32" t="str">
        <f>IMAGE("https://gymvisual.com/7613-catalog_default/one-arm-towel-row.jpg",4,500,500)</f>
        <v/>
      </c>
      <c r="B2956" s="30">
        <v>2955.0</v>
      </c>
      <c r="C2956" s="16" t="s">
        <v>3751</v>
      </c>
      <c r="D2956" s="16" t="s">
        <v>184</v>
      </c>
      <c r="E2956" s="16" t="s">
        <v>192</v>
      </c>
      <c r="F2956" s="16" t="s">
        <v>255</v>
      </c>
      <c r="G2956" s="16" t="s">
        <v>220</v>
      </c>
      <c r="H2956" s="16" t="s">
        <v>220</v>
      </c>
    </row>
    <row r="2957" ht="20.25" customHeight="1">
      <c r="A2957" s="32" t="str">
        <f>IMAGE("https://gymvisual.com/24717-catalog_default/one-arm-twisted-clean-and-press.jpg",4,500,500)</f>
        <v/>
      </c>
      <c r="B2957" s="30">
        <v>2956.0</v>
      </c>
      <c r="C2957" s="16" t="s">
        <v>3752</v>
      </c>
      <c r="D2957" s="16" t="s">
        <v>184</v>
      </c>
      <c r="E2957" s="16" t="s">
        <v>764</v>
      </c>
      <c r="F2957" s="16" t="s">
        <v>186</v>
      </c>
      <c r="G2957" s="16" t="s">
        <v>220</v>
      </c>
      <c r="H2957" s="16" t="s">
        <v>220</v>
      </c>
    </row>
    <row r="2958" ht="20.25" customHeight="1">
      <c r="A2958" s="32" t="str">
        <f>IMAGE("https://gymvisual.com/6048-catalog_default/one-handed-hang.jpg",4,500,500)</f>
        <v/>
      </c>
      <c r="B2958" s="30">
        <v>2957.0</v>
      </c>
      <c r="C2958" s="16" t="s">
        <v>3753</v>
      </c>
      <c r="D2958" s="16" t="s">
        <v>184</v>
      </c>
      <c r="E2958" s="16" t="s">
        <v>192</v>
      </c>
      <c r="F2958" s="16" t="s">
        <v>255</v>
      </c>
      <c r="G2958" s="16" t="s">
        <v>1934</v>
      </c>
      <c r="H2958" s="16" t="s">
        <v>220</v>
      </c>
    </row>
    <row r="2959" ht="20.25" customHeight="1">
      <c r="A2959" s="32" t="str">
        <f>IMAGE("https://gymvisual.com/6083-catalog_default/one-leg-donkey-calf-raise.jpg",4,500,500)</f>
        <v/>
      </c>
      <c r="B2959" s="30">
        <v>2958.0</v>
      </c>
      <c r="C2959" s="16" t="s">
        <v>3754</v>
      </c>
      <c r="D2959" s="16" t="s">
        <v>184</v>
      </c>
      <c r="E2959" s="16" t="s">
        <v>325</v>
      </c>
      <c r="F2959" s="16" t="s">
        <v>255</v>
      </c>
      <c r="G2959" s="16" t="s">
        <v>368</v>
      </c>
      <c r="H2959" s="16" t="s">
        <v>463</v>
      </c>
    </row>
    <row r="2960" ht="20.25" customHeight="1">
      <c r="A2960" s="32" t="str">
        <f>IMAGE("https://gymvisual.com/6084-catalog_default/one-leg-floor-calf-raise.jpg",4,500,500)</f>
        <v/>
      </c>
      <c r="B2960" s="30">
        <v>2959.0</v>
      </c>
      <c r="C2960" s="16" t="s">
        <v>3755</v>
      </c>
      <c r="D2960" s="16" t="s">
        <v>184</v>
      </c>
      <c r="E2960" s="16" t="s">
        <v>325</v>
      </c>
      <c r="F2960" s="16" t="s">
        <v>255</v>
      </c>
      <c r="G2960" s="16" t="s">
        <v>368</v>
      </c>
      <c r="H2960" s="16" t="s">
        <v>463</v>
      </c>
    </row>
    <row r="2961" ht="20.25" customHeight="1">
      <c r="A2961" s="32" t="str">
        <f>IMAGE("https://gymvisual.com/11405-catalog_default/one-leg-floor-calf-raise-female.jpg",4,500,500)</f>
        <v/>
      </c>
      <c r="B2961" s="30">
        <v>2960.0</v>
      </c>
      <c r="C2961" s="16" t="s">
        <v>3756</v>
      </c>
      <c r="D2961" s="16" t="s">
        <v>184</v>
      </c>
      <c r="E2961" s="16" t="s">
        <v>325</v>
      </c>
      <c r="F2961" s="16" t="s">
        <v>255</v>
      </c>
      <c r="G2961" s="16" t="s">
        <v>368</v>
      </c>
      <c r="H2961" s="16" t="s">
        <v>463</v>
      </c>
    </row>
    <row r="2962" ht="20.25" customHeight="1">
      <c r="A2962" s="32" t="str">
        <f>IMAGE("https://gymvisual.com/2960-catalog_default/one-leg-kickback-with-bench-support.jpg",4,500,500)</f>
        <v/>
      </c>
      <c r="B2962" s="30">
        <v>2961.0</v>
      </c>
      <c r="C2962" s="16" t="s">
        <v>3757</v>
      </c>
      <c r="D2962" s="16" t="s">
        <v>184</v>
      </c>
      <c r="E2962" s="16" t="s">
        <v>185</v>
      </c>
      <c r="F2962" s="16" t="s">
        <v>255</v>
      </c>
      <c r="G2962" s="16" t="s">
        <v>187</v>
      </c>
      <c r="H2962" s="16" t="s">
        <v>188</v>
      </c>
    </row>
    <row r="2963" ht="20.25" customHeight="1">
      <c r="A2963" s="32" t="str">
        <f>IMAGE("https://gymvisual.com/6825-catalog_default/one-leg-quarter-squat.jpg",4,500,500)</f>
        <v/>
      </c>
      <c r="B2963" s="30">
        <v>2962.0</v>
      </c>
      <c r="C2963" s="16" t="s">
        <v>3758</v>
      </c>
      <c r="D2963" s="16" t="s">
        <v>184</v>
      </c>
      <c r="E2963" s="16" t="s">
        <v>285</v>
      </c>
      <c r="F2963" s="16" t="s">
        <v>255</v>
      </c>
      <c r="G2963" s="16" t="s">
        <v>189</v>
      </c>
      <c r="H2963" s="16" t="s">
        <v>190</v>
      </c>
    </row>
    <row r="2964" ht="20.25" customHeight="1">
      <c r="A2964" s="32" t="str">
        <f>IMAGE("https://gymvisual.com/6419-catalog_default/one-leg-squat.jpg",4,500,500)</f>
        <v/>
      </c>
      <c r="B2964" s="30">
        <v>2963.0</v>
      </c>
      <c r="C2964" s="16" t="s">
        <v>3759</v>
      </c>
      <c r="D2964" s="16" t="s">
        <v>184</v>
      </c>
      <c r="E2964" s="16" t="s">
        <v>185</v>
      </c>
      <c r="F2964" s="16" t="s">
        <v>255</v>
      </c>
      <c r="G2964" s="16" t="s">
        <v>189</v>
      </c>
      <c r="H2964" s="16" t="s">
        <v>190</v>
      </c>
    </row>
    <row r="2965" ht="20.25" customHeight="1">
      <c r="A2965" s="32" t="str">
        <f>IMAGE("https://gymvisual.com/18718-catalog_default/one-side-archer-push-up.jpg",4,500,500)</f>
        <v/>
      </c>
      <c r="B2965" s="30">
        <v>2964.0</v>
      </c>
      <c r="C2965" s="16" t="s">
        <v>3760</v>
      </c>
      <c r="D2965" s="16" t="s">
        <v>184</v>
      </c>
      <c r="E2965" s="16" t="s">
        <v>234</v>
      </c>
      <c r="F2965" s="16" t="s">
        <v>255</v>
      </c>
      <c r="G2965" s="16" t="s">
        <v>235</v>
      </c>
      <c r="H2965" s="16" t="s">
        <v>3267</v>
      </c>
    </row>
    <row r="2966" ht="20.25" customHeight="1">
      <c r="A2966" s="32" t="str">
        <f>IMAGE("https://gymvisual.com/22827-catalog_default/opposite-crunch.jpg",4,500,500)</f>
        <v/>
      </c>
      <c r="B2966" s="30">
        <v>2965.0</v>
      </c>
      <c r="C2966" s="16" t="s">
        <v>3761</v>
      </c>
      <c r="D2966" s="16" t="s">
        <v>184</v>
      </c>
      <c r="E2966" s="16" t="s">
        <v>254</v>
      </c>
      <c r="F2966" s="16" t="s">
        <v>255</v>
      </c>
      <c r="G2966" s="16" t="s">
        <v>263</v>
      </c>
      <c r="H2966" s="16" t="s">
        <v>1306</v>
      </c>
    </row>
    <row r="2967" ht="20.25" customHeight="1">
      <c r="A2967" s="32" t="str">
        <f>IMAGE("https://gymvisual.com/1925-catalog_default/3-4-sit-up.jpg",4,500,500)</f>
        <v/>
      </c>
      <c r="B2967" s="30">
        <v>2966.0</v>
      </c>
      <c r="C2967" s="16" t="s">
        <v>3762</v>
      </c>
      <c r="D2967" s="16" t="s">
        <v>184</v>
      </c>
      <c r="E2967" s="16" t="s">
        <v>254</v>
      </c>
      <c r="F2967" s="16" t="s">
        <v>396</v>
      </c>
      <c r="G2967" s="16" t="s">
        <v>305</v>
      </c>
      <c r="H2967" s="16" t="s">
        <v>3763</v>
      </c>
    </row>
    <row r="2968" ht="20.25" customHeight="1">
      <c r="A2968" s="32" t="str">
        <f>IMAGE("https://gymvisual.com/17067-catalog_default/otis-up-female.jpg",4,500,500)</f>
        <v/>
      </c>
      <c r="B2968" s="30">
        <v>2967.0</v>
      </c>
      <c r="C2968" s="16" t="s">
        <v>3764</v>
      </c>
      <c r="D2968" s="16" t="s">
        <v>184</v>
      </c>
      <c r="E2968" s="16" t="s">
        <v>3765</v>
      </c>
      <c r="F2968" s="16" t="s">
        <v>396</v>
      </c>
      <c r="G2968" s="16" t="s">
        <v>3766</v>
      </c>
      <c r="H2968" s="16" t="s">
        <v>3767</v>
      </c>
    </row>
    <row r="2969" ht="20.25" customHeight="1">
      <c r="A2969" s="32" t="str">
        <f>IMAGE("https://gymvisual.com/1928-catalog_default/3-4-sit-up.jpg",4,500,500)</f>
        <v/>
      </c>
      <c r="B2969" s="30">
        <v>2968.0</v>
      </c>
      <c r="C2969" s="16" t="s">
        <v>3768</v>
      </c>
      <c r="D2969" s="16" t="s">
        <v>184</v>
      </c>
      <c r="E2969" s="16" t="s">
        <v>185</v>
      </c>
      <c r="F2969" s="16" t="s">
        <v>255</v>
      </c>
      <c r="G2969" s="16" t="s">
        <v>2364</v>
      </c>
      <c r="H2969" s="16" t="s">
        <v>3769</v>
      </c>
    </row>
    <row r="2970" ht="20.25" customHeight="1">
      <c r="A2970" s="32" t="str">
        <f>IMAGE("https://gymvisual.com/23647-catalog_default/overhead-clap-female.jpg",4,500,500)</f>
        <v/>
      </c>
      <c r="B2970" s="30">
        <v>2969.0</v>
      </c>
      <c r="C2970" s="16" t="s">
        <v>3770</v>
      </c>
      <c r="D2970" s="16" t="s">
        <v>184</v>
      </c>
      <c r="E2970" s="16" t="s">
        <v>228</v>
      </c>
      <c r="F2970" s="16" t="s">
        <v>255</v>
      </c>
      <c r="G2970" s="16" t="s">
        <v>454</v>
      </c>
      <c r="H2970" s="16" t="s">
        <v>389</v>
      </c>
    </row>
    <row r="2971" ht="20.25" customHeight="1">
      <c r="A2971" s="32" t="str">
        <f>IMAGE("https://gymvisual.com/16532-catalog_default/overhead-triceps-extension-with-bed-sheet.jpg",4,500,500)</f>
        <v/>
      </c>
      <c r="B2971" s="30">
        <v>2970.0</v>
      </c>
      <c r="C2971" s="16" t="s">
        <v>3771</v>
      </c>
      <c r="D2971" s="16" t="s">
        <v>184</v>
      </c>
      <c r="E2971" s="16" t="s">
        <v>219</v>
      </c>
      <c r="F2971" s="16" t="s">
        <v>255</v>
      </c>
      <c r="G2971" s="16" t="s">
        <v>223</v>
      </c>
      <c r="H2971" s="16" t="s">
        <v>220</v>
      </c>
    </row>
    <row r="2972" ht="20.25" customHeight="1">
      <c r="A2972" s="32" t="str">
        <f>IMAGE("https://gymvisual.com/23649-catalog_default/palm-up-palm-down-rotation-female.jpg",4,500,500)</f>
        <v/>
      </c>
      <c r="B2972" s="30">
        <v>2971.0</v>
      </c>
      <c r="C2972" s="16" t="s">
        <v>3772</v>
      </c>
      <c r="D2972" s="16" t="s">
        <v>184</v>
      </c>
      <c r="E2972" s="16" t="s">
        <v>228</v>
      </c>
      <c r="F2972" s="16" t="s">
        <v>255</v>
      </c>
      <c r="G2972" s="16" t="s">
        <v>3773</v>
      </c>
      <c r="H2972" s="16" t="s">
        <v>220</v>
      </c>
    </row>
    <row r="2973" ht="20.25" customHeight="1">
      <c r="A2973" s="32" t="str">
        <f>IMAGE("https://gymvisual.com/24123-catalog_default/palm-up-palm-down-rotation-male.jpg",4,500,500)</f>
        <v/>
      </c>
      <c r="B2973" s="30">
        <v>2972.0</v>
      </c>
      <c r="C2973" s="16" t="s">
        <v>3774</v>
      </c>
      <c r="D2973" s="16" t="s">
        <v>184</v>
      </c>
      <c r="E2973" s="16" t="s">
        <v>228</v>
      </c>
      <c r="F2973" s="16" t="s">
        <v>255</v>
      </c>
      <c r="G2973" s="16" t="s">
        <v>220</v>
      </c>
      <c r="H2973" s="16" t="s">
        <v>220</v>
      </c>
    </row>
    <row r="2974" ht="20.25" customHeight="1">
      <c r="A2974" s="32" t="str">
        <f>IMAGE("https://gymvisual.com/12553-catalog_default/pelvic-tilt.jpg",4,500,500)</f>
        <v/>
      </c>
      <c r="B2974" s="30">
        <v>2973.0</v>
      </c>
      <c r="C2974" s="16" t="s">
        <v>3775</v>
      </c>
      <c r="D2974" s="16" t="s">
        <v>184</v>
      </c>
      <c r="E2974" s="16" t="s">
        <v>254</v>
      </c>
      <c r="F2974" s="16" t="s">
        <v>255</v>
      </c>
      <c r="G2974" s="16" t="s">
        <v>2848</v>
      </c>
      <c r="H2974" s="16" t="s">
        <v>3776</v>
      </c>
    </row>
    <row r="2975" ht="20.25" customHeight="1">
      <c r="A2975" s="32" t="str">
        <f>IMAGE("https://gymvisual.com/12554-catalog_default/pelvic-tilt-female.jpg",4,500,500)</f>
        <v/>
      </c>
      <c r="B2975" s="30">
        <v>2974.0</v>
      </c>
      <c r="C2975" s="16" t="s">
        <v>3777</v>
      </c>
      <c r="D2975" s="16" t="s">
        <v>184</v>
      </c>
      <c r="E2975" s="16" t="s">
        <v>310</v>
      </c>
      <c r="F2975" s="16" t="s">
        <v>255</v>
      </c>
      <c r="G2975" s="16" t="s">
        <v>2848</v>
      </c>
      <c r="H2975" s="16" t="s">
        <v>3776</v>
      </c>
    </row>
    <row r="2976" ht="20.25" customHeight="1">
      <c r="A2976" s="32" t="str">
        <f>IMAGE("https://gymvisual.com/17152-catalog_default/pike-press-between-benches.jpg",4,500,500)</f>
        <v/>
      </c>
      <c r="B2976" s="30">
        <v>2975.0</v>
      </c>
      <c r="C2976" s="16" t="s">
        <v>3778</v>
      </c>
      <c r="D2976" s="16" t="s">
        <v>184</v>
      </c>
      <c r="E2976" s="16" t="s">
        <v>228</v>
      </c>
      <c r="F2976" s="16" t="s">
        <v>255</v>
      </c>
      <c r="G2976" s="16" t="s">
        <v>229</v>
      </c>
      <c r="H2976" s="16" t="s">
        <v>3779</v>
      </c>
    </row>
    <row r="2977" ht="20.25" customHeight="1">
      <c r="A2977" s="32" t="str">
        <f>IMAGE("https://gymvisual.com/12186-catalog_default/pike-push-up.jpg",4,500,500)</f>
        <v/>
      </c>
      <c r="B2977" s="30">
        <v>2976.0</v>
      </c>
      <c r="C2977" s="16" t="s">
        <v>3780</v>
      </c>
      <c r="D2977" s="16" t="s">
        <v>184</v>
      </c>
      <c r="E2977" s="16" t="s">
        <v>234</v>
      </c>
      <c r="F2977" s="16" t="s">
        <v>255</v>
      </c>
      <c r="G2977" s="16" t="s">
        <v>229</v>
      </c>
      <c r="H2977" s="16" t="s">
        <v>3781</v>
      </c>
    </row>
    <row r="2978" ht="20.25" customHeight="1">
      <c r="A2978" s="32" t="str">
        <f>IMAGE("https://gymvisual.com/13729-catalog_default/pike-push-up-on-bench-version-2.jpg",4,500,500)</f>
        <v/>
      </c>
      <c r="B2978" s="30">
        <v>2977.0</v>
      </c>
      <c r="C2978" s="16" t="s">
        <v>3782</v>
      </c>
      <c r="D2978" s="16" t="s">
        <v>184</v>
      </c>
      <c r="E2978" s="16" t="s">
        <v>234</v>
      </c>
      <c r="F2978" s="16" t="s">
        <v>255</v>
      </c>
      <c r="G2978" s="16" t="s">
        <v>235</v>
      </c>
      <c r="H2978" s="16" t="s">
        <v>3783</v>
      </c>
    </row>
    <row r="2979" ht="20.25" customHeight="1">
      <c r="A2979" s="32" t="str">
        <f>IMAGE("https://gymvisual.com/13765-catalog_default/pike-push-up-between-benches.jpg",4,500,500)</f>
        <v/>
      </c>
      <c r="B2979" s="30">
        <v>2978.0</v>
      </c>
      <c r="C2979" s="16" t="s">
        <v>3784</v>
      </c>
      <c r="D2979" s="16" t="s">
        <v>184</v>
      </c>
      <c r="E2979" s="16" t="s">
        <v>228</v>
      </c>
      <c r="F2979" s="16" t="s">
        <v>255</v>
      </c>
      <c r="G2979" s="16" t="s">
        <v>229</v>
      </c>
      <c r="H2979" s="16" t="s">
        <v>3785</v>
      </c>
    </row>
    <row r="2980" ht="20.25" customHeight="1">
      <c r="A2980" s="32" t="str">
        <f>IMAGE("https://gymvisual.com/13767-catalog_default/pike-push-up-between-chairs.jpg",4,500,500)</f>
        <v/>
      </c>
      <c r="B2980" s="30">
        <v>2979.0</v>
      </c>
      <c r="C2980" s="16" t="s">
        <v>3786</v>
      </c>
      <c r="D2980" s="16" t="s">
        <v>184</v>
      </c>
      <c r="E2980" s="16" t="s">
        <v>228</v>
      </c>
      <c r="F2980" s="16" t="s">
        <v>255</v>
      </c>
      <c r="G2980" s="16" t="s">
        <v>229</v>
      </c>
      <c r="H2980" s="16" t="s">
        <v>3787</v>
      </c>
    </row>
    <row r="2981" ht="20.25" customHeight="1">
      <c r="A2981" s="32" t="str">
        <f>IMAGE("https://gymvisual.com/22631-catalog_default/pike-push-up-female.jpg",4,500,500)</f>
        <v/>
      </c>
      <c r="B2981" s="30">
        <v>2980.0</v>
      </c>
      <c r="C2981" s="16" t="s">
        <v>3788</v>
      </c>
      <c r="D2981" s="16" t="s">
        <v>184</v>
      </c>
      <c r="E2981" s="16" t="s">
        <v>234</v>
      </c>
      <c r="F2981" s="16" t="s">
        <v>255</v>
      </c>
      <c r="G2981" s="16" t="s">
        <v>472</v>
      </c>
      <c r="H2981" s="16" t="s">
        <v>3789</v>
      </c>
    </row>
    <row r="2982" ht="20.25" customHeight="1">
      <c r="A2982" s="32" t="str">
        <f>IMAGE("https://gymvisual.com/11988-catalog_default/pike-push-up-on-bench.jpg",4,500,500)</f>
        <v/>
      </c>
      <c r="B2982" s="30">
        <v>2981.0</v>
      </c>
      <c r="C2982" s="16" t="s">
        <v>3790</v>
      </c>
      <c r="D2982" s="16" t="s">
        <v>184</v>
      </c>
      <c r="E2982" s="16" t="s">
        <v>234</v>
      </c>
      <c r="F2982" s="16" t="s">
        <v>255</v>
      </c>
      <c r="G2982" s="16" t="s">
        <v>220</v>
      </c>
      <c r="H2982" s="16" t="s">
        <v>220</v>
      </c>
    </row>
    <row r="2983" ht="20.25" customHeight="1">
      <c r="A2983" s="32" t="str">
        <f>IMAGE("https://gymvisual.com/11989-catalog_default/pike-push-up-on-bench-female.jpg",4,500,500)</f>
        <v/>
      </c>
      <c r="B2983" s="30">
        <v>2982.0</v>
      </c>
      <c r="C2983" s="16" t="s">
        <v>3791</v>
      </c>
      <c r="D2983" s="16" t="s">
        <v>184</v>
      </c>
      <c r="E2983" s="16" t="s">
        <v>234</v>
      </c>
      <c r="F2983" s="16" t="s">
        <v>255</v>
      </c>
      <c r="G2983" s="16" t="s">
        <v>220</v>
      </c>
      <c r="H2983" s="16" t="s">
        <v>220</v>
      </c>
    </row>
    <row r="2984" ht="20.25" customHeight="1">
      <c r="A2984" s="32" t="str">
        <f>IMAGE("https://gymvisual.com/13309-catalog_default/pistol-squat-to-box.jpg",4,500,500)</f>
        <v/>
      </c>
      <c r="B2984" s="30">
        <v>2983.0</v>
      </c>
      <c r="C2984" s="16" t="s">
        <v>3792</v>
      </c>
      <c r="D2984" s="16" t="s">
        <v>184</v>
      </c>
      <c r="E2984" s="16" t="s">
        <v>285</v>
      </c>
      <c r="F2984" s="16" t="s">
        <v>255</v>
      </c>
      <c r="G2984" s="16" t="s">
        <v>220</v>
      </c>
      <c r="H2984" s="16" t="s">
        <v>220</v>
      </c>
    </row>
    <row r="2985" ht="20.25" customHeight="1">
      <c r="A2985" s="32" t="str">
        <f>IMAGE("https://gymvisual.com/13311-catalog_default/pistol-squat-to-box-female.jpg",4,500,500)</f>
        <v/>
      </c>
      <c r="B2985" s="30">
        <v>2984.0</v>
      </c>
      <c r="C2985" s="16" t="s">
        <v>3793</v>
      </c>
      <c r="D2985" s="16" t="s">
        <v>184</v>
      </c>
      <c r="E2985" s="16" t="s">
        <v>285</v>
      </c>
      <c r="F2985" s="16" t="s">
        <v>255</v>
      </c>
      <c r="G2985" s="16" t="s">
        <v>220</v>
      </c>
      <c r="H2985" s="16" t="s">
        <v>220</v>
      </c>
    </row>
    <row r="2986" ht="20.25" customHeight="1">
      <c r="A2986" s="32" t="str">
        <f>IMAGE("https://gymvisual.com/10227-catalog_default/plank-butt-wrong-right.jpg",4,500,500)</f>
        <v/>
      </c>
      <c r="B2986" s="30">
        <v>2985.0</v>
      </c>
      <c r="C2986" s="16" t="s">
        <v>3794</v>
      </c>
      <c r="D2986" s="16" t="s">
        <v>184</v>
      </c>
      <c r="E2986" s="16" t="s">
        <v>254</v>
      </c>
      <c r="F2986" s="16" t="s">
        <v>255</v>
      </c>
      <c r="G2986" s="16" t="s">
        <v>220</v>
      </c>
      <c r="H2986" s="16" t="s">
        <v>220</v>
      </c>
    </row>
    <row r="2987" ht="20.25" customHeight="1">
      <c r="A2987" s="32" t="str">
        <f>IMAGE("https://gymvisual.com/6456-catalog_default/plank-arm-lifts.jpg",4,500,500)</f>
        <v/>
      </c>
      <c r="B2987" s="30">
        <v>2986.0</v>
      </c>
      <c r="C2987" s="16" t="s">
        <v>3795</v>
      </c>
      <c r="D2987" s="16" t="s">
        <v>184</v>
      </c>
      <c r="E2987" s="16" t="s">
        <v>192</v>
      </c>
      <c r="F2987" s="16" t="s">
        <v>255</v>
      </c>
      <c r="G2987" s="16" t="s">
        <v>256</v>
      </c>
      <c r="H2987" s="16" t="s">
        <v>300</v>
      </c>
    </row>
    <row r="2988" ht="20.25" customHeight="1">
      <c r="A2988" s="32" t="str">
        <f>IMAGE("https://gymvisual.com/24665-catalog_default/plank-jack-female.jpg",4,500,500)</f>
        <v/>
      </c>
      <c r="B2988" s="30">
        <v>2987.0</v>
      </c>
      <c r="C2988" s="16" t="s">
        <v>3796</v>
      </c>
      <c r="D2988" s="16" t="s">
        <v>184</v>
      </c>
      <c r="E2988" s="16" t="s">
        <v>254</v>
      </c>
      <c r="F2988" s="16" t="s">
        <v>255</v>
      </c>
      <c r="G2988" s="16" t="s">
        <v>220</v>
      </c>
      <c r="H2988" s="16" t="s">
        <v>220</v>
      </c>
    </row>
    <row r="2989" ht="20.25" customHeight="1">
      <c r="A2989" s="32" t="str">
        <f>IMAGE("https://gymvisual.com/23575-catalog_default/plank-jack-male.jpg",4,500,500)</f>
        <v/>
      </c>
      <c r="B2989" s="30">
        <v>2988.0</v>
      </c>
      <c r="C2989" s="16" t="s">
        <v>3797</v>
      </c>
      <c r="D2989" s="16" t="s">
        <v>184</v>
      </c>
      <c r="E2989" s="16" t="s">
        <v>254</v>
      </c>
      <c r="F2989" s="16" t="s">
        <v>255</v>
      </c>
      <c r="G2989" s="16" t="s">
        <v>3798</v>
      </c>
      <c r="H2989" s="16" t="s">
        <v>3799</v>
      </c>
    </row>
    <row r="2990" ht="20.25" customHeight="1">
      <c r="A2990" s="32" t="str">
        <f>IMAGE("https://gymvisual.com/23925-catalog_default/plank-jack-slide-with-towel.jpg",4,500,500)</f>
        <v/>
      </c>
      <c r="B2990" s="30">
        <v>2989.0</v>
      </c>
      <c r="C2990" s="16" t="s">
        <v>3800</v>
      </c>
      <c r="D2990" s="16" t="s">
        <v>184</v>
      </c>
      <c r="E2990" s="16" t="s">
        <v>254</v>
      </c>
      <c r="F2990" s="16" t="s">
        <v>255</v>
      </c>
      <c r="G2990" s="16" t="s">
        <v>2845</v>
      </c>
      <c r="H2990" s="16" t="s">
        <v>3801</v>
      </c>
    </row>
    <row r="2991" ht="20.25" customHeight="1">
      <c r="A2991" s="32" t="str">
        <f>IMAGE("https://gymvisual.com/26072-catalog_default/plank-lateral-raise.jpg",4,500,500)</f>
        <v/>
      </c>
      <c r="B2991" s="30">
        <v>2990.0</v>
      </c>
      <c r="C2991" s="16" t="s">
        <v>3802</v>
      </c>
      <c r="D2991" s="16" t="s">
        <v>184</v>
      </c>
      <c r="E2991" s="16" t="s">
        <v>254</v>
      </c>
      <c r="F2991" s="16" t="s">
        <v>255</v>
      </c>
      <c r="G2991" s="16" t="s">
        <v>220</v>
      </c>
      <c r="H2991" s="16" t="s">
        <v>220</v>
      </c>
    </row>
    <row r="2992" ht="20.25" customHeight="1">
      <c r="A2992" s="32" t="str">
        <f>IMAGE("https://gymvisual.com/23927-catalog_default/plank-on-hands.jpg",4,500,500)</f>
        <v/>
      </c>
      <c r="B2992" s="30">
        <v>2991.0</v>
      </c>
      <c r="C2992" s="16" t="s">
        <v>3803</v>
      </c>
      <c r="D2992" s="16" t="s">
        <v>184</v>
      </c>
      <c r="E2992" s="16" t="s">
        <v>254</v>
      </c>
      <c r="F2992" s="16" t="s">
        <v>255</v>
      </c>
      <c r="G2992" s="16" t="s">
        <v>256</v>
      </c>
      <c r="H2992" s="16" t="s">
        <v>3801</v>
      </c>
    </row>
    <row r="2993" ht="20.25" customHeight="1">
      <c r="A2993" s="32" t="str">
        <f>IMAGE("https://gymvisual.com/4605-catalog_default/plate-hyperextension.jpg",4,500,500)</f>
        <v/>
      </c>
      <c r="B2993" s="30">
        <v>2992.0</v>
      </c>
      <c r="C2993" s="16" t="s">
        <v>3804</v>
      </c>
      <c r="D2993" s="16" t="s">
        <v>184</v>
      </c>
      <c r="E2993" s="16" t="s">
        <v>185</v>
      </c>
      <c r="F2993" s="16" t="s">
        <v>396</v>
      </c>
      <c r="G2993" s="16" t="s">
        <v>275</v>
      </c>
      <c r="H2993" s="16" t="s">
        <v>2412</v>
      </c>
    </row>
    <row r="2994" ht="20.25" customHeight="1">
      <c r="A2994" s="32" t="str">
        <f>IMAGE("https://gymvisual.com/2955-catalog_default/plate-pinch.jpg",4,500,500)</f>
        <v/>
      </c>
      <c r="B2994" s="30">
        <v>2993.0</v>
      </c>
      <c r="C2994" s="16" t="s">
        <v>3805</v>
      </c>
      <c r="D2994" s="16" t="s">
        <v>184</v>
      </c>
      <c r="E2994" s="16" t="s">
        <v>214</v>
      </c>
      <c r="F2994" s="16" t="s">
        <v>396</v>
      </c>
      <c r="G2994" s="16" t="s">
        <v>604</v>
      </c>
      <c r="H2994" s="16" t="s">
        <v>3806</v>
      </c>
    </row>
    <row r="2995" ht="20.25" customHeight="1">
      <c r="A2995" s="32" t="str">
        <f>IMAGE("https://gymvisual.com/5995-catalog_default/plyo-push-up.jpg",4,500,500)</f>
        <v/>
      </c>
      <c r="B2995" s="30">
        <v>2994.0</v>
      </c>
      <c r="C2995" s="16" t="s">
        <v>3807</v>
      </c>
      <c r="D2995" s="16" t="s">
        <v>184</v>
      </c>
      <c r="E2995" s="16" t="s">
        <v>234</v>
      </c>
      <c r="F2995" s="16" t="s">
        <v>255</v>
      </c>
      <c r="G2995" s="16" t="s">
        <v>347</v>
      </c>
      <c r="H2995" s="16" t="s">
        <v>3808</v>
      </c>
    </row>
    <row r="2996" ht="20.25" customHeight="1">
      <c r="A2996" s="32" t="str">
        <f>IMAGE("https://gymvisual.com/1943-catalog_default/3-4-sit-up.jpg",4,500,500)</f>
        <v/>
      </c>
      <c r="B2996" s="30">
        <v>2995.0</v>
      </c>
      <c r="C2996" s="16" t="s">
        <v>3809</v>
      </c>
      <c r="D2996" s="16" t="s">
        <v>184</v>
      </c>
      <c r="E2996" s="16" t="s">
        <v>285</v>
      </c>
      <c r="F2996" s="16" t="s">
        <v>255</v>
      </c>
      <c r="G2996" s="16" t="s">
        <v>3810</v>
      </c>
      <c r="H2996" s="16" t="s">
        <v>1115</v>
      </c>
    </row>
    <row r="2997" ht="20.25" customHeight="1">
      <c r="A2997" s="32" t="str">
        <f>IMAGE("https://gymvisual.com/23911-catalog_default/posterior-neck-isometric.jpg",4,500,500)</f>
        <v/>
      </c>
      <c r="B2997" s="30">
        <v>2996.0</v>
      </c>
      <c r="C2997" s="16" t="s">
        <v>3811</v>
      </c>
      <c r="D2997" s="16" t="s">
        <v>184</v>
      </c>
      <c r="E2997" s="16" t="s">
        <v>351</v>
      </c>
      <c r="F2997" s="16" t="s">
        <v>255</v>
      </c>
      <c r="G2997" s="16" t="s">
        <v>3717</v>
      </c>
      <c r="H2997" s="16" t="s">
        <v>220</v>
      </c>
    </row>
    <row r="2998" ht="20.25" customHeight="1">
      <c r="A2998" s="32" t="str">
        <f>IMAGE("https://gymvisual.com/12492-catalog_default/potty-squat.jpg",4,500,500)</f>
        <v/>
      </c>
      <c r="B2998" s="30">
        <v>2997.0</v>
      </c>
      <c r="C2998" s="16" t="s">
        <v>3812</v>
      </c>
      <c r="D2998" s="16" t="s">
        <v>184</v>
      </c>
      <c r="E2998" s="16" t="s">
        <v>254</v>
      </c>
      <c r="F2998" s="16" t="s">
        <v>255</v>
      </c>
      <c r="G2998" s="16" t="s">
        <v>256</v>
      </c>
      <c r="H2998" s="16" t="s">
        <v>257</v>
      </c>
    </row>
    <row r="2999" ht="20.25" customHeight="1">
      <c r="A2999" s="32" t="str">
        <f>IMAGE("https://gymvisual.com/12489-catalog_default/potty-squat-female.jpg",4,500,500)</f>
        <v/>
      </c>
      <c r="B2999" s="30">
        <v>2998.0</v>
      </c>
      <c r="C2999" s="16" t="s">
        <v>3813</v>
      </c>
      <c r="D2999" s="16" t="s">
        <v>184</v>
      </c>
      <c r="E2999" s="16" t="s">
        <v>254</v>
      </c>
      <c r="F2999" s="16" t="s">
        <v>255</v>
      </c>
      <c r="G2999" s="16" t="s">
        <v>256</v>
      </c>
      <c r="H2999" s="16" t="s">
        <v>257</v>
      </c>
    </row>
    <row r="3000" ht="20.25" customHeight="1">
      <c r="A3000" s="32" t="str">
        <f>IMAGE("https://gymvisual.com/12527-catalog_default/potty-squat-with-support.jpg",4,500,500)</f>
        <v/>
      </c>
      <c r="B3000" s="30">
        <v>2999.0</v>
      </c>
      <c r="C3000" s="16" t="s">
        <v>3814</v>
      </c>
      <c r="D3000" s="16" t="s">
        <v>184</v>
      </c>
      <c r="E3000" s="16" t="s">
        <v>185</v>
      </c>
      <c r="F3000" s="16" t="s">
        <v>255</v>
      </c>
      <c r="G3000" s="16" t="s">
        <v>189</v>
      </c>
      <c r="H3000" s="16" t="s">
        <v>190</v>
      </c>
    </row>
    <row r="3001" ht="20.25" customHeight="1">
      <c r="A3001" s="32" t="str">
        <f>IMAGE("https://gymvisual.com/12526-catalog_default/potty-squat-with-support-female.jpg",4,500,500)</f>
        <v/>
      </c>
      <c r="B3001" s="30">
        <v>3000.0</v>
      </c>
      <c r="C3001" s="16" t="s">
        <v>3815</v>
      </c>
      <c r="D3001" s="16" t="s">
        <v>184</v>
      </c>
      <c r="E3001" s="16" t="s">
        <v>185</v>
      </c>
      <c r="F3001" s="16" t="s">
        <v>255</v>
      </c>
      <c r="G3001" s="16" t="s">
        <v>189</v>
      </c>
      <c r="H3001" s="16" t="s">
        <v>190</v>
      </c>
    </row>
    <row r="3002" ht="20.25" customHeight="1">
      <c r="A3002" s="32" t="str">
        <f>IMAGE("https://gymvisual.com/20636-catalog_default/3-4-sit-up.jpg",4,500,500)</f>
        <v/>
      </c>
      <c r="B3002" s="30">
        <v>3001.0</v>
      </c>
      <c r="C3002" s="16" t="s">
        <v>3816</v>
      </c>
      <c r="D3002" s="16" t="s">
        <v>184</v>
      </c>
      <c r="E3002" s="16" t="s">
        <v>285</v>
      </c>
      <c r="F3002" s="16" t="s">
        <v>186</v>
      </c>
      <c r="G3002" s="16" t="s">
        <v>795</v>
      </c>
      <c r="H3002" s="16" t="s">
        <v>220</v>
      </c>
    </row>
    <row r="3003" ht="20.25" customHeight="1">
      <c r="A3003" s="32" t="str">
        <f>IMAGE("https://gymvisual.com/14450-catalog_default/power-point-plank.jpg",4,500,500)</f>
        <v/>
      </c>
      <c r="B3003" s="30">
        <v>3002.0</v>
      </c>
      <c r="C3003" s="16" t="s">
        <v>3817</v>
      </c>
      <c r="D3003" s="16" t="s">
        <v>184</v>
      </c>
      <c r="E3003" s="16" t="s">
        <v>285</v>
      </c>
      <c r="F3003" s="16" t="s">
        <v>255</v>
      </c>
      <c r="G3003" s="16" t="s">
        <v>3818</v>
      </c>
      <c r="H3003" s="16" t="s">
        <v>220</v>
      </c>
    </row>
    <row r="3004" ht="20.25" customHeight="1">
      <c r="A3004" s="32" t="str">
        <f>IMAGE("https://gymvisual.com/14137-catalog_default/power-push-aways.jpg",4,500,500)</f>
        <v/>
      </c>
      <c r="B3004" s="30">
        <v>3003.0</v>
      </c>
      <c r="C3004" s="16" t="s">
        <v>3819</v>
      </c>
      <c r="D3004" s="16" t="s">
        <v>184</v>
      </c>
      <c r="E3004" s="16" t="s">
        <v>1888</v>
      </c>
      <c r="F3004" s="16" t="s">
        <v>255</v>
      </c>
      <c r="G3004" s="16" t="s">
        <v>3820</v>
      </c>
      <c r="H3004" s="16" t="s">
        <v>3821</v>
      </c>
    </row>
    <row r="3005" ht="20.25" customHeight="1">
      <c r="A3005" s="32" t="str">
        <f>IMAGE("https://gymvisual.com/12169-catalog_default/power-sled-backward-push.jpg",4,500,500)</f>
        <v/>
      </c>
      <c r="B3005" s="30">
        <v>3004.0</v>
      </c>
      <c r="C3005" s="16" t="s">
        <v>3822</v>
      </c>
      <c r="D3005" s="16" t="s">
        <v>184</v>
      </c>
      <c r="E3005" s="16" t="s">
        <v>285</v>
      </c>
      <c r="F3005" s="16" t="s">
        <v>3823</v>
      </c>
      <c r="G3005" s="16" t="s">
        <v>220</v>
      </c>
      <c r="H3005" s="16" t="s">
        <v>220</v>
      </c>
    </row>
    <row r="3006" ht="20.25" customHeight="1">
      <c r="A3006" s="32" t="str">
        <f>IMAGE("https://gymvisual.com/12163-catalog_default/power-sled-biceps-curl.jpg",4,500,500)</f>
        <v/>
      </c>
      <c r="B3006" s="30">
        <v>3005.0</v>
      </c>
      <c r="C3006" s="16" t="s">
        <v>3824</v>
      </c>
      <c r="D3006" s="16" t="s">
        <v>184</v>
      </c>
      <c r="E3006" s="16" t="s">
        <v>219</v>
      </c>
      <c r="F3006" s="16" t="s">
        <v>3823</v>
      </c>
      <c r="G3006" s="16" t="s">
        <v>220</v>
      </c>
      <c r="H3006" s="16" t="s">
        <v>220</v>
      </c>
    </row>
    <row r="3007" ht="20.25" customHeight="1">
      <c r="A3007" s="32" t="str">
        <f>IMAGE("https://gymvisual.com/24675-catalog_default/power-sled-drag.jpg",4,500,500)</f>
        <v/>
      </c>
      <c r="B3007" s="30">
        <v>3006.0</v>
      </c>
      <c r="C3007" s="16" t="s">
        <v>3825</v>
      </c>
      <c r="D3007" s="16" t="s">
        <v>184</v>
      </c>
      <c r="E3007" s="16" t="s">
        <v>764</v>
      </c>
      <c r="F3007" s="16" t="s">
        <v>3823</v>
      </c>
      <c r="G3007" s="16" t="s">
        <v>220</v>
      </c>
      <c r="H3007" s="16" t="s">
        <v>220</v>
      </c>
    </row>
    <row r="3008" ht="20.25" customHeight="1">
      <c r="A3008" s="32" t="str">
        <f>IMAGE("https://gymvisual.com/12171-catalog_default/power-sled-high-pull.jpg",4,500,500)</f>
        <v/>
      </c>
      <c r="B3008" s="30">
        <v>3007.0</v>
      </c>
      <c r="C3008" s="16" t="s">
        <v>3826</v>
      </c>
      <c r="D3008" s="16" t="s">
        <v>184</v>
      </c>
      <c r="E3008" s="16" t="s">
        <v>228</v>
      </c>
      <c r="F3008" s="16" t="s">
        <v>3823</v>
      </c>
      <c r="G3008" s="16" t="s">
        <v>220</v>
      </c>
      <c r="H3008" s="16" t="s">
        <v>220</v>
      </c>
    </row>
    <row r="3009" ht="20.25" customHeight="1">
      <c r="A3009" s="32" t="str">
        <f>IMAGE("https://gymvisual.com/11248-catalog_default/power-sled-pull-row-female.jpg",4,500,500)</f>
        <v/>
      </c>
      <c r="B3009" s="30">
        <v>3008.0</v>
      </c>
      <c r="C3009" s="16" t="s">
        <v>3827</v>
      </c>
      <c r="D3009" s="16" t="s">
        <v>184</v>
      </c>
      <c r="E3009" s="16" t="s">
        <v>484</v>
      </c>
      <c r="F3009" s="16" t="s">
        <v>3823</v>
      </c>
      <c r="G3009" s="16" t="s">
        <v>220</v>
      </c>
      <c r="H3009" s="16" t="s">
        <v>220</v>
      </c>
    </row>
    <row r="3010" ht="20.25" customHeight="1">
      <c r="A3010" s="32" t="str">
        <f>IMAGE("https://gymvisual.com/10677-catalog_default/power-sled-push-female.jpg",4,500,500)</f>
        <v/>
      </c>
      <c r="B3010" s="30">
        <v>3009.0</v>
      </c>
      <c r="C3010" s="16" t="s">
        <v>3828</v>
      </c>
      <c r="D3010" s="16" t="s">
        <v>184</v>
      </c>
      <c r="E3010" s="16" t="s">
        <v>285</v>
      </c>
      <c r="F3010" s="16" t="s">
        <v>3823</v>
      </c>
      <c r="G3010" s="16" t="s">
        <v>3829</v>
      </c>
      <c r="H3010" s="16" t="s">
        <v>220</v>
      </c>
    </row>
    <row r="3011" ht="20.25" customHeight="1">
      <c r="A3011" s="32" t="str">
        <f>IMAGE("https://gymvisual.com/12166-catalog_default/power-sled-rear-batwing.jpg",4,500,500)</f>
        <v/>
      </c>
      <c r="B3011" s="30">
        <v>3010.0</v>
      </c>
      <c r="C3011" s="16" t="s">
        <v>3830</v>
      </c>
      <c r="D3011" s="16" t="s">
        <v>184</v>
      </c>
      <c r="E3011" s="16" t="s">
        <v>285</v>
      </c>
      <c r="F3011" s="16" t="s">
        <v>3823</v>
      </c>
      <c r="G3011" s="16" t="s">
        <v>220</v>
      </c>
      <c r="H3011" s="16" t="s">
        <v>220</v>
      </c>
    </row>
    <row r="3012" ht="20.25" customHeight="1">
      <c r="A3012" s="32" t="str">
        <f>IMAGE("https://gymvisual.com/12168-catalog_default/power-sled-rear-drag.jpg",4,500,500)</f>
        <v/>
      </c>
      <c r="B3012" s="30">
        <v>3011.0</v>
      </c>
      <c r="C3012" s="16" t="s">
        <v>3831</v>
      </c>
      <c r="D3012" s="16" t="s">
        <v>184</v>
      </c>
      <c r="E3012" s="16" t="s">
        <v>285</v>
      </c>
      <c r="F3012" s="16" t="s">
        <v>3823</v>
      </c>
      <c r="G3012" s="16" t="s">
        <v>220</v>
      </c>
      <c r="H3012" s="16" t="s">
        <v>220</v>
      </c>
    </row>
    <row r="3013" ht="20.25" customHeight="1">
      <c r="A3013" s="32" t="str">
        <f>IMAGE("https://gymvisual.com/12167-catalog_default/power-sled-rear-fly.jpg",4,500,500)</f>
        <v/>
      </c>
      <c r="B3013" s="30">
        <v>3012.0</v>
      </c>
      <c r="C3013" s="16" t="s">
        <v>3832</v>
      </c>
      <c r="D3013" s="16" t="s">
        <v>184</v>
      </c>
      <c r="E3013" s="16" t="s">
        <v>228</v>
      </c>
      <c r="F3013" s="16" t="s">
        <v>3823</v>
      </c>
      <c r="G3013" s="16" t="s">
        <v>220</v>
      </c>
      <c r="H3013" s="16" t="s">
        <v>220</v>
      </c>
    </row>
    <row r="3014" ht="20.25" customHeight="1">
      <c r="A3014" s="32" t="str">
        <f>IMAGE("https://gymvisual.com/11984-catalog_default/power-sled-rear-lunge.jpg",4,500,500)</f>
        <v/>
      </c>
      <c r="B3014" s="30">
        <v>3013.0</v>
      </c>
      <c r="C3014" s="16" t="s">
        <v>3833</v>
      </c>
      <c r="D3014" s="16" t="s">
        <v>184</v>
      </c>
      <c r="E3014" s="16" t="s">
        <v>285</v>
      </c>
      <c r="F3014" s="16" t="s">
        <v>3823</v>
      </c>
      <c r="G3014" s="16" t="s">
        <v>220</v>
      </c>
      <c r="H3014" s="16" t="s">
        <v>220</v>
      </c>
    </row>
    <row r="3015" ht="20.25" customHeight="1">
      <c r="A3015" s="32" t="str">
        <f>IMAGE("https://gymvisual.com/12165-catalog_default/power-sled-rear-lunge.jpg",4,500,500)</f>
        <v/>
      </c>
      <c r="B3015" s="30">
        <v>3014.0</v>
      </c>
      <c r="C3015" s="16" t="s">
        <v>3833</v>
      </c>
      <c r="D3015" s="16" t="s">
        <v>184</v>
      </c>
      <c r="E3015" s="16" t="s">
        <v>185</v>
      </c>
      <c r="F3015" s="16" t="s">
        <v>3823</v>
      </c>
      <c r="G3015" s="16" t="s">
        <v>220</v>
      </c>
      <c r="H3015" s="16" t="s">
        <v>220</v>
      </c>
    </row>
    <row r="3016" ht="20.25" customHeight="1">
      <c r="A3016" s="32" t="str">
        <f>IMAGE("https://gymvisual.com/11983-catalog_default/power-sled-rear-lunge-female.jpg",4,500,500)</f>
        <v/>
      </c>
      <c r="B3016" s="30">
        <v>3015.0</v>
      </c>
      <c r="C3016" s="16" t="s">
        <v>3834</v>
      </c>
      <c r="D3016" s="16" t="s">
        <v>184</v>
      </c>
      <c r="E3016" s="16" t="s">
        <v>285</v>
      </c>
      <c r="F3016" s="16" t="s">
        <v>3823</v>
      </c>
      <c r="G3016" s="16" t="s">
        <v>220</v>
      </c>
      <c r="H3016" s="16" t="s">
        <v>220</v>
      </c>
    </row>
    <row r="3017" ht="20.25" customHeight="1">
      <c r="A3017" s="32" t="str">
        <f>IMAGE("https://gymvisual.com/12164-catalog_default/power-sled-rear-lunge-row.jpg",4,500,500)</f>
        <v/>
      </c>
      <c r="B3017" s="30">
        <v>3016.0</v>
      </c>
      <c r="C3017" s="16" t="s">
        <v>3835</v>
      </c>
      <c r="D3017" s="16" t="s">
        <v>184</v>
      </c>
      <c r="E3017" s="16" t="s">
        <v>192</v>
      </c>
      <c r="F3017" s="16" t="s">
        <v>3823</v>
      </c>
      <c r="G3017" s="16" t="s">
        <v>220</v>
      </c>
      <c r="H3017" s="16" t="s">
        <v>220</v>
      </c>
    </row>
    <row r="3018" ht="20.25" customHeight="1">
      <c r="A3018" s="32" t="str">
        <f>IMAGE("https://gymvisual.com/17939-catalog_default/power-sled-triceps-extension-male.jpg",4,500,500)</f>
        <v/>
      </c>
      <c r="B3018" s="30">
        <v>3017.0</v>
      </c>
      <c r="C3018" s="16" t="s">
        <v>3836</v>
      </c>
      <c r="D3018" s="16" t="s">
        <v>184</v>
      </c>
      <c r="E3018" s="16" t="s">
        <v>219</v>
      </c>
      <c r="F3018" s="16" t="s">
        <v>3823</v>
      </c>
      <c r="G3018" s="16" t="s">
        <v>220</v>
      </c>
      <c r="H3018" s="16" t="s">
        <v>220</v>
      </c>
    </row>
    <row r="3019" ht="20.25" customHeight="1">
      <c r="A3019" s="32" t="str">
        <f>IMAGE("https://gymvisual.com/23677-catalog_default/prayer-push-female.jpg",4,500,500)</f>
        <v/>
      </c>
      <c r="B3019" s="30">
        <v>3018.0</v>
      </c>
      <c r="C3019" s="16" t="s">
        <v>3837</v>
      </c>
      <c r="D3019" s="16" t="s">
        <v>184</v>
      </c>
      <c r="E3019" s="16" t="s">
        <v>228</v>
      </c>
      <c r="F3019" s="16" t="s">
        <v>255</v>
      </c>
      <c r="G3019" s="16" t="s">
        <v>454</v>
      </c>
      <c r="H3019" s="16" t="s">
        <v>3448</v>
      </c>
    </row>
    <row r="3020" ht="20.25" customHeight="1">
      <c r="A3020" s="32" t="str">
        <f>IMAGE("https://gymvisual.com/10196-catalog_default/preacher-curl-wrists-wrong-right.jpg",4,500,500)</f>
        <v/>
      </c>
      <c r="B3020" s="30">
        <v>3019.0</v>
      </c>
      <c r="C3020" s="16" t="s">
        <v>3838</v>
      </c>
      <c r="D3020" s="16" t="s">
        <v>184</v>
      </c>
      <c r="E3020" s="16" t="s">
        <v>219</v>
      </c>
      <c r="F3020" s="16" t="s">
        <v>2745</v>
      </c>
      <c r="G3020" s="16" t="s">
        <v>220</v>
      </c>
      <c r="H3020" s="16" t="s">
        <v>220</v>
      </c>
    </row>
    <row r="3021" ht="20.25" customHeight="1">
      <c r="A3021" s="32" t="str">
        <f>IMAGE("https://gymvisual.com/24055-catalog_default/press-under.jpg",4,500,500)</f>
        <v/>
      </c>
      <c r="B3021" s="30">
        <v>3020.0</v>
      </c>
      <c r="C3021" s="16" t="s">
        <v>3839</v>
      </c>
      <c r="D3021" s="16" t="s">
        <v>184</v>
      </c>
      <c r="E3021" s="16" t="s">
        <v>764</v>
      </c>
      <c r="F3021" s="16" t="s">
        <v>255</v>
      </c>
      <c r="G3021" s="16" t="s">
        <v>220</v>
      </c>
      <c r="H3021" s="16" t="s">
        <v>220</v>
      </c>
    </row>
    <row r="3022" ht="20.25" customHeight="1">
      <c r="A3022" s="32" t="str">
        <f>IMAGE("https://gymvisual.com/19445-catalog_default/prisoner-get-up.jpg",4,500,500)</f>
        <v/>
      </c>
      <c r="B3022" s="30">
        <v>3021.0</v>
      </c>
      <c r="C3022" s="16" t="s">
        <v>3840</v>
      </c>
      <c r="D3022" s="16" t="s">
        <v>184</v>
      </c>
      <c r="E3022" s="16" t="s">
        <v>285</v>
      </c>
      <c r="F3022" s="16" t="s">
        <v>255</v>
      </c>
      <c r="G3022" s="16" t="s">
        <v>220</v>
      </c>
      <c r="H3022" s="16" t="s">
        <v>220</v>
      </c>
    </row>
    <row r="3023" ht="20.25" customHeight="1">
      <c r="A3023" s="32" t="str">
        <f>IMAGE("https://gymvisual.com/12881-catalog_default/prisoner-half-sit-up-male.jpg",4,500,500)</f>
        <v/>
      </c>
      <c r="B3023" s="30">
        <v>3022.0</v>
      </c>
      <c r="C3023" s="16" t="s">
        <v>3841</v>
      </c>
      <c r="D3023" s="16" t="s">
        <v>184</v>
      </c>
      <c r="E3023" s="16" t="s">
        <v>254</v>
      </c>
      <c r="F3023" s="16" t="s">
        <v>255</v>
      </c>
      <c r="G3023" s="16" t="s">
        <v>305</v>
      </c>
      <c r="H3023" s="16" t="s">
        <v>3842</v>
      </c>
    </row>
    <row r="3024" ht="20.25" customHeight="1">
      <c r="A3024" s="32" t="str">
        <f>IMAGE("https://gymvisual.com/6827-catalog_default/prisoner-squat.jpg",4,500,500)</f>
        <v/>
      </c>
      <c r="B3024" s="30">
        <v>3023.0</v>
      </c>
      <c r="C3024" s="16" t="s">
        <v>3843</v>
      </c>
      <c r="D3024" s="16" t="s">
        <v>184</v>
      </c>
      <c r="E3024" s="16" t="s">
        <v>285</v>
      </c>
      <c r="F3024" s="16" t="s">
        <v>255</v>
      </c>
      <c r="G3024" s="16" t="s">
        <v>220</v>
      </c>
      <c r="H3024" s="16" t="s">
        <v>220</v>
      </c>
    </row>
    <row r="3025" ht="20.25" customHeight="1">
      <c r="A3025" s="32" t="str">
        <f>IMAGE("https://gymvisual.com/24089-catalog_default/prone-cervical-extension.jpg",4,500,500)</f>
        <v/>
      </c>
      <c r="B3025" s="30">
        <v>3024.0</v>
      </c>
      <c r="C3025" s="16" t="s">
        <v>3844</v>
      </c>
      <c r="D3025" s="16" t="s">
        <v>184</v>
      </c>
      <c r="E3025" s="16" t="s">
        <v>351</v>
      </c>
      <c r="F3025" s="16" t="s">
        <v>255</v>
      </c>
      <c r="G3025" s="16" t="s">
        <v>220</v>
      </c>
      <c r="H3025" s="16" t="s">
        <v>220</v>
      </c>
    </row>
    <row r="3026" ht="20.25" customHeight="1">
      <c r="A3026" s="32" t="str">
        <f>IMAGE("https://gymvisual.com/24091-catalog_default/prone-cervical-extension-isometric-hold.jpg",4,500,500)</f>
        <v/>
      </c>
      <c r="B3026" s="30">
        <v>3025.0</v>
      </c>
      <c r="C3026" s="16" t="s">
        <v>3845</v>
      </c>
      <c r="D3026" s="16" t="s">
        <v>184</v>
      </c>
      <c r="E3026" s="16" t="s">
        <v>351</v>
      </c>
      <c r="F3026" s="16" t="s">
        <v>255</v>
      </c>
      <c r="G3026" s="16" t="s">
        <v>220</v>
      </c>
      <c r="H3026" s="16" t="s">
        <v>220</v>
      </c>
    </row>
    <row r="3027" ht="20.25" customHeight="1">
      <c r="A3027" s="32" t="str">
        <f>IMAGE("https://gymvisual.com/12205-catalog_default/prone-single-arm-trap-raise.jpg",4,500,500)</f>
        <v/>
      </c>
      <c r="B3027" s="30">
        <v>3026.0</v>
      </c>
      <c r="C3027" s="16" t="s">
        <v>3846</v>
      </c>
      <c r="D3027" s="16" t="s">
        <v>184</v>
      </c>
      <c r="E3027" s="16" t="s">
        <v>192</v>
      </c>
      <c r="F3027" s="16" t="s">
        <v>255</v>
      </c>
      <c r="G3027" s="16" t="s">
        <v>220</v>
      </c>
      <c r="H3027" s="16" t="s">
        <v>220</v>
      </c>
    </row>
    <row r="3028" ht="20.25" customHeight="1">
      <c r="A3028" s="32" t="str">
        <f>IMAGE("https://gymvisual.com/7373-catalog_default/prone-twist-on-stability-ball.jpg",4,500,500)</f>
        <v/>
      </c>
      <c r="B3028" s="30">
        <v>3027.0</v>
      </c>
      <c r="C3028" s="16" t="s">
        <v>3847</v>
      </c>
      <c r="D3028" s="16" t="s">
        <v>184</v>
      </c>
      <c r="E3028" s="16" t="s">
        <v>254</v>
      </c>
      <c r="F3028" s="16" t="s">
        <v>399</v>
      </c>
      <c r="G3028" s="16" t="s">
        <v>220</v>
      </c>
      <c r="H3028" s="16" t="s">
        <v>220</v>
      </c>
    </row>
    <row r="3029" ht="20.25" customHeight="1">
      <c r="A3029" s="32" t="str">
        <f>IMAGE("https://gymvisual.com/25671-catalog_default/prone-y-raise-male.jpg",4,500,500)</f>
        <v/>
      </c>
      <c r="B3029" s="30">
        <v>3028.0</v>
      </c>
      <c r="C3029" s="16" t="s">
        <v>3848</v>
      </c>
      <c r="D3029" s="16" t="s">
        <v>184</v>
      </c>
      <c r="E3029" s="16" t="s">
        <v>192</v>
      </c>
      <c r="F3029" s="16" t="s">
        <v>255</v>
      </c>
      <c r="G3029" s="16" t="s">
        <v>220</v>
      </c>
      <c r="H3029" s="16" t="s">
        <v>220</v>
      </c>
    </row>
    <row r="3030" ht="20.25" customHeight="1">
      <c r="A3030" s="32" t="str">
        <f>IMAGE("https://gymvisual.com/22710-catalog_default/pseudo-planche-push-up.jpg",4,500,500)</f>
        <v/>
      </c>
      <c r="B3030" s="30">
        <v>3029.0</v>
      </c>
      <c r="C3030" s="16" t="s">
        <v>3849</v>
      </c>
      <c r="D3030" s="16" t="s">
        <v>184</v>
      </c>
      <c r="E3030" s="16" t="s">
        <v>234</v>
      </c>
      <c r="F3030" s="16" t="s">
        <v>255</v>
      </c>
      <c r="G3030" s="16" t="s">
        <v>3850</v>
      </c>
      <c r="H3030" s="16" t="s">
        <v>3851</v>
      </c>
    </row>
    <row r="3031" ht="20.25" customHeight="1">
      <c r="A3031" s="32" t="str">
        <f>IMAGE("https://gymvisual.com/1953-catalog_default/3-4-sit-up.jpg",4,500,500)</f>
        <v/>
      </c>
      <c r="B3031" s="30">
        <v>3030.0</v>
      </c>
      <c r="C3031" s="16" t="s">
        <v>3852</v>
      </c>
      <c r="D3031" s="16" t="s">
        <v>184</v>
      </c>
      <c r="E3031" s="16" t="s">
        <v>192</v>
      </c>
      <c r="F3031" s="16" t="s">
        <v>255</v>
      </c>
      <c r="G3031" s="16" t="s">
        <v>300</v>
      </c>
      <c r="H3031" s="16" t="s">
        <v>3853</v>
      </c>
    </row>
    <row r="3032" ht="20.25" customHeight="1">
      <c r="A3032" s="32" t="str">
        <f>IMAGE("https://gymvisual.com/1950-catalog_default/3-4-sit-up.jpg",4,500,500)</f>
        <v/>
      </c>
      <c r="B3032" s="30">
        <v>3031.0</v>
      </c>
      <c r="C3032" s="16" t="s">
        <v>3854</v>
      </c>
      <c r="D3032" s="16" t="s">
        <v>184</v>
      </c>
      <c r="E3032" s="16" t="s">
        <v>254</v>
      </c>
      <c r="F3032" s="16" t="s">
        <v>399</v>
      </c>
      <c r="G3032" s="16" t="s">
        <v>305</v>
      </c>
      <c r="H3032" s="16" t="s">
        <v>3855</v>
      </c>
    </row>
    <row r="3033" ht="20.25" customHeight="1">
      <c r="A3033" s="32" t="str">
        <f>IMAGE("https://gymvisual.com/1956-catalog_default/3-4-sit-up.jpg",4,500,500)</f>
        <v/>
      </c>
      <c r="B3033" s="30">
        <v>3032.0</v>
      </c>
      <c r="C3033" s="16" t="s">
        <v>3856</v>
      </c>
      <c r="D3033" s="16" t="s">
        <v>184</v>
      </c>
      <c r="E3033" s="16" t="s">
        <v>192</v>
      </c>
      <c r="F3033" s="16" t="s">
        <v>255</v>
      </c>
      <c r="G3033" s="16" t="s">
        <v>300</v>
      </c>
      <c r="H3033" s="16" t="s">
        <v>387</v>
      </c>
    </row>
    <row r="3034" ht="20.25" customHeight="1">
      <c r="A3034" s="32" t="str">
        <f>IMAGE("https://gymvisual.com/22289-catalog_default/pull-up-negative-female.jpg",4,500,500)</f>
        <v/>
      </c>
      <c r="B3034" s="30">
        <v>3033.0</v>
      </c>
      <c r="C3034" s="16" t="s">
        <v>3857</v>
      </c>
      <c r="D3034" s="16" t="s">
        <v>184</v>
      </c>
      <c r="E3034" s="16" t="s">
        <v>192</v>
      </c>
      <c r="F3034" s="16" t="s">
        <v>255</v>
      </c>
      <c r="G3034" s="16" t="s">
        <v>220</v>
      </c>
      <c r="H3034" s="16" t="s">
        <v>220</v>
      </c>
    </row>
    <row r="3035" ht="20.25" customHeight="1">
      <c r="A3035" s="32" t="str">
        <f>IMAGE("https://gymvisual.com/13990-catalog_default/pull-up-with-bent-knee-between-chairs.jpg",4,500,500)</f>
        <v/>
      </c>
      <c r="B3035" s="30">
        <v>3034.0</v>
      </c>
      <c r="C3035" s="16" t="s">
        <v>3858</v>
      </c>
      <c r="D3035" s="16" t="s">
        <v>184</v>
      </c>
      <c r="E3035" s="16" t="s">
        <v>192</v>
      </c>
      <c r="F3035" s="16" t="s">
        <v>255</v>
      </c>
      <c r="G3035" s="16" t="s">
        <v>300</v>
      </c>
      <c r="H3035" s="16" t="s">
        <v>445</v>
      </c>
    </row>
    <row r="3036" ht="20.25" customHeight="1">
      <c r="A3036" s="32" t="str">
        <f>IMAGE("https://gymvisual.com/12188-catalog_default/pulse-row-female.jpg",4,500,500)</f>
        <v/>
      </c>
      <c r="B3036" s="30">
        <v>3035.0</v>
      </c>
      <c r="C3036" s="16" t="s">
        <v>3859</v>
      </c>
      <c r="D3036" s="16" t="s">
        <v>184</v>
      </c>
      <c r="E3036" s="16" t="s">
        <v>192</v>
      </c>
      <c r="F3036" s="16" t="s">
        <v>255</v>
      </c>
      <c r="G3036" s="16" t="s">
        <v>570</v>
      </c>
      <c r="H3036" s="16" t="s">
        <v>447</v>
      </c>
    </row>
    <row r="3037" ht="20.25" customHeight="1">
      <c r="A3037" s="32" t="str">
        <f>IMAGE("https://gymvisual.com/22576-catalog_default/pulse-row-male.jpg",4,500,500)</f>
        <v/>
      </c>
      <c r="B3037" s="30">
        <v>3036.0</v>
      </c>
      <c r="C3037" s="16" t="s">
        <v>3860</v>
      </c>
      <c r="D3037" s="16" t="s">
        <v>184</v>
      </c>
      <c r="E3037" s="16" t="s">
        <v>192</v>
      </c>
      <c r="F3037" s="16" t="s">
        <v>255</v>
      </c>
      <c r="G3037" s="16" t="s">
        <v>731</v>
      </c>
      <c r="H3037" s="16" t="s">
        <v>408</v>
      </c>
    </row>
    <row r="3038" ht="20.25" customHeight="1">
      <c r="A3038" s="32" t="str">
        <f>IMAGE("https://gymvisual.com/13936-catalog_default/pulse-up.jpg",4,500,500)</f>
        <v/>
      </c>
      <c r="B3038" s="30">
        <v>3037.0</v>
      </c>
      <c r="C3038" s="16" t="s">
        <v>3861</v>
      </c>
      <c r="D3038" s="16" t="s">
        <v>184</v>
      </c>
      <c r="E3038" s="16" t="s">
        <v>254</v>
      </c>
      <c r="F3038" s="16" t="s">
        <v>255</v>
      </c>
      <c r="G3038" s="16" t="s">
        <v>256</v>
      </c>
      <c r="H3038" s="16" t="s">
        <v>3862</v>
      </c>
    </row>
    <row r="3039" ht="20.25" customHeight="1">
      <c r="A3039" s="32" t="str">
        <f>IMAGE("https://gymvisual.com/4568-catalog_default/push-press.jpg",4,500,500)</f>
        <v/>
      </c>
      <c r="B3039" s="30">
        <v>3038.0</v>
      </c>
      <c r="C3039" s="16" t="s">
        <v>3863</v>
      </c>
      <c r="D3039" s="16" t="s">
        <v>184</v>
      </c>
      <c r="E3039" s="16" t="s">
        <v>228</v>
      </c>
      <c r="F3039" s="16" t="s">
        <v>186</v>
      </c>
      <c r="G3039" s="16" t="s">
        <v>3864</v>
      </c>
      <c r="H3039" s="16" t="s">
        <v>220</v>
      </c>
    </row>
    <row r="3040" ht="20.25" customHeight="1">
      <c r="A3040" s="32" t="str">
        <f>IMAGE("https://gymvisual.com/11534-catalog_default/push-up-on-stability-ball-female.jpg",4,500,500)</f>
        <v/>
      </c>
      <c r="B3040" s="30">
        <v>3039.0</v>
      </c>
      <c r="C3040" s="16" t="s">
        <v>3865</v>
      </c>
      <c r="D3040" s="16" t="s">
        <v>184</v>
      </c>
      <c r="E3040" s="16" t="s">
        <v>234</v>
      </c>
      <c r="F3040" s="16" t="s">
        <v>399</v>
      </c>
      <c r="G3040" s="16" t="s">
        <v>220</v>
      </c>
      <c r="H3040" s="16" t="s">
        <v>220</v>
      </c>
    </row>
    <row r="3041" ht="20.25" customHeight="1">
      <c r="A3041" s="32" t="str">
        <f>IMAGE("https://gymvisual.com/5996-catalog_default/push-up-on-bosu-ball.jpg",4,500,500)</f>
        <v/>
      </c>
      <c r="B3041" s="30">
        <v>3040.0</v>
      </c>
      <c r="C3041" s="16" t="s">
        <v>3866</v>
      </c>
      <c r="D3041" s="16" t="s">
        <v>184</v>
      </c>
      <c r="E3041" s="16" t="s">
        <v>234</v>
      </c>
      <c r="F3041" s="16" t="s">
        <v>316</v>
      </c>
      <c r="G3041" s="16" t="s">
        <v>347</v>
      </c>
      <c r="H3041" s="16" t="s">
        <v>3020</v>
      </c>
    </row>
    <row r="3042" ht="20.25" customHeight="1">
      <c r="A3042" s="32" t="str">
        <f>IMAGE("https://gymvisual.com/18740-catalog_default/push-with-chair.jpg",4,500,500)</f>
        <v/>
      </c>
      <c r="B3042" s="30">
        <v>3041.0</v>
      </c>
      <c r="C3042" s="16" t="s">
        <v>3867</v>
      </c>
      <c r="D3042" s="16" t="s">
        <v>184</v>
      </c>
      <c r="E3042" s="16" t="s">
        <v>234</v>
      </c>
      <c r="F3042" s="16" t="s">
        <v>255</v>
      </c>
      <c r="G3042" s="16" t="s">
        <v>220</v>
      </c>
      <c r="H3042" s="16" t="s">
        <v>220</v>
      </c>
    </row>
    <row r="3043" ht="20.25" customHeight="1">
      <c r="A3043" s="32" t="str">
        <f>IMAGE("https://gymvisual.com/10080-catalog_default/3-4-sit-up.jpg",4,500,500)</f>
        <v/>
      </c>
      <c r="B3043" s="30">
        <v>3042.0</v>
      </c>
      <c r="C3043" s="16" t="s">
        <v>3868</v>
      </c>
      <c r="D3043" s="16" t="s">
        <v>184</v>
      </c>
      <c r="E3043" s="16" t="s">
        <v>234</v>
      </c>
      <c r="F3043" s="16" t="s">
        <v>255</v>
      </c>
      <c r="G3043" s="16" t="s">
        <v>347</v>
      </c>
      <c r="H3043" s="16" t="s">
        <v>382</v>
      </c>
    </row>
    <row r="3044" ht="20.25" customHeight="1">
      <c r="A3044" s="32" t="str">
        <f>IMAGE("https://gymvisual.com/1995-catalog_default/3-4-sit-up.jpg",4,500,500)</f>
        <v/>
      </c>
      <c r="B3044" s="30">
        <v>3043.0</v>
      </c>
      <c r="C3044" s="16" t="s">
        <v>3868</v>
      </c>
      <c r="D3044" s="16" t="s">
        <v>184</v>
      </c>
      <c r="E3044" s="16" t="s">
        <v>234</v>
      </c>
      <c r="F3044" s="16" t="s">
        <v>255</v>
      </c>
      <c r="G3044" s="16" t="s">
        <v>347</v>
      </c>
      <c r="H3044" s="16" t="s">
        <v>382</v>
      </c>
    </row>
    <row r="3045" ht="20.25" customHeight="1">
      <c r="A3045" s="32" t="str">
        <f>IMAGE("https://gymvisual.com/20755-catalog_default/3-4-sit-up.jpg",4,500,500)</f>
        <v/>
      </c>
      <c r="B3045" s="30">
        <v>3044.0</v>
      </c>
      <c r="C3045" s="16" t="s">
        <v>3869</v>
      </c>
      <c r="D3045" s="16" t="s">
        <v>184</v>
      </c>
      <c r="E3045" s="16" t="s">
        <v>234</v>
      </c>
      <c r="F3045" s="16" t="s">
        <v>316</v>
      </c>
      <c r="G3045" s="16" t="s">
        <v>347</v>
      </c>
      <c r="H3045" s="16" t="s">
        <v>382</v>
      </c>
    </row>
    <row r="3046" ht="20.25" customHeight="1">
      <c r="A3046" s="32" t="str">
        <f>IMAGE("https://gymvisual.com/4446-catalog_default/push-up-on-knees.jpg",4,500,500)</f>
        <v/>
      </c>
      <c r="B3046" s="30">
        <v>3045.0</v>
      </c>
      <c r="C3046" s="16" t="s">
        <v>3870</v>
      </c>
      <c r="D3046" s="16" t="s">
        <v>184</v>
      </c>
      <c r="E3046" s="16" t="s">
        <v>234</v>
      </c>
      <c r="F3046" s="16" t="s">
        <v>255</v>
      </c>
      <c r="G3046" s="16" t="s">
        <v>347</v>
      </c>
      <c r="H3046" s="16" t="s">
        <v>382</v>
      </c>
    </row>
    <row r="3047" ht="20.25" customHeight="1">
      <c r="A3047" s="32" t="str">
        <f>IMAGE("https://gymvisual.com/1965-catalog_default/3-4-sit-up.jpg",4,500,500)</f>
        <v/>
      </c>
      <c r="B3047" s="30">
        <v>3046.0</v>
      </c>
      <c r="C3047" s="16" t="s">
        <v>3871</v>
      </c>
      <c r="D3047" s="16" t="s">
        <v>184</v>
      </c>
      <c r="E3047" s="16" t="s">
        <v>234</v>
      </c>
      <c r="F3047" s="16" t="s">
        <v>399</v>
      </c>
      <c r="G3047" s="16" t="s">
        <v>347</v>
      </c>
      <c r="H3047" s="16" t="s">
        <v>382</v>
      </c>
    </row>
    <row r="3048" ht="20.25" customHeight="1">
      <c r="A3048" s="32" t="str">
        <f>IMAGE("https://gymvisual.com/1968-catalog_default/3-4-sit-up.jpg",4,500,500)</f>
        <v/>
      </c>
      <c r="B3048" s="30">
        <v>3047.0</v>
      </c>
      <c r="C3048" s="16" t="s">
        <v>3872</v>
      </c>
      <c r="D3048" s="16" t="s">
        <v>184</v>
      </c>
      <c r="E3048" s="16" t="s">
        <v>234</v>
      </c>
      <c r="F3048" s="16" t="s">
        <v>399</v>
      </c>
      <c r="G3048" s="16" t="s">
        <v>235</v>
      </c>
      <c r="H3048" s="16" t="s">
        <v>243</v>
      </c>
    </row>
    <row r="3049" ht="20.25" customHeight="1">
      <c r="A3049" s="32" t="str">
        <f>IMAGE("https://gymvisual.com/1971-catalog_default/3-4-sit-up.jpg",4,500,500)</f>
        <v/>
      </c>
      <c r="B3049" s="30">
        <v>3048.0</v>
      </c>
      <c r="C3049" s="16" t="s">
        <v>3873</v>
      </c>
      <c r="D3049" s="16" t="s">
        <v>184</v>
      </c>
      <c r="E3049" s="16" t="s">
        <v>234</v>
      </c>
      <c r="F3049" s="16" t="s">
        <v>399</v>
      </c>
      <c r="G3049" s="16" t="s">
        <v>347</v>
      </c>
      <c r="H3049" s="16" t="s">
        <v>382</v>
      </c>
    </row>
    <row r="3050" ht="20.25" customHeight="1">
      <c r="A3050" s="32" t="str">
        <f>IMAGE("https://gymvisual.com/1977-catalog_default/3-4-sit-up.jpg",4,500,500)</f>
        <v/>
      </c>
      <c r="B3050" s="30">
        <v>3049.0</v>
      </c>
      <c r="C3050" s="16" t="s">
        <v>3874</v>
      </c>
      <c r="D3050" s="16" t="s">
        <v>184</v>
      </c>
      <c r="E3050" s="16" t="s">
        <v>234</v>
      </c>
      <c r="F3050" s="16" t="s">
        <v>255</v>
      </c>
      <c r="G3050" s="16" t="s">
        <v>347</v>
      </c>
      <c r="H3050" s="16" t="s">
        <v>382</v>
      </c>
    </row>
    <row r="3051" ht="20.25" customHeight="1">
      <c r="A3051" s="32" t="str">
        <f>IMAGE("https://gymvisual.com/10768-catalog_default/push-up-wall-female.jpg",4,500,500)</f>
        <v/>
      </c>
      <c r="B3051" s="30">
        <v>3050.0</v>
      </c>
      <c r="C3051" s="16" t="s">
        <v>3875</v>
      </c>
      <c r="D3051" s="16" t="s">
        <v>184</v>
      </c>
      <c r="E3051" s="16" t="s">
        <v>234</v>
      </c>
      <c r="F3051" s="16" t="s">
        <v>255</v>
      </c>
      <c r="G3051" s="16" t="s">
        <v>235</v>
      </c>
      <c r="H3051" s="16" t="s">
        <v>243</v>
      </c>
    </row>
    <row r="3052" ht="20.25" customHeight="1">
      <c r="A3052" s="32" t="str">
        <f>IMAGE("https://gymvisual.com/1974-catalog_default/3-4-sit-up.jpg",4,500,500)</f>
        <v/>
      </c>
      <c r="B3052" s="30">
        <v>3051.0</v>
      </c>
      <c r="C3052" s="16" t="s">
        <v>3876</v>
      </c>
      <c r="D3052" s="16" t="s">
        <v>184</v>
      </c>
      <c r="E3052" s="16" t="s">
        <v>234</v>
      </c>
      <c r="F3052" s="16" t="s">
        <v>255</v>
      </c>
      <c r="G3052" s="16" t="s">
        <v>347</v>
      </c>
      <c r="H3052" s="16" t="s">
        <v>382</v>
      </c>
    </row>
    <row r="3053" ht="20.25" customHeight="1">
      <c r="A3053" s="32" t="str">
        <f>IMAGE("https://gymvisual.com/6502-catalog_default/push-up-with-push-up-handles.jpg",4,500,500)</f>
        <v/>
      </c>
      <c r="B3053" s="30">
        <v>3052.0</v>
      </c>
      <c r="C3053" s="16" t="s">
        <v>3877</v>
      </c>
      <c r="D3053" s="16" t="s">
        <v>184</v>
      </c>
      <c r="E3053" s="16" t="s">
        <v>234</v>
      </c>
      <c r="F3053" s="16" t="s">
        <v>255</v>
      </c>
      <c r="G3053" s="16" t="s">
        <v>347</v>
      </c>
      <c r="H3053" s="16" t="s">
        <v>382</v>
      </c>
    </row>
    <row r="3054" ht="20.25" customHeight="1">
      <c r="A3054" s="32" t="str">
        <f>IMAGE("https://gymvisual.com/10202-catalog_default/push-up-end-position-wrong-right.jpg",4,500,500)</f>
        <v/>
      </c>
      <c r="B3054" s="30">
        <v>3053.0</v>
      </c>
      <c r="C3054" s="16" t="s">
        <v>3878</v>
      </c>
      <c r="D3054" s="16" t="s">
        <v>184</v>
      </c>
      <c r="E3054" s="16" t="s">
        <v>234</v>
      </c>
      <c r="F3054" s="16" t="s">
        <v>255</v>
      </c>
      <c r="G3054" s="16" t="s">
        <v>220</v>
      </c>
      <c r="H3054" s="16" t="s">
        <v>220</v>
      </c>
    </row>
    <row r="3055" ht="20.25" customHeight="1">
      <c r="A3055" s="32" t="str">
        <f>IMAGE("https://gymvisual.com/10200-catalog_default/push-up-start-position-wrong-right.jpg",4,500,500)</f>
        <v/>
      </c>
      <c r="B3055" s="30">
        <v>3054.0</v>
      </c>
      <c r="C3055" s="16" t="s">
        <v>3879</v>
      </c>
      <c r="D3055" s="16" t="s">
        <v>184</v>
      </c>
      <c r="E3055" s="16" t="s">
        <v>234</v>
      </c>
      <c r="F3055" s="16" t="s">
        <v>255</v>
      </c>
      <c r="G3055" s="16" t="s">
        <v>220</v>
      </c>
      <c r="H3055" s="16" t="s">
        <v>220</v>
      </c>
    </row>
    <row r="3056" ht="20.25" customHeight="1">
      <c r="A3056" s="32" t="str">
        <f>IMAGE("https://gymvisual.com/22291-catalog_default/push-up-and-triceps-dip-on-parallel-bars.jpg",4,500,500)</f>
        <v/>
      </c>
      <c r="B3056" s="30">
        <v>3055.0</v>
      </c>
      <c r="C3056" s="16" t="s">
        <v>3880</v>
      </c>
      <c r="D3056" s="16" t="s">
        <v>184</v>
      </c>
      <c r="E3056" s="16" t="s">
        <v>234</v>
      </c>
      <c r="F3056" s="16" t="s">
        <v>255</v>
      </c>
      <c r="G3056" s="16" t="s">
        <v>220</v>
      </c>
      <c r="H3056" s="16" t="s">
        <v>220</v>
      </c>
    </row>
    <row r="3057" ht="20.25" customHeight="1">
      <c r="A3057" s="32" t="str">
        <f>IMAGE("https://gymvisual.com/1980-catalog_default/3-4-sit-up.jpg",4,500,500)</f>
        <v/>
      </c>
      <c r="B3057" s="30">
        <v>3056.0</v>
      </c>
      <c r="C3057" s="16" t="s">
        <v>3881</v>
      </c>
      <c r="D3057" s="16" t="s">
        <v>184</v>
      </c>
      <c r="E3057" s="16" t="s">
        <v>228</v>
      </c>
      <c r="F3057" s="16" t="s">
        <v>222</v>
      </c>
      <c r="G3057" s="16" t="s">
        <v>223</v>
      </c>
      <c r="H3057" s="16" t="s">
        <v>472</v>
      </c>
    </row>
    <row r="3058" ht="20.25" customHeight="1">
      <c r="A3058" s="32" t="str">
        <f>IMAGE("https://gymvisual.com/20692-catalog_default/push-up-hand-by-hand.jpg",4,500,500)</f>
        <v/>
      </c>
      <c r="B3058" s="30">
        <v>3057.0</v>
      </c>
      <c r="C3058" s="16" t="s">
        <v>3882</v>
      </c>
      <c r="D3058" s="16" t="s">
        <v>184</v>
      </c>
      <c r="E3058" s="16" t="s">
        <v>1894</v>
      </c>
      <c r="F3058" s="16" t="s">
        <v>255</v>
      </c>
      <c r="G3058" s="16" t="s">
        <v>2400</v>
      </c>
      <c r="H3058" s="16" t="s">
        <v>229</v>
      </c>
    </row>
    <row r="3059" ht="20.25" customHeight="1">
      <c r="A3059" s="32" t="str">
        <f>IMAGE("https://gymvisual.com/24669-catalog_default/push-up-in-child-pose.jpg",4,500,500)</f>
        <v/>
      </c>
      <c r="B3059" s="30">
        <v>3058.0</v>
      </c>
      <c r="C3059" s="16" t="s">
        <v>3883</v>
      </c>
      <c r="D3059" s="16" t="s">
        <v>184</v>
      </c>
      <c r="E3059" s="16" t="s">
        <v>234</v>
      </c>
      <c r="F3059" s="16" t="s">
        <v>255</v>
      </c>
      <c r="G3059" s="16" t="s">
        <v>220</v>
      </c>
      <c r="H3059" s="16" t="s">
        <v>220</v>
      </c>
    </row>
    <row r="3060" ht="20.25" customHeight="1">
      <c r="A3060" s="32" t="str">
        <f>IMAGE("https://gymvisual.com/1983-catalog_default/3-4-sit-up.jpg",4,500,500)</f>
        <v/>
      </c>
      <c r="B3060" s="30">
        <v>3059.0</v>
      </c>
      <c r="C3060" s="16" t="s">
        <v>3884</v>
      </c>
      <c r="D3060" s="16" t="s">
        <v>184</v>
      </c>
      <c r="E3060" s="16" t="s">
        <v>185</v>
      </c>
      <c r="F3060" s="16" t="s">
        <v>255</v>
      </c>
      <c r="G3060" s="16" t="s">
        <v>3885</v>
      </c>
      <c r="H3060" s="16" t="s">
        <v>382</v>
      </c>
    </row>
    <row r="3061" ht="20.25" customHeight="1">
      <c r="A3061" s="32" t="str">
        <f>IMAGE("https://gymvisual.com/24671-catalog_default/push-up-jack.jpg",4,500,500)</f>
        <v/>
      </c>
      <c r="B3061" s="30">
        <v>3060.0</v>
      </c>
      <c r="C3061" s="16" t="s">
        <v>3886</v>
      </c>
      <c r="D3061" s="16" t="s">
        <v>184</v>
      </c>
      <c r="E3061" s="16" t="s">
        <v>234</v>
      </c>
      <c r="F3061" s="16" t="s">
        <v>255</v>
      </c>
      <c r="G3061" s="16" t="s">
        <v>220</v>
      </c>
      <c r="H3061" s="16" t="s">
        <v>220</v>
      </c>
    </row>
    <row r="3062" ht="20.25" customHeight="1">
      <c r="A3062" s="32" t="str">
        <f>IMAGE("https://gymvisual.com/1989-catalog_default/3-4-sit-up.jpg",4,500,500)</f>
        <v/>
      </c>
      <c r="B3062" s="30">
        <v>3061.0</v>
      </c>
      <c r="C3062" s="16" t="s">
        <v>3887</v>
      </c>
      <c r="D3062" s="16" t="s">
        <v>184</v>
      </c>
      <c r="E3062" s="16" t="s">
        <v>234</v>
      </c>
      <c r="F3062" s="16" t="s">
        <v>373</v>
      </c>
      <c r="G3062" s="16" t="s">
        <v>347</v>
      </c>
      <c r="H3062" s="16" t="s">
        <v>382</v>
      </c>
    </row>
    <row r="3063" ht="20.25" customHeight="1">
      <c r="A3063" s="32" t="str">
        <f>IMAGE("https://gymvisual.com/6401-catalog_default/push-up-on-forearms.jpg",4,500,500)</f>
        <v/>
      </c>
      <c r="B3063" s="30">
        <v>3062.0</v>
      </c>
      <c r="C3063" s="16" t="s">
        <v>3888</v>
      </c>
      <c r="D3063" s="16" t="s">
        <v>184</v>
      </c>
      <c r="E3063" s="16" t="s">
        <v>219</v>
      </c>
      <c r="F3063" s="16" t="s">
        <v>255</v>
      </c>
      <c r="G3063" s="16" t="s">
        <v>223</v>
      </c>
      <c r="H3063" s="16" t="s">
        <v>472</v>
      </c>
    </row>
    <row r="3064" ht="20.25" customHeight="1">
      <c r="A3064" s="32" t="str">
        <f>IMAGE("https://gymvisual.com/12551-catalog_default/push-up-plus.jpg",4,500,500)</f>
        <v/>
      </c>
      <c r="B3064" s="30">
        <v>3063.0</v>
      </c>
      <c r="C3064" s="16" t="s">
        <v>3889</v>
      </c>
      <c r="D3064" s="16" t="s">
        <v>184</v>
      </c>
      <c r="E3064" s="16" t="s">
        <v>234</v>
      </c>
      <c r="F3064" s="16" t="s">
        <v>255</v>
      </c>
      <c r="G3064" s="16" t="s">
        <v>3890</v>
      </c>
      <c r="H3064" s="16" t="s">
        <v>3891</v>
      </c>
    </row>
    <row r="3065" ht="20.25" customHeight="1">
      <c r="A3065" s="32" t="str">
        <f>IMAGE("https://gymvisual.com/12552-catalog_default/push-up-plus-female.jpg",4,500,500)</f>
        <v/>
      </c>
      <c r="B3065" s="30">
        <v>3064.0</v>
      </c>
      <c r="C3065" s="16" t="s">
        <v>3892</v>
      </c>
      <c r="D3065" s="16" t="s">
        <v>184</v>
      </c>
      <c r="E3065" s="16" t="s">
        <v>234</v>
      </c>
      <c r="F3065" s="16" t="s">
        <v>255</v>
      </c>
      <c r="G3065" s="16" t="s">
        <v>3890</v>
      </c>
      <c r="H3065" s="16" t="s">
        <v>3891</v>
      </c>
    </row>
    <row r="3066" ht="20.25" customHeight="1">
      <c r="A3066" s="32" t="str">
        <f>IMAGE("https://gymvisual.com/14177-catalog_default/3-4-sit-up.jpg",4,500,500)</f>
        <v/>
      </c>
      <c r="B3066" s="30">
        <v>3065.0</v>
      </c>
      <c r="C3066" s="16" t="s">
        <v>3893</v>
      </c>
      <c r="D3066" s="16" t="s">
        <v>184</v>
      </c>
      <c r="E3066" s="16" t="s">
        <v>234</v>
      </c>
      <c r="F3066" s="16" t="s">
        <v>255</v>
      </c>
      <c r="G3066" s="16" t="s">
        <v>1874</v>
      </c>
      <c r="H3066" s="16" t="s">
        <v>3894</v>
      </c>
    </row>
    <row r="3067" ht="20.25" customHeight="1">
      <c r="A3067" s="32" t="str">
        <f>IMAGE("https://gymvisual.com/22402-catalog_default/push-up-to-side-plank-version-2.jpg",4,500,500)</f>
        <v/>
      </c>
      <c r="B3067" s="30">
        <v>3066.0</v>
      </c>
      <c r="C3067" s="16" t="s">
        <v>3895</v>
      </c>
      <c r="D3067" s="16" t="s">
        <v>184</v>
      </c>
      <c r="E3067" s="16" t="s">
        <v>234</v>
      </c>
      <c r="F3067" s="16" t="s">
        <v>255</v>
      </c>
      <c r="G3067" s="16" t="s">
        <v>220</v>
      </c>
      <c r="H3067" s="16" t="s">
        <v>220</v>
      </c>
    </row>
    <row r="3068" ht="20.25" customHeight="1">
      <c r="A3068" s="32" t="str">
        <f>IMAGE("https://gymvisual.com/22404-catalog_default/push-up-with-knee-drive.jpg",4,500,500)</f>
        <v/>
      </c>
      <c r="B3068" s="30">
        <v>3067.0</v>
      </c>
      <c r="C3068" s="16" t="s">
        <v>3896</v>
      </c>
      <c r="D3068" s="16" t="s">
        <v>184</v>
      </c>
      <c r="E3068" s="16" t="s">
        <v>254</v>
      </c>
      <c r="F3068" s="16" t="s">
        <v>255</v>
      </c>
      <c r="G3068" s="16" t="s">
        <v>220</v>
      </c>
      <c r="H3068" s="16" t="s">
        <v>220</v>
      </c>
    </row>
    <row r="3069" ht="20.25" customHeight="1">
      <c r="A3069" s="32" t="str">
        <f>IMAGE("https://gymvisual.com/23617-catalog_default/pvc-external-rotation.jpg",4,500,500)</f>
        <v/>
      </c>
      <c r="B3069" s="30">
        <v>3068.0</v>
      </c>
      <c r="C3069" s="16" t="s">
        <v>3897</v>
      </c>
      <c r="D3069" s="16" t="s">
        <v>184</v>
      </c>
      <c r="E3069" s="16" t="s">
        <v>192</v>
      </c>
      <c r="F3069" s="16" t="s">
        <v>255</v>
      </c>
      <c r="G3069" s="16" t="s">
        <v>3898</v>
      </c>
      <c r="H3069" s="16" t="s">
        <v>220</v>
      </c>
    </row>
    <row r="3070" ht="20.25" customHeight="1">
      <c r="A3070" s="32" t="str">
        <f>IMAGE("https://gymvisual.com/22608-catalog_default/pvc-good-morning.jpg",4,500,500)</f>
        <v/>
      </c>
      <c r="B3070" s="30">
        <v>3069.0</v>
      </c>
      <c r="C3070" s="16" t="s">
        <v>3899</v>
      </c>
      <c r="D3070" s="16" t="s">
        <v>184</v>
      </c>
      <c r="E3070" s="16" t="s">
        <v>185</v>
      </c>
      <c r="F3070" s="16" t="s">
        <v>727</v>
      </c>
      <c r="G3070" s="16" t="s">
        <v>188</v>
      </c>
      <c r="H3070" s="16" t="s">
        <v>857</v>
      </c>
    </row>
    <row r="3071" ht="20.25" customHeight="1">
      <c r="A3071" s="32" t="str">
        <f>IMAGE("https://gymvisual.com/22612-catalog_default/pvc-hip-hinge.jpg",4,500,500)</f>
        <v/>
      </c>
      <c r="B3071" s="30">
        <v>3070.0</v>
      </c>
      <c r="C3071" s="16" t="s">
        <v>3900</v>
      </c>
      <c r="D3071" s="16" t="s">
        <v>184</v>
      </c>
      <c r="E3071" s="16" t="s">
        <v>185</v>
      </c>
      <c r="F3071" s="16" t="s">
        <v>727</v>
      </c>
      <c r="G3071" s="16" t="s">
        <v>187</v>
      </c>
      <c r="H3071" s="16" t="s">
        <v>188</v>
      </c>
    </row>
    <row r="3072" ht="20.25" customHeight="1">
      <c r="A3072" s="32" t="str">
        <f>IMAGE("https://gymvisual.com/23621-catalog_default/pvc-overhead-squat.jpg",4,500,500)</f>
        <v/>
      </c>
      <c r="B3072" s="30">
        <v>3071.0</v>
      </c>
      <c r="C3072" s="16" t="s">
        <v>3901</v>
      </c>
      <c r="D3072" s="16" t="s">
        <v>184</v>
      </c>
      <c r="E3072" s="16" t="s">
        <v>285</v>
      </c>
      <c r="F3072" s="16" t="s">
        <v>255</v>
      </c>
      <c r="G3072" s="16" t="s">
        <v>189</v>
      </c>
      <c r="H3072" s="16" t="s">
        <v>190</v>
      </c>
    </row>
    <row r="3073" ht="20.25" customHeight="1">
      <c r="A3073" s="32" t="str">
        <f>IMAGE("https://gymvisual.com/23623-catalog_default/pvc-pass-through.jpg",4,500,500)</f>
        <v/>
      </c>
      <c r="B3073" s="30">
        <v>3072.0</v>
      </c>
      <c r="C3073" s="16" t="s">
        <v>3902</v>
      </c>
      <c r="D3073" s="16" t="s">
        <v>184</v>
      </c>
      <c r="E3073" s="16" t="s">
        <v>228</v>
      </c>
      <c r="F3073" s="16" t="s">
        <v>255</v>
      </c>
      <c r="G3073" s="16" t="s">
        <v>333</v>
      </c>
      <c r="H3073" s="16" t="s">
        <v>3903</v>
      </c>
    </row>
    <row r="3074" ht="20.25" customHeight="1">
      <c r="A3074" s="32" t="str">
        <f>IMAGE("https://gymvisual.com/22823-catalog_default/quadruped-leg-curl.jpg",4,500,500)</f>
        <v/>
      </c>
      <c r="B3074" s="30">
        <v>3073.0</v>
      </c>
      <c r="C3074" s="16" t="s">
        <v>3904</v>
      </c>
      <c r="D3074" s="16" t="s">
        <v>184</v>
      </c>
      <c r="E3074" s="16" t="s">
        <v>285</v>
      </c>
      <c r="F3074" s="16" t="s">
        <v>255</v>
      </c>
      <c r="G3074" s="16" t="s">
        <v>188</v>
      </c>
      <c r="H3074" s="16" t="s">
        <v>665</v>
      </c>
    </row>
    <row r="3075" ht="20.25" customHeight="1">
      <c r="A3075" s="32" t="str">
        <f>IMAGE("https://gymvisual.com/12877-catalog_default/quarter-sit-up.jpg",4,500,500)</f>
        <v/>
      </c>
      <c r="B3075" s="30">
        <v>3074.0</v>
      </c>
      <c r="C3075" s="16" t="s">
        <v>3905</v>
      </c>
      <c r="D3075" s="16" t="s">
        <v>184</v>
      </c>
      <c r="E3075" s="16" t="s">
        <v>254</v>
      </c>
      <c r="F3075" s="16" t="s">
        <v>255</v>
      </c>
      <c r="G3075" s="16" t="s">
        <v>256</v>
      </c>
      <c r="H3075" s="16" t="s">
        <v>257</v>
      </c>
    </row>
    <row r="3076" ht="20.25" customHeight="1">
      <c r="A3076" s="32" t="str">
        <f>IMAGE("https://gymvisual.com/1998-catalog_default/3-4-sit-up.jpg",4,500,500)</f>
        <v/>
      </c>
      <c r="B3076" s="30">
        <v>3075.0</v>
      </c>
      <c r="C3076" s="16" t="s">
        <v>3906</v>
      </c>
      <c r="D3076" s="16" t="s">
        <v>184</v>
      </c>
      <c r="E3076" s="16" t="s">
        <v>234</v>
      </c>
      <c r="F3076" s="16" t="s">
        <v>255</v>
      </c>
      <c r="G3076" s="16" t="s">
        <v>347</v>
      </c>
      <c r="H3076" s="16" t="s">
        <v>3907</v>
      </c>
    </row>
    <row r="3077" ht="20.25" customHeight="1">
      <c r="A3077" s="32" t="str">
        <f>IMAGE("https://gymvisual.com/2001-catalog_default/3-4-sit-up.jpg",4,500,500)</f>
        <v/>
      </c>
      <c r="B3077" s="30">
        <v>3076.0</v>
      </c>
      <c r="C3077" s="16" t="s">
        <v>3908</v>
      </c>
      <c r="D3077" s="16" t="s">
        <v>184</v>
      </c>
      <c r="E3077" s="16" t="s">
        <v>234</v>
      </c>
      <c r="F3077" s="16" t="s">
        <v>255</v>
      </c>
      <c r="G3077" s="16" t="s">
        <v>347</v>
      </c>
      <c r="H3077" s="16" t="s">
        <v>3909</v>
      </c>
    </row>
    <row r="3078" ht="20.25" customHeight="1">
      <c r="A3078" s="32" t="str">
        <f>IMAGE("https://gymvisual.com/25118-catalog_default/3-4-sit-up.jpg",4,500,500)</f>
        <v/>
      </c>
      <c r="B3078" s="30">
        <v>3077.0</v>
      </c>
      <c r="C3078" s="16" t="s">
        <v>3910</v>
      </c>
      <c r="D3078" s="16" t="s">
        <v>184</v>
      </c>
      <c r="E3078" s="16" t="s">
        <v>254</v>
      </c>
      <c r="F3078" s="16" t="s">
        <v>255</v>
      </c>
      <c r="G3078" s="16" t="s">
        <v>187</v>
      </c>
      <c r="H3078" s="16" t="s">
        <v>854</v>
      </c>
    </row>
    <row r="3079" ht="20.25" customHeight="1">
      <c r="A3079" s="32" t="str">
        <f>IMAGE("https://gymvisual.com/16530-catalog_default/rear-delt-fly-with-bed-sheet.jpg",4,500,500)</f>
        <v/>
      </c>
      <c r="B3079" s="30">
        <v>3078.0</v>
      </c>
      <c r="C3079" s="16" t="s">
        <v>3911</v>
      </c>
      <c r="D3079" s="16" t="s">
        <v>184</v>
      </c>
      <c r="E3079" s="16" t="s">
        <v>228</v>
      </c>
      <c r="F3079" s="16" t="s">
        <v>255</v>
      </c>
      <c r="G3079" s="16" t="s">
        <v>408</v>
      </c>
      <c r="H3079" s="16" t="s">
        <v>452</v>
      </c>
    </row>
    <row r="3080" ht="20.25" customHeight="1">
      <c r="A3080" s="32" t="str">
        <f>IMAGE("https://gymvisual.com/16534-catalog_default/rear-delt-row-with-bed-sheet.jpg",4,500,500)</f>
        <v/>
      </c>
      <c r="B3080" s="30">
        <v>3079.0</v>
      </c>
      <c r="C3080" s="16" t="s">
        <v>3912</v>
      </c>
      <c r="D3080" s="16" t="s">
        <v>184</v>
      </c>
      <c r="E3080" s="16" t="s">
        <v>192</v>
      </c>
      <c r="F3080" s="16" t="s">
        <v>255</v>
      </c>
      <c r="G3080" s="16" t="s">
        <v>329</v>
      </c>
      <c r="H3080" s="16" t="s">
        <v>447</v>
      </c>
    </row>
    <row r="3081" ht="20.25" customHeight="1">
      <c r="A3081" s="32" t="str">
        <f>IMAGE("https://gymvisual.com/20986-catalog_default/rear-lunge-from-deficit.jpg",4,500,500)</f>
        <v/>
      </c>
      <c r="B3081" s="30">
        <v>3080.0</v>
      </c>
      <c r="C3081" s="16" t="s">
        <v>3913</v>
      </c>
      <c r="D3081" s="16" t="s">
        <v>184</v>
      </c>
      <c r="E3081" s="16" t="s">
        <v>294</v>
      </c>
      <c r="F3081" s="16" t="s">
        <v>255</v>
      </c>
      <c r="G3081" s="16" t="s">
        <v>189</v>
      </c>
      <c r="H3081" s="16" t="s">
        <v>190</v>
      </c>
    </row>
    <row r="3082" ht="20.25" customHeight="1">
      <c r="A3082" s="32" t="str">
        <f>IMAGE("https://gymvisual.com/12198-catalog_default/rear-lunge-with-battling-ropes.jpg",4,500,500)</f>
        <v/>
      </c>
      <c r="B3082" s="30">
        <v>3081.0</v>
      </c>
      <c r="C3082" s="16" t="s">
        <v>3914</v>
      </c>
      <c r="D3082" s="16" t="s">
        <v>184</v>
      </c>
      <c r="E3082" s="16" t="s">
        <v>321</v>
      </c>
      <c r="F3082" s="16" t="s">
        <v>1160</v>
      </c>
      <c r="G3082" s="16" t="s">
        <v>220</v>
      </c>
      <c r="H3082" s="16" t="s">
        <v>220</v>
      </c>
    </row>
    <row r="3083" ht="20.25" customHeight="1">
      <c r="A3083" s="32" t="str">
        <f>IMAGE("https://gymvisual.com/2010-catalog_default/3-4-sit-up.jpg",4,500,500)</f>
        <v/>
      </c>
      <c r="B3083" s="30">
        <v>3082.0</v>
      </c>
      <c r="C3083" s="16" t="s">
        <v>3915</v>
      </c>
      <c r="D3083" s="16" t="s">
        <v>184</v>
      </c>
      <c r="E3083" s="16" t="s">
        <v>192</v>
      </c>
      <c r="F3083" s="16" t="s">
        <v>255</v>
      </c>
      <c r="G3083" s="16" t="s">
        <v>300</v>
      </c>
      <c r="H3083" s="16" t="s">
        <v>3916</v>
      </c>
    </row>
    <row r="3084" ht="20.25" customHeight="1">
      <c r="A3084" s="32" t="str">
        <f>IMAGE("https://gymvisual.com/24770-catalog_default/rear-shift-lunge-from-deficit.jpg",4,500,500)</f>
        <v/>
      </c>
      <c r="B3084" s="30">
        <v>3083.0</v>
      </c>
      <c r="C3084" s="16" t="s">
        <v>3917</v>
      </c>
      <c r="D3084" s="16" t="s">
        <v>184</v>
      </c>
      <c r="E3084" s="16" t="s">
        <v>285</v>
      </c>
      <c r="F3084" s="16" t="s">
        <v>255</v>
      </c>
      <c r="G3084" s="16" t="s">
        <v>220</v>
      </c>
      <c r="H3084" s="16" t="s">
        <v>220</v>
      </c>
    </row>
    <row r="3085" ht="20.25" customHeight="1">
      <c r="A3085" s="32" t="str">
        <f>IMAGE("https://gymvisual.com/17749-catalog_default/resistance-band-45-degrees-hyperextension.jpg",4,500,500)</f>
        <v/>
      </c>
      <c r="B3085" s="30">
        <v>3084.0</v>
      </c>
      <c r="C3085" s="16" t="s">
        <v>3918</v>
      </c>
      <c r="D3085" s="16" t="s">
        <v>184</v>
      </c>
      <c r="E3085" s="16" t="s">
        <v>185</v>
      </c>
      <c r="F3085" s="16" t="s">
        <v>523</v>
      </c>
      <c r="G3085" s="16" t="s">
        <v>220</v>
      </c>
      <c r="H3085" s="16" t="s">
        <v>220</v>
      </c>
    </row>
    <row r="3086" ht="20.25" customHeight="1">
      <c r="A3086" s="32" t="str">
        <f>IMAGE("https://gymvisual.com/17919-catalog_default/resistance-band-adduction-split-squat-male.jpg",4,500,500)</f>
        <v/>
      </c>
      <c r="B3086" s="30">
        <v>3085.0</v>
      </c>
      <c r="C3086" s="16" t="s">
        <v>3919</v>
      </c>
      <c r="D3086" s="16" t="s">
        <v>184</v>
      </c>
      <c r="E3086" s="16" t="s">
        <v>285</v>
      </c>
      <c r="F3086" s="16" t="s">
        <v>523</v>
      </c>
      <c r="G3086" s="16" t="s">
        <v>220</v>
      </c>
      <c r="H3086" s="16" t="s">
        <v>220</v>
      </c>
    </row>
    <row r="3087" ht="20.25" customHeight="1">
      <c r="A3087" s="32" t="str">
        <f>IMAGE("https://gymvisual.com/10503-catalog_default/resistance-band-air-bike.jpg",4,500,500)</f>
        <v/>
      </c>
      <c r="B3087" s="30">
        <v>3086.0</v>
      </c>
      <c r="C3087" s="16" t="s">
        <v>3920</v>
      </c>
      <c r="D3087" s="16" t="s">
        <v>184</v>
      </c>
      <c r="E3087" s="16" t="s">
        <v>254</v>
      </c>
      <c r="F3087" s="16" t="s">
        <v>523</v>
      </c>
      <c r="G3087" s="16" t="s">
        <v>1328</v>
      </c>
      <c r="H3087" s="16" t="s">
        <v>3921</v>
      </c>
    </row>
    <row r="3088" ht="20.25" customHeight="1">
      <c r="A3088" s="32" t="str">
        <f>IMAGE("https://gymvisual.com/17731-catalog_default/resistance-band-anti-rotation-dead-bug.jpg",4,500,500)</f>
        <v/>
      </c>
      <c r="B3088" s="30">
        <v>3087.0</v>
      </c>
      <c r="C3088" s="16" t="s">
        <v>3922</v>
      </c>
      <c r="D3088" s="16" t="s">
        <v>184</v>
      </c>
      <c r="E3088" s="16" t="s">
        <v>254</v>
      </c>
      <c r="F3088" s="16" t="s">
        <v>523</v>
      </c>
      <c r="G3088" s="16" t="s">
        <v>220</v>
      </c>
      <c r="H3088" s="16" t="s">
        <v>220</v>
      </c>
    </row>
    <row r="3089" ht="20.25" customHeight="1">
      <c r="A3089" s="32" t="str">
        <f>IMAGE("https://gymvisual.com/18043-catalog_default/resistance-band-assisted-nordic-hamstring-curl.jpg",4,500,500)</f>
        <v/>
      </c>
      <c r="B3089" s="30">
        <v>3088.0</v>
      </c>
      <c r="C3089" s="16" t="s">
        <v>3923</v>
      </c>
      <c r="D3089" s="16" t="s">
        <v>184</v>
      </c>
      <c r="E3089" s="16" t="s">
        <v>285</v>
      </c>
      <c r="F3089" s="16" t="s">
        <v>523</v>
      </c>
      <c r="G3089" s="16" t="s">
        <v>220</v>
      </c>
      <c r="H3089" s="16" t="s">
        <v>220</v>
      </c>
    </row>
    <row r="3090" ht="20.25" customHeight="1">
      <c r="A3090" s="32" t="str">
        <f>IMAGE("https://gymvisual.com/8785-catalog_default/resistance-band-bent-leg-kickback-kneeling.jpg",4,500,500)</f>
        <v/>
      </c>
      <c r="B3090" s="30">
        <v>3089.0</v>
      </c>
      <c r="C3090" s="16" t="s">
        <v>3924</v>
      </c>
      <c r="D3090" s="16" t="s">
        <v>184</v>
      </c>
      <c r="E3090" s="16" t="s">
        <v>185</v>
      </c>
      <c r="F3090" s="16" t="s">
        <v>523</v>
      </c>
      <c r="G3090" s="16" t="s">
        <v>187</v>
      </c>
      <c r="H3090" s="16" t="s">
        <v>188</v>
      </c>
    </row>
    <row r="3091" ht="20.25" customHeight="1">
      <c r="A3091" s="32" t="str">
        <f>IMAGE("https://gymvisual.com/10501-catalog_default/resistance-band-bent-leg-side-kick-kneeling.jpg",4,500,500)</f>
        <v/>
      </c>
      <c r="B3091" s="30">
        <v>3090.0</v>
      </c>
      <c r="C3091" s="16" t="s">
        <v>3925</v>
      </c>
      <c r="D3091" s="16" t="s">
        <v>184</v>
      </c>
      <c r="E3091" s="16" t="s">
        <v>185</v>
      </c>
      <c r="F3091" s="16" t="s">
        <v>523</v>
      </c>
      <c r="G3091" s="16" t="s">
        <v>475</v>
      </c>
      <c r="H3091" s="16" t="s">
        <v>1206</v>
      </c>
    </row>
    <row r="3092" ht="20.25" customHeight="1">
      <c r="A3092" s="32" t="str">
        <f>IMAGE("https://gymvisual.com/19229-catalog_default/resistance-band-bent-over-neutral-grip-row.jpg",4,500,500)</f>
        <v/>
      </c>
      <c r="B3092" s="30">
        <v>3091.0</v>
      </c>
      <c r="C3092" s="16" t="s">
        <v>3926</v>
      </c>
      <c r="D3092" s="16" t="s">
        <v>184</v>
      </c>
      <c r="E3092" s="16" t="s">
        <v>192</v>
      </c>
      <c r="F3092" s="16" t="s">
        <v>523</v>
      </c>
      <c r="G3092" s="16" t="s">
        <v>329</v>
      </c>
      <c r="H3092" s="16" t="s">
        <v>357</v>
      </c>
    </row>
    <row r="3093" ht="20.25" customHeight="1">
      <c r="A3093" s="32" t="str">
        <f>IMAGE("https://gymvisual.com/17929-catalog_default/resistance-band-bent-over-rear-delt-fly-male.jpg",4,500,500)</f>
        <v/>
      </c>
      <c r="B3093" s="30">
        <v>3092.0</v>
      </c>
      <c r="C3093" s="16" t="s">
        <v>3927</v>
      </c>
      <c r="D3093" s="16" t="s">
        <v>184</v>
      </c>
      <c r="E3093" s="16" t="s">
        <v>228</v>
      </c>
      <c r="F3093" s="16" t="s">
        <v>523</v>
      </c>
      <c r="G3093" s="16" t="s">
        <v>220</v>
      </c>
      <c r="H3093" s="16" t="s">
        <v>220</v>
      </c>
    </row>
    <row r="3094" ht="20.25" customHeight="1">
      <c r="A3094" s="32" t="str">
        <f>IMAGE("https://gymvisual.com/17715-catalog_default/resistance-band-bent-over-row.jpg",4,500,500)</f>
        <v/>
      </c>
      <c r="B3094" s="30">
        <v>3093.0</v>
      </c>
      <c r="C3094" s="16" t="s">
        <v>3928</v>
      </c>
      <c r="D3094" s="16" t="s">
        <v>184</v>
      </c>
      <c r="E3094" s="16" t="s">
        <v>192</v>
      </c>
      <c r="F3094" s="16" t="s">
        <v>523</v>
      </c>
      <c r="G3094" s="16" t="s">
        <v>220</v>
      </c>
      <c r="H3094" s="16" t="s">
        <v>220</v>
      </c>
    </row>
    <row r="3095" ht="20.25" customHeight="1">
      <c r="A3095" s="32" t="str">
        <f>IMAGE("https://gymvisual.com/14032-catalog_default/resistance-band-bird-dog.jpg",4,500,500)</f>
        <v/>
      </c>
      <c r="B3095" s="30">
        <v>3094.0</v>
      </c>
      <c r="C3095" s="16" t="s">
        <v>3929</v>
      </c>
      <c r="D3095" s="16" t="s">
        <v>184</v>
      </c>
      <c r="E3095" s="16" t="s">
        <v>185</v>
      </c>
      <c r="F3095" s="16" t="s">
        <v>523</v>
      </c>
      <c r="G3095" s="16" t="s">
        <v>267</v>
      </c>
      <c r="H3095" s="16" t="s">
        <v>220</v>
      </c>
    </row>
    <row r="3096" ht="20.25" customHeight="1">
      <c r="A3096" s="32" t="str">
        <f>IMAGE("https://gymvisual.com/17713-catalog_default/resistance-band-cable-squat.jpg",4,500,500)</f>
        <v/>
      </c>
      <c r="B3096" s="30">
        <v>3095.0</v>
      </c>
      <c r="C3096" s="16" t="s">
        <v>3930</v>
      </c>
      <c r="D3096" s="16" t="s">
        <v>184</v>
      </c>
      <c r="E3096" s="16" t="s">
        <v>285</v>
      </c>
      <c r="F3096" s="16" t="s">
        <v>215</v>
      </c>
      <c r="G3096" s="16" t="s">
        <v>220</v>
      </c>
      <c r="H3096" s="16" t="s">
        <v>220</v>
      </c>
    </row>
    <row r="3097" ht="20.25" customHeight="1">
      <c r="A3097" s="32" t="str">
        <f>IMAGE("https://gymvisual.com/10508-catalog_default/resistance-band-calf-raise.jpg",4,500,500)</f>
        <v/>
      </c>
      <c r="B3097" s="30">
        <v>3096.0</v>
      </c>
      <c r="C3097" s="16" t="s">
        <v>3931</v>
      </c>
      <c r="D3097" s="16" t="s">
        <v>184</v>
      </c>
      <c r="E3097" s="16" t="s">
        <v>325</v>
      </c>
      <c r="F3097" s="16" t="s">
        <v>523</v>
      </c>
      <c r="G3097" s="16" t="s">
        <v>368</v>
      </c>
      <c r="H3097" s="16" t="s">
        <v>463</v>
      </c>
    </row>
    <row r="3098" ht="20.25" customHeight="1">
      <c r="A3098" s="32" t="str">
        <f>IMAGE("https://gymvisual.com/8786-catalog_default/resistance-band-clam.jpg",4,500,500)</f>
        <v/>
      </c>
      <c r="B3098" s="30">
        <v>3097.0</v>
      </c>
      <c r="C3098" s="16" t="s">
        <v>3932</v>
      </c>
      <c r="D3098" s="16" t="s">
        <v>184</v>
      </c>
      <c r="E3098" s="16" t="s">
        <v>185</v>
      </c>
      <c r="F3098" s="16" t="s">
        <v>523</v>
      </c>
      <c r="G3098" s="16" t="s">
        <v>475</v>
      </c>
      <c r="H3098" s="16" t="s">
        <v>476</v>
      </c>
    </row>
    <row r="3099" ht="20.25" customHeight="1">
      <c r="A3099" s="32" t="str">
        <f>IMAGE("https://gymvisual.com/17673-catalog_default/resistance-band-deadlift-with-single-arm-row.jpg",4,500,500)</f>
        <v/>
      </c>
      <c r="B3099" s="30">
        <v>3098.0</v>
      </c>
      <c r="C3099" s="16" t="s">
        <v>3933</v>
      </c>
      <c r="D3099" s="16" t="s">
        <v>184</v>
      </c>
      <c r="E3099" s="16" t="s">
        <v>192</v>
      </c>
      <c r="F3099" s="16" t="s">
        <v>523</v>
      </c>
      <c r="G3099" s="16" t="s">
        <v>220</v>
      </c>
      <c r="H3099" s="16" t="s">
        <v>220</v>
      </c>
    </row>
    <row r="3100" ht="20.25" customHeight="1">
      <c r="A3100" s="32" t="str">
        <f>IMAGE("https://gymvisual.com/19515-catalog_default/resistance-band-elevated-glute-bridge.jpg",4,500,500)</f>
        <v/>
      </c>
      <c r="B3100" s="30">
        <v>3099.0</v>
      </c>
      <c r="C3100" s="16" t="s">
        <v>3934</v>
      </c>
      <c r="D3100" s="16" t="s">
        <v>184</v>
      </c>
      <c r="E3100" s="16" t="s">
        <v>185</v>
      </c>
      <c r="F3100" s="16" t="s">
        <v>523</v>
      </c>
      <c r="G3100" s="16" t="s">
        <v>220</v>
      </c>
      <c r="H3100" s="16" t="s">
        <v>220</v>
      </c>
    </row>
    <row r="3101" ht="20.25" customHeight="1">
      <c r="A3101" s="32" t="str">
        <f>IMAGE("https://gymvisual.com/8787-catalog_default/resistance-band-external-rotation.jpg",4,500,500)</f>
        <v/>
      </c>
      <c r="B3101" s="30">
        <v>3100.0</v>
      </c>
      <c r="C3101" s="16" t="s">
        <v>3935</v>
      </c>
      <c r="D3101" s="16" t="s">
        <v>184</v>
      </c>
      <c r="E3101" s="16" t="s">
        <v>192</v>
      </c>
      <c r="F3101" s="16" t="s">
        <v>523</v>
      </c>
      <c r="G3101" s="16" t="s">
        <v>2197</v>
      </c>
      <c r="H3101" s="16" t="s">
        <v>1541</v>
      </c>
    </row>
    <row r="3102" ht="20.25" customHeight="1">
      <c r="A3102" s="32" t="str">
        <f>IMAGE("https://gymvisual.com/10506-catalog_default/resistance-band-floor-hyperextension.jpg",4,500,500)</f>
        <v/>
      </c>
      <c r="B3102" s="30">
        <v>3101.0</v>
      </c>
      <c r="C3102" s="16" t="s">
        <v>3936</v>
      </c>
      <c r="D3102" s="16" t="s">
        <v>184</v>
      </c>
      <c r="E3102" s="16" t="s">
        <v>192</v>
      </c>
      <c r="F3102" s="16" t="s">
        <v>523</v>
      </c>
      <c r="G3102" s="16" t="s">
        <v>275</v>
      </c>
      <c r="H3102" s="16" t="s">
        <v>2412</v>
      </c>
    </row>
    <row r="3103" ht="20.25" customHeight="1">
      <c r="A3103" s="32" t="str">
        <f>IMAGE("https://gymvisual.com/12513-catalog_default/resistance-band-foot-eversion.jpg",4,500,500)</f>
        <v/>
      </c>
      <c r="B3103" s="30">
        <v>3102.0</v>
      </c>
      <c r="C3103" s="16" t="s">
        <v>3937</v>
      </c>
      <c r="D3103" s="16" t="s">
        <v>184</v>
      </c>
      <c r="E3103" s="16" t="s">
        <v>325</v>
      </c>
      <c r="F3103" s="16" t="s">
        <v>523</v>
      </c>
      <c r="G3103" s="16" t="s">
        <v>220</v>
      </c>
      <c r="H3103" s="16" t="s">
        <v>220</v>
      </c>
    </row>
    <row r="3104" ht="20.25" customHeight="1">
      <c r="A3104" s="32" t="str">
        <f>IMAGE("https://gymvisual.com/12511-catalog_default/resistance-band-foot-external-rotation.jpg",4,500,500)</f>
        <v/>
      </c>
      <c r="B3104" s="30">
        <v>3103.0</v>
      </c>
      <c r="C3104" s="16" t="s">
        <v>3938</v>
      </c>
      <c r="D3104" s="16" t="s">
        <v>184</v>
      </c>
      <c r="E3104" s="16" t="s">
        <v>325</v>
      </c>
      <c r="F3104" s="16" t="s">
        <v>523</v>
      </c>
      <c r="G3104" s="16" t="s">
        <v>220</v>
      </c>
      <c r="H3104" s="16" t="s">
        <v>220</v>
      </c>
    </row>
    <row r="3105" ht="20.25" customHeight="1">
      <c r="A3105" s="32" t="str">
        <f>IMAGE("https://gymvisual.com/12514-catalog_default/resistance-band-foot-inversion.jpg",4,500,500)</f>
        <v/>
      </c>
      <c r="B3105" s="30">
        <v>3104.0</v>
      </c>
      <c r="C3105" s="16" t="s">
        <v>3939</v>
      </c>
      <c r="D3105" s="16" t="s">
        <v>184</v>
      </c>
      <c r="E3105" s="16" t="s">
        <v>325</v>
      </c>
      <c r="F3105" s="16" t="s">
        <v>523</v>
      </c>
      <c r="G3105" s="16" t="s">
        <v>220</v>
      </c>
      <c r="H3105" s="16" t="s">
        <v>220</v>
      </c>
    </row>
    <row r="3106" ht="20.25" customHeight="1">
      <c r="A3106" s="32" t="str">
        <f>IMAGE("https://gymvisual.com/12512-catalog_default/resistance-band-foot-plantar-flexion.jpg",4,500,500)</f>
        <v/>
      </c>
      <c r="B3106" s="30">
        <v>3105.0</v>
      </c>
      <c r="C3106" s="16" t="s">
        <v>3940</v>
      </c>
      <c r="D3106" s="16" t="s">
        <v>184</v>
      </c>
      <c r="E3106" s="16" t="s">
        <v>325</v>
      </c>
      <c r="F3106" s="16" t="s">
        <v>523</v>
      </c>
      <c r="G3106" s="16" t="s">
        <v>220</v>
      </c>
      <c r="H3106" s="16" t="s">
        <v>220</v>
      </c>
    </row>
    <row r="3107" ht="20.25" customHeight="1">
      <c r="A3107" s="32" t="str">
        <f>IMAGE("https://gymvisual.com/8788-catalog_default/resistance-band-front-plank-with-kicked-leg.jpg",4,500,500)</f>
        <v/>
      </c>
      <c r="B3107" s="30">
        <v>3106.0</v>
      </c>
      <c r="C3107" s="16" t="s">
        <v>3941</v>
      </c>
      <c r="D3107" s="16" t="s">
        <v>184</v>
      </c>
      <c r="E3107" s="16" t="s">
        <v>310</v>
      </c>
      <c r="F3107" s="16" t="s">
        <v>523</v>
      </c>
      <c r="G3107" s="16" t="s">
        <v>3942</v>
      </c>
      <c r="H3107" s="16" t="s">
        <v>3943</v>
      </c>
    </row>
    <row r="3108" ht="20.25" customHeight="1">
      <c r="A3108" s="32" t="str">
        <f>IMAGE("https://gymvisual.com/17681-catalog_default/resistance-band-front-plank-with-single-arm-pulldown.jpg",4,500,500)</f>
        <v/>
      </c>
      <c r="B3108" s="30">
        <v>3107.0</v>
      </c>
      <c r="C3108" s="16" t="s">
        <v>3944</v>
      </c>
      <c r="D3108" s="16" t="s">
        <v>184</v>
      </c>
      <c r="E3108" s="16" t="s">
        <v>192</v>
      </c>
      <c r="F3108" s="16" t="s">
        <v>523</v>
      </c>
      <c r="G3108" s="16" t="s">
        <v>220</v>
      </c>
      <c r="H3108" s="16" t="s">
        <v>220</v>
      </c>
    </row>
    <row r="3109" ht="20.25" customHeight="1">
      <c r="A3109" s="32" t="str">
        <f>IMAGE("https://gymvisual.com/8789-catalog_default/resistance-band-full-squat.jpg",4,500,500)</f>
        <v/>
      </c>
      <c r="B3109" s="30">
        <v>3108.0</v>
      </c>
      <c r="C3109" s="16" t="s">
        <v>3945</v>
      </c>
      <c r="D3109" s="16" t="s">
        <v>184</v>
      </c>
      <c r="E3109" s="16" t="s">
        <v>294</v>
      </c>
      <c r="F3109" s="16" t="s">
        <v>3946</v>
      </c>
      <c r="G3109" s="16" t="s">
        <v>189</v>
      </c>
      <c r="H3109" s="16" t="s">
        <v>190</v>
      </c>
    </row>
    <row r="3110" ht="20.25" customHeight="1">
      <c r="A3110" s="32" t="str">
        <f>IMAGE("https://gymvisual.com/8790-catalog_default/resistance-band-glute-bridge.jpg",4,500,500)</f>
        <v/>
      </c>
      <c r="B3110" s="30">
        <v>3109.0</v>
      </c>
      <c r="C3110" s="16" t="s">
        <v>3947</v>
      </c>
      <c r="D3110" s="16" t="s">
        <v>184</v>
      </c>
      <c r="E3110" s="16" t="s">
        <v>185</v>
      </c>
      <c r="F3110" s="16" t="s">
        <v>523</v>
      </c>
      <c r="G3110" s="16" t="s">
        <v>187</v>
      </c>
      <c r="H3110" s="16" t="s">
        <v>854</v>
      </c>
    </row>
    <row r="3111" ht="20.25" customHeight="1">
      <c r="A3111" s="32" t="str">
        <f>IMAGE("https://gymvisual.com/11224-catalog_default/resistance-band-glute-bridge-female.jpg",4,500,500)</f>
        <v/>
      </c>
      <c r="B3111" s="30">
        <v>3110.0</v>
      </c>
      <c r="C3111" s="16" t="s">
        <v>3948</v>
      </c>
      <c r="D3111" s="16" t="s">
        <v>184</v>
      </c>
      <c r="E3111" s="16" t="s">
        <v>185</v>
      </c>
      <c r="F3111" s="16" t="s">
        <v>523</v>
      </c>
      <c r="G3111" s="16" t="s">
        <v>220</v>
      </c>
      <c r="H3111" s="16" t="s">
        <v>220</v>
      </c>
    </row>
    <row r="3112" ht="20.25" customHeight="1">
      <c r="A3112" s="32" t="str">
        <f>IMAGE("https://gymvisual.com/18025-catalog_default/resistance-band-half-kneeling-face-pull.jpg",4,500,500)</f>
        <v/>
      </c>
      <c r="B3112" s="30">
        <v>3111.0</v>
      </c>
      <c r="C3112" s="16" t="s">
        <v>3949</v>
      </c>
      <c r="D3112" s="16" t="s">
        <v>184</v>
      </c>
      <c r="E3112" s="16" t="s">
        <v>228</v>
      </c>
      <c r="F3112" s="16" t="s">
        <v>523</v>
      </c>
      <c r="G3112" s="16" t="s">
        <v>408</v>
      </c>
      <c r="H3112" s="16" t="s">
        <v>3950</v>
      </c>
    </row>
    <row r="3113" ht="20.25" customHeight="1">
      <c r="A3113" s="32" t="str">
        <f>IMAGE("https://gymvisual.com/19727-catalog_default/resistance-band-hammer-curl.jpg",4,500,500)</f>
        <v/>
      </c>
      <c r="B3113" s="30">
        <v>3112.0</v>
      </c>
      <c r="C3113" s="16" t="s">
        <v>3951</v>
      </c>
      <c r="D3113" s="16" t="s">
        <v>184</v>
      </c>
      <c r="E3113" s="16" t="s">
        <v>214</v>
      </c>
      <c r="F3113" s="16" t="s">
        <v>523</v>
      </c>
      <c r="G3113" s="16" t="s">
        <v>216</v>
      </c>
      <c r="H3113" s="16" t="s">
        <v>217</v>
      </c>
    </row>
    <row r="3114" ht="20.25" customHeight="1">
      <c r="A3114" s="32" t="str">
        <f>IMAGE("https://gymvisual.com/11837-catalog_default/resistance-band-hip-thrust.jpg",4,500,500)</f>
        <v/>
      </c>
      <c r="B3114" s="30">
        <v>3113.0</v>
      </c>
      <c r="C3114" s="16" t="s">
        <v>3952</v>
      </c>
      <c r="D3114" s="16" t="s">
        <v>184</v>
      </c>
      <c r="E3114" s="16" t="s">
        <v>185</v>
      </c>
      <c r="F3114" s="16" t="s">
        <v>523</v>
      </c>
      <c r="G3114" s="16" t="s">
        <v>187</v>
      </c>
      <c r="H3114" s="16" t="s">
        <v>188</v>
      </c>
    </row>
    <row r="3115" ht="20.25" customHeight="1">
      <c r="A3115" s="32" t="str">
        <f>IMAGE("https://gymvisual.com/17833-catalog_default/resistance-band-hip-thrusts.jpg",4,500,500)</f>
        <v/>
      </c>
      <c r="B3115" s="30">
        <v>3114.0</v>
      </c>
      <c r="C3115" s="16" t="s">
        <v>3953</v>
      </c>
      <c r="D3115" s="16" t="s">
        <v>184</v>
      </c>
      <c r="E3115" s="16" t="s">
        <v>185</v>
      </c>
      <c r="F3115" s="16" t="s">
        <v>523</v>
      </c>
      <c r="G3115" s="16" t="s">
        <v>187</v>
      </c>
      <c r="H3115" s="16" t="s">
        <v>854</v>
      </c>
    </row>
    <row r="3116" ht="20.25" customHeight="1">
      <c r="A3116" s="32" t="str">
        <f>IMAGE("https://gymvisual.com/12988-catalog_default/resistance-band-hip-thrusts-on-knees-female.jpg",4,500,500)</f>
        <v/>
      </c>
      <c r="B3116" s="30">
        <v>3115.0</v>
      </c>
      <c r="C3116" s="16" t="s">
        <v>3954</v>
      </c>
      <c r="D3116" s="16" t="s">
        <v>184</v>
      </c>
      <c r="E3116" s="16" t="s">
        <v>185</v>
      </c>
      <c r="F3116" s="16" t="s">
        <v>523</v>
      </c>
      <c r="G3116" s="16" t="s">
        <v>187</v>
      </c>
      <c r="H3116" s="16" t="s">
        <v>188</v>
      </c>
    </row>
    <row r="3117" ht="20.25" customHeight="1">
      <c r="A3117" s="32" t="str">
        <f>IMAGE("https://gymvisual.com/18095-catalog_default/resistance-band-horizontal-pallof-press.jpg",4,500,500)</f>
        <v/>
      </c>
      <c r="B3117" s="30">
        <v>3116.0</v>
      </c>
      <c r="C3117" s="16" t="s">
        <v>3955</v>
      </c>
      <c r="D3117" s="16" t="s">
        <v>184</v>
      </c>
      <c r="E3117" s="16" t="s">
        <v>254</v>
      </c>
      <c r="F3117" s="16" t="s">
        <v>523</v>
      </c>
      <c r="G3117" s="16" t="s">
        <v>257</v>
      </c>
      <c r="H3117" s="16" t="s">
        <v>220</v>
      </c>
    </row>
    <row r="3118" ht="20.25" customHeight="1">
      <c r="A3118" s="32" t="str">
        <f>IMAGE("https://gymvisual.com/19427-catalog_default/resistance-band-inverted-row.jpg",4,500,500)</f>
        <v/>
      </c>
      <c r="B3118" s="30">
        <v>3117.0</v>
      </c>
      <c r="C3118" s="16" t="s">
        <v>3956</v>
      </c>
      <c r="D3118" s="16" t="s">
        <v>184</v>
      </c>
      <c r="E3118" s="16" t="s">
        <v>192</v>
      </c>
      <c r="F3118" s="16" t="s">
        <v>523</v>
      </c>
      <c r="G3118" s="16" t="s">
        <v>220</v>
      </c>
      <c r="H3118" s="16" t="s">
        <v>220</v>
      </c>
    </row>
    <row r="3119" ht="20.25" customHeight="1">
      <c r="A3119" s="32" t="str">
        <f>IMAGE("https://gymvisual.com/20397-catalog_default/resistance-band-kneeling-ab-crunch.jpg",4,500,500)</f>
        <v/>
      </c>
      <c r="B3119" s="30">
        <v>3118.0</v>
      </c>
      <c r="C3119" s="16" t="s">
        <v>3957</v>
      </c>
      <c r="D3119" s="16" t="s">
        <v>184</v>
      </c>
      <c r="E3119" s="16" t="s">
        <v>254</v>
      </c>
      <c r="F3119" s="16" t="s">
        <v>523</v>
      </c>
      <c r="G3119" s="16" t="s">
        <v>256</v>
      </c>
      <c r="H3119" s="16" t="s">
        <v>257</v>
      </c>
    </row>
    <row r="3120" ht="20.25" customHeight="1">
      <c r="A3120" s="32" t="str">
        <f>IMAGE("https://gymvisual.com/20407-catalog_default/resistance-band-kneeling-ab-crunch-version-2.jpg",4,500,500)</f>
        <v/>
      </c>
      <c r="B3120" s="30">
        <v>3119.0</v>
      </c>
      <c r="C3120" s="16" t="s">
        <v>3958</v>
      </c>
      <c r="D3120" s="16" t="s">
        <v>184</v>
      </c>
      <c r="E3120" s="16" t="s">
        <v>254</v>
      </c>
      <c r="F3120" s="16" t="s">
        <v>523</v>
      </c>
      <c r="G3120" s="16" t="s">
        <v>256</v>
      </c>
      <c r="H3120" s="16" t="s">
        <v>257</v>
      </c>
    </row>
    <row r="3121" ht="20.25" customHeight="1">
      <c r="A3121" s="32" t="str">
        <f>IMAGE("https://gymvisual.com/8791-catalog_default/resistance-band-kneeling-side-plank.jpg",4,500,500)</f>
        <v/>
      </c>
      <c r="B3121" s="30">
        <v>3120.0</v>
      </c>
      <c r="C3121" s="16" t="s">
        <v>3959</v>
      </c>
      <c r="D3121" s="16" t="s">
        <v>184</v>
      </c>
      <c r="E3121" s="16" t="s">
        <v>185</v>
      </c>
      <c r="F3121" s="16" t="s">
        <v>523</v>
      </c>
      <c r="G3121" s="16" t="s">
        <v>475</v>
      </c>
      <c r="H3121" s="16" t="s">
        <v>1206</v>
      </c>
    </row>
    <row r="3122" ht="20.25" customHeight="1">
      <c r="A3122" s="32" t="str">
        <f>IMAGE("https://gymvisual.com/20409-catalog_default/resistance-band-kneeling-woodchop.jpg",4,500,500)</f>
        <v/>
      </c>
      <c r="B3122" s="30">
        <v>3121.0</v>
      </c>
      <c r="C3122" s="16" t="s">
        <v>3960</v>
      </c>
      <c r="D3122" s="16" t="s">
        <v>184</v>
      </c>
      <c r="E3122" s="16" t="s">
        <v>254</v>
      </c>
      <c r="F3122" s="16" t="s">
        <v>523</v>
      </c>
      <c r="G3122" s="16" t="s">
        <v>1697</v>
      </c>
      <c r="H3122" s="16" t="s">
        <v>3961</v>
      </c>
    </row>
    <row r="3123" ht="20.25" customHeight="1">
      <c r="A3123" s="32" t="str">
        <f>IMAGE("https://gymvisual.com/10505-catalog_default/resistance-band-leg-curl.jpg",4,500,500)</f>
        <v/>
      </c>
      <c r="B3123" s="30">
        <v>3122.0</v>
      </c>
      <c r="C3123" s="16" t="s">
        <v>3962</v>
      </c>
      <c r="D3123" s="16" t="s">
        <v>184</v>
      </c>
      <c r="E3123" s="16" t="s">
        <v>285</v>
      </c>
      <c r="F3123" s="16" t="s">
        <v>523</v>
      </c>
      <c r="G3123" s="16" t="s">
        <v>188</v>
      </c>
      <c r="H3123" s="16" t="s">
        <v>552</v>
      </c>
    </row>
    <row r="3124" ht="20.25" customHeight="1">
      <c r="A3124" s="32" t="str">
        <f>IMAGE("https://gymvisual.com/17519-catalog_default/resistance-band-leg-curl-male.jpg",4,500,500)</f>
        <v/>
      </c>
      <c r="B3124" s="30">
        <v>3123.0</v>
      </c>
      <c r="C3124" s="16" t="s">
        <v>3963</v>
      </c>
      <c r="D3124" s="16" t="s">
        <v>184</v>
      </c>
      <c r="E3124" s="16" t="s">
        <v>285</v>
      </c>
      <c r="F3124" s="16" t="s">
        <v>523</v>
      </c>
      <c r="G3124" s="16" t="s">
        <v>188</v>
      </c>
      <c r="H3124" s="16" t="s">
        <v>561</v>
      </c>
    </row>
    <row r="3125" ht="20.25" customHeight="1">
      <c r="A3125" s="32" t="str">
        <f>IMAGE("https://gymvisual.com/12468-catalog_default/resistance-band-leg-extension.jpg",4,500,500)</f>
        <v/>
      </c>
      <c r="B3125" s="30">
        <v>3124.0</v>
      </c>
      <c r="C3125" s="16" t="s">
        <v>3964</v>
      </c>
      <c r="D3125" s="16" t="s">
        <v>184</v>
      </c>
      <c r="E3125" s="16" t="s">
        <v>285</v>
      </c>
      <c r="F3125" s="16" t="s">
        <v>523</v>
      </c>
      <c r="G3125" s="16" t="s">
        <v>552</v>
      </c>
      <c r="H3125" s="16" t="s">
        <v>3965</v>
      </c>
    </row>
    <row r="3126" ht="20.25" customHeight="1">
      <c r="A3126" s="32" t="str">
        <f>IMAGE("https://gymvisual.com/12471-catalog_default/resistance-band-leg-extension-female.jpg",4,500,500)</f>
        <v/>
      </c>
      <c r="B3126" s="30">
        <v>3125.0</v>
      </c>
      <c r="C3126" s="16" t="s">
        <v>3966</v>
      </c>
      <c r="D3126" s="16" t="s">
        <v>184</v>
      </c>
      <c r="E3126" s="16" t="s">
        <v>285</v>
      </c>
      <c r="F3126" s="16" t="s">
        <v>523</v>
      </c>
      <c r="G3126" s="16" t="s">
        <v>552</v>
      </c>
      <c r="H3126" s="16" t="s">
        <v>3965</v>
      </c>
    </row>
    <row r="3127" ht="20.25" customHeight="1">
      <c r="A3127" s="32" t="str">
        <f>IMAGE("https://gymvisual.com/8792-catalog_default/resistance-band-leg-kickback.jpg",4,500,500)</f>
        <v/>
      </c>
      <c r="B3127" s="30">
        <v>3126.0</v>
      </c>
      <c r="C3127" s="16" t="s">
        <v>3967</v>
      </c>
      <c r="D3127" s="16" t="s">
        <v>184</v>
      </c>
      <c r="E3127" s="16" t="s">
        <v>185</v>
      </c>
      <c r="F3127" s="16" t="s">
        <v>523</v>
      </c>
      <c r="G3127" s="16" t="s">
        <v>187</v>
      </c>
      <c r="H3127" s="16" t="s">
        <v>188</v>
      </c>
    </row>
    <row r="3128" ht="20.25" customHeight="1">
      <c r="A3128" s="32" t="str">
        <f>IMAGE("https://gymvisual.com/10502-catalog_default/resistance-band-leg-lift.jpg",4,500,500)</f>
        <v/>
      </c>
      <c r="B3128" s="30">
        <v>3127.0</v>
      </c>
      <c r="C3128" s="16" t="s">
        <v>3968</v>
      </c>
      <c r="D3128" s="16" t="s">
        <v>184</v>
      </c>
      <c r="E3128" s="16" t="s">
        <v>285</v>
      </c>
      <c r="F3128" s="16" t="s">
        <v>523</v>
      </c>
      <c r="G3128" s="16" t="s">
        <v>552</v>
      </c>
      <c r="H3128" s="16" t="s">
        <v>553</v>
      </c>
    </row>
    <row r="3129" ht="20.25" customHeight="1">
      <c r="A3129" s="32" t="str">
        <f>IMAGE("https://gymvisual.com/10507-catalog_default/resistance-band-lunge.jpg",4,500,500)</f>
        <v/>
      </c>
      <c r="B3129" s="30">
        <v>3128.0</v>
      </c>
      <c r="C3129" s="16" t="s">
        <v>3969</v>
      </c>
      <c r="D3129" s="16" t="s">
        <v>184</v>
      </c>
      <c r="E3129" s="16" t="s">
        <v>285</v>
      </c>
      <c r="F3129" s="16" t="s">
        <v>523</v>
      </c>
      <c r="G3129" s="16" t="s">
        <v>189</v>
      </c>
      <c r="H3129" s="16" t="s">
        <v>190</v>
      </c>
    </row>
    <row r="3130" ht="20.25" customHeight="1">
      <c r="A3130" s="32" t="str">
        <f>IMAGE("https://gymvisual.com/10504-catalog_default/resistance-band-lying-abduction.jpg",4,500,500)</f>
        <v/>
      </c>
      <c r="B3130" s="30">
        <v>3129.0</v>
      </c>
      <c r="C3130" s="16" t="s">
        <v>3970</v>
      </c>
      <c r="D3130" s="16" t="s">
        <v>184</v>
      </c>
      <c r="E3130" s="16" t="s">
        <v>185</v>
      </c>
      <c r="F3130" s="16" t="s">
        <v>523</v>
      </c>
      <c r="G3130" s="16" t="s">
        <v>475</v>
      </c>
      <c r="H3130" s="16" t="s">
        <v>476</v>
      </c>
    </row>
    <row r="3131" ht="20.25" customHeight="1">
      <c r="A3131" s="32" t="str">
        <f>IMAGE("https://gymvisual.com/8793-catalog_default/resistance-band-lying-leg-raise.jpg",4,500,500)</f>
        <v/>
      </c>
      <c r="B3131" s="30">
        <v>3130.0</v>
      </c>
      <c r="C3131" s="16" t="s">
        <v>3971</v>
      </c>
      <c r="D3131" s="16" t="s">
        <v>184</v>
      </c>
      <c r="E3131" s="16" t="s">
        <v>185</v>
      </c>
      <c r="F3131" s="16" t="s">
        <v>523</v>
      </c>
      <c r="G3131" s="16" t="s">
        <v>475</v>
      </c>
      <c r="H3131" s="16" t="s">
        <v>476</v>
      </c>
    </row>
    <row r="3132" ht="20.25" customHeight="1">
      <c r="A3132" s="32" t="str">
        <f>IMAGE("https://gymvisual.com/19227-catalog_default/resistance-band-one-arm-bent-over-row.jpg",4,500,500)</f>
        <v/>
      </c>
      <c r="B3132" s="30">
        <v>3131.0</v>
      </c>
      <c r="C3132" s="16" t="s">
        <v>3972</v>
      </c>
      <c r="D3132" s="16" t="s">
        <v>184</v>
      </c>
      <c r="E3132" s="16" t="s">
        <v>192</v>
      </c>
      <c r="F3132" s="16" t="s">
        <v>523</v>
      </c>
      <c r="G3132" s="16" t="s">
        <v>329</v>
      </c>
      <c r="H3132" s="16" t="s">
        <v>447</v>
      </c>
    </row>
    <row r="3133" ht="20.25" customHeight="1">
      <c r="A3133" s="32" t="str">
        <f>IMAGE("https://gymvisual.com/8795-catalog_default/resistance-band-one-leg-glute-bridge.jpg",4,500,500)</f>
        <v/>
      </c>
      <c r="B3133" s="30">
        <v>3132.0</v>
      </c>
      <c r="C3133" s="16" t="s">
        <v>3973</v>
      </c>
      <c r="D3133" s="16" t="s">
        <v>184</v>
      </c>
      <c r="E3133" s="16" t="s">
        <v>185</v>
      </c>
      <c r="F3133" s="16" t="s">
        <v>523</v>
      </c>
      <c r="G3133" s="16" t="s">
        <v>187</v>
      </c>
      <c r="H3133" s="16" t="s">
        <v>854</v>
      </c>
    </row>
    <row r="3134" ht="20.25" customHeight="1">
      <c r="A3134" s="32" t="str">
        <f>IMAGE("https://gymvisual.com/11227-catalog_default/resistance-band-one-leg-glute-bridge-female.jpg",4,500,500)</f>
        <v/>
      </c>
      <c r="B3134" s="30">
        <v>3133.0</v>
      </c>
      <c r="C3134" s="16" t="s">
        <v>3974</v>
      </c>
      <c r="D3134" s="16" t="s">
        <v>184</v>
      </c>
      <c r="E3134" s="16" t="s">
        <v>185</v>
      </c>
      <c r="F3134" s="16" t="s">
        <v>523</v>
      </c>
      <c r="G3134" s="16" t="s">
        <v>220</v>
      </c>
      <c r="H3134" s="16" t="s">
        <v>220</v>
      </c>
    </row>
    <row r="3135" ht="20.25" customHeight="1">
      <c r="A3135" s="32" t="str">
        <f>IMAGE("https://gymvisual.com/8794-catalog_default/resistance-band-one-leg-glute-bridge-with-straight-leg.jpg",4,500,500)</f>
        <v/>
      </c>
      <c r="B3135" s="30">
        <v>3134.0</v>
      </c>
      <c r="C3135" s="16" t="s">
        <v>3975</v>
      </c>
      <c r="D3135" s="16" t="s">
        <v>184</v>
      </c>
      <c r="E3135" s="16" t="s">
        <v>185</v>
      </c>
      <c r="F3135" s="16" t="s">
        <v>523</v>
      </c>
      <c r="G3135" s="16" t="s">
        <v>187</v>
      </c>
      <c r="H3135" s="16" t="s">
        <v>854</v>
      </c>
    </row>
    <row r="3136" ht="20.25" customHeight="1">
      <c r="A3136" s="32" t="str">
        <f>IMAGE("https://gymvisual.com/8797-catalog_default/resistance-band-one-leg-kickback.jpg",4,500,500)</f>
        <v/>
      </c>
      <c r="B3136" s="30">
        <v>3135.0</v>
      </c>
      <c r="C3136" s="16" t="s">
        <v>3976</v>
      </c>
      <c r="D3136" s="16" t="s">
        <v>184</v>
      </c>
      <c r="E3136" s="16" t="s">
        <v>185</v>
      </c>
      <c r="F3136" s="16" t="s">
        <v>523</v>
      </c>
      <c r="G3136" s="16" t="s">
        <v>187</v>
      </c>
      <c r="H3136" s="16" t="s">
        <v>188</v>
      </c>
    </row>
    <row r="3137" ht="20.25" customHeight="1">
      <c r="A3137" s="32" t="str">
        <f>IMAGE("https://gymvisual.com/8796-catalog_default/resistance-band-one-leg-kickback-bent-position.jpg",4,500,500)</f>
        <v/>
      </c>
      <c r="B3137" s="30">
        <v>3136.0</v>
      </c>
      <c r="C3137" s="16" t="s">
        <v>3977</v>
      </c>
      <c r="D3137" s="16" t="s">
        <v>184</v>
      </c>
      <c r="E3137" s="16" t="s">
        <v>185</v>
      </c>
      <c r="F3137" s="16" t="s">
        <v>523</v>
      </c>
      <c r="G3137" s="16" t="s">
        <v>187</v>
      </c>
      <c r="H3137" s="16" t="s">
        <v>188</v>
      </c>
    </row>
    <row r="3138" ht="20.25" customHeight="1">
      <c r="A3138" s="32" t="str">
        <f>IMAGE("https://gymvisual.com/17150-catalog_default/resistance-band-one-leg-kickback-bent-position-male.jpg",4,500,500)</f>
        <v/>
      </c>
      <c r="B3138" s="30">
        <v>3137.0</v>
      </c>
      <c r="C3138" s="16" t="s">
        <v>3978</v>
      </c>
      <c r="D3138" s="16" t="s">
        <v>184</v>
      </c>
      <c r="E3138" s="16" t="s">
        <v>185</v>
      </c>
      <c r="F3138" s="16" t="s">
        <v>523</v>
      </c>
      <c r="G3138" s="16" t="s">
        <v>187</v>
      </c>
      <c r="H3138" s="16" t="s">
        <v>188</v>
      </c>
    </row>
    <row r="3139" ht="20.25" customHeight="1">
      <c r="A3139" s="32" t="str">
        <f>IMAGE("https://gymvisual.com/20403-catalog_default/resistance-band-overhead-shoulder-press.jpg",4,500,500)</f>
        <v/>
      </c>
      <c r="B3139" s="30">
        <v>3138.0</v>
      </c>
      <c r="C3139" s="16" t="s">
        <v>3979</v>
      </c>
      <c r="D3139" s="16" t="s">
        <v>184</v>
      </c>
      <c r="E3139" s="16" t="s">
        <v>228</v>
      </c>
      <c r="F3139" s="16" t="s">
        <v>523</v>
      </c>
      <c r="G3139" s="16" t="s">
        <v>229</v>
      </c>
      <c r="H3139" s="16" t="s">
        <v>626</v>
      </c>
    </row>
    <row r="3140" ht="20.25" customHeight="1">
      <c r="A3140" s="32" t="str">
        <f>IMAGE("https://gymvisual.com/18015-catalog_default/resistance-band-overhead-squat.jpg",4,500,500)</f>
        <v/>
      </c>
      <c r="B3140" s="30">
        <v>3139.0</v>
      </c>
      <c r="C3140" s="16" t="s">
        <v>3980</v>
      </c>
      <c r="D3140" s="16" t="s">
        <v>184</v>
      </c>
      <c r="E3140" s="16" t="s">
        <v>185</v>
      </c>
      <c r="F3140" s="16" t="s">
        <v>523</v>
      </c>
      <c r="G3140" s="16" t="s">
        <v>220</v>
      </c>
      <c r="H3140" s="16" t="s">
        <v>220</v>
      </c>
    </row>
    <row r="3141" ht="20.25" customHeight="1">
      <c r="A3141" s="32" t="str">
        <f>IMAGE("https://gymvisual.com/8798-catalog_default/resistance-band-plank-march.jpg",4,500,500)</f>
        <v/>
      </c>
      <c r="B3141" s="30">
        <v>3140.0</v>
      </c>
      <c r="C3141" s="16" t="s">
        <v>3981</v>
      </c>
      <c r="D3141" s="16" t="s">
        <v>184</v>
      </c>
      <c r="E3141" s="16" t="s">
        <v>285</v>
      </c>
      <c r="F3141" s="16" t="s">
        <v>523</v>
      </c>
      <c r="G3141" s="16" t="s">
        <v>188</v>
      </c>
      <c r="H3141" s="16" t="s">
        <v>1332</v>
      </c>
    </row>
    <row r="3142" ht="20.25" customHeight="1">
      <c r="A3142" s="32" t="str">
        <f>IMAGE("https://gymvisual.com/11230-catalog_default/resistance-band-plank-march-female.jpg",4,500,500)</f>
        <v/>
      </c>
      <c r="B3142" s="30">
        <v>3141.0</v>
      </c>
      <c r="C3142" s="16" t="s">
        <v>3982</v>
      </c>
      <c r="D3142" s="16" t="s">
        <v>184</v>
      </c>
      <c r="E3142" s="16" t="s">
        <v>185</v>
      </c>
      <c r="F3142" s="16" t="s">
        <v>523</v>
      </c>
      <c r="G3142" s="16" t="s">
        <v>220</v>
      </c>
      <c r="H3142" s="16" t="s">
        <v>220</v>
      </c>
    </row>
    <row r="3143" ht="20.25" customHeight="1">
      <c r="A3143" s="32" t="str">
        <f>IMAGE("https://gymvisual.com/19225-catalog_default/resistance-band-pull-apart.jpg",4,500,500)</f>
        <v/>
      </c>
      <c r="B3143" s="30">
        <v>3142.0</v>
      </c>
      <c r="C3143" s="16" t="s">
        <v>3983</v>
      </c>
      <c r="D3143" s="16" t="s">
        <v>184</v>
      </c>
      <c r="E3143" s="16" t="s">
        <v>228</v>
      </c>
      <c r="F3143" s="16" t="s">
        <v>523</v>
      </c>
      <c r="G3143" s="16" t="s">
        <v>408</v>
      </c>
      <c r="H3143" s="16" t="s">
        <v>731</v>
      </c>
    </row>
    <row r="3144" ht="20.25" customHeight="1">
      <c r="A3144" s="32" t="str">
        <f>IMAGE("https://gymvisual.com/20996-catalog_default/resistance-band-pull-apart-45-degrees.jpg",4,500,500)</f>
        <v/>
      </c>
      <c r="B3144" s="30">
        <v>3143.0</v>
      </c>
      <c r="C3144" s="16" t="s">
        <v>3984</v>
      </c>
      <c r="D3144" s="16" t="s">
        <v>184</v>
      </c>
      <c r="E3144" s="16" t="s">
        <v>228</v>
      </c>
      <c r="F3144" s="16" t="s">
        <v>523</v>
      </c>
      <c r="G3144" s="16" t="s">
        <v>408</v>
      </c>
      <c r="H3144" s="16" t="s">
        <v>731</v>
      </c>
    </row>
    <row r="3145" ht="20.25" customHeight="1">
      <c r="A3145" s="32" t="str">
        <f>IMAGE("https://gymvisual.com/25725-catalog_default/resistance-band-pull-through-female.jpg",4,500,500)</f>
        <v/>
      </c>
      <c r="B3145" s="30">
        <v>3144.0</v>
      </c>
      <c r="C3145" s="16" t="s">
        <v>3985</v>
      </c>
      <c r="D3145" s="16" t="s">
        <v>184</v>
      </c>
      <c r="E3145" s="16" t="s">
        <v>185</v>
      </c>
      <c r="F3145" s="16" t="s">
        <v>523</v>
      </c>
      <c r="G3145" s="16" t="s">
        <v>187</v>
      </c>
      <c r="H3145" s="16" t="s">
        <v>188</v>
      </c>
    </row>
    <row r="3146" ht="20.25" customHeight="1">
      <c r="A3146" s="32" t="str">
        <f>IMAGE("https://gymvisual.com/19493-catalog_default/resistance-band-pullapart-pronated-at-90-degrees.jpg",4,500,500)</f>
        <v/>
      </c>
      <c r="B3146" s="30">
        <v>3145.0</v>
      </c>
      <c r="C3146" s="16" t="s">
        <v>3986</v>
      </c>
      <c r="D3146" s="16" t="s">
        <v>184</v>
      </c>
      <c r="E3146" s="16" t="s">
        <v>228</v>
      </c>
      <c r="F3146" s="16" t="s">
        <v>523</v>
      </c>
      <c r="G3146" s="16" t="s">
        <v>220</v>
      </c>
      <c r="H3146" s="16" t="s">
        <v>220</v>
      </c>
    </row>
    <row r="3147" ht="20.25" customHeight="1">
      <c r="A3147" s="32" t="str">
        <f>IMAGE("https://gymvisual.com/12195-catalog_default/resistance-band-pullapart-supination-at-90-degrees.jpg",4,500,500)</f>
        <v/>
      </c>
      <c r="B3147" s="30">
        <v>3146.0</v>
      </c>
      <c r="C3147" s="16" t="s">
        <v>3987</v>
      </c>
      <c r="D3147" s="16" t="s">
        <v>184</v>
      </c>
      <c r="E3147" s="16" t="s">
        <v>192</v>
      </c>
      <c r="F3147" s="16" t="s">
        <v>523</v>
      </c>
      <c r="G3147" s="16" t="s">
        <v>220</v>
      </c>
      <c r="H3147" s="16" t="s">
        <v>220</v>
      </c>
    </row>
    <row r="3148" ht="20.25" customHeight="1">
      <c r="A3148" s="32" t="str">
        <f>IMAGE("https://gymvisual.com/17695-catalog_default/resistance-band-punch.jpg",4,500,500)</f>
        <v/>
      </c>
      <c r="B3148" s="30">
        <v>3147.0</v>
      </c>
      <c r="C3148" s="16" t="s">
        <v>3988</v>
      </c>
      <c r="D3148" s="16" t="s">
        <v>184</v>
      </c>
      <c r="E3148" s="16" t="s">
        <v>234</v>
      </c>
      <c r="F3148" s="16" t="s">
        <v>523</v>
      </c>
      <c r="G3148" s="16" t="s">
        <v>220</v>
      </c>
      <c r="H3148" s="16" t="s">
        <v>220</v>
      </c>
    </row>
    <row r="3149" ht="20.25" customHeight="1">
      <c r="A3149" s="32" t="str">
        <f>IMAGE("https://gymvisual.com/19231-catalog_default/resistance-band-push-up.jpg",4,500,500)</f>
        <v/>
      </c>
      <c r="B3149" s="30">
        <v>3148.0</v>
      </c>
      <c r="C3149" s="16" t="s">
        <v>3989</v>
      </c>
      <c r="D3149" s="16" t="s">
        <v>184</v>
      </c>
      <c r="E3149" s="16" t="s">
        <v>234</v>
      </c>
      <c r="F3149" s="16" t="s">
        <v>523</v>
      </c>
      <c r="G3149" s="16" t="s">
        <v>235</v>
      </c>
      <c r="H3149" s="16" t="s">
        <v>1907</v>
      </c>
    </row>
    <row r="3150" ht="20.25" customHeight="1">
      <c r="A3150" s="32" t="str">
        <f>IMAGE("https://gymvisual.com/18007-catalog_default/resistance-band-rear-delt-row-male.jpg",4,500,500)</f>
        <v/>
      </c>
      <c r="B3150" s="30">
        <v>3149.0</v>
      </c>
      <c r="C3150" s="16" t="s">
        <v>3990</v>
      </c>
      <c r="D3150" s="16" t="s">
        <v>184</v>
      </c>
      <c r="E3150" s="16" t="s">
        <v>192</v>
      </c>
      <c r="F3150" s="16" t="s">
        <v>523</v>
      </c>
      <c r="G3150" s="16" t="s">
        <v>220</v>
      </c>
      <c r="H3150" s="16" t="s">
        <v>220</v>
      </c>
    </row>
    <row r="3151" ht="20.25" customHeight="1">
      <c r="A3151" s="32" t="str">
        <f>IMAGE("https://gymvisual.com/13211-catalog_default/resistance-band-rear-fly.jpg",4,500,500)</f>
        <v/>
      </c>
      <c r="B3151" s="30">
        <v>3150.0</v>
      </c>
      <c r="C3151" s="16" t="s">
        <v>3991</v>
      </c>
      <c r="D3151" s="16" t="s">
        <v>184</v>
      </c>
      <c r="E3151" s="16" t="s">
        <v>228</v>
      </c>
      <c r="F3151" s="16" t="s">
        <v>523</v>
      </c>
      <c r="G3151" s="16" t="s">
        <v>408</v>
      </c>
      <c r="H3151" s="16" t="s">
        <v>3992</v>
      </c>
    </row>
    <row r="3152" ht="20.25" customHeight="1">
      <c r="A3152" s="32" t="str">
        <f>IMAGE("https://gymvisual.com/8799-catalog_default/resistance-band-reverse-hyperextension.jpg",4,500,500)</f>
        <v/>
      </c>
      <c r="B3152" s="30">
        <v>3151.0</v>
      </c>
      <c r="C3152" s="16" t="s">
        <v>3993</v>
      </c>
      <c r="D3152" s="16" t="s">
        <v>184</v>
      </c>
      <c r="E3152" s="16" t="s">
        <v>185</v>
      </c>
      <c r="F3152" s="16" t="s">
        <v>523</v>
      </c>
      <c r="G3152" s="16" t="s">
        <v>187</v>
      </c>
      <c r="H3152" s="16" t="s">
        <v>188</v>
      </c>
    </row>
    <row r="3153" ht="20.25" customHeight="1">
      <c r="A3153" s="32" t="str">
        <f>IMAGE("https://gymvisual.com/12509-catalog_default/resistance-band-seated-biceps-curl.jpg",4,500,500)</f>
        <v/>
      </c>
      <c r="B3153" s="30">
        <v>3152.0</v>
      </c>
      <c r="C3153" s="16" t="s">
        <v>3994</v>
      </c>
      <c r="D3153" s="16" t="s">
        <v>184</v>
      </c>
      <c r="E3153" s="16" t="s">
        <v>219</v>
      </c>
      <c r="F3153" s="16" t="s">
        <v>523</v>
      </c>
      <c r="G3153" s="16" t="s">
        <v>220</v>
      </c>
      <c r="H3153" s="16" t="s">
        <v>220</v>
      </c>
    </row>
    <row r="3154" ht="20.25" customHeight="1">
      <c r="A3154" s="32" t="str">
        <f>IMAGE("https://gymvisual.com/12529-catalog_default/resistance-band-seated-biceps-curl-female.jpg",4,500,500)</f>
        <v/>
      </c>
      <c r="B3154" s="30">
        <v>3153.0</v>
      </c>
      <c r="C3154" s="16" t="s">
        <v>3995</v>
      </c>
      <c r="D3154" s="16" t="s">
        <v>184</v>
      </c>
      <c r="E3154" s="16" t="s">
        <v>219</v>
      </c>
      <c r="F3154" s="16" t="s">
        <v>523</v>
      </c>
      <c r="G3154" s="16" t="s">
        <v>241</v>
      </c>
      <c r="H3154" s="16" t="s">
        <v>292</v>
      </c>
    </row>
    <row r="3155" ht="20.25" customHeight="1">
      <c r="A3155" s="32" t="str">
        <f>IMAGE("https://gymvisual.com/12510-catalog_default/resistance-band-seated-chest-press.jpg",4,500,500)</f>
        <v/>
      </c>
      <c r="B3155" s="30">
        <v>3154.0</v>
      </c>
      <c r="C3155" s="16" t="s">
        <v>3996</v>
      </c>
      <c r="D3155" s="16" t="s">
        <v>184</v>
      </c>
      <c r="E3155" s="16" t="s">
        <v>234</v>
      </c>
      <c r="F3155" s="16" t="s">
        <v>523</v>
      </c>
      <c r="G3155" s="16" t="s">
        <v>220</v>
      </c>
      <c r="H3155" s="16" t="s">
        <v>220</v>
      </c>
    </row>
    <row r="3156" ht="20.25" customHeight="1">
      <c r="A3156" s="32" t="str">
        <f>IMAGE("https://gymvisual.com/12530-catalog_default/resistance-band-seated-chest-press-female.jpg",4,500,500)</f>
        <v/>
      </c>
      <c r="B3156" s="30">
        <v>3155.0</v>
      </c>
      <c r="C3156" s="16" t="s">
        <v>3997</v>
      </c>
      <c r="D3156" s="16" t="s">
        <v>184</v>
      </c>
      <c r="E3156" s="16" t="s">
        <v>234</v>
      </c>
      <c r="F3156" s="16" t="s">
        <v>523</v>
      </c>
      <c r="G3156" s="16" t="s">
        <v>235</v>
      </c>
      <c r="H3156" s="16" t="s">
        <v>243</v>
      </c>
    </row>
    <row r="3157" ht="20.25" customHeight="1">
      <c r="A3157" s="32" t="str">
        <f>IMAGE("https://gymvisual.com/19511-catalog_default/resistance-band-seated-face-pull.jpg",4,500,500)</f>
        <v/>
      </c>
      <c r="B3157" s="30">
        <v>3156.0</v>
      </c>
      <c r="C3157" s="16" t="s">
        <v>3998</v>
      </c>
      <c r="D3157" s="16" t="s">
        <v>184</v>
      </c>
      <c r="E3157" s="16" t="s">
        <v>228</v>
      </c>
      <c r="F3157" s="16" t="s">
        <v>523</v>
      </c>
      <c r="G3157" s="16" t="s">
        <v>220</v>
      </c>
      <c r="H3157" s="16" t="s">
        <v>220</v>
      </c>
    </row>
    <row r="3158" ht="20.25" customHeight="1">
      <c r="A3158" s="32" t="str">
        <f>IMAGE("https://gymvisual.com/12465-catalog_default/resistance-band-seated-hip-abduction.jpg",4,500,500)</f>
        <v/>
      </c>
      <c r="B3158" s="30">
        <v>3157.0</v>
      </c>
      <c r="C3158" s="16" t="s">
        <v>3999</v>
      </c>
      <c r="D3158" s="16" t="s">
        <v>184</v>
      </c>
      <c r="E3158" s="16" t="s">
        <v>185</v>
      </c>
      <c r="F3158" s="16" t="s">
        <v>523</v>
      </c>
      <c r="G3158" s="16" t="s">
        <v>475</v>
      </c>
      <c r="H3158" s="16" t="s">
        <v>476</v>
      </c>
    </row>
    <row r="3159" ht="20.25" customHeight="1">
      <c r="A3159" s="32" t="str">
        <f>IMAGE("https://gymvisual.com/12462-catalog_default/resistance-band-seated-hip-abduction-female.jpg",4,500,500)</f>
        <v/>
      </c>
      <c r="B3159" s="30">
        <v>3158.0</v>
      </c>
      <c r="C3159" s="16" t="s">
        <v>4000</v>
      </c>
      <c r="D3159" s="16" t="s">
        <v>184</v>
      </c>
      <c r="E3159" s="16" t="s">
        <v>185</v>
      </c>
      <c r="F3159" s="16" t="s">
        <v>523</v>
      </c>
      <c r="G3159" s="16" t="s">
        <v>475</v>
      </c>
      <c r="H3159" s="16" t="s">
        <v>476</v>
      </c>
    </row>
    <row r="3160" ht="20.25" customHeight="1">
      <c r="A3160" s="32" t="str">
        <f>IMAGE("https://gymvisual.com/20405-catalog_default/resistance-band-seated-leg-curl.jpg",4,500,500)</f>
        <v/>
      </c>
      <c r="B3160" s="30">
        <v>3159.0</v>
      </c>
      <c r="C3160" s="16" t="s">
        <v>4001</v>
      </c>
      <c r="D3160" s="16" t="s">
        <v>184</v>
      </c>
      <c r="E3160" s="16" t="s">
        <v>285</v>
      </c>
      <c r="F3160" s="16" t="s">
        <v>523</v>
      </c>
      <c r="G3160" s="16" t="s">
        <v>188</v>
      </c>
      <c r="H3160" s="16" t="s">
        <v>561</v>
      </c>
    </row>
    <row r="3161" ht="20.25" customHeight="1">
      <c r="A3161" s="32" t="str">
        <f>IMAGE("https://gymvisual.com/12508-catalog_default/resistance-band-seated-shoulder-press.jpg",4,500,500)</f>
        <v/>
      </c>
      <c r="B3161" s="30">
        <v>3160.0</v>
      </c>
      <c r="C3161" s="16" t="s">
        <v>4002</v>
      </c>
      <c r="D3161" s="16" t="s">
        <v>184</v>
      </c>
      <c r="E3161" s="16" t="s">
        <v>228</v>
      </c>
      <c r="F3161" s="16" t="s">
        <v>523</v>
      </c>
      <c r="G3161" s="16" t="s">
        <v>220</v>
      </c>
      <c r="H3161" s="16" t="s">
        <v>220</v>
      </c>
    </row>
    <row r="3162" ht="20.25" customHeight="1">
      <c r="A3162" s="32" t="str">
        <f>IMAGE("https://gymvisual.com/12528-catalog_default/resistance-band-seated-shoulder-press-female.jpg",4,500,500)</f>
        <v/>
      </c>
      <c r="B3162" s="30">
        <v>3161.0</v>
      </c>
      <c r="C3162" s="16" t="s">
        <v>4003</v>
      </c>
      <c r="D3162" s="16" t="s">
        <v>184</v>
      </c>
      <c r="E3162" s="16" t="s">
        <v>228</v>
      </c>
      <c r="F3162" s="16" t="s">
        <v>523</v>
      </c>
      <c r="G3162" s="16" t="s">
        <v>229</v>
      </c>
      <c r="H3162" s="16" t="s">
        <v>626</v>
      </c>
    </row>
    <row r="3163" ht="20.25" customHeight="1">
      <c r="A3163" s="32" t="str">
        <f>IMAGE("https://gymvisual.com/13795-catalog_default/resistance-band-seated-single-leg-curl.jpg",4,500,500)</f>
        <v/>
      </c>
      <c r="B3163" s="30">
        <v>3162.0</v>
      </c>
      <c r="C3163" s="16" t="s">
        <v>4004</v>
      </c>
      <c r="D3163" s="16" t="s">
        <v>184</v>
      </c>
      <c r="E3163" s="16" t="s">
        <v>285</v>
      </c>
      <c r="F3163" s="16" t="s">
        <v>523</v>
      </c>
      <c r="G3163" s="16" t="s">
        <v>188</v>
      </c>
      <c r="H3163" s="16" t="s">
        <v>3539</v>
      </c>
    </row>
    <row r="3164" ht="20.25" customHeight="1">
      <c r="A3164" s="32" t="str">
        <f>IMAGE("https://gymvisual.com/12550-catalog_default/resistance-band-seated-straight-back-row.jpg",4,500,500)</f>
        <v/>
      </c>
      <c r="B3164" s="30">
        <v>3163.0</v>
      </c>
      <c r="C3164" s="16" t="s">
        <v>4005</v>
      </c>
      <c r="D3164" s="16" t="s">
        <v>184</v>
      </c>
      <c r="E3164" s="16" t="s">
        <v>192</v>
      </c>
      <c r="F3164" s="16" t="s">
        <v>523</v>
      </c>
      <c r="G3164" s="16" t="s">
        <v>329</v>
      </c>
      <c r="H3164" s="16" t="s">
        <v>447</v>
      </c>
    </row>
    <row r="3165" ht="20.25" customHeight="1">
      <c r="A3165" s="32" t="str">
        <f>IMAGE("https://gymvisual.com/12549-catalog_default/resistance-band-seated-straight-back-row-female.jpg",4,500,500)</f>
        <v/>
      </c>
      <c r="B3165" s="30">
        <v>3164.0</v>
      </c>
      <c r="C3165" s="16" t="s">
        <v>4006</v>
      </c>
      <c r="D3165" s="16" t="s">
        <v>184</v>
      </c>
      <c r="E3165" s="16" t="s">
        <v>192</v>
      </c>
      <c r="F3165" s="16" t="s">
        <v>523</v>
      </c>
      <c r="G3165" s="16" t="s">
        <v>329</v>
      </c>
      <c r="H3165" s="16" t="s">
        <v>447</v>
      </c>
    </row>
    <row r="3166" ht="20.25" customHeight="1">
      <c r="A3166" s="32" t="str">
        <f>IMAGE("https://gymvisual.com/20167-catalog_default/resistance-band-serratus-wall-slide.jpg",4,500,500)</f>
        <v/>
      </c>
      <c r="B3166" s="30">
        <v>3165.0</v>
      </c>
      <c r="C3166" s="16" t="s">
        <v>4007</v>
      </c>
      <c r="D3166" s="16" t="s">
        <v>184</v>
      </c>
      <c r="E3166" s="16" t="s">
        <v>192</v>
      </c>
      <c r="F3166" s="16" t="s">
        <v>523</v>
      </c>
      <c r="G3166" s="16" t="s">
        <v>4008</v>
      </c>
      <c r="H3166" s="16" t="s">
        <v>1621</v>
      </c>
    </row>
    <row r="3167" ht="20.25" customHeight="1">
      <c r="A3167" s="32" t="str">
        <f>IMAGE("https://gymvisual.com/18097-catalog_default/resistance-band-shuttle.jpg",4,500,500)</f>
        <v/>
      </c>
      <c r="B3167" s="30">
        <v>3166.0</v>
      </c>
      <c r="C3167" s="16" t="s">
        <v>4009</v>
      </c>
      <c r="D3167" s="16" t="s">
        <v>184</v>
      </c>
      <c r="E3167" s="16" t="s">
        <v>185</v>
      </c>
      <c r="F3167" s="16" t="s">
        <v>523</v>
      </c>
      <c r="G3167" s="16" t="s">
        <v>220</v>
      </c>
      <c r="H3167" s="16" t="s">
        <v>220</v>
      </c>
    </row>
    <row r="3168" ht="20.25" customHeight="1">
      <c r="A3168" s="32" t="str">
        <f>IMAGE("https://gymvisual.com/8800-catalog_default/resistance-band-side-plank.jpg",4,500,500)</f>
        <v/>
      </c>
      <c r="B3168" s="30">
        <v>3167.0</v>
      </c>
      <c r="C3168" s="16" t="s">
        <v>4010</v>
      </c>
      <c r="D3168" s="16" t="s">
        <v>184</v>
      </c>
      <c r="E3168" s="16" t="s">
        <v>310</v>
      </c>
      <c r="F3168" s="16" t="s">
        <v>523</v>
      </c>
      <c r="G3168" s="16" t="s">
        <v>4011</v>
      </c>
      <c r="H3168" s="16" t="s">
        <v>476</v>
      </c>
    </row>
    <row r="3169" ht="20.25" customHeight="1">
      <c r="A3169" s="32" t="str">
        <f>IMAGE("https://gymvisual.com/17679-catalog_default/resistance-band-side-step-with-horizontal-pallof-hold.jpg",4,500,500)</f>
        <v/>
      </c>
      <c r="B3169" s="30">
        <v>3168.0</v>
      </c>
      <c r="C3169" s="16" t="s">
        <v>4012</v>
      </c>
      <c r="D3169" s="16" t="s">
        <v>184</v>
      </c>
      <c r="E3169" s="16" t="s">
        <v>254</v>
      </c>
      <c r="F3169" s="16" t="s">
        <v>523</v>
      </c>
      <c r="G3169" s="16" t="s">
        <v>220</v>
      </c>
      <c r="H3169" s="16" t="s">
        <v>220</v>
      </c>
    </row>
    <row r="3170" ht="20.25" customHeight="1">
      <c r="A3170" s="32" t="str">
        <f>IMAGE("https://gymvisual.com/20401-catalog_default/resistance-band-single-arm-overhead-shoulder-press.jpg",4,500,500)</f>
        <v/>
      </c>
      <c r="B3170" s="30">
        <v>3169.0</v>
      </c>
      <c r="C3170" s="16" t="s">
        <v>4013</v>
      </c>
      <c r="D3170" s="16" t="s">
        <v>184</v>
      </c>
      <c r="E3170" s="16" t="s">
        <v>228</v>
      </c>
      <c r="F3170" s="16" t="s">
        <v>523</v>
      </c>
      <c r="G3170" s="16" t="s">
        <v>229</v>
      </c>
      <c r="H3170" s="16" t="s">
        <v>626</v>
      </c>
    </row>
    <row r="3171" ht="20.25" customHeight="1">
      <c r="A3171" s="32" t="str">
        <f>IMAGE("https://gymvisual.com/17677-catalog_default/resistance-band-single-stiff-leg-deadlift-with-single-arm-row.jpg",4,500,500)</f>
        <v/>
      </c>
      <c r="B3171" s="30">
        <v>3170.0</v>
      </c>
      <c r="C3171" s="16" t="s">
        <v>4014</v>
      </c>
      <c r="D3171" s="16" t="s">
        <v>184</v>
      </c>
      <c r="E3171" s="16" t="s">
        <v>192</v>
      </c>
      <c r="F3171" s="16" t="s">
        <v>523</v>
      </c>
      <c r="G3171" s="16" t="s">
        <v>220</v>
      </c>
      <c r="H3171" s="16" t="s">
        <v>220</v>
      </c>
    </row>
    <row r="3172" ht="20.25" customHeight="1">
      <c r="A3172" s="32" t="str">
        <f>IMAGE("https://gymvisual.com/17689-catalog_default/resistance-band-skier.jpg",4,500,500)</f>
        <v/>
      </c>
      <c r="B3172" s="30">
        <v>3171.0</v>
      </c>
      <c r="C3172" s="16" t="s">
        <v>4015</v>
      </c>
      <c r="D3172" s="16" t="s">
        <v>184</v>
      </c>
      <c r="E3172" s="16" t="s">
        <v>192</v>
      </c>
      <c r="F3172" s="16" t="s">
        <v>523</v>
      </c>
      <c r="G3172" s="16" t="s">
        <v>220</v>
      </c>
      <c r="H3172" s="16" t="s">
        <v>220</v>
      </c>
    </row>
    <row r="3173" ht="20.25" customHeight="1">
      <c r="A3173" s="32" t="str">
        <f>IMAGE("https://gymvisual.com/17711-catalog_default/resistance-band-smith-squat.jpg",4,500,500)</f>
        <v/>
      </c>
      <c r="B3173" s="30">
        <v>3172.0</v>
      </c>
      <c r="C3173" s="16" t="s">
        <v>4016</v>
      </c>
      <c r="D3173" s="16" t="s">
        <v>184</v>
      </c>
      <c r="E3173" s="16" t="s">
        <v>285</v>
      </c>
      <c r="F3173" s="16" t="s">
        <v>4017</v>
      </c>
      <c r="G3173" s="16" t="s">
        <v>220</v>
      </c>
      <c r="H3173" s="16" t="s">
        <v>220</v>
      </c>
    </row>
    <row r="3174" ht="20.25" customHeight="1">
      <c r="A3174" s="32" t="str">
        <f>IMAGE("https://gymvisual.com/12208-catalog_default/resistance-band-spider-crawls.jpg",4,500,500)</f>
        <v/>
      </c>
      <c r="B3174" s="30">
        <v>3173.0</v>
      </c>
      <c r="C3174" s="16" t="s">
        <v>4018</v>
      </c>
      <c r="D3174" s="16" t="s">
        <v>184</v>
      </c>
      <c r="E3174" s="16" t="s">
        <v>192</v>
      </c>
      <c r="F3174" s="16" t="s">
        <v>523</v>
      </c>
      <c r="G3174" s="16" t="s">
        <v>220</v>
      </c>
      <c r="H3174" s="16" t="s">
        <v>220</v>
      </c>
    </row>
    <row r="3175" ht="20.25" customHeight="1">
      <c r="A3175" s="32" t="str">
        <f>IMAGE("https://gymvisual.com/19731-catalog_default/resistance-band-split-squat.jpg",4,500,500)</f>
        <v/>
      </c>
      <c r="B3175" s="30">
        <v>3174.0</v>
      </c>
      <c r="C3175" s="16" t="s">
        <v>4019</v>
      </c>
      <c r="D3175" s="16" t="s">
        <v>184</v>
      </c>
      <c r="E3175" s="16" t="s">
        <v>285</v>
      </c>
      <c r="F3175" s="16" t="s">
        <v>523</v>
      </c>
      <c r="G3175" s="16" t="s">
        <v>189</v>
      </c>
      <c r="H3175" s="16" t="s">
        <v>190</v>
      </c>
    </row>
    <row r="3176" ht="20.25" customHeight="1">
      <c r="A3176" s="32" t="str">
        <f>IMAGE("https://gymvisual.com/17693-catalog_default/resistance-band-split-squat-with-horizontal-pallof-hold.jpg",4,500,500)</f>
        <v/>
      </c>
      <c r="B3176" s="30">
        <v>3175.0</v>
      </c>
      <c r="C3176" s="16" t="s">
        <v>4020</v>
      </c>
      <c r="D3176" s="16" t="s">
        <v>184</v>
      </c>
      <c r="E3176" s="16" t="s">
        <v>254</v>
      </c>
      <c r="F3176" s="16" t="s">
        <v>523</v>
      </c>
      <c r="G3176" s="16" t="s">
        <v>220</v>
      </c>
      <c r="H3176" s="16" t="s">
        <v>220</v>
      </c>
    </row>
    <row r="3177" ht="20.25" customHeight="1">
      <c r="A3177" s="32" t="str">
        <f>IMAGE("https://gymvisual.com/19465-catalog_default/resistance-band-squat.jpg",4,500,500)</f>
        <v/>
      </c>
      <c r="B3177" s="30">
        <v>3176.0</v>
      </c>
      <c r="C3177" s="16" t="s">
        <v>4021</v>
      </c>
      <c r="D3177" s="16" t="s">
        <v>184</v>
      </c>
      <c r="E3177" s="16" t="s">
        <v>285</v>
      </c>
      <c r="F3177" s="16" t="s">
        <v>523</v>
      </c>
      <c r="G3177" s="16" t="s">
        <v>220</v>
      </c>
      <c r="H3177" s="16" t="s">
        <v>220</v>
      </c>
    </row>
    <row r="3178" ht="20.25" customHeight="1">
      <c r="A3178" s="32" t="str">
        <f>IMAGE("https://gymvisual.com/17691-catalog_default/resistance-band-squat-with-horizontal-pallof-hold.jpg",4,500,500)</f>
        <v/>
      </c>
      <c r="B3178" s="30">
        <v>3177.0</v>
      </c>
      <c r="C3178" s="16" t="s">
        <v>4022</v>
      </c>
      <c r="D3178" s="16" t="s">
        <v>184</v>
      </c>
      <c r="E3178" s="16" t="s">
        <v>254</v>
      </c>
      <c r="F3178" s="16" t="s">
        <v>523</v>
      </c>
      <c r="G3178" s="16" t="s">
        <v>220</v>
      </c>
      <c r="H3178" s="16" t="s">
        <v>220</v>
      </c>
    </row>
    <row r="3179" ht="20.25" customHeight="1">
      <c r="A3179" s="32" t="str">
        <f>IMAGE("https://gymvisual.com/17671-catalog_default/resistance-band-squat-with-single-arm-row.jpg",4,500,500)</f>
        <v/>
      </c>
      <c r="B3179" s="30">
        <v>3178.0</v>
      </c>
      <c r="C3179" s="16" t="s">
        <v>4023</v>
      </c>
      <c r="D3179" s="16" t="s">
        <v>184</v>
      </c>
      <c r="E3179" s="16" t="s">
        <v>192</v>
      </c>
      <c r="F3179" s="16" t="s">
        <v>523</v>
      </c>
      <c r="G3179" s="16" t="s">
        <v>220</v>
      </c>
      <c r="H3179" s="16" t="s">
        <v>220</v>
      </c>
    </row>
    <row r="3180" ht="20.25" customHeight="1">
      <c r="A3180" s="32" t="str">
        <f>IMAGE("https://gymvisual.com/20399-catalog_default/resistance-band-standing-ab-crunch.jpg",4,500,500)</f>
        <v/>
      </c>
      <c r="B3180" s="30">
        <v>3179.0</v>
      </c>
      <c r="C3180" s="16" t="s">
        <v>4024</v>
      </c>
      <c r="D3180" s="16" t="s">
        <v>184</v>
      </c>
      <c r="E3180" s="16" t="s">
        <v>254</v>
      </c>
      <c r="F3180" s="16" t="s">
        <v>523</v>
      </c>
      <c r="G3180" s="16" t="s">
        <v>256</v>
      </c>
      <c r="H3180" s="16" t="s">
        <v>257</v>
      </c>
    </row>
    <row r="3181" ht="20.25" customHeight="1">
      <c r="A3181" s="32" t="str">
        <f>IMAGE("https://gymvisual.com/17705-catalog_default/resistance-band-standing-hip-abduction.jpg",4,500,500)</f>
        <v/>
      </c>
      <c r="B3181" s="30">
        <v>3180.0</v>
      </c>
      <c r="C3181" s="16" t="s">
        <v>4025</v>
      </c>
      <c r="D3181" s="16" t="s">
        <v>184</v>
      </c>
      <c r="E3181" s="16" t="s">
        <v>185</v>
      </c>
      <c r="F3181" s="16" t="s">
        <v>523</v>
      </c>
      <c r="G3181" s="16" t="s">
        <v>220</v>
      </c>
      <c r="H3181" s="16" t="s">
        <v>220</v>
      </c>
    </row>
    <row r="3182" ht="20.25" customHeight="1">
      <c r="A3182" s="32" t="str">
        <f>IMAGE("https://gymvisual.com/19365-catalog_default/resistance-band-supine-hip-bridge-march.jpg",4,500,500)</f>
        <v/>
      </c>
      <c r="B3182" s="30">
        <v>3181.0</v>
      </c>
      <c r="C3182" s="16" t="s">
        <v>4026</v>
      </c>
      <c r="D3182" s="16" t="s">
        <v>184</v>
      </c>
      <c r="E3182" s="16" t="s">
        <v>294</v>
      </c>
      <c r="F3182" s="16" t="s">
        <v>523</v>
      </c>
      <c r="G3182" s="16" t="s">
        <v>2412</v>
      </c>
      <c r="H3182" s="16" t="s">
        <v>552</v>
      </c>
    </row>
    <row r="3183" ht="20.25" customHeight="1">
      <c r="A3183" s="32" t="str">
        <f>IMAGE("https://gymvisual.com/10570-catalog_default/resistance-band-toe-touch.jpg",4,500,500)</f>
        <v/>
      </c>
      <c r="B3183" s="30">
        <v>3182.0</v>
      </c>
      <c r="C3183" s="16" t="s">
        <v>4027</v>
      </c>
      <c r="D3183" s="16" t="s">
        <v>184</v>
      </c>
      <c r="E3183" s="16" t="s">
        <v>185</v>
      </c>
      <c r="F3183" s="16" t="s">
        <v>523</v>
      </c>
      <c r="G3183" s="16" t="s">
        <v>1240</v>
      </c>
      <c r="H3183" s="16" t="s">
        <v>220</v>
      </c>
    </row>
    <row r="3184" ht="20.25" customHeight="1">
      <c r="A3184" s="32" t="str">
        <f>IMAGE("https://gymvisual.com/19729-catalog_default/resistance-band-triceps-pushdown.jpg",4,500,500)</f>
        <v/>
      </c>
      <c r="B3184" s="30">
        <v>3183.0</v>
      </c>
      <c r="C3184" s="16" t="s">
        <v>4028</v>
      </c>
      <c r="D3184" s="16" t="s">
        <v>184</v>
      </c>
      <c r="E3184" s="16" t="s">
        <v>219</v>
      </c>
      <c r="F3184" s="16" t="s">
        <v>523</v>
      </c>
      <c r="G3184" s="16" t="s">
        <v>223</v>
      </c>
      <c r="H3184" s="16" t="s">
        <v>220</v>
      </c>
    </row>
    <row r="3185" ht="20.25" customHeight="1">
      <c r="A3185" s="32" t="str">
        <f>IMAGE("https://gymvisual.com/20519-catalog_default/resistance-band-triceps-pushdown-female.jpg",4,500,500)</f>
        <v/>
      </c>
      <c r="B3185" s="30">
        <v>3184.0</v>
      </c>
      <c r="C3185" s="16" t="s">
        <v>4029</v>
      </c>
      <c r="D3185" s="16" t="s">
        <v>184</v>
      </c>
      <c r="E3185" s="16" t="s">
        <v>219</v>
      </c>
      <c r="F3185" s="16" t="s">
        <v>523</v>
      </c>
      <c r="G3185" s="16" t="s">
        <v>223</v>
      </c>
      <c r="H3185" s="16" t="s">
        <v>220</v>
      </c>
    </row>
    <row r="3186" ht="20.25" customHeight="1">
      <c r="A3186" s="32" t="str">
        <f>IMAGE("https://gymvisual.com/14034-catalog_default/resistance-band-upper-body-dead-bug.jpg",4,500,500)</f>
        <v/>
      </c>
      <c r="B3186" s="30">
        <v>3185.0</v>
      </c>
      <c r="C3186" s="16" t="s">
        <v>4030</v>
      </c>
      <c r="D3186" s="16" t="s">
        <v>184</v>
      </c>
      <c r="E3186" s="16" t="s">
        <v>310</v>
      </c>
      <c r="F3186" s="16" t="s">
        <v>523</v>
      </c>
      <c r="G3186" s="16" t="s">
        <v>305</v>
      </c>
      <c r="H3186" s="16" t="s">
        <v>4031</v>
      </c>
    </row>
    <row r="3187" ht="20.25" customHeight="1">
      <c r="A3187" s="32" t="str">
        <f>IMAGE("https://gymvisual.com/17683-catalog_default/resistance-band-upper-body-lying-air-bike.jpg",4,500,500)</f>
        <v/>
      </c>
      <c r="B3187" s="30">
        <v>3186.0</v>
      </c>
      <c r="C3187" s="16" t="s">
        <v>4032</v>
      </c>
      <c r="D3187" s="16" t="s">
        <v>184</v>
      </c>
      <c r="E3187" s="16" t="s">
        <v>254</v>
      </c>
      <c r="F3187" s="16" t="s">
        <v>523</v>
      </c>
      <c r="G3187" s="16" t="s">
        <v>220</v>
      </c>
      <c r="H3187" s="16" t="s">
        <v>220</v>
      </c>
    </row>
    <row r="3188" ht="20.25" customHeight="1">
      <c r="A3188" s="32" t="str">
        <f>IMAGE("https://gymvisual.com/22293-catalog_default/reverse-back-extension-on-floor.jpg",4,500,500)</f>
        <v/>
      </c>
      <c r="B3188" s="30">
        <v>3187.0</v>
      </c>
      <c r="C3188" s="16" t="s">
        <v>4033</v>
      </c>
      <c r="D3188" s="16" t="s">
        <v>184</v>
      </c>
      <c r="E3188" s="16" t="s">
        <v>185</v>
      </c>
      <c r="F3188" s="16" t="s">
        <v>255</v>
      </c>
      <c r="G3188" s="16" t="s">
        <v>220</v>
      </c>
      <c r="H3188" s="16" t="s">
        <v>220</v>
      </c>
    </row>
    <row r="3189" ht="20.25" customHeight="1">
      <c r="A3189" s="32" t="str">
        <f>IMAGE("https://gymvisual.com/2013-catalog_default/3-4-sit-up.jpg",4,500,500)</f>
        <v/>
      </c>
      <c r="B3189" s="30">
        <v>3188.0</v>
      </c>
      <c r="C3189" s="16" t="s">
        <v>4034</v>
      </c>
      <c r="D3189" s="16" t="s">
        <v>184</v>
      </c>
      <c r="E3189" s="16" t="s">
        <v>254</v>
      </c>
      <c r="F3189" s="16" t="s">
        <v>255</v>
      </c>
      <c r="G3189" s="16" t="s">
        <v>256</v>
      </c>
      <c r="H3189" s="16" t="s">
        <v>257</v>
      </c>
    </row>
    <row r="3190" ht="20.25" customHeight="1">
      <c r="A3190" s="32" t="str">
        <f>IMAGE("https://gymvisual.com/7635-catalog_default/reverse-crunch.jpg",4,500,500)</f>
        <v/>
      </c>
      <c r="B3190" s="30">
        <v>3189.0</v>
      </c>
      <c r="C3190" s="16" t="s">
        <v>4034</v>
      </c>
      <c r="D3190" s="16" t="s">
        <v>184</v>
      </c>
      <c r="E3190" s="16" t="s">
        <v>254</v>
      </c>
      <c r="F3190" s="16" t="s">
        <v>255</v>
      </c>
      <c r="G3190" s="16" t="s">
        <v>256</v>
      </c>
      <c r="H3190" s="16" t="s">
        <v>257</v>
      </c>
    </row>
    <row r="3191" ht="20.25" customHeight="1">
      <c r="A3191" s="32" t="str">
        <f>IMAGE("https://gymvisual.com/22738-catalog_default/reverse-crunch-version-2.jpg",4,500,500)</f>
        <v/>
      </c>
      <c r="B3191" s="30">
        <v>3190.0</v>
      </c>
      <c r="C3191" s="16" t="s">
        <v>4035</v>
      </c>
      <c r="D3191" s="16" t="s">
        <v>184</v>
      </c>
      <c r="E3191" s="16" t="s">
        <v>254</v>
      </c>
      <c r="F3191" s="16" t="s">
        <v>255</v>
      </c>
      <c r="G3191" s="16" t="s">
        <v>305</v>
      </c>
      <c r="H3191" s="16" t="s">
        <v>600</v>
      </c>
    </row>
    <row r="3192" ht="20.25" customHeight="1">
      <c r="A3192" s="32" t="str">
        <f>IMAGE("https://gymvisual.com/22295-catalog_default/reverse-crunch-version-3.jpg",4,500,500)</f>
        <v/>
      </c>
      <c r="B3192" s="30">
        <v>3191.0</v>
      </c>
      <c r="C3192" s="16" t="s">
        <v>4036</v>
      </c>
      <c r="D3192" s="16" t="s">
        <v>184</v>
      </c>
      <c r="E3192" s="16" t="s">
        <v>254</v>
      </c>
      <c r="F3192" s="16" t="s">
        <v>255</v>
      </c>
      <c r="G3192" s="16" t="s">
        <v>220</v>
      </c>
      <c r="H3192" s="16" t="s">
        <v>220</v>
      </c>
    </row>
    <row r="3193" ht="20.25" customHeight="1">
      <c r="A3193" s="32" t="str">
        <f>IMAGE("https://gymvisual.com/18250-catalog_default/reverse-crunch-kick.jpg",4,500,500)</f>
        <v/>
      </c>
      <c r="B3193" s="30">
        <v>3192.0</v>
      </c>
      <c r="C3193" s="16" t="s">
        <v>4037</v>
      </c>
      <c r="D3193" s="16" t="s">
        <v>184</v>
      </c>
      <c r="E3193" s="16" t="s">
        <v>254</v>
      </c>
      <c r="F3193" s="16" t="s">
        <v>255</v>
      </c>
      <c r="G3193" s="16" t="s">
        <v>2640</v>
      </c>
      <c r="H3193" s="16" t="s">
        <v>1840</v>
      </c>
    </row>
    <row r="3194" ht="20.25" customHeight="1">
      <c r="A3194" s="32" t="str">
        <f>IMAGE("https://gymvisual.com/17895-catalog_default/reverse-crunch-to-dead-bug-male.jpg",4,500,500)</f>
        <v/>
      </c>
      <c r="B3194" s="30">
        <v>3193.0</v>
      </c>
      <c r="C3194" s="16" t="s">
        <v>4038</v>
      </c>
      <c r="D3194" s="16" t="s">
        <v>184</v>
      </c>
      <c r="E3194" s="16" t="s">
        <v>254</v>
      </c>
      <c r="F3194" s="16" t="s">
        <v>255</v>
      </c>
      <c r="G3194" s="16" t="s">
        <v>220</v>
      </c>
      <c r="H3194" s="16" t="s">
        <v>220</v>
      </c>
    </row>
    <row r="3195" ht="20.25" customHeight="1">
      <c r="A3195" s="32" t="str">
        <f>IMAGE("https://gymvisual.com/2016-catalog_default/3-4-sit-up.jpg",4,500,500)</f>
        <v/>
      </c>
      <c r="B3195" s="30">
        <v>3194.0</v>
      </c>
      <c r="C3195" s="16" t="s">
        <v>4039</v>
      </c>
      <c r="D3195" s="16" t="s">
        <v>184</v>
      </c>
      <c r="E3195" s="16" t="s">
        <v>219</v>
      </c>
      <c r="F3195" s="16" t="s">
        <v>255</v>
      </c>
      <c r="G3195" s="16" t="s">
        <v>223</v>
      </c>
      <c r="H3195" s="16" t="s">
        <v>472</v>
      </c>
    </row>
    <row r="3196" ht="20.25" customHeight="1">
      <c r="A3196" s="32" t="str">
        <f>IMAGE("https://gymvisual.com/18820-catalog_default/reverse-dip-female.jpg",4,500,500)</f>
        <v/>
      </c>
      <c r="B3196" s="30">
        <v>3195.0</v>
      </c>
      <c r="C3196" s="16" t="s">
        <v>4040</v>
      </c>
      <c r="D3196" s="16" t="s">
        <v>184</v>
      </c>
      <c r="E3196" s="16" t="s">
        <v>219</v>
      </c>
      <c r="F3196" s="16" t="s">
        <v>255</v>
      </c>
      <c r="G3196" s="16" t="s">
        <v>223</v>
      </c>
      <c r="H3196" s="16" t="s">
        <v>394</v>
      </c>
    </row>
    <row r="3197" ht="20.25" customHeight="1">
      <c r="A3197" s="32" t="str">
        <f>IMAGE("https://gymvisual.com/22297-catalog_default/reverse-flutter-kick-on-floor-hand-under-head.jpg",4,500,500)</f>
        <v/>
      </c>
      <c r="B3197" s="30">
        <v>3196.0</v>
      </c>
      <c r="C3197" s="16" t="s">
        <v>4041</v>
      </c>
      <c r="D3197" s="16" t="s">
        <v>184</v>
      </c>
      <c r="E3197" s="16" t="s">
        <v>185</v>
      </c>
      <c r="F3197" s="16" t="s">
        <v>255</v>
      </c>
      <c r="G3197" s="16" t="s">
        <v>220</v>
      </c>
      <c r="H3197" s="16" t="s">
        <v>220</v>
      </c>
    </row>
    <row r="3198" ht="20.25" customHeight="1">
      <c r="A3198" s="32" t="str">
        <f>IMAGE("https://gymvisual.com/22510-catalog_default/reverse-flutter-kick-on-floor-hand-under-head.jpg",4,500,500)</f>
        <v/>
      </c>
      <c r="B3198" s="30">
        <v>3197.0</v>
      </c>
      <c r="C3198" s="16" t="s">
        <v>4041</v>
      </c>
      <c r="D3198" s="16" t="s">
        <v>184</v>
      </c>
      <c r="E3198" s="16" t="s">
        <v>185</v>
      </c>
      <c r="F3198" s="16" t="s">
        <v>255</v>
      </c>
      <c r="G3198" s="16" t="s">
        <v>220</v>
      </c>
      <c r="H3198" s="16" t="s">
        <v>220</v>
      </c>
    </row>
    <row r="3199" ht="20.25" customHeight="1">
      <c r="A3199" s="32" t="str">
        <f>IMAGE("https://gymvisual.com/2019-catalog_default/3-4-sit-up.jpg",4,500,500)</f>
        <v/>
      </c>
      <c r="B3199" s="30">
        <v>3198.0</v>
      </c>
      <c r="C3199" s="16" t="s">
        <v>4042</v>
      </c>
      <c r="D3199" s="16" t="s">
        <v>184</v>
      </c>
      <c r="E3199" s="16" t="s">
        <v>192</v>
      </c>
      <c r="F3199" s="16" t="s">
        <v>346</v>
      </c>
      <c r="G3199" s="16" t="s">
        <v>300</v>
      </c>
      <c r="H3199" s="16" t="s">
        <v>1733</v>
      </c>
    </row>
    <row r="3200" ht="20.25" customHeight="1">
      <c r="A3200" s="32" t="str">
        <f>IMAGE("https://gymvisual.com/14294-catalog_default/reverse-grip-machine-lat-pulldown-female.jpg",4,500,500)</f>
        <v/>
      </c>
      <c r="B3200" s="30">
        <v>3199.0</v>
      </c>
      <c r="C3200" s="16" t="s">
        <v>4043</v>
      </c>
      <c r="D3200" s="16" t="s">
        <v>184</v>
      </c>
      <c r="E3200" s="16" t="s">
        <v>192</v>
      </c>
      <c r="F3200" s="16" t="s">
        <v>346</v>
      </c>
      <c r="G3200" s="16" t="s">
        <v>300</v>
      </c>
      <c r="H3200" s="16" t="s">
        <v>1733</v>
      </c>
    </row>
    <row r="3201" ht="20.25" customHeight="1">
      <c r="A3201" s="32" t="str">
        <f>IMAGE("https://gymvisual.com/2022-catalog_default/3-4-sit-up.jpg",4,500,500)</f>
        <v/>
      </c>
      <c r="B3201" s="30">
        <v>3200.0</v>
      </c>
      <c r="C3201" s="16" t="s">
        <v>4044</v>
      </c>
      <c r="D3201" s="16" t="s">
        <v>184</v>
      </c>
      <c r="E3201" s="16" t="s">
        <v>192</v>
      </c>
      <c r="F3201" s="16" t="s">
        <v>255</v>
      </c>
      <c r="G3201" s="16" t="s">
        <v>300</v>
      </c>
      <c r="H3201" s="16" t="s">
        <v>4045</v>
      </c>
    </row>
    <row r="3202" ht="20.25" customHeight="1">
      <c r="A3202" s="32" t="str">
        <f>IMAGE("https://gymvisual.com/17134-catalog_default/reverse-grip-pull-up-female.jpg",4,500,500)</f>
        <v/>
      </c>
      <c r="B3202" s="30">
        <v>3201.0</v>
      </c>
      <c r="C3202" s="16" t="s">
        <v>4046</v>
      </c>
      <c r="D3202" s="16" t="s">
        <v>184</v>
      </c>
      <c r="E3202" s="16" t="s">
        <v>192</v>
      </c>
      <c r="F3202" s="16" t="s">
        <v>255</v>
      </c>
      <c r="G3202" s="16" t="s">
        <v>329</v>
      </c>
      <c r="H3202" s="16" t="s">
        <v>357</v>
      </c>
    </row>
    <row r="3203" ht="20.25" customHeight="1">
      <c r="A3203" s="32" t="str">
        <f>IMAGE("https://gymvisual.com/2025-catalog_default/3-4-sit-up.jpg",4,500,500)</f>
        <v/>
      </c>
      <c r="B3203" s="30">
        <v>3202.0</v>
      </c>
      <c r="C3203" s="16" t="s">
        <v>4047</v>
      </c>
      <c r="D3203" s="16" t="s">
        <v>184</v>
      </c>
      <c r="E3203" s="16" t="s">
        <v>285</v>
      </c>
      <c r="F3203" s="16" t="s">
        <v>399</v>
      </c>
      <c r="G3203" s="16" t="s">
        <v>267</v>
      </c>
      <c r="H3203" s="16" t="s">
        <v>188</v>
      </c>
    </row>
    <row r="3204" ht="20.25" customHeight="1">
      <c r="A3204" s="32" t="str">
        <f>IMAGE("https://gymvisual.com/6275-catalog_default/reverse-hyper-on-flat-bench.jpg",4,500,500)</f>
        <v/>
      </c>
      <c r="B3204" s="30">
        <v>3203.0</v>
      </c>
      <c r="C3204" s="16" t="s">
        <v>4048</v>
      </c>
      <c r="D3204" s="16" t="s">
        <v>184</v>
      </c>
      <c r="E3204" s="16" t="s">
        <v>185</v>
      </c>
      <c r="F3204" s="16" t="s">
        <v>255</v>
      </c>
      <c r="G3204" s="16" t="s">
        <v>187</v>
      </c>
      <c r="H3204" s="16" t="s">
        <v>188</v>
      </c>
    </row>
    <row r="3205" ht="20.25" customHeight="1">
      <c r="A3205" s="32" t="str">
        <f>IMAGE("https://gymvisual.com/22474-catalog_default/reverse-leg-extension-female.jpg",4,500,500)</f>
        <v/>
      </c>
      <c r="B3205" s="30">
        <v>3204.0</v>
      </c>
      <c r="C3205" s="16" t="s">
        <v>4049</v>
      </c>
      <c r="D3205" s="16" t="s">
        <v>184</v>
      </c>
      <c r="E3205" s="16" t="s">
        <v>185</v>
      </c>
      <c r="F3205" s="16" t="s">
        <v>255</v>
      </c>
      <c r="G3205" s="16" t="s">
        <v>220</v>
      </c>
      <c r="H3205" s="16" t="s">
        <v>220</v>
      </c>
    </row>
    <row r="3206" ht="20.25" customHeight="1">
      <c r="A3206" s="32" t="str">
        <f>IMAGE("https://gymvisual.com/2028-catalog_default/3-4-sit-up.jpg",4,500,500)</f>
        <v/>
      </c>
      <c r="B3206" s="30">
        <v>3205.0</v>
      </c>
      <c r="C3206" s="16" t="s">
        <v>4050</v>
      </c>
      <c r="D3206" s="16" t="s">
        <v>184</v>
      </c>
      <c r="E3206" s="16" t="s">
        <v>285</v>
      </c>
      <c r="F3206" s="16" t="s">
        <v>255</v>
      </c>
      <c r="G3206" s="16" t="s">
        <v>189</v>
      </c>
      <c r="H3206" s="16" t="s">
        <v>683</v>
      </c>
    </row>
    <row r="3207" ht="20.25" customHeight="1">
      <c r="A3207" s="32" t="str">
        <f>IMAGE("https://gymvisual.com/20644-catalog_default/reverse-plank.jpg",4,500,500)</f>
        <v/>
      </c>
      <c r="B3207" s="30">
        <v>3206.0</v>
      </c>
      <c r="C3207" s="16" t="s">
        <v>4051</v>
      </c>
      <c r="D3207" s="16" t="s">
        <v>184</v>
      </c>
      <c r="E3207" s="16" t="s">
        <v>192</v>
      </c>
      <c r="F3207" s="16" t="s">
        <v>255</v>
      </c>
      <c r="G3207" s="16" t="s">
        <v>2848</v>
      </c>
      <c r="H3207" s="16" t="s">
        <v>4052</v>
      </c>
    </row>
    <row r="3208" ht="20.25" customHeight="1">
      <c r="A3208" s="32" t="str">
        <f>IMAGE("https://gymvisual.com/22486-catalog_default/reverse-plank-version-2.jpg",4,500,500)</f>
        <v/>
      </c>
      <c r="B3208" s="30">
        <v>3207.0</v>
      </c>
      <c r="C3208" s="16" t="s">
        <v>4053</v>
      </c>
      <c r="D3208" s="16" t="s">
        <v>184</v>
      </c>
      <c r="E3208" s="16" t="s">
        <v>254</v>
      </c>
      <c r="F3208" s="16" t="s">
        <v>255</v>
      </c>
      <c r="G3208" s="16" t="s">
        <v>220</v>
      </c>
      <c r="H3208" s="16" t="s">
        <v>220</v>
      </c>
    </row>
    <row r="3209" ht="20.25" customHeight="1">
      <c r="A3209" s="32" t="str">
        <f>IMAGE("https://gymvisual.com/24071-catalog_default/reverse-plank-on-elbows.jpg",4,500,500)</f>
        <v/>
      </c>
      <c r="B3209" s="30">
        <v>3208.0</v>
      </c>
      <c r="C3209" s="16" t="s">
        <v>4054</v>
      </c>
      <c r="D3209" s="16" t="s">
        <v>184</v>
      </c>
      <c r="E3209" s="16" t="s">
        <v>254</v>
      </c>
      <c r="F3209" s="16" t="s">
        <v>255</v>
      </c>
      <c r="G3209" s="16" t="s">
        <v>220</v>
      </c>
      <c r="H3209" s="16" t="s">
        <v>220</v>
      </c>
    </row>
    <row r="3210" ht="20.25" customHeight="1">
      <c r="A3210" s="32" t="str">
        <f>IMAGE("https://gymvisual.com/16607-catalog_default/reverse-push-up.jpg",4,500,500)</f>
        <v/>
      </c>
      <c r="B3210" s="30">
        <v>3209.0</v>
      </c>
      <c r="C3210" s="16" t="s">
        <v>4055</v>
      </c>
      <c r="D3210" s="16" t="s">
        <v>184</v>
      </c>
      <c r="E3210" s="16" t="s">
        <v>219</v>
      </c>
      <c r="F3210" s="16" t="s">
        <v>255</v>
      </c>
      <c r="G3210" s="16" t="s">
        <v>223</v>
      </c>
      <c r="H3210" s="16" t="s">
        <v>1817</v>
      </c>
    </row>
    <row r="3211" ht="20.25" customHeight="1">
      <c r="A3211" s="32" t="str">
        <f>IMAGE("https://gymvisual.com/22442-catalog_default/reverse-sliding-leg-curl-on-floor-with-towel.jpg",4,500,500)</f>
        <v/>
      </c>
      <c r="B3211" s="30">
        <v>3210.0</v>
      </c>
      <c r="C3211" s="16" t="s">
        <v>4056</v>
      </c>
      <c r="D3211" s="16" t="s">
        <v>184</v>
      </c>
      <c r="E3211" s="16" t="s">
        <v>285</v>
      </c>
      <c r="F3211" s="16" t="s">
        <v>255</v>
      </c>
      <c r="G3211" s="16" t="s">
        <v>220</v>
      </c>
      <c r="H3211" s="16" t="s">
        <v>220</v>
      </c>
    </row>
    <row r="3212" ht="20.25" customHeight="1">
      <c r="A3212" s="32" t="str">
        <f>IMAGE("https://gymvisual.com/22508-catalog_default/ring-alternate-superman-female.jpg",4,500,500)</f>
        <v/>
      </c>
      <c r="B3212" s="30">
        <v>3211.0</v>
      </c>
      <c r="C3212" s="16" t="s">
        <v>4057</v>
      </c>
      <c r="D3212" s="16" t="s">
        <v>184</v>
      </c>
      <c r="E3212" s="16" t="s">
        <v>254</v>
      </c>
      <c r="F3212" s="16" t="s">
        <v>255</v>
      </c>
      <c r="G3212" s="16" t="s">
        <v>220</v>
      </c>
      <c r="H3212" s="16" t="s">
        <v>220</v>
      </c>
    </row>
    <row r="3213" ht="20.25" customHeight="1">
      <c r="A3213" s="32" t="str">
        <f>IMAGE("https://gymvisual.com/22480-catalog_default/ring-chest-fly.jpg",4,500,500)</f>
        <v/>
      </c>
      <c r="B3213" s="30">
        <v>3212.0</v>
      </c>
      <c r="C3213" s="16" t="s">
        <v>4058</v>
      </c>
      <c r="D3213" s="16" t="s">
        <v>184</v>
      </c>
      <c r="E3213" s="16" t="s">
        <v>234</v>
      </c>
      <c r="F3213" s="16" t="s">
        <v>255</v>
      </c>
      <c r="G3213" s="16" t="s">
        <v>220</v>
      </c>
      <c r="H3213" s="16" t="s">
        <v>220</v>
      </c>
    </row>
    <row r="3214" ht="20.25" customHeight="1">
      <c r="A3214" s="32" t="str">
        <f>IMAGE("https://gymvisual.com/20638-catalog_default/3-4-sit-up.jpg",4,500,500)</f>
        <v/>
      </c>
      <c r="B3214" s="30">
        <v>3213.0</v>
      </c>
      <c r="C3214" s="16" t="s">
        <v>4059</v>
      </c>
      <c r="D3214" s="16" t="s">
        <v>184</v>
      </c>
      <c r="E3214" s="16" t="s">
        <v>219</v>
      </c>
      <c r="F3214" s="16" t="s">
        <v>255</v>
      </c>
      <c r="G3214" s="16" t="s">
        <v>223</v>
      </c>
      <c r="H3214" s="16" t="s">
        <v>472</v>
      </c>
    </row>
    <row r="3215" ht="20.25" customHeight="1">
      <c r="A3215" s="32" t="str">
        <f>IMAGE("https://gymvisual.com/22343-catalog_default/ring-elevated-row.jpg",4,500,500)</f>
        <v/>
      </c>
      <c r="B3215" s="30">
        <v>3214.0</v>
      </c>
      <c r="C3215" s="16" t="s">
        <v>4060</v>
      </c>
      <c r="D3215" s="16" t="s">
        <v>184</v>
      </c>
      <c r="E3215" s="16" t="s">
        <v>192</v>
      </c>
      <c r="F3215" s="16" t="s">
        <v>255</v>
      </c>
      <c r="G3215" s="16" t="s">
        <v>220</v>
      </c>
      <c r="H3215" s="16" t="s">
        <v>220</v>
      </c>
    </row>
    <row r="3216" ht="20.25" customHeight="1">
      <c r="A3216" s="32" t="str">
        <f>IMAGE("https://gymvisual.com/20507-catalog_default/ring-high-row.jpg",4,500,500)</f>
        <v/>
      </c>
      <c r="B3216" s="30">
        <v>3215.0</v>
      </c>
      <c r="C3216" s="16" t="s">
        <v>4061</v>
      </c>
      <c r="D3216" s="16" t="s">
        <v>184</v>
      </c>
      <c r="E3216" s="16" t="s">
        <v>192</v>
      </c>
      <c r="F3216" s="16" t="s">
        <v>3009</v>
      </c>
      <c r="G3216" s="16" t="s">
        <v>329</v>
      </c>
      <c r="H3216" s="16" t="s">
        <v>447</v>
      </c>
    </row>
    <row r="3217" ht="20.25" customHeight="1">
      <c r="A3217" s="32" t="str">
        <f>IMAGE("https://gymvisual.com/20521-catalog_default/ring-high-row-female.jpg",4,500,500)</f>
        <v/>
      </c>
      <c r="B3217" s="30">
        <v>3216.0</v>
      </c>
      <c r="C3217" s="16" t="s">
        <v>4062</v>
      </c>
      <c r="D3217" s="16" t="s">
        <v>184</v>
      </c>
      <c r="E3217" s="16" t="s">
        <v>192</v>
      </c>
      <c r="F3217" s="16" t="s">
        <v>3009</v>
      </c>
      <c r="G3217" s="16" t="s">
        <v>329</v>
      </c>
      <c r="H3217" s="16" t="s">
        <v>447</v>
      </c>
    </row>
    <row r="3218" ht="20.25" customHeight="1">
      <c r="A3218" s="32" t="str">
        <f>IMAGE("https://gymvisual.com/20728-catalog_default/ring-kneeling-ab-rollout.jpg",4,500,500)</f>
        <v/>
      </c>
      <c r="B3218" s="30">
        <v>3217.0</v>
      </c>
      <c r="C3218" s="16" t="s">
        <v>4063</v>
      </c>
      <c r="D3218" s="16" t="s">
        <v>184</v>
      </c>
      <c r="E3218" s="16" t="s">
        <v>254</v>
      </c>
      <c r="F3218" s="16" t="s">
        <v>3009</v>
      </c>
      <c r="G3218" s="16" t="s">
        <v>260</v>
      </c>
      <c r="H3218" s="16" t="s">
        <v>220</v>
      </c>
    </row>
    <row r="3219" ht="20.25" customHeight="1">
      <c r="A3219" s="32" t="str">
        <f>IMAGE("https://gymvisual.com/22345-catalog_default/ring-leg-curl.jpg",4,500,500)</f>
        <v/>
      </c>
      <c r="B3219" s="30">
        <v>3218.0</v>
      </c>
      <c r="C3219" s="16" t="s">
        <v>4064</v>
      </c>
      <c r="D3219" s="16" t="s">
        <v>184</v>
      </c>
      <c r="E3219" s="16" t="s">
        <v>285</v>
      </c>
      <c r="F3219" s="16" t="s">
        <v>255</v>
      </c>
      <c r="G3219" s="16" t="s">
        <v>220</v>
      </c>
      <c r="H3219" s="16" t="s">
        <v>220</v>
      </c>
    </row>
    <row r="3220" ht="20.25" customHeight="1">
      <c r="A3220" s="32" t="str">
        <f>IMAGE("https://gymvisual.com/22470-catalog_default/ring-leg-curl-version-2.jpg",4,500,500)</f>
        <v/>
      </c>
      <c r="B3220" s="30">
        <v>3219.0</v>
      </c>
      <c r="C3220" s="16" t="s">
        <v>4065</v>
      </c>
      <c r="D3220" s="16" t="s">
        <v>184</v>
      </c>
      <c r="E3220" s="16" t="s">
        <v>285</v>
      </c>
      <c r="F3220" s="16" t="s">
        <v>255</v>
      </c>
      <c r="G3220" s="16" t="s">
        <v>220</v>
      </c>
      <c r="H3220" s="16" t="s">
        <v>220</v>
      </c>
    </row>
    <row r="3221" ht="20.25" customHeight="1">
      <c r="A3221" s="32" t="str">
        <f>IMAGE("https://gymvisual.com/22347-catalog_default/ring-reverse-ab-rollout.jpg",4,500,500)</f>
        <v/>
      </c>
      <c r="B3221" s="30">
        <v>3220.0</v>
      </c>
      <c r="C3221" s="16" t="s">
        <v>4066</v>
      </c>
      <c r="D3221" s="16" t="s">
        <v>184</v>
      </c>
      <c r="E3221" s="16" t="s">
        <v>254</v>
      </c>
      <c r="F3221" s="16" t="s">
        <v>255</v>
      </c>
      <c r="G3221" s="16" t="s">
        <v>220</v>
      </c>
      <c r="H3221" s="16" t="s">
        <v>220</v>
      </c>
    </row>
    <row r="3222" ht="20.25" customHeight="1">
      <c r="A3222" s="32" t="str">
        <f>IMAGE("https://gymvisual.com/22482-catalog_default/ring-reverse-fly.jpg",4,500,500)</f>
        <v/>
      </c>
      <c r="B3222" s="30">
        <v>3221.0</v>
      </c>
      <c r="C3222" s="16" t="s">
        <v>4067</v>
      </c>
      <c r="D3222" s="16" t="s">
        <v>184</v>
      </c>
      <c r="E3222" s="16" t="s">
        <v>228</v>
      </c>
      <c r="F3222" s="16" t="s">
        <v>255</v>
      </c>
      <c r="G3222" s="16" t="s">
        <v>220</v>
      </c>
      <c r="H3222" s="16" t="s">
        <v>220</v>
      </c>
    </row>
    <row r="3223" ht="20.25" customHeight="1">
      <c r="A3223" s="32" t="str">
        <f>IMAGE("https://gymvisual.com/20732-catalog_default/ring-rollout-female.jpg",4,500,500)</f>
        <v/>
      </c>
      <c r="B3223" s="30">
        <v>3222.0</v>
      </c>
      <c r="C3223" s="16" t="s">
        <v>4068</v>
      </c>
      <c r="D3223" s="16" t="s">
        <v>184</v>
      </c>
      <c r="E3223" s="16" t="s">
        <v>254</v>
      </c>
      <c r="F3223" s="16" t="s">
        <v>3009</v>
      </c>
      <c r="G3223" s="16" t="s">
        <v>260</v>
      </c>
      <c r="H3223" s="16" t="s">
        <v>220</v>
      </c>
    </row>
    <row r="3224" ht="20.25" customHeight="1">
      <c r="A3224" s="32" t="str">
        <f>IMAGE("https://gymvisual.com/11613-catalog_default/rocky-pull-up-pulldown-female.jpg",4,500,500)</f>
        <v/>
      </c>
      <c r="B3224" s="30">
        <v>3223.0</v>
      </c>
      <c r="C3224" s="16" t="s">
        <v>4069</v>
      </c>
      <c r="D3224" s="16" t="s">
        <v>184</v>
      </c>
      <c r="E3224" s="16" t="s">
        <v>192</v>
      </c>
      <c r="F3224" s="16" t="s">
        <v>255</v>
      </c>
      <c r="G3224" s="16" t="s">
        <v>220</v>
      </c>
      <c r="H3224" s="16" t="s">
        <v>220</v>
      </c>
    </row>
    <row r="3225" ht="20.25" customHeight="1">
      <c r="A3225" s="32" t="str">
        <f>IMAGE("https://gymvisual.com/2034-catalog_default/3-4-sit-up.jpg",4,500,500)</f>
        <v/>
      </c>
      <c r="B3225" s="30">
        <v>3224.0</v>
      </c>
      <c r="C3225" s="16" t="s">
        <v>4070</v>
      </c>
      <c r="D3225" s="16" t="s">
        <v>184</v>
      </c>
      <c r="E3225" s="16" t="s">
        <v>192</v>
      </c>
      <c r="F3225" s="16" t="s">
        <v>255</v>
      </c>
      <c r="G3225" s="16" t="s">
        <v>300</v>
      </c>
      <c r="H3225" s="16" t="s">
        <v>535</v>
      </c>
    </row>
    <row r="3226" ht="20.25" customHeight="1">
      <c r="A3226" s="32" t="str">
        <f>IMAGE("https://gymvisual.com/2037-catalog_default/3-4-sit-up.jpg",4,500,500)</f>
        <v/>
      </c>
      <c r="B3226" s="30">
        <v>3225.0</v>
      </c>
      <c r="C3226" s="16" t="s">
        <v>4071</v>
      </c>
      <c r="D3226" s="16" t="s">
        <v>184</v>
      </c>
      <c r="E3226" s="16" t="s">
        <v>254</v>
      </c>
      <c r="F3226" s="16" t="s">
        <v>255</v>
      </c>
      <c r="G3226" s="16" t="s">
        <v>260</v>
      </c>
      <c r="H3226" s="16" t="s">
        <v>4072</v>
      </c>
    </row>
    <row r="3227" ht="20.25" customHeight="1">
      <c r="A3227" s="32" t="str">
        <f>IMAGE("https://gymvisual.com/13604-catalog_default/roman-chair-sit-up.jpg",4,500,500)</f>
        <v/>
      </c>
      <c r="B3227" s="30">
        <v>3226.0</v>
      </c>
      <c r="C3227" s="16" t="s">
        <v>4073</v>
      </c>
      <c r="D3227" s="16" t="s">
        <v>184</v>
      </c>
      <c r="E3227" s="16" t="s">
        <v>254</v>
      </c>
      <c r="F3227" s="16" t="s">
        <v>255</v>
      </c>
      <c r="G3227" s="16" t="s">
        <v>256</v>
      </c>
      <c r="H3227" s="16" t="s">
        <v>257</v>
      </c>
    </row>
    <row r="3228" ht="20.25" customHeight="1">
      <c r="A3228" s="32" t="str">
        <f>IMAGE("https://gymvisual.com/17781-catalog_default/romanian-chair-sit-up-version-2.jpg",4,500,500)</f>
        <v/>
      </c>
      <c r="B3228" s="30">
        <v>3227.0</v>
      </c>
      <c r="C3228" s="16" t="s">
        <v>4074</v>
      </c>
      <c r="D3228" s="16" t="s">
        <v>184</v>
      </c>
      <c r="E3228" s="16" t="s">
        <v>185</v>
      </c>
      <c r="F3228" s="16" t="s">
        <v>255</v>
      </c>
      <c r="G3228" s="16" t="s">
        <v>220</v>
      </c>
      <c r="H3228" s="16" t="s">
        <v>220</v>
      </c>
    </row>
    <row r="3229" ht="20.25" customHeight="1">
      <c r="A3229" s="32" t="str">
        <f>IMAGE("https://gymvisual.com/2039-catalog_default/3-4-sit-up.jpg",4,500,500)</f>
        <v/>
      </c>
      <c r="B3229" s="30">
        <v>3228.0</v>
      </c>
      <c r="C3229" s="16" t="s">
        <v>4075</v>
      </c>
      <c r="D3229" s="16" t="s">
        <v>184</v>
      </c>
      <c r="E3229" s="16" t="s">
        <v>192</v>
      </c>
      <c r="F3229" s="16" t="s">
        <v>1160</v>
      </c>
      <c r="G3229" s="16" t="s">
        <v>329</v>
      </c>
      <c r="H3229" s="16" t="s">
        <v>457</v>
      </c>
    </row>
    <row r="3230" ht="20.25" customHeight="1">
      <c r="A3230" s="32" t="str">
        <f>IMAGE("https://gymvisual.com/19341-catalog_default/3-4-sit-up.jpg",4,500,500)</f>
        <v/>
      </c>
      <c r="B3230" s="30">
        <v>3229.0</v>
      </c>
      <c r="C3230" s="16" t="s">
        <v>4076</v>
      </c>
      <c r="D3230" s="16" t="s">
        <v>184</v>
      </c>
      <c r="E3230" s="16" t="s">
        <v>254</v>
      </c>
      <c r="F3230" s="16" t="s">
        <v>255</v>
      </c>
      <c r="G3230" s="16" t="s">
        <v>1874</v>
      </c>
      <c r="H3230" s="16" t="s">
        <v>4077</v>
      </c>
    </row>
    <row r="3231" ht="20.25" customHeight="1">
      <c r="A3231" s="32" t="str">
        <f>IMAGE("https://gymvisual.com/2042-catalog_default/3-4-sit-up.jpg",4,500,500)</f>
        <v/>
      </c>
      <c r="B3231" s="30">
        <v>3230.0</v>
      </c>
      <c r="C3231" s="16" t="s">
        <v>4078</v>
      </c>
      <c r="D3231" s="16" t="s">
        <v>184</v>
      </c>
      <c r="E3231" s="16" t="s">
        <v>254</v>
      </c>
      <c r="F3231" s="16" t="s">
        <v>255</v>
      </c>
      <c r="G3231" s="16" t="s">
        <v>4079</v>
      </c>
      <c r="H3231" s="16" t="s">
        <v>4080</v>
      </c>
    </row>
    <row r="3232" ht="20.25" customHeight="1">
      <c r="A3232" s="32" t="str">
        <f>IMAGE("https://gymvisual.com/14133-catalog_default/rotational-push-up.jpg",4,500,500)</f>
        <v/>
      </c>
      <c r="B3232" s="30">
        <v>3231.0</v>
      </c>
      <c r="C3232" s="16" t="s">
        <v>4081</v>
      </c>
      <c r="D3232" s="16" t="s">
        <v>184</v>
      </c>
      <c r="E3232" s="16" t="s">
        <v>3260</v>
      </c>
      <c r="F3232" s="16" t="s">
        <v>255</v>
      </c>
      <c r="G3232" s="16" t="s">
        <v>1874</v>
      </c>
      <c r="H3232" s="16" t="s">
        <v>3261</v>
      </c>
    </row>
    <row r="3233" ht="20.25" customHeight="1">
      <c r="A3233" s="32" t="str">
        <f>IMAGE("https://gymvisual.com/23851-catalog_default/rounded-back-extension.jpg",4,500,500)</f>
        <v/>
      </c>
      <c r="B3233" s="30">
        <v>3232.0</v>
      </c>
      <c r="C3233" s="16" t="s">
        <v>4082</v>
      </c>
      <c r="D3233" s="16" t="s">
        <v>184</v>
      </c>
      <c r="E3233" s="16" t="s">
        <v>185</v>
      </c>
      <c r="F3233" s="16" t="s">
        <v>255</v>
      </c>
      <c r="G3233" s="16" t="s">
        <v>220</v>
      </c>
      <c r="H3233" s="16" t="s">
        <v>220</v>
      </c>
    </row>
    <row r="3234" ht="20.25" customHeight="1">
      <c r="A3234" s="32" t="str">
        <f>IMAGE("https://gymvisual.com/17542-catalog_default/3-4-sit-up.jpg",4,500,500)</f>
        <v/>
      </c>
      <c r="B3234" s="30">
        <v>3233.0</v>
      </c>
      <c r="C3234" s="16" t="s">
        <v>4083</v>
      </c>
      <c r="D3234" s="16" t="s">
        <v>184</v>
      </c>
      <c r="E3234" s="16" t="s">
        <v>254</v>
      </c>
      <c r="F3234" s="16" t="s">
        <v>255</v>
      </c>
      <c r="G3234" s="16" t="s">
        <v>257</v>
      </c>
      <c r="H3234" s="16" t="s">
        <v>271</v>
      </c>
    </row>
    <row r="3235" ht="20.25" customHeight="1">
      <c r="A3235" s="32" t="str">
        <f>IMAGE("https://gymvisual.com/11173-catalog_default/russian-twist-female.jpg",4,500,500)</f>
        <v/>
      </c>
      <c r="B3235" s="30">
        <v>3234.0</v>
      </c>
      <c r="C3235" s="16" t="s">
        <v>4084</v>
      </c>
      <c r="D3235" s="16" t="s">
        <v>184</v>
      </c>
      <c r="E3235" s="16" t="s">
        <v>254</v>
      </c>
      <c r="F3235" s="16" t="s">
        <v>255</v>
      </c>
      <c r="G3235" s="16" t="s">
        <v>257</v>
      </c>
      <c r="H3235" s="16" t="s">
        <v>271</v>
      </c>
    </row>
    <row r="3236" ht="20.25" customHeight="1">
      <c r="A3236" s="32" t="str">
        <f>IMAGE("https://gymvisual.com/2057-catalog_default/3-4-sit-up.jpg",4,500,500)</f>
        <v/>
      </c>
      <c r="B3236" s="30">
        <v>3235.0</v>
      </c>
      <c r="C3236" s="16" t="s">
        <v>4085</v>
      </c>
      <c r="D3236" s="16" t="s">
        <v>184</v>
      </c>
      <c r="E3236" s="16" t="s">
        <v>254</v>
      </c>
      <c r="F3236" s="16" t="s">
        <v>399</v>
      </c>
      <c r="G3236" s="16" t="s">
        <v>257</v>
      </c>
      <c r="H3236" s="16" t="s">
        <v>271</v>
      </c>
    </row>
    <row r="3237" ht="20.25" customHeight="1">
      <c r="A3237" s="32" t="str">
        <f>IMAGE("https://gymvisual.com/4623-catalog_default/russian-twist-with-medicine-ball.jpg",4,500,500)</f>
        <v/>
      </c>
      <c r="B3237" s="30">
        <v>3236.0</v>
      </c>
      <c r="C3237" s="16" t="s">
        <v>4086</v>
      </c>
      <c r="D3237" s="16" t="s">
        <v>184</v>
      </c>
      <c r="E3237" s="16" t="s">
        <v>254</v>
      </c>
      <c r="F3237" s="16" t="s">
        <v>373</v>
      </c>
      <c r="G3237" s="16" t="s">
        <v>257</v>
      </c>
      <c r="H3237" s="16" t="s">
        <v>256</v>
      </c>
    </row>
    <row r="3238" ht="20.25" customHeight="1">
      <c r="A3238" s="32" t="str">
        <f>IMAGE("https://gymvisual.com/22781-catalog_default/russian-twist-with-hands-on-chest-female.jpg",4,500,500)</f>
        <v/>
      </c>
      <c r="B3238" s="30">
        <v>3237.0</v>
      </c>
      <c r="C3238" s="16" t="s">
        <v>4087</v>
      </c>
      <c r="D3238" s="16" t="s">
        <v>184</v>
      </c>
      <c r="E3238" s="16" t="s">
        <v>254</v>
      </c>
      <c r="F3238" s="16" t="s">
        <v>255</v>
      </c>
      <c r="G3238" s="16" t="s">
        <v>257</v>
      </c>
      <c r="H3238" s="16" t="s">
        <v>271</v>
      </c>
    </row>
    <row r="3239" ht="20.25" customHeight="1">
      <c r="A3239" s="32" t="str">
        <f>IMAGE("https://gymvisual.com/18071-catalog_default/safety-bar-elevated-heel-squat.jpg",4,500,500)</f>
        <v/>
      </c>
      <c r="B3239" s="30">
        <v>3238.0</v>
      </c>
      <c r="C3239" s="16" t="s">
        <v>4088</v>
      </c>
      <c r="D3239" s="16" t="s">
        <v>184</v>
      </c>
      <c r="E3239" s="16" t="s">
        <v>285</v>
      </c>
      <c r="F3239" s="16" t="s">
        <v>255</v>
      </c>
      <c r="G3239" s="16" t="s">
        <v>220</v>
      </c>
      <c r="H3239" s="16" t="s">
        <v>220</v>
      </c>
    </row>
    <row r="3240" ht="20.25" customHeight="1">
      <c r="A3240" s="32" t="str">
        <f>IMAGE("https://gymvisual.com/18069-catalog_default/safety-bar-front-squat.jpg",4,500,500)</f>
        <v/>
      </c>
      <c r="B3240" s="30">
        <v>3239.0</v>
      </c>
      <c r="C3240" s="16" t="s">
        <v>4089</v>
      </c>
      <c r="D3240" s="16" t="s">
        <v>184</v>
      </c>
      <c r="E3240" s="16" t="s">
        <v>285</v>
      </c>
      <c r="F3240" s="16" t="s">
        <v>255</v>
      </c>
      <c r="G3240" s="16" t="s">
        <v>220</v>
      </c>
      <c r="H3240" s="16" t="s">
        <v>220</v>
      </c>
    </row>
    <row r="3241" ht="20.25" customHeight="1">
      <c r="A3241" s="32" t="str">
        <f>IMAGE("https://gymvisual.com/26126-catalog_default/safety-bar-good-morning-male.jpg",4,500,500)</f>
        <v/>
      </c>
      <c r="B3241" s="30">
        <v>3240.0</v>
      </c>
      <c r="C3241" s="16" t="s">
        <v>4090</v>
      </c>
      <c r="D3241" s="16" t="s">
        <v>184</v>
      </c>
      <c r="E3241" s="16" t="s">
        <v>185</v>
      </c>
      <c r="F3241" s="16" t="s">
        <v>255</v>
      </c>
      <c r="G3241" s="16" t="s">
        <v>220</v>
      </c>
      <c r="H3241" s="16" t="s">
        <v>220</v>
      </c>
    </row>
    <row r="3242" ht="20.25" customHeight="1">
      <c r="A3242" s="32" t="str">
        <f>IMAGE("https://gymvisual.com/7328-catalog_default/sagittal-plane-lunge-with-overhead-medicine-ball-press.jpg",4,500,500)</f>
        <v/>
      </c>
      <c r="B3242" s="30">
        <v>3241.0</v>
      </c>
      <c r="C3242" s="16" t="s">
        <v>4091</v>
      </c>
      <c r="D3242" s="16" t="s">
        <v>184</v>
      </c>
      <c r="E3242" s="16" t="s">
        <v>285</v>
      </c>
      <c r="F3242" s="16" t="s">
        <v>373</v>
      </c>
      <c r="G3242" s="16" t="s">
        <v>220</v>
      </c>
      <c r="H3242" s="16" t="s">
        <v>220</v>
      </c>
    </row>
    <row r="3243" ht="20.25" customHeight="1">
      <c r="A3243" s="32" t="str">
        <f>IMAGE("https://gymvisual.com/12403-catalog_default/scapula-dips.jpg",4,500,500)</f>
        <v/>
      </c>
      <c r="B3243" s="30">
        <v>3242.0</v>
      </c>
      <c r="C3243" s="16" t="s">
        <v>4092</v>
      </c>
      <c r="D3243" s="16" t="s">
        <v>184</v>
      </c>
      <c r="E3243" s="16" t="s">
        <v>192</v>
      </c>
      <c r="F3243" s="16" t="s">
        <v>255</v>
      </c>
      <c r="G3243" s="16" t="s">
        <v>239</v>
      </c>
      <c r="H3243" s="16" t="s">
        <v>4008</v>
      </c>
    </row>
    <row r="3244" ht="20.25" customHeight="1">
      <c r="A3244" s="32" t="str">
        <f>IMAGE("https://gymvisual.com/17274-catalog_default/scapula-dips-female.jpg",4,500,500)</f>
        <v/>
      </c>
      <c r="B3244" s="30">
        <v>3243.0</v>
      </c>
      <c r="C3244" s="16" t="s">
        <v>4093</v>
      </c>
      <c r="D3244" s="16" t="s">
        <v>184</v>
      </c>
      <c r="E3244" s="16" t="s">
        <v>192</v>
      </c>
      <c r="F3244" s="16" t="s">
        <v>255</v>
      </c>
      <c r="G3244" s="16" t="s">
        <v>239</v>
      </c>
      <c r="H3244" s="16" t="s">
        <v>4008</v>
      </c>
    </row>
    <row r="3245" ht="20.25" customHeight="1">
      <c r="A3245" s="32" t="str">
        <f>IMAGE("https://gymvisual.com/12430-catalog_default/scapula-push-up.jpg",4,500,500)</f>
        <v/>
      </c>
      <c r="B3245" s="30">
        <v>3244.0</v>
      </c>
      <c r="C3245" s="16" t="s">
        <v>4094</v>
      </c>
      <c r="D3245" s="16" t="s">
        <v>184</v>
      </c>
      <c r="E3245" s="16" t="s">
        <v>234</v>
      </c>
      <c r="F3245" s="16" t="s">
        <v>255</v>
      </c>
      <c r="G3245" s="16" t="s">
        <v>885</v>
      </c>
      <c r="H3245" s="16" t="s">
        <v>1621</v>
      </c>
    </row>
    <row r="3246" ht="20.25" customHeight="1">
      <c r="A3246" s="32" t="str">
        <f>IMAGE("https://gymvisual.com/2063-catalog_default/3-4-sit-up.jpg",4,500,500)</f>
        <v/>
      </c>
      <c r="B3246" s="30">
        <v>3245.0</v>
      </c>
      <c r="C3246" s="16" t="s">
        <v>4095</v>
      </c>
      <c r="D3246" s="16" t="s">
        <v>184</v>
      </c>
      <c r="E3246" s="16" t="s">
        <v>192</v>
      </c>
      <c r="F3246" s="16" t="s">
        <v>255</v>
      </c>
      <c r="G3246" s="16" t="s">
        <v>4096</v>
      </c>
      <c r="H3246" s="16" t="s">
        <v>300</v>
      </c>
    </row>
    <row r="3247" ht="20.25" customHeight="1">
      <c r="A3247" s="32" t="str">
        <f>IMAGE("https://gymvisual.com/12210-catalog_default/scapular-slide-back-to-wall.jpg",4,500,500)</f>
        <v/>
      </c>
      <c r="B3247" s="30">
        <v>3246.0</v>
      </c>
      <c r="C3247" s="16" t="s">
        <v>4097</v>
      </c>
      <c r="D3247" s="16" t="s">
        <v>184</v>
      </c>
      <c r="E3247" s="16" t="s">
        <v>192</v>
      </c>
      <c r="F3247" s="16" t="s">
        <v>255</v>
      </c>
      <c r="G3247" s="16" t="s">
        <v>4008</v>
      </c>
      <c r="H3247" s="16" t="s">
        <v>408</v>
      </c>
    </row>
    <row r="3248" ht="20.25" customHeight="1">
      <c r="A3248" s="32" t="str">
        <f>IMAGE("https://gymvisual.com/12084-catalog_default/scissors-advanced-female.jpg",4,500,500)</f>
        <v/>
      </c>
      <c r="B3248" s="30">
        <v>3247.0</v>
      </c>
      <c r="C3248" s="16" t="s">
        <v>4098</v>
      </c>
      <c r="D3248" s="16" t="s">
        <v>184</v>
      </c>
      <c r="E3248" s="16" t="s">
        <v>254</v>
      </c>
      <c r="F3248" s="16" t="s">
        <v>255</v>
      </c>
      <c r="G3248" s="16" t="s">
        <v>220</v>
      </c>
      <c r="H3248" s="16" t="s">
        <v>220</v>
      </c>
    </row>
    <row r="3249" ht="20.25" customHeight="1">
      <c r="A3249" s="32" t="str">
        <f>IMAGE("https://gymvisual.com/14236-catalog_default/scissors-advanced-male.jpg",4,500,500)</f>
        <v/>
      </c>
      <c r="B3249" s="30">
        <v>3248.0</v>
      </c>
      <c r="C3249" s="16" t="s">
        <v>4099</v>
      </c>
      <c r="D3249" s="16" t="s">
        <v>184</v>
      </c>
      <c r="E3249" s="16" t="s">
        <v>310</v>
      </c>
      <c r="F3249" s="16" t="s">
        <v>255</v>
      </c>
      <c r="G3249" s="16" t="s">
        <v>2845</v>
      </c>
      <c r="H3249" s="16" t="s">
        <v>4100</v>
      </c>
    </row>
    <row r="3250" ht="20.25" customHeight="1">
      <c r="A3250" s="32" t="str">
        <f>IMAGE("https://gymvisual.com/12083-catalog_default/scissors-beginner-female.jpg",4,500,500)</f>
        <v/>
      </c>
      <c r="B3250" s="30">
        <v>3249.0</v>
      </c>
      <c r="C3250" s="16" t="s">
        <v>4101</v>
      </c>
      <c r="D3250" s="16" t="s">
        <v>184</v>
      </c>
      <c r="E3250" s="16" t="s">
        <v>185</v>
      </c>
      <c r="F3250" s="16" t="s">
        <v>255</v>
      </c>
      <c r="G3250" s="16" t="s">
        <v>220</v>
      </c>
      <c r="H3250" s="16" t="s">
        <v>220</v>
      </c>
    </row>
    <row r="3251" ht="20.25" customHeight="1">
      <c r="A3251" s="32" t="str">
        <f>IMAGE("https://gymvisual.com/22111-catalog_default/seated-8-leg-crunch.jpg",4,500,500)</f>
        <v/>
      </c>
      <c r="B3251" s="30">
        <v>3250.0</v>
      </c>
      <c r="C3251" s="16" t="s">
        <v>4102</v>
      </c>
      <c r="D3251" s="16" t="s">
        <v>184</v>
      </c>
      <c r="E3251" s="16" t="s">
        <v>254</v>
      </c>
      <c r="F3251" s="16" t="s">
        <v>255</v>
      </c>
      <c r="G3251" s="16" t="s">
        <v>4103</v>
      </c>
      <c r="H3251" s="16" t="s">
        <v>4104</v>
      </c>
    </row>
    <row r="3252" ht="20.25" customHeight="1">
      <c r="A3252" s="32" t="str">
        <f>IMAGE("https://gymvisual.com/17294-catalog_default/seated-alternate-crunch.jpg",4,500,500)</f>
        <v/>
      </c>
      <c r="B3252" s="30">
        <v>3251.0</v>
      </c>
      <c r="C3252" s="16" t="s">
        <v>4105</v>
      </c>
      <c r="D3252" s="16" t="s">
        <v>184</v>
      </c>
      <c r="E3252" s="16" t="s">
        <v>310</v>
      </c>
      <c r="F3252" s="16" t="s">
        <v>255</v>
      </c>
      <c r="G3252" s="16" t="s">
        <v>305</v>
      </c>
      <c r="H3252" s="16" t="s">
        <v>1306</v>
      </c>
    </row>
    <row r="3253" ht="20.25" customHeight="1">
      <c r="A3253" s="32" t="str">
        <f>IMAGE("https://gymvisual.com/24129-catalog_default/seated-back-squeeze-female.jpg",4,500,500)</f>
        <v/>
      </c>
      <c r="B3253" s="30">
        <v>3252.0</v>
      </c>
      <c r="C3253" s="16" t="s">
        <v>4106</v>
      </c>
      <c r="D3253" s="16" t="s">
        <v>184</v>
      </c>
      <c r="E3253" s="16" t="s">
        <v>192</v>
      </c>
      <c r="F3253" s="16" t="s">
        <v>2745</v>
      </c>
      <c r="G3253" s="16" t="s">
        <v>220</v>
      </c>
      <c r="H3253" s="16" t="s">
        <v>220</v>
      </c>
    </row>
    <row r="3254" ht="20.25" customHeight="1">
      <c r="A3254" s="32" t="str">
        <f>IMAGE("https://gymvisual.com/24133-catalog_default/seated-back-twist-female.jpg",4,500,500)</f>
        <v/>
      </c>
      <c r="B3254" s="30">
        <v>3253.0</v>
      </c>
      <c r="C3254" s="16" t="s">
        <v>4107</v>
      </c>
      <c r="D3254" s="16" t="s">
        <v>184</v>
      </c>
      <c r="E3254" s="16" t="s">
        <v>254</v>
      </c>
      <c r="F3254" s="16" t="s">
        <v>255</v>
      </c>
      <c r="G3254" s="16" t="s">
        <v>220</v>
      </c>
      <c r="H3254" s="16" t="s">
        <v>220</v>
      </c>
    </row>
    <row r="3255" ht="20.25" customHeight="1">
      <c r="A3255" s="32" t="str">
        <f>IMAGE("https://gymvisual.com/24141-catalog_default/seated-ballerina-female.jpg",4,500,500)</f>
        <v/>
      </c>
      <c r="B3255" s="30">
        <v>3254.0</v>
      </c>
      <c r="C3255" s="16" t="s">
        <v>4108</v>
      </c>
      <c r="D3255" s="16" t="s">
        <v>184</v>
      </c>
      <c r="E3255" s="16" t="s">
        <v>228</v>
      </c>
      <c r="F3255" s="16" t="s">
        <v>399</v>
      </c>
      <c r="G3255" s="16" t="s">
        <v>220</v>
      </c>
      <c r="H3255" s="16" t="s">
        <v>220</v>
      </c>
    </row>
    <row r="3256" ht="20.25" customHeight="1">
      <c r="A3256" s="32" t="str">
        <f>IMAGE("https://gymvisual.com/24139-catalog_default/seated-behind-back-raise-female.jpg",4,500,500)</f>
        <v/>
      </c>
      <c r="B3256" s="30">
        <v>3255.0</v>
      </c>
      <c r="C3256" s="16" t="s">
        <v>4109</v>
      </c>
      <c r="D3256" s="16" t="s">
        <v>184</v>
      </c>
      <c r="E3256" s="16" t="s">
        <v>192</v>
      </c>
      <c r="F3256" s="16" t="s">
        <v>255</v>
      </c>
      <c r="G3256" s="16" t="s">
        <v>220</v>
      </c>
      <c r="H3256" s="16" t="s">
        <v>220</v>
      </c>
    </row>
    <row r="3257" ht="20.25" customHeight="1">
      <c r="A3257" s="32" t="str">
        <f>IMAGE("https://gymvisual.com/23689-catalog_default/seated-chest-clam.jpg",4,500,500)</f>
        <v/>
      </c>
      <c r="B3257" s="30">
        <v>3256.0</v>
      </c>
      <c r="C3257" s="16" t="s">
        <v>4110</v>
      </c>
      <c r="D3257" s="16" t="s">
        <v>184</v>
      </c>
      <c r="E3257" s="16" t="s">
        <v>234</v>
      </c>
      <c r="F3257" s="16" t="s">
        <v>255</v>
      </c>
      <c r="G3257" s="16" t="s">
        <v>472</v>
      </c>
      <c r="H3257" s="16" t="s">
        <v>220</v>
      </c>
    </row>
    <row r="3258" ht="20.25" customHeight="1">
      <c r="A3258" s="32" t="str">
        <f>IMAGE("https://gymvisual.com/24095-catalog_default/seated-chin-tuck.jpg",4,500,500)</f>
        <v/>
      </c>
      <c r="B3258" s="30">
        <v>3257.0</v>
      </c>
      <c r="C3258" s="16" t="s">
        <v>4111</v>
      </c>
      <c r="D3258" s="16" t="s">
        <v>184</v>
      </c>
      <c r="E3258" s="16" t="s">
        <v>351</v>
      </c>
      <c r="F3258" s="16" t="s">
        <v>255</v>
      </c>
      <c r="G3258" s="16" t="s">
        <v>220</v>
      </c>
      <c r="H3258" s="16" t="s">
        <v>220</v>
      </c>
    </row>
    <row r="3259" ht="20.25" customHeight="1">
      <c r="A3259" s="32" t="str">
        <f>IMAGE("https://gymvisual.com/20710-catalog_default/seated-chin-up.jpg",4,500,500)</f>
        <v/>
      </c>
      <c r="B3259" s="30">
        <v>3258.0</v>
      </c>
      <c r="C3259" s="16" t="s">
        <v>4112</v>
      </c>
      <c r="D3259" s="16" t="s">
        <v>184</v>
      </c>
      <c r="E3259" s="16" t="s">
        <v>192</v>
      </c>
      <c r="F3259" s="16" t="s">
        <v>255</v>
      </c>
      <c r="G3259" s="16" t="s">
        <v>329</v>
      </c>
      <c r="H3259" s="16" t="s">
        <v>447</v>
      </c>
    </row>
    <row r="3260" ht="20.25" customHeight="1">
      <c r="A3260" s="32" t="str">
        <f>IMAGE("https://gymvisual.com/20708-catalog_default/seated-chin-up-low-bar-position.jpg",4,500,500)</f>
        <v/>
      </c>
      <c r="B3260" s="30">
        <v>3259.0</v>
      </c>
      <c r="C3260" s="16" t="s">
        <v>4113</v>
      </c>
      <c r="D3260" s="16" t="s">
        <v>184</v>
      </c>
      <c r="E3260" s="16" t="s">
        <v>192</v>
      </c>
      <c r="F3260" s="16" t="s">
        <v>255</v>
      </c>
      <c r="G3260" s="16" t="s">
        <v>329</v>
      </c>
      <c r="H3260" s="16" t="s">
        <v>447</v>
      </c>
    </row>
    <row r="3261" ht="20.25" customHeight="1">
      <c r="A3261" s="32" t="str">
        <f>IMAGE("https://gymvisual.com/20505-catalog_default/seated-commando-pull-up.jpg",4,500,500)</f>
        <v/>
      </c>
      <c r="B3261" s="30">
        <v>3260.0</v>
      </c>
      <c r="C3261" s="16" t="s">
        <v>4114</v>
      </c>
      <c r="D3261" s="16" t="s">
        <v>184</v>
      </c>
      <c r="E3261" s="16" t="s">
        <v>361</v>
      </c>
      <c r="F3261" s="16" t="s">
        <v>255</v>
      </c>
      <c r="G3261" s="16" t="s">
        <v>329</v>
      </c>
      <c r="H3261" s="16" t="s">
        <v>357</v>
      </c>
    </row>
    <row r="3262" ht="20.25" customHeight="1">
      <c r="A3262" s="32" t="str">
        <f>IMAGE("https://gymvisual.com/13906-catalog_default/seated-flexion-and-extension-neck-male.jpg",4,500,500)</f>
        <v/>
      </c>
      <c r="B3262" s="30">
        <v>3261.0</v>
      </c>
      <c r="C3262" s="16" t="s">
        <v>4115</v>
      </c>
      <c r="D3262" s="16" t="s">
        <v>184</v>
      </c>
      <c r="E3262" s="16" t="s">
        <v>351</v>
      </c>
      <c r="F3262" s="16" t="s">
        <v>255</v>
      </c>
      <c r="G3262" s="16" t="s">
        <v>4116</v>
      </c>
      <c r="H3262" s="16" t="s">
        <v>220</v>
      </c>
    </row>
    <row r="3263" ht="20.25" customHeight="1">
      <c r="A3263" s="32" t="str">
        <f>IMAGE("https://gymvisual.com/17300-catalog_default/seated-flutter-kick.jpg",4,500,500)</f>
        <v/>
      </c>
      <c r="B3263" s="30">
        <v>3262.0</v>
      </c>
      <c r="C3263" s="16" t="s">
        <v>4117</v>
      </c>
      <c r="D3263" s="16" t="s">
        <v>184</v>
      </c>
      <c r="E3263" s="16" t="s">
        <v>254</v>
      </c>
      <c r="F3263" s="16" t="s">
        <v>255</v>
      </c>
      <c r="G3263" s="16" t="s">
        <v>305</v>
      </c>
      <c r="H3263" s="16" t="s">
        <v>600</v>
      </c>
    </row>
    <row r="3264" ht="20.25" customHeight="1">
      <c r="A3264" s="32" t="str">
        <f>IMAGE("https://gymvisual.com/24149-catalog_default/seated-foot-slide.jpg",4,500,500)</f>
        <v/>
      </c>
      <c r="B3264" s="30">
        <v>3263.0</v>
      </c>
      <c r="C3264" s="16" t="s">
        <v>4118</v>
      </c>
      <c r="D3264" s="16" t="s">
        <v>184</v>
      </c>
      <c r="E3264" s="16" t="s">
        <v>325</v>
      </c>
      <c r="F3264" s="16" t="s">
        <v>255</v>
      </c>
      <c r="G3264" s="16" t="s">
        <v>220</v>
      </c>
      <c r="H3264" s="16" t="s">
        <v>220</v>
      </c>
    </row>
    <row r="3265" ht="20.25" customHeight="1">
      <c r="A3265" s="32" t="str">
        <f>IMAGE("https://gymvisual.com/14028-catalog_default/seated-in-out-leg-raise-on-floor.jpg",4,500,500)</f>
        <v/>
      </c>
      <c r="B3265" s="30">
        <v>3264.0</v>
      </c>
      <c r="C3265" s="16" t="s">
        <v>4119</v>
      </c>
      <c r="D3265" s="16" t="s">
        <v>184</v>
      </c>
      <c r="E3265" s="16" t="s">
        <v>522</v>
      </c>
      <c r="F3265" s="16" t="s">
        <v>255</v>
      </c>
      <c r="G3265" s="16" t="s">
        <v>2640</v>
      </c>
      <c r="H3265" s="16" t="s">
        <v>1206</v>
      </c>
    </row>
    <row r="3266" ht="20.25" customHeight="1">
      <c r="A3266" s="32" t="str">
        <f>IMAGE("https://gymvisual.com/23589-catalog_default/seated-in-out-leg-raise-on-floor-female.jpg",4,500,500)</f>
        <v/>
      </c>
      <c r="B3266" s="30">
        <v>3265.0</v>
      </c>
      <c r="C3266" s="16" t="s">
        <v>4120</v>
      </c>
      <c r="D3266" s="16" t="s">
        <v>184</v>
      </c>
      <c r="E3266" s="16" t="s">
        <v>254</v>
      </c>
      <c r="F3266" s="16" t="s">
        <v>255</v>
      </c>
      <c r="G3266" s="16" t="s">
        <v>305</v>
      </c>
      <c r="H3266" s="16" t="s">
        <v>600</v>
      </c>
    </row>
    <row r="3267" ht="20.25" customHeight="1">
      <c r="A3267" s="32" t="str">
        <f>IMAGE("https://gymvisual.com/2066-catalog_default/3-4-sit-up.jpg",4,500,500)</f>
        <v/>
      </c>
      <c r="B3267" s="30">
        <v>3266.0</v>
      </c>
      <c r="C3267" s="16" t="s">
        <v>4121</v>
      </c>
      <c r="D3267" s="16" t="s">
        <v>184</v>
      </c>
      <c r="E3267" s="16" t="s">
        <v>254</v>
      </c>
      <c r="F3267" s="16" t="s">
        <v>255</v>
      </c>
      <c r="G3267" s="16" t="s">
        <v>256</v>
      </c>
      <c r="H3267" s="16" t="s">
        <v>424</v>
      </c>
    </row>
    <row r="3268" ht="20.25" customHeight="1">
      <c r="A3268" s="32" t="str">
        <f>IMAGE("https://gymvisual.com/11176-catalog_default/seated-leg-raise-female.jpg",4,500,500)</f>
        <v/>
      </c>
      <c r="B3268" s="30">
        <v>3267.0</v>
      </c>
      <c r="C3268" s="16" t="s">
        <v>4122</v>
      </c>
      <c r="D3268" s="16" t="s">
        <v>184</v>
      </c>
      <c r="E3268" s="16" t="s">
        <v>310</v>
      </c>
      <c r="F3268" s="16" t="s">
        <v>255</v>
      </c>
      <c r="G3268" s="16" t="s">
        <v>220</v>
      </c>
      <c r="H3268" s="16" t="s">
        <v>220</v>
      </c>
    </row>
    <row r="3269" ht="20.25" customHeight="1">
      <c r="A3269" s="32" t="str">
        <f>IMAGE("https://gymvisual.com/24135-catalog_default/seated-neck-tap-female.jpg",4,500,500)</f>
        <v/>
      </c>
      <c r="B3269" s="30">
        <v>3268.0</v>
      </c>
      <c r="C3269" s="16" t="s">
        <v>4123</v>
      </c>
      <c r="D3269" s="16" t="s">
        <v>184</v>
      </c>
      <c r="E3269" s="16" t="s">
        <v>219</v>
      </c>
      <c r="F3269" s="16" t="s">
        <v>255</v>
      </c>
      <c r="G3269" s="16" t="s">
        <v>220</v>
      </c>
      <c r="H3269" s="16" t="s">
        <v>220</v>
      </c>
    </row>
    <row r="3270" ht="20.25" customHeight="1">
      <c r="A3270" s="32" t="str">
        <f>IMAGE("https://gymvisual.com/20714-catalog_default/seated-pull-up.jpg",4,500,500)</f>
        <v/>
      </c>
      <c r="B3270" s="30">
        <v>3269.0</v>
      </c>
      <c r="C3270" s="16" t="s">
        <v>4124</v>
      </c>
      <c r="D3270" s="16" t="s">
        <v>184</v>
      </c>
      <c r="E3270" s="16" t="s">
        <v>192</v>
      </c>
      <c r="F3270" s="16" t="s">
        <v>255</v>
      </c>
      <c r="G3270" s="16" t="s">
        <v>329</v>
      </c>
      <c r="H3270" s="16" t="s">
        <v>447</v>
      </c>
    </row>
    <row r="3271" ht="20.25" customHeight="1">
      <c r="A3271" s="32" t="str">
        <f>IMAGE("https://gymvisual.com/22299-catalog_default/seated-pull-up-legs-elevated.jpg",4,500,500)</f>
        <v/>
      </c>
      <c r="B3271" s="30">
        <v>3270.0</v>
      </c>
      <c r="C3271" s="16" t="s">
        <v>4125</v>
      </c>
      <c r="D3271" s="16" t="s">
        <v>184</v>
      </c>
      <c r="E3271" s="16" t="s">
        <v>192</v>
      </c>
      <c r="F3271" s="16" t="s">
        <v>255</v>
      </c>
      <c r="G3271" s="16" t="s">
        <v>220</v>
      </c>
      <c r="H3271" s="16" t="s">
        <v>220</v>
      </c>
    </row>
    <row r="3272" ht="20.25" customHeight="1">
      <c r="A3272" s="32" t="str">
        <f>IMAGE("https://gymvisual.com/20712-catalog_default/seated-pull-up-low-bar-position.jpg",4,500,500)</f>
        <v/>
      </c>
      <c r="B3272" s="30">
        <v>3271.0</v>
      </c>
      <c r="C3272" s="16" t="s">
        <v>4126</v>
      </c>
      <c r="D3272" s="16" t="s">
        <v>184</v>
      </c>
      <c r="E3272" s="16" t="s">
        <v>192</v>
      </c>
      <c r="F3272" s="16" t="s">
        <v>255</v>
      </c>
      <c r="G3272" s="16" t="s">
        <v>329</v>
      </c>
      <c r="H3272" s="16" t="s">
        <v>447</v>
      </c>
    </row>
    <row r="3273" ht="20.25" customHeight="1">
      <c r="A3273" s="32" t="str">
        <f>IMAGE("https://gymvisual.com/14127-catalog_default/seated-pull-up-between-chairs.jpg",4,500,500)</f>
        <v/>
      </c>
      <c r="B3273" s="30">
        <v>3272.0</v>
      </c>
      <c r="C3273" s="16" t="s">
        <v>4127</v>
      </c>
      <c r="D3273" s="16" t="s">
        <v>184</v>
      </c>
      <c r="E3273" s="16" t="s">
        <v>192</v>
      </c>
      <c r="F3273" s="16" t="s">
        <v>255</v>
      </c>
      <c r="G3273" s="16" t="s">
        <v>300</v>
      </c>
      <c r="H3273" s="16" t="s">
        <v>3413</v>
      </c>
    </row>
    <row r="3274" ht="20.25" customHeight="1">
      <c r="A3274" s="32" t="str">
        <f>IMAGE("https://gymvisual.com/24137-catalog_default/seated-pulse-back-squeeze-female.jpg",4,500,500)</f>
        <v/>
      </c>
      <c r="B3274" s="30">
        <v>3273.0</v>
      </c>
      <c r="C3274" s="16" t="s">
        <v>4128</v>
      </c>
      <c r="D3274" s="16" t="s">
        <v>184</v>
      </c>
      <c r="E3274" s="16" t="s">
        <v>192</v>
      </c>
      <c r="F3274" s="16" t="s">
        <v>2745</v>
      </c>
      <c r="G3274" s="16" t="s">
        <v>220</v>
      </c>
      <c r="H3274" s="16" t="s">
        <v>220</v>
      </c>
    </row>
    <row r="3275" ht="20.25" customHeight="1">
      <c r="A3275" s="32" t="str">
        <f>IMAGE("https://gymvisual.com/22101-catalog_default/seated-row-with-towel.jpg",4,500,500)</f>
        <v/>
      </c>
      <c r="B3275" s="30">
        <v>3274.0</v>
      </c>
      <c r="C3275" s="16" t="s">
        <v>4129</v>
      </c>
      <c r="D3275" s="16" t="s">
        <v>184</v>
      </c>
      <c r="E3275" s="16" t="s">
        <v>192</v>
      </c>
      <c r="F3275" s="16" t="s">
        <v>255</v>
      </c>
      <c r="G3275" s="16" t="s">
        <v>570</v>
      </c>
      <c r="H3275" s="16" t="s">
        <v>447</v>
      </c>
    </row>
    <row r="3276" ht="20.25" customHeight="1">
      <c r="A3276" s="32" t="str">
        <f>IMAGE("https://gymvisual.com/2072-catalog_default/3-4-sit-up.jpg",4,500,500)</f>
        <v/>
      </c>
      <c r="B3276" s="30">
        <v>3275.0</v>
      </c>
      <c r="C3276" s="16" t="s">
        <v>4130</v>
      </c>
      <c r="D3276" s="16" t="s">
        <v>184</v>
      </c>
      <c r="E3276" s="16" t="s">
        <v>254</v>
      </c>
      <c r="F3276" s="16" t="s">
        <v>255</v>
      </c>
      <c r="G3276" s="16" t="s">
        <v>1328</v>
      </c>
      <c r="H3276" s="16" t="s">
        <v>190</v>
      </c>
    </row>
    <row r="3277" ht="20.25" customHeight="1">
      <c r="A3277" s="32" t="str">
        <f>IMAGE("https://gymvisual.com/17379-catalog_default/seated-side-to-side-leg-raise-crunch-on-floor.jpg",4,500,500)</f>
        <v/>
      </c>
      <c r="B3277" s="30">
        <v>3276.0</v>
      </c>
      <c r="C3277" s="16" t="s">
        <v>4131</v>
      </c>
      <c r="D3277" s="16" t="s">
        <v>184</v>
      </c>
      <c r="E3277" s="16" t="s">
        <v>254</v>
      </c>
      <c r="F3277" s="16" t="s">
        <v>255</v>
      </c>
      <c r="G3277" s="16" t="s">
        <v>263</v>
      </c>
      <c r="H3277" s="16" t="s">
        <v>4132</v>
      </c>
    </row>
    <row r="3278" ht="20.25" customHeight="1">
      <c r="A3278" s="32" t="str">
        <f>IMAGE("https://gymvisual.com/23691-catalog_default/seated-sky-look.jpg",4,500,500)</f>
        <v/>
      </c>
      <c r="B3278" s="30">
        <v>3277.0</v>
      </c>
      <c r="C3278" s="16" t="s">
        <v>4133</v>
      </c>
      <c r="D3278" s="16" t="s">
        <v>184</v>
      </c>
      <c r="E3278" s="16" t="s">
        <v>234</v>
      </c>
      <c r="F3278" s="16" t="s">
        <v>255</v>
      </c>
      <c r="G3278" s="16" t="s">
        <v>472</v>
      </c>
      <c r="H3278" s="16" t="s">
        <v>220</v>
      </c>
    </row>
    <row r="3279" ht="20.25" customHeight="1">
      <c r="A3279" s="32" t="str">
        <f>IMAGE("https://gymvisual.com/2080-catalog_default/3-4-sit-up.jpg",4,500,500)</f>
        <v/>
      </c>
      <c r="B3279" s="30">
        <v>3278.0</v>
      </c>
      <c r="C3279" s="16" t="s">
        <v>4134</v>
      </c>
      <c r="D3279" s="16" t="s">
        <v>184</v>
      </c>
      <c r="E3279" s="16" t="s">
        <v>254</v>
      </c>
      <c r="F3279" s="16" t="s">
        <v>399</v>
      </c>
      <c r="G3279" s="16" t="s">
        <v>257</v>
      </c>
      <c r="H3279" s="16" t="s">
        <v>271</v>
      </c>
    </row>
    <row r="3280" ht="20.25" customHeight="1">
      <c r="A3280" s="32" t="str">
        <f>IMAGE("https://gymvisual.com/2083-catalog_default/3-4-sit-up.jpg",4,500,500)</f>
        <v/>
      </c>
      <c r="B3280" s="30">
        <v>3279.0</v>
      </c>
      <c r="C3280" s="16" t="s">
        <v>4135</v>
      </c>
      <c r="D3280" s="16" t="s">
        <v>184</v>
      </c>
      <c r="E3280" s="16" t="s">
        <v>254</v>
      </c>
      <c r="F3280" s="16" t="s">
        <v>255</v>
      </c>
      <c r="G3280" s="16" t="s">
        <v>257</v>
      </c>
      <c r="H3280" s="16" t="s">
        <v>256</v>
      </c>
    </row>
    <row r="3281" ht="20.25" customHeight="1">
      <c r="A3281" s="32" t="str">
        <f>IMAGE("https://gymvisual.com/18828-catalog_default/seated-twist-straight-arm-male.jpg",4,500,500)</f>
        <v/>
      </c>
      <c r="B3281" s="30">
        <v>3280.0</v>
      </c>
      <c r="C3281" s="16" t="s">
        <v>4136</v>
      </c>
      <c r="D3281" s="16" t="s">
        <v>184</v>
      </c>
      <c r="E3281" s="16" t="s">
        <v>254</v>
      </c>
      <c r="F3281" s="16" t="s">
        <v>255</v>
      </c>
      <c r="G3281" s="16" t="s">
        <v>257</v>
      </c>
      <c r="H3281" s="16" t="s">
        <v>256</v>
      </c>
    </row>
    <row r="3282" ht="20.25" customHeight="1">
      <c r="A3282" s="32" t="str">
        <f>IMAGE("https://gymvisual.com/24131-catalog_default/seated-upper-body-rotation-female.jpg",4,500,500)</f>
        <v/>
      </c>
      <c r="B3282" s="30">
        <v>3281.0</v>
      </c>
      <c r="C3282" s="16" t="s">
        <v>4137</v>
      </c>
      <c r="D3282" s="16" t="s">
        <v>184</v>
      </c>
      <c r="E3282" s="16" t="s">
        <v>254</v>
      </c>
      <c r="F3282" s="16" t="s">
        <v>255</v>
      </c>
      <c r="G3282" s="16" t="s">
        <v>220</v>
      </c>
      <c r="H3282" s="16" t="s">
        <v>220</v>
      </c>
    </row>
    <row r="3283" ht="20.25" customHeight="1">
      <c r="A3283" s="32" t="str">
        <f>IMAGE("https://gymvisual.com/2089-catalog_default/3-4-sit-up.jpg",4,500,500)</f>
        <v/>
      </c>
      <c r="B3283" s="30">
        <v>3282.0</v>
      </c>
      <c r="C3283" s="16" t="s">
        <v>4138</v>
      </c>
      <c r="D3283" s="16" t="s">
        <v>184</v>
      </c>
      <c r="E3283" s="16" t="s">
        <v>285</v>
      </c>
      <c r="F3283" s="16" t="s">
        <v>255</v>
      </c>
      <c r="G3283" s="16" t="s">
        <v>188</v>
      </c>
      <c r="H3283" s="16" t="s">
        <v>4139</v>
      </c>
    </row>
    <row r="3284" ht="20.25" customHeight="1">
      <c r="A3284" s="32" t="str">
        <f>IMAGE("https://gymvisual.com/7594-catalog_default/self-assisted-inverse-leg-curl.jpg",4,500,500)</f>
        <v/>
      </c>
      <c r="B3284" s="30">
        <v>3283.0</v>
      </c>
      <c r="C3284" s="16" t="s">
        <v>4138</v>
      </c>
      <c r="D3284" s="16" t="s">
        <v>184</v>
      </c>
      <c r="E3284" s="16" t="s">
        <v>285</v>
      </c>
      <c r="F3284" s="16" t="s">
        <v>255</v>
      </c>
      <c r="G3284" s="16" t="s">
        <v>220</v>
      </c>
      <c r="H3284" s="16" t="s">
        <v>220</v>
      </c>
    </row>
    <row r="3285" ht="20.25" customHeight="1">
      <c r="A3285" s="32" t="str">
        <f>IMAGE("https://gymvisual.com/2086-catalog_default/3-4-sit-up.jpg",4,500,500)</f>
        <v/>
      </c>
      <c r="B3285" s="30">
        <v>3284.0</v>
      </c>
      <c r="C3285" s="16" t="s">
        <v>4140</v>
      </c>
      <c r="D3285" s="16" t="s">
        <v>184</v>
      </c>
      <c r="E3285" s="16" t="s">
        <v>285</v>
      </c>
      <c r="F3285" s="16" t="s">
        <v>255</v>
      </c>
      <c r="G3285" s="16" t="s">
        <v>188</v>
      </c>
      <c r="H3285" s="16" t="s">
        <v>4141</v>
      </c>
    </row>
    <row r="3286" ht="20.25" customHeight="1">
      <c r="A3286" s="32" t="str">
        <f>IMAGE("https://gymvisual.com/14014-catalog_default/self-assisted-inverted-pullover.jpg",4,500,500)</f>
        <v/>
      </c>
      <c r="B3286" s="30">
        <v>3285.0</v>
      </c>
      <c r="C3286" s="16" t="s">
        <v>4142</v>
      </c>
      <c r="D3286" s="16" t="s">
        <v>184</v>
      </c>
      <c r="E3286" s="16" t="s">
        <v>361</v>
      </c>
      <c r="F3286" s="16" t="s">
        <v>255</v>
      </c>
      <c r="G3286" s="16" t="s">
        <v>1230</v>
      </c>
      <c r="H3286" s="16" t="s">
        <v>220</v>
      </c>
    </row>
    <row r="3287" ht="20.25" customHeight="1">
      <c r="A3287" s="32" t="str">
        <f>IMAGE("https://gymvisual.com/13793-catalog_default/self-assisted-inverse-leg-curl-version-2.jpg",4,500,500)</f>
        <v/>
      </c>
      <c r="B3287" s="30">
        <v>3286.0</v>
      </c>
      <c r="C3287" s="16" t="s">
        <v>4143</v>
      </c>
      <c r="D3287" s="16" t="s">
        <v>184</v>
      </c>
      <c r="E3287" s="16" t="s">
        <v>285</v>
      </c>
      <c r="F3287" s="16" t="s">
        <v>255</v>
      </c>
      <c r="G3287" s="16" t="s">
        <v>188</v>
      </c>
      <c r="H3287" s="16" t="s">
        <v>368</v>
      </c>
    </row>
    <row r="3288" ht="20.25" customHeight="1">
      <c r="A3288" s="32" t="str">
        <f>IMAGE("https://gymvisual.com/20169-catalog_default/serratus-wall-slide.jpg",4,500,500)</f>
        <v/>
      </c>
      <c r="B3288" s="30">
        <v>3287.0</v>
      </c>
      <c r="C3288" s="16" t="s">
        <v>4144</v>
      </c>
      <c r="D3288" s="16" t="s">
        <v>184</v>
      </c>
      <c r="E3288" s="16" t="s">
        <v>192</v>
      </c>
      <c r="F3288" s="16" t="s">
        <v>255</v>
      </c>
      <c r="G3288" s="16" t="s">
        <v>4008</v>
      </c>
      <c r="H3288" s="16" t="s">
        <v>1621</v>
      </c>
    </row>
    <row r="3289" ht="20.25" customHeight="1">
      <c r="A3289" s="32" t="str">
        <f>IMAGE("https://gymvisual.com/12196-catalog_default/shoulder-flexion-back-to-wall.jpg",4,500,500)</f>
        <v/>
      </c>
      <c r="B3289" s="30">
        <v>3288.0</v>
      </c>
      <c r="C3289" s="16" t="s">
        <v>4145</v>
      </c>
      <c r="D3289" s="16" t="s">
        <v>184</v>
      </c>
      <c r="E3289" s="16" t="s">
        <v>192</v>
      </c>
      <c r="F3289" s="16" t="s">
        <v>255</v>
      </c>
      <c r="G3289" s="16" t="s">
        <v>220</v>
      </c>
      <c r="H3289" s="16" t="s">
        <v>220</v>
      </c>
    </row>
    <row r="3290" ht="20.25" customHeight="1">
      <c r="A3290" s="32" t="str">
        <f>IMAGE("https://gymvisual.com/7588-catalog_default/shoulder-grip-pull-up.jpg",4,500,500)</f>
        <v/>
      </c>
      <c r="B3290" s="30">
        <v>3289.0</v>
      </c>
      <c r="C3290" s="16" t="s">
        <v>4146</v>
      </c>
      <c r="D3290" s="16" t="s">
        <v>184</v>
      </c>
      <c r="E3290" s="16" t="s">
        <v>192</v>
      </c>
      <c r="F3290" s="16" t="s">
        <v>255</v>
      </c>
      <c r="G3290" s="16" t="s">
        <v>300</v>
      </c>
      <c r="H3290" s="16" t="s">
        <v>387</v>
      </c>
    </row>
    <row r="3291" ht="20.25" customHeight="1">
      <c r="A3291" s="32" t="str">
        <f>IMAGE("https://gymvisual.com/17144-catalog_default/shoulder-grip-pull-up-female.jpg",4,500,500)</f>
        <v/>
      </c>
      <c r="B3291" s="30">
        <v>3290.0</v>
      </c>
      <c r="C3291" s="16" t="s">
        <v>4147</v>
      </c>
      <c r="D3291" s="16" t="s">
        <v>184</v>
      </c>
      <c r="E3291" s="16" t="s">
        <v>192</v>
      </c>
      <c r="F3291" s="16" t="s">
        <v>255</v>
      </c>
      <c r="G3291" s="16" t="s">
        <v>300</v>
      </c>
      <c r="H3291" s="16" t="s">
        <v>535</v>
      </c>
    </row>
    <row r="3292" ht="20.25" customHeight="1">
      <c r="A3292" s="32" t="str">
        <f>IMAGE("https://gymvisual.com/2092-catalog_default/3-4-sit-up.jpg",4,500,500)</f>
        <v/>
      </c>
      <c r="B3292" s="30">
        <v>3291.0</v>
      </c>
      <c r="C3292" s="16" t="s">
        <v>4148</v>
      </c>
      <c r="D3292" s="16" t="s">
        <v>184</v>
      </c>
      <c r="E3292" s="16" t="s">
        <v>228</v>
      </c>
      <c r="F3292" s="16" t="s">
        <v>291</v>
      </c>
      <c r="G3292" s="16" t="s">
        <v>229</v>
      </c>
      <c r="H3292" s="16" t="s">
        <v>626</v>
      </c>
    </row>
    <row r="3293" ht="20.25" customHeight="1">
      <c r="A3293" s="32" t="str">
        <f>IMAGE("https://gymvisual.com/15149-catalog_default/shoulder-tap.jpg",4,500,500)</f>
        <v/>
      </c>
      <c r="B3293" s="30">
        <v>3292.0</v>
      </c>
      <c r="C3293" s="16" t="s">
        <v>4149</v>
      </c>
      <c r="D3293" s="16" t="s">
        <v>184</v>
      </c>
      <c r="E3293" s="16" t="s">
        <v>3260</v>
      </c>
      <c r="F3293" s="16" t="s">
        <v>255</v>
      </c>
      <c r="G3293" s="16" t="s">
        <v>4150</v>
      </c>
      <c r="H3293" s="16" t="s">
        <v>3267</v>
      </c>
    </row>
    <row r="3294" ht="20.25" customHeight="1">
      <c r="A3294" s="32" t="str">
        <f>IMAGE("https://gymvisual.com/23639-catalog_default/shoulder-tap-female.jpg",4,500,500)</f>
        <v/>
      </c>
      <c r="B3294" s="30">
        <v>3293.0</v>
      </c>
      <c r="C3294" s="16" t="s">
        <v>4151</v>
      </c>
      <c r="D3294" s="16" t="s">
        <v>184</v>
      </c>
      <c r="E3294" s="16" t="s">
        <v>254</v>
      </c>
      <c r="F3294" s="16" t="s">
        <v>255</v>
      </c>
      <c r="G3294" s="16" t="s">
        <v>235</v>
      </c>
      <c r="H3294" s="16" t="s">
        <v>3265</v>
      </c>
    </row>
    <row r="3295" ht="20.25" customHeight="1">
      <c r="A3295" s="32" t="str">
        <f>IMAGE("https://gymvisual.com/22632-catalog_default/shoulder-tap-push-up-female.jpg",4,500,500)</f>
        <v/>
      </c>
      <c r="B3295" s="30">
        <v>3294.0</v>
      </c>
      <c r="C3295" s="16" t="s">
        <v>4152</v>
      </c>
      <c r="D3295" s="16" t="s">
        <v>184</v>
      </c>
      <c r="E3295" s="16" t="s">
        <v>234</v>
      </c>
      <c r="F3295" s="16" t="s">
        <v>255</v>
      </c>
      <c r="G3295" s="16" t="s">
        <v>235</v>
      </c>
      <c r="H3295" s="16" t="s">
        <v>3267</v>
      </c>
    </row>
    <row r="3296" ht="20.25" customHeight="1">
      <c r="A3296" s="32" t="str">
        <f>IMAGE("https://gymvisual.com/23697-catalog_default/shoulder-width-neutral-grip-pull-up.jpg",4,500,500)</f>
        <v/>
      </c>
      <c r="B3296" s="30">
        <v>3295.0</v>
      </c>
      <c r="C3296" s="16" t="s">
        <v>4153</v>
      </c>
      <c r="D3296" s="16" t="s">
        <v>184</v>
      </c>
      <c r="E3296" s="16" t="s">
        <v>192</v>
      </c>
      <c r="F3296" s="16" t="s">
        <v>255</v>
      </c>
      <c r="G3296" s="16" t="s">
        <v>220</v>
      </c>
      <c r="H3296" s="16" t="s">
        <v>220</v>
      </c>
    </row>
    <row r="3297" ht="20.25" customHeight="1">
      <c r="A3297" s="32" t="str">
        <f>IMAGE("https://gymvisual.com/13695-catalog_default/shrimp-squat.jpg",4,500,500)</f>
        <v/>
      </c>
      <c r="B3297" s="30">
        <v>3296.0</v>
      </c>
      <c r="C3297" s="16" t="s">
        <v>4154</v>
      </c>
      <c r="D3297" s="16" t="s">
        <v>184</v>
      </c>
      <c r="E3297" s="16" t="s">
        <v>294</v>
      </c>
      <c r="F3297" s="16" t="s">
        <v>255</v>
      </c>
      <c r="G3297" s="16" t="s">
        <v>189</v>
      </c>
      <c r="H3297" s="16" t="s">
        <v>190</v>
      </c>
    </row>
    <row r="3298" ht="20.25" customHeight="1">
      <c r="A3298" s="32" t="str">
        <f>IMAGE("https://gymvisual.com/17995-catalog_default/shrug-on-parallel-bars.jpg",4,500,500)</f>
        <v/>
      </c>
      <c r="B3298" s="30">
        <v>3297.0</v>
      </c>
      <c r="C3298" s="16" t="s">
        <v>4155</v>
      </c>
      <c r="D3298" s="16" t="s">
        <v>184</v>
      </c>
      <c r="E3298" s="16" t="s">
        <v>192</v>
      </c>
      <c r="F3298" s="16" t="s">
        <v>255</v>
      </c>
      <c r="G3298" s="16" t="s">
        <v>220</v>
      </c>
      <c r="H3298" s="16" t="s">
        <v>220</v>
      </c>
    </row>
    <row r="3299" ht="20.25" customHeight="1">
      <c r="A3299" s="32" t="str">
        <f>IMAGE("https://gymvisual.com/22301-catalog_default/side-bench-squat.jpg",4,500,500)</f>
        <v/>
      </c>
      <c r="B3299" s="30">
        <v>3298.0</v>
      </c>
      <c r="C3299" s="16" t="s">
        <v>4156</v>
      </c>
      <c r="D3299" s="16" t="s">
        <v>184</v>
      </c>
      <c r="E3299" s="16" t="s">
        <v>285</v>
      </c>
      <c r="F3299" s="16" t="s">
        <v>255</v>
      </c>
      <c r="G3299" s="16" t="s">
        <v>220</v>
      </c>
      <c r="H3299" s="16" t="s">
        <v>220</v>
      </c>
    </row>
    <row r="3300" ht="20.25" customHeight="1">
      <c r="A3300" s="32" t="str">
        <f>IMAGE("https://gymvisual.com/2098-catalog_default/3-4-sit-up.jpg",4,500,500)</f>
        <v/>
      </c>
      <c r="B3300" s="30">
        <v>3299.0</v>
      </c>
      <c r="C3300" s="16" t="s">
        <v>4157</v>
      </c>
      <c r="D3300" s="16" t="s">
        <v>184</v>
      </c>
      <c r="E3300" s="16" t="s">
        <v>254</v>
      </c>
      <c r="F3300" s="16" t="s">
        <v>399</v>
      </c>
      <c r="G3300" s="16" t="s">
        <v>257</v>
      </c>
      <c r="H3300" s="16" t="s">
        <v>271</v>
      </c>
    </row>
    <row r="3301" ht="20.25" customHeight="1">
      <c r="A3301" s="32" t="str">
        <f>IMAGE("https://gymvisual.com/2116-catalog_default/3-4-sit-up.jpg",4,500,500)</f>
        <v/>
      </c>
      <c r="B3301" s="30">
        <v>3300.0</v>
      </c>
      <c r="C3301" s="16" t="s">
        <v>4158</v>
      </c>
      <c r="D3301" s="16" t="s">
        <v>184</v>
      </c>
      <c r="E3301" s="16" t="s">
        <v>254</v>
      </c>
      <c r="F3301" s="16" t="s">
        <v>255</v>
      </c>
      <c r="G3301" s="16" t="s">
        <v>257</v>
      </c>
      <c r="H3301" s="16" t="s">
        <v>4159</v>
      </c>
    </row>
    <row r="3302" ht="20.25" customHeight="1">
      <c r="A3302" s="32" t="str">
        <f>IMAGE("https://gymvisual.com/2101-catalog_default/3-4-sit-up.jpg",4,500,500)</f>
        <v/>
      </c>
      <c r="B3302" s="30">
        <v>3301.0</v>
      </c>
      <c r="C3302" s="16" t="s">
        <v>4160</v>
      </c>
      <c r="D3302" s="16" t="s">
        <v>184</v>
      </c>
      <c r="E3302" s="16" t="s">
        <v>285</v>
      </c>
      <c r="F3302" s="16" t="s">
        <v>255</v>
      </c>
      <c r="G3302" s="16" t="s">
        <v>2482</v>
      </c>
      <c r="H3302" s="16" t="s">
        <v>4161</v>
      </c>
    </row>
    <row r="3303" ht="20.25" customHeight="1">
      <c r="A3303" s="32" t="str">
        <f>IMAGE("https://gymvisual.com/2104-catalog_default/3-4-sit-up.jpg",4,500,500)</f>
        <v/>
      </c>
      <c r="B3303" s="30">
        <v>3302.0</v>
      </c>
      <c r="C3303" s="16" t="s">
        <v>4162</v>
      </c>
      <c r="D3303" s="16" t="s">
        <v>184</v>
      </c>
      <c r="E3303" s="16" t="s">
        <v>285</v>
      </c>
      <c r="F3303" s="16" t="s">
        <v>255</v>
      </c>
      <c r="G3303" s="16" t="s">
        <v>1328</v>
      </c>
      <c r="H3303" s="16" t="s">
        <v>4163</v>
      </c>
    </row>
    <row r="3304" ht="20.25" customHeight="1">
      <c r="A3304" s="32" t="str">
        <f>IMAGE("https://gymvisual.com/2113-catalog_default/3-4-sit-up.jpg",4,500,500)</f>
        <v/>
      </c>
      <c r="B3304" s="30">
        <v>3303.0</v>
      </c>
      <c r="C3304" s="16" t="s">
        <v>4164</v>
      </c>
      <c r="D3304" s="16" t="s">
        <v>184</v>
      </c>
      <c r="E3304" s="16" t="s">
        <v>254</v>
      </c>
      <c r="F3304" s="16" t="s">
        <v>255</v>
      </c>
      <c r="G3304" s="16" t="s">
        <v>257</v>
      </c>
      <c r="H3304" s="16" t="s">
        <v>4165</v>
      </c>
    </row>
    <row r="3305" ht="20.25" customHeight="1">
      <c r="A3305" s="32" t="str">
        <f>IMAGE("https://gymvisual.com/2110-catalog_default/3-4-sit-up.jpg",4,500,500)</f>
        <v/>
      </c>
      <c r="B3305" s="30">
        <v>3304.0</v>
      </c>
      <c r="C3305" s="16" t="s">
        <v>4166</v>
      </c>
      <c r="D3305" s="16" t="s">
        <v>184</v>
      </c>
      <c r="E3305" s="16" t="s">
        <v>185</v>
      </c>
      <c r="F3305" s="16" t="s">
        <v>255</v>
      </c>
      <c r="G3305" s="16" t="s">
        <v>508</v>
      </c>
      <c r="H3305" s="16" t="s">
        <v>424</v>
      </c>
    </row>
    <row r="3306" ht="20.25" customHeight="1">
      <c r="A3306" s="32" t="str">
        <f>IMAGE("https://gymvisual.com/7611-catalog_default/side-bridge-hip-abduction.jpg",4,500,500)</f>
        <v/>
      </c>
      <c r="B3306" s="30">
        <v>3305.0</v>
      </c>
      <c r="C3306" s="16" t="s">
        <v>4166</v>
      </c>
      <c r="D3306" s="16" t="s">
        <v>184</v>
      </c>
      <c r="E3306" s="16" t="s">
        <v>185</v>
      </c>
      <c r="F3306" s="16" t="s">
        <v>255</v>
      </c>
      <c r="G3306" s="16" t="s">
        <v>257</v>
      </c>
      <c r="H3306" s="16" t="s">
        <v>734</v>
      </c>
    </row>
    <row r="3307" ht="20.25" customHeight="1">
      <c r="A3307" s="32" t="str">
        <f>IMAGE("https://gymvisual.com/2107-catalog_default/3-4-sit-up.jpg",4,500,500)</f>
        <v/>
      </c>
      <c r="B3307" s="30">
        <v>3306.0</v>
      </c>
      <c r="C3307" s="16" t="s">
        <v>4167</v>
      </c>
      <c r="D3307" s="16" t="s">
        <v>184</v>
      </c>
      <c r="E3307" s="16" t="s">
        <v>185</v>
      </c>
      <c r="F3307" s="16" t="s">
        <v>255</v>
      </c>
      <c r="G3307" s="16" t="s">
        <v>1206</v>
      </c>
      <c r="H3307" s="16" t="s">
        <v>220</v>
      </c>
    </row>
    <row r="3308" ht="20.25" customHeight="1">
      <c r="A3308" s="32" t="str">
        <f>IMAGE("https://gymvisual.com/14232-catalog_default/side-bridge-with-arm-leg-swing.jpg",4,500,500)</f>
        <v/>
      </c>
      <c r="B3308" s="30">
        <v>3307.0</v>
      </c>
      <c r="C3308" s="16" t="s">
        <v>4168</v>
      </c>
      <c r="D3308" s="16" t="s">
        <v>184</v>
      </c>
      <c r="E3308" s="16" t="s">
        <v>1720</v>
      </c>
      <c r="F3308" s="16" t="s">
        <v>255</v>
      </c>
      <c r="G3308" s="16" t="s">
        <v>4169</v>
      </c>
      <c r="H3308" s="16" t="s">
        <v>4170</v>
      </c>
    </row>
    <row r="3309" ht="20.25" customHeight="1">
      <c r="A3309" s="32" t="str">
        <f>IMAGE("https://gymvisual.com/19039-catalog_default/side-bridge-with-bent-leg-female.jpg",4,500,500)</f>
        <v/>
      </c>
      <c r="B3309" s="30">
        <v>3308.0</v>
      </c>
      <c r="C3309" s="16" t="s">
        <v>4171</v>
      </c>
      <c r="D3309" s="16" t="s">
        <v>184</v>
      </c>
      <c r="E3309" s="16" t="s">
        <v>254</v>
      </c>
      <c r="F3309" s="16" t="s">
        <v>255</v>
      </c>
      <c r="G3309" s="16" t="s">
        <v>257</v>
      </c>
      <c r="H3309" s="16" t="s">
        <v>220</v>
      </c>
    </row>
    <row r="3310" ht="20.25" customHeight="1">
      <c r="A3310" s="32" t="str">
        <f>IMAGE("https://gymvisual.com/24075-catalog_default/side-bridge-with-bent-leg-male.jpg",4,500,500)</f>
        <v/>
      </c>
      <c r="B3310" s="30">
        <v>3309.0</v>
      </c>
      <c r="C3310" s="16" t="s">
        <v>4172</v>
      </c>
      <c r="D3310" s="16" t="s">
        <v>184</v>
      </c>
      <c r="E3310" s="16" t="s">
        <v>185</v>
      </c>
      <c r="F3310" s="16" t="s">
        <v>255</v>
      </c>
      <c r="G3310" s="16" t="s">
        <v>220</v>
      </c>
      <c r="H3310" s="16" t="s">
        <v>220</v>
      </c>
    </row>
    <row r="3311" ht="20.25" customHeight="1">
      <c r="A3311" s="32" t="str">
        <f>IMAGE("https://gymvisual.com/19025-catalog_default/side-bridge-with-straight-legs-female.jpg",4,500,500)</f>
        <v/>
      </c>
      <c r="B3311" s="30">
        <v>3310.0</v>
      </c>
      <c r="C3311" s="16" t="s">
        <v>4173</v>
      </c>
      <c r="D3311" s="16" t="s">
        <v>184</v>
      </c>
      <c r="E3311" s="16" t="s">
        <v>254</v>
      </c>
      <c r="F3311" s="16" t="s">
        <v>255</v>
      </c>
      <c r="G3311" s="16" t="s">
        <v>257</v>
      </c>
      <c r="H3311" s="16" t="s">
        <v>220</v>
      </c>
    </row>
    <row r="3312" ht="20.25" customHeight="1">
      <c r="A3312" s="32" t="str">
        <f>IMAGE("https://gymvisual.com/2122-catalog_default/3-4-sit-up.jpg",4,500,500)</f>
        <v/>
      </c>
      <c r="B3312" s="30">
        <v>3311.0</v>
      </c>
      <c r="C3312" s="16" t="s">
        <v>4174</v>
      </c>
      <c r="D3312" s="16" t="s">
        <v>184</v>
      </c>
      <c r="E3312" s="16" t="s">
        <v>254</v>
      </c>
      <c r="F3312" s="16" t="s">
        <v>255</v>
      </c>
      <c r="G3312" s="16" t="s">
        <v>257</v>
      </c>
      <c r="H3312" s="16" t="s">
        <v>256</v>
      </c>
    </row>
    <row r="3313" ht="20.25" customHeight="1">
      <c r="A3313" s="32" t="str">
        <f>IMAGE("https://gymvisual.com/2119-catalog_default/3-4-sit-up.jpg",4,500,500)</f>
        <v/>
      </c>
      <c r="B3313" s="30">
        <v>3312.0</v>
      </c>
      <c r="C3313" s="16" t="s">
        <v>4175</v>
      </c>
      <c r="D3313" s="16" t="s">
        <v>184</v>
      </c>
      <c r="E3313" s="16" t="s">
        <v>254</v>
      </c>
      <c r="F3313" s="16" t="s">
        <v>255</v>
      </c>
      <c r="G3313" s="16" t="s">
        <v>257</v>
      </c>
      <c r="H3313" s="16" t="s">
        <v>256</v>
      </c>
    </row>
    <row r="3314" ht="20.25" customHeight="1">
      <c r="A3314" s="32" t="str">
        <f>IMAGE("https://gymvisual.com/22793-catalog_default/side-crunch-version-2-female.jpg",4,500,500)</f>
        <v/>
      </c>
      <c r="B3314" s="30">
        <v>3313.0</v>
      </c>
      <c r="C3314" s="16" t="s">
        <v>4176</v>
      </c>
      <c r="D3314" s="16" t="s">
        <v>184</v>
      </c>
      <c r="E3314" s="16" t="s">
        <v>254</v>
      </c>
      <c r="F3314" s="16" t="s">
        <v>255</v>
      </c>
      <c r="G3314" s="16" t="s">
        <v>256</v>
      </c>
      <c r="H3314" s="16" t="s">
        <v>257</v>
      </c>
    </row>
    <row r="3315" ht="20.25" customHeight="1">
      <c r="A3315" s="32" t="str">
        <f>IMAGE("https://gymvisual.com/22303-catalog_default/side-crunch-with-hands-on-chest-female.jpg",4,500,500)</f>
        <v/>
      </c>
      <c r="B3315" s="30">
        <v>3314.0</v>
      </c>
      <c r="C3315" s="16" t="s">
        <v>4177</v>
      </c>
      <c r="D3315" s="16" t="s">
        <v>184</v>
      </c>
      <c r="E3315" s="16" t="s">
        <v>254</v>
      </c>
      <c r="F3315" s="16" t="s">
        <v>255</v>
      </c>
      <c r="G3315" s="16" t="s">
        <v>220</v>
      </c>
      <c r="H3315" s="16" t="s">
        <v>220</v>
      </c>
    </row>
    <row r="3316" ht="20.25" customHeight="1">
      <c r="A3316" s="32" t="str">
        <f>IMAGE("https://gymvisual.com/2125-catalog_default/3-4-sit-up.jpg",4,500,500)</f>
        <v/>
      </c>
      <c r="B3316" s="30">
        <v>3315.0</v>
      </c>
      <c r="C3316" s="16" t="s">
        <v>4178</v>
      </c>
      <c r="D3316" s="16" t="s">
        <v>184</v>
      </c>
      <c r="E3316" s="16" t="s">
        <v>254</v>
      </c>
      <c r="F3316" s="16" t="s">
        <v>255</v>
      </c>
      <c r="G3316" s="16" t="s">
        <v>257</v>
      </c>
      <c r="H3316" s="16" t="s">
        <v>220</v>
      </c>
    </row>
    <row r="3317" ht="20.25" customHeight="1">
      <c r="A3317" s="32" t="str">
        <f>IMAGE("https://gymvisual.com/14723-catalog_default/side-hip-abduction.jpg",4,500,500)</f>
        <v/>
      </c>
      <c r="B3317" s="30">
        <v>3316.0</v>
      </c>
      <c r="C3317" s="16" t="s">
        <v>4179</v>
      </c>
      <c r="D3317" s="16" t="s">
        <v>184</v>
      </c>
      <c r="E3317" s="16" t="s">
        <v>185</v>
      </c>
      <c r="F3317" s="16" t="s">
        <v>255</v>
      </c>
      <c r="G3317" s="16" t="s">
        <v>475</v>
      </c>
      <c r="H3317" s="16" t="s">
        <v>220</v>
      </c>
    </row>
    <row r="3318" ht="20.25" customHeight="1">
      <c r="A3318" s="32" t="str">
        <f>IMAGE("https://gymvisual.com/13287-catalog_default/side-lunge.jpg",4,500,500)</f>
        <v/>
      </c>
      <c r="B3318" s="30">
        <v>3317.0</v>
      </c>
      <c r="C3318" s="16" t="s">
        <v>4180</v>
      </c>
      <c r="D3318" s="16" t="s">
        <v>184</v>
      </c>
      <c r="E3318" s="16" t="s">
        <v>294</v>
      </c>
      <c r="F3318" s="16" t="s">
        <v>255</v>
      </c>
      <c r="G3318" s="16" t="s">
        <v>189</v>
      </c>
      <c r="H3318" s="16" t="s">
        <v>902</v>
      </c>
    </row>
    <row r="3319" ht="20.25" customHeight="1">
      <c r="A3319" s="32" t="str">
        <f>IMAGE("https://gymvisual.com/13289-catalog_default/side-lunge-female.jpg",4,500,500)</f>
        <v/>
      </c>
      <c r="B3319" s="30">
        <v>3318.0</v>
      </c>
      <c r="C3319" s="16" t="s">
        <v>4181</v>
      </c>
      <c r="D3319" s="16" t="s">
        <v>184</v>
      </c>
      <c r="E3319" s="16" t="s">
        <v>294</v>
      </c>
      <c r="F3319" s="16" t="s">
        <v>255</v>
      </c>
      <c r="G3319" s="16" t="s">
        <v>189</v>
      </c>
      <c r="H3319" s="16" t="s">
        <v>902</v>
      </c>
    </row>
    <row r="3320" ht="20.25" customHeight="1">
      <c r="A3320" s="32" t="str">
        <f>IMAGE("https://gymvisual.com/10568-catalog_default/side-lying-clam.jpg",4,500,500)</f>
        <v/>
      </c>
      <c r="B3320" s="30">
        <v>3319.0</v>
      </c>
      <c r="C3320" s="16" t="s">
        <v>4182</v>
      </c>
      <c r="D3320" s="16" t="s">
        <v>184</v>
      </c>
      <c r="E3320" s="16" t="s">
        <v>185</v>
      </c>
      <c r="F3320" s="16" t="s">
        <v>255</v>
      </c>
      <c r="G3320" s="16" t="s">
        <v>475</v>
      </c>
      <c r="H3320" s="16" t="s">
        <v>476</v>
      </c>
    </row>
    <row r="3321" ht="20.25" customHeight="1">
      <c r="A3321" s="32" t="str">
        <f>IMAGE("https://gymvisual.com/2134-catalog_default/side-lying-feet-raise.jpg",4,500,500)</f>
        <v/>
      </c>
      <c r="B3321" s="30">
        <v>3320.0</v>
      </c>
      <c r="C3321" s="16" t="s">
        <v>4183</v>
      </c>
      <c r="D3321" s="16" t="s">
        <v>184</v>
      </c>
      <c r="E3321" s="16" t="s">
        <v>285</v>
      </c>
      <c r="F3321" s="16" t="s">
        <v>255</v>
      </c>
      <c r="G3321" s="16" t="s">
        <v>4184</v>
      </c>
      <c r="H3321" s="16" t="s">
        <v>4185</v>
      </c>
    </row>
    <row r="3322" ht="20.25" customHeight="1">
      <c r="A3322" s="32" t="str">
        <f>IMAGE("https://gymvisual.com/23635-catalog_default/side-lying-hip-adduction-female.jpg",4,500,500)</f>
        <v/>
      </c>
      <c r="B3322" s="30">
        <v>3321.0</v>
      </c>
      <c r="C3322" s="16" t="s">
        <v>4186</v>
      </c>
      <c r="D3322" s="16" t="s">
        <v>184</v>
      </c>
      <c r="E3322" s="16" t="s">
        <v>185</v>
      </c>
      <c r="F3322" s="16" t="s">
        <v>255</v>
      </c>
      <c r="G3322" s="16" t="s">
        <v>4187</v>
      </c>
      <c r="H3322" s="16" t="s">
        <v>220</v>
      </c>
    </row>
    <row r="3323" ht="20.25" customHeight="1">
      <c r="A3323" s="32" t="str">
        <f>IMAGE("https://gymvisual.com/14552-catalog_default/side-lying-hip-adduction-male.jpg",4,500,500)</f>
        <v/>
      </c>
      <c r="B3323" s="30">
        <v>3322.0</v>
      </c>
      <c r="C3323" s="16" t="s">
        <v>4188</v>
      </c>
      <c r="D3323" s="16" t="s">
        <v>184</v>
      </c>
      <c r="E3323" s="16" t="s">
        <v>185</v>
      </c>
      <c r="F3323" s="16" t="s">
        <v>255</v>
      </c>
      <c r="G3323" s="16" t="s">
        <v>4187</v>
      </c>
      <c r="H3323" s="16" t="s">
        <v>3965</v>
      </c>
    </row>
    <row r="3324" ht="20.25" customHeight="1">
      <c r="A3324" s="32" t="str">
        <f>IMAGE("https://gymvisual.com/22720-catalog_default/side-lying-leg-circle.jpg",4,500,500)</f>
        <v/>
      </c>
      <c r="B3324" s="30">
        <v>3323.0</v>
      </c>
      <c r="C3324" s="16" t="s">
        <v>4189</v>
      </c>
      <c r="D3324" s="16" t="s">
        <v>184</v>
      </c>
      <c r="E3324" s="16" t="s">
        <v>185</v>
      </c>
      <c r="F3324" s="16" t="s">
        <v>255</v>
      </c>
      <c r="G3324" s="16" t="s">
        <v>1322</v>
      </c>
      <c r="H3324" s="16" t="s">
        <v>3617</v>
      </c>
    </row>
    <row r="3325" ht="20.25" customHeight="1">
      <c r="A3325" s="32" t="str">
        <f>IMAGE("https://gymvisual.com/17835-catalog_default/side-lying-leg-raise.jpg",4,500,500)</f>
        <v/>
      </c>
      <c r="B3325" s="30">
        <v>3324.0</v>
      </c>
      <c r="C3325" s="16" t="s">
        <v>4190</v>
      </c>
      <c r="D3325" s="16" t="s">
        <v>184</v>
      </c>
      <c r="E3325" s="16" t="s">
        <v>185</v>
      </c>
      <c r="F3325" s="16" t="s">
        <v>255</v>
      </c>
      <c r="G3325" s="16" t="s">
        <v>220</v>
      </c>
      <c r="H3325" s="16" t="s">
        <v>220</v>
      </c>
    </row>
    <row r="3326" ht="20.25" customHeight="1">
      <c r="A3326" s="32" t="str">
        <f>IMAGE("https://gymvisual.com/22809-catalog_default/side-lying-outward-knee-kick.jpg",4,500,500)</f>
        <v/>
      </c>
      <c r="B3326" s="30">
        <v>3325.0</v>
      </c>
      <c r="C3326" s="16" t="s">
        <v>4191</v>
      </c>
      <c r="D3326" s="16" t="s">
        <v>184</v>
      </c>
      <c r="E3326" s="16" t="s">
        <v>185</v>
      </c>
      <c r="F3326" s="16" t="s">
        <v>255</v>
      </c>
      <c r="G3326" s="16" t="s">
        <v>295</v>
      </c>
      <c r="H3326" s="16" t="s">
        <v>476</v>
      </c>
    </row>
    <row r="3327" ht="20.25" customHeight="1">
      <c r="A3327" s="32" t="str">
        <f>IMAGE("https://gymvisual.com/23631-catalog_default/side-lying-scissors.jpg",4,500,500)</f>
        <v/>
      </c>
      <c r="B3327" s="30">
        <v>3326.0</v>
      </c>
      <c r="C3327" s="16" t="s">
        <v>4192</v>
      </c>
      <c r="D3327" s="16" t="s">
        <v>184</v>
      </c>
      <c r="E3327" s="16" t="s">
        <v>185</v>
      </c>
      <c r="F3327" s="16" t="s">
        <v>255</v>
      </c>
      <c r="G3327" s="16" t="s">
        <v>475</v>
      </c>
      <c r="H3327" s="16" t="s">
        <v>476</v>
      </c>
    </row>
    <row r="3328" ht="20.25" customHeight="1">
      <c r="A3328" s="32" t="str">
        <f>IMAGE("https://gymvisual.com/22807-catalog_default/side-lying-scissors-male.jpg",4,500,500)</f>
        <v/>
      </c>
      <c r="B3328" s="30">
        <v>3327.0</v>
      </c>
      <c r="C3328" s="16" t="s">
        <v>4193</v>
      </c>
      <c r="D3328" s="16" t="s">
        <v>184</v>
      </c>
      <c r="E3328" s="16" t="s">
        <v>185</v>
      </c>
      <c r="F3328" s="16" t="s">
        <v>255</v>
      </c>
      <c r="G3328" s="16" t="s">
        <v>475</v>
      </c>
      <c r="H3328" s="16" t="s">
        <v>476</v>
      </c>
    </row>
    <row r="3329" ht="20.25" customHeight="1">
      <c r="A3329" s="32" t="str">
        <f>IMAGE("https://gymvisual.com/24301-catalog_default/side-plank.jpg",4,500,500)</f>
        <v/>
      </c>
      <c r="B3329" s="30">
        <v>3328.0</v>
      </c>
      <c r="C3329" s="16" t="s">
        <v>4194</v>
      </c>
      <c r="D3329" s="16" t="s">
        <v>184</v>
      </c>
      <c r="E3329" s="16" t="s">
        <v>254</v>
      </c>
      <c r="F3329" s="16" t="s">
        <v>255</v>
      </c>
      <c r="G3329" s="16" t="s">
        <v>257</v>
      </c>
      <c r="H3329" s="16" t="s">
        <v>220</v>
      </c>
    </row>
    <row r="3330" ht="20.25" customHeight="1">
      <c r="A3330" s="32" t="str">
        <f>IMAGE("https://gymvisual.com/12090-catalog_default/side-plank-beginner-female.jpg",4,500,500)</f>
        <v/>
      </c>
      <c r="B3330" s="30">
        <v>3329.0</v>
      </c>
      <c r="C3330" s="16" t="s">
        <v>4195</v>
      </c>
      <c r="D3330" s="16" t="s">
        <v>184</v>
      </c>
      <c r="E3330" s="16" t="s">
        <v>254</v>
      </c>
      <c r="F3330" s="16" t="s">
        <v>255</v>
      </c>
      <c r="G3330" s="16" t="s">
        <v>257</v>
      </c>
      <c r="H3330" s="16" t="s">
        <v>2066</v>
      </c>
    </row>
    <row r="3331" ht="20.25" customHeight="1">
      <c r="A3331" s="32" t="str">
        <f>IMAGE("https://gymvisual.com/2140-catalog_default/side-plank-version-2.jpg",4,500,500)</f>
        <v/>
      </c>
      <c r="B3331" s="30">
        <v>3330.0</v>
      </c>
      <c r="C3331" s="16" t="s">
        <v>4196</v>
      </c>
      <c r="D3331" s="16" t="s">
        <v>184</v>
      </c>
      <c r="E3331" s="16" t="s">
        <v>254</v>
      </c>
      <c r="F3331" s="16" t="s">
        <v>255</v>
      </c>
      <c r="G3331" s="16" t="s">
        <v>257</v>
      </c>
      <c r="H3331" s="16" t="s">
        <v>220</v>
      </c>
    </row>
    <row r="3332" ht="20.25" customHeight="1">
      <c r="A3332" s="32" t="str">
        <f>IMAGE("https://gymvisual.com/23665-catalog_default/side-plank-version-2-female.jpg",4,500,500)</f>
        <v/>
      </c>
      <c r="B3332" s="30">
        <v>3331.0</v>
      </c>
      <c r="C3332" s="16" t="s">
        <v>4197</v>
      </c>
      <c r="D3332" s="16" t="s">
        <v>184</v>
      </c>
      <c r="E3332" s="16" t="s">
        <v>254</v>
      </c>
      <c r="F3332" s="16" t="s">
        <v>255</v>
      </c>
      <c r="G3332" s="16" t="s">
        <v>4011</v>
      </c>
      <c r="H3332" s="16" t="s">
        <v>4198</v>
      </c>
    </row>
    <row r="3333" ht="20.25" customHeight="1">
      <c r="A3333" s="32" t="str">
        <f>IMAGE("https://gymvisual.com/10198-catalog_default/side-plank-butt-wrong-right.jpg",4,500,500)</f>
        <v/>
      </c>
      <c r="B3333" s="30">
        <v>3332.0</v>
      </c>
      <c r="C3333" s="16" t="s">
        <v>4199</v>
      </c>
      <c r="D3333" s="16" t="s">
        <v>184</v>
      </c>
      <c r="E3333" s="16" t="s">
        <v>254</v>
      </c>
      <c r="F3333" s="16" t="s">
        <v>255</v>
      </c>
      <c r="G3333" s="16" t="s">
        <v>220</v>
      </c>
      <c r="H3333" s="16" t="s">
        <v>220</v>
      </c>
    </row>
    <row r="3334" ht="20.25" customHeight="1">
      <c r="A3334" s="32" t="str">
        <f>IMAGE("https://gymvisual.com/7609-catalog_default/side-plank-hip-adduction.jpg",4,500,500)</f>
        <v/>
      </c>
      <c r="B3334" s="30">
        <v>3333.0</v>
      </c>
      <c r="C3334" s="16" t="s">
        <v>4200</v>
      </c>
      <c r="D3334" s="16" t="s">
        <v>184</v>
      </c>
      <c r="E3334" s="16" t="s">
        <v>185</v>
      </c>
      <c r="F3334" s="16" t="s">
        <v>255</v>
      </c>
      <c r="G3334" s="16" t="s">
        <v>3634</v>
      </c>
      <c r="H3334" s="16" t="s">
        <v>3617</v>
      </c>
    </row>
    <row r="3335" ht="20.25" customHeight="1">
      <c r="A3335" s="32" t="str">
        <f>IMAGE("https://gymvisual.com/13938-catalog_default/side-plank-hip-adduction-bent-knee.jpg",4,500,500)</f>
        <v/>
      </c>
      <c r="B3335" s="30">
        <v>3334.0</v>
      </c>
      <c r="C3335" s="16" t="s">
        <v>4201</v>
      </c>
      <c r="D3335" s="16" t="s">
        <v>184</v>
      </c>
      <c r="E3335" s="16" t="s">
        <v>185</v>
      </c>
      <c r="F3335" s="16" t="s">
        <v>255</v>
      </c>
      <c r="G3335" s="16" t="s">
        <v>4202</v>
      </c>
      <c r="H3335" s="16" t="s">
        <v>4203</v>
      </c>
    </row>
    <row r="3336" ht="20.25" customHeight="1">
      <c r="A3336" s="32" t="str">
        <f>IMAGE("https://gymvisual.com/22410-catalog_default/side-plank-leg-lift.jpg",4,500,500)</f>
        <v/>
      </c>
      <c r="B3336" s="30">
        <v>3335.0</v>
      </c>
      <c r="C3336" s="16" t="s">
        <v>4204</v>
      </c>
      <c r="D3336" s="16" t="s">
        <v>184</v>
      </c>
      <c r="E3336" s="16" t="s">
        <v>254</v>
      </c>
      <c r="F3336" s="16" t="s">
        <v>255</v>
      </c>
      <c r="G3336" s="16" t="s">
        <v>220</v>
      </c>
      <c r="H3336" s="16" t="s">
        <v>220</v>
      </c>
    </row>
    <row r="3337" ht="20.25" customHeight="1">
      <c r="A3337" s="32" t="str">
        <f>IMAGE("https://gymvisual.com/18258-catalog_default/side-plank-oblique-crunch.jpg",4,500,500)</f>
        <v/>
      </c>
      <c r="B3337" s="30">
        <v>3336.0</v>
      </c>
      <c r="C3337" s="16" t="s">
        <v>4205</v>
      </c>
      <c r="D3337" s="16" t="s">
        <v>184</v>
      </c>
      <c r="E3337" s="16" t="s">
        <v>254</v>
      </c>
      <c r="F3337" s="16" t="s">
        <v>255</v>
      </c>
      <c r="G3337" s="16" t="s">
        <v>3728</v>
      </c>
      <c r="H3337" s="16" t="s">
        <v>4206</v>
      </c>
    </row>
    <row r="3338" ht="20.25" customHeight="1">
      <c r="A3338" s="32" t="str">
        <f>IMAGE("https://gymvisual.com/22460-catalog_default/side-plank-with-raised-leg-version-2-female.jpg",4,500,500)</f>
        <v/>
      </c>
      <c r="B3338" s="30">
        <v>3337.0</v>
      </c>
      <c r="C3338" s="16" t="s">
        <v>4207</v>
      </c>
      <c r="D3338" s="16" t="s">
        <v>184</v>
      </c>
      <c r="E3338" s="16" t="s">
        <v>254</v>
      </c>
      <c r="F3338" s="16" t="s">
        <v>255</v>
      </c>
      <c r="G3338" s="16" t="s">
        <v>220</v>
      </c>
      <c r="H3338" s="16" t="s">
        <v>220</v>
      </c>
    </row>
    <row r="3339" ht="20.25" customHeight="1">
      <c r="A3339" s="32" t="str">
        <f>IMAGE("https://gymvisual.com/13263-catalog_default/side-push-up.jpg",4,500,500)</f>
        <v/>
      </c>
      <c r="B3339" s="30">
        <v>3338.0</v>
      </c>
      <c r="C3339" s="16" t="s">
        <v>4208</v>
      </c>
      <c r="D3339" s="16" t="s">
        <v>184</v>
      </c>
      <c r="E3339" s="16" t="s">
        <v>219</v>
      </c>
      <c r="F3339" s="16" t="s">
        <v>255</v>
      </c>
      <c r="G3339" s="16" t="s">
        <v>223</v>
      </c>
      <c r="H3339" s="16" t="s">
        <v>220</v>
      </c>
    </row>
    <row r="3340" ht="20.25" customHeight="1">
      <c r="A3340" s="32" t="str">
        <f>IMAGE("https://gymvisual.com/17191-catalog_default/side-push-up-with-towel.jpg",4,500,500)</f>
        <v/>
      </c>
      <c r="B3340" s="30">
        <v>3339.0</v>
      </c>
      <c r="C3340" s="16" t="s">
        <v>4209</v>
      </c>
      <c r="D3340" s="16" t="s">
        <v>184</v>
      </c>
      <c r="E3340" s="16" t="s">
        <v>234</v>
      </c>
      <c r="F3340" s="16" t="s">
        <v>255</v>
      </c>
      <c r="G3340" s="16" t="s">
        <v>235</v>
      </c>
      <c r="H3340" s="16" t="s">
        <v>4210</v>
      </c>
    </row>
    <row r="3341" ht="20.25" customHeight="1">
      <c r="A3341" s="32" t="str">
        <f>IMAGE("https://gymvisual.com/2150-catalog_default/side-sit-up.jpg",4,500,500)</f>
        <v/>
      </c>
      <c r="B3341" s="30">
        <v>3340.0</v>
      </c>
      <c r="C3341" s="16" t="s">
        <v>4211</v>
      </c>
      <c r="D3341" s="16" t="s">
        <v>184</v>
      </c>
      <c r="E3341" s="16" t="s">
        <v>254</v>
      </c>
      <c r="F3341" s="16" t="s">
        <v>255</v>
      </c>
      <c r="G3341" s="16" t="s">
        <v>257</v>
      </c>
      <c r="H3341" s="16" t="s">
        <v>256</v>
      </c>
    </row>
    <row r="3342" ht="20.25" customHeight="1">
      <c r="A3342" s="32" t="str">
        <f>IMAGE("https://gymvisual.com/22305-catalog_default/side-split-squat.jpg",4,500,500)</f>
        <v/>
      </c>
      <c r="B3342" s="30">
        <v>3341.0</v>
      </c>
      <c r="C3342" s="16" t="s">
        <v>4212</v>
      </c>
      <c r="D3342" s="16" t="s">
        <v>184</v>
      </c>
      <c r="E3342" s="16" t="s">
        <v>285</v>
      </c>
      <c r="F3342" s="16" t="s">
        <v>255</v>
      </c>
      <c r="G3342" s="16" t="s">
        <v>220</v>
      </c>
      <c r="H3342" s="16" t="s">
        <v>220</v>
      </c>
    </row>
    <row r="3343" ht="20.25" customHeight="1">
      <c r="A3343" s="32" t="str">
        <f>IMAGE("https://gymvisual.com/22307-catalog_default/side-squat.jpg",4,500,500)</f>
        <v/>
      </c>
      <c r="B3343" s="30">
        <v>3342.0</v>
      </c>
      <c r="C3343" s="16" t="s">
        <v>4213</v>
      </c>
      <c r="D3343" s="16" t="s">
        <v>184</v>
      </c>
      <c r="E3343" s="16" t="s">
        <v>285</v>
      </c>
      <c r="F3343" s="16" t="s">
        <v>255</v>
      </c>
      <c r="G3343" s="16" t="s">
        <v>189</v>
      </c>
      <c r="H3343" s="16" t="s">
        <v>902</v>
      </c>
    </row>
    <row r="3344" ht="20.25" customHeight="1">
      <c r="A3344" s="32" t="str">
        <f>IMAGE("https://gymvisual.com/17803-catalog_default/side-step-front-plank-female.jpg",4,500,500)</f>
        <v/>
      </c>
      <c r="B3344" s="30">
        <v>3343.0</v>
      </c>
      <c r="C3344" s="16" t="s">
        <v>4214</v>
      </c>
      <c r="D3344" s="16" t="s">
        <v>184</v>
      </c>
      <c r="E3344" s="16" t="s">
        <v>185</v>
      </c>
      <c r="F3344" s="16" t="s">
        <v>255</v>
      </c>
      <c r="G3344" s="16" t="s">
        <v>220</v>
      </c>
      <c r="H3344" s="16" t="s">
        <v>220</v>
      </c>
    </row>
    <row r="3345" ht="20.25" customHeight="1">
      <c r="A3345" s="32" t="str">
        <f>IMAGE("https://gymvisual.com/11276-catalog_default/side-to-side-leg-swings-female.jpg",4,500,500)</f>
        <v/>
      </c>
      <c r="B3345" s="30">
        <v>3344.0</v>
      </c>
      <c r="C3345" s="16" t="s">
        <v>4215</v>
      </c>
      <c r="D3345" s="16" t="s">
        <v>184</v>
      </c>
      <c r="E3345" s="16" t="s">
        <v>185</v>
      </c>
      <c r="F3345" s="16" t="s">
        <v>255</v>
      </c>
      <c r="G3345" s="16" t="s">
        <v>3616</v>
      </c>
      <c r="H3345" s="16" t="s">
        <v>3617</v>
      </c>
    </row>
    <row r="3346" ht="20.25" customHeight="1">
      <c r="A3346" s="32" t="str">
        <f>IMAGE("https://gymvisual.com/22777-catalog_default/side-to-side-leg-swings-male.jpg",4,500,500)</f>
        <v/>
      </c>
      <c r="B3346" s="30">
        <v>3345.0</v>
      </c>
      <c r="C3346" s="16" t="s">
        <v>4216</v>
      </c>
      <c r="D3346" s="16" t="s">
        <v>184</v>
      </c>
      <c r="E3346" s="16" t="s">
        <v>185</v>
      </c>
      <c r="F3346" s="16" t="s">
        <v>255</v>
      </c>
      <c r="G3346" s="16" t="s">
        <v>3616</v>
      </c>
      <c r="H3346" s="16" t="s">
        <v>3617</v>
      </c>
    </row>
    <row r="3347" ht="20.25" customHeight="1">
      <c r="A3347" s="32" t="str">
        <f>IMAGE("https://gymvisual.com/22464-catalog_default/side-to-wide-squat.jpg",4,500,500)</f>
        <v/>
      </c>
      <c r="B3347" s="30">
        <v>3346.0</v>
      </c>
      <c r="C3347" s="16" t="s">
        <v>4217</v>
      </c>
      <c r="D3347" s="16" t="s">
        <v>184</v>
      </c>
      <c r="E3347" s="16" t="s">
        <v>185</v>
      </c>
      <c r="F3347" s="16" t="s">
        <v>255</v>
      </c>
      <c r="G3347" s="16" t="s">
        <v>220</v>
      </c>
      <c r="H3347" s="16" t="s">
        <v>220</v>
      </c>
    </row>
    <row r="3348" ht="20.25" customHeight="1">
      <c r="A3348" s="32" t="str">
        <f>IMAGE("https://gymvisual.com/2156-catalog_default/side-to-side-chin.jpg",4,500,500)</f>
        <v/>
      </c>
      <c r="B3348" s="30">
        <v>3347.0</v>
      </c>
      <c r="C3348" s="16" t="s">
        <v>4218</v>
      </c>
      <c r="D3348" s="16" t="s">
        <v>184</v>
      </c>
      <c r="E3348" s="16" t="s">
        <v>192</v>
      </c>
      <c r="F3348" s="16" t="s">
        <v>255</v>
      </c>
      <c r="G3348" s="16" t="s">
        <v>300</v>
      </c>
      <c r="H3348" s="16" t="s">
        <v>535</v>
      </c>
    </row>
    <row r="3349" ht="20.25" customHeight="1">
      <c r="A3349" s="32" t="str">
        <f>IMAGE("https://gymvisual.com/2162-catalog_default/sideway-leg-bridge.jpg",4,500,500)</f>
        <v/>
      </c>
      <c r="B3349" s="30">
        <v>3348.0</v>
      </c>
      <c r="C3349" s="16" t="s">
        <v>4219</v>
      </c>
      <c r="D3349" s="16" t="s">
        <v>184</v>
      </c>
      <c r="E3349" s="16" t="s">
        <v>185</v>
      </c>
      <c r="F3349" s="16" t="s">
        <v>255</v>
      </c>
      <c r="G3349" s="16" t="s">
        <v>4220</v>
      </c>
      <c r="H3349" s="16" t="s">
        <v>4221</v>
      </c>
    </row>
    <row r="3350" ht="20.25" customHeight="1">
      <c r="A3350" s="32" t="str">
        <f>IMAGE("https://gymvisual.com/2165-catalog_default/sideways-lifts-vertical-straight-legs.jpg",4,500,500)</f>
        <v/>
      </c>
      <c r="B3350" s="30">
        <v>3349.0</v>
      </c>
      <c r="C3350" s="16" t="s">
        <v>4222</v>
      </c>
      <c r="D3350" s="16" t="s">
        <v>184</v>
      </c>
      <c r="E3350" s="16" t="s">
        <v>254</v>
      </c>
      <c r="F3350" s="16" t="s">
        <v>255</v>
      </c>
      <c r="G3350" s="16" t="s">
        <v>256</v>
      </c>
      <c r="H3350" s="16" t="s">
        <v>257</v>
      </c>
    </row>
    <row r="3351" ht="20.25" customHeight="1">
      <c r="A3351" s="32" t="str">
        <f>IMAGE("https://gymvisual.com/2168-catalog_default/sideways-lifts-vertical-turn-straight-legs.jpg",4,500,500)</f>
        <v/>
      </c>
      <c r="B3351" s="30">
        <v>3350.0</v>
      </c>
      <c r="C3351" s="16" t="s">
        <v>4223</v>
      </c>
      <c r="D3351" s="16" t="s">
        <v>184</v>
      </c>
      <c r="E3351" s="16" t="s">
        <v>254</v>
      </c>
      <c r="F3351" s="16" t="s">
        <v>255</v>
      </c>
      <c r="G3351" s="16" t="s">
        <v>257</v>
      </c>
      <c r="H3351" s="16" t="s">
        <v>256</v>
      </c>
    </row>
    <row r="3352" ht="20.25" customHeight="1">
      <c r="A3352" s="32" t="str">
        <f>IMAGE("https://gymvisual.com/23901-catalog_default/single-arm-overhead-dumbbell-squat.jpg",4,500,500)</f>
        <v/>
      </c>
      <c r="B3352" s="30">
        <v>3351.0</v>
      </c>
      <c r="C3352" s="16" t="s">
        <v>4224</v>
      </c>
      <c r="D3352" s="16" t="s">
        <v>184</v>
      </c>
      <c r="E3352" s="16" t="s">
        <v>285</v>
      </c>
      <c r="F3352" s="16" t="s">
        <v>222</v>
      </c>
      <c r="G3352" s="16" t="s">
        <v>189</v>
      </c>
      <c r="H3352" s="16" t="s">
        <v>190</v>
      </c>
    </row>
    <row r="3353" ht="20.25" customHeight="1">
      <c r="A3353" s="32" t="str">
        <f>IMAGE("https://gymvisual.com/2171-catalog_default/single-arm-push-up.jpg",4,500,500)</f>
        <v/>
      </c>
      <c r="B3353" s="30">
        <v>3352.0</v>
      </c>
      <c r="C3353" s="16" t="s">
        <v>4225</v>
      </c>
      <c r="D3353" s="16" t="s">
        <v>184</v>
      </c>
      <c r="E3353" s="16" t="s">
        <v>234</v>
      </c>
      <c r="F3353" s="16" t="s">
        <v>255</v>
      </c>
      <c r="G3353" s="16" t="s">
        <v>1895</v>
      </c>
      <c r="H3353" s="16" t="s">
        <v>2981</v>
      </c>
    </row>
    <row r="3354" ht="20.25" customHeight="1">
      <c r="A3354" s="32" t="str">
        <f>IMAGE("https://gymvisual.com/12371-catalog_default/single-arm-push-up-on-knees.jpg",4,500,500)</f>
        <v/>
      </c>
      <c r="B3354" s="30">
        <v>3353.0</v>
      </c>
      <c r="C3354" s="16" t="s">
        <v>4226</v>
      </c>
      <c r="D3354" s="16" t="s">
        <v>184</v>
      </c>
      <c r="E3354" s="16" t="s">
        <v>234</v>
      </c>
      <c r="F3354" s="16" t="s">
        <v>255</v>
      </c>
      <c r="G3354" s="16" t="s">
        <v>347</v>
      </c>
      <c r="H3354" s="16" t="s">
        <v>382</v>
      </c>
    </row>
    <row r="3355" ht="20.25" customHeight="1">
      <c r="A3355" s="32" t="str">
        <f>IMAGE("https://gymvisual.com/17943-catalog_default/single-arm-push-up-on-medicine-ball-male.jpg",4,500,500)</f>
        <v/>
      </c>
      <c r="B3355" s="30">
        <v>3354.0</v>
      </c>
      <c r="C3355" s="16" t="s">
        <v>4227</v>
      </c>
      <c r="D3355" s="16" t="s">
        <v>184</v>
      </c>
      <c r="E3355" s="16" t="s">
        <v>234</v>
      </c>
      <c r="F3355" s="16" t="s">
        <v>373</v>
      </c>
      <c r="G3355" s="16" t="s">
        <v>220</v>
      </c>
      <c r="H3355" s="16" t="s">
        <v>220</v>
      </c>
    </row>
    <row r="3356" ht="20.25" customHeight="1">
      <c r="A3356" s="32" t="str">
        <f>IMAGE("https://gymvisual.com/22179-catalog_default/single-arm-push-up-supported-wall.jpg",4,500,500)</f>
        <v/>
      </c>
      <c r="B3356" s="30">
        <v>3355.0</v>
      </c>
      <c r="C3356" s="16" t="s">
        <v>4228</v>
      </c>
      <c r="D3356" s="16" t="s">
        <v>184</v>
      </c>
      <c r="E3356" s="16" t="s">
        <v>234</v>
      </c>
      <c r="F3356" s="16" t="s">
        <v>255</v>
      </c>
      <c r="G3356" s="16" t="s">
        <v>235</v>
      </c>
      <c r="H3356" s="16" t="s">
        <v>243</v>
      </c>
    </row>
    <row r="3357" ht="20.25" customHeight="1">
      <c r="A3357" s="32" t="str">
        <f>IMAGE("https://gymvisual.com/12211-catalog_default/single-arm-scapula-push-up.jpg",4,500,500)</f>
        <v/>
      </c>
      <c r="B3357" s="30">
        <v>3356.0</v>
      </c>
      <c r="C3357" s="16" t="s">
        <v>4229</v>
      </c>
      <c r="D3357" s="16" t="s">
        <v>184</v>
      </c>
      <c r="E3357" s="16" t="s">
        <v>192</v>
      </c>
      <c r="F3357" s="16" t="s">
        <v>255</v>
      </c>
      <c r="G3357" s="16" t="s">
        <v>220</v>
      </c>
      <c r="H3357" s="16" t="s">
        <v>220</v>
      </c>
    </row>
    <row r="3358" ht="20.25" customHeight="1">
      <c r="A3358" s="32" t="str">
        <f>IMAGE("https://gymvisual.com/25899-catalog_default/single-arm-side-straight-arm-lat-pulldown-male.jpg",4,500,500)</f>
        <v/>
      </c>
      <c r="B3358" s="30">
        <v>3357.0</v>
      </c>
      <c r="C3358" s="16" t="s">
        <v>4230</v>
      </c>
      <c r="D3358" s="16" t="s">
        <v>184</v>
      </c>
      <c r="E3358" s="16" t="s">
        <v>192</v>
      </c>
      <c r="F3358" s="16" t="s">
        <v>215</v>
      </c>
      <c r="G3358" s="16" t="s">
        <v>300</v>
      </c>
      <c r="H3358" s="16" t="s">
        <v>4231</v>
      </c>
    </row>
    <row r="3359" ht="20.25" customHeight="1">
      <c r="A3359" s="32" t="str">
        <f>IMAGE("https://gymvisual.com/21032-catalog_default/single-dumbbell-decline-overhead-sit-up.jpg",4,500,500)</f>
        <v/>
      </c>
      <c r="B3359" s="30">
        <v>3358.0</v>
      </c>
      <c r="C3359" s="16" t="s">
        <v>4232</v>
      </c>
      <c r="D3359" s="16" t="s">
        <v>184</v>
      </c>
      <c r="E3359" s="16" t="s">
        <v>254</v>
      </c>
      <c r="F3359" s="16" t="s">
        <v>222</v>
      </c>
      <c r="G3359" s="16" t="s">
        <v>220</v>
      </c>
      <c r="H3359" s="16" t="s">
        <v>220</v>
      </c>
    </row>
    <row r="3360" ht="20.25" customHeight="1">
      <c r="A3360" s="32" t="str">
        <f>IMAGE("https://gymvisual.com/20716-catalog_default/single-leg-bench-squat.jpg",4,500,500)</f>
        <v/>
      </c>
      <c r="B3360" s="30">
        <v>3359.0</v>
      </c>
      <c r="C3360" s="16" t="s">
        <v>4233</v>
      </c>
      <c r="D3360" s="16" t="s">
        <v>184</v>
      </c>
      <c r="E3360" s="16" t="s">
        <v>285</v>
      </c>
      <c r="F3360" s="16" t="s">
        <v>255</v>
      </c>
      <c r="G3360" s="16" t="s">
        <v>189</v>
      </c>
      <c r="H3360" s="16" t="s">
        <v>190</v>
      </c>
    </row>
    <row r="3361" ht="20.25" customHeight="1">
      <c r="A3361" s="32" t="str">
        <f>IMAGE("https://gymvisual.com/12185-catalog_default/single-leg-bodyweight-deadlift-with-arm-and-leg-extended-female.jpg",4,500,500)</f>
        <v/>
      </c>
      <c r="B3361" s="30">
        <v>3360.0</v>
      </c>
      <c r="C3361" s="16" t="s">
        <v>4234</v>
      </c>
      <c r="D3361" s="16" t="s">
        <v>184</v>
      </c>
      <c r="E3361" s="16" t="s">
        <v>185</v>
      </c>
      <c r="F3361" s="16" t="s">
        <v>255</v>
      </c>
      <c r="G3361" s="16" t="s">
        <v>187</v>
      </c>
      <c r="H3361" s="16" t="s">
        <v>4235</v>
      </c>
    </row>
    <row r="3362" ht="20.25" customHeight="1">
      <c r="A3362" s="32" t="str">
        <f>IMAGE("https://gymvisual.com/2174-catalog_default/single-leg-bridge.jpg",4,500,500)</f>
        <v/>
      </c>
      <c r="B3362" s="30">
        <v>3361.0</v>
      </c>
      <c r="C3362" s="16" t="s">
        <v>4236</v>
      </c>
      <c r="D3362" s="16" t="s">
        <v>184</v>
      </c>
      <c r="E3362" s="16" t="s">
        <v>185</v>
      </c>
      <c r="F3362" s="16" t="s">
        <v>255</v>
      </c>
      <c r="G3362" s="16" t="s">
        <v>2848</v>
      </c>
      <c r="H3362" s="16" t="s">
        <v>4237</v>
      </c>
    </row>
    <row r="3363" ht="20.25" customHeight="1">
      <c r="A3363" s="32" t="str">
        <f>IMAGE("https://gymvisual.com/14230-catalog_default/single-leg-bridge-with-hip-flexion.jpg",4,500,500)</f>
        <v/>
      </c>
      <c r="B3363" s="30">
        <v>3362.0</v>
      </c>
      <c r="C3363" s="16" t="s">
        <v>4238</v>
      </c>
      <c r="D3363" s="16" t="s">
        <v>184</v>
      </c>
      <c r="E3363" s="16" t="s">
        <v>185</v>
      </c>
      <c r="F3363" s="16" t="s">
        <v>255</v>
      </c>
      <c r="G3363" s="16" t="s">
        <v>1332</v>
      </c>
      <c r="H3363" s="16" t="s">
        <v>188</v>
      </c>
    </row>
    <row r="3364" ht="20.25" customHeight="1">
      <c r="A3364" s="32" t="str">
        <f>IMAGE("https://gymvisual.com/2176-catalog_default/single-leg-calf-raise-on-a-dumbbell.jpg",4,500,500)</f>
        <v/>
      </c>
      <c r="B3364" s="30">
        <v>3363.0</v>
      </c>
      <c r="C3364" s="16" t="s">
        <v>4239</v>
      </c>
      <c r="D3364" s="16" t="s">
        <v>184</v>
      </c>
      <c r="E3364" s="16" t="s">
        <v>325</v>
      </c>
      <c r="F3364" s="16" t="s">
        <v>222</v>
      </c>
      <c r="G3364" s="16" t="s">
        <v>368</v>
      </c>
      <c r="H3364" s="16" t="s">
        <v>463</v>
      </c>
    </row>
    <row r="3365" ht="20.25" customHeight="1">
      <c r="A3365" s="32" t="str">
        <f>IMAGE("https://gymvisual.com/23879-catalog_default/single-leg-calf-raise-off-step.jpg",4,500,500)</f>
        <v/>
      </c>
      <c r="B3365" s="30">
        <v>3364.0</v>
      </c>
      <c r="C3365" s="16" t="s">
        <v>4240</v>
      </c>
      <c r="D3365" s="16" t="s">
        <v>184</v>
      </c>
      <c r="E3365" s="16" t="s">
        <v>325</v>
      </c>
      <c r="F3365" s="16" t="s">
        <v>255</v>
      </c>
      <c r="G3365" s="16" t="s">
        <v>368</v>
      </c>
      <c r="H3365" s="16" t="s">
        <v>463</v>
      </c>
    </row>
    <row r="3366" ht="20.25" customHeight="1">
      <c r="A3366" s="32" t="str">
        <f>IMAGE("https://gymvisual.com/14234-catalog_default/single-leg-deadlift-with-knee-lift.jpg",4,500,500)</f>
        <v/>
      </c>
      <c r="B3366" s="30">
        <v>3365.0</v>
      </c>
      <c r="C3366" s="16" t="s">
        <v>4241</v>
      </c>
      <c r="D3366" s="16" t="s">
        <v>184</v>
      </c>
      <c r="E3366" s="16" t="s">
        <v>691</v>
      </c>
      <c r="F3366" s="16" t="s">
        <v>255</v>
      </c>
      <c r="G3366" s="16" t="s">
        <v>2288</v>
      </c>
      <c r="H3366" s="16" t="s">
        <v>4242</v>
      </c>
    </row>
    <row r="3367" ht="20.25" customHeight="1">
      <c r="A3367" s="32" t="str">
        <f>IMAGE("https://gymvisual.com/23597-catalog_default/single-leg-dip-on-floor.jpg",4,500,500)</f>
        <v/>
      </c>
      <c r="B3367" s="30">
        <v>3366.0</v>
      </c>
      <c r="C3367" s="16" t="s">
        <v>4243</v>
      </c>
      <c r="D3367" s="16" t="s">
        <v>184</v>
      </c>
      <c r="E3367" s="16" t="s">
        <v>219</v>
      </c>
      <c r="F3367" s="16" t="s">
        <v>255</v>
      </c>
      <c r="G3367" s="16" t="s">
        <v>223</v>
      </c>
      <c r="H3367" s="16" t="s">
        <v>394</v>
      </c>
    </row>
    <row r="3368" ht="20.25" customHeight="1">
      <c r="A3368" s="32" t="str">
        <f>IMAGE("https://gymvisual.com/2179-catalog_default/single-leg-extension-on-stability-ball.jpg",4,500,500)</f>
        <v/>
      </c>
      <c r="B3368" s="30">
        <v>3367.0</v>
      </c>
      <c r="C3368" s="16" t="s">
        <v>4244</v>
      </c>
      <c r="D3368" s="16" t="s">
        <v>184</v>
      </c>
      <c r="E3368" s="16" t="s">
        <v>285</v>
      </c>
      <c r="F3368" s="16" t="s">
        <v>399</v>
      </c>
      <c r="G3368" s="16" t="s">
        <v>188</v>
      </c>
      <c r="H3368" s="16" t="s">
        <v>2733</v>
      </c>
    </row>
    <row r="3369" ht="20.25" customHeight="1">
      <c r="A3369" s="32" t="str">
        <f>IMAGE("https://gymvisual.com/7358-catalog_default/single-leg-foot-touch.jpg",4,500,500)</f>
        <v/>
      </c>
      <c r="B3369" s="30">
        <v>3368.0</v>
      </c>
      <c r="C3369" s="16" t="s">
        <v>4245</v>
      </c>
      <c r="D3369" s="16" t="s">
        <v>184</v>
      </c>
      <c r="E3369" s="16" t="s">
        <v>185</v>
      </c>
      <c r="F3369" s="16" t="s">
        <v>255</v>
      </c>
      <c r="G3369" s="16" t="s">
        <v>267</v>
      </c>
      <c r="H3369" s="16" t="s">
        <v>188</v>
      </c>
    </row>
    <row r="3370" ht="20.25" customHeight="1">
      <c r="A3370" s="32" t="str">
        <f>IMAGE("https://gymvisual.com/22309-catalog_default/single-leg-glute-bridge-arms-on-chest-female.jpg",4,500,500)</f>
        <v/>
      </c>
      <c r="B3370" s="30">
        <v>3369.0</v>
      </c>
      <c r="C3370" s="16" t="s">
        <v>4246</v>
      </c>
      <c r="D3370" s="16" t="s">
        <v>184</v>
      </c>
      <c r="E3370" s="16" t="s">
        <v>185</v>
      </c>
      <c r="F3370" s="16" t="s">
        <v>255</v>
      </c>
      <c r="G3370" s="16" t="s">
        <v>220</v>
      </c>
      <c r="H3370" s="16" t="s">
        <v>220</v>
      </c>
    </row>
    <row r="3371" ht="20.25" customHeight="1">
      <c r="A3371" s="32" t="str">
        <f>IMAGE("https://gymvisual.com/23933-catalog_default/single-leg-glute-bridge-with-external-rotation.jpg",4,500,500)</f>
        <v/>
      </c>
      <c r="B3371" s="30">
        <v>3370.0</v>
      </c>
      <c r="C3371" s="16" t="s">
        <v>4247</v>
      </c>
      <c r="D3371" s="16" t="s">
        <v>184</v>
      </c>
      <c r="E3371" s="16" t="s">
        <v>185</v>
      </c>
      <c r="F3371" s="16" t="s">
        <v>255</v>
      </c>
      <c r="G3371" s="16" t="s">
        <v>1322</v>
      </c>
      <c r="H3371" s="16" t="s">
        <v>3610</v>
      </c>
    </row>
    <row r="3372" ht="20.25" customHeight="1">
      <c r="A3372" s="32" t="str">
        <f>IMAGE("https://gymvisual.com/17821-catalog_default/single-leg-glute-bridge-with-knee-to-chest.jpg",4,500,500)</f>
        <v/>
      </c>
      <c r="B3372" s="30">
        <v>3371.0</v>
      </c>
      <c r="C3372" s="16" t="s">
        <v>4248</v>
      </c>
      <c r="D3372" s="16" t="s">
        <v>184</v>
      </c>
      <c r="E3372" s="16" t="s">
        <v>185</v>
      </c>
      <c r="F3372" s="16" t="s">
        <v>255</v>
      </c>
      <c r="G3372" s="16" t="s">
        <v>187</v>
      </c>
      <c r="H3372" s="16" t="s">
        <v>854</v>
      </c>
    </row>
    <row r="3373" ht="20.25" customHeight="1">
      <c r="A3373" s="32" t="str">
        <f>IMAGE("https://gymvisual.com/14004-catalog_default/single-leg-heel-touch-squat.jpg",4,500,500)</f>
        <v/>
      </c>
      <c r="B3373" s="30">
        <v>3372.0</v>
      </c>
      <c r="C3373" s="16" t="s">
        <v>4249</v>
      </c>
      <c r="D3373" s="16" t="s">
        <v>184</v>
      </c>
      <c r="E3373" s="16" t="s">
        <v>294</v>
      </c>
      <c r="F3373" s="16" t="s">
        <v>255</v>
      </c>
      <c r="G3373" s="16" t="s">
        <v>189</v>
      </c>
      <c r="H3373" s="16" t="s">
        <v>2046</v>
      </c>
    </row>
    <row r="3374" ht="20.25" customHeight="1">
      <c r="A3374" s="32" t="str">
        <f>IMAGE("https://gymvisual.com/2182-catalog_default/single-leg-hip-bridge-straight-leg.jpg",4,500,500)</f>
        <v/>
      </c>
      <c r="B3374" s="30">
        <v>3373.0</v>
      </c>
      <c r="C3374" s="16" t="s">
        <v>4250</v>
      </c>
      <c r="D3374" s="16" t="s">
        <v>184</v>
      </c>
      <c r="E3374" s="16" t="s">
        <v>185</v>
      </c>
      <c r="F3374" s="16" t="s">
        <v>255</v>
      </c>
      <c r="G3374" s="16" t="s">
        <v>187</v>
      </c>
      <c r="H3374" s="16" t="s">
        <v>552</v>
      </c>
    </row>
    <row r="3375" ht="20.25" customHeight="1">
      <c r="A3375" s="32" t="str">
        <f>IMAGE("https://gymvisual.com/13776-catalog_default/single-leg-hip-bridge-straight-leg-male.jpg",4,500,500)</f>
        <v/>
      </c>
      <c r="B3375" s="30">
        <v>3374.0</v>
      </c>
      <c r="C3375" s="16" t="s">
        <v>4251</v>
      </c>
      <c r="D3375" s="16" t="s">
        <v>184</v>
      </c>
      <c r="E3375" s="16" t="s">
        <v>185</v>
      </c>
      <c r="F3375" s="16" t="s">
        <v>255</v>
      </c>
      <c r="G3375" s="16" t="s">
        <v>187</v>
      </c>
      <c r="H3375" s="16" t="s">
        <v>188</v>
      </c>
    </row>
    <row r="3376" ht="20.25" customHeight="1">
      <c r="A3376" s="32" t="str">
        <f>IMAGE("https://gymvisual.com/20718-catalog_default/single-leg-hip-thrust-version-2-female.jpg",4,500,500)</f>
        <v/>
      </c>
      <c r="B3376" s="30">
        <v>3375.0</v>
      </c>
      <c r="C3376" s="16" t="s">
        <v>4252</v>
      </c>
      <c r="D3376" s="16" t="s">
        <v>184</v>
      </c>
      <c r="E3376" s="16" t="s">
        <v>185</v>
      </c>
      <c r="F3376" s="16" t="s">
        <v>255</v>
      </c>
      <c r="G3376" s="16" t="s">
        <v>187</v>
      </c>
      <c r="H3376" s="16" t="s">
        <v>854</v>
      </c>
    </row>
    <row r="3377" ht="20.25" customHeight="1">
      <c r="A3377" s="32" t="str">
        <f>IMAGE("https://gymvisual.com/8638-catalog_default/single-leg-hip-thrusts.jpg",4,500,500)</f>
        <v/>
      </c>
      <c r="B3377" s="30">
        <v>3376.0</v>
      </c>
      <c r="C3377" s="16" t="s">
        <v>4253</v>
      </c>
      <c r="D3377" s="16" t="s">
        <v>184</v>
      </c>
      <c r="E3377" s="16"/>
      <c r="F3377" s="16"/>
      <c r="G3377" s="16" t="s">
        <v>187</v>
      </c>
      <c r="H3377" s="16" t="s">
        <v>854</v>
      </c>
    </row>
    <row r="3378" ht="20.25" customHeight="1">
      <c r="A3378" s="32" t="str">
        <f>IMAGE("https://gymvisual.com/14002-catalog_default/single-leg-low-box-squat.jpg",4,500,500)</f>
        <v/>
      </c>
      <c r="B3378" s="30">
        <v>3377.0</v>
      </c>
      <c r="C3378" s="16" t="s">
        <v>4254</v>
      </c>
      <c r="D3378" s="16" t="s">
        <v>184</v>
      </c>
      <c r="E3378" s="16" t="s">
        <v>294</v>
      </c>
      <c r="F3378" s="16" t="s">
        <v>255</v>
      </c>
      <c r="G3378" s="16" t="s">
        <v>189</v>
      </c>
      <c r="H3378" s="16" t="s">
        <v>190</v>
      </c>
    </row>
    <row r="3379" ht="20.25" customHeight="1">
      <c r="A3379" s="32" t="str">
        <f>IMAGE("https://gymvisual.com/2185-catalog_default/single-leg-platform-slide.jpg",4,500,500)</f>
        <v/>
      </c>
      <c r="B3379" s="30">
        <v>3378.0</v>
      </c>
      <c r="C3379" s="16" t="s">
        <v>4255</v>
      </c>
      <c r="D3379" s="16" t="s">
        <v>184</v>
      </c>
      <c r="E3379" s="16" t="s">
        <v>285</v>
      </c>
      <c r="F3379" s="16" t="s">
        <v>255</v>
      </c>
      <c r="G3379" s="16" t="s">
        <v>188</v>
      </c>
      <c r="H3379" s="16" t="s">
        <v>368</v>
      </c>
    </row>
    <row r="3380" ht="20.25" customHeight="1">
      <c r="A3380" s="32" t="str">
        <f>IMAGE("https://gymvisual.com/6838-catalog_default/single-leg-push-off.jpg",4,500,500)</f>
        <v/>
      </c>
      <c r="B3380" s="30">
        <v>3379.0</v>
      </c>
      <c r="C3380" s="16" t="s">
        <v>4256</v>
      </c>
      <c r="D3380" s="16" t="s">
        <v>184</v>
      </c>
      <c r="E3380" s="16" t="s">
        <v>285</v>
      </c>
      <c r="F3380" s="16" t="s">
        <v>255</v>
      </c>
      <c r="G3380" s="16" t="s">
        <v>220</v>
      </c>
      <c r="H3380" s="16" t="s">
        <v>220</v>
      </c>
    </row>
    <row r="3381" ht="20.25" customHeight="1">
      <c r="A3381" s="32" t="str">
        <f>IMAGE("https://gymvisual.com/2188-catalog_default/single-leg-sit-wall.jpg",4,500,500)</f>
        <v/>
      </c>
      <c r="B3381" s="30">
        <v>3380.0</v>
      </c>
      <c r="C3381" s="16" t="s">
        <v>4257</v>
      </c>
      <c r="D3381" s="16" t="s">
        <v>184</v>
      </c>
      <c r="E3381" s="16" t="s">
        <v>285</v>
      </c>
      <c r="F3381" s="16" t="s">
        <v>255</v>
      </c>
      <c r="G3381" s="16" t="s">
        <v>552</v>
      </c>
      <c r="H3381" s="16" t="s">
        <v>4258</v>
      </c>
    </row>
    <row r="3382" ht="20.25" customHeight="1">
      <c r="A3382" s="32" t="str">
        <f>IMAGE("https://gymvisual.com/14038-catalog_default/single-leg-sliding-floor-bridge-curl-on-towel.jpg",4,500,500)</f>
        <v/>
      </c>
      <c r="B3382" s="30">
        <v>3381.0</v>
      </c>
      <c r="C3382" s="16" t="s">
        <v>4259</v>
      </c>
      <c r="D3382" s="16" t="s">
        <v>184</v>
      </c>
      <c r="E3382" s="16" t="s">
        <v>522</v>
      </c>
      <c r="F3382" s="16" t="s">
        <v>255</v>
      </c>
      <c r="G3382" s="16" t="s">
        <v>4260</v>
      </c>
      <c r="H3382" s="16" t="s">
        <v>220</v>
      </c>
    </row>
    <row r="3383" ht="20.25" customHeight="1">
      <c r="A3383" s="32" t="str">
        <f>IMAGE("https://gymvisual.com/2190-catalog_default/single-leg-squat-pistol.jpg",4,500,500)</f>
        <v/>
      </c>
      <c r="B3383" s="30">
        <v>3382.0</v>
      </c>
      <c r="C3383" s="16" t="s">
        <v>4261</v>
      </c>
      <c r="D3383" s="16" t="s">
        <v>184</v>
      </c>
      <c r="E3383" s="16" t="s">
        <v>185</v>
      </c>
      <c r="F3383" s="16" t="s">
        <v>255</v>
      </c>
      <c r="G3383" s="16" t="s">
        <v>189</v>
      </c>
      <c r="H3383" s="16" t="s">
        <v>190</v>
      </c>
    </row>
    <row r="3384" ht="20.25" customHeight="1">
      <c r="A3384" s="32" t="str">
        <f>IMAGE("https://gymvisual.com/7567-catalog_default/single-leg-squat-pistol-male.jpg",4,500,500)</f>
        <v/>
      </c>
      <c r="B3384" s="30">
        <v>3383.0</v>
      </c>
      <c r="C3384" s="16" t="s">
        <v>4262</v>
      </c>
      <c r="D3384" s="16" t="s">
        <v>184</v>
      </c>
      <c r="E3384" s="16" t="s">
        <v>285</v>
      </c>
      <c r="F3384" s="16" t="s">
        <v>255</v>
      </c>
      <c r="G3384" s="16" t="s">
        <v>189</v>
      </c>
      <c r="H3384" s="16" t="s">
        <v>190</v>
      </c>
    </row>
    <row r="3385" ht="20.25" customHeight="1">
      <c r="A3385" s="32" t="str">
        <f>IMAGE("https://gymvisual.com/20660-catalog_default/single-leg-squat-with-support-female.jpg",4,500,500)</f>
        <v/>
      </c>
      <c r="B3385" s="30">
        <v>3384.0</v>
      </c>
      <c r="C3385" s="16" t="s">
        <v>4263</v>
      </c>
      <c r="D3385" s="16" t="s">
        <v>184</v>
      </c>
      <c r="E3385" s="16" t="s">
        <v>285</v>
      </c>
      <c r="F3385" s="16" t="s">
        <v>255</v>
      </c>
      <c r="G3385" s="16" t="s">
        <v>189</v>
      </c>
      <c r="H3385" s="16" t="s">
        <v>190</v>
      </c>
    </row>
    <row r="3386" ht="20.25" customHeight="1">
      <c r="A3386" s="32" t="str">
        <f>IMAGE("https://gymvisual.com/10096-catalog_default/single-leg-squat-with-support-pistol.jpg",4,500,500)</f>
        <v/>
      </c>
      <c r="B3386" s="30">
        <v>3385.0</v>
      </c>
      <c r="C3386" s="16" t="s">
        <v>4264</v>
      </c>
      <c r="D3386" s="16" t="s">
        <v>184</v>
      </c>
      <c r="E3386" s="16" t="s">
        <v>285</v>
      </c>
      <c r="F3386" s="16" t="s">
        <v>255</v>
      </c>
      <c r="G3386" s="16" t="s">
        <v>189</v>
      </c>
      <c r="H3386" s="16" t="s">
        <v>190</v>
      </c>
    </row>
    <row r="3387" ht="20.25" customHeight="1">
      <c r="A3387" s="32" t="str">
        <f>IMAGE("https://gymvisual.com/16035-catalog_default/single-leg-step-up-female.jpg",4,500,500)</f>
        <v/>
      </c>
      <c r="B3387" s="30">
        <v>3386.0</v>
      </c>
      <c r="C3387" s="16" t="s">
        <v>4265</v>
      </c>
      <c r="D3387" s="16" t="s">
        <v>184</v>
      </c>
      <c r="E3387" s="16" t="s">
        <v>294</v>
      </c>
      <c r="F3387" s="16" t="s">
        <v>255</v>
      </c>
      <c r="G3387" s="16" t="s">
        <v>189</v>
      </c>
      <c r="H3387" s="16" t="s">
        <v>190</v>
      </c>
    </row>
    <row r="3388" ht="20.25" customHeight="1">
      <c r="A3388" s="32" t="str">
        <f>IMAGE("https://gymvisual.com/2193-catalog_default/single-leg-step-up.jpg",4,500,500)</f>
        <v/>
      </c>
      <c r="B3388" s="30">
        <v>3387.0</v>
      </c>
      <c r="C3388" s="16" t="s">
        <v>4266</v>
      </c>
      <c r="D3388" s="16" t="s">
        <v>184</v>
      </c>
      <c r="E3388" s="16" t="s">
        <v>285</v>
      </c>
      <c r="F3388" s="16" t="s">
        <v>255</v>
      </c>
      <c r="G3388" s="16" t="s">
        <v>189</v>
      </c>
      <c r="H3388" s="16" t="s">
        <v>2046</v>
      </c>
    </row>
    <row r="3389" ht="20.25" customHeight="1">
      <c r="A3389" s="32" t="str">
        <f>IMAGE("https://gymvisual.com/22315-catalog_default/single-leg-step-up-on-bench-female.jpg",4,500,500)</f>
        <v/>
      </c>
      <c r="B3389" s="30">
        <v>3388.0</v>
      </c>
      <c r="C3389" s="16" t="s">
        <v>4267</v>
      </c>
      <c r="D3389" s="16" t="s">
        <v>184</v>
      </c>
      <c r="E3389" s="16" t="s">
        <v>285</v>
      </c>
      <c r="F3389" s="16" t="s">
        <v>255</v>
      </c>
      <c r="G3389" s="16" t="s">
        <v>220</v>
      </c>
      <c r="H3389" s="16" t="s">
        <v>220</v>
      </c>
    </row>
    <row r="3390" ht="20.25" customHeight="1">
      <c r="A3390" s="32" t="str">
        <f>IMAGE("https://gymvisual.com/24494-catalog_default/single-straight-leg-glute-bridge-hold-female.jpg",4,500,500)</f>
        <v/>
      </c>
      <c r="B3390" s="30">
        <v>3389.0</v>
      </c>
      <c r="C3390" s="16" t="s">
        <v>4268</v>
      </c>
      <c r="D3390" s="16" t="s">
        <v>184</v>
      </c>
      <c r="E3390" s="16" t="s">
        <v>185</v>
      </c>
      <c r="F3390" s="16" t="s">
        <v>255</v>
      </c>
      <c r="G3390" s="16" t="s">
        <v>220</v>
      </c>
      <c r="H3390" s="16" t="s">
        <v>220</v>
      </c>
    </row>
    <row r="3391" ht="20.25" customHeight="1">
      <c r="A3391" s="32" t="str">
        <f>IMAGE("https://gymvisual.com/6508-catalog_default/sissy-squat.jpg",4,500,500)</f>
        <v/>
      </c>
      <c r="B3391" s="30">
        <v>3390.0</v>
      </c>
      <c r="C3391" s="16" t="s">
        <v>4269</v>
      </c>
      <c r="D3391" s="16" t="s">
        <v>184</v>
      </c>
      <c r="E3391" s="16" t="s">
        <v>285</v>
      </c>
      <c r="F3391" s="16" t="s">
        <v>255</v>
      </c>
      <c r="G3391" s="16" t="s">
        <v>552</v>
      </c>
      <c r="H3391" s="16" t="s">
        <v>220</v>
      </c>
    </row>
    <row r="3392" ht="20.25" customHeight="1">
      <c r="A3392" s="32" t="str">
        <f>IMAGE("https://gymvisual.com/2196-catalog_default/sit-wall.jpg",4,500,500)</f>
        <v/>
      </c>
      <c r="B3392" s="30">
        <v>3391.0</v>
      </c>
      <c r="C3392" s="16" t="s">
        <v>4270</v>
      </c>
      <c r="D3392" s="16" t="s">
        <v>184</v>
      </c>
      <c r="E3392" s="16" t="s">
        <v>285</v>
      </c>
      <c r="F3392" s="16" t="s">
        <v>255</v>
      </c>
      <c r="G3392" s="16" t="s">
        <v>189</v>
      </c>
      <c r="H3392" s="16" t="s">
        <v>190</v>
      </c>
    </row>
    <row r="3393" ht="20.25" customHeight="1">
      <c r="A3393" s="32" t="str">
        <f>IMAGE("https://gymvisual.com/6840-catalog_default/sit-squat.jpg",4,500,500)</f>
        <v/>
      </c>
      <c r="B3393" s="30">
        <v>3392.0</v>
      </c>
      <c r="C3393" s="16" t="s">
        <v>4271</v>
      </c>
      <c r="D3393" s="16" t="s">
        <v>184</v>
      </c>
      <c r="E3393" s="16" t="s">
        <v>285</v>
      </c>
      <c r="F3393" s="16" t="s">
        <v>255</v>
      </c>
      <c r="G3393" s="16" t="s">
        <v>220</v>
      </c>
      <c r="H3393" s="16" t="s">
        <v>220</v>
      </c>
    </row>
    <row r="3394" ht="20.25" customHeight="1">
      <c r="A3394" s="32" t="str">
        <f>IMAGE("https://gymvisual.com/13741-catalog_default/sit-up-with-chair-assisted.jpg",4,500,500)</f>
        <v/>
      </c>
      <c r="B3394" s="30">
        <v>3393.0</v>
      </c>
      <c r="C3394" s="16" t="s">
        <v>4272</v>
      </c>
      <c r="D3394" s="16" t="s">
        <v>184</v>
      </c>
      <c r="E3394" s="16" t="s">
        <v>254</v>
      </c>
      <c r="F3394" s="16" t="s">
        <v>255</v>
      </c>
      <c r="G3394" s="16" t="s">
        <v>256</v>
      </c>
      <c r="H3394" s="16" t="s">
        <v>257</v>
      </c>
    </row>
    <row r="3395" ht="20.25" customHeight="1">
      <c r="A3395" s="32" t="str">
        <f>IMAGE("https://gymvisual.com/2202-catalog_default/sit-up.jpg",4,500,500)</f>
        <v/>
      </c>
      <c r="B3395" s="30">
        <v>3394.0</v>
      </c>
      <c r="C3395" s="16" t="s">
        <v>4273</v>
      </c>
      <c r="D3395" s="16" t="s">
        <v>184</v>
      </c>
      <c r="E3395" s="16" t="s">
        <v>254</v>
      </c>
      <c r="F3395" s="16" t="s">
        <v>255</v>
      </c>
      <c r="G3395" s="16" t="s">
        <v>256</v>
      </c>
      <c r="H3395" s="16" t="s">
        <v>424</v>
      </c>
    </row>
    <row r="3396" ht="20.25" customHeight="1">
      <c r="A3396" s="32" t="str">
        <f>IMAGE("https://gymvisual.com/2199-catalog_default/sit-up-version-2.jpg",4,500,500)</f>
        <v/>
      </c>
      <c r="B3396" s="30">
        <v>3395.0</v>
      </c>
      <c r="C3396" s="16" t="s">
        <v>4274</v>
      </c>
      <c r="D3396" s="16" t="s">
        <v>184</v>
      </c>
      <c r="E3396" s="16" t="s">
        <v>254</v>
      </c>
      <c r="F3396" s="16" t="s">
        <v>255</v>
      </c>
      <c r="G3396" s="16" t="s">
        <v>305</v>
      </c>
      <c r="H3396" s="16" t="s">
        <v>593</v>
      </c>
    </row>
    <row r="3397" ht="20.25" customHeight="1">
      <c r="A3397" s="32" t="str">
        <f>IMAGE("https://gymvisual.com/14643-catalog_default/sit-up-with-arms-on-chest.jpg",4,500,500)</f>
        <v/>
      </c>
      <c r="B3397" s="30">
        <v>3396.0</v>
      </c>
      <c r="C3397" s="16" t="s">
        <v>4275</v>
      </c>
      <c r="D3397" s="16" t="s">
        <v>184</v>
      </c>
      <c r="E3397" s="16" t="s">
        <v>254</v>
      </c>
      <c r="F3397" s="16" t="s">
        <v>255</v>
      </c>
      <c r="G3397" s="16" t="s">
        <v>305</v>
      </c>
      <c r="H3397" s="16" t="s">
        <v>257</v>
      </c>
    </row>
    <row r="3398" ht="20.25" customHeight="1">
      <c r="A3398" s="32" t="str">
        <f>IMAGE("https://gymvisual.com/13697-catalog_default/skater-squat.jpg",4,500,500)</f>
        <v/>
      </c>
      <c r="B3398" s="30">
        <v>3397.0</v>
      </c>
      <c r="C3398" s="16" t="s">
        <v>4276</v>
      </c>
      <c r="D3398" s="16" t="s">
        <v>184</v>
      </c>
      <c r="E3398" s="16" t="s">
        <v>294</v>
      </c>
      <c r="F3398" s="16" t="s">
        <v>255</v>
      </c>
      <c r="G3398" s="16" t="s">
        <v>189</v>
      </c>
      <c r="H3398" s="16" t="s">
        <v>190</v>
      </c>
    </row>
    <row r="3399" ht="20.25" customHeight="1">
      <c r="A3399" s="32" t="str">
        <f>IMAGE("https://gymvisual.com/9586-catalog_default/sled-45-degrees-leg-press-female.jpg",4,500,500)</f>
        <v/>
      </c>
      <c r="B3399" s="30">
        <v>3398.0</v>
      </c>
      <c r="C3399" s="16" t="s">
        <v>4277</v>
      </c>
      <c r="D3399" s="16" t="s">
        <v>184</v>
      </c>
      <c r="E3399" s="16" t="s">
        <v>294</v>
      </c>
      <c r="F3399" s="16" t="s">
        <v>2893</v>
      </c>
      <c r="G3399" s="16" t="s">
        <v>189</v>
      </c>
      <c r="H3399" s="16" t="s">
        <v>190</v>
      </c>
    </row>
    <row r="3400" ht="20.25" customHeight="1">
      <c r="A3400" s="32" t="str">
        <f>IMAGE("https://gymvisual.com/14296-catalog_default/sled-45-degrees-narrow-stance-leg-press-female.jpg",4,500,500)</f>
        <v/>
      </c>
      <c r="B3400" s="30">
        <v>3399.0</v>
      </c>
      <c r="C3400" s="16" t="s">
        <v>4278</v>
      </c>
      <c r="D3400" s="16" t="s">
        <v>184</v>
      </c>
      <c r="E3400" s="16" t="s">
        <v>294</v>
      </c>
      <c r="F3400" s="16" t="s">
        <v>2893</v>
      </c>
      <c r="G3400" s="16" t="s">
        <v>189</v>
      </c>
      <c r="H3400" s="16" t="s">
        <v>190</v>
      </c>
    </row>
    <row r="3401" ht="20.25" customHeight="1">
      <c r="A3401" s="32" t="str">
        <f>IMAGE("https://gymvisual.com/6277-catalog_default/sled-45-degrees-one-leg-press.jpg",4,500,500)</f>
        <v/>
      </c>
      <c r="B3401" s="30">
        <v>3400.0</v>
      </c>
      <c r="C3401" s="16" t="s">
        <v>4279</v>
      </c>
      <c r="D3401" s="16" t="s">
        <v>184</v>
      </c>
      <c r="E3401" s="16" t="s">
        <v>185</v>
      </c>
      <c r="F3401" s="16" t="s">
        <v>2893</v>
      </c>
      <c r="G3401" s="16" t="s">
        <v>189</v>
      </c>
      <c r="H3401" s="16" t="s">
        <v>190</v>
      </c>
    </row>
    <row r="3402" ht="20.25" customHeight="1">
      <c r="A3402" s="32" t="str">
        <f>IMAGE("https://gymvisual.com/11375-catalog_default/sled-45-degrees-one-leg-press-female.jpg",4,500,500)</f>
        <v/>
      </c>
      <c r="B3402" s="30">
        <v>3401.0</v>
      </c>
      <c r="C3402" s="16" t="s">
        <v>4280</v>
      </c>
      <c r="D3402" s="16" t="s">
        <v>184</v>
      </c>
      <c r="E3402" s="16" t="s">
        <v>294</v>
      </c>
      <c r="F3402" s="16" t="s">
        <v>2893</v>
      </c>
      <c r="G3402" s="16" t="s">
        <v>220</v>
      </c>
      <c r="H3402" s="16" t="s">
        <v>220</v>
      </c>
    </row>
    <row r="3403" ht="20.25" customHeight="1">
      <c r="A3403" s="32" t="str">
        <f>IMAGE("https://gymvisual.com/14298-catalog_default/sled-45-degrees-wide-stance-leg-press-female.jpg",4,500,500)</f>
        <v/>
      </c>
      <c r="B3403" s="30">
        <v>3402.0</v>
      </c>
      <c r="C3403" s="16" t="s">
        <v>4281</v>
      </c>
      <c r="D3403" s="16" t="s">
        <v>184</v>
      </c>
      <c r="E3403" s="16" t="s">
        <v>294</v>
      </c>
      <c r="F3403" s="16" t="s">
        <v>2893</v>
      </c>
      <c r="G3403" s="16" t="s">
        <v>189</v>
      </c>
      <c r="H3403" s="16" t="s">
        <v>190</v>
      </c>
    </row>
    <row r="3404" ht="20.25" customHeight="1">
      <c r="A3404" s="32" t="str">
        <f>IMAGE("https://gymvisual.com/2208-catalog_default/sled-45-calf-press.jpg",4,500,500)</f>
        <v/>
      </c>
      <c r="B3404" s="30">
        <v>3403.0</v>
      </c>
      <c r="C3404" s="16" t="s">
        <v>4282</v>
      </c>
      <c r="D3404" s="16" t="s">
        <v>184</v>
      </c>
      <c r="E3404" s="16" t="s">
        <v>325</v>
      </c>
      <c r="F3404" s="16" t="s">
        <v>2893</v>
      </c>
      <c r="G3404" s="16" t="s">
        <v>368</v>
      </c>
      <c r="H3404" s="16" t="s">
        <v>463</v>
      </c>
    </row>
    <row r="3405" ht="20.25" customHeight="1">
      <c r="A3405" s="32" t="str">
        <f>IMAGE("https://gymvisual.com/2211-catalog_default/sled-45-leg-press.jpg",4,500,500)</f>
        <v/>
      </c>
      <c r="B3405" s="30">
        <v>3404.0</v>
      </c>
      <c r="C3405" s="16" t="s">
        <v>4283</v>
      </c>
      <c r="D3405" s="16" t="s">
        <v>184</v>
      </c>
      <c r="E3405" s="16" t="s">
        <v>185</v>
      </c>
      <c r="F3405" s="16" t="s">
        <v>2893</v>
      </c>
      <c r="G3405" s="16" t="s">
        <v>189</v>
      </c>
      <c r="H3405" s="16" t="s">
        <v>190</v>
      </c>
    </row>
    <row r="3406" ht="20.25" customHeight="1">
      <c r="A3406" s="32" t="str">
        <f>IMAGE("https://gymvisual.com/6474-catalog_default/sled-45-leg-press-back-pov.jpg",4,500,500)</f>
        <v/>
      </c>
      <c r="B3406" s="30">
        <v>3405.0</v>
      </c>
      <c r="C3406" s="16" t="s">
        <v>4284</v>
      </c>
      <c r="D3406" s="16" t="s">
        <v>184</v>
      </c>
      <c r="E3406" s="16" t="s">
        <v>285</v>
      </c>
      <c r="F3406" s="16" t="s">
        <v>2893</v>
      </c>
      <c r="G3406" s="16" t="s">
        <v>189</v>
      </c>
      <c r="H3406" s="16" t="s">
        <v>190</v>
      </c>
    </row>
    <row r="3407" ht="20.25" customHeight="1">
      <c r="A3407" s="32" t="str">
        <f>IMAGE("https://gymvisual.com/6476-catalog_default/sled-45-leg-press-side-pov.jpg",4,500,500)</f>
        <v/>
      </c>
      <c r="B3407" s="30">
        <v>3406.0</v>
      </c>
      <c r="C3407" s="16" t="s">
        <v>4285</v>
      </c>
      <c r="D3407" s="16" t="s">
        <v>184</v>
      </c>
      <c r="E3407" s="16" t="s">
        <v>285</v>
      </c>
      <c r="F3407" s="16" t="s">
        <v>2893</v>
      </c>
      <c r="G3407" s="16" t="s">
        <v>189</v>
      </c>
      <c r="H3407" s="16" t="s">
        <v>190</v>
      </c>
    </row>
    <row r="3408" ht="20.25" customHeight="1">
      <c r="A3408" s="32" t="str">
        <f>IMAGE("https://gymvisual.com/2214-catalog_default/sled-45-leg-wide-press.jpg",4,500,500)</f>
        <v/>
      </c>
      <c r="B3408" s="30">
        <v>3407.0</v>
      </c>
      <c r="C3408" s="16" t="s">
        <v>4286</v>
      </c>
      <c r="D3408" s="16" t="s">
        <v>184</v>
      </c>
      <c r="E3408" s="16" t="s">
        <v>285</v>
      </c>
      <c r="F3408" s="16" t="s">
        <v>2893</v>
      </c>
      <c r="G3408" s="16" t="s">
        <v>189</v>
      </c>
      <c r="H3408" s="16" t="s">
        <v>1121</v>
      </c>
    </row>
    <row r="3409" ht="20.25" customHeight="1">
      <c r="A3409" s="32" t="str">
        <f>IMAGE("https://gymvisual.com/6822-catalog_default/sled-45o-narrow-stance-leg-press.jpg",4,500,500)</f>
        <v/>
      </c>
      <c r="B3409" s="30">
        <v>3408.0</v>
      </c>
      <c r="C3409" s="16" t="s">
        <v>4287</v>
      </c>
      <c r="D3409" s="16" t="s">
        <v>184</v>
      </c>
      <c r="E3409" s="16" t="s">
        <v>285</v>
      </c>
      <c r="F3409" s="16" t="s">
        <v>2893</v>
      </c>
      <c r="G3409" s="16" t="s">
        <v>189</v>
      </c>
      <c r="H3409" s="16" t="s">
        <v>190</v>
      </c>
    </row>
    <row r="3410" ht="20.25" customHeight="1">
      <c r="A3410" s="32" t="str">
        <f>IMAGE("https://gymvisual.com/6088-catalog_default/sled-calf-press-on-leg-press.jpg",4,500,500)</f>
        <v/>
      </c>
      <c r="B3410" s="30">
        <v>3409.0</v>
      </c>
      <c r="C3410" s="16" t="s">
        <v>4288</v>
      </c>
      <c r="D3410" s="16" t="s">
        <v>184</v>
      </c>
      <c r="E3410" s="16" t="s">
        <v>325</v>
      </c>
      <c r="F3410" s="16" t="s">
        <v>2893</v>
      </c>
      <c r="G3410" s="16" t="s">
        <v>368</v>
      </c>
      <c r="H3410" s="16" t="s">
        <v>463</v>
      </c>
    </row>
    <row r="3411" ht="20.25" customHeight="1">
      <c r="A3411" s="32" t="str">
        <f>IMAGE("https://gymvisual.com/9550-catalog_default/sled-calf-press-on-leg-press-female.jpg",4,500,500)</f>
        <v/>
      </c>
      <c r="B3411" s="30">
        <v>3410.0</v>
      </c>
      <c r="C3411" s="16" t="s">
        <v>4289</v>
      </c>
      <c r="D3411" s="16" t="s">
        <v>184</v>
      </c>
      <c r="E3411" s="16" t="s">
        <v>325</v>
      </c>
      <c r="F3411" s="16" t="s">
        <v>2893</v>
      </c>
      <c r="G3411" s="16" t="s">
        <v>368</v>
      </c>
      <c r="H3411" s="16" t="s">
        <v>463</v>
      </c>
    </row>
    <row r="3412" ht="20.25" customHeight="1">
      <c r="A3412" s="32" t="str">
        <f>IMAGE("https://gymvisual.com/2217-catalog_default/sled-closer-hack-squat.jpg",4,500,500)</f>
        <v/>
      </c>
      <c r="B3412" s="30">
        <v>3411.0</v>
      </c>
      <c r="C3412" s="16" t="s">
        <v>4290</v>
      </c>
      <c r="D3412" s="16" t="s">
        <v>184</v>
      </c>
      <c r="E3412" s="16" t="s">
        <v>285</v>
      </c>
      <c r="F3412" s="16" t="s">
        <v>2893</v>
      </c>
      <c r="G3412" s="16" t="s">
        <v>189</v>
      </c>
      <c r="H3412" s="16" t="s">
        <v>190</v>
      </c>
    </row>
    <row r="3413" ht="20.25" customHeight="1">
      <c r="A3413" s="32" t="str">
        <f>IMAGE("https://gymvisual.com/20543-catalog_default/sled-forward-angled-calf-raise.jpg",4,500,500)</f>
        <v/>
      </c>
      <c r="B3413" s="30">
        <v>3412.0</v>
      </c>
      <c r="C3413" s="16" t="s">
        <v>4291</v>
      </c>
      <c r="D3413" s="16" t="s">
        <v>184</v>
      </c>
      <c r="E3413" s="16" t="s">
        <v>325</v>
      </c>
      <c r="F3413" s="16" t="s">
        <v>2893</v>
      </c>
      <c r="G3413" s="16" t="s">
        <v>368</v>
      </c>
      <c r="H3413" s="16" t="s">
        <v>463</v>
      </c>
    </row>
    <row r="3414" ht="20.25" customHeight="1">
      <c r="A3414" s="32" t="str">
        <f>IMAGE("https://gymvisual.com/8038-catalog_default/sled-full-hack-squat.jpg",4,500,500)</f>
        <v/>
      </c>
      <c r="B3414" s="30">
        <v>3413.0</v>
      </c>
      <c r="C3414" s="16" t="s">
        <v>4292</v>
      </c>
      <c r="D3414" s="16" t="s">
        <v>184</v>
      </c>
      <c r="E3414" s="16" t="s">
        <v>285</v>
      </c>
      <c r="F3414" s="16" t="s">
        <v>2893</v>
      </c>
      <c r="G3414" s="16" t="s">
        <v>220</v>
      </c>
      <c r="H3414" s="16" t="s">
        <v>220</v>
      </c>
    </row>
    <row r="3415" ht="20.25" customHeight="1">
      <c r="A3415" s="32" t="str">
        <f>IMAGE("https://gymvisual.com/11221-catalog_default/sled-full-hack-squat-female.jpg",4,500,500)</f>
        <v/>
      </c>
      <c r="B3415" s="30">
        <v>3414.0</v>
      </c>
      <c r="C3415" s="16" t="s">
        <v>4293</v>
      </c>
      <c r="D3415" s="16" t="s">
        <v>184</v>
      </c>
      <c r="E3415" s="16" t="s">
        <v>294</v>
      </c>
      <c r="F3415" s="16" t="s">
        <v>2893</v>
      </c>
      <c r="G3415" s="16" t="s">
        <v>220</v>
      </c>
      <c r="H3415" s="16" t="s">
        <v>220</v>
      </c>
    </row>
    <row r="3416" ht="20.25" customHeight="1">
      <c r="A3416" s="32" t="str">
        <f>IMAGE("https://gymvisual.com/25077-catalog_default/sled-hack-squat.jpg",4,500,500)</f>
        <v/>
      </c>
      <c r="B3416" s="30">
        <v>3415.0</v>
      </c>
      <c r="C3416" s="16" t="s">
        <v>4294</v>
      </c>
      <c r="D3416" s="16" t="s">
        <v>184</v>
      </c>
      <c r="E3416" s="16" t="s">
        <v>185</v>
      </c>
      <c r="F3416" s="16" t="s">
        <v>2893</v>
      </c>
      <c r="G3416" s="16" t="s">
        <v>189</v>
      </c>
      <c r="H3416" s="16" t="s">
        <v>190</v>
      </c>
    </row>
    <row r="3417" ht="20.25" customHeight="1">
      <c r="A3417" s="32" t="str">
        <f>IMAGE("https://gymvisual.com/10362-catalog_default/sled-hack-squat-female.jpg",4,500,500)</f>
        <v/>
      </c>
      <c r="B3417" s="30">
        <v>3416.0</v>
      </c>
      <c r="C3417" s="16" t="s">
        <v>4295</v>
      </c>
      <c r="D3417" s="16" t="s">
        <v>184</v>
      </c>
      <c r="E3417" s="16" t="s">
        <v>285</v>
      </c>
      <c r="F3417" s="16" t="s">
        <v>2893</v>
      </c>
      <c r="G3417" s="16" t="s">
        <v>189</v>
      </c>
      <c r="H3417" s="16" t="s">
        <v>190</v>
      </c>
    </row>
    <row r="3418" ht="20.25" customHeight="1">
      <c r="A3418" s="32" t="str">
        <f>IMAGE("https://gymvisual.com/10190-catalog_default/sled-hack-squat-legs-wrong-right.jpg",4,500,500)</f>
        <v/>
      </c>
      <c r="B3418" s="30">
        <v>3417.0</v>
      </c>
      <c r="C3418" s="16" t="s">
        <v>4296</v>
      </c>
      <c r="D3418" s="16" t="s">
        <v>184</v>
      </c>
      <c r="E3418" s="16" t="s">
        <v>285</v>
      </c>
      <c r="F3418" s="16" t="s">
        <v>2893</v>
      </c>
      <c r="G3418" s="16" t="s">
        <v>220</v>
      </c>
      <c r="H3418" s="16" t="s">
        <v>220</v>
      </c>
    </row>
    <row r="3419" ht="20.25" customHeight="1">
      <c r="A3419" s="32" t="str">
        <f>IMAGE("https://gymvisual.com/10052-catalog_default/sled-lying-calf-press.jpg",4,500,500)</f>
        <v/>
      </c>
      <c r="B3419" s="30">
        <v>3418.0</v>
      </c>
      <c r="C3419" s="16" t="s">
        <v>4297</v>
      </c>
      <c r="D3419" s="16" t="s">
        <v>184</v>
      </c>
      <c r="E3419" s="16" t="s">
        <v>325</v>
      </c>
      <c r="F3419" s="16" t="s">
        <v>2893</v>
      </c>
      <c r="G3419" s="16" t="s">
        <v>368</v>
      </c>
      <c r="H3419" s="16" t="s">
        <v>463</v>
      </c>
    </row>
    <row r="3420" ht="20.25" customHeight="1">
      <c r="A3420" s="32" t="str">
        <f>IMAGE("https://gymvisual.com/2226-catalog_default/sled-lying-squat.jpg",4,500,500)</f>
        <v/>
      </c>
      <c r="B3420" s="30">
        <v>3419.0</v>
      </c>
      <c r="C3420" s="16" t="s">
        <v>4298</v>
      </c>
      <c r="D3420" s="16" t="s">
        <v>184</v>
      </c>
      <c r="E3420" s="16" t="s">
        <v>285</v>
      </c>
      <c r="F3420" s="16" t="s">
        <v>2893</v>
      </c>
      <c r="G3420" s="16" t="s">
        <v>189</v>
      </c>
      <c r="H3420" s="16" t="s">
        <v>190</v>
      </c>
    </row>
    <row r="3421" ht="20.25" customHeight="1">
      <c r="A3421" s="32" t="str">
        <f>IMAGE("https://gymvisual.com/6089-catalog_default/sled-one-leg-calf-press-on-leg-press.jpg",4,500,500)</f>
        <v/>
      </c>
      <c r="B3421" s="30">
        <v>3420.0</v>
      </c>
      <c r="C3421" s="16" t="s">
        <v>4299</v>
      </c>
      <c r="D3421" s="16" t="s">
        <v>184</v>
      </c>
      <c r="E3421" s="16" t="s">
        <v>325</v>
      </c>
      <c r="F3421" s="16" t="s">
        <v>2893</v>
      </c>
      <c r="G3421" s="16" t="s">
        <v>368</v>
      </c>
      <c r="H3421" s="16" t="s">
        <v>463</v>
      </c>
    </row>
    <row r="3422" ht="20.25" customHeight="1">
      <c r="A3422" s="32" t="str">
        <f>IMAGE("https://gymvisual.com/6826-catalog_default/sled-one-leg-hack-squat.jpg",4,500,500)</f>
        <v/>
      </c>
      <c r="B3422" s="30">
        <v>3421.0</v>
      </c>
      <c r="C3422" s="16" t="s">
        <v>4300</v>
      </c>
      <c r="D3422" s="16" t="s">
        <v>184</v>
      </c>
      <c r="E3422" s="16" t="s">
        <v>285</v>
      </c>
      <c r="F3422" s="16" t="s">
        <v>2893</v>
      </c>
      <c r="G3422" s="16" t="s">
        <v>220</v>
      </c>
      <c r="H3422" s="16" t="s">
        <v>220</v>
      </c>
    </row>
    <row r="3423" ht="20.25" customHeight="1">
      <c r="A3423" s="32" t="str">
        <f>IMAGE("https://gymvisual.com/6830-catalog_default/sled-reverse-hack-squat.jpg",4,500,500)</f>
        <v/>
      </c>
      <c r="B3423" s="30">
        <v>3422.0</v>
      </c>
      <c r="C3423" s="16" t="s">
        <v>4301</v>
      </c>
      <c r="D3423" s="16" t="s">
        <v>184</v>
      </c>
      <c r="E3423" s="16" t="s">
        <v>285</v>
      </c>
      <c r="F3423" s="16" t="s">
        <v>2893</v>
      </c>
      <c r="G3423" s="16" t="s">
        <v>189</v>
      </c>
      <c r="H3423" s="16" t="s">
        <v>190</v>
      </c>
    </row>
    <row r="3424" ht="20.25" customHeight="1">
      <c r="A3424" s="32" t="str">
        <f>IMAGE("https://gymvisual.com/18736-catalog_default/sled-vertical-leg-press.jpg",4,500,500)</f>
        <v/>
      </c>
      <c r="B3424" s="30">
        <v>3423.0</v>
      </c>
      <c r="C3424" s="16" t="s">
        <v>4302</v>
      </c>
      <c r="D3424" s="16" t="s">
        <v>184</v>
      </c>
      <c r="E3424" s="16" t="s">
        <v>285</v>
      </c>
      <c r="F3424" s="16" t="s">
        <v>2893</v>
      </c>
      <c r="G3424" s="16" t="s">
        <v>220</v>
      </c>
      <c r="H3424" s="16" t="s">
        <v>220</v>
      </c>
    </row>
    <row r="3425" ht="20.25" customHeight="1">
      <c r="A3425" s="32" t="str">
        <f>IMAGE("https://gymvisual.com/17901-catalog_default/sled-wide-hack-squat-male.jpg",4,500,500)</f>
        <v/>
      </c>
      <c r="B3425" s="30">
        <v>3424.0</v>
      </c>
      <c r="C3425" s="16" t="s">
        <v>4303</v>
      </c>
      <c r="D3425" s="16" t="s">
        <v>184</v>
      </c>
      <c r="E3425" s="16" t="s">
        <v>285</v>
      </c>
      <c r="F3425" s="16" t="s">
        <v>2893</v>
      </c>
      <c r="G3425" s="16" t="s">
        <v>189</v>
      </c>
      <c r="H3425" s="16" t="s">
        <v>902</v>
      </c>
    </row>
    <row r="3426" ht="20.25" customHeight="1">
      <c r="A3426" s="32" t="str">
        <f>IMAGE("https://gymvisual.com/6722-catalog_default/sledge-hammer.jpg",4,500,500)</f>
        <v/>
      </c>
      <c r="B3426" s="30">
        <v>3425.0</v>
      </c>
      <c r="C3426" s="16" t="s">
        <v>4304</v>
      </c>
      <c r="D3426" s="16" t="s">
        <v>184</v>
      </c>
      <c r="E3426" s="16" t="s">
        <v>254</v>
      </c>
      <c r="F3426" s="16" t="s">
        <v>4305</v>
      </c>
      <c r="G3426" s="16" t="s">
        <v>260</v>
      </c>
      <c r="H3426" s="16" t="s">
        <v>4306</v>
      </c>
    </row>
    <row r="3427" ht="20.25" customHeight="1">
      <c r="A3427" s="32" t="str">
        <f>IMAGE("https://gymvisual.com/14012-catalog_default/sliding-floor-bridge-curl-on-towel.jpg",4,500,500)</f>
        <v/>
      </c>
      <c r="B3427" s="30">
        <v>3426.0</v>
      </c>
      <c r="C3427" s="16" t="s">
        <v>4307</v>
      </c>
      <c r="D3427" s="16" t="s">
        <v>184</v>
      </c>
      <c r="E3427" s="16" t="s">
        <v>522</v>
      </c>
      <c r="F3427" s="16" t="s">
        <v>255</v>
      </c>
      <c r="G3427" s="16" t="s">
        <v>4260</v>
      </c>
      <c r="H3427" s="16" t="s">
        <v>220</v>
      </c>
    </row>
    <row r="3428" ht="20.25" customHeight="1">
      <c r="A3428" s="32" t="str">
        <f>IMAGE("https://gymvisual.com/14010-catalog_default/sliding-floor-pulldown-on-towel.jpg",4,500,500)</f>
        <v/>
      </c>
      <c r="B3428" s="30">
        <v>3427.0</v>
      </c>
      <c r="C3428" s="16" t="s">
        <v>4308</v>
      </c>
      <c r="D3428" s="16" t="s">
        <v>184</v>
      </c>
      <c r="E3428" s="16" t="s">
        <v>192</v>
      </c>
      <c r="F3428" s="16" t="s">
        <v>255</v>
      </c>
      <c r="G3428" s="16" t="s">
        <v>300</v>
      </c>
      <c r="H3428" s="16" t="s">
        <v>4309</v>
      </c>
    </row>
    <row r="3429" ht="20.25" customHeight="1">
      <c r="A3429" s="32" t="str">
        <f>IMAGE("https://gymvisual.com/19906-catalog_default/sliding-floor-pulldown-on-towel-version-2.jpg",4,500,500)</f>
        <v/>
      </c>
      <c r="B3429" s="30">
        <v>3428.0</v>
      </c>
      <c r="C3429" s="16" t="s">
        <v>4310</v>
      </c>
      <c r="D3429" s="16" t="s">
        <v>184</v>
      </c>
      <c r="E3429" s="16" t="s">
        <v>192</v>
      </c>
      <c r="F3429" s="16" t="s">
        <v>255</v>
      </c>
      <c r="G3429" s="16" t="s">
        <v>300</v>
      </c>
      <c r="H3429" s="16" t="s">
        <v>4311</v>
      </c>
    </row>
    <row r="3430" ht="20.25" customHeight="1">
      <c r="A3430" s="32" t="str">
        <f>IMAGE("https://gymvisual.com/24659-catalog_default/sliding-leg-bird-dog.jpg",4,500,500)</f>
        <v/>
      </c>
      <c r="B3430" s="30">
        <v>3429.0</v>
      </c>
      <c r="C3430" s="16" t="s">
        <v>4312</v>
      </c>
      <c r="D3430" s="16" t="s">
        <v>184</v>
      </c>
      <c r="E3430" s="16" t="s">
        <v>192</v>
      </c>
      <c r="F3430" s="16" t="s">
        <v>255</v>
      </c>
      <c r="G3430" s="16" t="s">
        <v>220</v>
      </c>
      <c r="H3430" s="16" t="s">
        <v>220</v>
      </c>
    </row>
    <row r="3431" ht="20.25" customHeight="1">
      <c r="A3431" s="32" t="str">
        <f>IMAGE("https://gymvisual.com/16522-catalog_default/sliding-leg-curl-on-floor-with-towel.jpg",4,500,500)</f>
        <v/>
      </c>
      <c r="B3431" s="30">
        <v>3430.0</v>
      </c>
      <c r="C3431" s="16" t="s">
        <v>4313</v>
      </c>
      <c r="D3431" s="16" t="s">
        <v>184</v>
      </c>
      <c r="E3431" s="16" t="s">
        <v>285</v>
      </c>
      <c r="F3431" s="16" t="s">
        <v>255</v>
      </c>
      <c r="G3431" s="16" t="s">
        <v>2412</v>
      </c>
      <c r="H3431" s="16" t="s">
        <v>561</v>
      </c>
    </row>
    <row r="3432" ht="20.25" customHeight="1">
      <c r="A3432" s="32" t="str">
        <f>IMAGE("https://gymvisual.com/22089-catalog_default/sliding-leg-curl-on-floor-with-towel.jpg",4,500,500)</f>
        <v/>
      </c>
      <c r="B3432" s="30">
        <v>3431.0</v>
      </c>
      <c r="C3432" s="16" t="s">
        <v>4313</v>
      </c>
      <c r="D3432" s="16" t="s">
        <v>184</v>
      </c>
      <c r="E3432" s="16" t="s">
        <v>185</v>
      </c>
      <c r="F3432" s="16" t="s">
        <v>255</v>
      </c>
      <c r="G3432" s="16" t="s">
        <v>188</v>
      </c>
      <c r="H3432" s="16" t="s">
        <v>665</v>
      </c>
    </row>
    <row r="3433" ht="20.25" customHeight="1">
      <c r="A3433" s="32" t="str">
        <f>IMAGE("https://gymvisual.com/2232-catalog_default/smith-back-shrug.jpg",4,500,500)</f>
        <v/>
      </c>
      <c r="B3433" s="30">
        <v>3432.0</v>
      </c>
      <c r="C3433" s="16" t="s">
        <v>4314</v>
      </c>
      <c r="D3433" s="16" t="s">
        <v>184</v>
      </c>
      <c r="E3433" s="16" t="s">
        <v>192</v>
      </c>
      <c r="F3433" s="16" t="s">
        <v>4017</v>
      </c>
      <c r="G3433" s="16" t="s">
        <v>238</v>
      </c>
      <c r="H3433" s="16" t="s">
        <v>618</v>
      </c>
    </row>
    <row r="3434" ht="20.25" customHeight="1">
      <c r="A3434" s="32" t="str">
        <f>IMAGE("https://gymvisual.com/20415-catalog_default/smith-back-wide-shrug.jpg",4,500,500)</f>
        <v/>
      </c>
      <c r="B3434" s="30">
        <v>3433.0</v>
      </c>
      <c r="C3434" s="16" t="s">
        <v>4315</v>
      </c>
      <c r="D3434" s="16" t="s">
        <v>184</v>
      </c>
      <c r="E3434" s="16" t="s">
        <v>192</v>
      </c>
      <c r="F3434" s="16" t="s">
        <v>4017</v>
      </c>
      <c r="G3434" s="16" t="s">
        <v>238</v>
      </c>
      <c r="H3434" s="16" t="s">
        <v>239</v>
      </c>
    </row>
    <row r="3435" ht="20.25" customHeight="1">
      <c r="A3435" s="32" t="str">
        <f>IMAGE("https://gymvisual.com/18001-catalog_default/smith-banded-full-squat.jpg",4,500,500)</f>
        <v/>
      </c>
      <c r="B3435" s="30">
        <v>3434.0</v>
      </c>
      <c r="C3435" s="16" t="s">
        <v>4316</v>
      </c>
      <c r="D3435" s="16" t="s">
        <v>184</v>
      </c>
      <c r="E3435" s="16" t="s">
        <v>285</v>
      </c>
      <c r="F3435" s="16" t="s">
        <v>4017</v>
      </c>
      <c r="G3435" s="16" t="s">
        <v>220</v>
      </c>
      <c r="H3435" s="16" t="s">
        <v>220</v>
      </c>
    </row>
    <row r="3436" ht="20.25" customHeight="1">
      <c r="A3436" s="32" t="str">
        <f>IMAGE("https://gymvisual.com/2235-catalog_default/smith-behind-neck-press.jpg",4,500,500)</f>
        <v/>
      </c>
      <c r="B3436" s="30">
        <v>3435.0</v>
      </c>
      <c r="C3436" s="16" t="s">
        <v>4317</v>
      </c>
      <c r="D3436" s="16" t="s">
        <v>184</v>
      </c>
      <c r="E3436" s="16" t="s">
        <v>228</v>
      </c>
      <c r="F3436" s="16" t="s">
        <v>4017</v>
      </c>
      <c r="G3436" s="16" t="s">
        <v>229</v>
      </c>
      <c r="H3436" s="16" t="s">
        <v>230</v>
      </c>
    </row>
    <row r="3437" ht="20.25" customHeight="1">
      <c r="A3437" s="32" t="str">
        <f>IMAGE("https://gymvisual.com/19345-catalog_default/smith-bench-press.jpg",4,500,500)</f>
        <v/>
      </c>
      <c r="B3437" s="30">
        <v>3436.0</v>
      </c>
      <c r="C3437" s="16" t="s">
        <v>4318</v>
      </c>
      <c r="D3437" s="16" t="s">
        <v>184</v>
      </c>
      <c r="E3437" s="16" t="s">
        <v>234</v>
      </c>
      <c r="F3437" s="16" t="s">
        <v>4017</v>
      </c>
      <c r="G3437" s="16" t="s">
        <v>235</v>
      </c>
      <c r="H3437" s="16" t="s">
        <v>243</v>
      </c>
    </row>
    <row r="3438" ht="20.25" customHeight="1">
      <c r="A3438" s="32" t="str">
        <f>IMAGE("https://gymvisual.com/2241-catalog_default/smith-bent-knee-good-morning.jpg",4,500,500)</f>
        <v/>
      </c>
      <c r="B3438" s="30">
        <v>3437.0</v>
      </c>
      <c r="C3438" s="16" t="s">
        <v>4319</v>
      </c>
      <c r="D3438" s="16" t="s">
        <v>184</v>
      </c>
      <c r="E3438" s="16" t="s">
        <v>185</v>
      </c>
      <c r="F3438" s="16" t="s">
        <v>4017</v>
      </c>
      <c r="G3438" s="16" t="s">
        <v>267</v>
      </c>
      <c r="H3438" s="16" t="s">
        <v>188</v>
      </c>
    </row>
    <row r="3439" ht="20.25" customHeight="1">
      <c r="A3439" s="32" t="str">
        <f>IMAGE("https://gymvisual.com/20994-catalog_default/smith-bent-over-narrow-pronated-grip-row.jpg",4,500,500)</f>
        <v/>
      </c>
      <c r="B3439" s="30">
        <v>3438.0</v>
      </c>
      <c r="C3439" s="16" t="s">
        <v>4320</v>
      </c>
      <c r="D3439" s="16" t="s">
        <v>184</v>
      </c>
      <c r="E3439" s="16" t="s">
        <v>192</v>
      </c>
      <c r="F3439" s="16" t="s">
        <v>4017</v>
      </c>
      <c r="G3439" s="16" t="s">
        <v>329</v>
      </c>
      <c r="H3439" s="16" t="s">
        <v>447</v>
      </c>
    </row>
    <row r="3440" ht="20.25" customHeight="1">
      <c r="A3440" s="32" t="str">
        <f>IMAGE("https://gymvisual.com/20980-catalog_default/smith-bent-over-narrow-supinated-grip-row.jpg",4,500,500)</f>
        <v/>
      </c>
      <c r="B3440" s="30">
        <v>3439.0</v>
      </c>
      <c r="C3440" s="16" t="s">
        <v>4321</v>
      </c>
      <c r="D3440" s="16" t="s">
        <v>184</v>
      </c>
      <c r="E3440" s="16" t="s">
        <v>192</v>
      </c>
      <c r="F3440" s="16" t="s">
        <v>4017</v>
      </c>
      <c r="G3440" s="16" t="s">
        <v>329</v>
      </c>
      <c r="H3440" s="16" t="s">
        <v>457</v>
      </c>
    </row>
    <row r="3441" ht="20.25" customHeight="1">
      <c r="A3441" s="32" t="str">
        <f>IMAGE("https://gymvisual.com/21106-catalog_default/smith-bent-over-row.jpg",4,500,500)</f>
        <v/>
      </c>
      <c r="B3441" s="30">
        <v>3440.0</v>
      </c>
      <c r="C3441" s="16" t="s">
        <v>4322</v>
      </c>
      <c r="D3441" s="16" t="s">
        <v>184</v>
      </c>
      <c r="E3441" s="16" t="s">
        <v>192</v>
      </c>
      <c r="F3441" s="16" t="s">
        <v>4017</v>
      </c>
      <c r="G3441" s="16" t="s">
        <v>329</v>
      </c>
      <c r="H3441" s="16" t="s">
        <v>457</v>
      </c>
    </row>
    <row r="3442" ht="20.25" customHeight="1">
      <c r="A3442" s="32" t="str">
        <f>IMAGE("https://gymvisual.com/24467-catalog_default/smith-bent-over-row-version-2.jpg",4,500,500)</f>
        <v/>
      </c>
      <c r="B3442" s="30">
        <v>3441.0</v>
      </c>
      <c r="C3442" s="16" t="s">
        <v>4323</v>
      </c>
      <c r="D3442" s="16" t="s">
        <v>184</v>
      </c>
      <c r="E3442" s="16"/>
      <c r="F3442" s="16" t="s">
        <v>4017</v>
      </c>
      <c r="G3442" s="16" t="s">
        <v>408</v>
      </c>
      <c r="H3442" s="16" t="s">
        <v>490</v>
      </c>
    </row>
    <row r="3443" ht="20.25" customHeight="1">
      <c r="A3443" s="32" t="str">
        <f>IMAGE("https://gymvisual.com/4377-catalog_default/smith-calf-raise-version-2.jpg",4,500,500)</f>
        <v/>
      </c>
      <c r="B3443" s="30">
        <v>3442.0</v>
      </c>
      <c r="C3443" s="16" t="s">
        <v>4324</v>
      </c>
      <c r="D3443" s="16" t="s">
        <v>184</v>
      </c>
      <c r="E3443" s="16" t="s">
        <v>325</v>
      </c>
      <c r="F3443" s="16" t="s">
        <v>4017</v>
      </c>
      <c r="G3443" s="16" t="s">
        <v>368</v>
      </c>
      <c r="H3443" s="16" t="s">
        <v>463</v>
      </c>
    </row>
    <row r="3444" ht="20.25" customHeight="1">
      <c r="A3444" s="32" t="str">
        <f>IMAGE("https://gymvisual.com/2961-catalog_default/smith-calf-raise-with-block.jpg",4,500,500)</f>
        <v/>
      </c>
      <c r="B3444" s="30">
        <v>3443.0</v>
      </c>
      <c r="C3444" s="16" t="s">
        <v>4325</v>
      </c>
      <c r="D3444" s="16" t="s">
        <v>184</v>
      </c>
      <c r="E3444" s="16" t="s">
        <v>325</v>
      </c>
      <c r="F3444" s="16" t="s">
        <v>4017</v>
      </c>
      <c r="G3444" s="16" t="s">
        <v>368</v>
      </c>
      <c r="H3444" s="16" t="s">
        <v>463</v>
      </c>
    </row>
    <row r="3445" ht="20.25" customHeight="1">
      <c r="A3445" s="32" t="str">
        <f>IMAGE("https://gymvisual.com/2244-catalog_default/smith-chair-squat.jpg",4,500,500)</f>
        <v/>
      </c>
      <c r="B3445" s="30">
        <v>3444.0</v>
      </c>
      <c r="C3445" s="16" t="s">
        <v>4326</v>
      </c>
      <c r="D3445" s="16" t="s">
        <v>184</v>
      </c>
      <c r="E3445" s="16" t="s">
        <v>285</v>
      </c>
      <c r="F3445" s="16" t="s">
        <v>4017</v>
      </c>
      <c r="G3445" s="16" t="s">
        <v>2413</v>
      </c>
      <c r="H3445" s="16" t="s">
        <v>857</v>
      </c>
    </row>
    <row r="3446" ht="20.25" customHeight="1">
      <c r="A3446" s="32" t="str">
        <f>IMAGE("https://gymvisual.com/11381-catalog_default/smith-chair-squat-female.jpg",4,500,500)</f>
        <v/>
      </c>
      <c r="B3446" s="30">
        <v>3445.0</v>
      </c>
      <c r="C3446" s="16" t="s">
        <v>4327</v>
      </c>
      <c r="D3446" s="16" t="s">
        <v>184</v>
      </c>
      <c r="E3446" s="16" t="s">
        <v>285</v>
      </c>
      <c r="F3446" s="16" t="s">
        <v>4017</v>
      </c>
      <c r="G3446" s="16" t="s">
        <v>189</v>
      </c>
      <c r="H3446" s="16" t="s">
        <v>190</v>
      </c>
    </row>
    <row r="3447" ht="20.25" customHeight="1">
      <c r="A3447" s="32" t="str">
        <f>IMAGE("https://gymvisual.com/2247-catalog_default/smith-close-grip-bench-press.jpg",4,500,500)</f>
        <v/>
      </c>
      <c r="B3447" s="30">
        <v>3446.0</v>
      </c>
      <c r="C3447" s="16" t="s">
        <v>4328</v>
      </c>
      <c r="D3447" s="16" t="s">
        <v>184</v>
      </c>
      <c r="E3447" s="16" t="s">
        <v>219</v>
      </c>
      <c r="F3447" s="16" t="s">
        <v>4017</v>
      </c>
      <c r="G3447" s="16" t="s">
        <v>223</v>
      </c>
      <c r="H3447" s="16" t="s">
        <v>472</v>
      </c>
    </row>
    <row r="3448" ht="20.25" customHeight="1">
      <c r="A3448" s="32" t="str">
        <f>IMAGE("https://gymvisual.com/24643-catalog_default/smith-deadlift.jpg",4,500,500)</f>
        <v/>
      </c>
      <c r="B3448" s="30">
        <v>3447.0</v>
      </c>
      <c r="C3448" s="16" t="s">
        <v>4329</v>
      </c>
      <c r="D3448" s="16" t="s">
        <v>184</v>
      </c>
      <c r="E3448" s="16" t="s">
        <v>185</v>
      </c>
      <c r="F3448" s="16" t="s">
        <v>4017</v>
      </c>
      <c r="G3448" s="16" t="s">
        <v>267</v>
      </c>
      <c r="H3448" s="16" t="s">
        <v>975</v>
      </c>
    </row>
    <row r="3449" ht="20.25" customHeight="1">
      <c r="A3449" s="32" t="str">
        <f>IMAGE("https://gymvisual.com/14300-catalog_default/smith-deadlift-female.jpg",4,500,500)</f>
        <v/>
      </c>
      <c r="B3449" s="30">
        <v>3448.0</v>
      </c>
      <c r="C3449" s="16" t="s">
        <v>4330</v>
      </c>
      <c r="D3449" s="16" t="s">
        <v>184</v>
      </c>
      <c r="E3449" s="16" t="s">
        <v>294</v>
      </c>
      <c r="F3449" s="16" t="s">
        <v>4017</v>
      </c>
      <c r="G3449" s="16" t="s">
        <v>2010</v>
      </c>
      <c r="H3449" s="16" t="s">
        <v>2076</v>
      </c>
    </row>
    <row r="3450" ht="20.25" customHeight="1">
      <c r="A3450" s="32" t="str">
        <f>IMAGE("https://gymvisual.com/2253-catalog_default/smith-decline-bench-press.jpg",4,500,500)</f>
        <v/>
      </c>
      <c r="B3450" s="30">
        <v>3449.0</v>
      </c>
      <c r="C3450" s="16" t="s">
        <v>4331</v>
      </c>
      <c r="D3450" s="16" t="s">
        <v>184</v>
      </c>
      <c r="E3450" s="16"/>
      <c r="F3450" s="16"/>
      <c r="G3450" s="16" t="s">
        <v>347</v>
      </c>
      <c r="H3450" s="16" t="s">
        <v>382</v>
      </c>
    </row>
    <row r="3451" ht="20.25" customHeight="1">
      <c r="A3451" s="32" t="str">
        <f>IMAGE("https://gymvisual.com/2256-catalog_default/smith-decline-reverse-grip-press.jpg",4,500,500)</f>
        <v/>
      </c>
      <c r="B3451" s="30">
        <v>3450.0</v>
      </c>
      <c r="C3451" s="16" t="s">
        <v>4332</v>
      </c>
      <c r="D3451" s="16" t="s">
        <v>184</v>
      </c>
      <c r="E3451" s="16" t="s">
        <v>234</v>
      </c>
      <c r="F3451" s="16" t="s">
        <v>4017</v>
      </c>
      <c r="G3451" s="16" t="s">
        <v>347</v>
      </c>
      <c r="H3451" s="16" t="s">
        <v>382</v>
      </c>
    </row>
    <row r="3452" ht="20.25" customHeight="1">
      <c r="A3452" s="32" t="str">
        <f>IMAGE("https://gymvisual.com/19569-catalog_default/smith-drag-curl.jpg",4,500,500)</f>
        <v/>
      </c>
      <c r="B3452" s="30">
        <v>3451.0</v>
      </c>
      <c r="C3452" s="16" t="s">
        <v>4333</v>
      </c>
      <c r="D3452" s="16" t="s">
        <v>184</v>
      </c>
      <c r="E3452" s="16" t="s">
        <v>219</v>
      </c>
      <c r="F3452" s="16" t="s">
        <v>4017</v>
      </c>
      <c r="G3452" s="16" t="s">
        <v>220</v>
      </c>
      <c r="H3452" s="16" t="s">
        <v>220</v>
      </c>
    </row>
    <row r="3453" ht="20.25" customHeight="1">
      <c r="A3453" s="32" t="str">
        <f>IMAGE("https://gymvisual.com/6841-catalog_default/smith-frankenstein-squat.jpg",4,500,500)</f>
        <v/>
      </c>
      <c r="B3453" s="30">
        <v>3452.0</v>
      </c>
      <c r="C3453" s="16" t="s">
        <v>4334</v>
      </c>
      <c r="D3453" s="16" t="s">
        <v>184</v>
      </c>
      <c r="E3453" s="16" t="s">
        <v>285</v>
      </c>
      <c r="F3453" s="16" t="s">
        <v>4017</v>
      </c>
      <c r="G3453" s="16" t="s">
        <v>220</v>
      </c>
      <c r="H3453" s="16" t="s">
        <v>220</v>
      </c>
    </row>
    <row r="3454" ht="20.25" customHeight="1">
      <c r="A3454" s="32" t="str">
        <f>IMAGE("https://gymvisual.com/6842-catalog_default/smith-front-squat.jpg",4,500,500)</f>
        <v/>
      </c>
      <c r="B3454" s="30">
        <v>3453.0</v>
      </c>
      <c r="C3454" s="16" t="s">
        <v>4335</v>
      </c>
      <c r="D3454" s="16" t="s">
        <v>184</v>
      </c>
      <c r="E3454" s="16" t="s">
        <v>285</v>
      </c>
      <c r="F3454" s="16" t="s">
        <v>4017</v>
      </c>
      <c r="G3454" s="16" t="s">
        <v>220</v>
      </c>
      <c r="H3454" s="16" t="s">
        <v>220</v>
      </c>
    </row>
    <row r="3455" ht="20.25" customHeight="1">
      <c r="A3455" s="32" t="str">
        <f>IMAGE("https://gymvisual.com/6442-catalog_default/smith-front-squat-clean-grip.jpg",4,500,500)</f>
        <v/>
      </c>
      <c r="B3455" s="30">
        <v>3454.0</v>
      </c>
      <c r="C3455" s="16" t="s">
        <v>4336</v>
      </c>
      <c r="D3455" s="16" t="s">
        <v>184</v>
      </c>
      <c r="E3455" s="16" t="s">
        <v>285</v>
      </c>
      <c r="F3455" s="16" t="s">
        <v>4017</v>
      </c>
      <c r="G3455" s="16" t="s">
        <v>189</v>
      </c>
      <c r="H3455" s="16" t="s">
        <v>190</v>
      </c>
    </row>
    <row r="3456" ht="20.25" customHeight="1">
      <c r="A3456" s="32" t="str">
        <f>IMAGE("https://gymvisual.com/12063-catalog_default/smith-front-squat-clean-grip-female.jpg",4,500,500)</f>
        <v/>
      </c>
      <c r="B3456" s="30">
        <v>3455.0</v>
      </c>
      <c r="C3456" s="16" t="s">
        <v>4337</v>
      </c>
      <c r="D3456" s="16" t="s">
        <v>184</v>
      </c>
      <c r="E3456" s="16" t="s">
        <v>285</v>
      </c>
      <c r="F3456" s="16" t="s">
        <v>4017</v>
      </c>
      <c r="G3456" s="16" t="s">
        <v>220</v>
      </c>
      <c r="H3456" s="16" t="s">
        <v>220</v>
      </c>
    </row>
    <row r="3457" ht="20.25" customHeight="1">
      <c r="A3457" s="32" t="str">
        <f>IMAGE("https://gymvisual.com/13123-catalog_default/smith-full-squat.jpg",4,500,500)</f>
        <v/>
      </c>
      <c r="B3457" s="30">
        <v>3456.0</v>
      </c>
      <c r="C3457" s="16" t="s">
        <v>4338</v>
      </c>
      <c r="D3457" s="16" t="s">
        <v>184</v>
      </c>
      <c r="E3457" s="16" t="s">
        <v>285</v>
      </c>
      <c r="F3457" s="16" t="s">
        <v>4017</v>
      </c>
      <c r="G3457" s="16" t="s">
        <v>189</v>
      </c>
      <c r="H3457" s="16" t="s">
        <v>190</v>
      </c>
    </row>
    <row r="3458" ht="20.25" customHeight="1">
      <c r="A3458" s="32" t="str">
        <f>IMAGE("https://gymvisual.com/6767-catalog_default/smith-good-morning-off-pins.jpg",4,500,500)</f>
        <v/>
      </c>
      <c r="B3458" s="30">
        <v>3457.0</v>
      </c>
      <c r="C3458" s="16" t="s">
        <v>4339</v>
      </c>
      <c r="D3458" s="16" t="s">
        <v>184</v>
      </c>
      <c r="E3458" s="16" t="s">
        <v>185</v>
      </c>
      <c r="F3458" s="16" t="s">
        <v>4017</v>
      </c>
      <c r="G3458" s="16" t="s">
        <v>220</v>
      </c>
      <c r="H3458" s="16" t="s">
        <v>220</v>
      </c>
    </row>
    <row r="3459" ht="20.25" customHeight="1">
      <c r="A3459" s="32" t="str">
        <f>IMAGE("https://gymvisual.com/2259-catalog_default/smith-hack-squat.jpg",4,500,500)</f>
        <v/>
      </c>
      <c r="B3459" s="30">
        <v>3458.0</v>
      </c>
      <c r="C3459" s="16" t="s">
        <v>4340</v>
      </c>
      <c r="D3459" s="16" t="s">
        <v>184</v>
      </c>
      <c r="E3459" s="16" t="s">
        <v>185</v>
      </c>
      <c r="F3459" s="16" t="s">
        <v>4017</v>
      </c>
      <c r="G3459" s="16" t="s">
        <v>189</v>
      </c>
      <c r="H3459" s="16" t="s">
        <v>190</v>
      </c>
    </row>
    <row r="3460" ht="20.25" customHeight="1">
      <c r="A3460" s="32" t="str">
        <f>IMAGE("https://gymvisual.com/24145-catalog_default/smith-hang-clean.jpg",4,500,500)</f>
        <v/>
      </c>
      <c r="B3460" s="30">
        <v>3459.0</v>
      </c>
      <c r="C3460" s="16" t="s">
        <v>4341</v>
      </c>
      <c r="D3460" s="16" t="s">
        <v>184</v>
      </c>
      <c r="E3460" s="16" t="s">
        <v>764</v>
      </c>
      <c r="F3460" s="16" t="s">
        <v>4017</v>
      </c>
      <c r="G3460" s="16" t="s">
        <v>220</v>
      </c>
      <c r="H3460" s="16" t="s">
        <v>220</v>
      </c>
    </row>
    <row r="3461" ht="20.25" customHeight="1">
      <c r="A3461" s="32" t="str">
        <f>IMAGE("https://gymvisual.com/12184-catalog_default/smith-hex-press.jpg",4,500,500)</f>
        <v/>
      </c>
      <c r="B3461" s="30">
        <v>3460.0</v>
      </c>
      <c r="C3461" s="16" t="s">
        <v>4342</v>
      </c>
      <c r="D3461" s="16" t="s">
        <v>184</v>
      </c>
      <c r="E3461" s="16" t="s">
        <v>234</v>
      </c>
      <c r="F3461" s="16" t="s">
        <v>4017</v>
      </c>
      <c r="G3461" s="16" t="s">
        <v>347</v>
      </c>
      <c r="H3461" s="16" t="s">
        <v>382</v>
      </c>
    </row>
    <row r="3462" ht="20.25" customHeight="1">
      <c r="A3462" s="32" t="str">
        <f>IMAGE("https://gymvisual.com/2262-catalog_default/smith-hip-raise.jpg",4,500,500)</f>
        <v/>
      </c>
      <c r="B3462" s="30">
        <v>3461.0</v>
      </c>
      <c r="C3462" s="16" t="s">
        <v>4343</v>
      </c>
      <c r="D3462" s="16" t="s">
        <v>184</v>
      </c>
      <c r="E3462" s="16" t="s">
        <v>254</v>
      </c>
      <c r="F3462" s="16" t="s">
        <v>4017</v>
      </c>
      <c r="G3462" s="16" t="s">
        <v>256</v>
      </c>
      <c r="H3462" s="16" t="s">
        <v>257</v>
      </c>
    </row>
    <row r="3463" ht="20.25" customHeight="1">
      <c r="A3463" s="32" t="str">
        <f>IMAGE("https://gymvisual.com/13489-catalog_default/smith-hip-thrust.jpg",4,500,500)</f>
        <v/>
      </c>
      <c r="B3463" s="30">
        <v>3462.0</v>
      </c>
      <c r="C3463" s="16" t="s">
        <v>4344</v>
      </c>
      <c r="D3463" s="16" t="s">
        <v>184</v>
      </c>
      <c r="E3463" s="16" t="s">
        <v>185</v>
      </c>
      <c r="F3463" s="16" t="s">
        <v>4017</v>
      </c>
      <c r="G3463" s="16" t="s">
        <v>187</v>
      </c>
      <c r="H3463" s="16" t="s">
        <v>854</v>
      </c>
    </row>
    <row r="3464" ht="20.25" customHeight="1">
      <c r="A3464" s="32" t="str">
        <f>IMAGE("https://gymvisual.com/13265-catalog_default/smith-incline-bench-press.jpg",4,500,500)</f>
        <v/>
      </c>
      <c r="B3464" s="30">
        <v>3463.0</v>
      </c>
      <c r="C3464" s="16" t="s">
        <v>4345</v>
      </c>
      <c r="D3464" s="16" t="s">
        <v>184</v>
      </c>
      <c r="E3464" s="16" t="s">
        <v>234</v>
      </c>
      <c r="F3464" s="16" t="s">
        <v>4017</v>
      </c>
      <c r="G3464" s="16" t="s">
        <v>415</v>
      </c>
      <c r="H3464" s="16" t="s">
        <v>243</v>
      </c>
    </row>
    <row r="3465" ht="20.25" customHeight="1">
      <c r="A3465" s="32" t="str">
        <f>IMAGE("https://gymvisual.com/2268-catalog_default/smith-incline-reverse-grip-press.jpg",4,500,500)</f>
        <v/>
      </c>
      <c r="B3465" s="30">
        <v>3464.0</v>
      </c>
      <c r="C3465" s="16" t="s">
        <v>4346</v>
      </c>
      <c r="D3465" s="16" t="s">
        <v>184</v>
      </c>
      <c r="E3465" s="16" t="s">
        <v>234</v>
      </c>
      <c r="F3465" s="16" t="s">
        <v>4017</v>
      </c>
      <c r="G3465" s="16" t="s">
        <v>415</v>
      </c>
      <c r="H3465" s="16" t="s">
        <v>243</v>
      </c>
    </row>
    <row r="3466" ht="20.25" customHeight="1">
      <c r="A3466" s="32" t="str">
        <f>IMAGE("https://gymvisual.com/2271-catalog_default/smith-incline-shoulder-raises.jpg",4,500,500)</f>
        <v/>
      </c>
      <c r="B3466" s="30">
        <v>3465.0</v>
      </c>
      <c r="C3466" s="16" t="s">
        <v>4347</v>
      </c>
      <c r="D3466" s="16" t="s">
        <v>184</v>
      </c>
      <c r="E3466" s="16" t="s">
        <v>234</v>
      </c>
      <c r="F3466" s="16" t="s">
        <v>4017</v>
      </c>
      <c r="G3466" s="16" t="s">
        <v>885</v>
      </c>
      <c r="H3466" s="16" t="s">
        <v>882</v>
      </c>
    </row>
    <row r="3467" ht="20.25" customHeight="1">
      <c r="A3467" s="32" t="str">
        <f>IMAGE("https://gymvisual.com/17747-catalog_default/smith-kneeling-hip-thrust.jpg",4,500,500)</f>
        <v/>
      </c>
      <c r="B3467" s="30">
        <v>3466.0</v>
      </c>
      <c r="C3467" s="16" t="s">
        <v>4348</v>
      </c>
      <c r="D3467" s="16" t="s">
        <v>184</v>
      </c>
      <c r="E3467" s="16" t="s">
        <v>185</v>
      </c>
      <c r="F3467" s="16" t="s">
        <v>4017</v>
      </c>
      <c r="G3467" s="16" t="s">
        <v>220</v>
      </c>
      <c r="H3467" s="16" t="s">
        <v>220</v>
      </c>
    </row>
    <row r="3468" ht="20.25" customHeight="1">
      <c r="A3468" s="32" t="str">
        <f>IMAGE("https://gymvisual.com/4449-catalog_default/smith-kneeling-rear-kick.jpg",4,500,500)</f>
        <v/>
      </c>
      <c r="B3468" s="30">
        <v>3467.0</v>
      </c>
      <c r="C3468" s="16" t="s">
        <v>4349</v>
      </c>
      <c r="D3468" s="16" t="s">
        <v>184</v>
      </c>
      <c r="E3468" s="16" t="s">
        <v>185</v>
      </c>
      <c r="F3468" s="16" t="s">
        <v>4017</v>
      </c>
      <c r="G3468" s="16" t="s">
        <v>187</v>
      </c>
      <c r="H3468" s="16" t="s">
        <v>188</v>
      </c>
    </row>
    <row r="3469" ht="20.25" customHeight="1">
      <c r="A3469" s="32" t="str">
        <f>IMAGE("https://gymvisual.com/12232-catalog_default/smith-kneeling-rear-kick-with-partner.jpg",4,500,500)</f>
        <v/>
      </c>
      <c r="B3469" s="30">
        <v>3468.0</v>
      </c>
      <c r="C3469" s="16" t="s">
        <v>4350</v>
      </c>
      <c r="D3469" s="16" t="s">
        <v>184</v>
      </c>
      <c r="E3469" s="16" t="s">
        <v>185</v>
      </c>
      <c r="F3469" s="16" t="s">
        <v>4017</v>
      </c>
      <c r="G3469" s="16" t="s">
        <v>220</v>
      </c>
      <c r="H3469" s="16" t="s">
        <v>220</v>
      </c>
    </row>
    <row r="3470" ht="20.25" customHeight="1">
      <c r="A3470" s="32" t="str">
        <f>IMAGE("https://gymvisual.com/2774-catalog_default/smith-lateral-step-up.jpg",4,500,500)</f>
        <v/>
      </c>
      <c r="B3470" s="30">
        <v>3469.0</v>
      </c>
      <c r="C3470" s="16" t="s">
        <v>4351</v>
      </c>
      <c r="D3470" s="16" t="s">
        <v>184</v>
      </c>
      <c r="E3470" s="16" t="s">
        <v>285</v>
      </c>
      <c r="F3470" s="16" t="s">
        <v>4017</v>
      </c>
      <c r="G3470" s="16" t="s">
        <v>189</v>
      </c>
      <c r="H3470" s="16" t="s">
        <v>2046</v>
      </c>
    </row>
    <row r="3471" ht="20.25" customHeight="1">
      <c r="A3471" s="32" t="str">
        <f>IMAGE("https://gymvisual.com/2274-catalog_default/smith-leg-press.jpg",4,500,500)</f>
        <v/>
      </c>
      <c r="B3471" s="30">
        <v>3470.0</v>
      </c>
      <c r="C3471" s="16" t="s">
        <v>4352</v>
      </c>
      <c r="D3471" s="16" t="s">
        <v>184</v>
      </c>
      <c r="E3471" s="16" t="s">
        <v>285</v>
      </c>
      <c r="F3471" s="16" t="s">
        <v>4017</v>
      </c>
      <c r="G3471" s="16" t="s">
        <v>189</v>
      </c>
      <c r="H3471" s="16" t="s">
        <v>190</v>
      </c>
    </row>
    <row r="3472" ht="20.25" customHeight="1">
      <c r="A3472" s="32" t="str">
        <f>IMAGE("https://gymvisual.com/14302-catalog_default/smith-leg-press-female.jpg",4,500,500)</f>
        <v/>
      </c>
      <c r="B3472" s="30">
        <v>3471.0</v>
      </c>
      <c r="C3472" s="16" t="s">
        <v>4353</v>
      </c>
      <c r="D3472" s="16" t="s">
        <v>184</v>
      </c>
      <c r="E3472" s="16" t="s">
        <v>294</v>
      </c>
      <c r="F3472" s="16" t="s">
        <v>4017</v>
      </c>
      <c r="G3472" s="16" t="s">
        <v>189</v>
      </c>
      <c r="H3472" s="16" t="s">
        <v>190</v>
      </c>
    </row>
    <row r="3473" ht="20.25" customHeight="1">
      <c r="A3473" s="32" t="str">
        <f>IMAGE("https://gymvisual.com/6444-catalog_default/smith-low-bar-squat.jpg",4,500,500)</f>
        <v/>
      </c>
      <c r="B3473" s="30">
        <v>3472.0</v>
      </c>
      <c r="C3473" s="16" t="s">
        <v>4354</v>
      </c>
      <c r="D3473" s="16" t="s">
        <v>184</v>
      </c>
      <c r="E3473" s="16" t="s">
        <v>285</v>
      </c>
      <c r="F3473" s="16" t="s">
        <v>4017</v>
      </c>
      <c r="G3473" s="16" t="s">
        <v>189</v>
      </c>
      <c r="H3473" s="16" t="s">
        <v>190</v>
      </c>
    </row>
    <row r="3474" ht="20.25" customHeight="1">
      <c r="A3474" s="32" t="str">
        <f>IMAGE("https://gymvisual.com/2775-catalog_default/smith-lying-lift-on-hip.jpg",4,500,500)</f>
        <v/>
      </c>
      <c r="B3474" s="30">
        <v>3473.0</v>
      </c>
      <c r="C3474" s="16" t="s">
        <v>4355</v>
      </c>
      <c r="D3474" s="16" t="s">
        <v>184</v>
      </c>
      <c r="E3474" s="16" t="s">
        <v>185</v>
      </c>
      <c r="F3474" s="16" t="s">
        <v>4017</v>
      </c>
      <c r="G3474" s="16" t="s">
        <v>187</v>
      </c>
      <c r="H3474" s="16" t="s">
        <v>2733</v>
      </c>
    </row>
    <row r="3475" ht="20.25" customHeight="1">
      <c r="A3475" s="32" t="str">
        <f>IMAGE("https://gymvisual.com/7156-catalog_default/smith-machine-bicep-curl.jpg",4,500,500)</f>
        <v/>
      </c>
      <c r="B3475" s="30">
        <v>3474.0</v>
      </c>
      <c r="C3475" s="16" t="s">
        <v>4356</v>
      </c>
      <c r="D3475" s="16" t="s">
        <v>184</v>
      </c>
      <c r="E3475" s="16" t="s">
        <v>219</v>
      </c>
      <c r="F3475" s="16" t="s">
        <v>4017</v>
      </c>
      <c r="G3475" s="16" t="s">
        <v>241</v>
      </c>
      <c r="H3475" s="16" t="s">
        <v>292</v>
      </c>
    </row>
    <row r="3476" ht="20.25" customHeight="1">
      <c r="A3476" s="32" t="str">
        <f>IMAGE("https://gymvisual.com/7100-catalog_default/smith-machine-decline-close-grip-bench-press.jpg",4,500,500)</f>
        <v/>
      </c>
      <c r="B3476" s="30">
        <v>3475.0</v>
      </c>
      <c r="C3476" s="16" t="s">
        <v>4357</v>
      </c>
      <c r="D3476" s="16" t="s">
        <v>184</v>
      </c>
      <c r="E3476" s="16" t="s">
        <v>219</v>
      </c>
      <c r="F3476" s="16" t="s">
        <v>4017</v>
      </c>
      <c r="G3476" s="16" t="s">
        <v>220</v>
      </c>
      <c r="H3476" s="16" t="s">
        <v>220</v>
      </c>
    </row>
    <row r="3477" ht="20.25" customHeight="1">
      <c r="A3477" s="32" t="str">
        <f>IMAGE("https://gymvisual.com/7471-catalog_default/smith-machine-incline-tricep-extension.jpg",4,500,500)</f>
        <v/>
      </c>
      <c r="B3477" s="30">
        <v>3476.0</v>
      </c>
      <c r="C3477" s="16" t="s">
        <v>4358</v>
      </c>
      <c r="D3477" s="16" t="s">
        <v>184</v>
      </c>
      <c r="E3477" s="16" t="s">
        <v>219</v>
      </c>
      <c r="F3477" s="16" t="s">
        <v>4017</v>
      </c>
      <c r="G3477" s="16" t="s">
        <v>220</v>
      </c>
      <c r="H3477" s="16" t="s">
        <v>220</v>
      </c>
    </row>
    <row r="3478" ht="20.25" customHeight="1">
      <c r="A3478" s="32" t="str">
        <f>IMAGE("https://gymvisual.com/7101-catalog_default/smith-machine-reverse-decline-close-grip-bench-press.jpg",4,500,500)</f>
        <v/>
      </c>
      <c r="B3478" s="30">
        <v>3477.0</v>
      </c>
      <c r="C3478" s="16" t="s">
        <v>4359</v>
      </c>
      <c r="D3478" s="16" t="s">
        <v>184</v>
      </c>
      <c r="E3478" s="16" t="s">
        <v>234</v>
      </c>
      <c r="F3478" s="16" t="s">
        <v>4017</v>
      </c>
      <c r="G3478" s="16" t="s">
        <v>220</v>
      </c>
      <c r="H3478" s="16" t="s">
        <v>220</v>
      </c>
    </row>
    <row r="3479" ht="20.25" customHeight="1">
      <c r="A3479" s="32" t="str">
        <f>IMAGE("https://gymvisual.com/11510-catalog_default/smith-narrow-row-female.jpg",4,500,500)</f>
        <v/>
      </c>
      <c r="B3479" s="30">
        <v>3478.0</v>
      </c>
      <c r="C3479" s="16" t="s">
        <v>4360</v>
      </c>
      <c r="D3479" s="16" t="s">
        <v>184</v>
      </c>
      <c r="E3479" s="16" t="s">
        <v>192</v>
      </c>
      <c r="F3479" s="16" t="s">
        <v>4017</v>
      </c>
      <c r="G3479" s="16" t="s">
        <v>220</v>
      </c>
      <c r="H3479" s="16" t="s">
        <v>220</v>
      </c>
    </row>
    <row r="3480" ht="20.25" customHeight="1">
      <c r="A3480" s="32" t="str">
        <f>IMAGE("https://gymvisual.com/6051-catalog_default/smith-one-arm-row.jpg",4,500,500)</f>
        <v/>
      </c>
      <c r="B3480" s="30">
        <v>3479.0</v>
      </c>
      <c r="C3480" s="16" t="s">
        <v>4361</v>
      </c>
      <c r="D3480" s="16" t="s">
        <v>184</v>
      </c>
      <c r="E3480" s="16" t="s">
        <v>192</v>
      </c>
      <c r="F3480" s="16" t="s">
        <v>4017</v>
      </c>
      <c r="G3480" s="16" t="s">
        <v>329</v>
      </c>
      <c r="H3480" s="16" t="s">
        <v>457</v>
      </c>
    </row>
    <row r="3481" ht="20.25" customHeight="1">
      <c r="A3481" s="32" t="str">
        <f>IMAGE("https://gymvisual.com/2776-catalog_default/smith-one-leg-deadlift.jpg",4,500,500)</f>
        <v/>
      </c>
      <c r="B3481" s="30">
        <v>3480.0</v>
      </c>
      <c r="C3481" s="16" t="s">
        <v>4362</v>
      </c>
      <c r="D3481" s="16" t="s">
        <v>184</v>
      </c>
      <c r="E3481" s="16" t="s">
        <v>192</v>
      </c>
      <c r="F3481" s="16" t="s">
        <v>4017</v>
      </c>
      <c r="G3481" s="16" t="s">
        <v>267</v>
      </c>
      <c r="H3481" s="16" t="s">
        <v>188</v>
      </c>
    </row>
    <row r="3482" ht="20.25" customHeight="1">
      <c r="A3482" s="32" t="str">
        <f>IMAGE("https://gymvisual.com/6090-catalog_default/smith-one-leg-floor-calf-raise.jpg",4,500,500)</f>
        <v/>
      </c>
      <c r="B3482" s="30">
        <v>3481.0</v>
      </c>
      <c r="C3482" s="16" t="s">
        <v>4363</v>
      </c>
      <c r="D3482" s="16" t="s">
        <v>184</v>
      </c>
      <c r="E3482" s="16" t="s">
        <v>325</v>
      </c>
      <c r="F3482" s="16" t="s">
        <v>4017</v>
      </c>
      <c r="G3482" s="16" t="s">
        <v>368</v>
      </c>
      <c r="H3482" s="16" t="s">
        <v>463</v>
      </c>
    </row>
    <row r="3483" ht="20.25" customHeight="1">
      <c r="A3483" s="32" t="str">
        <f>IMAGE("https://gymvisual.com/11513-catalog_default/smith-one-leg-floor-calf-raise-female.jpg",4,500,500)</f>
        <v/>
      </c>
      <c r="B3483" s="30">
        <v>3482.0</v>
      </c>
      <c r="C3483" s="16" t="s">
        <v>4364</v>
      </c>
      <c r="D3483" s="16" t="s">
        <v>184</v>
      </c>
      <c r="E3483" s="16" t="s">
        <v>325</v>
      </c>
      <c r="F3483" s="16" t="s">
        <v>4017</v>
      </c>
      <c r="G3483" s="16" t="s">
        <v>220</v>
      </c>
      <c r="H3483" s="16" t="s">
        <v>220</v>
      </c>
    </row>
    <row r="3484" ht="20.25" customHeight="1">
      <c r="A3484" s="32" t="str">
        <f>IMAGE("https://gymvisual.com/17985-catalog_default/smith-rack-pull.jpg",4,500,500)</f>
        <v/>
      </c>
      <c r="B3484" s="30">
        <v>3483.0</v>
      </c>
      <c r="C3484" s="16" t="s">
        <v>4365</v>
      </c>
      <c r="D3484" s="16" t="s">
        <v>184</v>
      </c>
      <c r="E3484" s="16" t="s">
        <v>185</v>
      </c>
      <c r="F3484" s="16" t="s">
        <v>4017</v>
      </c>
      <c r="G3484" s="16" t="s">
        <v>220</v>
      </c>
      <c r="H3484" s="16" t="s">
        <v>220</v>
      </c>
    </row>
    <row r="3485" ht="20.25" customHeight="1">
      <c r="A3485" s="32" t="str">
        <f>IMAGE("https://gymvisual.com/2777-catalog_default/smith-rear-lunge-version-2.jpg",4,500,500)</f>
        <v/>
      </c>
      <c r="B3485" s="30">
        <v>3484.0</v>
      </c>
      <c r="C3485" s="16" t="s">
        <v>4366</v>
      </c>
      <c r="D3485" s="16" t="s">
        <v>184</v>
      </c>
      <c r="E3485" s="16" t="s">
        <v>285</v>
      </c>
      <c r="F3485" s="16" t="s">
        <v>4017</v>
      </c>
      <c r="G3485" s="16" t="s">
        <v>189</v>
      </c>
      <c r="H3485" s="16" t="s">
        <v>190</v>
      </c>
    </row>
    <row r="3486" ht="20.25" customHeight="1">
      <c r="A3486" s="32" t="str">
        <f>IMAGE("https://gymvisual.com/2283-catalog_default/smith-reverse-calf-raises.jpg",4,500,500)</f>
        <v/>
      </c>
      <c r="B3486" s="30">
        <v>3485.0</v>
      </c>
      <c r="C3486" s="16" t="s">
        <v>4367</v>
      </c>
      <c r="D3486" s="16" t="s">
        <v>184</v>
      </c>
      <c r="E3486" s="16" t="s">
        <v>325</v>
      </c>
      <c r="F3486" s="16" t="s">
        <v>4017</v>
      </c>
      <c r="G3486" s="16" t="s">
        <v>1100</v>
      </c>
      <c r="H3486" s="16" t="s">
        <v>463</v>
      </c>
    </row>
    <row r="3487" ht="20.25" customHeight="1">
      <c r="A3487" s="32" t="str">
        <f>IMAGE("https://gymvisual.com/6091-catalog_default/smith-reverse-calf-raises.jpg",4,500,500)</f>
        <v/>
      </c>
      <c r="B3487" s="30">
        <v>3486.0</v>
      </c>
      <c r="C3487" s="16" t="s">
        <v>4367</v>
      </c>
      <c r="D3487" s="16" t="s">
        <v>184</v>
      </c>
      <c r="E3487" s="16" t="s">
        <v>325</v>
      </c>
      <c r="F3487" s="16" t="s">
        <v>4017</v>
      </c>
      <c r="G3487" s="16" t="s">
        <v>368</v>
      </c>
      <c r="H3487" s="16" t="s">
        <v>463</v>
      </c>
    </row>
    <row r="3488" ht="20.25" customHeight="1">
      <c r="A3488" s="32" t="str">
        <f>IMAGE("https://gymvisual.com/11498-catalog_default/smith-reverse-calf-raises-female.jpg",4,500,500)</f>
        <v/>
      </c>
      <c r="B3488" s="30">
        <v>3487.0</v>
      </c>
      <c r="C3488" s="16" t="s">
        <v>4368</v>
      </c>
      <c r="D3488" s="16" t="s">
        <v>184</v>
      </c>
      <c r="E3488" s="16" t="s">
        <v>325</v>
      </c>
      <c r="F3488" s="16" t="s">
        <v>4017</v>
      </c>
      <c r="G3488" s="16" t="s">
        <v>220</v>
      </c>
      <c r="H3488" s="16" t="s">
        <v>220</v>
      </c>
    </row>
    <row r="3489" ht="20.25" customHeight="1">
      <c r="A3489" s="32" t="str">
        <f>IMAGE("https://gymvisual.com/6052-catalog_default/smith-reverse-grip-bent-over-row.jpg",4,500,500)</f>
        <v/>
      </c>
      <c r="B3489" s="30">
        <v>3488.0</v>
      </c>
      <c r="C3489" s="16" t="s">
        <v>4369</v>
      </c>
      <c r="D3489" s="16" t="s">
        <v>184</v>
      </c>
      <c r="E3489" s="16" t="s">
        <v>192</v>
      </c>
      <c r="F3489" s="16" t="s">
        <v>4017</v>
      </c>
      <c r="G3489" s="16" t="s">
        <v>329</v>
      </c>
      <c r="H3489" s="16" t="s">
        <v>4370</v>
      </c>
    </row>
    <row r="3490" ht="20.25" customHeight="1">
      <c r="A3490" s="32" t="str">
        <f>IMAGE("https://gymvisual.com/11804-catalog_default/smith-reverse-hyperextension-female.jpg",4,500,500)</f>
        <v/>
      </c>
      <c r="B3490" s="30">
        <v>3489.0</v>
      </c>
      <c r="C3490" s="16" t="s">
        <v>4371</v>
      </c>
      <c r="D3490" s="16" t="s">
        <v>184</v>
      </c>
      <c r="E3490" s="16" t="s">
        <v>185</v>
      </c>
      <c r="F3490" s="16" t="s">
        <v>4017</v>
      </c>
      <c r="G3490" s="16" t="s">
        <v>220</v>
      </c>
      <c r="H3490" s="16" t="s">
        <v>220</v>
      </c>
    </row>
    <row r="3491" ht="20.25" customHeight="1">
      <c r="A3491" s="32" t="str">
        <f>IMAGE("https://gymvisual.com/2286-catalog_default/smith-reverse-grip-press.jpg",4,500,500)</f>
        <v/>
      </c>
      <c r="B3491" s="30">
        <v>3490.0</v>
      </c>
      <c r="C3491" s="16" t="s">
        <v>4372</v>
      </c>
      <c r="D3491" s="16" t="s">
        <v>184</v>
      </c>
      <c r="E3491" s="16" t="s">
        <v>234</v>
      </c>
      <c r="F3491" s="16" t="s">
        <v>4017</v>
      </c>
      <c r="G3491" s="16" t="s">
        <v>235</v>
      </c>
      <c r="H3491" s="16" t="s">
        <v>243</v>
      </c>
    </row>
    <row r="3492" ht="20.25" customHeight="1">
      <c r="A3492" s="32" t="str">
        <f>IMAGE("https://gymvisual.com/19409-catalog_default/smith-seated-calf-raise.jpg",4,500,500)</f>
        <v/>
      </c>
      <c r="B3492" s="30">
        <v>3491.0</v>
      </c>
      <c r="C3492" s="16" t="s">
        <v>4373</v>
      </c>
      <c r="D3492" s="16" t="s">
        <v>184</v>
      </c>
      <c r="E3492" s="16" t="s">
        <v>325</v>
      </c>
      <c r="F3492" s="16" t="s">
        <v>4017</v>
      </c>
      <c r="G3492" s="16" t="s">
        <v>220</v>
      </c>
      <c r="H3492" s="16" t="s">
        <v>220</v>
      </c>
    </row>
    <row r="3493" ht="20.25" customHeight="1">
      <c r="A3493" s="32" t="str">
        <f>IMAGE("https://gymvisual.com/6092-catalog_default/smith-seated-one-leg-calf-raise.jpg",4,500,500)</f>
        <v/>
      </c>
      <c r="B3493" s="30">
        <v>3492.0</v>
      </c>
      <c r="C3493" s="16" t="s">
        <v>4374</v>
      </c>
      <c r="D3493" s="16" t="s">
        <v>184</v>
      </c>
      <c r="E3493" s="16" t="s">
        <v>325</v>
      </c>
      <c r="F3493" s="16" t="s">
        <v>4017</v>
      </c>
      <c r="G3493" s="16" t="s">
        <v>368</v>
      </c>
      <c r="H3493" s="16" t="s">
        <v>463</v>
      </c>
    </row>
    <row r="3494" ht="20.25" customHeight="1">
      <c r="A3494" s="32" t="str">
        <f>IMAGE("https://gymvisual.com/2289-catalog_default/smith-seated-shoulder-press.jpg",4,500,500)</f>
        <v/>
      </c>
      <c r="B3494" s="30">
        <v>3493.0</v>
      </c>
      <c r="C3494" s="16" t="s">
        <v>4375</v>
      </c>
      <c r="D3494" s="16" t="s">
        <v>184</v>
      </c>
      <c r="E3494" s="16" t="s">
        <v>228</v>
      </c>
      <c r="F3494" s="16" t="s">
        <v>4017</v>
      </c>
      <c r="G3494" s="16" t="s">
        <v>229</v>
      </c>
      <c r="H3494" s="16" t="s">
        <v>626</v>
      </c>
    </row>
    <row r="3495" ht="20.25" customHeight="1">
      <c r="A3495" s="32" t="str">
        <f>IMAGE("https://gymvisual.com/14304-catalog_default/smith-seated-shoulder-press-female.jpg",4,500,500)</f>
        <v/>
      </c>
      <c r="B3495" s="30">
        <v>3494.0</v>
      </c>
      <c r="C3495" s="16" t="s">
        <v>4376</v>
      </c>
      <c r="D3495" s="16" t="s">
        <v>184</v>
      </c>
      <c r="E3495" s="16" t="s">
        <v>228</v>
      </c>
      <c r="F3495" s="16" t="s">
        <v>4017</v>
      </c>
      <c r="G3495" s="16" t="s">
        <v>229</v>
      </c>
      <c r="H3495" s="16" t="s">
        <v>626</v>
      </c>
    </row>
    <row r="3496" ht="20.25" customHeight="1">
      <c r="A3496" s="32" t="str">
        <f>IMAGE("https://gymvisual.com/6278-catalog_default/smith-seated-wrist-curl.jpg",4,500,500)</f>
        <v/>
      </c>
      <c r="B3496" s="30">
        <v>3495.0</v>
      </c>
      <c r="C3496" s="16" t="s">
        <v>4377</v>
      </c>
      <c r="D3496" s="16" t="s">
        <v>184</v>
      </c>
      <c r="E3496" s="16" t="s">
        <v>214</v>
      </c>
      <c r="F3496" s="16" t="s">
        <v>4017</v>
      </c>
      <c r="G3496" s="16" t="s">
        <v>720</v>
      </c>
      <c r="H3496" s="16" t="s">
        <v>220</v>
      </c>
    </row>
    <row r="3497" ht="20.25" customHeight="1">
      <c r="A3497" s="32" t="str">
        <f>IMAGE("https://gymvisual.com/2292-catalog_default/smith-shoulder-press.jpg",4,500,500)</f>
        <v/>
      </c>
      <c r="B3497" s="30">
        <v>3496.0</v>
      </c>
      <c r="C3497" s="16" t="s">
        <v>4378</v>
      </c>
      <c r="D3497" s="16" t="s">
        <v>184</v>
      </c>
      <c r="E3497" s="16" t="s">
        <v>228</v>
      </c>
      <c r="F3497" s="16" t="s">
        <v>4017</v>
      </c>
      <c r="G3497" s="16" t="s">
        <v>229</v>
      </c>
      <c r="H3497" s="16" t="s">
        <v>626</v>
      </c>
    </row>
    <row r="3498" ht="20.25" customHeight="1">
      <c r="A3498" s="32" t="str">
        <f>IMAGE("https://gymvisual.com/2295-catalog_default/smith-shrug.jpg",4,500,500)</f>
        <v/>
      </c>
      <c r="B3498" s="30">
        <v>3497.0</v>
      </c>
      <c r="C3498" s="16" t="s">
        <v>4379</v>
      </c>
      <c r="D3498" s="16" t="s">
        <v>184</v>
      </c>
      <c r="E3498" s="16" t="s">
        <v>192</v>
      </c>
      <c r="F3498" s="16" t="s">
        <v>4017</v>
      </c>
      <c r="G3498" s="16" t="s">
        <v>238</v>
      </c>
      <c r="H3498" s="16" t="s">
        <v>618</v>
      </c>
    </row>
    <row r="3499" ht="20.25" customHeight="1">
      <c r="A3499" s="32" t="str">
        <f>IMAGE("https://gymvisual.com/17296-catalog_default/smith-single-arm-bent-over-row.jpg",4,500,500)</f>
        <v/>
      </c>
      <c r="B3499" s="30">
        <v>3498.0</v>
      </c>
      <c r="C3499" s="16" t="s">
        <v>4380</v>
      </c>
      <c r="D3499" s="16" t="s">
        <v>184</v>
      </c>
      <c r="E3499" s="16" t="s">
        <v>192</v>
      </c>
      <c r="F3499" s="16" t="s">
        <v>4017</v>
      </c>
      <c r="G3499" s="16" t="s">
        <v>329</v>
      </c>
      <c r="H3499" s="16" t="s">
        <v>447</v>
      </c>
    </row>
    <row r="3500" ht="20.25" customHeight="1">
      <c r="A3500" s="32" t="str">
        <f>IMAGE("https://gymvisual.com/2298-catalog_default/smith-single-leg-split-squat.jpg",4,500,500)</f>
        <v/>
      </c>
      <c r="B3500" s="30">
        <v>3499.0</v>
      </c>
      <c r="C3500" s="16" t="s">
        <v>4381</v>
      </c>
      <c r="D3500" s="16" t="s">
        <v>184</v>
      </c>
      <c r="E3500" s="16" t="s">
        <v>285</v>
      </c>
      <c r="F3500" s="16" t="s">
        <v>4017</v>
      </c>
      <c r="G3500" s="16" t="s">
        <v>189</v>
      </c>
      <c r="H3500" s="16" t="s">
        <v>190</v>
      </c>
    </row>
    <row r="3501" ht="20.25" customHeight="1">
      <c r="A3501" s="32" t="str">
        <f>IMAGE("https://gymvisual.com/11507-catalog_default/smith-single-leg-split-squat-female.jpg",4,500,500)</f>
        <v/>
      </c>
      <c r="B3501" s="30">
        <v>3500.0</v>
      </c>
      <c r="C3501" s="16" t="s">
        <v>4382</v>
      </c>
      <c r="D3501" s="16" t="s">
        <v>184</v>
      </c>
      <c r="E3501" s="16" t="s">
        <v>294</v>
      </c>
      <c r="F3501" s="16" t="s">
        <v>4017</v>
      </c>
      <c r="G3501" s="16" t="s">
        <v>189</v>
      </c>
      <c r="H3501" s="16" t="s">
        <v>190</v>
      </c>
    </row>
    <row r="3502" ht="20.25" customHeight="1">
      <c r="A3502" s="32" t="str">
        <f>IMAGE("https://gymvisual.com/13491-catalog_default/smith-split-squat-female.jpg",4,500,500)</f>
        <v/>
      </c>
      <c r="B3502" s="30">
        <v>3501.0</v>
      </c>
      <c r="C3502" s="16" t="s">
        <v>4383</v>
      </c>
      <c r="D3502" s="16" t="s">
        <v>184</v>
      </c>
      <c r="E3502" s="16" t="s">
        <v>294</v>
      </c>
      <c r="F3502" s="16" t="s">
        <v>4017</v>
      </c>
      <c r="G3502" s="16" t="s">
        <v>220</v>
      </c>
      <c r="H3502" s="16" t="s">
        <v>220</v>
      </c>
    </row>
    <row r="3503" ht="20.25" customHeight="1">
      <c r="A3503" s="32" t="str">
        <f>IMAGE("https://gymvisual.com/10276-catalog_default/smith-sprint-lunge.jpg",4,500,500)</f>
        <v/>
      </c>
      <c r="B3503" s="30">
        <v>3502.0</v>
      </c>
      <c r="C3503" s="16" t="s">
        <v>4384</v>
      </c>
      <c r="D3503" s="16" t="s">
        <v>184</v>
      </c>
      <c r="E3503" s="16" t="s">
        <v>285</v>
      </c>
      <c r="F3503" s="16" t="s">
        <v>4017</v>
      </c>
      <c r="G3503" s="16" t="s">
        <v>189</v>
      </c>
      <c r="H3503" s="16" t="s">
        <v>190</v>
      </c>
    </row>
    <row r="3504" ht="20.25" customHeight="1">
      <c r="A3504" s="32" t="str">
        <f>IMAGE("https://gymvisual.com/2304-catalog_default/smith-squat.jpg",4,500,500)</f>
        <v/>
      </c>
      <c r="B3504" s="30">
        <v>3503.0</v>
      </c>
      <c r="C3504" s="16" t="s">
        <v>4385</v>
      </c>
      <c r="D3504" s="16" t="s">
        <v>184</v>
      </c>
      <c r="E3504" s="16" t="s">
        <v>185</v>
      </c>
      <c r="F3504" s="16" t="s">
        <v>4017</v>
      </c>
      <c r="G3504" s="16" t="s">
        <v>189</v>
      </c>
      <c r="H3504" s="16" t="s">
        <v>190</v>
      </c>
    </row>
    <row r="3505" ht="20.25" customHeight="1">
      <c r="A3505" s="32" t="str">
        <f>IMAGE("https://gymvisual.com/6843-catalog_default/smith-squat-to-bench.jpg",4,500,500)</f>
        <v/>
      </c>
      <c r="B3505" s="30">
        <v>3504.0</v>
      </c>
      <c r="C3505" s="16" t="s">
        <v>4386</v>
      </c>
      <c r="D3505" s="16" t="s">
        <v>184</v>
      </c>
      <c r="E3505" s="16" t="s">
        <v>285</v>
      </c>
      <c r="F3505" s="16" t="s">
        <v>4017</v>
      </c>
      <c r="G3505" s="16" t="s">
        <v>220</v>
      </c>
      <c r="H3505" s="16" t="s">
        <v>220</v>
      </c>
    </row>
    <row r="3506" ht="20.25" customHeight="1">
      <c r="A3506" s="32" t="str">
        <f>IMAGE("https://gymvisual.com/2307-catalog_default/smith-standing-back-wrist-curl.jpg",4,500,500)</f>
        <v/>
      </c>
      <c r="B3506" s="30">
        <v>3505.0</v>
      </c>
      <c r="C3506" s="16" t="s">
        <v>4387</v>
      </c>
      <c r="D3506" s="16" t="s">
        <v>184</v>
      </c>
      <c r="E3506" s="16" t="s">
        <v>214</v>
      </c>
      <c r="F3506" s="16" t="s">
        <v>4017</v>
      </c>
      <c r="G3506" s="16" t="s">
        <v>720</v>
      </c>
      <c r="H3506" s="16" t="s">
        <v>220</v>
      </c>
    </row>
    <row r="3507" ht="20.25" customHeight="1">
      <c r="A3507" s="32" t="str">
        <f>IMAGE("https://gymvisual.com/2310-catalog_default/smith-standing-behind-head-military-press.jpg",4,500,500)</f>
        <v/>
      </c>
      <c r="B3507" s="30">
        <v>3506.0</v>
      </c>
      <c r="C3507" s="16" t="s">
        <v>4388</v>
      </c>
      <c r="D3507" s="16" t="s">
        <v>184</v>
      </c>
      <c r="E3507" s="16" t="s">
        <v>228</v>
      </c>
      <c r="F3507" s="16" t="s">
        <v>4017</v>
      </c>
      <c r="G3507" s="16" t="s">
        <v>229</v>
      </c>
      <c r="H3507" s="16" t="s">
        <v>230</v>
      </c>
    </row>
    <row r="3508" ht="20.25" customHeight="1">
      <c r="A3508" s="32" t="str">
        <f>IMAGE("https://gymvisual.com/2313-catalog_default/smith-standing-leg-calf-raise.jpg",4,500,500)</f>
        <v/>
      </c>
      <c r="B3508" s="30">
        <v>3507.0</v>
      </c>
      <c r="C3508" s="16" t="s">
        <v>4389</v>
      </c>
      <c r="D3508" s="16" t="s">
        <v>184</v>
      </c>
      <c r="E3508" s="16" t="s">
        <v>325</v>
      </c>
      <c r="F3508" s="16" t="s">
        <v>4017</v>
      </c>
      <c r="G3508" s="16" t="s">
        <v>368</v>
      </c>
      <c r="H3508" s="16" t="s">
        <v>463</v>
      </c>
    </row>
    <row r="3509" ht="20.25" customHeight="1">
      <c r="A3509" s="32" t="str">
        <f>IMAGE("https://gymvisual.com/11495-catalog_default/smith-standing-leg-calf-raise-female.jpg",4,500,500)</f>
        <v/>
      </c>
      <c r="B3509" s="30">
        <v>3508.0</v>
      </c>
      <c r="C3509" s="16" t="s">
        <v>4390</v>
      </c>
      <c r="D3509" s="16" t="s">
        <v>184</v>
      </c>
      <c r="E3509" s="16" t="s">
        <v>325</v>
      </c>
      <c r="F3509" s="16" t="s">
        <v>4017</v>
      </c>
      <c r="G3509" s="16" t="s">
        <v>368</v>
      </c>
      <c r="H3509" s="16" t="s">
        <v>463</v>
      </c>
    </row>
    <row r="3510" ht="20.25" customHeight="1">
      <c r="A3510" s="32" t="str">
        <f>IMAGE("https://gymvisual.com/2316-catalog_default/smith-standing-military-press.jpg",4,500,500)</f>
        <v/>
      </c>
      <c r="B3510" s="30">
        <v>3509.0</v>
      </c>
      <c r="C3510" s="16" t="s">
        <v>4391</v>
      </c>
      <c r="D3510" s="16" t="s">
        <v>184</v>
      </c>
      <c r="E3510" s="16" t="s">
        <v>228</v>
      </c>
      <c r="F3510" s="16" t="s">
        <v>4017</v>
      </c>
      <c r="G3510" s="16" t="s">
        <v>229</v>
      </c>
      <c r="H3510" s="16" t="s">
        <v>230</v>
      </c>
    </row>
    <row r="3511" ht="20.25" customHeight="1">
      <c r="A3511" s="32" t="str">
        <f>IMAGE("https://gymvisual.com/4595-catalog_default/smith-standing-shoulder-press.jpg",4,500,500)</f>
        <v/>
      </c>
      <c r="B3511" s="30">
        <v>3510.0</v>
      </c>
      <c r="C3511" s="16" t="s">
        <v>4392</v>
      </c>
      <c r="D3511" s="16" t="s">
        <v>184</v>
      </c>
      <c r="E3511" s="16" t="s">
        <v>228</v>
      </c>
      <c r="F3511" s="16" t="s">
        <v>4017</v>
      </c>
      <c r="G3511" s="16" t="s">
        <v>229</v>
      </c>
      <c r="H3511" s="16" t="s">
        <v>230</v>
      </c>
    </row>
    <row r="3512" ht="20.25" customHeight="1">
      <c r="A3512" s="32" t="str">
        <f>IMAGE("https://gymvisual.com/6844-catalog_default/smith-stiff-legged-deadlift.jpg",4,500,500)</f>
        <v/>
      </c>
      <c r="B3512" s="30">
        <v>3511.0</v>
      </c>
      <c r="C3512" s="16" t="s">
        <v>4393</v>
      </c>
      <c r="D3512" s="16" t="s">
        <v>184</v>
      </c>
      <c r="E3512" s="16" t="s">
        <v>185</v>
      </c>
      <c r="F3512" s="16" t="s">
        <v>4017</v>
      </c>
      <c r="G3512" s="16" t="s">
        <v>220</v>
      </c>
      <c r="H3512" s="16" t="s">
        <v>220</v>
      </c>
    </row>
    <row r="3513" ht="20.25" customHeight="1">
      <c r="A3513" s="32" t="str">
        <f>IMAGE("https://gymvisual.com/12545-catalog_default/smith-sumo-squat.jpg",4,500,500)</f>
        <v/>
      </c>
      <c r="B3513" s="30">
        <v>3512.0</v>
      </c>
      <c r="C3513" s="16" t="s">
        <v>4394</v>
      </c>
      <c r="D3513" s="16" t="s">
        <v>184</v>
      </c>
      <c r="E3513" s="16" t="s">
        <v>185</v>
      </c>
      <c r="F3513" s="16" t="s">
        <v>4017</v>
      </c>
      <c r="G3513" s="16" t="s">
        <v>189</v>
      </c>
      <c r="H3513" s="16" t="s">
        <v>902</v>
      </c>
    </row>
    <row r="3514" ht="20.25" customHeight="1">
      <c r="A3514" s="32" t="str">
        <f>IMAGE("https://gymvisual.com/17813-catalog_default/smith-sumo-squat-female.jpg",4,500,500)</f>
        <v/>
      </c>
      <c r="B3514" s="30">
        <v>3513.0</v>
      </c>
      <c r="C3514" s="16" t="s">
        <v>4395</v>
      </c>
      <c r="D3514" s="16" t="s">
        <v>184</v>
      </c>
      <c r="E3514" s="16" t="s">
        <v>185</v>
      </c>
      <c r="F3514" s="16" t="s">
        <v>4017</v>
      </c>
      <c r="G3514" s="16" t="s">
        <v>220</v>
      </c>
      <c r="H3514" s="16" t="s">
        <v>220</v>
      </c>
    </row>
    <row r="3515" ht="20.25" customHeight="1">
      <c r="A3515" s="32" t="str">
        <f>IMAGE("https://gymvisual.com/6093-catalog_default/smith-toe-raise.jpg",4,500,500)</f>
        <v/>
      </c>
      <c r="B3515" s="30">
        <v>3514.0</v>
      </c>
      <c r="C3515" s="16" t="s">
        <v>4396</v>
      </c>
      <c r="D3515" s="16" t="s">
        <v>184</v>
      </c>
      <c r="E3515" s="16" t="s">
        <v>325</v>
      </c>
      <c r="F3515" s="16" t="s">
        <v>4017</v>
      </c>
      <c r="G3515" s="16" t="s">
        <v>368</v>
      </c>
      <c r="H3515" s="16" t="s">
        <v>463</v>
      </c>
    </row>
    <row r="3516" ht="20.25" customHeight="1">
      <c r="A3516" s="32" t="str">
        <f>IMAGE("https://gymvisual.com/13493-catalog_default/smith-toe-raise-female.jpg",4,500,500)</f>
        <v/>
      </c>
      <c r="B3516" s="30">
        <v>3515.0</v>
      </c>
      <c r="C3516" s="16" t="s">
        <v>4397</v>
      </c>
      <c r="D3516" s="16" t="s">
        <v>184</v>
      </c>
      <c r="E3516" s="16" t="s">
        <v>325</v>
      </c>
      <c r="F3516" s="16" t="s">
        <v>4017</v>
      </c>
      <c r="G3516" s="16" t="s">
        <v>220</v>
      </c>
      <c r="H3516" s="16" t="s">
        <v>220</v>
      </c>
    </row>
    <row r="3517" ht="20.25" customHeight="1">
      <c r="A3517" s="32" t="str">
        <f>IMAGE("https://gymvisual.com/2319-catalog_default/smith-upright-row.jpg",4,500,500)</f>
        <v/>
      </c>
      <c r="B3517" s="30">
        <v>3516.0</v>
      </c>
      <c r="C3517" s="16" t="s">
        <v>4398</v>
      </c>
      <c r="D3517" s="16" t="s">
        <v>184</v>
      </c>
      <c r="E3517" s="16" t="s">
        <v>228</v>
      </c>
      <c r="F3517" s="16" t="s">
        <v>4017</v>
      </c>
      <c r="G3517" s="16" t="s">
        <v>544</v>
      </c>
      <c r="H3517" s="16" t="s">
        <v>713</v>
      </c>
    </row>
    <row r="3518" ht="20.25" customHeight="1">
      <c r="A3518" s="32" t="str">
        <f>IMAGE("https://gymvisual.com/5997-catalog_default/smith-wide-grip-bench-press.jpg",4,500,500)</f>
        <v/>
      </c>
      <c r="B3518" s="30">
        <v>3517.0</v>
      </c>
      <c r="C3518" s="16" t="s">
        <v>4399</v>
      </c>
      <c r="D3518" s="16" t="s">
        <v>184</v>
      </c>
      <c r="E3518" s="16" t="s">
        <v>234</v>
      </c>
      <c r="F3518" s="16" t="s">
        <v>4017</v>
      </c>
      <c r="G3518" s="16" t="s">
        <v>347</v>
      </c>
      <c r="H3518" s="16" t="s">
        <v>382</v>
      </c>
    </row>
    <row r="3519" ht="20.25" customHeight="1">
      <c r="A3519" s="32" t="str">
        <f>IMAGE("https://gymvisual.com/5998-catalog_default/smith-wide-grip-decline-bench-press.jpg",4,500,500)</f>
        <v/>
      </c>
      <c r="B3519" s="30">
        <v>3518.0</v>
      </c>
      <c r="C3519" s="16" t="s">
        <v>4400</v>
      </c>
      <c r="D3519" s="16" t="s">
        <v>184</v>
      </c>
      <c r="E3519" s="16" t="s">
        <v>234</v>
      </c>
      <c r="F3519" s="16" t="s">
        <v>4017</v>
      </c>
      <c r="G3519" s="16" t="s">
        <v>347</v>
      </c>
      <c r="H3519" s="16" t="s">
        <v>382</v>
      </c>
    </row>
    <row r="3520" ht="20.25" customHeight="1">
      <c r="A3520" s="32" t="str">
        <f>IMAGE("https://gymvisual.com/20411-catalog_default/smith-wide-shrug.jpg",4,500,500)</f>
        <v/>
      </c>
      <c r="B3520" s="30">
        <v>3519.0</v>
      </c>
      <c r="C3520" s="16" t="s">
        <v>4401</v>
      </c>
      <c r="D3520" s="16" t="s">
        <v>184</v>
      </c>
      <c r="E3520" s="16" t="s">
        <v>192</v>
      </c>
      <c r="F3520" s="16" t="s">
        <v>4017</v>
      </c>
      <c r="G3520" s="16" t="s">
        <v>238</v>
      </c>
      <c r="H3520" s="16" t="s">
        <v>239</v>
      </c>
    </row>
    <row r="3521" ht="20.25" customHeight="1">
      <c r="A3521" s="32" t="str">
        <f>IMAGE("https://gymvisual.com/6845-catalog_default/smith-zercher-squat.jpg",4,500,500)</f>
        <v/>
      </c>
      <c r="B3521" s="30">
        <v>3520.0</v>
      </c>
      <c r="C3521" s="16" t="s">
        <v>4402</v>
      </c>
      <c r="D3521" s="16" t="s">
        <v>184</v>
      </c>
      <c r="E3521" s="16" t="s">
        <v>285</v>
      </c>
      <c r="F3521" s="16" t="s">
        <v>4017</v>
      </c>
      <c r="G3521" s="16" t="s">
        <v>220</v>
      </c>
      <c r="H3521" s="16" t="s">
        <v>220</v>
      </c>
    </row>
    <row r="3522" ht="20.25" customHeight="1">
      <c r="A3522" s="32" t="str">
        <f>IMAGE("https://gymvisual.com/2322-catalog_default/snatch-pull.jpg",4,500,500)</f>
        <v/>
      </c>
      <c r="B3522" s="30">
        <v>3521.0</v>
      </c>
      <c r="C3522" s="16" t="s">
        <v>4403</v>
      </c>
      <c r="D3522" s="16" t="s">
        <v>184</v>
      </c>
      <c r="E3522" s="16" t="s">
        <v>285</v>
      </c>
      <c r="F3522" s="16" t="s">
        <v>186</v>
      </c>
      <c r="G3522" s="16" t="s">
        <v>4404</v>
      </c>
      <c r="H3522" s="16" t="s">
        <v>220</v>
      </c>
    </row>
    <row r="3523" ht="20.25" customHeight="1">
      <c r="A3523" s="32" t="str">
        <f>IMAGE("https://gymvisual.com/2324-catalog_default/spell-caster.jpg",4,500,500)</f>
        <v/>
      </c>
      <c r="B3523" s="30">
        <v>3522.0</v>
      </c>
      <c r="C3523" s="16" t="s">
        <v>4405</v>
      </c>
      <c r="D3523" s="16" t="s">
        <v>184</v>
      </c>
      <c r="E3523" s="16" t="s">
        <v>254</v>
      </c>
      <c r="F3523" s="16" t="s">
        <v>222</v>
      </c>
      <c r="G3523" s="16" t="s">
        <v>260</v>
      </c>
      <c r="H3523" s="16" t="s">
        <v>2577</v>
      </c>
    </row>
    <row r="3524" ht="20.25" customHeight="1">
      <c r="A3524" s="32" t="str">
        <f>IMAGE("https://gymvisual.com/17085-catalog_default/spell-caster-female.jpg",4,500,500)</f>
        <v/>
      </c>
      <c r="B3524" s="30">
        <v>3523.0</v>
      </c>
      <c r="C3524" s="16" t="s">
        <v>4406</v>
      </c>
      <c r="D3524" s="16" t="s">
        <v>184</v>
      </c>
      <c r="E3524" s="16" t="s">
        <v>254</v>
      </c>
      <c r="F3524" s="16" t="s">
        <v>222</v>
      </c>
      <c r="G3524" s="16" t="s">
        <v>260</v>
      </c>
      <c r="H3524" s="16" t="s">
        <v>4407</v>
      </c>
    </row>
    <row r="3525" ht="20.25" customHeight="1">
      <c r="A3525" s="32" t="str">
        <f>IMAGE("https://gymvisual.com/19349-catalog_default/spider-crawl-push-up.jpg",4,500,500)</f>
        <v/>
      </c>
      <c r="B3525" s="30">
        <v>3524.0</v>
      </c>
      <c r="C3525" s="16" t="s">
        <v>4408</v>
      </c>
      <c r="D3525" s="16" t="s">
        <v>184</v>
      </c>
      <c r="E3525" s="16" t="s">
        <v>185</v>
      </c>
      <c r="F3525" s="16" t="s">
        <v>255</v>
      </c>
      <c r="G3525" s="16" t="s">
        <v>2845</v>
      </c>
      <c r="H3525" s="16" t="s">
        <v>4409</v>
      </c>
    </row>
    <row r="3526" ht="20.25" customHeight="1">
      <c r="A3526" s="32" t="str">
        <f>IMAGE("https://gymvisual.com/13778-catalog_default/spider-crawl-push-up-female.jpg",4,500,500)</f>
        <v/>
      </c>
      <c r="B3526" s="30">
        <v>3525.0</v>
      </c>
      <c r="C3526" s="16" t="s">
        <v>4410</v>
      </c>
      <c r="D3526" s="16" t="s">
        <v>184</v>
      </c>
      <c r="E3526" s="16" t="s">
        <v>1798</v>
      </c>
      <c r="F3526" s="16" t="s">
        <v>255</v>
      </c>
      <c r="G3526" s="16" t="s">
        <v>4411</v>
      </c>
      <c r="H3526" s="16" t="s">
        <v>220</v>
      </c>
    </row>
    <row r="3527" ht="20.25" customHeight="1">
      <c r="A3527" s="32" t="str">
        <f>IMAGE("https://gymvisual.com/17795-catalog_default/spider-plank-female.jpg",4,500,500)</f>
        <v/>
      </c>
      <c r="B3527" s="30">
        <v>3526.0</v>
      </c>
      <c r="C3527" s="16" t="s">
        <v>4412</v>
      </c>
      <c r="D3527" s="16" t="s">
        <v>184</v>
      </c>
      <c r="E3527" s="16" t="s">
        <v>185</v>
      </c>
      <c r="F3527" s="16" t="s">
        <v>255</v>
      </c>
      <c r="G3527" s="16" t="s">
        <v>220</v>
      </c>
      <c r="H3527" s="16" t="s">
        <v>220</v>
      </c>
    </row>
    <row r="3528" ht="20.25" customHeight="1">
      <c r="A3528" s="32" t="str">
        <f>IMAGE("https://gymvisual.com/10034-catalog_default/spine-twist.jpg",4,500,500)</f>
        <v/>
      </c>
      <c r="B3528" s="30">
        <v>3527.0</v>
      </c>
      <c r="C3528" s="16" t="s">
        <v>4413</v>
      </c>
      <c r="D3528" s="16" t="s">
        <v>184</v>
      </c>
      <c r="E3528" s="16" t="s">
        <v>254</v>
      </c>
      <c r="F3528" s="16" t="s">
        <v>255</v>
      </c>
      <c r="G3528" s="16" t="s">
        <v>257</v>
      </c>
      <c r="H3528" s="16" t="s">
        <v>220</v>
      </c>
    </row>
    <row r="3529" ht="20.25" customHeight="1">
      <c r="A3529" s="32" t="str">
        <f>IMAGE("https://gymvisual.com/16049-catalog_default/split-lateral-squat-with-roll.jpg",4,500,500)</f>
        <v/>
      </c>
      <c r="B3529" s="30">
        <v>3528.0</v>
      </c>
      <c r="C3529" s="16" t="s">
        <v>4414</v>
      </c>
      <c r="D3529" s="16" t="s">
        <v>184</v>
      </c>
      <c r="E3529" s="16" t="s">
        <v>294</v>
      </c>
      <c r="F3529" s="16" t="s">
        <v>255</v>
      </c>
      <c r="G3529" s="16" t="s">
        <v>4415</v>
      </c>
      <c r="H3529" s="16" t="s">
        <v>4416</v>
      </c>
    </row>
    <row r="3530" ht="20.25" customHeight="1">
      <c r="A3530" s="32" t="str">
        <f>IMAGE("https://gymvisual.com/13980-catalog_default/split-sprinter-high-lunge.jpg",4,500,500)</f>
        <v/>
      </c>
      <c r="B3530" s="30">
        <v>3529.0</v>
      </c>
      <c r="C3530" s="16" t="s">
        <v>4417</v>
      </c>
      <c r="D3530" s="16" t="s">
        <v>184</v>
      </c>
      <c r="E3530" s="16" t="s">
        <v>294</v>
      </c>
      <c r="F3530" s="16" t="s">
        <v>255</v>
      </c>
      <c r="G3530" s="16" t="s">
        <v>189</v>
      </c>
      <c r="H3530" s="16" t="s">
        <v>314</v>
      </c>
    </row>
    <row r="3531" ht="20.25" customHeight="1">
      <c r="A3531" s="32" t="str">
        <f>IMAGE("https://gymvisual.com/13978-catalog_default/split-sprinter-low-lunge.jpg",4,500,500)</f>
        <v/>
      </c>
      <c r="B3531" s="30">
        <v>3530.0</v>
      </c>
      <c r="C3531" s="16" t="s">
        <v>4418</v>
      </c>
      <c r="D3531" s="16" t="s">
        <v>184</v>
      </c>
      <c r="E3531" s="16" t="s">
        <v>294</v>
      </c>
      <c r="F3531" s="16" t="s">
        <v>255</v>
      </c>
      <c r="G3531" s="16" t="s">
        <v>189</v>
      </c>
      <c r="H3531" s="16" t="s">
        <v>314</v>
      </c>
    </row>
    <row r="3532" ht="20.25" customHeight="1">
      <c r="A3532" s="32" t="str">
        <f>IMAGE("https://gymvisual.com/2336-catalog_default/split-squat.jpg",4,500,500)</f>
        <v/>
      </c>
      <c r="B3532" s="30">
        <v>3531.0</v>
      </c>
      <c r="C3532" s="16" t="s">
        <v>4419</v>
      </c>
      <c r="D3532" s="16" t="s">
        <v>184</v>
      </c>
      <c r="E3532" s="16" t="s">
        <v>185</v>
      </c>
      <c r="F3532" s="16" t="s">
        <v>255</v>
      </c>
      <c r="G3532" s="16" t="s">
        <v>189</v>
      </c>
      <c r="H3532" s="16" t="s">
        <v>190</v>
      </c>
    </row>
    <row r="3533" ht="20.25" customHeight="1">
      <c r="A3533" s="32" t="str">
        <f>IMAGE("https://gymvisual.com/20676-catalog_default/split-squat-female.jpg",4,500,500)</f>
        <v/>
      </c>
      <c r="B3533" s="30">
        <v>3532.0</v>
      </c>
      <c r="C3533" s="16" t="s">
        <v>4420</v>
      </c>
      <c r="D3533" s="16" t="s">
        <v>184</v>
      </c>
      <c r="E3533" s="16"/>
      <c r="F3533" s="16"/>
      <c r="G3533" s="16" t="s">
        <v>189</v>
      </c>
      <c r="H3533" s="16" t="s">
        <v>190</v>
      </c>
    </row>
    <row r="3534" ht="20.25" customHeight="1">
      <c r="A3534" s="32" t="str">
        <f>IMAGE("https://gymvisual.com/16047-catalog_default/split-squat-with-roll.jpg",4,500,500)</f>
        <v/>
      </c>
      <c r="B3534" s="30">
        <v>3533.0</v>
      </c>
      <c r="C3534" s="16" t="s">
        <v>4421</v>
      </c>
      <c r="D3534" s="16" t="s">
        <v>184</v>
      </c>
      <c r="E3534" s="16" t="s">
        <v>294</v>
      </c>
      <c r="F3534" s="16" t="s">
        <v>255</v>
      </c>
      <c r="G3534" s="16" t="s">
        <v>189</v>
      </c>
      <c r="H3534" s="16" t="s">
        <v>190</v>
      </c>
    </row>
    <row r="3535" ht="20.25" customHeight="1">
      <c r="A3535" s="32" t="str">
        <f>IMAGE("https://gymvisual.com/20658-catalog_default/split-squats.jpg",4,500,500)</f>
        <v/>
      </c>
      <c r="B3535" s="30">
        <v>3534.0</v>
      </c>
      <c r="C3535" s="16" t="s">
        <v>4422</v>
      </c>
      <c r="D3535" s="16" t="s">
        <v>184</v>
      </c>
      <c r="E3535" s="16" t="s">
        <v>294</v>
      </c>
      <c r="F3535" s="16" t="s">
        <v>255</v>
      </c>
      <c r="G3535" s="16" t="s">
        <v>189</v>
      </c>
      <c r="H3535" s="16" t="s">
        <v>190</v>
      </c>
    </row>
    <row r="3536" ht="20.25" customHeight="1">
      <c r="A3536" s="32" t="str">
        <f>IMAGE("https://gymvisual.com/17729-catalog_default/sprinter-crunch.jpg",4,500,500)</f>
        <v/>
      </c>
      <c r="B3536" s="30">
        <v>3535.0</v>
      </c>
      <c r="C3536" s="16" t="s">
        <v>4423</v>
      </c>
      <c r="D3536" s="16" t="s">
        <v>184</v>
      </c>
      <c r="E3536" s="16" t="s">
        <v>254</v>
      </c>
      <c r="F3536" s="16" t="s">
        <v>255</v>
      </c>
      <c r="G3536" s="16" t="s">
        <v>220</v>
      </c>
      <c r="H3536" s="16" t="s">
        <v>220</v>
      </c>
    </row>
    <row r="3537" ht="20.25" customHeight="1">
      <c r="A3537" s="32" t="str">
        <f>IMAGE("https://gymvisual.com/2353-catalog_default/squat.jpg",4,500,500)</f>
        <v/>
      </c>
      <c r="B3537" s="30">
        <v>3536.0</v>
      </c>
      <c r="C3537" s="16" t="s">
        <v>75</v>
      </c>
      <c r="D3537" s="16" t="s">
        <v>184</v>
      </c>
      <c r="E3537" s="16" t="s">
        <v>185</v>
      </c>
      <c r="F3537" s="16" t="s">
        <v>255</v>
      </c>
      <c r="G3537" s="16" t="s">
        <v>189</v>
      </c>
      <c r="H3537" s="16" t="s">
        <v>190</v>
      </c>
    </row>
    <row r="3538" ht="20.25" customHeight="1">
      <c r="A3538" s="32" t="str">
        <f>IMAGE("https://gymvisual.com/2342-catalog_default/squat-arms-overhead.jpg",4,500,500)</f>
        <v/>
      </c>
      <c r="B3538" s="30">
        <v>3537.0</v>
      </c>
      <c r="C3538" s="16" t="s">
        <v>4424</v>
      </c>
      <c r="D3538" s="16" t="s">
        <v>184</v>
      </c>
      <c r="E3538" s="16" t="s">
        <v>285</v>
      </c>
      <c r="F3538" s="16" t="s">
        <v>255</v>
      </c>
      <c r="G3538" s="16" t="s">
        <v>189</v>
      </c>
      <c r="H3538" s="16" t="s">
        <v>190</v>
      </c>
    </row>
    <row r="3539" ht="20.25" customHeight="1">
      <c r="A3539" s="32" t="str">
        <f>IMAGE("https://gymvisual.com/4529-catalog_default/squat-male.jpg",4,500,500)</f>
        <v/>
      </c>
      <c r="B3539" s="30">
        <v>3538.0</v>
      </c>
      <c r="C3539" s="16" t="s">
        <v>4425</v>
      </c>
      <c r="D3539" s="16" t="s">
        <v>184</v>
      </c>
      <c r="E3539" s="16" t="s">
        <v>285</v>
      </c>
      <c r="F3539" s="16" t="s">
        <v>255</v>
      </c>
      <c r="G3539" s="16" t="s">
        <v>189</v>
      </c>
      <c r="H3539" s="16" t="s">
        <v>190</v>
      </c>
    </row>
    <row r="3540" ht="20.25" customHeight="1">
      <c r="A3540" s="32" t="str">
        <f>IMAGE("https://gymvisual.com/2345-catalog_default/squat-with-band.jpg",4,500,500)</f>
        <v/>
      </c>
      <c r="B3540" s="30">
        <v>3539.0</v>
      </c>
      <c r="C3540" s="16" t="s">
        <v>4426</v>
      </c>
      <c r="D3540" s="16" t="s">
        <v>184</v>
      </c>
      <c r="E3540" s="16" t="s">
        <v>285</v>
      </c>
      <c r="F3540" s="16" t="s">
        <v>291</v>
      </c>
      <c r="G3540" s="16" t="s">
        <v>189</v>
      </c>
      <c r="H3540" s="16" t="s">
        <v>190</v>
      </c>
    </row>
    <row r="3541" ht="20.25" customHeight="1">
      <c r="A3541" s="32" t="str">
        <f>IMAGE("https://gymvisual.com/10235-catalog_default/squat-back-wrong-right.jpg",4,500,500)</f>
        <v/>
      </c>
      <c r="B3541" s="30">
        <v>3540.0</v>
      </c>
      <c r="C3541" s="16" t="s">
        <v>4427</v>
      </c>
      <c r="D3541" s="16" t="s">
        <v>184</v>
      </c>
      <c r="E3541" s="16" t="s">
        <v>294</v>
      </c>
      <c r="F3541" s="16" t="s">
        <v>255</v>
      </c>
      <c r="G3541" s="16" t="s">
        <v>220</v>
      </c>
      <c r="H3541" s="16" t="s">
        <v>220</v>
      </c>
    </row>
    <row r="3542" ht="20.25" customHeight="1">
      <c r="A3542" s="32" t="str">
        <f>IMAGE("https://gymvisual.com/17581-catalog_default/squat-hold-calf-raise.jpg",4,500,500)</f>
        <v/>
      </c>
      <c r="B3542" s="30">
        <v>3541.0</v>
      </c>
      <c r="C3542" s="16" t="s">
        <v>4428</v>
      </c>
      <c r="D3542" s="16" t="s">
        <v>184</v>
      </c>
      <c r="E3542" s="16" t="s">
        <v>325</v>
      </c>
      <c r="F3542" s="16" t="s">
        <v>255</v>
      </c>
      <c r="G3542" s="16" t="s">
        <v>368</v>
      </c>
      <c r="H3542" s="16" t="s">
        <v>4429</v>
      </c>
    </row>
    <row r="3543" ht="20.25" customHeight="1">
      <c r="A3543" s="32" t="str">
        <f>IMAGE("https://gymvisual.com/2351-catalog_default/squat-jerk.jpg",4,500,500)</f>
        <v/>
      </c>
      <c r="B3543" s="30">
        <v>3542.0</v>
      </c>
      <c r="C3543" s="16" t="s">
        <v>4430</v>
      </c>
      <c r="D3543" s="16" t="s">
        <v>184</v>
      </c>
      <c r="E3543" s="16" t="s">
        <v>285</v>
      </c>
      <c r="F3543" s="16" t="s">
        <v>186</v>
      </c>
      <c r="G3543" s="16" t="s">
        <v>220</v>
      </c>
      <c r="H3543" s="16" t="s">
        <v>220</v>
      </c>
    </row>
    <row r="3544" ht="20.25" customHeight="1">
      <c r="A3544" s="32" t="str">
        <f>IMAGE("https://gymvisual.com/12323-catalog_default/squat-mobility-female.jpg",4,500,500)</f>
        <v/>
      </c>
      <c r="B3544" s="30">
        <v>3543.0</v>
      </c>
      <c r="C3544" s="16" t="s">
        <v>4431</v>
      </c>
      <c r="D3544" s="16" t="s">
        <v>184</v>
      </c>
      <c r="E3544" s="16" t="s">
        <v>285</v>
      </c>
      <c r="F3544" s="16" t="s">
        <v>186</v>
      </c>
      <c r="G3544" s="16" t="s">
        <v>189</v>
      </c>
      <c r="H3544" s="16" t="s">
        <v>2046</v>
      </c>
    </row>
    <row r="3545" ht="20.25" customHeight="1">
      <c r="A3545" s="32" t="str">
        <f>IMAGE("https://gymvisual.com/7367-catalog_default/squat-on-bosu-ball.jpg",4,500,500)</f>
        <v/>
      </c>
      <c r="B3545" s="30">
        <v>3544.0</v>
      </c>
      <c r="C3545" s="16" t="s">
        <v>4432</v>
      </c>
      <c r="D3545" s="16" t="s">
        <v>184</v>
      </c>
      <c r="E3545" s="16" t="s">
        <v>285</v>
      </c>
      <c r="F3545" s="16" t="s">
        <v>316</v>
      </c>
      <c r="G3545" s="16" t="s">
        <v>189</v>
      </c>
      <c r="H3545" s="16" t="s">
        <v>190</v>
      </c>
    </row>
    <row r="3546" ht="20.25" customHeight="1">
      <c r="A3546" s="32" t="str">
        <f>IMAGE("https://gymvisual.com/16016-catalog_default/squat-thrust.jpg",4,500,500)</f>
        <v/>
      </c>
      <c r="B3546" s="30">
        <v>3545.0</v>
      </c>
      <c r="C3546" s="16" t="s">
        <v>4433</v>
      </c>
      <c r="D3546" s="16" t="s">
        <v>184</v>
      </c>
      <c r="E3546" s="16" t="s">
        <v>321</v>
      </c>
      <c r="F3546" s="16" t="s">
        <v>255</v>
      </c>
      <c r="G3546" s="16" t="s">
        <v>220</v>
      </c>
      <c r="H3546" s="16" t="s">
        <v>220</v>
      </c>
    </row>
    <row r="3547" ht="20.25" customHeight="1">
      <c r="A3547" s="32" t="str">
        <f>IMAGE("https://gymvisual.com/23571-catalog_default/squat-tip-toe.jpg",4,500,500)</f>
        <v/>
      </c>
      <c r="B3547" s="30">
        <v>3546.0</v>
      </c>
      <c r="C3547" s="16" t="s">
        <v>4434</v>
      </c>
      <c r="D3547" s="16" t="s">
        <v>184</v>
      </c>
      <c r="E3547" s="16" t="s">
        <v>285</v>
      </c>
      <c r="F3547" s="16" t="s">
        <v>255</v>
      </c>
      <c r="G3547" s="16" t="s">
        <v>295</v>
      </c>
      <c r="H3547" s="16" t="s">
        <v>314</v>
      </c>
    </row>
    <row r="3548" ht="20.25" customHeight="1">
      <c r="A3548" s="32" t="str">
        <f>IMAGE("https://gymvisual.com/12365-catalog_default/squats-knee-position.jpg",4,500,500)</f>
        <v/>
      </c>
      <c r="B3548" s="30">
        <v>3547.0</v>
      </c>
      <c r="C3548" s="16" t="s">
        <v>4435</v>
      </c>
      <c r="D3548" s="16" t="s">
        <v>184</v>
      </c>
      <c r="E3548" s="16" t="s">
        <v>285</v>
      </c>
      <c r="F3548" s="16" t="s">
        <v>255</v>
      </c>
      <c r="G3548" s="16" t="s">
        <v>220</v>
      </c>
      <c r="H3548" s="16" t="s">
        <v>220</v>
      </c>
    </row>
    <row r="3549" ht="20.25" customHeight="1">
      <c r="A3549" s="32" t="str">
        <f>IMAGE("https://gymvisual.com/9758-catalog_default/stability-ball-crunch-full-range-hands-behind-head.jpg",4,500,500)</f>
        <v/>
      </c>
      <c r="B3549" s="30">
        <v>3548.0</v>
      </c>
      <c r="C3549" s="16" t="s">
        <v>4436</v>
      </c>
      <c r="D3549" s="16" t="s">
        <v>184</v>
      </c>
      <c r="E3549" s="16" t="s">
        <v>254</v>
      </c>
      <c r="F3549" s="16" t="s">
        <v>399</v>
      </c>
      <c r="G3549" s="16" t="s">
        <v>256</v>
      </c>
      <c r="H3549" s="16" t="s">
        <v>257</v>
      </c>
    </row>
    <row r="3550" ht="20.25" customHeight="1">
      <c r="A3550" s="32" t="str">
        <f>IMAGE("https://gymvisual.com/7370-catalog_default/stability-ball-front-plank.jpg",4,500,500)</f>
        <v/>
      </c>
      <c r="B3550" s="30">
        <v>3549.0</v>
      </c>
      <c r="C3550" s="16" t="s">
        <v>4437</v>
      </c>
      <c r="D3550" s="16" t="s">
        <v>184</v>
      </c>
      <c r="E3550" s="16" t="s">
        <v>254</v>
      </c>
      <c r="F3550" s="16" t="s">
        <v>399</v>
      </c>
      <c r="G3550" s="16" t="s">
        <v>220</v>
      </c>
      <c r="H3550" s="16" t="s">
        <v>220</v>
      </c>
    </row>
    <row r="3551" ht="20.25" customHeight="1">
      <c r="A3551" s="32" t="str">
        <f>IMAGE("https://gymvisual.com/12750-catalog_default/stability-ball-reverse-hyperextension-off-a-bench-female.jpg",4,500,500)</f>
        <v/>
      </c>
      <c r="B3551" s="30">
        <v>3550.0</v>
      </c>
      <c r="C3551" s="16" t="s">
        <v>4438</v>
      </c>
      <c r="D3551" s="16" t="s">
        <v>184</v>
      </c>
      <c r="E3551" s="16" t="s">
        <v>185</v>
      </c>
      <c r="F3551" s="16" t="s">
        <v>399</v>
      </c>
      <c r="G3551" s="16" t="s">
        <v>267</v>
      </c>
      <c r="H3551" s="16" t="s">
        <v>188</v>
      </c>
    </row>
    <row r="3552" ht="20.25" customHeight="1">
      <c r="A3552" s="32" t="str">
        <f>IMAGE("https://gymvisual.com/9757-catalog_default/stability-ball-rollout-female.jpg",4,500,500)</f>
        <v/>
      </c>
      <c r="B3552" s="30">
        <v>3551.0</v>
      </c>
      <c r="C3552" s="16" t="s">
        <v>4439</v>
      </c>
      <c r="D3552" s="16" t="s">
        <v>184</v>
      </c>
      <c r="E3552" s="16" t="s">
        <v>185</v>
      </c>
      <c r="F3552" s="16" t="s">
        <v>399</v>
      </c>
      <c r="G3552" s="16" t="s">
        <v>305</v>
      </c>
      <c r="H3552" s="16" t="s">
        <v>4440</v>
      </c>
    </row>
    <row r="3553" ht="20.25" customHeight="1">
      <c r="A3553" s="32" t="str">
        <f>IMAGE("https://gymvisual.com/9756-catalog_default/stability-ball-rollout-on-knees-female.jpg",4,500,500)</f>
        <v/>
      </c>
      <c r="B3553" s="30">
        <v>3552.0</v>
      </c>
      <c r="C3553" s="16" t="s">
        <v>4441</v>
      </c>
      <c r="D3553" s="16" t="s">
        <v>184</v>
      </c>
      <c r="E3553" s="16" t="s">
        <v>185</v>
      </c>
      <c r="F3553" s="16" t="s">
        <v>399</v>
      </c>
      <c r="G3553" s="16" t="s">
        <v>305</v>
      </c>
      <c r="H3553" s="16" t="s">
        <v>4442</v>
      </c>
    </row>
    <row r="3554" ht="20.25" customHeight="1">
      <c r="A3554" s="32" t="str">
        <f>IMAGE("https://gymvisual.com/12202-catalog_default/stability-ball-rounded-rollout-female.jpg",4,500,500)</f>
        <v/>
      </c>
      <c r="B3554" s="30">
        <v>3553.0</v>
      </c>
      <c r="C3554" s="16" t="s">
        <v>4443</v>
      </c>
      <c r="D3554" s="16" t="s">
        <v>184</v>
      </c>
      <c r="E3554" s="16" t="s">
        <v>254</v>
      </c>
      <c r="F3554" s="16" t="s">
        <v>399</v>
      </c>
      <c r="G3554" s="16" t="s">
        <v>305</v>
      </c>
      <c r="H3554" s="16" t="s">
        <v>1002</v>
      </c>
    </row>
    <row r="3555" ht="20.25" customHeight="1">
      <c r="A3555" s="32" t="str">
        <f>IMAGE("https://gymvisual.com/7337-catalog_default/stability-ball-single-leg-squat.jpg",4,500,500)</f>
        <v/>
      </c>
      <c r="B3555" s="30">
        <v>3554.0</v>
      </c>
      <c r="C3555" s="16" t="s">
        <v>4444</v>
      </c>
      <c r="D3555" s="16" t="s">
        <v>184</v>
      </c>
      <c r="E3555" s="16" t="s">
        <v>285</v>
      </c>
      <c r="F3555" s="16" t="s">
        <v>399</v>
      </c>
      <c r="G3555" s="16" t="s">
        <v>189</v>
      </c>
      <c r="H3555" s="16" t="s">
        <v>190</v>
      </c>
    </row>
    <row r="3556" ht="20.25" customHeight="1">
      <c r="A3556" s="32" t="str">
        <f>IMAGE("https://gymvisual.com/22436-catalog_default/staggered-leg-side-bridge.jpg",4,500,500)</f>
        <v/>
      </c>
      <c r="B3556" s="30">
        <v>3555.0</v>
      </c>
      <c r="C3556" s="16" t="s">
        <v>4445</v>
      </c>
      <c r="D3556" s="16" t="s">
        <v>184</v>
      </c>
      <c r="E3556" s="16" t="s">
        <v>254</v>
      </c>
      <c r="F3556" s="16" t="s">
        <v>255</v>
      </c>
      <c r="G3556" s="16" t="s">
        <v>220</v>
      </c>
      <c r="H3556" s="16" t="s">
        <v>220</v>
      </c>
    </row>
    <row r="3557" ht="20.25" customHeight="1">
      <c r="A3557" s="32" t="str">
        <f>IMAGE("https://gymvisual.com/12394-catalog_default/stair-up-female.jpg",4,500,500)</f>
        <v/>
      </c>
      <c r="B3557" s="30">
        <v>3556.0</v>
      </c>
      <c r="C3557" s="16" t="s">
        <v>4446</v>
      </c>
      <c r="D3557" s="16" t="s">
        <v>184</v>
      </c>
      <c r="E3557" s="16" t="s">
        <v>285</v>
      </c>
      <c r="F3557" s="16" t="s">
        <v>255</v>
      </c>
      <c r="G3557" s="16" t="s">
        <v>189</v>
      </c>
      <c r="H3557" s="16" t="s">
        <v>190</v>
      </c>
    </row>
    <row r="3558" ht="20.25" customHeight="1">
      <c r="A3558" s="32" t="str">
        <f>IMAGE("https://gymvisual.com/24127-catalog_default/standing-ab-twist-female.jpg",4,500,500)</f>
        <v/>
      </c>
      <c r="B3558" s="30">
        <v>3557.0</v>
      </c>
      <c r="C3558" s="16" t="s">
        <v>4447</v>
      </c>
      <c r="D3558" s="16" t="s">
        <v>184</v>
      </c>
      <c r="E3558" s="16" t="s">
        <v>254</v>
      </c>
      <c r="F3558" s="16" t="s">
        <v>255</v>
      </c>
      <c r="G3558" s="16" t="s">
        <v>220</v>
      </c>
      <c r="H3558" s="16" t="s">
        <v>220</v>
      </c>
    </row>
    <row r="3559" ht="20.25" customHeight="1">
      <c r="A3559" s="32" t="str">
        <f>IMAGE("https://gymvisual.com/21024-catalog_default/standing-ab-twist-male.jpg",4,500,500)</f>
        <v/>
      </c>
      <c r="B3559" s="30">
        <v>3558.0</v>
      </c>
      <c r="C3559" s="16" t="s">
        <v>4448</v>
      </c>
      <c r="D3559" s="16" t="s">
        <v>184</v>
      </c>
      <c r="E3559" s="16" t="s">
        <v>254</v>
      </c>
      <c r="F3559" s="16" t="s">
        <v>255</v>
      </c>
      <c r="G3559" s="16" t="s">
        <v>257</v>
      </c>
      <c r="H3559" s="16" t="s">
        <v>256</v>
      </c>
    </row>
    <row r="3560" ht="20.25" customHeight="1">
      <c r="A3560" s="32" t="str">
        <f>IMAGE("https://gymvisual.com/17709-catalog_default/standing-back-extension-and-flexion.jpg",4,500,500)</f>
        <v/>
      </c>
      <c r="B3560" s="30">
        <v>3559.0</v>
      </c>
      <c r="C3560" s="16" t="s">
        <v>4449</v>
      </c>
      <c r="D3560" s="16" t="s">
        <v>184</v>
      </c>
      <c r="E3560" s="16" t="s">
        <v>185</v>
      </c>
      <c r="F3560" s="16" t="s">
        <v>255</v>
      </c>
      <c r="G3560" s="16" t="s">
        <v>220</v>
      </c>
      <c r="H3560" s="16" t="s">
        <v>220</v>
      </c>
    </row>
    <row r="3561" ht="20.25" customHeight="1">
      <c r="A3561" s="32" t="str">
        <f>IMAGE("https://gymvisual.com/2356-catalog_default/standing-behind-neck-press.jpg",4,500,500)</f>
        <v/>
      </c>
      <c r="B3561" s="30">
        <v>3560.0</v>
      </c>
      <c r="C3561" s="16" t="s">
        <v>4450</v>
      </c>
      <c r="D3561" s="16" t="s">
        <v>184</v>
      </c>
      <c r="E3561" s="16" t="s">
        <v>228</v>
      </c>
      <c r="F3561" s="16" t="s">
        <v>186</v>
      </c>
      <c r="G3561" s="16" t="s">
        <v>229</v>
      </c>
      <c r="H3561" s="16" t="s">
        <v>230</v>
      </c>
    </row>
    <row r="3562" ht="20.25" customHeight="1">
      <c r="A3562" s="32" t="str">
        <f>IMAGE("https://gymvisual.com/23877-catalog_default/standing-bent-knee-figure-8.jpg",4,500,500)</f>
        <v/>
      </c>
      <c r="B3562" s="30">
        <v>3561.0</v>
      </c>
      <c r="C3562" s="16" t="s">
        <v>4451</v>
      </c>
      <c r="D3562" s="16" t="s">
        <v>184</v>
      </c>
      <c r="E3562" s="16" t="s">
        <v>185</v>
      </c>
      <c r="F3562" s="16" t="s">
        <v>255</v>
      </c>
      <c r="G3562" s="16" t="s">
        <v>3609</v>
      </c>
      <c r="H3562" s="16" t="s">
        <v>1202</v>
      </c>
    </row>
    <row r="3563" ht="20.25" customHeight="1">
      <c r="A3563" s="32" t="str">
        <f>IMAGE("https://gymvisual.com/20682-catalog_default/standing-calf-raise-female.jpg",4,500,500)</f>
        <v/>
      </c>
      <c r="B3563" s="30">
        <v>3562.0</v>
      </c>
      <c r="C3563" s="16" t="s">
        <v>4452</v>
      </c>
      <c r="D3563" s="16" t="s">
        <v>184</v>
      </c>
      <c r="E3563" s="16" t="s">
        <v>325</v>
      </c>
      <c r="F3563" s="16" t="s">
        <v>255</v>
      </c>
      <c r="G3563" s="16" t="s">
        <v>368</v>
      </c>
      <c r="H3563" s="16" t="s">
        <v>463</v>
      </c>
    </row>
    <row r="3564" ht="20.25" customHeight="1">
      <c r="A3564" s="32" t="str">
        <f>IMAGE("https://gymvisual.com/6510-catalog_default/standing-calf-raise-on-a-staircase.jpg",4,500,500)</f>
        <v/>
      </c>
      <c r="B3564" s="30">
        <v>3563.0</v>
      </c>
      <c r="C3564" s="16" t="s">
        <v>4453</v>
      </c>
      <c r="D3564" s="16" t="s">
        <v>184</v>
      </c>
      <c r="E3564" s="16" t="s">
        <v>325</v>
      </c>
      <c r="F3564" s="16" t="s">
        <v>255</v>
      </c>
      <c r="G3564" s="16" t="s">
        <v>368</v>
      </c>
      <c r="H3564" s="16" t="s">
        <v>463</v>
      </c>
    </row>
    <row r="3565" ht="20.25" customHeight="1">
      <c r="A3565" s="32" t="str">
        <f>IMAGE("https://gymvisual.com/10305-catalog_default/standing-calf-raise-on-a-staircase-female.jpg",4,500,500)</f>
        <v/>
      </c>
      <c r="B3565" s="30">
        <v>3564.0</v>
      </c>
      <c r="C3565" s="16" t="s">
        <v>4454</v>
      </c>
      <c r="D3565" s="16" t="s">
        <v>184</v>
      </c>
      <c r="E3565" s="16" t="s">
        <v>325</v>
      </c>
      <c r="F3565" s="16" t="s">
        <v>255</v>
      </c>
      <c r="G3565" s="16" t="s">
        <v>552</v>
      </c>
      <c r="H3565" s="16" t="s">
        <v>463</v>
      </c>
    </row>
    <row r="3566" ht="20.25" customHeight="1">
      <c r="A3566" s="32" t="str">
        <f>IMAGE("https://gymvisual.com/22438-catalog_default/standing-calf-raise-circle.jpg",4,500,500)</f>
        <v/>
      </c>
      <c r="B3566" s="30">
        <v>3565.0</v>
      </c>
      <c r="C3566" s="16" t="s">
        <v>4455</v>
      </c>
      <c r="D3566" s="16" t="s">
        <v>184</v>
      </c>
      <c r="E3566" s="16" t="s">
        <v>325</v>
      </c>
      <c r="F3566" s="16" t="s">
        <v>255</v>
      </c>
      <c r="G3566" s="16" t="s">
        <v>220</v>
      </c>
      <c r="H3566" s="16" t="s">
        <v>220</v>
      </c>
    </row>
    <row r="3567" ht="20.25" customHeight="1">
      <c r="A3567" s="32" t="str">
        <f>IMAGE("https://gymvisual.com/12495-catalog_default/standing-calf-raise-with-support-female.jpg",4,500,500)</f>
        <v/>
      </c>
      <c r="B3567" s="30">
        <v>3566.0</v>
      </c>
      <c r="C3567" s="16" t="s">
        <v>4456</v>
      </c>
      <c r="D3567" s="16" t="s">
        <v>184</v>
      </c>
      <c r="E3567" s="16" t="s">
        <v>325</v>
      </c>
      <c r="F3567" s="16" t="s">
        <v>255</v>
      </c>
      <c r="G3567" s="16" t="s">
        <v>368</v>
      </c>
      <c r="H3567" s="16" t="s">
        <v>463</v>
      </c>
    </row>
    <row r="3568" ht="20.25" customHeight="1">
      <c r="A3568" s="32" t="str">
        <f>IMAGE("https://gymvisual.com/6094-catalog_default/standing-gastrocnemius.jpg",4,500,500)</f>
        <v/>
      </c>
      <c r="B3568" s="30">
        <v>3567.0</v>
      </c>
      <c r="C3568" s="16" t="s">
        <v>4457</v>
      </c>
      <c r="D3568" s="16" t="s">
        <v>184</v>
      </c>
      <c r="E3568" s="16"/>
      <c r="F3568" s="16"/>
      <c r="G3568" s="16" t="s">
        <v>561</v>
      </c>
      <c r="H3568" s="16" t="s">
        <v>220</v>
      </c>
    </row>
    <row r="3569" ht="20.25" customHeight="1">
      <c r="A3569" s="32" t="str">
        <f>IMAGE("https://gymvisual.com/20565-catalog_default/standing-hands-position-pronation-supination-neutral.jpg",4,500,500)</f>
        <v/>
      </c>
      <c r="B3569" s="30">
        <v>3568.0</v>
      </c>
      <c r="C3569" s="16" t="s">
        <v>4458</v>
      </c>
      <c r="D3569" s="16" t="s">
        <v>184</v>
      </c>
      <c r="E3569" s="16" t="s">
        <v>214</v>
      </c>
      <c r="F3569" s="16" t="s">
        <v>255</v>
      </c>
      <c r="G3569" s="16" t="s">
        <v>220</v>
      </c>
      <c r="H3569" s="16" t="s">
        <v>220</v>
      </c>
    </row>
    <row r="3570" ht="20.25" customHeight="1">
      <c r="A3570" s="32" t="str">
        <f>IMAGE("https://gymvisual.com/2365-catalog_default/standing-hip-abduction.jpg",4,500,500)</f>
        <v/>
      </c>
      <c r="B3570" s="30">
        <v>3569.0</v>
      </c>
      <c r="C3570" s="16" t="s">
        <v>4459</v>
      </c>
      <c r="D3570" s="16" t="s">
        <v>184</v>
      </c>
      <c r="E3570" s="16" t="s">
        <v>185</v>
      </c>
      <c r="F3570" s="16" t="s">
        <v>255</v>
      </c>
      <c r="G3570" s="16" t="s">
        <v>508</v>
      </c>
      <c r="H3570" s="16" t="s">
        <v>220</v>
      </c>
    </row>
    <row r="3571" ht="20.25" customHeight="1">
      <c r="A3571" s="32" t="str">
        <f>IMAGE("https://gymvisual.com/2362-catalog_default/standing-hip-abduction-bent-knee.jpg",4,500,500)</f>
        <v/>
      </c>
      <c r="B3571" s="30">
        <v>3570.0</v>
      </c>
      <c r="C3571" s="16" t="s">
        <v>4460</v>
      </c>
      <c r="D3571" s="16" t="s">
        <v>184</v>
      </c>
      <c r="E3571" s="16" t="s">
        <v>185</v>
      </c>
      <c r="F3571" s="16" t="s">
        <v>255</v>
      </c>
      <c r="G3571" s="16" t="s">
        <v>508</v>
      </c>
      <c r="H3571" s="16" t="s">
        <v>220</v>
      </c>
    </row>
    <row r="3572" ht="20.25" customHeight="1">
      <c r="A3572" s="32" t="str">
        <f>IMAGE("https://gymvisual.com/23935-catalog_default/standing-hip-adduction-version-2.jpg",4,500,500)</f>
        <v/>
      </c>
      <c r="B3572" s="30">
        <v>3571.0</v>
      </c>
      <c r="C3572" s="16" t="s">
        <v>4461</v>
      </c>
      <c r="D3572" s="16" t="s">
        <v>184</v>
      </c>
      <c r="E3572" s="16" t="s">
        <v>185</v>
      </c>
      <c r="F3572" s="16" t="s">
        <v>255</v>
      </c>
      <c r="G3572" s="16" t="s">
        <v>514</v>
      </c>
      <c r="H3572" s="16" t="s">
        <v>515</v>
      </c>
    </row>
    <row r="3573" ht="20.25" customHeight="1">
      <c r="A3573" s="32" t="str">
        <f>IMAGE("https://gymvisual.com/2368-catalog_default/standing-hip-extension-bent-knee.jpg",4,500,500)</f>
        <v/>
      </c>
      <c r="B3573" s="30">
        <v>3572.0</v>
      </c>
      <c r="C3573" s="16" t="s">
        <v>4462</v>
      </c>
      <c r="D3573" s="16" t="s">
        <v>184</v>
      </c>
      <c r="E3573" s="16" t="s">
        <v>185</v>
      </c>
      <c r="F3573" s="16" t="s">
        <v>255</v>
      </c>
      <c r="G3573" s="16" t="s">
        <v>187</v>
      </c>
      <c r="H3573" s="16" t="s">
        <v>188</v>
      </c>
    </row>
    <row r="3574" ht="20.25" customHeight="1">
      <c r="A3574" s="32" t="str">
        <f>IMAGE("https://gymvisual.com/10902-catalog_default/standing-hip-extension-straight-leg-female.jpg",4,500,500)</f>
        <v/>
      </c>
      <c r="B3574" s="30">
        <v>3573.0</v>
      </c>
      <c r="C3574" s="16" t="s">
        <v>4463</v>
      </c>
      <c r="D3574" s="16" t="s">
        <v>184</v>
      </c>
      <c r="E3574" s="16" t="s">
        <v>185</v>
      </c>
      <c r="F3574" s="16" t="s">
        <v>255</v>
      </c>
      <c r="G3574" s="16" t="s">
        <v>187</v>
      </c>
      <c r="H3574" s="16" t="s">
        <v>188</v>
      </c>
    </row>
    <row r="3575" ht="20.25" customHeight="1">
      <c r="A3575" s="32" t="str">
        <f>IMAGE("https://gymvisual.com/2371-catalog_default/standing-lateral-raise-with-band.jpg",4,500,500)</f>
        <v/>
      </c>
      <c r="B3575" s="30">
        <v>3574.0</v>
      </c>
      <c r="C3575" s="16" t="s">
        <v>4464</v>
      </c>
      <c r="D3575" s="16" t="s">
        <v>184</v>
      </c>
      <c r="E3575" s="16" t="s">
        <v>228</v>
      </c>
      <c r="F3575" s="16" t="s">
        <v>291</v>
      </c>
      <c r="G3575" s="16" t="s">
        <v>229</v>
      </c>
      <c r="H3575" s="16" t="s">
        <v>244</v>
      </c>
    </row>
    <row r="3576" ht="20.25" customHeight="1">
      <c r="A3576" s="32" t="str">
        <f>IMAGE("https://gymvisual.com/19941-catalog_default/standing-leg-circle.jpg",4,500,500)</f>
        <v/>
      </c>
      <c r="B3576" s="30">
        <v>3575.0</v>
      </c>
      <c r="C3576" s="16" t="s">
        <v>4465</v>
      </c>
      <c r="D3576" s="16" t="s">
        <v>184</v>
      </c>
      <c r="E3576" s="16" t="s">
        <v>185</v>
      </c>
      <c r="F3576" s="16" t="s">
        <v>255</v>
      </c>
      <c r="G3576" s="16" t="s">
        <v>2066</v>
      </c>
      <c r="H3576" s="16" t="s">
        <v>220</v>
      </c>
    </row>
    <row r="3577" ht="20.25" customHeight="1">
      <c r="A3577" s="32" t="str">
        <f>IMAGE("https://gymvisual.com/19429-catalog_default/standing-leg-slide-with-towel.jpg",4,500,500)</f>
        <v/>
      </c>
      <c r="B3577" s="30">
        <v>3576.0</v>
      </c>
      <c r="C3577" s="16" t="s">
        <v>4466</v>
      </c>
      <c r="D3577" s="16" t="s">
        <v>184</v>
      </c>
      <c r="E3577" s="16" t="s">
        <v>285</v>
      </c>
      <c r="F3577" s="16" t="s">
        <v>255</v>
      </c>
      <c r="G3577" s="16" t="s">
        <v>220</v>
      </c>
      <c r="H3577" s="16" t="s">
        <v>220</v>
      </c>
    </row>
    <row r="3578" ht="20.25" customHeight="1">
      <c r="A3578" s="32" t="str">
        <f>IMAGE("https://gymvisual.com/4596-catalog_default/standing-plate-presses.jpg",4,500,500)</f>
        <v/>
      </c>
      <c r="B3578" s="30">
        <v>3577.0</v>
      </c>
      <c r="C3578" s="16" t="s">
        <v>4467</v>
      </c>
      <c r="D3578" s="16" t="s">
        <v>184</v>
      </c>
      <c r="E3578" s="16" t="s">
        <v>228</v>
      </c>
      <c r="F3578" s="16" t="s">
        <v>396</v>
      </c>
      <c r="G3578" s="16" t="s">
        <v>229</v>
      </c>
      <c r="H3578" s="16" t="s">
        <v>2400</v>
      </c>
    </row>
    <row r="3579" ht="20.25" customHeight="1">
      <c r="A3579" s="32" t="str">
        <f>IMAGE("https://gymvisual.com/18856-catalog_default/standing-side-bend-bent-arm-male.jpg",4,500,500)</f>
        <v/>
      </c>
      <c r="B3579" s="30">
        <v>3578.0</v>
      </c>
      <c r="C3579" s="16" t="s">
        <v>4468</v>
      </c>
      <c r="D3579" s="16" t="s">
        <v>184</v>
      </c>
      <c r="E3579" s="16" t="s">
        <v>254</v>
      </c>
      <c r="F3579" s="16" t="s">
        <v>255</v>
      </c>
      <c r="G3579" s="16" t="s">
        <v>257</v>
      </c>
      <c r="H3579" s="16" t="s">
        <v>271</v>
      </c>
    </row>
    <row r="3580" ht="20.25" customHeight="1">
      <c r="A3580" s="32" t="str">
        <f>IMAGE("https://gymvisual.com/22728-catalog_default/standing-side-bend-bent-arm-male.jpg",4,500,500)</f>
        <v/>
      </c>
      <c r="B3580" s="30">
        <v>3579.0</v>
      </c>
      <c r="C3580" s="16" t="s">
        <v>4468</v>
      </c>
      <c r="D3580" s="16" t="s">
        <v>184</v>
      </c>
      <c r="E3580" s="16" t="s">
        <v>254</v>
      </c>
      <c r="F3580" s="16" t="s">
        <v>255</v>
      </c>
      <c r="G3580" s="16" t="s">
        <v>257</v>
      </c>
      <c r="H3580" s="16" t="s">
        <v>271</v>
      </c>
    </row>
    <row r="3581" ht="20.25" customHeight="1">
      <c r="A3581" s="32" t="str">
        <f>IMAGE("https://gymvisual.com/23663-catalog_default/standing-side-bend-version-2-female.jpg",4,500,500)</f>
        <v/>
      </c>
      <c r="B3581" s="30">
        <v>3580.0</v>
      </c>
      <c r="C3581" s="16" t="s">
        <v>4469</v>
      </c>
      <c r="D3581" s="16" t="s">
        <v>184</v>
      </c>
      <c r="E3581" s="16" t="s">
        <v>254</v>
      </c>
      <c r="F3581" s="16" t="s">
        <v>255</v>
      </c>
      <c r="G3581" s="16" t="s">
        <v>257</v>
      </c>
      <c r="H3581" s="16" t="s">
        <v>271</v>
      </c>
    </row>
    <row r="3582" ht="20.25" customHeight="1">
      <c r="A3582" s="32" t="str">
        <f>IMAGE("https://gymvisual.com/23573-catalog_default/standing-side-leg-raise.jpg",4,500,500)</f>
        <v/>
      </c>
      <c r="B3582" s="30">
        <v>3581.0</v>
      </c>
      <c r="C3582" s="16" t="s">
        <v>4470</v>
      </c>
      <c r="D3582" s="16" t="s">
        <v>184</v>
      </c>
      <c r="E3582" s="16" t="s">
        <v>185</v>
      </c>
      <c r="F3582" s="16" t="s">
        <v>255</v>
      </c>
      <c r="G3582" s="16" t="s">
        <v>4011</v>
      </c>
      <c r="H3582" s="16" t="s">
        <v>296</v>
      </c>
    </row>
    <row r="3583" ht="20.25" customHeight="1">
      <c r="A3583" s="32" t="str">
        <f>IMAGE("https://gymvisual.com/20090-catalog_default/standing-single-leg-calf-raise-on-a-staircase.jpg",4,500,500)</f>
        <v/>
      </c>
      <c r="B3583" s="30">
        <v>3582.0</v>
      </c>
      <c r="C3583" s="16" t="s">
        <v>4471</v>
      </c>
      <c r="D3583" s="16" t="s">
        <v>184</v>
      </c>
      <c r="E3583" s="16" t="s">
        <v>325</v>
      </c>
      <c r="F3583" s="16" t="s">
        <v>255</v>
      </c>
      <c r="G3583" s="16" t="s">
        <v>368</v>
      </c>
      <c r="H3583" s="16" t="s">
        <v>463</v>
      </c>
    </row>
    <row r="3584" ht="20.25" customHeight="1">
      <c r="A3584" s="32" t="str">
        <f>IMAGE("https://gymvisual.com/22317-catalog_default/standing-single-leg-calf-raise-balance.jpg",4,500,500)</f>
        <v/>
      </c>
      <c r="B3584" s="30">
        <v>3583.0</v>
      </c>
      <c r="C3584" s="16" t="s">
        <v>4472</v>
      </c>
      <c r="D3584" s="16" t="s">
        <v>184</v>
      </c>
      <c r="E3584" s="16" t="s">
        <v>325</v>
      </c>
      <c r="F3584" s="16" t="s">
        <v>255</v>
      </c>
      <c r="G3584" s="16" t="s">
        <v>220</v>
      </c>
      <c r="H3584" s="16" t="s">
        <v>220</v>
      </c>
    </row>
    <row r="3585" ht="20.25" customHeight="1">
      <c r="A3585" s="32" t="str">
        <f>IMAGE("https://gymvisual.com/16038-catalog_default/standing-single-leg-calf-raise-with-support-female.jpg",4,500,500)</f>
        <v/>
      </c>
      <c r="B3585" s="30">
        <v>3584.0</v>
      </c>
      <c r="C3585" s="16" t="s">
        <v>4473</v>
      </c>
      <c r="D3585" s="16" t="s">
        <v>184</v>
      </c>
      <c r="E3585" s="16" t="s">
        <v>325</v>
      </c>
      <c r="F3585" s="16" t="s">
        <v>255</v>
      </c>
      <c r="G3585" s="16" t="s">
        <v>368</v>
      </c>
      <c r="H3585" s="16" t="s">
        <v>463</v>
      </c>
    </row>
    <row r="3586" ht="20.25" customHeight="1">
      <c r="A3586" s="32" t="str">
        <f>IMAGE("https://gymvisual.com/20495-catalog_default/standing-single-leg-curl.jpg",4,500,500)</f>
        <v/>
      </c>
      <c r="B3586" s="30">
        <v>3585.0</v>
      </c>
      <c r="C3586" s="16" t="s">
        <v>4474</v>
      </c>
      <c r="D3586" s="16" t="s">
        <v>184</v>
      </c>
      <c r="E3586" s="16" t="s">
        <v>285</v>
      </c>
      <c r="F3586" s="16" t="s">
        <v>255</v>
      </c>
      <c r="G3586" s="16" t="s">
        <v>188</v>
      </c>
      <c r="H3586" s="16" t="s">
        <v>368</v>
      </c>
    </row>
    <row r="3587" ht="20.25" customHeight="1">
      <c r="A3587" s="32" t="str">
        <f>IMAGE("https://gymvisual.com/22783-catalog_default/standing-single-leg-high-knee-to-butt-kick-with-support.jpg",4,500,500)</f>
        <v/>
      </c>
      <c r="B3587" s="30">
        <v>3586.0</v>
      </c>
      <c r="C3587" s="16" t="s">
        <v>4475</v>
      </c>
      <c r="D3587" s="16" t="s">
        <v>184</v>
      </c>
      <c r="E3587" s="16" t="s">
        <v>185</v>
      </c>
      <c r="F3587" s="16" t="s">
        <v>255</v>
      </c>
      <c r="G3587" s="16" t="s">
        <v>4476</v>
      </c>
      <c r="H3587" s="16" t="s">
        <v>1115</v>
      </c>
    </row>
    <row r="3588" ht="20.25" customHeight="1">
      <c r="A3588" s="32" t="str">
        <f>IMAGE("https://gymvisual.com/2380-catalog_default/standing-wheel-rollout.jpg",4,500,500)</f>
        <v/>
      </c>
      <c r="B3588" s="30">
        <v>3587.0</v>
      </c>
      <c r="C3588" s="16" t="s">
        <v>4477</v>
      </c>
      <c r="D3588" s="16" t="s">
        <v>184</v>
      </c>
      <c r="E3588" s="16" t="s">
        <v>254</v>
      </c>
      <c r="F3588" s="16" t="s">
        <v>4478</v>
      </c>
      <c r="G3588" s="16" t="s">
        <v>305</v>
      </c>
      <c r="H3588" s="16" t="s">
        <v>1005</v>
      </c>
    </row>
    <row r="3589" ht="20.25" customHeight="1">
      <c r="A3589" s="32" t="str">
        <f>IMAGE("https://gymvisual.com/18860-catalog_default/standing-wheel-rollout-female.jpg",4,500,500)</f>
        <v/>
      </c>
      <c r="B3589" s="30">
        <v>3588.0</v>
      </c>
      <c r="C3589" s="16" t="s">
        <v>4479</v>
      </c>
      <c r="D3589" s="16" t="s">
        <v>184</v>
      </c>
      <c r="E3589" s="16" t="s">
        <v>254</v>
      </c>
      <c r="F3589" s="16" t="s">
        <v>255</v>
      </c>
      <c r="G3589" s="16" t="s">
        <v>305</v>
      </c>
      <c r="H3589" s="16" t="s">
        <v>1005</v>
      </c>
    </row>
    <row r="3590" ht="20.25" customHeight="1">
      <c r="A3590" s="32" t="str">
        <f>IMAGE("https://gymvisual.com/12080-catalog_default/starfish-crunch-advanced-female.jpg",4,500,500)</f>
        <v/>
      </c>
      <c r="B3590" s="30">
        <v>3589.0</v>
      </c>
      <c r="C3590" s="16" t="s">
        <v>4480</v>
      </c>
      <c r="D3590" s="16" t="s">
        <v>184</v>
      </c>
      <c r="E3590" s="16" t="s">
        <v>254</v>
      </c>
      <c r="F3590" s="16" t="s">
        <v>255</v>
      </c>
      <c r="G3590" s="16" t="s">
        <v>220</v>
      </c>
      <c r="H3590" s="16" t="s">
        <v>220</v>
      </c>
    </row>
    <row r="3591" ht="20.25" customHeight="1">
      <c r="A3591" s="32" t="str">
        <f>IMAGE("https://gymvisual.com/12079-catalog_default/starfish-crunch-beginner-female.jpg",4,500,500)</f>
        <v/>
      </c>
      <c r="B3591" s="30">
        <v>3590.0</v>
      </c>
      <c r="C3591" s="16" t="s">
        <v>4481</v>
      </c>
      <c r="D3591" s="16" t="s">
        <v>184</v>
      </c>
      <c r="E3591" s="16" t="s">
        <v>254</v>
      </c>
      <c r="F3591" s="16" t="s">
        <v>255</v>
      </c>
      <c r="G3591" s="16" t="s">
        <v>263</v>
      </c>
      <c r="H3591" s="16" t="s">
        <v>4482</v>
      </c>
    </row>
    <row r="3592" ht="20.25" customHeight="1">
      <c r="A3592" s="32" t="str">
        <f>IMAGE("https://gymvisual.com/17701-catalog_default/starfish-crunch-beginner-male.jpg",4,500,500)</f>
        <v/>
      </c>
      <c r="B3592" s="30">
        <v>3591.0</v>
      </c>
      <c r="C3592" s="16" t="s">
        <v>4483</v>
      </c>
      <c r="D3592" s="16" t="s">
        <v>184</v>
      </c>
      <c r="E3592" s="16" t="s">
        <v>254</v>
      </c>
      <c r="F3592" s="16" t="s">
        <v>255</v>
      </c>
      <c r="G3592" s="16" t="s">
        <v>263</v>
      </c>
      <c r="H3592" s="16" t="s">
        <v>4484</v>
      </c>
    </row>
    <row r="3593" ht="20.25" customHeight="1">
      <c r="A3593" s="32" t="str">
        <f>IMAGE("https://gymvisual.com/22730-catalog_default/static-lunge.jpg",4,500,500)</f>
        <v/>
      </c>
      <c r="B3593" s="30">
        <v>3592.0</v>
      </c>
      <c r="C3593" s="16" t="s">
        <v>4485</v>
      </c>
      <c r="D3593" s="16" t="s">
        <v>184</v>
      </c>
      <c r="E3593" s="16" t="s">
        <v>285</v>
      </c>
      <c r="F3593" s="16" t="s">
        <v>255</v>
      </c>
      <c r="G3593" s="16" t="s">
        <v>189</v>
      </c>
      <c r="H3593" s="16" t="s">
        <v>4486</v>
      </c>
    </row>
    <row r="3594" ht="20.25" customHeight="1">
      <c r="A3594" s="32" t="str">
        <f>IMAGE("https://gymvisual.com/23683-catalog_default/stationary-arms-throw.jpg",4,500,500)</f>
        <v/>
      </c>
      <c r="B3594" s="30">
        <v>3593.0</v>
      </c>
      <c r="C3594" s="16" t="s">
        <v>4487</v>
      </c>
      <c r="D3594" s="16" t="s">
        <v>184</v>
      </c>
      <c r="E3594" s="16" t="s">
        <v>192</v>
      </c>
      <c r="F3594" s="16" t="s">
        <v>255</v>
      </c>
      <c r="G3594" s="16" t="s">
        <v>300</v>
      </c>
      <c r="H3594" s="16" t="s">
        <v>4309</v>
      </c>
    </row>
    <row r="3595" ht="20.25" customHeight="1">
      <c r="A3595" s="32" t="str">
        <f>IMAGE("https://gymvisual.com/18919-catalog_default/step-up.jpg",4,500,500)</f>
        <v/>
      </c>
      <c r="B3595" s="30">
        <v>3594.0</v>
      </c>
      <c r="C3595" s="16" t="s">
        <v>4488</v>
      </c>
      <c r="D3595" s="16" t="s">
        <v>184</v>
      </c>
      <c r="E3595" s="16" t="s">
        <v>185</v>
      </c>
      <c r="F3595" s="16" t="s">
        <v>255</v>
      </c>
      <c r="G3595" s="16" t="s">
        <v>189</v>
      </c>
      <c r="H3595" s="16" t="s">
        <v>2046</v>
      </c>
    </row>
    <row r="3596" ht="20.25" customHeight="1">
      <c r="A3596" s="32" t="str">
        <f>IMAGE("https://gymvisual.com/13910-catalog_default/step-up-on-chair.jpg",4,500,500)</f>
        <v/>
      </c>
      <c r="B3596" s="30">
        <v>3595.0</v>
      </c>
      <c r="C3596" s="16" t="s">
        <v>4489</v>
      </c>
      <c r="D3596" s="16" t="s">
        <v>184</v>
      </c>
      <c r="E3596" s="16"/>
      <c r="F3596" s="16"/>
      <c r="G3596" s="16" t="s">
        <v>189</v>
      </c>
      <c r="H3596" s="16" t="s">
        <v>2046</v>
      </c>
    </row>
    <row r="3597" ht="20.25" customHeight="1">
      <c r="A3597" s="32" t="str">
        <f>IMAGE("https://gymvisual.com/18726-catalog_default/stepdown-squat.jpg",4,500,500)</f>
        <v/>
      </c>
      <c r="B3597" s="30">
        <v>3596.0</v>
      </c>
      <c r="C3597" s="16" t="s">
        <v>4490</v>
      </c>
      <c r="D3597" s="16" t="s">
        <v>184</v>
      </c>
      <c r="E3597" s="16" t="s">
        <v>285</v>
      </c>
      <c r="F3597" s="16" t="s">
        <v>255</v>
      </c>
      <c r="G3597" s="16" t="s">
        <v>220</v>
      </c>
      <c r="H3597" s="16" t="s">
        <v>220</v>
      </c>
    </row>
    <row r="3598" ht="20.25" customHeight="1">
      <c r="A3598" s="32" t="str">
        <f>IMAGE("https://gymvisual.com/22365-catalog_default/straight-leg-dead-bug.jpg",4,500,500)</f>
        <v/>
      </c>
      <c r="B3598" s="30">
        <v>3597.0</v>
      </c>
      <c r="C3598" s="16" t="s">
        <v>4491</v>
      </c>
      <c r="D3598" s="16" t="s">
        <v>184</v>
      </c>
      <c r="E3598" s="16" t="s">
        <v>254</v>
      </c>
      <c r="F3598" s="16" t="s">
        <v>255</v>
      </c>
      <c r="G3598" s="16" t="s">
        <v>220</v>
      </c>
      <c r="H3598" s="16" t="s">
        <v>220</v>
      </c>
    </row>
    <row r="3599" ht="20.25" customHeight="1">
      <c r="A3599" s="32" t="str">
        <f>IMAGE("https://gymvisual.com/18724-catalog_default/straight-leg-hip-bridge.jpg",4,500,500)</f>
        <v/>
      </c>
      <c r="B3599" s="30">
        <v>3598.0</v>
      </c>
      <c r="C3599" s="16" t="s">
        <v>4492</v>
      </c>
      <c r="D3599" s="16" t="s">
        <v>184</v>
      </c>
      <c r="E3599" s="16" t="s">
        <v>185</v>
      </c>
      <c r="F3599" s="16" t="s">
        <v>255</v>
      </c>
      <c r="G3599" s="16" t="s">
        <v>220</v>
      </c>
      <c r="H3599" s="16" t="s">
        <v>220</v>
      </c>
    </row>
    <row r="3600" ht="20.25" customHeight="1">
      <c r="A3600" s="32" t="str">
        <f>IMAGE("https://gymvisual.com/6421-catalog_default/straight-leg-kickback-kneeling.jpg",4,500,500)</f>
        <v/>
      </c>
      <c r="B3600" s="30">
        <v>3599.0</v>
      </c>
      <c r="C3600" s="16" t="s">
        <v>4493</v>
      </c>
      <c r="D3600" s="16" t="s">
        <v>184</v>
      </c>
      <c r="E3600" s="16" t="s">
        <v>185</v>
      </c>
      <c r="F3600" s="16" t="s">
        <v>255</v>
      </c>
      <c r="G3600" s="16" t="s">
        <v>187</v>
      </c>
      <c r="H3600" s="16" t="s">
        <v>188</v>
      </c>
    </row>
    <row r="3601" ht="20.25" customHeight="1">
      <c r="A3601" s="32" t="str">
        <f>IMAGE("https://gymvisual.com/13497-catalog_default/straight-leg-kickback-kneeling-male.jpg",4,500,500)</f>
        <v/>
      </c>
      <c r="B3601" s="30">
        <v>3600.0</v>
      </c>
      <c r="C3601" s="16" t="s">
        <v>4494</v>
      </c>
      <c r="D3601" s="16" t="s">
        <v>184</v>
      </c>
      <c r="E3601" s="16" t="s">
        <v>185</v>
      </c>
      <c r="F3601" s="16" t="s">
        <v>255</v>
      </c>
      <c r="G3601" s="16" t="s">
        <v>187</v>
      </c>
      <c r="H3601" s="16" t="s">
        <v>188</v>
      </c>
    </row>
    <row r="3602" ht="20.25" customHeight="1">
      <c r="A3602" s="32" t="str">
        <f>IMAGE("https://gymvisual.com/6279-catalog_default/straight-leg-outer-hip-abductor.jpg",4,500,500)</f>
        <v/>
      </c>
      <c r="B3602" s="30">
        <v>3601.0</v>
      </c>
      <c r="C3602" s="16" t="s">
        <v>4495</v>
      </c>
      <c r="D3602" s="16" t="s">
        <v>184</v>
      </c>
      <c r="E3602" s="16" t="s">
        <v>185</v>
      </c>
      <c r="F3602" s="16" t="s">
        <v>255</v>
      </c>
      <c r="G3602" s="16" t="s">
        <v>508</v>
      </c>
      <c r="H3602" s="16" t="s">
        <v>220</v>
      </c>
    </row>
    <row r="3603" ht="20.25" customHeight="1">
      <c r="A3603" s="32" t="str">
        <f>IMAGE("https://gymvisual.com/22734-catalog_default/straight-leg-sit-up.jpg",4,500,500)</f>
        <v/>
      </c>
      <c r="B3603" s="30">
        <v>3602.0</v>
      </c>
      <c r="C3603" s="16" t="s">
        <v>4496</v>
      </c>
      <c r="D3603" s="16" t="s">
        <v>184</v>
      </c>
      <c r="E3603" s="16" t="s">
        <v>254</v>
      </c>
      <c r="F3603" s="16" t="s">
        <v>255</v>
      </c>
      <c r="G3603" s="16" t="s">
        <v>305</v>
      </c>
      <c r="H3603" s="16" t="s">
        <v>600</v>
      </c>
    </row>
    <row r="3604" ht="20.25" customHeight="1">
      <c r="A3604" s="32" t="str">
        <f>IMAGE("https://gymvisual.com/22833-catalog_default/straight-leg-sit-up-female.jpg",4,500,500)</f>
        <v/>
      </c>
      <c r="B3604" s="30">
        <v>3603.0</v>
      </c>
      <c r="C3604" s="16" t="s">
        <v>4497</v>
      </c>
      <c r="D3604" s="16" t="s">
        <v>184</v>
      </c>
      <c r="E3604" s="16" t="s">
        <v>254</v>
      </c>
      <c r="F3604" s="16" t="s">
        <v>255</v>
      </c>
      <c r="G3604" s="16" t="s">
        <v>305</v>
      </c>
      <c r="H3604" s="16" t="s">
        <v>319</v>
      </c>
    </row>
    <row r="3605" ht="20.25" customHeight="1">
      <c r="A3605" s="32" t="str">
        <f>IMAGE("https://gymvisual.com/10888-catalog_default/strongman-apollons-axle.jpg",4,500,500)</f>
        <v/>
      </c>
      <c r="B3605" s="30">
        <v>3604.0</v>
      </c>
      <c r="C3605" s="16" t="s">
        <v>4498</v>
      </c>
      <c r="D3605" s="16" t="s">
        <v>184</v>
      </c>
      <c r="E3605" s="16"/>
      <c r="F3605" s="16"/>
      <c r="G3605" s="16" t="s">
        <v>220</v>
      </c>
      <c r="H3605" s="16" t="s">
        <v>220</v>
      </c>
    </row>
    <row r="3606" ht="20.25" customHeight="1">
      <c r="A3606" s="32" t="str">
        <f>IMAGE("https://gymvisual.com/10816-catalog_default/strongman-arm-over-arm.jpg",4,500,500)</f>
        <v/>
      </c>
      <c r="B3606" s="30">
        <v>3605.0</v>
      </c>
      <c r="C3606" s="16" t="s">
        <v>4499</v>
      </c>
      <c r="D3606" s="16" t="s">
        <v>184</v>
      </c>
      <c r="E3606" s="16" t="s">
        <v>764</v>
      </c>
      <c r="F3606" s="16" t="s">
        <v>255</v>
      </c>
      <c r="G3606" s="16" t="s">
        <v>220</v>
      </c>
      <c r="H3606" s="16" t="s">
        <v>220</v>
      </c>
    </row>
    <row r="3607" ht="20.25" customHeight="1">
      <c r="A3607" s="32" t="str">
        <f>IMAGE("https://gymvisual.com/10861-catalog_default/strongman-atlas-stones.jpg",4,500,500)</f>
        <v/>
      </c>
      <c r="B3607" s="30">
        <v>3606.0</v>
      </c>
      <c r="C3607" s="16" t="s">
        <v>4500</v>
      </c>
      <c r="D3607" s="16" t="s">
        <v>184</v>
      </c>
      <c r="E3607" s="16" t="s">
        <v>645</v>
      </c>
      <c r="F3607" s="16" t="s">
        <v>396</v>
      </c>
      <c r="G3607" s="16" t="s">
        <v>220</v>
      </c>
      <c r="H3607" s="16" t="s">
        <v>220</v>
      </c>
    </row>
    <row r="3608" ht="20.25" customHeight="1">
      <c r="A3608" s="32" t="str">
        <f>IMAGE("https://gymvisual.com/10891-catalog_default/strongman-barbell-farmers-walk.jpg",4,500,500)</f>
        <v/>
      </c>
      <c r="B3608" s="30">
        <v>3607.0</v>
      </c>
      <c r="C3608" s="16" t="s">
        <v>4501</v>
      </c>
      <c r="D3608" s="16" t="s">
        <v>184</v>
      </c>
      <c r="E3608" s="16" t="s">
        <v>285</v>
      </c>
      <c r="F3608" s="16" t="s">
        <v>186</v>
      </c>
      <c r="G3608" s="16" t="s">
        <v>220</v>
      </c>
      <c r="H3608" s="16" t="s">
        <v>220</v>
      </c>
    </row>
    <row r="3609" ht="20.25" customHeight="1">
      <c r="A3609" s="32" t="str">
        <f>IMAGE("https://gymvisual.com/13563-catalog_default/strongman-car-flip.jpg",4,500,500)</f>
        <v/>
      </c>
      <c r="B3609" s="30">
        <v>3608.0</v>
      </c>
      <c r="C3609" s="16" t="s">
        <v>4502</v>
      </c>
      <c r="D3609" s="16" t="s">
        <v>184</v>
      </c>
      <c r="E3609" s="16" t="s">
        <v>4503</v>
      </c>
      <c r="F3609" s="16" t="s">
        <v>396</v>
      </c>
      <c r="G3609" s="16" t="s">
        <v>220</v>
      </c>
      <c r="H3609" s="16" t="s">
        <v>220</v>
      </c>
    </row>
    <row r="3610" ht="20.25" customHeight="1">
      <c r="A3610" s="32" t="str">
        <f>IMAGE("https://gymvisual.com/10837-catalog_default/strongman-circle-of-conan.jpg",4,500,500)</f>
        <v/>
      </c>
      <c r="B3610" s="30">
        <v>3609.0</v>
      </c>
      <c r="C3610" s="16" t="s">
        <v>4504</v>
      </c>
      <c r="D3610" s="16" t="s">
        <v>184</v>
      </c>
      <c r="E3610" s="16" t="s">
        <v>285</v>
      </c>
      <c r="F3610" s="16" t="s">
        <v>396</v>
      </c>
      <c r="G3610" s="16" t="s">
        <v>220</v>
      </c>
      <c r="H3610" s="16" t="s">
        <v>220</v>
      </c>
    </row>
    <row r="3611" ht="20.25" customHeight="1">
      <c r="A3611" s="32" t="str">
        <f>IMAGE("https://gymvisual.com/10840-catalog_default/strongman-crucifix-hold.jpg",4,500,500)</f>
        <v/>
      </c>
      <c r="B3611" s="30">
        <v>3610.0</v>
      </c>
      <c r="C3611" s="16" t="s">
        <v>4505</v>
      </c>
      <c r="D3611" s="16" t="s">
        <v>184</v>
      </c>
      <c r="E3611" s="16" t="s">
        <v>228</v>
      </c>
      <c r="F3611" s="16" t="s">
        <v>396</v>
      </c>
      <c r="G3611" s="16" t="s">
        <v>220</v>
      </c>
      <c r="H3611" s="16" t="s">
        <v>220</v>
      </c>
    </row>
    <row r="3612" ht="20.25" customHeight="1">
      <c r="A3612" s="32" t="str">
        <f>IMAGE("https://gymvisual.com/10876-catalog_default/strongman-deadlift.jpg",4,500,500)</f>
        <v/>
      </c>
      <c r="B3612" s="30">
        <v>3611.0</v>
      </c>
      <c r="C3612" s="16" t="s">
        <v>4506</v>
      </c>
      <c r="D3612" s="16" t="s">
        <v>184</v>
      </c>
      <c r="E3612" s="16" t="s">
        <v>294</v>
      </c>
      <c r="F3612" s="16" t="s">
        <v>186</v>
      </c>
      <c r="G3612" s="16" t="s">
        <v>220</v>
      </c>
      <c r="H3612" s="16" t="s">
        <v>220</v>
      </c>
    </row>
    <row r="3613" ht="20.25" customHeight="1">
      <c r="A3613" s="32" t="str">
        <f>IMAGE("https://gymvisual.com/10822-catalog_default/strongman-duck-walk.jpg",4,500,500)</f>
        <v/>
      </c>
      <c r="B3613" s="30">
        <v>3612.0</v>
      </c>
      <c r="C3613" s="16" t="s">
        <v>4507</v>
      </c>
      <c r="D3613" s="16" t="s">
        <v>184</v>
      </c>
      <c r="E3613" s="16" t="s">
        <v>285</v>
      </c>
      <c r="F3613" s="16" t="s">
        <v>396</v>
      </c>
      <c r="G3613" s="16" t="s">
        <v>220</v>
      </c>
      <c r="H3613" s="16" t="s">
        <v>220</v>
      </c>
    </row>
    <row r="3614" ht="20.25" customHeight="1">
      <c r="A3614" s="32" t="str">
        <f>IMAGE("https://gymvisual.com/10885-catalog_default/strongman-dumbbell-one-arm-clean-and-jerk.jpg",4,500,500)</f>
        <v/>
      </c>
      <c r="B3614" s="30">
        <v>3613.0</v>
      </c>
      <c r="C3614" s="16" t="s">
        <v>4508</v>
      </c>
      <c r="D3614" s="16" t="s">
        <v>184</v>
      </c>
      <c r="E3614" s="16" t="s">
        <v>691</v>
      </c>
      <c r="F3614" s="16" t="s">
        <v>222</v>
      </c>
      <c r="G3614" s="16" t="s">
        <v>220</v>
      </c>
      <c r="H3614" s="16" t="s">
        <v>220</v>
      </c>
    </row>
    <row r="3615" ht="20.25" customHeight="1">
      <c r="A3615" s="32" t="str">
        <f>IMAGE("https://gymvisual.com/13549-catalog_default/strongman-fingals-fingers.jpg",4,500,500)</f>
        <v/>
      </c>
      <c r="B3615" s="30">
        <v>3614.0</v>
      </c>
      <c r="C3615" s="16" t="s">
        <v>4509</v>
      </c>
      <c r="D3615" s="16" t="s">
        <v>184</v>
      </c>
      <c r="E3615" s="16" t="s">
        <v>1172</v>
      </c>
      <c r="F3615" s="16" t="s">
        <v>396</v>
      </c>
      <c r="G3615" s="16" t="s">
        <v>220</v>
      </c>
      <c r="H3615" s="16" t="s">
        <v>220</v>
      </c>
    </row>
    <row r="3616" ht="20.25" customHeight="1">
      <c r="A3616" s="32" t="str">
        <f>IMAGE("https://gymvisual.com/10873-catalog_default/strongman-front-chest-squat.jpg",4,500,500)</f>
        <v/>
      </c>
      <c r="B3616" s="30">
        <v>3615.0</v>
      </c>
      <c r="C3616" s="16" t="s">
        <v>4510</v>
      </c>
      <c r="D3616" s="16" t="s">
        <v>184</v>
      </c>
      <c r="E3616" s="16" t="s">
        <v>294</v>
      </c>
      <c r="F3616" s="16" t="s">
        <v>186</v>
      </c>
      <c r="G3616" s="16" t="s">
        <v>220</v>
      </c>
      <c r="H3616" s="16" t="s">
        <v>220</v>
      </c>
    </row>
    <row r="3617" ht="20.25" customHeight="1">
      <c r="A3617" s="32" t="str">
        <f>IMAGE("https://gymvisual.com/10843-catalog_default/strongman-front-hold.jpg",4,500,500)</f>
        <v/>
      </c>
      <c r="B3617" s="30">
        <v>3616.0</v>
      </c>
      <c r="C3617" s="16" t="s">
        <v>4511</v>
      </c>
      <c r="D3617" s="16" t="s">
        <v>184</v>
      </c>
      <c r="E3617" s="16" t="s">
        <v>228</v>
      </c>
      <c r="F3617" s="16" t="s">
        <v>396</v>
      </c>
      <c r="G3617" s="16" t="s">
        <v>220</v>
      </c>
      <c r="H3617" s="16" t="s">
        <v>220</v>
      </c>
    </row>
    <row r="3618" ht="20.25" customHeight="1">
      <c r="A3618" s="32" t="str">
        <f>IMAGE("https://gymvisual.com/10867-catalog_default/strongman-hercules-hold.jpg",4,500,500)</f>
        <v/>
      </c>
      <c r="B3618" s="30">
        <v>3617.0</v>
      </c>
      <c r="C3618" s="16" t="s">
        <v>4512</v>
      </c>
      <c r="D3618" s="16" t="s">
        <v>184</v>
      </c>
      <c r="E3618" s="16" t="s">
        <v>4513</v>
      </c>
      <c r="F3618" s="16" t="s">
        <v>396</v>
      </c>
      <c r="G3618" s="16" t="s">
        <v>220</v>
      </c>
      <c r="H3618" s="16" t="s">
        <v>220</v>
      </c>
    </row>
    <row r="3619" ht="20.25" customHeight="1">
      <c r="A3619" s="32" t="str">
        <f>IMAGE("https://gymvisual.com/10855-catalog_default/strongman-hood-stones.jpg",4,500,500)</f>
        <v/>
      </c>
      <c r="B3619" s="30">
        <v>3618.0</v>
      </c>
      <c r="C3619" s="16" t="s">
        <v>4514</v>
      </c>
      <c r="D3619" s="16" t="s">
        <v>184</v>
      </c>
      <c r="E3619" s="16" t="s">
        <v>4515</v>
      </c>
      <c r="F3619" s="16" t="s">
        <v>396</v>
      </c>
      <c r="G3619" s="16" t="s">
        <v>220</v>
      </c>
      <c r="H3619" s="16" t="s">
        <v>220</v>
      </c>
    </row>
    <row r="3620" ht="20.25" customHeight="1">
      <c r="A3620" s="32" t="str">
        <f>IMAGE("https://gymvisual.com/10831-catalog_default/strongman-iceland-cross.jpg",4,500,500)</f>
        <v/>
      </c>
      <c r="B3620" s="30">
        <v>3619.0</v>
      </c>
      <c r="C3620" s="16" t="s">
        <v>4516</v>
      </c>
      <c r="D3620" s="16" t="s">
        <v>184</v>
      </c>
      <c r="E3620" s="16" t="s">
        <v>285</v>
      </c>
      <c r="F3620" s="16" t="s">
        <v>396</v>
      </c>
      <c r="G3620" s="16" t="s">
        <v>220</v>
      </c>
      <c r="H3620" s="16" t="s">
        <v>220</v>
      </c>
    </row>
    <row r="3621" ht="20.25" customHeight="1">
      <c r="A3621" s="32" t="str">
        <f>IMAGE("https://gymvisual.com/10828-catalog_default/strongman-iron-block-press.jpg",4,500,500)</f>
        <v/>
      </c>
      <c r="B3621" s="30">
        <v>3620.0</v>
      </c>
      <c r="C3621" s="16" t="s">
        <v>4517</v>
      </c>
      <c r="D3621" s="16" t="s">
        <v>184</v>
      </c>
      <c r="E3621" s="16" t="s">
        <v>228</v>
      </c>
      <c r="F3621" s="16" t="s">
        <v>396</v>
      </c>
      <c r="G3621" s="16" t="s">
        <v>220</v>
      </c>
      <c r="H3621" s="16" t="s">
        <v>220</v>
      </c>
    </row>
    <row r="3622" ht="20.25" customHeight="1">
      <c r="A3622" s="32" t="str">
        <f>IMAGE("https://gymvisual.com/13551-catalog_default/strongman-keg-toss.jpg",4,500,500)</f>
        <v/>
      </c>
      <c r="B3622" s="30">
        <v>3621.0</v>
      </c>
      <c r="C3622" s="16" t="s">
        <v>4518</v>
      </c>
      <c r="D3622" s="16" t="s">
        <v>184</v>
      </c>
      <c r="E3622" s="16" t="s">
        <v>4519</v>
      </c>
      <c r="F3622" s="16" t="s">
        <v>396</v>
      </c>
      <c r="G3622" s="16" t="s">
        <v>220</v>
      </c>
      <c r="H3622" s="16" t="s">
        <v>220</v>
      </c>
    </row>
    <row r="3623" ht="20.25" customHeight="1">
      <c r="A3623" s="32" t="str">
        <f>IMAGE("https://gymvisual.com/10852-catalog_default/strongman-loading.jpg",4,500,500)</f>
        <v/>
      </c>
      <c r="B3623" s="30">
        <v>3622.0</v>
      </c>
      <c r="C3623" s="16" t="s">
        <v>4520</v>
      </c>
      <c r="D3623" s="16" t="s">
        <v>184</v>
      </c>
      <c r="E3623" s="16" t="s">
        <v>484</v>
      </c>
      <c r="F3623" s="16" t="s">
        <v>396</v>
      </c>
      <c r="G3623" s="16" t="s">
        <v>220</v>
      </c>
      <c r="H3623" s="16" t="s">
        <v>220</v>
      </c>
    </row>
    <row r="3624" ht="20.25" customHeight="1">
      <c r="A3624" s="32" t="str">
        <f>IMAGE("https://gymvisual.com/10810-catalog_default/strongman-log-lift.jpg",4,500,500)</f>
        <v/>
      </c>
      <c r="B3624" s="30">
        <v>3623.0</v>
      </c>
      <c r="C3624" s="16" t="s">
        <v>4521</v>
      </c>
      <c r="D3624" s="16" t="s">
        <v>184</v>
      </c>
      <c r="E3624" s="16" t="s">
        <v>764</v>
      </c>
      <c r="F3624" s="16" t="s">
        <v>255</v>
      </c>
      <c r="G3624" s="16" t="s">
        <v>220</v>
      </c>
      <c r="H3624" s="16" t="s">
        <v>220</v>
      </c>
    </row>
    <row r="3625" ht="20.25" customHeight="1">
      <c r="A3625" s="32" t="str">
        <f>IMAGE("https://gymvisual.com/10813-catalog_default/strongman-mas-wrestling.jpg",4,500,500)</f>
        <v/>
      </c>
      <c r="B3625" s="30">
        <v>3624.0</v>
      </c>
      <c r="C3625" s="16" t="s">
        <v>4522</v>
      </c>
      <c r="D3625" s="16" t="s">
        <v>184</v>
      </c>
      <c r="E3625" s="16" t="s">
        <v>764</v>
      </c>
      <c r="F3625" s="16" t="s">
        <v>255</v>
      </c>
      <c r="G3625" s="16" t="s">
        <v>220</v>
      </c>
      <c r="H3625" s="16" t="s">
        <v>220</v>
      </c>
    </row>
    <row r="3626" ht="20.25" customHeight="1">
      <c r="A3626" s="32" t="str">
        <f>IMAGE("https://gymvisual.com/10864-catalog_default/strongman-power-stairs.jpg",4,500,500)</f>
        <v/>
      </c>
      <c r="B3626" s="30">
        <v>3625.0</v>
      </c>
      <c r="C3626" s="16" t="s">
        <v>4523</v>
      </c>
      <c r="D3626" s="16" t="s">
        <v>184</v>
      </c>
      <c r="E3626" s="16" t="s">
        <v>294</v>
      </c>
      <c r="F3626" s="16" t="s">
        <v>396</v>
      </c>
      <c r="G3626" s="16" t="s">
        <v>220</v>
      </c>
      <c r="H3626" s="16" t="s">
        <v>220</v>
      </c>
    </row>
    <row r="3627" ht="20.25" customHeight="1">
      <c r="A3627" s="32" t="str">
        <f>IMAGE("https://gymvisual.com/10825-catalog_default/strongman-sandbag-walk.jpg",4,500,500)</f>
        <v/>
      </c>
      <c r="B3627" s="30">
        <v>3626.0</v>
      </c>
      <c r="C3627" s="16" t="s">
        <v>4524</v>
      </c>
      <c r="D3627" s="16" t="s">
        <v>184</v>
      </c>
      <c r="E3627" s="16" t="s">
        <v>285</v>
      </c>
      <c r="F3627" s="16" t="s">
        <v>396</v>
      </c>
      <c r="G3627" s="16" t="s">
        <v>220</v>
      </c>
      <c r="H3627" s="16" t="s">
        <v>220</v>
      </c>
    </row>
    <row r="3628" ht="20.25" customHeight="1">
      <c r="A3628" s="32" t="str">
        <f>IMAGE("https://gymvisual.com/10870-catalog_default/strongman-shield-carry.jpg",4,500,500)</f>
        <v/>
      </c>
      <c r="B3628" s="30">
        <v>3627.0</v>
      </c>
      <c r="C3628" s="16" t="s">
        <v>4525</v>
      </c>
      <c r="D3628" s="16" t="s">
        <v>184</v>
      </c>
      <c r="E3628" s="16" t="s">
        <v>285</v>
      </c>
      <c r="F3628" s="16" t="s">
        <v>396</v>
      </c>
      <c r="G3628" s="16" t="s">
        <v>220</v>
      </c>
      <c r="H3628" s="16" t="s">
        <v>220</v>
      </c>
    </row>
    <row r="3629" ht="20.25" customHeight="1">
      <c r="A3629" s="32" t="str">
        <f>IMAGE("https://gymvisual.com/10849-catalog_default/strongman-squats-with-platform.jpg",4,500,500)</f>
        <v/>
      </c>
      <c r="B3629" s="30">
        <v>3628.0</v>
      </c>
      <c r="C3629" s="16" t="s">
        <v>4526</v>
      </c>
      <c r="D3629" s="16" t="s">
        <v>184</v>
      </c>
      <c r="E3629" s="16" t="s">
        <v>294</v>
      </c>
      <c r="F3629" s="16" t="s">
        <v>396</v>
      </c>
      <c r="G3629" s="16" t="s">
        <v>220</v>
      </c>
      <c r="H3629" s="16" t="s">
        <v>220</v>
      </c>
    </row>
    <row r="3630" ht="20.25" customHeight="1">
      <c r="A3630" s="32" t="str">
        <f>IMAGE("https://gymvisual.com/10834-catalog_default/strongman-timber-carry.jpg",4,500,500)</f>
        <v/>
      </c>
      <c r="B3630" s="30">
        <v>3629.0</v>
      </c>
      <c r="C3630" s="16" t="s">
        <v>4527</v>
      </c>
      <c r="D3630" s="16" t="s">
        <v>184</v>
      </c>
      <c r="E3630" s="16" t="s">
        <v>285</v>
      </c>
      <c r="F3630" s="16" t="s">
        <v>396</v>
      </c>
      <c r="G3630" s="16" t="s">
        <v>220</v>
      </c>
      <c r="H3630" s="16" t="s">
        <v>220</v>
      </c>
    </row>
    <row r="3631" ht="20.25" customHeight="1">
      <c r="A3631" s="32" t="str">
        <f>IMAGE("https://gymvisual.com/10879-catalog_default/strongman-tire-flip.jpg",4,500,500)</f>
        <v/>
      </c>
      <c r="B3631" s="30">
        <v>3630.0</v>
      </c>
      <c r="C3631" s="16" t="s">
        <v>4528</v>
      </c>
      <c r="D3631" s="16" t="s">
        <v>184</v>
      </c>
      <c r="E3631" s="16" t="s">
        <v>764</v>
      </c>
      <c r="F3631" s="16" t="s">
        <v>396</v>
      </c>
      <c r="G3631" s="16" t="s">
        <v>220</v>
      </c>
      <c r="H3631" s="16" t="s">
        <v>220</v>
      </c>
    </row>
    <row r="3632" ht="20.25" customHeight="1">
      <c r="A3632" s="32" t="str">
        <f>IMAGE("https://gymvisual.com/10819-catalog_default/strongman-truck-pull.jpg",4,500,500)</f>
        <v/>
      </c>
      <c r="B3632" s="30">
        <v>3631.0</v>
      </c>
      <c r="C3632" s="16" t="s">
        <v>4529</v>
      </c>
      <c r="D3632" s="16" t="s">
        <v>184</v>
      </c>
      <c r="E3632" s="16" t="s">
        <v>764</v>
      </c>
      <c r="F3632" s="16" t="s">
        <v>255</v>
      </c>
      <c r="G3632" s="16" t="s">
        <v>220</v>
      </c>
      <c r="H3632" s="16" t="s">
        <v>220</v>
      </c>
    </row>
    <row r="3633" ht="20.25" customHeight="1">
      <c r="A3633" s="32" t="str">
        <f>IMAGE("https://gymvisual.com/10846-catalog_default/strongman-viking-press.jpg",4,500,500)</f>
        <v/>
      </c>
      <c r="B3633" s="30">
        <v>3632.0</v>
      </c>
      <c r="C3633" s="16" t="s">
        <v>4530</v>
      </c>
      <c r="D3633" s="16" t="s">
        <v>184</v>
      </c>
      <c r="E3633" s="16" t="s">
        <v>1129</v>
      </c>
      <c r="F3633" s="16" t="s">
        <v>396</v>
      </c>
      <c r="G3633" s="16" t="s">
        <v>220</v>
      </c>
      <c r="H3633" s="16" t="s">
        <v>220</v>
      </c>
    </row>
    <row r="3634" ht="20.25" customHeight="1">
      <c r="A3634" s="32" t="str">
        <f>IMAGE("https://gymvisual.com/10882-catalog_default/strongman-weight-for-height.jpg",4,500,500)</f>
        <v/>
      </c>
      <c r="B3634" s="30">
        <v>3633.0</v>
      </c>
      <c r="C3634" s="16" t="s">
        <v>4531</v>
      </c>
      <c r="D3634" s="16" t="s">
        <v>184</v>
      </c>
      <c r="E3634" s="16" t="s">
        <v>185</v>
      </c>
      <c r="F3634" s="16" t="s">
        <v>396</v>
      </c>
      <c r="G3634" s="16" t="s">
        <v>220</v>
      </c>
      <c r="H3634" s="16" t="s">
        <v>220</v>
      </c>
    </row>
    <row r="3635" ht="20.25" customHeight="1">
      <c r="A3635" s="32" t="str">
        <f>IMAGE("https://gymvisual.com/10858-catalog_default/strongman-wheelbarrow.jpg",4,500,500)</f>
        <v/>
      </c>
      <c r="B3635" s="30">
        <v>3634.0</v>
      </c>
      <c r="C3635" s="16" t="s">
        <v>4532</v>
      </c>
      <c r="D3635" s="16" t="s">
        <v>184</v>
      </c>
      <c r="E3635" s="16" t="s">
        <v>285</v>
      </c>
      <c r="F3635" s="16" t="s">
        <v>396</v>
      </c>
      <c r="G3635" s="16" t="s">
        <v>220</v>
      </c>
      <c r="H3635" s="16" t="s">
        <v>220</v>
      </c>
    </row>
    <row r="3636" ht="20.25" customHeight="1">
      <c r="A3636" s="32" t="str">
        <f>IMAGE("https://gymvisual.com/10894-catalog_default/strongman-yoke-walk.jpg",4,500,500)</f>
        <v/>
      </c>
      <c r="B3636" s="30">
        <v>3635.0</v>
      </c>
      <c r="C3636" s="16" t="s">
        <v>4533</v>
      </c>
      <c r="D3636" s="16" t="s">
        <v>184</v>
      </c>
      <c r="E3636" s="16" t="s">
        <v>294</v>
      </c>
      <c r="F3636" s="16" t="s">
        <v>396</v>
      </c>
      <c r="G3636" s="16" t="s">
        <v>220</v>
      </c>
      <c r="H3636" s="16" t="s">
        <v>220</v>
      </c>
    </row>
    <row r="3637" ht="20.25" customHeight="1">
      <c r="A3637" s="32" t="str">
        <f>IMAGE("https://gymvisual.com/22490-catalog_default/sumo-air-squat.jpg",4,500,500)</f>
        <v/>
      </c>
      <c r="B3637" s="30">
        <v>3636.0</v>
      </c>
      <c r="C3637" s="16" t="s">
        <v>4534</v>
      </c>
      <c r="D3637" s="16" t="s">
        <v>184</v>
      </c>
      <c r="E3637" s="16" t="s">
        <v>185</v>
      </c>
      <c r="F3637" s="16" t="s">
        <v>255</v>
      </c>
      <c r="G3637" s="16" t="s">
        <v>220</v>
      </c>
      <c r="H3637" s="16" t="s">
        <v>220</v>
      </c>
    </row>
    <row r="3638" ht="20.25" customHeight="1">
      <c r="A3638" s="32" t="str">
        <f>IMAGE("https://gymvisual.com/4567-catalog_default/sumo-deadlift-high-pull.jpg",4,500,500)</f>
        <v/>
      </c>
      <c r="B3638" s="30">
        <v>3637.0</v>
      </c>
      <c r="C3638" s="16" t="s">
        <v>4535</v>
      </c>
      <c r="D3638" s="16" t="s">
        <v>184</v>
      </c>
      <c r="E3638" s="16" t="s">
        <v>228</v>
      </c>
      <c r="F3638" s="16" t="s">
        <v>186</v>
      </c>
      <c r="G3638" s="16" t="s">
        <v>799</v>
      </c>
      <c r="H3638" s="16" t="s">
        <v>4536</v>
      </c>
    </row>
    <row r="3639" ht="20.25" customHeight="1">
      <c r="A3639" s="32" t="str">
        <f>IMAGE("https://gymvisual.com/9814-catalog_default/sumo-squat.jpg",4,500,500)</f>
        <v/>
      </c>
      <c r="B3639" s="30">
        <v>3638.0</v>
      </c>
      <c r="C3639" s="16" t="s">
        <v>4537</v>
      </c>
      <c r="D3639" s="16" t="s">
        <v>184</v>
      </c>
      <c r="E3639" s="16" t="s">
        <v>285</v>
      </c>
      <c r="F3639" s="16" t="s">
        <v>255</v>
      </c>
      <c r="G3639" s="16" t="s">
        <v>189</v>
      </c>
      <c r="H3639" s="16" t="s">
        <v>902</v>
      </c>
    </row>
    <row r="3640" ht="20.25" customHeight="1">
      <c r="A3640" s="32" t="str">
        <f>IMAGE("https://gymvisual.com/4085-catalog_default/sumo-squat.jpg",4,500,500)</f>
        <v/>
      </c>
      <c r="B3640" s="30">
        <v>3639.0</v>
      </c>
      <c r="C3640" s="16" t="s">
        <v>4537</v>
      </c>
      <c r="D3640" s="16" t="s">
        <v>184</v>
      </c>
      <c r="E3640" s="16" t="s">
        <v>285</v>
      </c>
      <c r="F3640" s="16" t="s">
        <v>255</v>
      </c>
      <c r="G3640" s="16" t="s">
        <v>189</v>
      </c>
      <c r="H3640" s="16" t="s">
        <v>1127</v>
      </c>
    </row>
    <row r="3641" ht="20.25" customHeight="1">
      <c r="A3641" s="32" t="str">
        <f>IMAGE("https://gymvisual.com/22764-catalog_default/sumo-squat-floor-touch.jpg",4,500,500)</f>
        <v/>
      </c>
      <c r="B3641" s="30">
        <v>3640.0</v>
      </c>
      <c r="C3641" s="16" t="s">
        <v>4538</v>
      </c>
      <c r="D3641" s="16" t="s">
        <v>184</v>
      </c>
      <c r="E3641" s="16" t="s">
        <v>185</v>
      </c>
      <c r="F3641" s="16" t="s">
        <v>255</v>
      </c>
      <c r="G3641" s="16" t="s">
        <v>189</v>
      </c>
      <c r="H3641" s="16" t="s">
        <v>902</v>
      </c>
    </row>
    <row r="3642" ht="20.25" customHeight="1">
      <c r="A3642" s="32" t="str">
        <f>IMAGE("https://gymvisual.com/2403-catalog_default/superman.jpg",4,500,500)</f>
        <v/>
      </c>
      <c r="B3642" s="30">
        <v>3641.0</v>
      </c>
      <c r="C3642" s="16" t="s">
        <v>4539</v>
      </c>
      <c r="D3642" s="16" t="s">
        <v>184</v>
      </c>
      <c r="E3642" s="16" t="s">
        <v>254</v>
      </c>
      <c r="F3642" s="16" t="s">
        <v>255</v>
      </c>
      <c r="G3642" s="16" t="s">
        <v>275</v>
      </c>
      <c r="H3642" s="16" t="s">
        <v>2412</v>
      </c>
    </row>
    <row r="3643" ht="20.25" customHeight="1">
      <c r="A3643" s="32" t="str">
        <f>IMAGE("https://gymvisual.com/13777-catalog_default/superman-male.jpg",4,500,500)</f>
        <v/>
      </c>
      <c r="B3643" s="30">
        <v>3642.0</v>
      </c>
      <c r="C3643" s="16" t="s">
        <v>4540</v>
      </c>
      <c r="D3643" s="16" t="s">
        <v>184</v>
      </c>
      <c r="E3643" s="16" t="s">
        <v>185</v>
      </c>
      <c r="F3643" s="16" t="s">
        <v>255</v>
      </c>
      <c r="G3643" s="16" t="s">
        <v>275</v>
      </c>
      <c r="H3643" s="16" t="s">
        <v>2412</v>
      </c>
    </row>
    <row r="3644" ht="20.25" customHeight="1">
      <c r="A3644" s="32" t="str">
        <f>IMAGE("https://gymvisual.com/2400-catalog_default/superman-push-up.jpg",4,500,500)</f>
        <v/>
      </c>
      <c r="B3644" s="30">
        <v>3643.0</v>
      </c>
      <c r="C3644" s="16" t="s">
        <v>4541</v>
      </c>
      <c r="D3644" s="16" t="s">
        <v>184</v>
      </c>
      <c r="E3644" s="16" t="s">
        <v>234</v>
      </c>
      <c r="F3644" s="16" t="s">
        <v>255</v>
      </c>
      <c r="G3644" s="16" t="s">
        <v>4542</v>
      </c>
      <c r="H3644" s="16" t="s">
        <v>4543</v>
      </c>
    </row>
    <row r="3645" ht="20.25" customHeight="1">
      <c r="A3645" s="32" t="str">
        <f>IMAGE("https://gymvisual.com/22819-catalog_default/superman-row-female.jpg",4,500,500)</f>
        <v/>
      </c>
      <c r="B3645" s="30">
        <v>3644.0</v>
      </c>
      <c r="C3645" s="16" t="s">
        <v>4544</v>
      </c>
      <c r="D3645" s="16" t="s">
        <v>184</v>
      </c>
      <c r="E3645" s="16" t="s">
        <v>192</v>
      </c>
      <c r="F3645" s="16" t="s">
        <v>255</v>
      </c>
      <c r="G3645" s="16" t="s">
        <v>4545</v>
      </c>
      <c r="H3645" s="16" t="s">
        <v>4546</v>
      </c>
    </row>
    <row r="3646" ht="20.25" customHeight="1">
      <c r="A3646" s="32" t="str">
        <f>IMAGE("https://gymvisual.com/14145-catalog_default/superman-row-with-towel.jpg",4,500,500)</f>
        <v/>
      </c>
      <c r="B3646" s="30">
        <v>3645.0</v>
      </c>
      <c r="C3646" s="16" t="s">
        <v>4547</v>
      </c>
      <c r="D3646" s="16" t="s">
        <v>184</v>
      </c>
      <c r="E3646" s="16" t="s">
        <v>3183</v>
      </c>
      <c r="F3646" s="16" t="s">
        <v>255</v>
      </c>
      <c r="G3646" s="16" t="s">
        <v>4548</v>
      </c>
      <c r="H3646" s="16" t="s">
        <v>4549</v>
      </c>
    </row>
    <row r="3647" ht="20.25" customHeight="1">
      <c r="A3647" s="32" t="str">
        <f>IMAGE("https://gymvisual.com/24079-catalog_default/superman-w.jpg",4,500,500)</f>
        <v/>
      </c>
      <c r="B3647" s="30">
        <v>3646.0</v>
      </c>
      <c r="C3647" s="16" t="s">
        <v>4550</v>
      </c>
      <c r="D3647" s="16" t="s">
        <v>184</v>
      </c>
      <c r="E3647" s="16" t="s">
        <v>185</v>
      </c>
      <c r="F3647" s="16" t="s">
        <v>255</v>
      </c>
      <c r="G3647" s="16" t="s">
        <v>220</v>
      </c>
      <c r="H3647" s="16" t="s">
        <v>220</v>
      </c>
    </row>
    <row r="3648" ht="20.25" customHeight="1">
      <c r="A3648" s="32" t="str">
        <f>IMAGE("https://gymvisual.com/24077-catalog_default/superman-w-to-y.jpg",4,500,500)</f>
        <v/>
      </c>
      <c r="B3648" s="30">
        <v>3647.0</v>
      </c>
      <c r="C3648" s="16" t="s">
        <v>4551</v>
      </c>
      <c r="D3648" s="16" t="s">
        <v>184</v>
      </c>
      <c r="E3648" s="16" t="s">
        <v>185</v>
      </c>
      <c r="F3648" s="16" t="s">
        <v>255</v>
      </c>
      <c r="G3648" s="16" t="s">
        <v>220</v>
      </c>
      <c r="H3648" s="16" t="s">
        <v>220</v>
      </c>
    </row>
    <row r="3649" ht="20.25" customHeight="1">
      <c r="A3649" s="32" t="str">
        <f>IMAGE("https://gymvisual.com/24334-catalog_default/supinated-grip-inverted-row-female.jpg",4,500,500)</f>
        <v/>
      </c>
      <c r="B3649" s="30">
        <v>3648.0</v>
      </c>
      <c r="C3649" s="16" t="s">
        <v>4552</v>
      </c>
      <c r="D3649" s="16" t="s">
        <v>184</v>
      </c>
      <c r="E3649" s="16" t="s">
        <v>192</v>
      </c>
      <c r="F3649" s="16" t="s">
        <v>255</v>
      </c>
      <c r="G3649" s="16" t="s">
        <v>220</v>
      </c>
      <c r="H3649" s="16" t="s">
        <v>220</v>
      </c>
    </row>
    <row r="3650" ht="20.25" customHeight="1">
      <c r="A3650" s="32" t="str">
        <f>IMAGE("https://gymvisual.com/23855-catalog_default/supinated-narrow-grip-pull-up.jpg",4,500,500)</f>
        <v/>
      </c>
      <c r="B3650" s="30">
        <v>3649.0</v>
      </c>
      <c r="C3650" s="16" t="s">
        <v>4553</v>
      </c>
      <c r="D3650" s="16" t="s">
        <v>184</v>
      </c>
      <c r="E3650" s="16" t="s">
        <v>192</v>
      </c>
      <c r="F3650" s="16" t="s">
        <v>255</v>
      </c>
      <c r="G3650" s="16" t="s">
        <v>220</v>
      </c>
      <c r="H3650" s="16" t="s">
        <v>220</v>
      </c>
    </row>
    <row r="3651" ht="20.25" customHeight="1">
      <c r="A3651" s="32" t="str">
        <f>IMAGE("https://gymvisual.com/22319-catalog_default/supported-squat-female.jpg",4,500,500)</f>
        <v/>
      </c>
      <c r="B3651" s="30">
        <v>3650.0</v>
      </c>
      <c r="C3651" s="16" t="s">
        <v>4554</v>
      </c>
      <c r="D3651" s="16" t="s">
        <v>184</v>
      </c>
      <c r="E3651" s="16" t="s">
        <v>285</v>
      </c>
      <c r="F3651" s="16" t="s">
        <v>255</v>
      </c>
      <c r="G3651" s="16" t="s">
        <v>220</v>
      </c>
      <c r="H3651" s="16" t="s">
        <v>220</v>
      </c>
    </row>
    <row r="3652" ht="20.25" customHeight="1">
      <c r="A3652" s="32" t="str">
        <f>IMAGE("https://gymvisual.com/2406-catalog_default/suspended-abdominal-fallout.jpg",4,500,500)</f>
        <v/>
      </c>
      <c r="B3652" s="30">
        <v>3651.0</v>
      </c>
      <c r="C3652" s="16" t="s">
        <v>4555</v>
      </c>
      <c r="D3652" s="16" t="s">
        <v>184</v>
      </c>
      <c r="E3652" s="16" t="s">
        <v>254</v>
      </c>
      <c r="F3652" s="16" t="s">
        <v>255</v>
      </c>
      <c r="G3652" s="16" t="s">
        <v>256</v>
      </c>
      <c r="H3652" s="16" t="s">
        <v>4556</v>
      </c>
    </row>
    <row r="3653" ht="20.25" customHeight="1">
      <c r="A3653" s="32" t="str">
        <f>IMAGE("https://gymvisual.com/2409-catalog_default/suspended-push-up.jpg",4,500,500)</f>
        <v/>
      </c>
      <c r="B3653" s="30">
        <v>3652.0</v>
      </c>
      <c r="C3653" s="16" t="s">
        <v>4557</v>
      </c>
      <c r="D3653" s="16" t="s">
        <v>184</v>
      </c>
      <c r="E3653" s="16" t="s">
        <v>234</v>
      </c>
      <c r="F3653" s="16" t="s">
        <v>255</v>
      </c>
      <c r="G3653" s="16" t="s">
        <v>347</v>
      </c>
      <c r="H3653" s="16" t="s">
        <v>3020</v>
      </c>
    </row>
    <row r="3654" ht="20.25" customHeight="1">
      <c r="A3654" s="32" t="str">
        <f>IMAGE("https://gymvisual.com/2412-catalog_default/suspended-reverse-crunch.jpg",4,500,500)</f>
        <v/>
      </c>
      <c r="B3654" s="30">
        <v>3653.0</v>
      </c>
      <c r="C3654" s="16" t="s">
        <v>4558</v>
      </c>
      <c r="D3654" s="16" t="s">
        <v>184</v>
      </c>
      <c r="E3654" s="16" t="s">
        <v>254</v>
      </c>
      <c r="F3654" s="16" t="s">
        <v>255</v>
      </c>
      <c r="G3654" s="16" t="s">
        <v>256</v>
      </c>
      <c r="H3654" s="16" t="s">
        <v>4203</v>
      </c>
    </row>
    <row r="3655" ht="20.25" customHeight="1">
      <c r="A3655" s="32" t="str">
        <f>IMAGE("https://gymvisual.com/2415-catalog_default/suspended-row.jpg",4,500,500)</f>
        <v/>
      </c>
      <c r="B3655" s="30">
        <v>3654.0</v>
      </c>
      <c r="C3655" s="16" t="s">
        <v>4559</v>
      </c>
      <c r="D3655" s="16" t="s">
        <v>184</v>
      </c>
      <c r="E3655" s="16" t="s">
        <v>192</v>
      </c>
      <c r="F3655" s="16" t="s">
        <v>255</v>
      </c>
      <c r="G3655" s="16" t="s">
        <v>3041</v>
      </c>
      <c r="H3655" s="16" t="s">
        <v>330</v>
      </c>
    </row>
    <row r="3656" ht="20.25" customHeight="1">
      <c r="A3656" s="32" t="str">
        <f>IMAGE("https://gymvisual.com/2418-catalog_default/suspended-split-squat.jpg",4,500,500)</f>
        <v/>
      </c>
      <c r="B3656" s="30">
        <v>3655.0</v>
      </c>
      <c r="C3656" s="16" t="s">
        <v>4560</v>
      </c>
      <c r="D3656" s="16" t="s">
        <v>184</v>
      </c>
      <c r="E3656" s="16" t="s">
        <v>285</v>
      </c>
      <c r="F3656" s="16" t="s">
        <v>255</v>
      </c>
      <c r="G3656" s="16" t="s">
        <v>189</v>
      </c>
      <c r="H3656" s="16" t="s">
        <v>190</v>
      </c>
    </row>
    <row r="3657" ht="20.25" customHeight="1">
      <c r="A3657" s="32" t="str">
        <f>IMAGE("https://gymvisual.com/22321-catalog_default/suspender-alternate-superman-female.jpg",4,500,500)</f>
        <v/>
      </c>
      <c r="B3657" s="30">
        <v>3656.0</v>
      </c>
      <c r="C3657" s="16" t="s">
        <v>4561</v>
      </c>
      <c r="D3657" s="16" t="s">
        <v>184</v>
      </c>
      <c r="E3657" s="16" t="s">
        <v>254</v>
      </c>
      <c r="F3657" s="16" t="s">
        <v>3009</v>
      </c>
      <c r="G3657" s="16" t="s">
        <v>220</v>
      </c>
      <c r="H3657" s="16" t="s">
        <v>220</v>
      </c>
    </row>
    <row r="3658" ht="20.25" customHeight="1">
      <c r="A3658" s="32" t="str">
        <f>IMAGE("https://gymvisual.com/17889-catalog_default/suspender-forward-lunge-with-rear-fly-male.jpg",4,500,500)</f>
        <v/>
      </c>
      <c r="B3658" s="30">
        <v>3657.0</v>
      </c>
      <c r="C3658" s="16" t="s">
        <v>4562</v>
      </c>
      <c r="D3658" s="16" t="s">
        <v>184</v>
      </c>
      <c r="E3658" s="16" t="s">
        <v>228</v>
      </c>
      <c r="F3658" s="16" t="s">
        <v>3009</v>
      </c>
      <c r="G3658" s="16" t="s">
        <v>220</v>
      </c>
      <c r="H3658" s="16" t="s">
        <v>220</v>
      </c>
    </row>
    <row r="3659" ht="20.25" customHeight="1">
      <c r="A3659" s="32" t="str">
        <f>IMAGE("https://gymvisual.com/22323-catalog_default/suspender-rollout-version-2-female.jpg",4,500,500)</f>
        <v/>
      </c>
      <c r="B3659" s="30">
        <v>3658.0</v>
      </c>
      <c r="C3659" s="16" t="s">
        <v>4563</v>
      </c>
      <c r="D3659" s="16" t="s">
        <v>184</v>
      </c>
      <c r="E3659" s="16" t="s">
        <v>254</v>
      </c>
      <c r="F3659" s="16" t="s">
        <v>3009</v>
      </c>
      <c r="G3659" s="16" t="s">
        <v>220</v>
      </c>
      <c r="H3659" s="16" t="s">
        <v>220</v>
      </c>
    </row>
    <row r="3660" ht="20.25" customHeight="1">
      <c r="A3660" s="32" t="str">
        <f>IMAGE("https://gymvisual.com/11993-catalog_default/suspender-weighted-inverted-row.jpg",4,500,500)</f>
        <v/>
      </c>
      <c r="B3660" s="30">
        <v>3659.0</v>
      </c>
      <c r="C3660" s="16" t="s">
        <v>4564</v>
      </c>
      <c r="D3660" s="16" t="s">
        <v>184</v>
      </c>
      <c r="E3660" s="16" t="s">
        <v>192</v>
      </c>
      <c r="F3660" s="16" t="s">
        <v>3009</v>
      </c>
      <c r="G3660" s="16" t="s">
        <v>220</v>
      </c>
      <c r="H3660" s="16" t="s">
        <v>220</v>
      </c>
    </row>
    <row r="3661" ht="20.25" customHeight="1">
      <c r="A3661" s="32" t="str">
        <f>IMAGE("https://gymvisual.com/11992-catalog_default/suspender-weighted-inverted-row-female.jpg",4,500,500)</f>
        <v/>
      </c>
      <c r="B3661" s="30">
        <v>3660.0</v>
      </c>
      <c r="C3661" s="16" t="s">
        <v>4565</v>
      </c>
      <c r="D3661" s="16" t="s">
        <v>184</v>
      </c>
      <c r="E3661" s="16" t="s">
        <v>192</v>
      </c>
      <c r="F3661" s="16" t="s">
        <v>3009</v>
      </c>
      <c r="G3661" s="16" t="s">
        <v>220</v>
      </c>
      <c r="H3661" s="16" t="s">
        <v>220</v>
      </c>
    </row>
    <row r="3662" ht="20.25" customHeight="1">
      <c r="A3662" s="32" t="str">
        <f>IMAGE("https://gymvisual.com/19002-catalog_default/suspender-wide-grip-inverted-row.jpg",4,500,500)</f>
        <v/>
      </c>
      <c r="B3662" s="30">
        <v>3661.0</v>
      </c>
      <c r="C3662" s="16" t="s">
        <v>4566</v>
      </c>
      <c r="D3662" s="16" t="s">
        <v>184</v>
      </c>
      <c r="E3662" s="16" t="s">
        <v>192</v>
      </c>
      <c r="F3662" s="16" t="s">
        <v>3009</v>
      </c>
      <c r="G3662" s="16" t="s">
        <v>329</v>
      </c>
      <c r="H3662" s="16" t="s">
        <v>447</v>
      </c>
    </row>
    <row r="3663" ht="20.25" customHeight="1">
      <c r="A3663" s="32" t="str">
        <f>IMAGE("https://gymvisual.com/19004-catalog_default/suspender-wide-grip-inverted-row-on-floor-female.jpg",4,500,500)</f>
        <v/>
      </c>
      <c r="B3663" s="30">
        <v>3662.0</v>
      </c>
      <c r="C3663" s="16" t="s">
        <v>4567</v>
      </c>
      <c r="D3663" s="16" t="s">
        <v>184</v>
      </c>
      <c r="E3663" s="16" t="s">
        <v>192</v>
      </c>
      <c r="F3663" s="16" t="s">
        <v>3009</v>
      </c>
      <c r="G3663" s="16" t="s">
        <v>329</v>
      </c>
      <c r="H3663" s="16" t="s">
        <v>447</v>
      </c>
    </row>
    <row r="3664" ht="20.25" customHeight="1">
      <c r="A3664" s="32" t="str">
        <f>IMAGE("https://gymvisual.com/4268-catalog_default/suspension-abduction-lunge.jpg",4,500,500)</f>
        <v/>
      </c>
      <c r="B3664" s="30">
        <v>3663.0</v>
      </c>
      <c r="C3664" s="16" t="s">
        <v>4568</v>
      </c>
      <c r="D3664" s="16" t="s">
        <v>184</v>
      </c>
      <c r="E3664" s="16" t="s">
        <v>285</v>
      </c>
      <c r="F3664" s="16" t="s">
        <v>3009</v>
      </c>
      <c r="G3664" s="16" t="s">
        <v>4569</v>
      </c>
      <c r="H3664" s="16" t="s">
        <v>902</v>
      </c>
    </row>
    <row r="3665" ht="20.25" customHeight="1">
      <c r="A3665" s="32" t="str">
        <f>IMAGE("https://gymvisual.com/4103-catalog_default/suspension-arm-curl.jpg",4,500,500)</f>
        <v/>
      </c>
      <c r="B3665" s="30">
        <v>3664.0</v>
      </c>
      <c r="C3665" s="16" t="s">
        <v>4570</v>
      </c>
      <c r="D3665" s="16" t="s">
        <v>184</v>
      </c>
      <c r="E3665" s="16" t="s">
        <v>219</v>
      </c>
      <c r="F3665" s="16" t="s">
        <v>3009</v>
      </c>
      <c r="G3665" s="16" t="s">
        <v>232</v>
      </c>
      <c r="H3665" s="16" t="s">
        <v>233</v>
      </c>
    </row>
    <row r="3666" ht="20.25" customHeight="1">
      <c r="A3666" s="32" t="str">
        <f>IMAGE("https://gymvisual.com/4217-catalog_default/suspension-arm-curl-to-ears.jpg",4,500,500)</f>
        <v/>
      </c>
      <c r="B3666" s="30">
        <v>3665.0</v>
      </c>
      <c r="C3666" s="16" t="s">
        <v>4571</v>
      </c>
      <c r="D3666" s="16" t="s">
        <v>184</v>
      </c>
      <c r="E3666" s="16" t="s">
        <v>219</v>
      </c>
      <c r="F3666" s="16" t="s">
        <v>3009</v>
      </c>
      <c r="G3666" s="16" t="s">
        <v>241</v>
      </c>
      <c r="H3666" s="16" t="s">
        <v>292</v>
      </c>
    </row>
    <row r="3667" ht="20.25" customHeight="1">
      <c r="A3667" s="32" t="str">
        <f>IMAGE("https://gymvisual.com/4106-catalog_default/suspension-bent-knee-inverted-row.jpg",4,500,500)</f>
        <v/>
      </c>
      <c r="B3667" s="30">
        <v>3666.0</v>
      </c>
      <c r="C3667" s="16" t="s">
        <v>4572</v>
      </c>
      <c r="D3667" s="16" t="s">
        <v>184</v>
      </c>
      <c r="E3667" s="16" t="s">
        <v>192</v>
      </c>
      <c r="F3667" s="16" t="s">
        <v>3009</v>
      </c>
      <c r="G3667" s="16" t="s">
        <v>329</v>
      </c>
      <c r="H3667" s="16" t="s">
        <v>457</v>
      </c>
    </row>
    <row r="3668" ht="20.25" customHeight="1">
      <c r="A3668" s="32" t="str">
        <f>IMAGE("https://gymvisual.com/4218-catalog_default/suspension-biceps-clutch.jpg",4,500,500)</f>
        <v/>
      </c>
      <c r="B3668" s="30">
        <v>3667.0</v>
      </c>
      <c r="C3668" s="16" t="s">
        <v>4573</v>
      </c>
      <c r="D3668" s="16" t="s">
        <v>184</v>
      </c>
      <c r="E3668" s="16" t="s">
        <v>219</v>
      </c>
      <c r="F3668" s="16" t="s">
        <v>3009</v>
      </c>
      <c r="G3668" s="16" t="s">
        <v>241</v>
      </c>
      <c r="H3668" s="16" t="s">
        <v>4574</v>
      </c>
    </row>
    <row r="3669" ht="20.25" customHeight="1">
      <c r="A3669" s="32" t="str">
        <f>IMAGE("https://gymvisual.com/4219-catalog_default/suspension-body-saw.jpg",4,500,500)</f>
        <v/>
      </c>
      <c r="B3669" s="30">
        <v>3668.0</v>
      </c>
      <c r="C3669" s="16" t="s">
        <v>4575</v>
      </c>
      <c r="D3669" s="16" t="s">
        <v>184</v>
      </c>
      <c r="E3669" s="16" t="s">
        <v>254</v>
      </c>
      <c r="F3669" s="16" t="s">
        <v>3009</v>
      </c>
      <c r="G3669" s="16" t="s">
        <v>2792</v>
      </c>
      <c r="H3669" s="16" t="s">
        <v>4576</v>
      </c>
    </row>
    <row r="3670" ht="20.25" customHeight="1">
      <c r="A3670" s="32" t="str">
        <f>IMAGE("https://gymvisual.com/4263-catalog_default/suspension-calf-raise.jpg",4,500,500)</f>
        <v/>
      </c>
      <c r="B3670" s="30">
        <v>3669.0</v>
      </c>
      <c r="C3670" s="16" t="s">
        <v>4577</v>
      </c>
      <c r="D3670" s="16" t="s">
        <v>184</v>
      </c>
      <c r="E3670" s="16" t="s">
        <v>325</v>
      </c>
      <c r="F3670" s="16" t="s">
        <v>3009</v>
      </c>
      <c r="G3670" s="16" t="s">
        <v>368</v>
      </c>
      <c r="H3670" s="16" t="s">
        <v>463</v>
      </c>
    </row>
    <row r="3671" ht="20.25" customHeight="1">
      <c r="A3671" s="32" t="str">
        <f>IMAGE("https://gymvisual.com/4109-catalog_default/suspension-chest-dip.jpg",4,500,500)</f>
        <v/>
      </c>
      <c r="B3671" s="30">
        <v>3670.0</v>
      </c>
      <c r="C3671" s="16" t="s">
        <v>4578</v>
      </c>
      <c r="D3671" s="16" t="s">
        <v>184</v>
      </c>
      <c r="E3671" s="16" t="s">
        <v>234</v>
      </c>
      <c r="F3671" s="16" t="s">
        <v>3009</v>
      </c>
      <c r="G3671" s="16" t="s">
        <v>347</v>
      </c>
      <c r="H3671" s="16" t="s">
        <v>1764</v>
      </c>
    </row>
    <row r="3672" ht="20.25" customHeight="1">
      <c r="A3672" s="32" t="str">
        <f>IMAGE("https://gymvisual.com/4112-catalog_default/suspension-chest-press.jpg",4,500,500)</f>
        <v/>
      </c>
      <c r="B3672" s="30">
        <v>3671.0</v>
      </c>
      <c r="C3672" s="16" t="s">
        <v>4579</v>
      </c>
      <c r="D3672" s="16" t="s">
        <v>184</v>
      </c>
      <c r="E3672" s="16" t="s">
        <v>234</v>
      </c>
      <c r="F3672" s="16" t="s">
        <v>3009</v>
      </c>
      <c r="G3672" s="16" t="s">
        <v>347</v>
      </c>
      <c r="H3672" s="16" t="s">
        <v>382</v>
      </c>
    </row>
    <row r="3673" ht="20.25" customHeight="1">
      <c r="A3673" s="32" t="str">
        <f>IMAGE("https://gymvisual.com/20100-catalog_default/suspension-chin-up-female.jpg",4,500,500)</f>
        <v/>
      </c>
      <c r="B3673" s="30">
        <v>3672.0</v>
      </c>
      <c r="C3673" s="16" t="s">
        <v>4580</v>
      </c>
      <c r="D3673" s="16" t="s">
        <v>184</v>
      </c>
      <c r="E3673" s="16" t="s">
        <v>192</v>
      </c>
      <c r="F3673" s="16" t="s">
        <v>3009</v>
      </c>
      <c r="G3673" s="16" t="s">
        <v>220</v>
      </c>
      <c r="H3673" s="16" t="s">
        <v>220</v>
      </c>
    </row>
    <row r="3674" ht="20.25" customHeight="1">
      <c r="A3674" s="32" t="str">
        <f>IMAGE("https://gymvisual.com/4220-catalog_default/suspension-close-grip-chest-press.jpg",4,500,500)</f>
        <v/>
      </c>
      <c r="B3674" s="30">
        <v>3673.0</v>
      </c>
      <c r="C3674" s="16" t="s">
        <v>4581</v>
      </c>
      <c r="D3674" s="16" t="s">
        <v>184</v>
      </c>
      <c r="E3674" s="16" t="s">
        <v>234</v>
      </c>
      <c r="F3674" s="16" t="s">
        <v>3009</v>
      </c>
      <c r="G3674" s="16" t="s">
        <v>347</v>
      </c>
      <c r="H3674" s="16" t="s">
        <v>382</v>
      </c>
    </row>
    <row r="3675" ht="20.25" customHeight="1">
      <c r="A3675" s="32" t="str">
        <f>IMAGE("https://gymvisual.com/4221-catalog_default/suspension-crunch.jpg",4,500,500)</f>
        <v/>
      </c>
      <c r="B3675" s="30">
        <v>3674.0</v>
      </c>
      <c r="C3675" s="16" t="s">
        <v>4582</v>
      </c>
      <c r="D3675" s="16" t="s">
        <v>184</v>
      </c>
      <c r="E3675" s="16" t="s">
        <v>254</v>
      </c>
      <c r="F3675" s="16" t="s">
        <v>3009</v>
      </c>
      <c r="G3675" s="16" t="s">
        <v>305</v>
      </c>
      <c r="H3675" s="16" t="s">
        <v>257</v>
      </c>
    </row>
    <row r="3676" ht="20.25" customHeight="1">
      <c r="A3676" s="32" t="str">
        <f>IMAGE("https://gymvisual.com/4222-catalog_default/suspension-face-pul.jpg",4,500,500)</f>
        <v/>
      </c>
      <c r="B3676" s="30">
        <v>3675.0</v>
      </c>
      <c r="C3676" s="16" t="s">
        <v>4583</v>
      </c>
      <c r="D3676" s="16" t="s">
        <v>184</v>
      </c>
      <c r="E3676" s="16" t="s">
        <v>228</v>
      </c>
      <c r="F3676" s="16" t="s">
        <v>3009</v>
      </c>
      <c r="G3676" s="16" t="s">
        <v>408</v>
      </c>
      <c r="H3676" s="16" t="s">
        <v>4584</v>
      </c>
    </row>
    <row r="3677" ht="20.25" customHeight="1">
      <c r="A3677" s="32" t="str">
        <f>IMAGE("https://gymvisual.com/4115-catalog_default/suspension-fly.jpg",4,500,500)</f>
        <v/>
      </c>
      <c r="B3677" s="30">
        <v>3676.0</v>
      </c>
      <c r="C3677" s="16" t="s">
        <v>4585</v>
      </c>
      <c r="D3677" s="16" t="s">
        <v>184</v>
      </c>
      <c r="E3677" s="16" t="s">
        <v>234</v>
      </c>
      <c r="F3677" s="16" t="s">
        <v>3009</v>
      </c>
      <c r="G3677" s="16" t="s">
        <v>347</v>
      </c>
      <c r="H3677" s="16" t="s">
        <v>420</v>
      </c>
    </row>
    <row r="3678" ht="20.25" customHeight="1">
      <c r="A3678" s="32" t="str">
        <f>IMAGE("https://gymvisual.com/4223-catalog_default/suspension-front-plank.jpg",4,500,500)</f>
        <v/>
      </c>
      <c r="B3678" s="30">
        <v>3677.0</v>
      </c>
      <c r="C3678" s="16" t="s">
        <v>4586</v>
      </c>
      <c r="D3678" s="16" t="s">
        <v>184</v>
      </c>
      <c r="E3678" s="16" t="s">
        <v>254</v>
      </c>
      <c r="F3678" s="16" t="s">
        <v>3009</v>
      </c>
      <c r="G3678" s="16" t="s">
        <v>256</v>
      </c>
      <c r="H3678" s="16" t="s">
        <v>2482</v>
      </c>
    </row>
    <row r="3679" ht="20.25" customHeight="1">
      <c r="A3679" s="32" t="str">
        <f>IMAGE("https://gymvisual.com/4118-catalog_default/suspension-front-raise.jpg",4,500,500)</f>
        <v/>
      </c>
      <c r="B3679" s="30">
        <v>3678.0</v>
      </c>
      <c r="C3679" s="16" t="s">
        <v>4587</v>
      </c>
      <c r="D3679" s="16" t="s">
        <v>184</v>
      </c>
      <c r="E3679" s="16" t="s">
        <v>228</v>
      </c>
      <c r="F3679" s="16" t="s">
        <v>3009</v>
      </c>
      <c r="G3679" s="16" t="s">
        <v>229</v>
      </c>
      <c r="H3679" s="16" t="s">
        <v>244</v>
      </c>
    </row>
    <row r="3680" ht="20.25" customHeight="1">
      <c r="A3680" s="32" t="str">
        <f>IMAGE("https://gymvisual.com/20098-catalog_default/suspension-hammer-curl-female.jpg",4,500,500)</f>
        <v/>
      </c>
      <c r="B3680" s="30">
        <v>3679.0</v>
      </c>
      <c r="C3680" s="16" t="s">
        <v>4588</v>
      </c>
      <c r="D3680" s="16" t="s">
        <v>184</v>
      </c>
      <c r="E3680" s="16" t="s">
        <v>219</v>
      </c>
      <c r="F3680" s="16" t="s">
        <v>3009</v>
      </c>
      <c r="G3680" s="16" t="s">
        <v>216</v>
      </c>
      <c r="H3680" s="16" t="s">
        <v>217</v>
      </c>
    </row>
    <row r="3681" ht="20.25" customHeight="1">
      <c r="A3681" s="32" t="str">
        <f>IMAGE("https://gymvisual.com/19353-catalog_default/suspension-hamstring-runner.jpg",4,500,500)</f>
        <v/>
      </c>
      <c r="B3681" s="30">
        <v>3680.0</v>
      </c>
      <c r="C3681" s="16" t="s">
        <v>4589</v>
      </c>
      <c r="D3681" s="16" t="s">
        <v>184</v>
      </c>
      <c r="E3681" s="16" t="s">
        <v>285</v>
      </c>
      <c r="F3681" s="16" t="s">
        <v>3009</v>
      </c>
      <c r="G3681" s="16" t="s">
        <v>188</v>
      </c>
      <c r="H3681" s="16" t="s">
        <v>368</v>
      </c>
    </row>
    <row r="3682" ht="20.25" customHeight="1">
      <c r="A3682" s="32" t="str">
        <f>IMAGE("https://gymvisual.com/4224-catalog_default/suspension-handstand-push-up.jpg",4,500,500)</f>
        <v/>
      </c>
      <c r="B3682" s="30">
        <v>3681.0</v>
      </c>
      <c r="C3682" s="16" t="s">
        <v>4590</v>
      </c>
      <c r="D3682" s="16" t="s">
        <v>184</v>
      </c>
      <c r="E3682" s="16" t="s">
        <v>219</v>
      </c>
      <c r="F3682" s="16" t="s">
        <v>3009</v>
      </c>
      <c r="G3682" s="16" t="s">
        <v>223</v>
      </c>
      <c r="H3682" s="16" t="s">
        <v>4591</v>
      </c>
    </row>
    <row r="3683" ht="20.25" customHeight="1">
      <c r="A3683" s="32" t="str">
        <f>IMAGE("https://gymvisual.com/4124-catalog_default/suspension-hip-abduction.jpg",4,500,500)</f>
        <v/>
      </c>
      <c r="B3683" s="30">
        <v>3682.0</v>
      </c>
      <c r="C3683" s="16" t="s">
        <v>4592</v>
      </c>
      <c r="D3683" s="16" t="s">
        <v>184</v>
      </c>
      <c r="E3683" s="16" t="s">
        <v>185</v>
      </c>
      <c r="F3683" s="16" t="s">
        <v>3009</v>
      </c>
      <c r="G3683" s="16" t="s">
        <v>508</v>
      </c>
      <c r="H3683" s="16" t="s">
        <v>220</v>
      </c>
    </row>
    <row r="3684" ht="20.25" customHeight="1">
      <c r="A3684" s="32" t="str">
        <f>IMAGE("https://gymvisual.com/4127-catalog_default/suspension-hip-bridge.jpg",4,500,500)</f>
        <v/>
      </c>
      <c r="B3684" s="30">
        <v>3683.0</v>
      </c>
      <c r="C3684" s="16" t="s">
        <v>4593</v>
      </c>
      <c r="D3684" s="16" t="s">
        <v>184</v>
      </c>
      <c r="E3684" s="16" t="s">
        <v>185</v>
      </c>
      <c r="F3684" s="16" t="s">
        <v>3009</v>
      </c>
      <c r="G3684" s="16" t="s">
        <v>187</v>
      </c>
      <c r="H3684" s="16" t="s">
        <v>4594</v>
      </c>
    </row>
    <row r="3685" ht="20.25" customHeight="1">
      <c r="A3685" s="32" t="str">
        <f>IMAGE("https://gymvisual.com/4266-catalog_default/suspension-hip-hinge.jpg",4,500,500)</f>
        <v/>
      </c>
      <c r="B3685" s="30">
        <v>3684.0</v>
      </c>
      <c r="C3685" s="16" t="s">
        <v>4595</v>
      </c>
      <c r="D3685" s="16" t="s">
        <v>184</v>
      </c>
      <c r="E3685" s="16" t="s">
        <v>185</v>
      </c>
      <c r="F3685" s="16" t="s">
        <v>3009</v>
      </c>
      <c r="G3685" s="16" t="s">
        <v>187</v>
      </c>
      <c r="H3685" s="16" t="s">
        <v>1241</v>
      </c>
    </row>
    <row r="3686" ht="20.25" customHeight="1">
      <c r="A3686" s="32" t="str">
        <f>IMAGE("https://gymvisual.com/4130-catalog_default/suspension-hyperextension.jpg",4,500,500)</f>
        <v/>
      </c>
      <c r="B3686" s="30">
        <v>3685.0</v>
      </c>
      <c r="C3686" s="16" t="s">
        <v>4596</v>
      </c>
      <c r="D3686" s="16" t="s">
        <v>184</v>
      </c>
      <c r="E3686" s="16" t="s">
        <v>192</v>
      </c>
      <c r="F3686" s="16" t="s">
        <v>3009</v>
      </c>
      <c r="G3686" s="16" t="s">
        <v>275</v>
      </c>
      <c r="H3686" s="16" t="s">
        <v>2412</v>
      </c>
    </row>
    <row r="3687" ht="20.25" customHeight="1">
      <c r="A3687" s="32" t="str">
        <f>IMAGE("https://gymvisual.com/4225-catalog_default/suspension-incline-push-up.jpg",4,500,500)</f>
        <v/>
      </c>
      <c r="B3687" s="30">
        <v>3686.0</v>
      </c>
      <c r="C3687" s="16" t="s">
        <v>4597</v>
      </c>
      <c r="D3687" s="16" t="s">
        <v>184</v>
      </c>
      <c r="E3687" s="16" t="s">
        <v>234</v>
      </c>
      <c r="F3687" s="16" t="s">
        <v>3009</v>
      </c>
      <c r="G3687" s="16" t="s">
        <v>235</v>
      </c>
      <c r="H3687" s="16" t="s">
        <v>243</v>
      </c>
    </row>
    <row r="3688" ht="20.25" customHeight="1">
      <c r="A3688" s="32" t="str">
        <f>IMAGE("https://gymvisual.com/4133-catalog_default/suspension-inverted-row.jpg",4,500,500)</f>
        <v/>
      </c>
      <c r="B3688" s="30">
        <v>3687.0</v>
      </c>
      <c r="C3688" s="16" t="s">
        <v>4598</v>
      </c>
      <c r="D3688" s="16" t="s">
        <v>184</v>
      </c>
      <c r="E3688" s="16" t="s">
        <v>192</v>
      </c>
      <c r="F3688" s="16" t="s">
        <v>3009</v>
      </c>
      <c r="G3688" s="16" t="s">
        <v>329</v>
      </c>
      <c r="H3688" s="16" t="s">
        <v>457</v>
      </c>
    </row>
    <row r="3689" ht="20.25" customHeight="1">
      <c r="A3689" s="32" t="str">
        <f>IMAGE("https://gymvisual.com/4139-catalog_default/suspension-jack-knife.jpg",4,500,500)</f>
        <v/>
      </c>
      <c r="B3689" s="30">
        <v>3688.0</v>
      </c>
      <c r="C3689" s="16" t="s">
        <v>4599</v>
      </c>
      <c r="D3689" s="16" t="s">
        <v>184</v>
      </c>
      <c r="E3689" s="16" t="s">
        <v>254</v>
      </c>
      <c r="F3689" s="16" t="s">
        <v>3009</v>
      </c>
      <c r="G3689" s="16" t="s">
        <v>305</v>
      </c>
      <c r="H3689" s="16" t="s">
        <v>371</v>
      </c>
    </row>
    <row r="3690" ht="20.25" customHeight="1">
      <c r="A3690" s="32" t="str">
        <f>IMAGE("https://gymvisual.com/4136-catalog_default/suspension-jack-knife-pike.jpg",4,500,500)</f>
        <v/>
      </c>
      <c r="B3690" s="30">
        <v>3689.0</v>
      </c>
      <c r="C3690" s="16" t="s">
        <v>4600</v>
      </c>
      <c r="D3690" s="16" t="s">
        <v>184</v>
      </c>
      <c r="E3690" s="16" t="s">
        <v>254</v>
      </c>
      <c r="F3690" s="16" t="s">
        <v>3009</v>
      </c>
      <c r="G3690" s="16" t="s">
        <v>305</v>
      </c>
      <c r="H3690" s="16" t="s">
        <v>4601</v>
      </c>
    </row>
    <row r="3691" ht="20.25" customHeight="1">
      <c r="A3691" s="32" t="str">
        <f>IMAGE("https://gymvisual.com/4142-catalog_default/suspension-leg-curl.jpg",4,500,500)</f>
        <v/>
      </c>
      <c r="B3691" s="30">
        <v>3690.0</v>
      </c>
      <c r="C3691" s="16" t="s">
        <v>4602</v>
      </c>
      <c r="D3691" s="16" t="s">
        <v>184</v>
      </c>
      <c r="E3691" s="16" t="s">
        <v>285</v>
      </c>
      <c r="F3691" s="16" t="s">
        <v>3009</v>
      </c>
      <c r="G3691" s="16" t="s">
        <v>188</v>
      </c>
      <c r="H3691" s="16" t="s">
        <v>368</v>
      </c>
    </row>
    <row r="3692" ht="20.25" customHeight="1">
      <c r="A3692" s="32" t="str">
        <f>IMAGE("https://gymvisual.com/4228-catalog_default/suspension-lunge-back-crossover.jpg",4,500,500)</f>
        <v/>
      </c>
      <c r="B3692" s="30">
        <v>3691.0</v>
      </c>
      <c r="C3692" s="16" t="s">
        <v>4603</v>
      </c>
      <c r="D3692" s="16" t="s">
        <v>184</v>
      </c>
      <c r="E3692" s="16" t="s">
        <v>285</v>
      </c>
      <c r="F3692" s="16" t="s">
        <v>3009</v>
      </c>
      <c r="G3692" s="16" t="s">
        <v>552</v>
      </c>
      <c r="H3692" s="16" t="s">
        <v>4604</v>
      </c>
    </row>
    <row r="3693" ht="20.25" customHeight="1">
      <c r="A3693" s="32" t="str">
        <f>IMAGE("https://gymvisual.com/4229-catalog_default/suspension-middle-row.jpg",4,500,500)</f>
        <v/>
      </c>
      <c r="B3693" s="30">
        <v>3692.0</v>
      </c>
      <c r="C3693" s="16" t="s">
        <v>4605</v>
      </c>
      <c r="D3693" s="16" t="s">
        <v>184</v>
      </c>
      <c r="E3693" s="16" t="s">
        <v>228</v>
      </c>
      <c r="F3693" s="16" t="s">
        <v>3009</v>
      </c>
      <c r="G3693" s="16" t="s">
        <v>408</v>
      </c>
      <c r="H3693" s="16" t="s">
        <v>490</v>
      </c>
    </row>
    <row r="3694" ht="20.25" customHeight="1">
      <c r="A3694" s="32" t="str">
        <f>IMAGE("https://gymvisual.com/19355-catalog_default/suspension-mountain-climber.jpg",4,500,500)</f>
        <v/>
      </c>
      <c r="B3694" s="30">
        <v>3693.0</v>
      </c>
      <c r="C3694" s="16" t="s">
        <v>4606</v>
      </c>
      <c r="D3694" s="16" t="s">
        <v>184</v>
      </c>
      <c r="E3694" s="16" t="s">
        <v>185</v>
      </c>
      <c r="F3694" s="16" t="s">
        <v>3009</v>
      </c>
      <c r="G3694" s="16" t="s">
        <v>271</v>
      </c>
      <c r="H3694" s="16" t="s">
        <v>563</v>
      </c>
    </row>
    <row r="3695" ht="20.25" customHeight="1">
      <c r="A3695" s="32" t="str">
        <f>IMAGE("https://gymvisual.com/4230-catalog_default/suspension-mountain-climber-push-up.jpg",4,500,500)</f>
        <v/>
      </c>
      <c r="B3695" s="30">
        <v>3694.0</v>
      </c>
      <c r="C3695" s="16" t="s">
        <v>4607</v>
      </c>
      <c r="D3695" s="16" t="s">
        <v>184</v>
      </c>
      <c r="E3695" s="16" t="s">
        <v>185</v>
      </c>
      <c r="F3695" s="16" t="s">
        <v>3009</v>
      </c>
      <c r="G3695" s="16" t="s">
        <v>4608</v>
      </c>
      <c r="H3695" s="16" t="s">
        <v>4609</v>
      </c>
    </row>
    <row r="3696" ht="20.25" customHeight="1">
      <c r="A3696" s="32" t="str">
        <f>IMAGE("https://gymvisual.com/4231-catalog_default/suspension-oblique-rollout.jpg",4,500,500)</f>
        <v/>
      </c>
      <c r="B3696" s="30">
        <v>3695.0</v>
      </c>
      <c r="C3696" s="16" t="s">
        <v>4610</v>
      </c>
      <c r="D3696" s="16" t="s">
        <v>184</v>
      </c>
      <c r="E3696" s="16" t="s">
        <v>254</v>
      </c>
      <c r="F3696" s="16" t="s">
        <v>3009</v>
      </c>
      <c r="G3696" s="16" t="s">
        <v>257</v>
      </c>
      <c r="H3696" s="16" t="s">
        <v>4611</v>
      </c>
    </row>
    <row r="3697" ht="20.25" customHeight="1">
      <c r="A3697" s="32" t="str">
        <f>IMAGE("https://gymvisual.com/4232-catalog_default/suspension-one-arm-biceps-curl.jpg",4,500,500)</f>
        <v/>
      </c>
      <c r="B3697" s="30">
        <v>3696.0</v>
      </c>
      <c r="C3697" s="16" t="s">
        <v>4612</v>
      </c>
      <c r="D3697" s="16" t="s">
        <v>184</v>
      </c>
      <c r="E3697" s="16" t="s">
        <v>219</v>
      </c>
      <c r="F3697" s="16" t="s">
        <v>3009</v>
      </c>
      <c r="G3697" s="16" t="s">
        <v>241</v>
      </c>
      <c r="H3697" s="16" t="s">
        <v>292</v>
      </c>
    </row>
    <row r="3698" ht="20.25" customHeight="1">
      <c r="A3698" s="32" t="str">
        <f>IMAGE("https://gymvisual.com/4233-catalog_default/suspension-one-arm-chest-press.jpg",4,500,500)</f>
        <v/>
      </c>
      <c r="B3698" s="30">
        <v>3697.0</v>
      </c>
      <c r="C3698" s="16" t="s">
        <v>4613</v>
      </c>
      <c r="D3698" s="16" t="s">
        <v>184</v>
      </c>
      <c r="E3698" s="16" t="s">
        <v>234</v>
      </c>
      <c r="F3698" s="16" t="s">
        <v>3009</v>
      </c>
      <c r="G3698" s="16" t="s">
        <v>347</v>
      </c>
      <c r="H3698" s="16" t="s">
        <v>382</v>
      </c>
    </row>
    <row r="3699" ht="20.25" customHeight="1">
      <c r="A3699" s="32" t="str">
        <f>IMAGE("https://gymvisual.com/4234-catalog_default/suspension-one-arm-leg-push-up.jpg",4,500,500)</f>
        <v/>
      </c>
      <c r="B3699" s="30">
        <v>3698.0</v>
      </c>
      <c r="C3699" s="16" t="s">
        <v>4614</v>
      </c>
      <c r="D3699" s="16" t="s">
        <v>184</v>
      </c>
      <c r="E3699" s="16" t="s">
        <v>234</v>
      </c>
      <c r="F3699" s="16" t="s">
        <v>3009</v>
      </c>
      <c r="G3699" s="16" t="s">
        <v>347</v>
      </c>
      <c r="H3699" s="16" t="s">
        <v>382</v>
      </c>
    </row>
    <row r="3700" ht="20.25" customHeight="1">
      <c r="A3700" s="32" t="str">
        <f>IMAGE("https://gymvisual.com/4235-catalog_default/suspension-one-leg-chest-press.jpg",4,500,500)</f>
        <v/>
      </c>
      <c r="B3700" s="30">
        <v>3699.0</v>
      </c>
      <c r="C3700" s="16" t="s">
        <v>4615</v>
      </c>
      <c r="D3700" s="16" t="s">
        <v>184</v>
      </c>
      <c r="E3700" s="16" t="s">
        <v>234</v>
      </c>
      <c r="F3700" s="16" t="s">
        <v>3009</v>
      </c>
      <c r="G3700" s="16" t="s">
        <v>347</v>
      </c>
      <c r="H3700" s="16" t="s">
        <v>382</v>
      </c>
    </row>
    <row r="3701" ht="20.25" customHeight="1">
      <c r="A3701" s="32" t="str">
        <f>IMAGE("https://gymvisual.com/4265-catalog_default/suspension-pendulum.jpg",4,500,500)</f>
        <v/>
      </c>
      <c r="B3701" s="30">
        <v>3700.0</v>
      </c>
      <c r="C3701" s="16" t="s">
        <v>4616</v>
      </c>
      <c r="D3701" s="16" t="s">
        <v>184</v>
      </c>
      <c r="E3701" s="16" t="s">
        <v>254</v>
      </c>
      <c r="F3701" s="16" t="s">
        <v>3009</v>
      </c>
      <c r="G3701" s="16" t="s">
        <v>257</v>
      </c>
      <c r="H3701" s="16" t="s">
        <v>4617</v>
      </c>
    </row>
    <row r="3702" ht="20.25" customHeight="1">
      <c r="A3702" s="32" t="str">
        <f>IMAGE("https://gymvisual.com/4148-catalog_default/suspension-pike.jpg",4,500,500)</f>
        <v/>
      </c>
      <c r="B3702" s="30">
        <v>3701.0</v>
      </c>
      <c r="C3702" s="16" t="s">
        <v>4618</v>
      </c>
      <c r="D3702" s="16" t="s">
        <v>184</v>
      </c>
      <c r="E3702" s="16" t="s">
        <v>185</v>
      </c>
      <c r="F3702" s="16" t="s">
        <v>3009</v>
      </c>
      <c r="G3702" s="16" t="s">
        <v>271</v>
      </c>
      <c r="H3702" s="16" t="s">
        <v>566</v>
      </c>
    </row>
    <row r="3703" ht="20.25" customHeight="1">
      <c r="A3703" s="32" t="str">
        <f>IMAGE("https://gymvisual.com/19357-catalog_default/suspension-power-pull.jpg",4,500,500)</f>
        <v/>
      </c>
      <c r="B3703" s="30">
        <v>3702.0</v>
      </c>
      <c r="C3703" s="16" t="s">
        <v>4619</v>
      </c>
      <c r="D3703" s="16" t="s">
        <v>184</v>
      </c>
      <c r="E3703" s="16" t="s">
        <v>192</v>
      </c>
      <c r="F3703" s="16" t="s">
        <v>3009</v>
      </c>
      <c r="G3703" s="16" t="s">
        <v>329</v>
      </c>
      <c r="H3703" s="16" t="s">
        <v>4620</v>
      </c>
    </row>
    <row r="3704" ht="20.25" customHeight="1">
      <c r="A3704" s="32" t="str">
        <f>IMAGE("https://gymvisual.com/4154-catalog_default/suspension-pull-through.jpg",4,500,500)</f>
        <v/>
      </c>
      <c r="B3704" s="30">
        <v>3703.0</v>
      </c>
      <c r="C3704" s="16" t="s">
        <v>4621</v>
      </c>
      <c r="D3704" s="16" t="s">
        <v>184</v>
      </c>
      <c r="E3704" s="16" t="s">
        <v>192</v>
      </c>
      <c r="F3704" s="16" t="s">
        <v>3009</v>
      </c>
      <c r="G3704" s="16" t="s">
        <v>275</v>
      </c>
      <c r="H3704" s="16" t="s">
        <v>4622</v>
      </c>
    </row>
    <row r="3705" ht="20.25" customHeight="1">
      <c r="A3705" s="32" t="str">
        <f>IMAGE("https://gymvisual.com/4157-catalog_default/suspension-pull-up.jpg",4,500,500)</f>
        <v/>
      </c>
      <c r="B3705" s="30">
        <v>3704.0</v>
      </c>
      <c r="C3705" s="16" t="s">
        <v>4623</v>
      </c>
      <c r="D3705" s="16" t="s">
        <v>184</v>
      </c>
      <c r="E3705" s="16" t="s">
        <v>192</v>
      </c>
      <c r="F3705" s="16" t="s">
        <v>3009</v>
      </c>
      <c r="G3705" s="16" t="s">
        <v>300</v>
      </c>
      <c r="H3705" s="16" t="s">
        <v>4624</v>
      </c>
    </row>
    <row r="3706" ht="20.25" customHeight="1">
      <c r="A3706" s="32" t="str">
        <f>IMAGE("https://gymvisual.com/4236-catalog_default/suspension-pull-up-version-2.jpg",4,500,500)</f>
        <v/>
      </c>
      <c r="B3706" s="30">
        <v>3705.0</v>
      </c>
      <c r="C3706" s="16" t="s">
        <v>4625</v>
      </c>
      <c r="D3706" s="16" t="s">
        <v>184</v>
      </c>
      <c r="E3706" s="16" t="s">
        <v>192</v>
      </c>
      <c r="F3706" s="16" t="s">
        <v>3009</v>
      </c>
      <c r="G3706" s="16" t="s">
        <v>329</v>
      </c>
      <c r="H3706" s="16" t="s">
        <v>4626</v>
      </c>
    </row>
    <row r="3707" ht="20.25" customHeight="1">
      <c r="A3707" s="32" t="str">
        <f>IMAGE("https://gymvisual.com/4237-catalog_default/suspension-push-up.jpg",4,500,500)</f>
        <v/>
      </c>
      <c r="B3707" s="30">
        <v>3706.0</v>
      </c>
      <c r="C3707" s="16" t="s">
        <v>4627</v>
      </c>
      <c r="D3707" s="16" t="s">
        <v>184</v>
      </c>
      <c r="E3707" s="16" t="s">
        <v>234</v>
      </c>
      <c r="F3707" s="16" t="s">
        <v>3009</v>
      </c>
      <c r="G3707" s="16" t="s">
        <v>347</v>
      </c>
      <c r="H3707" s="16" t="s">
        <v>382</v>
      </c>
    </row>
    <row r="3708" ht="20.25" customHeight="1">
      <c r="A3708" s="32" t="str">
        <f>IMAGE("https://gymvisual.com/4160-catalog_default/suspension-rear-delt-row.jpg",4,500,500)</f>
        <v/>
      </c>
      <c r="B3708" s="30">
        <v>3707.0</v>
      </c>
      <c r="C3708" s="16" t="s">
        <v>4628</v>
      </c>
      <c r="D3708" s="16" t="s">
        <v>184</v>
      </c>
      <c r="E3708" s="16" t="s">
        <v>228</v>
      </c>
      <c r="F3708" s="16" t="s">
        <v>3009</v>
      </c>
      <c r="G3708" s="16" t="s">
        <v>408</v>
      </c>
      <c r="H3708" s="16" t="s">
        <v>4629</v>
      </c>
    </row>
    <row r="3709" ht="20.25" customHeight="1">
      <c r="A3709" s="32" t="str">
        <f>IMAGE("https://gymvisual.com/4238-catalog_default/suspension-rear-lunge.jpg",4,500,500)</f>
        <v/>
      </c>
      <c r="B3709" s="30">
        <v>3708.0</v>
      </c>
      <c r="C3709" s="16" t="s">
        <v>4630</v>
      </c>
      <c r="D3709" s="16" t="s">
        <v>184</v>
      </c>
      <c r="E3709" s="16" t="s">
        <v>285</v>
      </c>
      <c r="F3709" s="16" t="s">
        <v>3009</v>
      </c>
      <c r="G3709" s="16" t="s">
        <v>189</v>
      </c>
      <c r="H3709" s="16" t="s">
        <v>190</v>
      </c>
    </row>
    <row r="3710" ht="20.25" customHeight="1">
      <c r="A3710" s="32" t="str">
        <f>IMAGE("https://gymvisual.com/4163-catalog_default/suspension-reverse-fly.jpg",4,500,500)</f>
        <v/>
      </c>
      <c r="B3710" s="30">
        <v>3709.0</v>
      </c>
      <c r="C3710" s="16" t="s">
        <v>4631</v>
      </c>
      <c r="D3710" s="16" t="s">
        <v>184</v>
      </c>
      <c r="E3710" s="16" t="s">
        <v>228</v>
      </c>
      <c r="F3710" s="16" t="s">
        <v>3009</v>
      </c>
      <c r="G3710" s="16" t="s">
        <v>408</v>
      </c>
      <c r="H3710" s="16" t="s">
        <v>731</v>
      </c>
    </row>
    <row r="3711" ht="20.25" customHeight="1">
      <c r="A3711" s="32" t="str">
        <f>IMAGE("https://gymvisual.com/4239-catalog_default/suspension-reverse-fly-wake-up.jpg",4,500,500)</f>
        <v/>
      </c>
      <c r="B3711" s="30">
        <v>3710.0</v>
      </c>
      <c r="C3711" s="16" t="s">
        <v>4632</v>
      </c>
      <c r="D3711" s="16" t="s">
        <v>184</v>
      </c>
      <c r="E3711" s="16" t="s">
        <v>192</v>
      </c>
      <c r="F3711" s="16" t="s">
        <v>3009</v>
      </c>
      <c r="G3711" s="16" t="s">
        <v>4633</v>
      </c>
      <c r="H3711" s="16" t="s">
        <v>4634</v>
      </c>
    </row>
    <row r="3712" ht="20.25" customHeight="1">
      <c r="A3712" s="32" t="str">
        <f>IMAGE("https://gymvisual.com/4166-catalog_default/suspension-rollout.jpg",4,500,500)</f>
        <v/>
      </c>
      <c r="B3712" s="30">
        <v>3711.0</v>
      </c>
      <c r="C3712" s="16" t="s">
        <v>4635</v>
      </c>
      <c r="D3712" s="16" t="s">
        <v>184</v>
      </c>
      <c r="E3712" s="16" t="s">
        <v>254</v>
      </c>
      <c r="F3712" s="16" t="s">
        <v>3009</v>
      </c>
      <c r="G3712" s="16" t="s">
        <v>256</v>
      </c>
      <c r="H3712" s="16" t="s">
        <v>4636</v>
      </c>
    </row>
    <row r="3713" ht="20.25" customHeight="1">
      <c r="A3713" s="32" t="str">
        <f>IMAGE("https://gymvisual.com/4169-catalog_default/suspension-row.jpg",4,500,500)</f>
        <v/>
      </c>
      <c r="B3713" s="30">
        <v>3712.0</v>
      </c>
      <c r="C3713" s="16" t="s">
        <v>4637</v>
      </c>
      <c r="D3713" s="16" t="s">
        <v>184</v>
      </c>
      <c r="E3713" s="16" t="s">
        <v>192</v>
      </c>
      <c r="F3713" s="16" t="s">
        <v>3009</v>
      </c>
      <c r="G3713" s="16" t="s">
        <v>329</v>
      </c>
      <c r="H3713" s="16" t="s">
        <v>447</v>
      </c>
    </row>
    <row r="3714" ht="20.25" customHeight="1">
      <c r="A3714" s="32" t="str">
        <f>IMAGE("https://gymvisual.com/4172-catalog_default/suspension-self-assisted-chest-dip.jpg",4,500,500)</f>
        <v/>
      </c>
      <c r="B3714" s="30">
        <v>3713.0</v>
      </c>
      <c r="C3714" s="16" t="s">
        <v>4638</v>
      </c>
      <c r="D3714" s="16" t="s">
        <v>184</v>
      </c>
      <c r="E3714" s="16" t="s">
        <v>234</v>
      </c>
      <c r="F3714" s="16" t="s">
        <v>3009</v>
      </c>
      <c r="G3714" s="16" t="s">
        <v>347</v>
      </c>
      <c r="H3714" s="16" t="s">
        <v>1764</v>
      </c>
    </row>
    <row r="3715" ht="20.25" customHeight="1">
      <c r="A3715" s="32" t="str">
        <f>IMAGE("https://gymvisual.com/4175-catalog_default/suspension-self-assisted-pull-up.jpg",4,500,500)</f>
        <v/>
      </c>
      <c r="B3715" s="30">
        <v>3714.0</v>
      </c>
      <c r="C3715" s="16" t="s">
        <v>4639</v>
      </c>
      <c r="D3715" s="16" t="s">
        <v>184</v>
      </c>
      <c r="E3715" s="16" t="s">
        <v>192</v>
      </c>
      <c r="F3715" s="16" t="s">
        <v>3009</v>
      </c>
      <c r="G3715" s="16" t="s">
        <v>300</v>
      </c>
      <c r="H3715" s="16" t="s">
        <v>535</v>
      </c>
    </row>
    <row r="3716" ht="20.25" customHeight="1">
      <c r="A3716" s="32" t="str">
        <f>IMAGE("https://gymvisual.com/4178-catalog_default/suspension-self-assisted-triceps-dip.jpg",4,500,500)</f>
        <v/>
      </c>
      <c r="B3716" s="30">
        <v>3715.0</v>
      </c>
      <c r="C3716" s="16" t="s">
        <v>4640</v>
      </c>
      <c r="D3716" s="16" t="s">
        <v>184</v>
      </c>
      <c r="E3716" s="16" t="s">
        <v>219</v>
      </c>
      <c r="F3716" s="16" t="s">
        <v>3009</v>
      </c>
      <c r="G3716" s="16" t="s">
        <v>223</v>
      </c>
      <c r="H3716" s="16" t="s">
        <v>394</v>
      </c>
    </row>
    <row r="3717" ht="20.25" customHeight="1">
      <c r="A3717" s="32" t="str">
        <f>IMAGE("https://gymvisual.com/4181-catalog_default/suspension-shoulder-external-rotation.jpg",4,500,500)</f>
        <v/>
      </c>
      <c r="B3717" s="30">
        <v>3716.0</v>
      </c>
      <c r="C3717" s="16" t="s">
        <v>4641</v>
      </c>
      <c r="D3717" s="16" t="s">
        <v>184</v>
      </c>
      <c r="E3717" s="16" t="s">
        <v>192</v>
      </c>
      <c r="F3717" s="16" t="s">
        <v>3009</v>
      </c>
      <c r="G3717" s="16" t="s">
        <v>2451</v>
      </c>
      <c r="H3717" s="16" t="s">
        <v>4642</v>
      </c>
    </row>
    <row r="3718" ht="20.25" customHeight="1">
      <c r="A3718" s="32" t="str">
        <f>IMAGE("https://gymvisual.com/4184-catalog_default/suspension-side-bend.jpg",4,500,500)</f>
        <v/>
      </c>
      <c r="B3718" s="30">
        <v>3717.0</v>
      </c>
      <c r="C3718" s="16" t="s">
        <v>4643</v>
      </c>
      <c r="D3718" s="16" t="s">
        <v>184</v>
      </c>
      <c r="E3718" s="16" t="s">
        <v>254</v>
      </c>
      <c r="F3718" s="16" t="s">
        <v>3009</v>
      </c>
      <c r="G3718" s="16" t="s">
        <v>257</v>
      </c>
      <c r="H3718" s="16" t="s">
        <v>4644</v>
      </c>
    </row>
    <row r="3719" ht="20.25" customHeight="1">
      <c r="A3719" s="32" t="str">
        <f>IMAGE("https://gymvisual.com/4187-catalog_default/suspension-side-bridge.jpg",4,500,500)</f>
        <v/>
      </c>
      <c r="B3719" s="30">
        <v>3718.0</v>
      </c>
      <c r="C3719" s="16" t="s">
        <v>4645</v>
      </c>
      <c r="D3719" s="16" t="s">
        <v>184</v>
      </c>
      <c r="E3719" s="16" t="s">
        <v>254</v>
      </c>
      <c r="F3719" s="16" t="s">
        <v>3009</v>
      </c>
      <c r="G3719" s="16" t="s">
        <v>257</v>
      </c>
      <c r="H3719" s="16" t="s">
        <v>4646</v>
      </c>
    </row>
    <row r="3720" ht="20.25" customHeight="1">
      <c r="A3720" s="32" t="str">
        <f>IMAGE("https://gymvisual.com/4240-catalog_default/suspension-side-cross-lunge.jpg",4,500,500)</f>
        <v/>
      </c>
      <c r="B3720" s="30">
        <v>3719.0</v>
      </c>
      <c r="C3720" s="16" t="s">
        <v>4647</v>
      </c>
      <c r="D3720" s="16" t="s">
        <v>184</v>
      </c>
      <c r="E3720" s="16" t="s">
        <v>285</v>
      </c>
      <c r="F3720" s="16" t="s">
        <v>3009</v>
      </c>
      <c r="G3720" s="16" t="s">
        <v>552</v>
      </c>
      <c r="H3720" s="16" t="s">
        <v>4648</v>
      </c>
    </row>
    <row r="3721" ht="20.25" customHeight="1">
      <c r="A3721" s="32" t="str">
        <f>IMAGE("https://gymvisual.com/4241-catalog_default/suspension-side-lunge.jpg",4,500,500)</f>
        <v/>
      </c>
      <c r="B3721" s="30">
        <v>3720.0</v>
      </c>
      <c r="C3721" s="16" t="s">
        <v>4649</v>
      </c>
      <c r="D3721" s="16" t="s">
        <v>184</v>
      </c>
      <c r="E3721" s="16" t="s">
        <v>285</v>
      </c>
      <c r="F3721" s="16" t="s">
        <v>3009</v>
      </c>
      <c r="G3721" s="16" t="s">
        <v>4650</v>
      </c>
      <c r="H3721" s="16" t="s">
        <v>4185</v>
      </c>
    </row>
    <row r="3722" ht="20.25" customHeight="1">
      <c r="A3722" s="32" t="str">
        <f>IMAGE("https://gymvisual.com/4242-catalog_default/suspension-single-arm-rear-delt-row.jpg",4,500,500)</f>
        <v/>
      </c>
      <c r="B3722" s="30">
        <v>3721.0</v>
      </c>
      <c r="C3722" s="16" t="s">
        <v>4651</v>
      </c>
      <c r="D3722" s="16" t="s">
        <v>184</v>
      </c>
      <c r="E3722" s="16" t="s">
        <v>228</v>
      </c>
      <c r="F3722" s="16" t="s">
        <v>3009</v>
      </c>
      <c r="G3722" s="16" t="s">
        <v>408</v>
      </c>
      <c r="H3722" s="16" t="s">
        <v>490</v>
      </c>
    </row>
    <row r="3723" ht="20.25" customHeight="1">
      <c r="A3723" s="32" t="str">
        <f>IMAGE("https://gymvisual.com/4264-catalog_default/suspension-single-leg-deadlift.jpg",4,500,500)</f>
        <v/>
      </c>
      <c r="B3723" s="30">
        <v>3722.0</v>
      </c>
      <c r="C3723" s="16" t="s">
        <v>4652</v>
      </c>
      <c r="D3723" s="16" t="s">
        <v>184</v>
      </c>
      <c r="E3723" s="16" t="s">
        <v>185</v>
      </c>
      <c r="F3723" s="16" t="s">
        <v>3009</v>
      </c>
      <c r="G3723" s="16" t="s">
        <v>187</v>
      </c>
      <c r="H3723" s="16" t="s">
        <v>188</v>
      </c>
    </row>
    <row r="3724" ht="20.25" customHeight="1">
      <c r="A3724" s="32" t="str">
        <f>IMAGE("https://gymvisual.com/4244-catalog_default/suspension-single-leg-plank.jpg",4,500,500)</f>
        <v/>
      </c>
      <c r="B3724" s="30">
        <v>3723.0</v>
      </c>
      <c r="C3724" s="16" t="s">
        <v>4653</v>
      </c>
      <c r="D3724" s="16" t="s">
        <v>184</v>
      </c>
      <c r="E3724" s="16" t="s">
        <v>254</v>
      </c>
      <c r="F3724" s="16" t="s">
        <v>3009</v>
      </c>
      <c r="G3724" s="16" t="s">
        <v>256</v>
      </c>
      <c r="H3724" s="16" t="s">
        <v>2482</v>
      </c>
    </row>
    <row r="3725" ht="20.25" customHeight="1">
      <c r="A3725" s="32" t="str">
        <f>IMAGE("https://gymvisual.com/4243-catalog_default/suspension-single-leg-plank-straight-arm.jpg",4,500,500)</f>
        <v/>
      </c>
      <c r="B3725" s="30">
        <v>3724.0</v>
      </c>
      <c r="C3725" s="16" t="s">
        <v>4654</v>
      </c>
      <c r="D3725" s="16" t="s">
        <v>184</v>
      </c>
      <c r="E3725" s="16" t="s">
        <v>254</v>
      </c>
      <c r="F3725" s="16" t="s">
        <v>3009</v>
      </c>
      <c r="G3725" s="16" t="s">
        <v>256</v>
      </c>
      <c r="H3725" s="16" t="s">
        <v>2482</v>
      </c>
    </row>
    <row r="3726" ht="20.25" customHeight="1">
      <c r="A3726" s="32" t="str">
        <f>IMAGE("https://gymvisual.com/4193-catalog_default/suspension-single-leg-split-squat.jpg",4,500,500)</f>
        <v/>
      </c>
      <c r="B3726" s="30">
        <v>3725.0</v>
      </c>
      <c r="C3726" s="16" t="s">
        <v>4655</v>
      </c>
      <c r="D3726" s="16" t="s">
        <v>184</v>
      </c>
      <c r="E3726" s="16" t="s">
        <v>185</v>
      </c>
      <c r="F3726" s="16" t="s">
        <v>3009</v>
      </c>
      <c r="G3726" s="16" t="s">
        <v>187</v>
      </c>
      <c r="H3726" s="16" t="s">
        <v>480</v>
      </c>
    </row>
    <row r="3727" ht="20.25" customHeight="1">
      <c r="A3727" s="32" t="str">
        <f>IMAGE("https://gymvisual.com/4190-catalog_default/suspension-single-leg-split-squat-self-assisted.jpg",4,500,500)</f>
        <v/>
      </c>
      <c r="B3727" s="30">
        <v>3726.0</v>
      </c>
      <c r="C3727" s="16" t="s">
        <v>4656</v>
      </c>
      <c r="D3727" s="16" t="s">
        <v>184</v>
      </c>
      <c r="E3727" s="16" t="s">
        <v>185</v>
      </c>
      <c r="F3727" s="16" t="s">
        <v>3009</v>
      </c>
      <c r="G3727" s="16" t="s">
        <v>187</v>
      </c>
      <c r="H3727" s="16" t="s">
        <v>480</v>
      </c>
    </row>
    <row r="3728" ht="20.25" customHeight="1">
      <c r="A3728" s="32" t="str">
        <f>IMAGE("https://gymvisual.com/4196-catalog_default/suspension-single-leg-squat.jpg",4,500,500)</f>
        <v/>
      </c>
      <c r="B3728" s="30">
        <v>3727.0</v>
      </c>
      <c r="C3728" s="16" t="s">
        <v>4657</v>
      </c>
      <c r="D3728" s="16" t="s">
        <v>184</v>
      </c>
      <c r="E3728" s="16" t="s">
        <v>185</v>
      </c>
      <c r="F3728" s="16" t="s">
        <v>3009</v>
      </c>
      <c r="G3728" s="16" t="s">
        <v>187</v>
      </c>
      <c r="H3728" s="16" t="s">
        <v>480</v>
      </c>
    </row>
    <row r="3729" ht="20.25" customHeight="1">
      <c r="A3729" s="32" t="str">
        <f>IMAGE("https://gymvisual.com/4245-catalog_default/suspension-single-leg-squat-figure.jpg",4,500,500)</f>
        <v/>
      </c>
      <c r="B3729" s="30">
        <v>3728.0</v>
      </c>
      <c r="C3729" s="16" t="s">
        <v>4658</v>
      </c>
      <c r="D3729" s="16" t="s">
        <v>184</v>
      </c>
      <c r="E3729" s="16" t="s">
        <v>285</v>
      </c>
      <c r="F3729" s="16" t="s">
        <v>3009</v>
      </c>
      <c r="G3729" s="16" t="s">
        <v>189</v>
      </c>
      <c r="H3729" s="16" t="s">
        <v>190</v>
      </c>
    </row>
    <row r="3730" ht="20.25" customHeight="1">
      <c r="A3730" s="32" t="str">
        <f>IMAGE("https://gymvisual.com/4246-catalog_default/suspension-sit-up.jpg",4,500,500)</f>
        <v/>
      </c>
      <c r="B3730" s="30">
        <v>3729.0</v>
      </c>
      <c r="C3730" s="16" t="s">
        <v>4659</v>
      </c>
      <c r="D3730" s="16" t="s">
        <v>184</v>
      </c>
      <c r="E3730" s="16" t="s">
        <v>254</v>
      </c>
      <c r="F3730" s="16" t="s">
        <v>3009</v>
      </c>
      <c r="G3730" s="16" t="s">
        <v>305</v>
      </c>
      <c r="H3730" s="16" t="s">
        <v>593</v>
      </c>
    </row>
    <row r="3731" ht="20.25" customHeight="1">
      <c r="A3731" s="32" t="str">
        <f>IMAGE("https://gymvisual.com/4247-catalog_default/suspension-spiderman-push-up.jpg",4,500,500)</f>
        <v/>
      </c>
      <c r="B3731" s="30">
        <v>3730.0</v>
      </c>
      <c r="C3731" s="16" t="s">
        <v>4660</v>
      </c>
      <c r="D3731" s="16" t="s">
        <v>184</v>
      </c>
      <c r="E3731" s="16" t="s">
        <v>185</v>
      </c>
      <c r="F3731" s="16" t="s">
        <v>3009</v>
      </c>
      <c r="G3731" s="16" t="s">
        <v>1213</v>
      </c>
      <c r="H3731" s="16" t="s">
        <v>4661</v>
      </c>
    </row>
    <row r="3732" ht="20.25" customHeight="1">
      <c r="A3732" s="32" t="str">
        <f>IMAGE("https://gymvisual.com/4248-catalog_default/suspension-split-fly.jpg",4,500,500)</f>
        <v/>
      </c>
      <c r="B3732" s="30">
        <v>3731.0</v>
      </c>
      <c r="C3732" s="16" t="s">
        <v>4662</v>
      </c>
      <c r="D3732" s="16" t="s">
        <v>184</v>
      </c>
      <c r="E3732" s="16" t="s">
        <v>228</v>
      </c>
      <c r="F3732" s="16" t="s">
        <v>3009</v>
      </c>
      <c r="G3732" s="16" t="s">
        <v>2754</v>
      </c>
      <c r="H3732" s="16" t="s">
        <v>3134</v>
      </c>
    </row>
    <row r="3733" ht="20.25" customHeight="1">
      <c r="A3733" s="32" t="str">
        <f>IMAGE("https://gymvisual.com/4249-catalog_default/suspension-sprinter.jpg",4,500,500)</f>
        <v/>
      </c>
      <c r="B3733" s="30">
        <v>3732.0</v>
      </c>
      <c r="C3733" s="16" t="s">
        <v>4663</v>
      </c>
      <c r="D3733" s="16" t="s">
        <v>184</v>
      </c>
      <c r="E3733" s="16" t="s">
        <v>285</v>
      </c>
      <c r="F3733" s="16" t="s">
        <v>3009</v>
      </c>
      <c r="G3733" s="16" t="s">
        <v>189</v>
      </c>
      <c r="H3733" s="16" t="s">
        <v>314</v>
      </c>
    </row>
    <row r="3734" ht="20.25" customHeight="1">
      <c r="A3734" s="32" t="str">
        <f>IMAGE("https://gymvisual.com/4252-catalog_default/suspension-squat.jpg",4,500,500)</f>
        <v/>
      </c>
      <c r="B3734" s="30">
        <v>3733.0</v>
      </c>
      <c r="C3734" s="16" t="s">
        <v>4664</v>
      </c>
      <c r="D3734" s="16" t="s">
        <v>184</v>
      </c>
      <c r="E3734" s="16" t="s">
        <v>285</v>
      </c>
      <c r="F3734" s="16" t="s">
        <v>3009</v>
      </c>
      <c r="G3734" s="16" t="s">
        <v>552</v>
      </c>
      <c r="H3734" s="16" t="s">
        <v>553</v>
      </c>
    </row>
    <row r="3735" ht="20.25" customHeight="1">
      <c r="A3735" s="32" t="str">
        <f>IMAGE("https://gymvisual.com/4250-catalog_default/suspension-squat-arms-overhead.jpg",4,500,500)</f>
        <v/>
      </c>
      <c r="B3735" s="30">
        <v>3734.0</v>
      </c>
      <c r="C3735" s="16" t="s">
        <v>4665</v>
      </c>
      <c r="D3735" s="16" t="s">
        <v>184</v>
      </c>
      <c r="E3735" s="16" t="s">
        <v>285</v>
      </c>
      <c r="F3735" s="16" t="s">
        <v>3009</v>
      </c>
      <c r="G3735" s="16" t="s">
        <v>189</v>
      </c>
      <c r="H3735" s="16" t="s">
        <v>190</v>
      </c>
    </row>
    <row r="3736" ht="20.25" customHeight="1">
      <c r="A3736" s="32" t="str">
        <f>IMAGE("https://gymvisual.com/4251-catalog_default/suspension-squat-power-pull.jpg",4,500,500)</f>
        <v/>
      </c>
      <c r="B3736" s="30">
        <v>3735.0</v>
      </c>
      <c r="C3736" s="16" t="s">
        <v>4666</v>
      </c>
      <c r="D3736" s="16" t="s">
        <v>184</v>
      </c>
      <c r="E3736" s="16" t="s">
        <v>285</v>
      </c>
      <c r="F3736" s="16" t="s">
        <v>3009</v>
      </c>
      <c r="G3736" s="16" t="s">
        <v>4667</v>
      </c>
      <c r="H3736" s="16" t="s">
        <v>4668</v>
      </c>
    </row>
    <row r="3737" ht="20.25" customHeight="1">
      <c r="A3737" s="32" t="str">
        <f>IMAGE("https://gymvisual.com/4253-catalog_default/suspension-standing-ab-rollout.jpg",4,500,500)</f>
        <v/>
      </c>
      <c r="B3737" s="30">
        <v>3736.0</v>
      </c>
      <c r="C3737" s="16" t="s">
        <v>4669</v>
      </c>
      <c r="D3737" s="16" t="s">
        <v>184</v>
      </c>
      <c r="E3737" s="16" t="s">
        <v>254</v>
      </c>
      <c r="F3737" s="16" t="s">
        <v>3009</v>
      </c>
      <c r="G3737" s="16" t="s">
        <v>256</v>
      </c>
      <c r="H3737" s="16" t="s">
        <v>4670</v>
      </c>
    </row>
    <row r="3738" ht="20.25" customHeight="1">
      <c r="A3738" s="32" t="str">
        <f>IMAGE("https://gymvisual.com/4254-catalog_default/suspension-star-plank.jpg",4,500,500)</f>
        <v/>
      </c>
      <c r="B3738" s="30">
        <v>3737.0</v>
      </c>
      <c r="C3738" s="16" t="s">
        <v>4671</v>
      </c>
      <c r="D3738" s="16" t="s">
        <v>184</v>
      </c>
      <c r="E3738" s="16" t="s">
        <v>254</v>
      </c>
      <c r="F3738" s="16" t="s">
        <v>3009</v>
      </c>
      <c r="G3738" s="16" t="s">
        <v>257</v>
      </c>
      <c r="H3738" s="16" t="s">
        <v>220</v>
      </c>
    </row>
    <row r="3739" ht="20.25" customHeight="1">
      <c r="A3739" s="32" t="str">
        <f>IMAGE("https://gymvisual.com/4255-catalog_default/suspension-star-push-up.jpg",4,500,500)</f>
        <v/>
      </c>
      <c r="B3739" s="30">
        <v>3738.0</v>
      </c>
      <c r="C3739" s="16" t="s">
        <v>4672</v>
      </c>
      <c r="D3739" s="16" t="s">
        <v>184</v>
      </c>
      <c r="E3739" s="16" t="s">
        <v>254</v>
      </c>
      <c r="F3739" s="16" t="s">
        <v>3009</v>
      </c>
      <c r="G3739" s="16" t="s">
        <v>1807</v>
      </c>
      <c r="H3739" s="16" t="s">
        <v>4673</v>
      </c>
    </row>
    <row r="3740" ht="20.25" customHeight="1">
      <c r="A3740" s="32" t="str">
        <f>IMAGE("https://gymvisual.com/4199-catalog_default/suspension-straight-hip-leg-curl.jpg",4,500,500)</f>
        <v/>
      </c>
      <c r="B3740" s="30">
        <v>3739.0</v>
      </c>
      <c r="C3740" s="16" t="s">
        <v>4674</v>
      </c>
      <c r="D3740" s="16" t="s">
        <v>184</v>
      </c>
      <c r="E3740" s="16" t="s">
        <v>285</v>
      </c>
      <c r="F3740" s="16" t="s">
        <v>3009</v>
      </c>
      <c r="G3740" s="16" t="s">
        <v>188</v>
      </c>
      <c r="H3740" s="16" t="s">
        <v>368</v>
      </c>
    </row>
    <row r="3741" ht="20.25" customHeight="1">
      <c r="A3741" s="32" t="str">
        <f>IMAGE("https://gymvisual.com/20092-catalog_default/suspension-sumo-squat-female.jpg",4,500,500)</f>
        <v/>
      </c>
      <c r="B3741" s="30">
        <v>3740.0</v>
      </c>
      <c r="C3741" s="16" t="s">
        <v>4675</v>
      </c>
      <c r="D3741" s="16" t="s">
        <v>184</v>
      </c>
      <c r="E3741" s="16" t="s">
        <v>185</v>
      </c>
      <c r="F3741" s="16" t="s">
        <v>3009</v>
      </c>
      <c r="G3741" s="16" t="s">
        <v>1851</v>
      </c>
      <c r="H3741" s="16" t="s">
        <v>1121</v>
      </c>
    </row>
    <row r="3742" ht="20.25" customHeight="1">
      <c r="A3742" s="32" t="str">
        <f>IMAGE("https://gymvisual.com/4256-catalog_default/suspension-supine-crunch.jpg",4,500,500)</f>
        <v/>
      </c>
      <c r="B3742" s="30">
        <v>3741.0</v>
      </c>
      <c r="C3742" s="16" t="s">
        <v>4676</v>
      </c>
      <c r="D3742" s="16" t="s">
        <v>184</v>
      </c>
      <c r="E3742" s="16" t="s">
        <v>254</v>
      </c>
      <c r="F3742" s="16" t="s">
        <v>3009</v>
      </c>
      <c r="G3742" s="16" t="s">
        <v>305</v>
      </c>
      <c r="H3742" s="16" t="s">
        <v>593</v>
      </c>
    </row>
    <row r="3743" ht="20.25" customHeight="1">
      <c r="A3743" s="32" t="str">
        <f>IMAGE("https://gymvisual.com/4257-catalog_default/suspension-supine-plank.jpg",4,500,500)</f>
        <v/>
      </c>
      <c r="B3743" s="30">
        <v>3742.0</v>
      </c>
      <c r="C3743" s="16" t="s">
        <v>4677</v>
      </c>
      <c r="D3743" s="16" t="s">
        <v>184</v>
      </c>
      <c r="E3743" s="16" t="s">
        <v>254</v>
      </c>
      <c r="F3743" s="16" t="s">
        <v>3009</v>
      </c>
      <c r="G3743" s="16" t="s">
        <v>4678</v>
      </c>
      <c r="H3743" s="16" t="s">
        <v>1328</v>
      </c>
    </row>
    <row r="3744" ht="20.25" customHeight="1">
      <c r="A3744" s="32" t="str">
        <f>IMAGE("https://gymvisual.com/4202-catalog_default/suspension-triceps-dip.jpg",4,500,500)</f>
        <v/>
      </c>
      <c r="B3744" s="30">
        <v>3743.0</v>
      </c>
      <c r="C3744" s="16" t="s">
        <v>4679</v>
      </c>
      <c r="D3744" s="16" t="s">
        <v>184</v>
      </c>
      <c r="E3744" s="16" t="s">
        <v>219</v>
      </c>
      <c r="F3744" s="16" t="s">
        <v>3009</v>
      </c>
      <c r="G3744" s="16" t="s">
        <v>223</v>
      </c>
      <c r="H3744" s="16" t="s">
        <v>394</v>
      </c>
    </row>
    <row r="3745" ht="20.25" customHeight="1">
      <c r="A3745" s="32" t="str">
        <f>IMAGE("https://gymvisual.com/4205-catalog_default/suspension-triceps-extension.jpg",4,500,500)</f>
        <v/>
      </c>
      <c r="B3745" s="30">
        <v>3744.0</v>
      </c>
      <c r="C3745" s="16" t="s">
        <v>4680</v>
      </c>
      <c r="D3745" s="16" t="s">
        <v>184</v>
      </c>
      <c r="E3745" s="16" t="s">
        <v>219</v>
      </c>
      <c r="F3745" s="16" t="s">
        <v>3009</v>
      </c>
      <c r="G3745" s="16" t="s">
        <v>223</v>
      </c>
      <c r="H3745" s="16" t="s">
        <v>220</v>
      </c>
    </row>
    <row r="3746" ht="20.25" customHeight="1">
      <c r="A3746" s="32" t="str">
        <f>IMAGE("https://gymvisual.com/4258-catalog_default/suspension-triceps-extension-push-up.jpg",4,500,500)</f>
        <v/>
      </c>
      <c r="B3746" s="30">
        <v>3745.0</v>
      </c>
      <c r="C3746" s="16" t="s">
        <v>4681</v>
      </c>
      <c r="D3746" s="16" t="s">
        <v>184</v>
      </c>
      <c r="E3746" s="16" t="s">
        <v>219</v>
      </c>
      <c r="F3746" s="16" t="s">
        <v>3009</v>
      </c>
      <c r="G3746" s="16" t="s">
        <v>223</v>
      </c>
      <c r="H3746" s="16" t="s">
        <v>220</v>
      </c>
    </row>
    <row r="3747" ht="20.25" customHeight="1">
      <c r="A3747" s="32" t="str">
        <f>IMAGE("https://gymvisual.com/4259-catalog_default/suspension-triceps-kickback.jpg",4,500,500)</f>
        <v/>
      </c>
      <c r="B3747" s="30">
        <v>3746.0</v>
      </c>
      <c r="C3747" s="16" t="s">
        <v>4682</v>
      </c>
      <c r="D3747" s="16" t="s">
        <v>184</v>
      </c>
      <c r="E3747" s="16" t="s">
        <v>219</v>
      </c>
      <c r="F3747" s="16" t="s">
        <v>3009</v>
      </c>
      <c r="G3747" s="16" t="s">
        <v>223</v>
      </c>
      <c r="H3747" s="16" t="s">
        <v>220</v>
      </c>
    </row>
    <row r="3748" ht="20.25" customHeight="1">
      <c r="A3748" s="32" t="str">
        <f>IMAGE("https://gymvisual.com/4208-catalog_default/suspension-twist.jpg",4,500,500)</f>
        <v/>
      </c>
      <c r="B3748" s="30">
        <v>3747.0</v>
      </c>
      <c r="C3748" s="16" t="s">
        <v>4683</v>
      </c>
      <c r="D3748" s="16" t="s">
        <v>184</v>
      </c>
      <c r="E3748" s="16" t="s">
        <v>254</v>
      </c>
      <c r="F3748" s="16" t="s">
        <v>3009</v>
      </c>
      <c r="G3748" s="16" t="s">
        <v>257</v>
      </c>
      <c r="H3748" s="16" t="s">
        <v>508</v>
      </c>
    </row>
    <row r="3749" ht="20.25" customHeight="1">
      <c r="A3749" s="32" t="str">
        <f>IMAGE("https://gymvisual.com/4260-catalog_default/suspension-twist-side.jpg",4,500,500)</f>
        <v/>
      </c>
      <c r="B3749" s="30">
        <v>3748.0</v>
      </c>
      <c r="C3749" s="16" t="s">
        <v>4684</v>
      </c>
      <c r="D3749" s="16" t="s">
        <v>184</v>
      </c>
      <c r="E3749" s="16" t="s">
        <v>254</v>
      </c>
      <c r="F3749" s="16" t="s">
        <v>3009</v>
      </c>
      <c r="G3749" s="16" t="s">
        <v>741</v>
      </c>
      <c r="H3749" s="16" t="s">
        <v>4685</v>
      </c>
    </row>
    <row r="3750" ht="20.25" customHeight="1">
      <c r="A3750" s="32" t="str">
        <f>IMAGE("https://gymvisual.com/4261-catalog_default/suspension-twist-up.jpg",4,500,500)</f>
        <v/>
      </c>
      <c r="B3750" s="30">
        <v>3749.0</v>
      </c>
      <c r="C3750" s="16" t="s">
        <v>4686</v>
      </c>
      <c r="D3750" s="16" t="s">
        <v>184</v>
      </c>
      <c r="E3750" s="16" t="s">
        <v>254</v>
      </c>
      <c r="F3750" s="16" t="s">
        <v>3009</v>
      </c>
      <c r="G3750" s="16" t="s">
        <v>257</v>
      </c>
      <c r="H3750" s="16" t="s">
        <v>1715</v>
      </c>
    </row>
    <row r="3751" ht="20.25" customHeight="1">
      <c r="A3751" s="32" t="str">
        <f>IMAGE("https://gymvisual.com/4211-catalog_default/suspension-twisting-jack-knife.jpg",4,500,500)</f>
        <v/>
      </c>
      <c r="B3751" s="30">
        <v>3750.0</v>
      </c>
      <c r="C3751" s="16" t="s">
        <v>4687</v>
      </c>
      <c r="D3751" s="16" t="s">
        <v>184</v>
      </c>
      <c r="E3751" s="16" t="s">
        <v>254</v>
      </c>
      <c r="F3751" s="16" t="s">
        <v>3009</v>
      </c>
      <c r="G3751" s="16" t="s">
        <v>257</v>
      </c>
      <c r="H3751" s="16" t="s">
        <v>1707</v>
      </c>
    </row>
    <row r="3752" ht="20.25" customHeight="1">
      <c r="A3752" s="32" t="str">
        <f>IMAGE("https://gymvisual.com/20096-catalog_default/suspension-underhand-grip-inverted-row-female.jpg",4,500,500)</f>
        <v/>
      </c>
      <c r="B3752" s="30">
        <v>3751.0</v>
      </c>
      <c r="C3752" s="16" t="s">
        <v>4688</v>
      </c>
      <c r="D3752" s="16" t="s">
        <v>184</v>
      </c>
      <c r="E3752" s="16" t="s">
        <v>192</v>
      </c>
      <c r="F3752" s="16" t="s">
        <v>3009</v>
      </c>
      <c r="G3752" s="16" t="s">
        <v>329</v>
      </c>
      <c r="H3752" s="16" t="s">
        <v>357</v>
      </c>
    </row>
    <row r="3753" ht="20.25" customHeight="1">
      <c r="A3753" s="32" t="str">
        <f>IMAGE("https://gymvisual.com/4214-catalog_default/suspension-y-lateral-raise.jpg",4,500,500)</f>
        <v/>
      </c>
      <c r="B3753" s="30">
        <v>3752.0</v>
      </c>
      <c r="C3753" s="16" t="s">
        <v>4689</v>
      </c>
      <c r="D3753" s="16" t="s">
        <v>184</v>
      </c>
      <c r="E3753" s="16" t="s">
        <v>228</v>
      </c>
      <c r="F3753" s="16" t="s">
        <v>3009</v>
      </c>
      <c r="G3753" s="16" t="s">
        <v>544</v>
      </c>
      <c r="H3753" s="16" t="s">
        <v>4690</v>
      </c>
    </row>
    <row r="3754" ht="20.25" customHeight="1">
      <c r="A3754" s="32" t="str">
        <f>IMAGE("https://gymvisual.com/6960-catalog_default/swimmer.jpg",4,500,500)</f>
        <v/>
      </c>
      <c r="B3754" s="30">
        <v>3753.0</v>
      </c>
      <c r="C3754" s="16" t="s">
        <v>4691</v>
      </c>
      <c r="D3754" s="16" t="s">
        <v>184</v>
      </c>
      <c r="E3754" s="16" t="s">
        <v>185</v>
      </c>
      <c r="F3754" s="16" t="s">
        <v>255</v>
      </c>
      <c r="G3754" s="16" t="s">
        <v>220</v>
      </c>
      <c r="H3754" s="16" t="s">
        <v>220</v>
      </c>
    </row>
    <row r="3755" ht="20.25" customHeight="1">
      <c r="A3755" s="32" t="str">
        <f>IMAGE("https://gymvisual.com/13775-catalog_default/swimmer-kicks-version-2-female.jpg",4,500,500)</f>
        <v/>
      </c>
      <c r="B3755" s="30">
        <v>3754.0</v>
      </c>
      <c r="C3755" s="16" t="s">
        <v>4692</v>
      </c>
      <c r="D3755" s="16" t="s">
        <v>184</v>
      </c>
      <c r="E3755" s="16" t="s">
        <v>185</v>
      </c>
      <c r="F3755" s="16" t="s">
        <v>255</v>
      </c>
      <c r="G3755" s="16" t="s">
        <v>1114</v>
      </c>
      <c r="H3755" s="16" t="s">
        <v>220</v>
      </c>
    </row>
    <row r="3756" ht="20.25" customHeight="1">
      <c r="A3756" s="32" t="str">
        <f>IMAGE("https://gymvisual.com/13774-catalog_default/swimmer-kicks-version-2-male.jpg",4,500,500)</f>
        <v/>
      </c>
      <c r="B3756" s="30">
        <v>3755.0</v>
      </c>
      <c r="C3756" s="16" t="s">
        <v>4693</v>
      </c>
      <c r="D3756" s="16" t="s">
        <v>184</v>
      </c>
      <c r="E3756" s="16" t="s">
        <v>185</v>
      </c>
      <c r="F3756" s="16" t="s">
        <v>255</v>
      </c>
      <c r="G3756" s="16" t="s">
        <v>1114</v>
      </c>
      <c r="H3756" s="16" t="s">
        <v>220</v>
      </c>
    </row>
    <row r="3757" ht="20.25" customHeight="1">
      <c r="A3757" s="32" t="str">
        <f>IMAGE("https://gymvisual.com/22325-catalog_default/table-top-bridge.jpg",4,500,500)</f>
        <v/>
      </c>
      <c r="B3757" s="30">
        <v>3756.0</v>
      </c>
      <c r="C3757" s="16" t="s">
        <v>4694</v>
      </c>
      <c r="D3757" s="16" t="s">
        <v>184</v>
      </c>
      <c r="E3757" s="16" t="s">
        <v>185</v>
      </c>
      <c r="F3757" s="16" t="s">
        <v>255</v>
      </c>
      <c r="G3757" s="16" t="s">
        <v>4695</v>
      </c>
      <c r="H3757" s="16" t="s">
        <v>220</v>
      </c>
    </row>
    <row r="3758" ht="20.25" customHeight="1">
      <c r="A3758" s="32" t="str">
        <f>IMAGE("https://gymvisual.com/22327-catalog_default/table-top-bridge-rotation.jpg",4,500,500)</f>
        <v/>
      </c>
      <c r="B3758" s="30">
        <v>3757.0</v>
      </c>
      <c r="C3758" s="16" t="s">
        <v>4696</v>
      </c>
      <c r="D3758" s="16" t="s">
        <v>184</v>
      </c>
      <c r="E3758" s="16" t="s">
        <v>185</v>
      </c>
      <c r="F3758" s="16" t="s">
        <v>255</v>
      </c>
      <c r="G3758" s="16" t="s">
        <v>220</v>
      </c>
      <c r="H3758" s="16" t="s">
        <v>220</v>
      </c>
    </row>
    <row r="3759" ht="20.25" customHeight="1">
      <c r="A3759" s="32" t="str">
        <f>IMAGE("https://gymvisual.com/7472-catalog_default/three-bench-dip.jpg",4,500,500)</f>
        <v/>
      </c>
      <c r="B3759" s="30">
        <v>3758.0</v>
      </c>
      <c r="C3759" s="16" t="s">
        <v>4697</v>
      </c>
      <c r="D3759" s="16" t="s">
        <v>184</v>
      </c>
      <c r="E3759" s="16" t="s">
        <v>219</v>
      </c>
      <c r="F3759" s="16" t="s">
        <v>255</v>
      </c>
      <c r="G3759" s="16" t="s">
        <v>220</v>
      </c>
      <c r="H3759" s="16" t="s">
        <v>220</v>
      </c>
    </row>
    <row r="3760" ht="20.25" customHeight="1">
      <c r="A3760" s="32" t="str">
        <f>IMAGE("https://gymvisual.com/18079-catalog_default/tiger-tail-peroneal.jpg",4,500,500)</f>
        <v/>
      </c>
      <c r="B3760" s="30">
        <v>3759.0</v>
      </c>
      <c r="C3760" s="16" t="s">
        <v>4698</v>
      </c>
      <c r="D3760" s="16" t="s">
        <v>184</v>
      </c>
      <c r="E3760" s="16" t="s">
        <v>325</v>
      </c>
      <c r="F3760" s="16" t="s">
        <v>255</v>
      </c>
      <c r="G3760" s="16" t="s">
        <v>220</v>
      </c>
      <c r="H3760" s="16" t="s">
        <v>220</v>
      </c>
    </row>
    <row r="3761" ht="20.25" customHeight="1">
      <c r="A3761" s="32" t="str">
        <f>IMAGE("https://gymvisual.com/10566-catalog_default/tire-flip.jpg",4,500,500)</f>
        <v/>
      </c>
      <c r="B3761" s="30">
        <v>3760.0</v>
      </c>
      <c r="C3761" s="16" t="s">
        <v>4699</v>
      </c>
      <c r="D3761" s="16" t="s">
        <v>184</v>
      </c>
      <c r="E3761" s="16" t="s">
        <v>285</v>
      </c>
      <c r="F3761" s="16" t="s">
        <v>255</v>
      </c>
      <c r="G3761" s="16" t="s">
        <v>220</v>
      </c>
      <c r="H3761" s="16" t="s">
        <v>220</v>
      </c>
    </row>
    <row r="3762" ht="20.25" customHeight="1">
      <c r="A3762" s="32" t="str">
        <f>IMAGE("https://gymvisual.com/2421-catalog_default/toe-touch-sit-wall.jpg",4,500,500)</f>
        <v/>
      </c>
      <c r="B3762" s="30">
        <v>3761.0</v>
      </c>
      <c r="C3762" s="16" t="s">
        <v>4700</v>
      </c>
      <c r="D3762" s="16" t="s">
        <v>184</v>
      </c>
      <c r="E3762" s="16" t="s">
        <v>285</v>
      </c>
      <c r="F3762" s="16" t="s">
        <v>255</v>
      </c>
      <c r="G3762" s="16" t="s">
        <v>2482</v>
      </c>
      <c r="H3762" s="16" t="s">
        <v>553</v>
      </c>
    </row>
    <row r="3763" ht="20.25" customHeight="1">
      <c r="A3763" s="32" t="str">
        <f>IMAGE("https://gymvisual.com/22516-catalog_default/top-pull-up-hold-female.jpg",4,500,500)</f>
        <v/>
      </c>
      <c r="B3763" s="30">
        <v>3762.0</v>
      </c>
      <c r="C3763" s="16" t="s">
        <v>4701</v>
      </c>
      <c r="D3763" s="16" t="s">
        <v>184</v>
      </c>
      <c r="E3763" s="16" t="s">
        <v>192</v>
      </c>
      <c r="F3763" s="16" t="s">
        <v>255</v>
      </c>
      <c r="G3763" s="16" t="s">
        <v>220</v>
      </c>
      <c r="H3763" s="16" t="s">
        <v>220</v>
      </c>
    </row>
    <row r="3764" ht="20.25" customHeight="1">
      <c r="A3764" s="32" t="str">
        <f>IMAGE("https://gymvisual.com/7340-catalog_default/transverse-plane-dumbbell-lunge.jpg",4,500,500)</f>
        <v/>
      </c>
      <c r="B3764" s="30">
        <v>3763.0</v>
      </c>
      <c r="C3764" s="16" t="s">
        <v>4702</v>
      </c>
      <c r="D3764" s="16" t="s">
        <v>184</v>
      </c>
      <c r="E3764" s="16" t="s">
        <v>285</v>
      </c>
      <c r="F3764" s="16" t="s">
        <v>222</v>
      </c>
      <c r="G3764" s="16" t="s">
        <v>220</v>
      </c>
      <c r="H3764" s="16" t="s">
        <v>220</v>
      </c>
    </row>
    <row r="3765" ht="20.25" customHeight="1">
      <c r="A3765" s="32" t="str">
        <f>IMAGE("https://gymvisual.com/6849-catalog_default/transverse-step-up.jpg",4,500,500)</f>
        <v/>
      </c>
      <c r="B3765" s="30">
        <v>3764.0</v>
      </c>
      <c r="C3765" s="16" t="s">
        <v>4703</v>
      </c>
      <c r="D3765" s="16" t="s">
        <v>184</v>
      </c>
      <c r="E3765" s="16" t="s">
        <v>285</v>
      </c>
      <c r="F3765" s="16" t="s">
        <v>255</v>
      </c>
      <c r="G3765" s="16" t="s">
        <v>220</v>
      </c>
      <c r="H3765" s="16" t="s">
        <v>220</v>
      </c>
    </row>
    <row r="3766" ht="20.25" customHeight="1">
      <c r="A3766" s="32" t="str">
        <f>IMAGE("https://gymvisual.com/22369-catalog_default/trap-bar-banded-deadlift.jpg",4,500,500)</f>
        <v/>
      </c>
      <c r="B3766" s="30">
        <v>3765.0</v>
      </c>
      <c r="C3766" s="16" t="s">
        <v>4704</v>
      </c>
      <c r="D3766" s="16" t="s">
        <v>184</v>
      </c>
      <c r="E3766" s="16" t="s">
        <v>185</v>
      </c>
      <c r="F3766" s="16" t="s">
        <v>4705</v>
      </c>
      <c r="G3766" s="16" t="s">
        <v>220</v>
      </c>
      <c r="H3766" s="16" t="s">
        <v>220</v>
      </c>
    </row>
    <row r="3767" ht="20.25" customHeight="1">
      <c r="A3767" s="32" t="str">
        <f>IMAGE("https://gymvisual.com/17909-catalog_default/trap-bar-bent-over-row-male.jpg",4,500,500)</f>
        <v/>
      </c>
      <c r="B3767" s="30">
        <v>3766.0</v>
      </c>
      <c r="C3767" s="16" t="s">
        <v>4706</v>
      </c>
      <c r="D3767" s="16" t="s">
        <v>184</v>
      </c>
      <c r="E3767" s="16" t="s">
        <v>192</v>
      </c>
      <c r="F3767" s="16" t="s">
        <v>4705</v>
      </c>
      <c r="G3767" s="16" t="s">
        <v>570</v>
      </c>
      <c r="H3767" s="16" t="s">
        <v>447</v>
      </c>
    </row>
    <row r="3768" ht="20.25" customHeight="1">
      <c r="A3768" s="32" t="str">
        <f>IMAGE("https://gymvisual.com/24049-catalog_default/trap-bar-deadlift.jpg",4,500,500)</f>
        <v/>
      </c>
      <c r="B3768" s="30">
        <v>3767.0</v>
      </c>
      <c r="C3768" s="16" t="s">
        <v>4707</v>
      </c>
      <c r="D3768" s="16" t="s">
        <v>184</v>
      </c>
      <c r="E3768" s="16" t="s">
        <v>285</v>
      </c>
      <c r="F3768" s="16" t="s">
        <v>4705</v>
      </c>
      <c r="G3768" s="16" t="s">
        <v>189</v>
      </c>
      <c r="H3768" s="16" t="s">
        <v>190</v>
      </c>
    </row>
    <row r="3769" ht="20.25" customHeight="1">
      <c r="A3769" s="32" t="str">
        <f>IMAGE("https://gymvisual.com/17911-catalog_default/trap-bar-deadlift-from-deficit-male.jpg",4,500,500)</f>
        <v/>
      </c>
      <c r="B3769" s="30">
        <v>3768.0</v>
      </c>
      <c r="C3769" s="16" t="s">
        <v>4708</v>
      </c>
      <c r="D3769" s="16" t="s">
        <v>184</v>
      </c>
      <c r="E3769" s="16" t="s">
        <v>185</v>
      </c>
      <c r="F3769" s="16" t="s">
        <v>4705</v>
      </c>
      <c r="G3769" s="16" t="s">
        <v>220</v>
      </c>
      <c r="H3769" s="16" t="s">
        <v>220</v>
      </c>
    </row>
    <row r="3770" ht="20.25" customHeight="1">
      <c r="A3770" s="32" t="str">
        <f>IMAGE("https://gymvisual.com/12174-catalog_default/trap-bar-farmers-carry.jpg",4,500,500)</f>
        <v/>
      </c>
      <c r="B3770" s="30">
        <v>3769.0</v>
      </c>
      <c r="C3770" s="16" t="s">
        <v>4709</v>
      </c>
      <c r="D3770" s="16" t="s">
        <v>184</v>
      </c>
      <c r="E3770" s="16" t="s">
        <v>285</v>
      </c>
      <c r="F3770" s="16" t="s">
        <v>4705</v>
      </c>
      <c r="G3770" s="16" t="s">
        <v>220</v>
      </c>
      <c r="H3770" s="16" t="s">
        <v>220</v>
      </c>
    </row>
    <row r="3771" ht="20.25" customHeight="1">
      <c r="A3771" s="32" t="str">
        <f>IMAGE("https://gymvisual.com/14415-catalog_default/trap-bar-split-stance-rdl.jpg",4,500,500)</f>
        <v/>
      </c>
      <c r="B3771" s="30">
        <v>3770.0</v>
      </c>
      <c r="C3771" s="16" t="s">
        <v>4710</v>
      </c>
      <c r="D3771" s="16" t="s">
        <v>184</v>
      </c>
      <c r="E3771" s="16" t="s">
        <v>185</v>
      </c>
      <c r="F3771" s="16" t="s">
        <v>4705</v>
      </c>
      <c r="G3771" s="16" t="s">
        <v>189</v>
      </c>
      <c r="H3771" s="16" t="s">
        <v>314</v>
      </c>
    </row>
    <row r="3772" ht="20.25" customHeight="1">
      <c r="A3772" s="32" t="str">
        <f>IMAGE("https://gymvisual.com/17907-catalog_default/trap-bar-standing-shrug-male.jpg",4,500,500)</f>
        <v/>
      </c>
      <c r="B3772" s="30">
        <v>3771.0</v>
      </c>
      <c r="C3772" s="16" t="s">
        <v>4711</v>
      </c>
      <c r="D3772" s="16" t="s">
        <v>184</v>
      </c>
      <c r="E3772" s="16" t="s">
        <v>192</v>
      </c>
      <c r="F3772" s="16" t="s">
        <v>4705</v>
      </c>
      <c r="G3772" s="16" t="s">
        <v>238</v>
      </c>
      <c r="H3772" s="16" t="s">
        <v>618</v>
      </c>
    </row>
    <row r="3773" ht="20.25" customHeight="1">
      <c r="A3773" s="32" t="str">
        <f>IMAGE("https://gymvisual.com/4496-catalog_default/triceps-dip.jpg",4,500,500)</f>
        <v/>
      </c>
      <c r="B3773" s="30">
        <v>3772.0</v>
      </c>
      <c r="C3773" s="16" t="s">
        <v>4712</v>
      </c>
      <c r="D3773" s="16" t="s">
        <v>184</v>
      </c>
      <c r="E3773" s="16" t="s">
        <v>219</v>
      </c>
      <c r="F3773" s="16" t="s">
        <v>255</v>
      </c>
      <c r="G3773" s="16" t="s">
        <v>223</v>
      </c>
      <c r="H3773" s="16" t="s">
        <v>394</v>
      </c>
    </row>
    <row r="3774" ht="20.25" customHeight="1">
      <c r="A3774" s="32" t="str">
        <f>IMAGE("https://gymvisual.com/20640-catalog_default/triceps-dip-bench-leg.jpg",4,500,500)</f>
        <v/>
      </c>
      <c r="B3774" s="30">
        <v>3773.0</v>
      </c>
      <c r="C3774" s="16" t="s">
        <v>4713</v>
      </c>
      <c r="D3774" s="16" t="s">
        <v>184</v>
      </c>
      <c r="E3774" s="16" t="s">
        <v>219</v>
      </c>
      <c r="F3774" s="16" t="s">
        <v>255</v>
      </c>
      <c r="G3774" s="16" t="s">
        <v>223</v>
      </c>
      <c r="H3774" s="16" t="s">
        <v>662</v>
      </c>
    </row>
    <row r="3775" ht="20.25" customHeight="1">
      <c r="A3775" s="32" t="str">
        <f>IMAGE("https://gymvisual.com/2430-catalog_default/triceps-dip-between-benches.jpg",4,500,500)</f>
        <v/>
      </c>
      <c r="B3775" s="30">
        <v>3774.0</v>
      </c>
      <c r="C3775" s="16" t="s">
        <v>4714</v>
      </c>
      <c r="D3775" s="16" t="s">
        <v>184</v>
      </c>
      <c r="E3775" s="16" t="s">
        <v>219</v>
      </c>
      <c r="F3775" s="16" t="s">
        <v>255</v>
      </c>
      <c r="G3775" s="16" t="s">
        <v>223</v>
      </c>
      <c r="H3775" s="16" t="s">
        <v>662</v>
      </c>
    </row>
    <row r="3776" ht="20.25" customHeight="1">
      <c r="A3776" s="32" t="str">
        <f>IMAGE("https://gymvisual.com/13499-catalog_default/triceps-dip-female.jpg",4,500,500)</f>
        <v/>
      </c>
      <c r="B3776" s="30">
        <v>3775.0</v>
      </c>
      <c r="C3776" s="16" t="s">
        <v>4715</v>
      </c>
      <c r="D3776" s="16" t="s">
        <v>184</v>
      </c>
      <c r="E3776" s="16" t="s">
        <v>219</v>
      </c>
      <c r="F3776" s="16" t="s">
        <v>255</v>
      </c>
      <c r="G3776" s="16" t="s">
        <v>223</v>
      </c>
      <c r="H3776" s="16" t="s">
        <v>394</v>
      </c>
    </row>
    <row r="3777" ht="20.25" customHeight="1">
      <c r="A3777" s="32" t="str">
        <f>IMAGE("https://gymvisual.com/23909-catalog_default/triceps-dip-floor-female.jpg",4,500,500)</f>
        <v/>
      </c>
      <c r="B3777" s="30">
        <v>3776.0</v>
      </c>
      <c r="C3777" s="16" t="s">
        <v>4716</v>
      </c>
      <c r="D3777" s="16" t="s">
        <v>184</v>
      </c>
      <c r="E3777" s="16" t="s">
        <v>219</v>
      </c>
      <c r="F3777" s="16" t="s">
        <v>255</v>
      </c>
      <c r="G3777" s="16" t="s">
        <v>223</v>
      </c>
      <c r="H3777" s="16" t="s">
        <v>394</v>
      </c>
    </row>
    <row r="3778" ht="20.25" customHeight="1">
      <c r="A3778" s="32" t="str">
        <f>IMAGE("https://gymvisual.com/2436-catalog_default/triceps-dips-floor.jpg",4,500,500)</f>
        <v/>
      </c>
      <c r="B3778" s="30">
        <v>3777.0</v>
      </c>
      <c r="C3778" s="16" t="s">
        <v>4717</v>
      </c>
      <c r="D3778" s="16" t="s">
        <v>184</v>
      </c>
      <c r="E3778" s="16" t="s">
        <v>219</v>
      </c>
      <c r="F3778" s="16" t="s">
        <v>255</v>
      </c>
      <c r="G3778" s="16" t="s">
        <v>223</v>
      </c>
      <c r="H3778" s="16" t="s">
        <v>394</v>
      </c>
    </row>
    <row r="3779" ht="20.25" customHeight="1">
      <c r="A3779" s="32" t="str">
        <f>IMAGE("https://gymvisual.com/20642-catalog_default/triceps-press.jpg",4,500,500)</f>
        <v/>
      </c>
      <c r="B3779" s="30">
        <v>3778.0</v>
      </c>
      <c r="C3779" s="16" t="s">
        <v>4718</v>
      </c>
      <c r="D3779" s="16" t="s">
        <v>184</v>
      </c>
      <c r="E3779" s="16" t="s">
        <v>219</v>
      </c>
      <c r="F3779" s="16" t="s">
        <v>255</v>
      </c>
      <c r="G3779" s="16" t="s">
        <v>223</v>
      </c>
      <c r="H3779" s="16" t="s">
        <v>472</v>
      </c>
    </row>
    <row r="3780" ht="20.25" customHeight="1">
      <c r="A3780" s="32" t="str">
        <f>IMAGE("https://gymvisual.com/4499-catalog_default/triceps-press-head-below-bench.jpg",4,500,500)</f>
        <v/>
      </c>
      <c r="B3780" s="30">
        <v>3779.0</v>
      </c>
      <c r="C3780" s="16" t="s">
        <v>4719</v>
      </c>
      <c r="D3780" s="16" t="s">
        <v>184</v>
      </c>
      <c r="E3780" s="16" t="s">
        <v>219</v>
      </c>
      <c r="F3780" s="16" t="s">
        <v>255</v>
      </c>
      <c r="G3780" s="16" t="s">
        <v>223</v>
      </c>
      <c r="H3780" s="16" t="s">
        <v>347</v>
      </c>
    </row>
    <row r="3781" ht="20.25" customHeight="1">
      <c r="A3781" s="32" t="str">
        <f>IMAGE("https://gymvisual.com/22331-catalog_default/triceps-press-high-bar-position.jpg",4,500,500)</f>
        <v/>
      </c>
      <c r="B3781" s="30">
        <v>3780.0</v>
      </c>
      <c r="C3781" s="16" t="s">
        <v>4720</v>
      </c>
      <c r="D3781" s="16" t="s">
        <v>184</v>
      </c>
      <c r="E3781" s="16" t="s">
        <v>219</v>
      </c>
      <c r="F3781" s="16" t="s">
        <v>255</v>
      </c>
      <c r="G3781" s="16" t="s">
        <v>220</v>
      </c>
      <c r="H3781" s="16" t="s">
        <v>220</v>
      </c>
    </row>
    <row r="3782" ht="20.25" customHeight="1">
      <c r="A3782" s="32" t="str">
        <f>IMAGE("https://gymvisual.com/22333-catalog_default/triceps-press-low-bar-position.jpg",4,500,500)</f>
        <v/>
      </c>
      <c r="B3782" s="30">
        <v>3781.0</v>
      </c>
      <c r="C3782" s="16" t="s">
        <v>4721</v>
      </c>
      <c r="D3782" s="16" t="s">
        <v>184</v>
      </c>
      <c r="E3782" s="16" t="s">
        <v>219</v>
      </c>
      <c r="F3782" s="16" t="s">
        <v>255</v>
      </c>
      <c r="G3782" s="16" t="s">
        <v>220</v>
      </c>
      <c r="H3782" s="16" t="s">
        <v>220</v>
      </c>
    </row>
    <row r="3783" ht="20.25" customHeight="1">
      <c r="A3783" s="32" t="str">
        <f>IMAGE("https://gymvisual.com/2651-catalog_default/tuck-crunch.jpg",4,500,500)</f>
        <v/>
      </c>
      <c r="B3783" s="30">
        <v>3782.0</v>
      </c>
      <c r="C3783" s="16" t="s">
        <v>4722</v>
      </c>
      <c r="D3783" s="16" t="s">
        <v>184</v>
      </c>
      <c r="E3783" s="16" t="s">
        <v>254</v>
      </c>
      <c r="F3783" s="16" t="s">
        <v>255</v>
      </c>
      <c r="G3783" s="16" t="s">
        <v>256</v>
      </c>
      <c r="H3783" s="16" t="s">
        <v>257</v>
      </c>
    </row>
    <row r="3784" ht="20.25" customHeight="1">
      <c r="A3784" s="32" t="str">
        <f>IMAGE("https://gymvisual.com/17809-catalog_default/tuck-up-female.jpg",4,500,500)</f>
        <v/>
      </c>
      <c r="B3784" s="30">
        <v>3783.0</v>
      </c>
      <c r="C3784" s="16" t="s">
        <v>4723</v>
      </c>
      <c r="D3784" s="16" t="s">
        <v>184</v>
      </c>
      <c r="E3784" s="16" t="s">
        <v>254</v>
      </c>
      <c r="F3784" s="16" t="s">
        <v>255</v>
      </c>
      <c r="G3784" s="16" t="s">
        <v>220</v>
      </c>
      <c r="H3784" s="16" t="s">
        <v>220</v>
      </c>
    </row>
    <row r="3785" ht="20.25" customHeight="1">
      <c r="A3785" s="32" t="str">
        <f>IMAGE("https://gymvisual.com/2445-catalog_default/twin-handle-parallel-grip-lat-pulldown.jpg",4,500,500)</f>
        <v/>
      </c>
      <c r="B3785" s="30">
        <v>3784.0</v>
      </c>
      <c r="C3785" s="16" t="s">
        <v>4724</v>
      </c>
      <c r="D3785" s="16" t="s">
        <v>184</v>
      </c>
      <c r="E3785" s="16" t="s">
        <v>192</v>
      </c>
      <c r="F3785" s="16" t="s">
        <v>215</v>
      </c>
      <c r="G3785" s="16" t="s">
        <v>300</v>
      </c>
      <c r="H3785" s="16" t="s">
        <v>387</v>
      </c>
    </row>
    <row r="3786" ht="20.25" customHeight="1">
      <c r="A3786" s="32" t="str">
        <f>IMAGE("https://gymvisual.com/2448-catalog_default/twist-crunch-leg-up.jpg",4,500,500)</f>
        <v/>
      </c>
      <c r="B3786" s="30">
        <v>3785.0</v>
      </c>
      <c r="C3786" s="16" t="s">
        <v>4725</v>
      </c>
      <c r="D3786" s="16" t="s">
        <v>184</v>
      </c>
      <c r="E3786" s="16" t="s">
        <v>254</v>
      </c>
      <c r="F3786" s="16" t="s">
        <v>255</v>
      </c>
      <c r="G3786" s="16" t="s">
        <v>263</v>
      </c>
      <c r="H3786" s="16" t="s">
        <v>1878</v>
      </c>
    </row>
    <row r="3787" ht="20.25" customHeight="1">
      <c r="A3787" s="32" t="str">
        <f>IMAGE("https://gymvisual.com/24291-catalog_default/twist-crunch-legs-up-male.jpg",4,500,500)</f>
        <v/>
      </c>
      <c r="B3787" s="30">
        <v>3786.0</v>
      </c>
      <c r="C3787" s="16" t="s">
        <v>4726</v>
      </c>
      <c r="D3787" s="16" t="s">
        <v>184</v>
      </c>
      <c r="E3787" s="16" t="s">
        <v>254</v>
      </c>
      <c r="F3787" s="16" t="s">
        <v>255</v>
      </c>
      <c r="G3787" s="16" t="s">
        <v>260</v>
      </c>
      <c r="H3787" s="16" t="s">
        <v>1306</v>
      </c>
    </row>
    <row r="3788" ht="20.25" customHeight="1">
      <c r="A3788" s="32" t="str">
        <f>IMAGE("https://gymvisual.com/6399-catalog_default/twist-hip-lift.jpg",4,500,500)</f>
        <v/>
      </c>
      <c r="B3788" s="30">
        <v>3787.0</v>
      </c>
      <c r="C3788" s="16" t="s">
        <v>4727</v>
      </c>
      <c r="D3788" s="16" t="s">
        <v>184</v>
      </c>
      <c r="E3788" s="16" t="s">
        <v>185</v>
      </c>
      <c r="F3788" s="16" t="s">
        <v>255</v>
      </c>
      <c r="G3788" s="16" t="s">
        <v>4728</v>
      </c>
      <c r="H3788" s="16" t="s">
        <v>188</v>
      </c>
    </row>
    <row r="3789" ht="20.25" customHeight="1">
      <c r="A3789" s="32" t="str">
        <f>IMAGE("https://gymvisual.com/17304-catalog_default/twist-push-up.jpg",4,500,500)</f>
        <v/>
      </c>
      <c r="B3789" s="30">
        <v>3788.0</v>
      </c>
      <c r="C3789" s="16" t="s">
        <v>4729</v>
      </c>
      <c r="D3789" s="16" t="s">
        <v>184</v>
      </c>
      <c r="E3789" s="16" t="s">
        <v>234</v>
      </c>
      <c r="F3789" s="16" t="s">
        <v>255</v>
      </c>
      <c r="G3789" s="16" t="s">
        <v>235</v>
      </c>
      <c r="H3789" s="16" t="s">
        <v>4730</v>
      </c>
    </row>
    <row r="3790" ht="20.25" customHeight="1">
      <c r="A3790" s="32" t="str">
        <f>IMAGE("https://gymvisual.com/2451-catalog_default/twist-side-bridge.jpg",4,500,500)</f>
        <v/>
      </c>
      <c r="B3790" s="30">
        <v>3789.0</v>
      </c>
      <c r="C3790" s="16" t="s">
        <v>4731</v>
      </c>
      <c r="D3790" s="16" t="s">
        <v>184</v>
      </c>
      <c r="E3790" s="16" t="s">
        <v>228</v>
      </c>
      <c r="F3790" s="16" t="s">
        <v>255</v>
      </c>
      <c r="G3790" s="16" t="s">
        <v>257</v>
      </c>
      <c r="H3790" s="16" t="s">
        <v>4732</v>
      </c>
    </row>
    <row r="3791" ht="20.25" customHeight="1">
      <c r="A3791" s="32" t="str">
        <f>IMAGE("https://gymvisual.com/2454-catalog_default/twist-sit-up.jpg",4,500,500)</f>
        <v/>
      </c>
      <c r="B3791" s="30">
        <v>3790.0</v>
      </c>
      <c r="C3791" s="16" t="s">
        <v>4733</v>
      </c>
      <c r="D3791" s="16" t="s">
        <v>184</v>
      </c>
      <c r="E3791" s="16" t="s">
        <v>254</v>
      </c>
      <c r="F3791" s="16" t="s">
        <v>255</v>
      </c>
      <c r="G3791" s="16" t="s">
        <v>263</v>
      </c>
      <c r="H3791" s="16" t="s">
        <v>220</v>
      </c>
    </row>
    <row r="3792" ht="20.25" customHeight="1">
      <c r="A3792" s="32" t="str">
        <f>IMAGE("https://gymvisual.com/2457-catalog_default/twist-squat.jpg",4,500,500)</f>
        <v/>
      </c>
      <c r="B3792" s="30">
        <v>3791.0</v>
      </c>
      <c r="C3792" s="16" t="s">
        <v>4734</v>
      </c>
      <c r="D3792" s="16" t="s">
        <v>184</v>
      </c>
      <c r="E3792" s="16" t="s">
        <v>285</v>
      </c>
      <c r="F3792" s="16" t="s">
        <v>255</v>
      </c>
      <c r="G3792" s="16" t="s">
        <v>524</v>
      </c>
      <c r="H3792" s="16" t="s">
        <v>190</v>
      </c>
    </row>
    <row r="3793" ht="20.25" customHeight="1">
      <c r="A3793" s="32" t="str">
        <f>IMAGE("https://gymvisual.com/17883-catalog_default/twist-superman-male.jpg",4,500,500)</f>
        <v/>
      </c>
      <c r="B3793" s="30">
        <v>3792.0</v>
      </c>
      <c r="C3793" s="16" t="s">
        <v>4735</v>
      </c>
      <c r="D3793" s="16" t="s">
        <v>184</v>
      </c>
      <c r="E3793" s="16" t="s">
        <v>185</v>
      </c>
      <c r="F3793" s="16" t="s">
        <v>255</v>
      </c>
      <c r="G3793" s="16" t="s">
        <v>4736</v>
      </c>
      <c r="H3793" s="16" t="s">
        <v>3229</v>
      </c>
    </row>
    <row r="3794" ht="20.25" customHeight="1">
      <c r="A3794" s="32" t="str">
        <f>IMAGE("https://gymvisual.com/11965-catalog_default/twisted-leg-raise.jpg",4,500,500)</f>
        <v/>
      </c>
      <c r="B3794" s="30">
        <v>3793.0</v>
      </c>
      <c r="C3794" s="16" t="s">
        <v>4737</v>
      </c>
      <c r="D3794" s="16" t="s">
        <v>184</v>
      </c>
      <c r="E3794" s="16" t="s">
        <v>254</v>
      </c>
      <c r="F3794" s="16" t="s">
        <v>255</v>
      </c>
      <c r="G3794" s="16" t="s">
        <v>220</v>
      </c>
      <c r="H3794" s="16" t="s">
        <v>220</v>
      </c>
    </row>
    <row r="3795" ht="20.25" customHeight="1">
      <c r="A3795" s="32" t="str">
        <f>IMAGE("https://gymvisual.com/11964-catalog_default/twisted-leg-raise-female.jpg",4,500,500)</f>
        <v/>
      </c>
      <c r="B3795" s="30">
        <v>3794.0</v>
      </c>
      <c r="C3795" s="16" t="s">
        <v>4738</v>
      </c>
      <c r="D3795" s="16" t="s">
        <v>184</v>
      </c>
      <c r="E3795" s="16" t="s">
        <v>254</v>
      </c>
      <c r="F3795" s="16" t="s">
        <v>255</v>
      </c>
      <c r="G3795" s="16" t="s">
        <v>263</v>
      </c>
      <c r="H3795" s="16" t="s">
        <v>289</v>
      </c>
    </row>
    <row r="3796" ht="20.25" customHeight="1">
      <c r="A3796" s="32" t="str">
        <f>IMAGE("https://gymvisual.com/2463-catalog_default/twisting-crunch.jpg",4,500,500)</f>
        <v/>
      </c>
      <c r="B3796" s="30">
        <v>3795.0</v>
      </c>
      <c r="C3796" s="16" t="s">
        <v>4739</v>
      </c>
      <c r="D3796" s="16" t="s">
        <v>184</v>
      </c>
      <c r="E3796" s="16" t="s">
        <v>254</v>
      </c>
      <c r="F3796" s="16" t="s">
        <v>255</v>
      </c>
      <c r="G3796" s="16" t="s">
        <v>257</v>
      </c>
      <c r="H3796" s="16" t="s">
        <v>256</v>
      </c>
    </row>
    <row r="3797" ht="20.25" customHeight="1">
      <c r="A3797" s="32" t="str">
        <f>IMAGE("https://gymvisual.com/22775-catalog_default/twisting-crunch.jpg",4,500,500)</f>
        <v/>
      </c>
      <c r="B3797" s="30">
        <v>3796.0</v>
      </c>
      <c r="C3797" s="16" t="s">
        <v>4739</v>
      </c>
      <c r="D3797" s="16" t="s">
        <v>184</v>
      </c>
      <c r="E3797" s="16" t="s">
        <v>254</v>
      </c>
      <c r="F3797" s="16" t="s">
        <v>255</v>
      </c>
      <c r="G3797" s="16" t="s">
        <v>257</v>
      </c>
      <c r="H3797" s="16" t="s">
        <v>256</v>
      </c>
    </row>
    <row r="3798" ht="20.25" customHeight="1">
      <c r="A3798" s="32" t="str">
        <f>IMAGE("https://gymvisual.com/2460-catalog_default/twisting-crunch-arms-straight.jpg",4,500,500)</f>
        <v/>
      </c>
      <c r="B3798" s="30">
        <v>3797.0</v>
      </c>
      <c r="C3798" s="16" t="s">
        <v>4740</v>
      </c>
      <c r="D3798" s="16" t="s">
        <v>184</v>
      </c>
      <c r="E3798" s="16" t="s">
        <v>254</v>
      </c>
      <c r="F3798" s="16" t="s">
        <v>255</v>
      </c>
      <c r="G3798" s="16" t="s">
        <v>260</v>
      </c>
      <c r="H3798" s="16" t="s">
        <v>220</v>
      </c>
    </row>
    <row r="3799" ht="20.25" customHeight="1">
      <c r="A3799" s="32" t="str">
        <f>IMAGE("https://gymvisual.com/14306-catalog_default/twisting-crunch-straight-arms-male.jpg",4,500,500)</f>
        <v/>
      </c>
      <c r="B3799" s="30">
        <v>3798.0</v>
      </c>
      <c r="C3799" s="16" t="s">
        <v>4741</v>
      </c>
      <c r="D3799" s="16" t="s">
        <v>184</v>
      </c>
      <c r="E3799" s="16" t="s">
        <v>254</v>
      </c>
      <c r="F3799" s="16" t="s">
        <v>255</v>
      </c>
      <c r="G3799" s="16" t="s">
        <v>260</v>
      </c>
      <c r="H3799" s="16" t="s">
        <v>220</v>
      </c>
    </row>
    <row r="3800" ht="20.25" customHeight="1">
      <c r="A3800" s="32" t="str">
        <f>IMAGE("https://gymvisual.com/19389-catalog_default/two-legs-hammer-curl-with-towel-version-2.jpg",4,500,500)</f>
        <v/>
      </c>
      <c r="B3800" s="30">
        <v>3799.0</v>
      </c>
      <c r="C3800" s="16" t="s">
        <v>4742</v>
      </c>
      <c r="D3800" s="16" t="s">
        <v>184</v>
      </c>
      <c r="E3800" s="16" t="s">
        <v>219</v>
      </c>
      <c r="F3800" s="16" t="s">
        <v>255</v>
      </c>
      <c r="G3800" s="16" t="s">
        <v>216</v>
      </c>
      <c r="H3800" s="16" t="s">
        <v>217</v>
      </c>
    </row>
    <row r="3801" ht="20.25" customHeight="1">
      <c r="A3801" s="32" t="str">
        <f>IMAGE("https://gymvisual.com/22103-catalog_default/two-legs-reverse-biceps-curl-with-towel-version-2.jpg",4,500,500)</f>
        <v/>
      </c>
      <c r="B3801" s="30">
        <v>3800.0</v>
      </c>
      <c r="C3801" s="16" t="s">
        <v>4743</v>
      </c>
      <c r="D3801" s="16" t="s">
        <v>184</v>
      </c>
      <c r="E3801" s="16" t="s">
        <v>219</v>
      </c>
      <c r="F3801" s="16" t="s">
        <v>255</v>
      </c>
      <c r="G3801" s="16" t="s">
        <v>241</v>
      </c>
      <c r="H3801" s="16" t="s">
        <v>292</v>
      </c>
    </row>
    <row r="3802" ht="20.25" customHeight="1">
      <c r="A3802" s="32" t="str">
        <f>IMAGE("https://gymvisual.com/4594-catalog_default/underhand-grip-inverted-back-row.jpg",4,500,500)</f>
        <v/>
      </c>
      <c r="B3802" s="30">
        <v>3801.0</v>
      </c>
      <c r="C3802" s="16" t="s">
        <v>4744</v>
      </c>
      <c r="D3802" s="16" t="s">
        <v>184</v>
      </c>
      <c r="E3802" s="16" t="s">
        <v>192</v>
      </c>
      <c r="F3802" s="16" t="s">
        <v>255</v>
      </c>
      <c r="G3802" s="16" t="s">
        <v>329</v>
      </c>
      <c r="H3802" s="16" t="s">
        <v>3429</v>
      </c>
    </row>
    <row r="3803" ht="20.25" customHeight="1">
      <c r="A3803" s="32" t="str">
        <f>IMAGE("https://gymvisual.com/22825-catalog_default/v-sit-cross-punch.jpg",4,500,500)</f>
        <v/>
      </c>
      <c r="B3803" s="30">
        <v>3802.0</v>
      </c>
      <c r="C3803" s="16" t="s">
        <v>4745</v>
      </c>
      <c r="D3803" s="16" t="s">
        <v>184</v>
      </c>
      <c r="E3803" s="16" t="s">
        <v>254</v>
      </c>
      <c r="F3803" s="16" t="s">
        <v>255</v>
      </c>
      <c r="G3803" s="16" t="s">
        <v>4150</v>
      </c>
      <c r="H3803" s="16" t="s">
        <v>243</v>
      </c>
    </row>
    <row r="3804" ht="20.25" customHeight="1">
      <c r="A3804" s="32" t="str">
        <f>IMAGE("https://gymvisual.com/24073-catalog_default/v-sit-toe-tap.jpg",4,500,500)</f>
        <v/>
      </c>
      <c r="B3804" s="30">
        <v>3803.0</v>
      </c>
      <c r="C3804" s="16" t="s">
        <v>4746</v>
      </c>
      <c r="D3804" s="16" t="s">
        <v>184</v>
      </c>
      <c r="E3804" s="16" t="s">
        <v>254</v>
      </c>
      <c r="F3804" s="16" t="s">
        <v>255</v>
      </c>
      <c r="G3804" s="16" t="s">
        <v>220</v>
      </c>
      <c r="H3804" s="16" t="s">
        <v>220</v>
      </c>
    </row>
    <row r="3805" ht="20.25" customHeight="1">
      <c r="A3805" s="32" t="str">
        <f>IMAGE("https://gymvisual.com/2466-catalog_default/v-up.jpg",4,500,500)</f>
        <v/>
      </c>
      <c r="B3805" s="30">
        <v>3804.0</v>
      </c>
      <c r="C3805" s="16" t="s">
        <v>4747</v>
      </c>
      <c r="D3805" s="16" t="s">
        <v>184</v>
      </c>
      <c r="E3805" s="16" t="s">
        <v>254</v>
      </c>
      <c r="F3805" s="16" t="s">
        <v>255</v>
      </c>
      <c r="G3805" s="16" t="s">
        <v>305</v>
      </c>
      <c r="H3805" s="16" t="s">
        <v>317</v>
      </c>
    </row>
    <row r="3806" ht="20.25" customHeight="1">
      <c r="A3806" s="32" t="str">
        <f>IMAGE("https://gymvisual.com/14308-catalog_default/v-up-male.jpg",4,500,500)</f>
        <v/>
      </c>
      <c r="B3806" s="30">
        <v>3805.0</v>
      </c>
      <c r="C3806" s="16" t="s">
        <v>4748</v>
      </c>
      <c r="D3806" s="16" t="s">
        <v>184</v>
      </c>
      <c r="E3806" s="16" t="s">
        <v>310</v>
      </c>
      <c r="F3806" s="16" t="s">
        <v>255</v>
      </c>
      <c r="G3806" s="16" t="s">
        <v>305</v>
      </c>
      <c r="H3806" s="16" t="s">
        <v>4749</v>
      </c>
    </row>
    <row r="3807" ht="20.25" customHeight="1">
      <c r="A3807" s="32" t="str">
        <f>IMAGE("https://gymvisual.com/23583-catalog_default/v-up-double-crunch.jpg",4,500,500)</f>
        <v/>
      </c>
      <c r="B3807" s="30">
        <v>3806.0</v>
      </c>
      <c r="C3807" s="16" t="s">
        <v>4750</v>
      </c>
      <c r="D3807" s="16" t="s">
        <v>184</v>
      </c>
      <c r="E3807" s="16" t="s">
        <v>254</v>
      </c>
      <c r="F3807" s="16" t="s">
        <v>255</v>
      </c>
      <c r="G3807" s="16" t="s">
        <v>305</v>
      </c>
      <c r="H3807" s="16" t="s">
        <v>319</v>
      </c>
    </row>
    <row r="3808" ht="20.25" customHeight="1">
      <c r="A3808" s="32" t="str">
        <f>IMAGE("https://gymvisual.com/11978-catalog_default/v-up-down-with-stability-ball.jpg",4,500,500)</f>
        <v/>
      </c>
      <c r="B3808" s="30">
        <v>3807.0</v>
      </c>
      <c r="C3808" s="16" t="s">
        <v>4751</v>
      </c>
      <c r="D3808" s="16" t="s">
        <v>184</v>
      </c>
      <c r="E3808" s="16" t="s">
        <v>254</v>
      </c>
      <c r="F3808" s="16" t="s">
        <v>399</v>
      </c>
      <c r="G3808" s="16" t="s">
        <v>220</v>
      </c>
      <c r="H3808" s="16" t="s">
        <v>220</v>
      </c>
    </row>
    <row r="3809" ht="20.25" customHeight="1">
      <c r="A3809" s="32" t="str">
        <f>IMAGE("https://gymvisual.com/11979-catalog_default/v-up-down-with-stability-ball-female.jpg",4,500,500)</f>
        <v/>
      </c>
      <c r="B3809" s="30">
        <v>3808.0</v>
      </c>
      <c r="C3809" s="16" t="s">
        <v>4752</v>
      </c>
      <c r="D3809" s="16" t="s">
        <v>184</v>
      </c>
      <c r="E3809" s="16" t="s">
        <v>254</v>
      </c>
      <c r="F3809" s="16" t="s">
        <v>399</v>
      </c>
      <c r="G3809" s="16" t="s">
        <v>220</v>
      </c>
      <c r="H3809" s="16" t="s">
        <v>220</v>
      </c>
    </row>
    <row r="3810" ht="20.25" customHeight="1">
      <c r="A3810" s="32" t="str">
        <f>IMAGE("https://gymvisual.com/22580-catalog_default/v-up-with-clap.jpg",4,500,500)</f>
        <v/>
      </c>
      <c r="B3810" s="30">
        <v>3809.0</v>
      </c>
      <c r="C3810" s="16" t="s">
        <v>4753</v>
      </c>
      <c r="D3810" s="16" t="s">
        <v>184</v>
      </c>
      <c r="E3810" s="16" t="s">
        <v>254</v>
      </c>
      <c r="F3810" s="16" t="s">
        <v>255</v>
      </c>
      <c r="G3810" s="16" t="s">
        <v>256</v>
      </c>
      <c r="H3810" s="16" t="s">
        <v>4754</v>
      </c>
    </row>
    <row r="3811" ht="20.25" customHeight="1">
      <c r="A3811" s="32" t="str">
        <f>IMAGE("https://gymvisual.com/22145-catalog_default/v-up-with-clap-female.jpg",4,500,500)</f>
        <v/>
      </c>
      <c r="B3811" s="30">
        <v>3810.0</v>
      </c>
      <c r="C3811" s="16" t="s">
        <v>4755</v>
      </c>
      <c r="D3811" s="16" t="s">
        <v>184</v>
      </c>
      <c r="E3811" s="16" t="s">
        <v>254</v>
      </c>
      <c r="F3811" s="16" t="s">
        <v>255</v>
      </c>
      <c r="G3811" s="16" t="s">
        <v>220</v>
      </c>
      <c r="H3811" s="16" t="s">
        <v>220</v>
      </c>
    </row>
    <row r="3812" ht="20.25" customHeight="1">
      <c r="A3812" s="32" t="str">
        <f>IMAGE("https://gymvisual.com/7631-catalog_default/vertical-leg-raise-on-parallel-bars.jpg",4,500,500)</f>
        <v/>
      </c>
      <c r="B3812" s="30">
        <v>3811.0</v>
      </c>
      <c r="C3812" s="16" t="s">
        <v>4756</v>
      </c>
      <c r="D3812" s="16" t="s">
        <v>184</v>
      </c>
      <c r="E3812" s="16" t="s">
        <v>185</v>
      </c>
      <c r="F3812" s="16" t="s">
        <v>255</v>
      </c>
      <c r="G3812" s="16" t="s">
        <v>271</v>
      </c>
      <c r="H3812" s="16" t="s">
        <v>563</v>
      </c>
    </row>
    <row r="3813" ht="20.25" customHeight="1">
      <c r="A3813" s="32" t="str">
        <f>IMAGE("https://gymvisual.com/10969-catalog_default/vertical-leg-raise-on-parallel-bars-female.jpg",4,500,500)</f>
        <v/>
      </c>
      <c r="B3813" s="30">
        <v>3812.0</v>
      </c>
      <c r="C3813" s="16" t="s">
        <v>4757</v>
      </c>
      <c r="D3813" s="16" t="s">
        <v>184</v>
      </c>
      <c r="E3813" s="16" t="s">
        <v>310</v>
      </c>
      <c r="F3813" s="16" t="s">
        <v>255</v>
      </c>
      <c r="G3813" s="16" t="s">
        <v>220</v>
      </c>
      <c r="H3813" s="16" t="s">
        <v>220</v>
      </c>
    </row>
    <row r="3814" ht="20.25" customHeight="1">
      <c r="A3814" s="32" t="str">
        <f>IMAGE("https://gymvisual.com/14310-catalog_default/vertical-leg-raise-on-parallel-bars-female-version-2.jpg",4,500,500)</f>
        <v/>
      </c>
      <c r="B3814" s="30">
        <v>3813.0</v>
      </c>
      <c r="C3814" s="16" t="s">
        <v>4758</v>
      </c>
      <c r="D3814" s="16" t="s">
        <v>184</v>
      </c>
      <c r="E3814" s="16" t="s">
        <v>254</v>
      </c>
      <c r="F3814" s="16" t="s">
        <v>255</v>
      </c>
      <c r="G3814" s="16" t="s">
        <v>305</v>
      </c>
      <c r="H3814" s="16" t="s">
        <v>2482</v>
      </c>
    </row>
    <row r="3815" ht="20.25" customHeight="1">
      <c r="A3815" s="32" t="str">
        <f>IMAGE("https://gymvisual.com/23859-catalog_default/vertical-leg-raise-on-parallel-bars-male.jpg",4,500,500)</f>
        <v/>
      </c>
      <c r="B3815" s="30">
        <v>3814.0</v>
      </c>
      <c r="C3815" s="16" t="s">
        <v>4759</v>
      </c>
      <c r="D3815" s="16" t="s">
        <v>184</v>
      </c>
      <c r="E3815" s="16" t="s">
        <v>185</v>
      </c>
      <c r="F3815" s="16" t="s">
        <v>255</v>
      </c>
      <c r="G3815" s="16" t="s">
        <v>220</v>
      </c>
      <c r="H3815" s="16" t="s">
        <v>220</v>
      </c>
    </row>
    <row r="3816" ht="20.25" customHeight="1">
      <c r="A3816" s="32" t="str">
        <f>IMAGE("https://gymvisual.com/26430-catalog_default/vertical-sit-up-male.jpg",4,500,500)</f>
        <v/>
      </c>
      <c r="B3816" s="30">
        <v>3815.0</v>
      </c>
      <c r="C3816" s="16" t="s">
        <v>4760</v>
      </c>
      <c r="D3816" s="16" t="s">
        <v>184</v>
      </c>
      <c r="E3816" s="16" t="s">
        <v>254</v>
      </c>
      <c r="F3816" s="16" t="s">
        <v>255</v>
      </c>
      <c r="G3816" s="16" t="s">
        <v>305</v>
      </c>
      <c r="H3816" s="16" t="s">
        <v>600</v>
      </c>
    </row>
    <row r="3817" ht="20.25" customHeight="1">
      <c r="A3817" s="32" t="str">
        <f>IMAGE("https://gymvisual.com/23561-catalog_default/walking-lunge-female.jpg",4,500,500)</f>
        <v/>
      </c>
      <c r="B3817" s="30">
        <v>3816.0</v>
      </c>
      <c r="C3817" s="16" t="s">
        <v>4761</v>
      </c>
      <c r="D3817" s="16" t="s">
        <v>184</v>
      </c>
      <c r="E3817" s="16" t="s">
        <v>285</v>
      </c>
      <c r="F3817" s="16" t="s">
        <v>255</v>
      </c>
      <c r="G3817" s="16" t="s">
        <v>189</v>
      </c>
      <c r="H3817" s="16" t="s">
        <v>190</v>
      </c>
    </row>
    <row r="3818" ht="20.25" customHeight="1">
      <c r="A3818" s="32" t="str">
        <f>IMAGE("https://gymvisual.com/17893-catalog_default/wall-press-heel-tap-male.jpg",4,500,500)</f>
        <v/>
      </c>
      <c r="B3818" s="30">
        <v>3817.0</v>
      </c>
      <c r="C3818" s="16" t="s">
        <v>4762</v>
      </c>
      <c r="D3818" s="16" t="s">
        <v>184</v>
      </c>
      <c r="E3818" s="16" t="s">
        <v>185</v>
      </c>
      <c r="F3818" s="16" t="s">
        <v>255</v>
      </c>
      <c r="G3818" s="16" t="s">
        <v>220</v>
      </c>
      <c r="H3818" s="16" t="s">
        <v>220</v>
      </c>
    </row>
    <row r="3819" ht="20.25" customHeight="1">
      <c r="A3819" s="32" t="str">
        <f>IMAGE("https://gymvisual.com/23943-catalog_default/wall-pulse-male.jpg",4,500,500)</f>
        <v/>
      </c>
      <c r="B3819" s="30">
        <v>3818.0</v>
      </c>
      <c r="C3819" s="16" t="s">
        <v>4763</v>
      </c>
      <c r="D3819" s="16" t="s">
        <v>184</v>
      </c>
      <c r="E3819" s="16" t="s">
        <v>219</v>
      </c>
      <c r="F3819" s="16" t="s">
        <v>255</v>
      </c>
      <c r="G3819" s="16" t="s">
        <v>223</v>
      </c>
      <c r="H3819" s="16" t="s">
        <v>220</v>
      </c>
    </row>
    <row r="3820" ht="20.25" customHeight="1">
      <c r="A3820" s="32" t="str">
        <f>IMAGE("https://gymvisual.com/2480-catalog_default/weighted-bench-dip.jpg",4,500,500)</f>
        <v/>
      </c>
      <c r="B3820" s="30">
        <v>3819.0</v>
      </c>
      <c r="C3820" s="16" t="s">
        <v>4764</v>
      </c>
      <c r="D3820" s="16" t="s">
        <v>184</v>
      </c>
      <c r="E3820" s="16" t="s">
        <v>219</v>
      </c>
      <c r="F3820" s="16" t="s">
        <v>396</v>
      </c>
      <c r="G3820" s="16" t="s">
        <v>223</v>
      </c>
      <c r="H3820" s="16" t="s">
        <v>394</v>
      </c>
    </row>
    <row r="3821" ht="20.25" customHeight="1">
      <c r="A3821" s="32" t="str">
        <f>IMAGE("https://gymvisual.com/19363-catalog_default/weighted-captains-chair-leg-raise.jpg",4,500,500)</f>
        <v/>
      </c>
      <c r="B3821" s="30">
        <v>3820.0</v>
      </c>
      <c r="C3821" s="16" t="s">
        <v>4765</v>
      </c>
      <c r="D3821" s="16" t="s">
        <v>184</v>
      </c>
      <c r="E3821" s="16" t="s">
        <v>254</v>
      </c>
      <c r="F3821" s="16" t="s">
        <v>396</v>
      </c>
      <c r="G3821" s="16" t="s">
        <v>305</v>
      </c>
      <c r="H3821" s="16" t="s">
        <v>220</v>
      </c>
    </row>
    <row r="3822" ht="20.25" customHeight="1">
      <c r="A3822" s="32" t="str">
        <f>IMAGE("https://gymvisual.com/26124-catalog_default/weighted-chain-sumo-deadlift.jpg",4,500,500)</f>
        <v/>
      </c>
      <c r="B3822" s="30">
        <v>3821.0</v>
      </c>
      <c r="C3822" s="16" t="s">
        <v>4766</v>
      </c>
      <c r="D3822" s="16" t="s">
        <v>184</v>
      </c>
      <c r="E3822" s="16" t="s">
        <v>185</v>
      </c>
      <c r="F3822" s="16" t="s">
        <v>396</v>
      </c>
      <c r="G3822" s="16" t="s">
        <v>220</v>
      </c>
      <c r="H3822" s="16" t="s">
        <v>220</v>
      </c>
    </row>
    <row r="3823" ht="20.25" customHeight="1">
      <c r="A3823" s="32" t="str">
        <f>IMAGE("https://gymvisual.com/17905-catalog_default/weighted-chin-up-male.jpg",4,500,500)</f>
        <v/>
      </c>
      <c r="B3823" s="30">
        <v>3822.0</v>
      </c>
      <c r="C3823" s="16" t="s">
        <v>4767</v>
      </c>
      <c r="D3823" s="16" t="s">
        <v>184</v>
      </c>
      <c r="E3823" s="16" t="s">
        <v>192</v>
      </c>
      <c r="F3823" s="16" t="s">
        <v>396</v>
      </c>
      <c r="G3823" s="16" t="s">
        <v>329</v>
      </c>
      <c r="H3823" s="16" t="s">
        <v>447</v>
      </c>
    </row>
    <row r="3824" ht="20.25" customHeight="1">
      <c r="A3824" s="32" t="str">
        <f>IMAGE("https://gymvisual.com/12316-catalog_default/weighted-close-grip-chin-up-on-dip-cage.jpg",4,500,500)</f>
        <v/>
      </c>
      <c r="B3824" s="30">
        <v>3823.0</v>
      </c>
      <c r="C3824" s="16" t="s">
        <v>4768</v>
      </c>
      <c r="D3824" s="16" t="s">
        <v>184</v>
      </c>
      <c r="E3824" s="16" t="s">
        <v>192</v>
      </c>
      <c r="F3824" s="16" t="s">
        <v>396</v>
      </c>
      <c r="G3824" s="16" t="s">
        <v>300</v>
      </c>
      <c r="H3824" s="16" t="s">
        <v>1357</v>
      </c>
    </row>
    <row r="3825" ht="20.25" customHeight="1">
      <c r="A3825" s="32" t="str">
        <f>IMAGE("https://gymvisual.com/14376-catalog_default/weighted-cossack-squats-male.jpg",4,500,500)</f>
        <v/>
      </c>
      <c r="B3825" s="30">
        <v>3824.0</v>
      </c>
      <c r="C3825" s="16" t="s">
        <v>4769</v>
      </c>
      <c r="D3825" s="16" t="s">
        <v>184</v>
      </c>
      <c r="E3825" s="16" t="s">
        <v>294</v>
      </c>
      <c r="F3825" s="16" t="s">
        <v>396</v>
      </c>
      <c r="G3825" s="16" t="s">
        <v>4770</v>
      </c>
      <c r="H3825" s="16" t="s">
        <v>4771</v>
      </c>
    </row>
    <row r="3826" ht="20.25" customHeight="1">
      <c r="A3826" s="32" t="str">
        <f>IMAGE("https://gymvisual.com/17959-catalog_default/weighted-counterbalanced-skater-squat-male.jpg",4,500,500)</f>
        <v/>
      </c>
      <c r="B3826" s="30">
        <v>3825.0</v>
      </c>
      <c r="C3826" s="16" t="s">
        <v>4772</v>
      </c>
      <c r="D3826" s="16" t="s">
        <v>184</v>
      </c>
      <c r="E3826" s="16"/>
      <c r="F3826" s="16" t="s">
        <v>396</v>
      </c>
      <c r="G3826" s="16" t="s">
        <v>220</v>
      </c>
      <c r="H3826" s="16" t="s">
        <v>220</v>
      </c>
    </row>
    <row r="3827" ht="20.25" customHeight="1">
      <c r="A3827" s="32" t="str">
        <f>IMAGE("https://gymvisual.com/17957-catalog_default/weighted-counterbalanced-squat-male.jpg",4,500,500)</f>
        <v/>
      </c>
      <c r="B3827" s="30">
        <v>3826.0</v>
      </c>
      <c r="C3827" s="16" t="s">
        <v>4773</v>
      </c>
      <c r="D3827" s="16" t="s">
        <v>184</v>
      </c>
      <c r="E3827" s="16" t="s">
        <v>285</v>
      </c>
      <c r="F3827" s="16" t="s">
        <v>396</v>
      </c>
      <c r="G3827" s="16" t="s">
        <v>189</v>
      </c>
      <c r="H3827" s="16" t="s">
        <v>190</v>
      </c>
    </row>
    <row r="3828" ht="20.25" customHeight="1">
      <c r="A3828" s="32" t="str">
        <f>IMAGE("https://gymvisual.com/2486-catalog_default/weighted-crunch.jpg",4,500,500)</f>
        <v/>
      </c>
      <c r="B3828" s="30">
        <v>3827.0</v>
      </c>
      <c r="C3828" s="16" t="s">
        <v>4774</v>
      </c>
      <c r="D3828" s="16" t="s">
        <v>184</v>
      </c>
      <c r="E3828" s="16" t="s">
        <v>254</v>
      </c>
      <c r="F3828" s="16" t="s">
        <v>396</v>
      </c>
      <c r="G3828" s="16" t="s">
        <v>256</v>
      </c>
      <c r="H3828" s="16" t="s">
        <v>257</v>
      </c>
    </row>
    <row r="3829" ht="20.25" customHeight="1">
      <c r="A3829" s="32" t="str">
        <f>IMAGE("https://gymvisual.com/2483-catalog_default/weighted-crunch-bent-knee.jpg",4,500,500)</f>
        <v/>
      </c>
      <c r="B3829" s="30">
        <v>3828.0</v>
      </c>
      <c r="C3829" s="16" t="s">
        <v>4775</v>
      </c>
      <c r="D3829" s="16" t="s">
        <v>184</v>
      </c>
      <c r="E3829" s="16" t="s">
        <v>254</v>
      </c>
      <c r="F3829" s="16" t="s">
        <v>399</v>
      </c>
      <c r="G3829" s="16" t="s">
        <v>256</v>
      </c>
      <c r="H3829" s="16" t="s">
        <v>257</v>
      </c>
    </row>
    <row r="3830" ht="20.25" customHeight="1">
      <c r="A3830" s="32" t="str">
        <f>IMAGE("https://gymvisual.com/11179-catalog_default/weighted-crunch-female.jpg",4,500,500)</f>
        <v/>
      </c>
      <c r="B3830" s="30">
        <v>3829.0</v>
      </c>
      <c r="C3830" s="16" t="s">
        <v>4776</v>
      </c>
      <c r="D3830" s="16" t="s">
        <v>184</v>
      </c>
      <c r="E3830" s="16" t="s">
        <v>254</v>
      </c>
      <c r="F3830" s="16" t="s">
        <v>396</v>
      </c>
      <c r="G3830" s="16" t="s">
        <v>220</v>
      </c>
      <c r="H3830" s="16" t="s">
        <v>220</v>
      </c>
    </row>
    <row r="3831" ht="20.25" customHeight="1">
      <c r="A3831" s="32" t="str">
        <f>IMAGE("https://gymvisual.com/19395-catalog_default/weighted-crunch-version-2.jpg",4,500,500)</f>
        <v/>
      </c>
      <c r="B3831" s="30">
        <v>3830.0</v>
      </c>
      <c r="C3831" s="16" t="s">
        <v>4777</v>
      </c>
      <c r="D3831" s="16" t="s">
        <v>184</v>
      </c>
      <c r="E3831" s="16" t="s">
        <v>254</v>
      </c>
      <c r="F3831" s="16" t="s">
        <v>396</v>
      </c>
      <c r="G3831" s="16" t="s">
        <v>256</v>
      </c>
      <c r="H3831" s="16" t="s">
        <v>257</v>
      </c>
    </row>
    <row r="3832" ht="20.25" customHeight="1">
      <c r="A3832" s="32" t="str">
        <f>IMAGE("https://gymvisual.com/17955-catalog_default/weighted-dead-bug-male.jpg",4,500,500)</f>
        <v/>
      </c>
      <c r="B3832" s="30">
        <v>3831.0</v>
      </c>
      <c r="C3832" s="16" t="s">
        <v>4778</v>
      </c>
      <c r="D3832" s="16" t="s">
        <v>184</v>
      </c>
      <c r="E3832" s="16" t="s">
        <v>254</v>
      </c>
      <c r="F3832" s="16" t="s">
        <v>396</v>
      </c>
      <c r="G3832" s="16" t="s">
        <v>220</v>
      </c>
      <c r="H3832" s="16" t="s">
        <v>220</v>
      </c>
    </row>
    <row r="3833" ht="20.25" customHeight="1">
      <c r="A3833" s="32" t="str">
        <f>IMAGE("https://gymvisual.com/14629-catalog_default/weighted-decline-sit-up.jpg",4,500,500)</f>
        <v/>
      </c>
      <c r="B3833" s="30">
        <v>3832.0</v>
      </c>
      <c r="C3833" s="16" t="s">
        <v>4779</v>
      </c>
      <c r="D3833" s="16" t="s">
        <v>184</v>
      </c>
      <c r="E3833" s="16" t="s">
        <v>740</v>
      </c>
      <c r="F3833" s="16" t="s">
        <v>396</v>
      </c>
      <c r="G3833" s="16" t="s">
        <v>3766</v>
      </c>
      <c r="H3833" s="16" t="s">
        <v>4780</v>
      </c>
    </row>
    <row r="3834" ht="20.25" customHeight="1">
      <c r="A3834" s="32" t="str">
        <f>IMAGE("https://gymvisual.com/2489-catalog_default/weighted-donkey-calf-raise.jpg",4,500,500)</f>
        <v/>
      </c>
      <c r="B3834" s="30">
        <v>3833.0</v>
      </c>
      <c r="C3834" s="16" t="s">
        <v>4781</v>
      </c>
      <c r="D3834" s="16" t="s">
        <v>184</v>
      </c>
      <c r="E3834" s="16" t="s">
        <v>325</v>
      </c>
      <c r="F3834" s="16" t="s">
        <v>396</v>
      </c>
      <c r="G3834" s="16" t="s">
        <v>368</v>
      </c>
      <c r="H3834" s="16" t="s">
        <v>463</v>
      </c>
    </row>
    <row r="3835" ht="20.25" customHeight="1">
      <c r="A3835" s="32" t="str">
        <f>IMAGE("https://gymvisual.com/5999-catalog_default/weighted-drop-push-up.jpg",4,500,500)</f>
        <v/>
      </c>
      <c r="B3835" s="30">
        <v>3834.0</v>
      </c>
      <c r="C3835" s="16" t="s">
        <v>4782</v>
      </c>
      <c r="D3835" s="16" t="s">
        <v>184</v>
      </c>
      <c r="E3835" s="16" t="s">
        <v>234</v>
      </c>
      <c r="F3835" s="16" t="s">
        <v>396</v>
      </c>
      <c r="G3835" s="16" t="s">
        <v>347</v>
      </c>
      <c r="H3835" s="16" t="s">
        <v>3020</v>
      </c>
    </row>
    <row r="3836" ht="20.25" customHeight="1">
      <c r="A3836" s="32" t="str">
        <f>IMAGE("https://gymvisual.com/6850-catalog_default/weighted-exercise-ball-wall-squat.jpg",4,500,500)</f>
        <v/>
      </c>
      <c r="B3836" s="30">
        <v>3835.0</v>
      </c>
      <c r="C3836" s="16" t="s">
        <v>4783</v>
      </c>
      <c r="D3836" s="16" t="s">
        <v>184</v>
      </c>
      <c r="E3836" s="16" t="s">
        <v>285</v>
      </c>
      <c r="F3836" s="16" t="s">
        <v>396</v>
      </c>
      <c r="G3836" s="16" t="s">
        <v>220</v>
      </c>
      <c r="H3836" s="16" t="s">
        <v>220</v>
      </c>
    </row>
    <row r="3837" ht="20.25" customHeight="1">
      <c r="A3837" s="32" t="str">
        <f>IMAGE("https://gymvisual.com/13080-catalog_default/weighted-floor-crunch-feet-on-bench-female.jpg",4,500,500)</f>
        <v/>
      </c>
      <c r="B3837" s="30">
        <v>3836.0</v>
      </c>
      <c r="C3837" s="16" t="s">
        <v>4784</v>
      </c>
      <c r="D3837" s="16" t="s">
        <v>184</v>
      </c>
      <c r="E3837" s="16" t="s">
        <v>254</v>
      </c>
      <c r="F3837" s="16" t="s">
        <v>396</v>
      </c>
      <c r="G3837" s="16" t="s">
        <v>256</v>
      </c>
      <c r="H3837" s="16" t="s">
        <v>257</v>
      </c>
    </row>
    <row r="3838" ht="20.25" customHeight="1">
      <c r="A3838" s="32" t="str">
        <f>IMAGE("https://gymvisual.com/13091-catalog_default/weighted-floor-twisting-crunch-feet-on-bench-female.jpg",4,500,500)</f>
        <v/>
      </c>
      <c r="B3838" s="30">
        <v>3837.0</v>
      </c>
      <c r="C3838" s="16" t="s">
        <v>4785</v>
      </c>
      <c r="D3838" s="16" t="s">
        <v>184</v>
      </c>
      <c r="E3838" s="16" t="s">
        <v>254</v>
      </c>
      <c r="F3838" s="16" t="s">
        <v>396</v>
      </c>
      <c r="G3838" s="16" t="s">
        <v>257</v>
      </c>
      <c r="H3838" s="16" t="s">
        <v>256</v>
      </c>
    </row>
    <row r="3839" ht="20.25" customHeight="1">
      <c r="A3839" s="32" t="str">
        <f>IMAGE("https://gymvisual.com/12755-catalog_default/weighted-frog-pump.jpg",4,500,500)</f>
        <v/>
      </c>
      <c r="B3839" s="30">
        <v>3838.0</v>
      </c>
      <c r="C3839" s="16" t="s">
        <v>4786</v>
      </c>
      <c r="D3839" s="16" t="s">
        <v>184</v>
      </c>
      <c r="E3839" s="16" t="s">
        <v>185</v>
      </c>
      <c r="F3839" s="16" t="s">
        <v>396</v>
      </c>
      <c r="G3839" s="16" t="s">
        <v>1240</v>
      </c>
      <c r="H3839" s="16" t="s">
        <v>1241</v>
      </c>
    </row>
    <row r="3840" ht="20.25" customHeight="1">
      <c r="A3840" s="32" t="str">
        <f>IMAGE("https://gymvisual.com/2492-catalog_default/weighted-front-raise.jpg",4,500,500)</f>
        <v/>
      </c>
      <c r="B3840" s="30">
        <v>3839.0</v>
      </c>
      <c r="C3840" s="16" t="s">
        <v>4787</v>
      </c>
      <c r="D3840" s="16" t="s">
        <v>184</v>
      </c>
      <c r="E3840" s="16" t="s">
        <v>228</v>
      </c>
      <c r="F3840" s="16" t="s">
        <v>396</v>
      </c>
      <c r="G3840" s="16" t="s">
        <v>229</v>
      </c>
      <c r="H3840" s="16" t="s">
        <v>244</v>
      </c>
    </row>
    <row r="3841" ht="20.25" customHeight="1">
      <c r="A3841" s="32" t="str">
        <f>IMAGE("https://gymvisual.com/25663-catalog_default/weighted-full-can-exercise-male.jpg",4,500,500)</f>
        <v/>
      </c>
      <c r="B3841" s="30">
        <v>3840.0</v>
      </c>
      <c r="C3841" s="16" t="s">
        <v>4788</v>
      </c>
      <c r="D3841" s="16" t="s">
        <v>184</v>
      </c>
      <c r="E3841" s="16" t="s">
        <v>228</v>
      </c>
      <c r="F3841" s="16" t="s">
        <v>396</v>
      </c>
      <c r="G3841" s="16" t="s">
        <v>220</v>
      </c>
      <c r="H3841" s="16" t="s">
        <v>220</v>
      </c>
    </row>
    <row r="3842" ht="20.25" customHeight="1">
      <c r="A3842" s="32" t="str">
        <f>IMAGE("https://gymvisual.com/24458-catalog_default/weighted-full-squat-with-overhead-press.jpg",4,500,500)</f>
        <v/>
      </c>
      <c r="B3842" s="30">
        <v>3841.0</v>
      </c>
      <c r="C3842" s="16" t="s">
        <v>4789</v>
      </c>
      <c r="D3842" s="16" t="s">
        <v>184</v>
      </c>
      <c r="E3842" s="16" t="s">
        <v>285</v>
      </c>
      <c r="F3842" s="16" t="s">
        <v>396</v>
      </c>
      <c r="G3842" s="16" t="s">
        <v>793</v>
      </c>
      <c r="H3842" s="16" t="s">
        <v>1130</v>
      </c>
    </row>
    <row r="3843" ht="20.25" customHeight="1">
      <c r="A3843" s="32" t="str">
        <f>IMAGE("https://gymvisual.com/12313-catalog_default/weighted-hammer-grip-pull-up-on-dip-cage.jpg",4,500,500)</f>
        <v/>
      </c>
      <c r="B3843" s="30">
        <v>3842.0</v>
      </c>
      <c r="C3843" s="16" t="s">
        <v>4790</v>
      </c>
      <c r="D3843" s="16" t="s">
        <v>184</v>
      </c>
      <c r="E3843" s="16" t="s">
        <v>192</v>
      </c>
      <c r="F3843" s="16" t="s">
        <v>396</v>
      </c>
      <c r="G3843" s="16" t="s">
        <v>300</v>
      </c>
      <c r="H3843" s="16" t="s">
        <v>1357</v>
      </c>
    </row>
    <row r="3844" ht="20.25" customHeight="1">
      <c r="A3844" s="32" t="str">
        <f>IMAGE("https://gymvisual.com/18005-catalog_default/weighted-hang-chin-up.jpg",4,500,500)</f>
        <v/>
      </c>
      <c r="B3844" s="30">
        <v>3843.0</v>
      </c>
      <c r="C3844" s="16" t="s">
        <v>4791</v>
      </c>
      <c r="D3844" s="16" t="s">
        <v>184</v>
      </c>
      <c r="E3844" s="16" t="s">
        <v>192</v>
      </c>
      <c r="F3844" s="16" t="s">
        <v>396</v>
      </c>
      <c r="G3844" s="16" t="s">
        <v>220</v>
      </c>
      <c r="H3844" s="16" t="s">
        <v>220</v>
      </c>
    </row>
    <row r="3845" ht="20.25" customHeight="1">
      <c r="A3845" s="32" t="str">
        <f>IMAGE("https://gymvisual.com/2637-catalog_default/weighted-hanging-leg-hip-raise.jpg",4,500,500)</f>
        <v/>
      </c>
      <c r="B3845" s="30">
        <v>3844.0</v>
      </c>
      <c r="C3845" s="16" t="s">
        <v>4792</v>
      </c>
      <c r="D3845" s="16" t="s">
        <v>184</v>
      </c>
      <c r="E3845" s="16" t="s">
        <v>254</v>
      </c>
      <c r="F3845" s="16" t="s">
        <v>396</v>
      </c>
      <c r="G3845" s="16" t="s">
        <v>256</v>
      </c>
      <c r="H3845" s="16" t="s">
        <v>1308</v>
      </c>
    </row>
    <row r="3846" ht="20.25" customHeight="1">
      <c r="A3846" s="32" t="str">
        <f>IMAGE("https://gymvisual.com/11831-catalog_default/weighted-hip-thrusts-female.jpg",4,500,500)</f>
        <v/>
      </c>
      <c r="B3846" s="30">
        <v>3845.0</v>
      </c>
      <c r="C3846" s="16" t="s">
        <v>4793</v>
      </c>
      <c r="D3846" s="16" t="s">
        <v>184</v>
      </c>
      <c r="E3846" s="16" t="s">
        <v>185</v>
      </c>
      <c r="F3846" s="16" t="s">
        <v>396</v>
      </c>
      <c r="G3846" s="16" t="s">
        <v>220</v>
      </c>
      <c r="H3846" s="16" t="s">
        <v>220</v>
      </c>
    </row>
    <row r="3847" ht="20.25" customHeight="1">
      <c r="A3847" s="32" t="str">
        <f>IMAGE("https://gymvisual.com/22845-catalog_default/weighted-hyperextension.jpg",4,500,500)</f>
        <v/>
      </c>
      <c r="B3847" s="30">
        <v>3846.0</v>
      </c>
      <c r="C3847" s="16" t="s">
        <v>4794</v>
      </c>
      <c r="D3847" s="16" t="s">
        <v>184</v>
      </c>
      <c r="E3847" s="16" t="s">
        <v>185</v>
      </c>
      <c r="F3847" s="16" t="s">
        <v>396</v>
      </c>
      <c r="G3847" s="16" t="s">
        <v>275</v>
      </c>
      <c r="H3847" s="16" t="s">
        <v>2412</v>
      </c>
    </row>
    <row r="3848" ht="20.25" customHeight="1">
      <c r="A3848" s="32" t="str">
        <f>IMAGE("https://gymvisual.com/2495-catalog_default/weighted-hyperextension-on-stability-ball.jpg",4,500,500)</f>
        <v/>
      </c>
      <c r="B3848" s="30">
        <v>3847.0</v>
      </c>
      <c r="C3848" s="16" t="s">
        <v>4795</v>
      </c>
      <c r="D3848" s="16" t="s">
        <v>184</v>
      </c>
      <c r="E3848" s="16" t="s">
        <v>254</v>
      </c>
      <c r="F3848" s="16" t="s">
        <v>396</v>
      </c>
      <c r="G3848" s="16" t="s">
        <v>275</v>
      </c>
      <c r="H3848" s="16" t="s">
        <v>220</v>
      </c>
    </row>
    <row r="3849" ht="20.25" customHeight="1">
      <c r="A3849" s="32" t="str">
        <f>IMAGE("https://gymvisual.com/23883-catalog_default/weighted-incline-svend-press.jpg",4,500,500)</f>
        <v/>
      </c>
      <c r="B3849" s="30">
        <v>3848.0</v>
      </c>
      <c r="C3849" s="16" t="s">
        <v>4796</v>
      </c>
      <c r="D3849" s="16" t="s">
        <v>184</v>
      </c>
      <c r="E3849" s="16" t="s">
        <v>219</v>
      </c>
      <c r="F3849" s="16" t="s">
        <v>396</v>
      </c>
      <c r="G3849" s="16" t="s">
        <v>415</v>
      </c>
      <c r="H3849" s="16" t="s">
        <v>243</v>
      </c>
    </row>
    <row r="3850" ht="20.25" customHeight="1">
      <c r="A3850" s="32" t="str">
        <f>IMAGE("https://gymvisual.com/19359-catalog_default/weighted-inverted-row.jpg",4,500,500)</f>
        <v/>
      </c>
      <c r="B3850" s="30">
        <v>3849.0</v>
      </c>
      <c r="C3850" s="16" t="s">
        <v>4797</v>
      </c>
      <c r="D3850" s="16" t="s">
        <v>184</v>
      </c>
      <c r="E3850" s="16" t="s">
        <v>192</v>
      </c>
      <c r="F3850" s="16" t="s">
        <v>396</v>
      </c>
      <c r="G3850" s="16" t="s">
        <v>329</v>
      </c>
      <c r="H3850" s="16" t="s">
        <v>1907</v>
      </c>
    </row>
    <row r="3851" ht="20.25" customHeight="1">
      <c r="A3851" s="32" t="str">
        <f>IMAGE("https://gymvisual.com/14372-catalog_default/weighted-kneeling-step-with-swing.jpg",4,500,500)</f>
        <v/>
      </c>
      <c r="B3851" s="30">
        <v>3850.0</v>
      </c>
      <c r="C3851" s="16" t="s">
        <v>4798</v>
      </c>
      <c r="D3851" s="16" t="s">
        <v>184</v>
      </c>
      <c r="E3851" s="16" t="s">
        <v>1129</v>
      </c>
      <c r="F3851" s="16" t="s">
        <v>396</v>
      </c>
      <c r="G3851" s="16" t="s">
        <v>4799</v>
      </c>
      <c r="H3851" s="16" t="s">
        <v>4800</v>
      </c>
    </row>
    <row r="3852" ht="20.25" customHeight="1">
      <c r="A3852" s="32" t="str">
        <f>IMAGE("https://gymvisual.com/2498-catalog_default/weighted-leg-extension-crunch.jpg",4,500,500)</f>
        <v/>
      </c>
      <c r="B3852" s="30">
        <v>3851.0</v>
      </c>
      <c r="C3852" s="16" t="s">
        <v>4801</v>
      </c>
      <c r="D3852" s="16" t="s">
        <v>184</v>
      </c>
      <c r="E3852" s="16" t="s">
        <v>254</v>
      </c>
      <c r="F3852" s="16" t="s">
        <v>399</v>
      </c>
      <c r="G3852" s="16" t="s">
        <v>256</v>
      </c>
      <c r="H3852" s="16" t="s">
        <v>1308</v>
      </c>
    </row>
    <row r="3853" ht="20.25" customHeight="1">
      <c r="A3853" s="32" t="str">
        <f>IMAGE("https://gymvisual.com/14378-catalog_default/weighted-lunge-with-swing.jpg",4,500,500)</f>
        <v/>
      </c>
      <c r="B3853" s="30">
        <v>3852.0</v>
      </c>
      <c r="C3853" s="16" t="s">
        <v>4802</v>
      </c>
      <c r="D3853" s="16" t="s">
        <v>184</v>
      </c>
      <c r="E3853" s="16" t="s">
        <v>1129</v>
      </c>
      <c r="F3853" s="16" t="s">
        <v>396</v>
      </c>
      <c r="G3853" s="16" t="s">
        <v>793</v>
      </c>
      <c r="H3853" s="16" t="s">
        <v>2392</v>
      </c>
    </row>
    <row r="3854" ht="20.25" customHeight="1">
      <c r="A3854" s="32" t="str">
        <f>IMAGE("https://gymvisual.com/2501-catalog_default/weighted-lying-hip-abduction.jpg",4,500,500)</f>
        <v/>
      </c>
      <c r="B3854" s="30">
        <v>3853.0</v>
      </c>
      <c r="C3854" s="16" t="s">
        <v>4803</v>
      </c>
      <c r="D3854" s="16" t="s">
        <v>184</v>
      </c>
      <c r="E3854" s="16" t="s">
        <v>185</v>
      </c>
      <c r="F3854" s="16" t="s">
        <v>396</v>
      </c>
      <c r="G3854" s="16" t="s">
        <v>475</v>
      </c>
      <c r="H3854" s="16" t="s">
        <v>220</v>
      </c>
    </row>
    <row r="3855" ht="20.25" customHeight="1">
      <c r="A3855" s="32" t="str">
        <f>IMAGE("https://gymvisual.com/2953-catalog_default/weighted-lying-neck-extension.jpg",4,500,500)</f>
        <v/>
      </c>
      <c r="B3855" s="30">
        <v>3854.0</v>
      </c>
      <c r="C3855" s="16" t="s">
        <v>4804</v>
      </c>
      <c r="D3855" s="16" t="s">
        <v>184</v>
      </c>
      <c r="E3855" s="16" t="s">
        <v>351</v>
      </c>
      <c r="F3855" s="16" t="s">
        <v>396</v>
      </c>
      <c r="G3855" s="16" t="s">
        <v>3457</v>
      </c>
      <c r="H3855" s="16" t="s">
        <v>3458</v>
      </c>
    </row>
    <row r="3856" ht="20.25" customHeight="1">
      <c r="A3856" s="32" t="str">
        <f>IMAGE("https://gymvisual.com/10461-catalog_default/weighted-lying-neck-extension-with-head-harness.jpg",4,500,500)</f>
        <v/>
      </c>
      <c r="B3856" s="30">
        <v>3855.0</v>
      </c>
      <c r="C3856" s="16" t="s">
        <v>4805</v>
      </c>
      <c r="D3856" s="16" t="s">
        <v>184</v>
      </c>
      <c r="E3856" s="16" t="s">
        <v>351</v>
      </c>
      <c r="F3856" s="16" t="s">
        <v>396</v>
      </c>
      <c r="G3856" s="16" t="s">
        <v>220</v>
      </c>
      <c r="H3856" s="16" t="s">
        <v>220</v>
      </c>
    </row>
    <row r="3857" ht="20.25" customHeight="1">
      <c r="A3857" s="32" t="str">
        <f>IMAGE("https://gymvisual.com/2954-catalog_default/weighted-lying-neck-flexion.jpg",4,500,500)</f>
        <v/>
      </c>
      <c r="B3857" s="30">
        <v>3856.0</v>
      </c>
      <c r="C3857" s="16" t="s">
        <v>4806</v>
      </c>
      <c r="D3857" s="16" t="s">
        <v>184</v>
      </c>
      <c r="E3857" s="16" t="s">
        <v>351</v>
      </c>
      <c r="F3857" s="16" t="s">
        <v>396</v>
      </c>
      <c r="G3857" s="16" t="s">
        <v>3717</v>
      </c>
      <c r="H3857" s="16" t="s">
        <v>4807</v>
      </c>
    </row>
    <row r="3858" ht="20.25" customHeight="1">
      <c r="A3858" s="32" t="str">
        <f>IMAGE("https://gymvisual.com/10462-catalog_default/weighted-lying-neck-flexion-with-head-harness.jpg",4,500,500)</f>
        <v/>
      </c>
      <c r="B3858" s="30">
        <v>3857.0</v>
      </c>
      <c r="C3858" s="16" t="s">
        <v>4808</v>
      </c>
      <c r="D3858" s="16" t="s">
        <v>184</v>
      </c>
      <c r="E3858" s="16" t="s">
        <v>351</v>
      </c>
      <c r="F3858" s="16" t="s">
        <v>396</v>
      </c>
      <c r="G3858" s="16" t="s">
        <v>220</v>
      </c>
      <c r="H3858" s="16" t="s">
        <v>220</v>
      </c>
    </row>
    <row r="3859" ht="20.25" customHeight="1">
      <c r="A3859" s="32" t="str">
        <f>IMAGE("https://gymvisual.com/18986-catalog_default/weighted-lying-neck-head-twist.jpg",4,500,500)</f>
        <v/>
      </c>
      <c r="B3859" s="30">
        <v>3858.0</v>
      </c>
      <c r="C3859" s="16" t="s">
        <v>4809</v>
      </c>
      <c r="D3859" s="16" t="s">
        <v>184</v>
      </c>
      <c r="E3859" s="16" t="s">
        <v>351</v>
      </c>
      <c r="F3859" s="16" t="s">
        <v>396</v>
      </c>
      <c r="G3859" s="16" t="s">
        <v>220</v>
      </c>
      <c r="H3859" s="16" t="s">
        <v>220</v>
      </c>
    </row>
    <row r="3860" ht="20.25" customHeight="1">
      <c r="A3860" s="32" t="str">
        <f>IMAGE("https://gymvisual.com/18984-catalog_default/weighted-lying-neck-side-to-side.jpg",4,500,500)</f>
        <v/>
      </c>
      <c r="B3860" s="30">
        <v>3859.0</v>
      </c>
      <c r="C3860" s="16" t="s">
        <v>4810</v>
      </c>
      <c r="D3860" s="16" t="s">
        <v>184</v>
      </c>
      <c r="E3860" s="16" t="s">
        <v>351</v>
      </c>
      <c r="F3860" s="16" t="s">
        <v>396</v>
      </c>
      <c r="G3860" s="16" t="s">
        <v>220</v>
      </c>
      <c r="H3860" s="16" t="s">
        <v>220</v>
      </c>
    </row>
    <row r="3861" ht="20.25" customHeight="1">
      <c r="A3861" s="32" t="str">
        <f>IMAGE("https://gymvisual.com/10452-catalog_default/weighted-lying-side-lifting-head-with-head-harness.jpg",4,500,500)</f>
        <v/>
      </c>
      <c r="B3861" s="30">
        <v>3860.0</v>
      </c>
      <c r="C3861" s="16" t="s">
        <v>4811</v>
      </c>
      <c r="D3861" s="16" t="s">
        <v>184</v>
      </c>
      <c r="E3861" s="16" t="s">
        <v>351</v>
      </c>
      <c r="F3861" s="16" t="s">
        <v>396</v>
      </c>
      <c r="G3861" s="16" t="s">
        <v>3717</v>
      </c>
      <c r="H3861" s="16" t="s">
        <v>4812</v>
      </c>
    </row>
    <row r="3862" ht="20.25" customHeight="1">
      <c r="A3862" s="32" t="str">
        <f>IMAGE("https://gymvisual.com/18980-catalog_default/weighted-lying-side-neck-raise.jpg",4,500,500)</f>
        <v/>
      </c>
      <c r="B3862" s="30">
        <v>3861.0</v>
      </c>
      <c r="C3862" s="16" t="s">
        <v>4813</v>
      </c>
      <c r="D3862" s="16" t="s">
        <v>184</v>
      </c>
      <c r="E3862" s="16" t="s">
        <v>351</v>
      </c>
      <c r="F3862" s="16" t="s">
        <v>396</v>
      </c>
      <c r="G3862" s="16" t="s">
        <v>220</v>
      </c>
      <c r="H3862" s="16" t="s">
        <v>220</v>
      </c>
    </row>
    <row r="3863" ht="20.25" customHeight="1">
      <c r="A3863" s="32" t="str">
        <f>IMAGE("https://gymvisual.com/2507-catalog_default/weighted-lying-twist.jpg",4,500,500)</f>
        <v/>
      </c>
      <c r="B3863" s="30">
        <v>3862.0</v>
      </c>
      <c r="C3863" s="16" t="s">
        <v>4814</v>
      </c>
      <c r="D3863" s="16" t="s">
        <v>184</v>
      </c>
      <c r="E3863" s="16" t="s">
        <v>254</v>
      </c>
      <c r="F3863" s="16" t="s">
        <v>399</v>
      </c>
      <c r="G3863" s="16" t="s">
        <v>257</v>
      </c>
      <c r="H3863" s="16" t="s">
        <v>220</v>
      </c>
    </row>
    <row r="3864" ht="20.25" customHeight="1">
      <c r="A3864" s="32" t="str">
        <f>IMAGE("https://gymvisual.com/13509-catalog_default/weighted-muscle-up.jpg",4,500,500)</f>
        <v/>
      </c>
      <c r="B3864" s="30">
        <v>3863.0</v>
      </c>
      <c r="C3864" s="16" t="s">
        <v>4815</v>
      </c>
      <c r="D3864" s="16" t="s">
        <v>184</v>
      </c>
      <c r="E3864" s="16" t="s">
        <v>192</v>
      </c>
      <c r="F3864" s="16" t="s">
        <v>396</v>
      </c>
      <c r="G3864" s="16" t="s">
        <v>220</v>
      </c>
      <c r="H3864" s="16" t="s">
        <v>220</v>
      </c>
    </row>
    <row r="3865" ht="20.25" customHeight="1">
      <c r="A3865" s="32" t="str">
        <f>IMAGE("https://gymvisual.com/13553-catalog_default/weighted-muscle-up-on-bar.jpg",4,500,500)</f>
        <v/>
      </c>
      <c r="B3865" s="30">
        <v>3864.0</v>
      </c>
      <c r="C3865" s="16" t="s">
        <v>4816</v>
      </c>
      <c r="D3865" s="16" t="s">
        <v>184</v>
      </c>
      <c r="E3865" s="16" t="s">
        <v>361</v>
      </c>
      <c r="F3865" s="16" t="s">
        <v>396</v>
      </c>
      <c r="G3865" s="16" t="s">
        <v>220</v>
      </c>
      <c r="H3865" s="16" t="s">
        <v>220</v>
      </c>
    </row>
    <row r="3866" ht="20.25" customHeight="1">
      <c r="A3866" s="32" t="str">
        <f>IMAGE("https://gymvisual.com/13517-catalog_default/weighted-one-hand-pull-up.jpg",4,500,500)</f>
        <v/>
      </c>
      <c r="B3866" s="30">
        <v>3865.0</v>
      </c>
      <c r="C3866" s="16" t="s">
        <v>4817</v>
      </c>
      <c r="D3866" s="16" t="s">
        <v>184</v>
      </c>
      <c r="E3866" s="16" t="s">
        <v>192</v>
      </c>
      <c r="F3866" s="16" t="s">
        <v>396</v>
      </c>
      <c r="G3866" s="16" t="s">
        <v>300</v>
      </c>
      <c r="H3866" s="16" t="s">
        <v>387</v>
      </c>
    </row>
    <row r="3867" ht="20.25" customHeight="1">
      <c r="A3867" s="32" t="str">
        <f>IMAGE("https://gymvisual.com/4079-catalog_default/weighted-one-leg-hip-thrust.jpg",4,500,500)</f>
        <v/>
      </c>
      <c r="B3867" s="30">
        <v>3866.0</v>
      </c>
      <c r="C3867" s="16" t="s">
        <v>4818</v>
      </c>
      <c r="D3867" s="16" t="s">
        <v>184</v>
      </c>
      <c r="E3867" s="16" t="s">
        <v>185</v>
      </c>
      <c r="F3867" s="16" t="s">
        <v>396</v>
      </c>
      <c r="G3867" s="16" t="s">
        <v>187</v>
      </c>
      <c r="H3867" s="16" t="s">
        <v>854</v>
      </c>
    </row>
    <row r="3868" ht="20.25" customHeight="1">
      <c r="A3868" s="32" t="str">
        <f>IMAGE("https://gymvisual.com/2510-catalog_default/weighted-overhead-crunch-on-stability-ball.jpg",4,500,500)</f>
        <v/>
      </c>
      <c r="B3868" s="30">
        <v>3867.0</v>
      </c>
      <c r="C3868" s="16" t="s">
        <v>4819</v>
      </c>
      <c r="D3868" s="16" t="s">
        <v>184</v>
      </c>
      <c r="E3868" s="16" t="s">
        <v>254</v>
      </c>
      <c r="F3868" s="16" t="s">
        <v>396</v>
      </c>
      <c r="G3868" s="16" t="s">
        <v>256</v>
      </c>
      <c r="H3868" s="16" t="s">
        <v>257</v>
      </c>
    </row>
    <row r="3869" ht="20.25" customHeight="1">
      <c r="A3869" s="32" t="str">
        <f>IMAGE("https://gymvisual.com/18013-catalog_default/weighted-overhead-press-step-up.jpg",4,500,500)</f>
        <v/>
      </c>
      <c r="B3869" s="30">
        <v>3868.0</v>
      </c>
      <c r="C3869" s="16" t="s">
        <v>4820</v>
      </c>
      <c r="D3869" s="16" t="s">
        <v>184</v>
      </c>
      <c r="E3869" s="16" t="s">
        <v>285</v>
      </c>
      <c r="F3869" s="16" t="s">
        <v>396</v>
      </c>
      <c r="G3869" s="16" t="s">
        <v>220</v>
      </c>
      <c r="H3869" s="16" t="s">
        <v>220</v>
      </c>
    </row>
    <row r="3870" ht="20.25" customHeight="1">
      <c r="A3870" s="32" t="str">
        <f>IMAGE("https://gymvisual.com/17719-catalog_default/weighted-plate-bent-over-row.jpg",4,500,500)</f>
        <v/>
      </c>
      <c r="B3870" s="30">
        <v>3869.0</v>
      </c>
      <c r="C3870" s="16" t="s">
        <v>4821</v>
      </c>
      <c r="D3870" s="16" t="s">
        <v>184</v>
      </c>
      <c r="E3870" s="16" t="s">
        <v>192</v>
      </c>
      <c r="F3870" s="16" t="s">
        <v>396</v>
      </c>
      <c r="G3870" s="16" t="s">
        <v>570</v>
      </c>
      <c r="H3870" s="16" t="s">
        <v>447</v>
      </c>
    </row>
    <row r="3871" ht="20.25" customHeight="1">
      <c r="A3871" s="32" t="str">
        <f>IMAGE("https://gymvisual.com/24258-catalog_default/weighted-plate-overhead-march.jpg",4,500,500)</f>
        <v/>
      </c>
      <c r="B3871" s="30">
        <v>3870.0</v>
      </c>
      <c r="C3871" s="16" t="s">
        <v>4822</v>
      </c>
      <c r="D3871" s="16" t="s">
        <v>184</v>
      </c>
      <c r="E3871" s="16" t="s">
        <v>285</v>
      </c>
      <c r="F3871" s="16" t="s">
        <v>396</v>
      </c>
      <c r="G3871" s="16" t="s">
        <v>1332</v>
      </c>
      <c r="H3871" s="16" t="s">
        <v>314</v>
      </c>
    </row>
    <row r="3872" ht="20.25" customHeight="1">
      <c r="A3872" s="32" t="str">
        <f>IMAGE("https://gymvisual.com/22379-catalog_default/weighted-plate-standing-high-front-raise.jpg",4,500,500)</f>
        <v/>
      </c>
      <c r="B3872" s="30">
        <v>3871.0</v>
      </c>
      <c r="C3872" s="16" t="s">
        <v>4823</v>
      </c>
      <c r="D3872" s="16" t="s">
        <v>184</v>
      </c>
      <c r="E3872" s="16" t="s">
        <v>228</v>
      </c>
      <c r="F3872" s="16" t="s">
        <v>396</v>
      </c>
      <c r="G3872" s="16" t="s">
        <v>220</v>
      </c>
      <c r="H3872" s="16" t="s">
        <v>220</v>
      </c>
    </row>
    <row r="3873" ht="20.25" customHeight="1">
      <c r="A3873" s="32" t="str">
        <f>IMAGE("https://gymvisual.com/2513-catalog_default/weighted-pull-up.jpg",4,500,500)</f>
        <v/>
      </c>
      <c r="B3873" s="30">
        <v>3872.0</v>
      </c>
      <c r="C3873" s="16" t="s">
        <v>4824</v>
      </c>
      <c r="D3873" s="16" t="s">
        <v>184</v>
      </c>
      <c r="E3873" s="16" t="s">
        <v>192</v>
      </c>
      <c r="F3873" s="16" t="s">
        <v>396</v>
      </c>
      <c r="G3873" s="16" t="s">
        <v>300</v>
      </c>
      <c r="H3873" s="16" t="s">
        <v>4825</v>
      </c>
    </row>
    <row r="3874" ht="20.25" customHeight="1">
      <c r="A3874" s="32" t="str">
        <f>IMAGE("https://gymvisual.com/2516-catalog_default/weighted-pullover-on-stability-ball.jpg",4,500,500)</f>
        <v/>
      </c>
      <c r="B3874" s="30">
        <v>3873.0</v>
      </c>
      <c r="C3874" s="16" t="s">
        <v>4826</v>
      </c>
      <c r="D3874" s="16" t="s">
        <v>184</v>
      </c>
      <c r="E3874" s="16" t="s">
        <v>192</v>
      </c>
      <c r="F3874" s="16" t="s">
        <v>396</v>
      </c>
      <c r="G3874" s="16" t="s">
        <v>300</v>
      </c>
      <c r="H3874" s="16" t="s">
        <v>687</v>
      </c>
    </row>
    <row r="3875" ht="20.25" customHeight="1">
      <c r="A3875" s="32" t="str">
        <f>IMAGE("https://gymvisual.com/17171-catalog_default/weighted-push-up-with-vest.jpg",4,500,500)</f>
        <v/>
      </c>
      <c r="B3875" s="30">
        <v>3874.0</v>
      </c>
      <c r="C3875" s="16" t="s">
        <v>4827</v>
      </c>
      <c r="D3875" s="16" t="s">
        <v>184</v>
      </c>
      <c r="E3875" s="16" t="s">
        <v>234</v>
      </c>
      <c r="F3875" s="16" t="s">
        <v>396</v>
      </c>
      <c r="G3875" s="16" t="s">
        <v>235</v>
      </c>
      <c r="H3875" s="16" t="s">
        <v>243</v>
      </c>
    </row>
    <row r="3876" ht="20.25" customHeight="1">
      <c r="A3876" s="32" t="str">
        <f>IMAGE("https://gymvisual.com/2519-catalog_default/weighted-reduction-triangle.jpg",4,500,500)</f>
        <v/>
      </c>
      <c r="B3876" s="30">
        <v>3875.0</v>
      </c>
      <c r="C3876" s="16" t="s">
        <v>4828</v>
      </c>
      <c r="D3876" s="16" t="s">
        <v>184</v>
      </c>
      <c r="E3876" s="16" t="s">
        <v>285</v>
      </c>
      <c r="F3876" s="16" t="s">
        <v>399</v>
      </c>
      <c r="G3876" s="16" t="s">
        <v>2412</v>
      </c>
      <c r="H3876" s="16" t="s">
        <v>4829</v>
      </c>
    </row>
    <row r="3877" ht="20.25" customHeight="1">
      <c r="A3877" s="32" t="str">
        <f>IMAGE("https://gymvisual.com/2522-catalog_default/weighted-round-arm.jpg",4,500,500)</f>
        <v/>
      </c>
      <c r="B3877" s="30">
        <v>3876.0</v>
      </c>
      <c r="C3877" s="16" t="s">
        <v>4830</v>
      </c>
      <c r="D3877" s="16" t="s">
        <v>184</v>
      </c>
      <c r="E3877" s="16" t="s">
        <v>228</v>
      </c>
      <c r="F3877" s="16" t="s">
        <v>396</v>
      </c>
      <c r="G3877" s="16" t="s">
        <v>229</v>
      </c>
      <c r="H3877" s="16" t="s">
        <v>244</v>
      </c>
    </row>
    <row r="3878" ht="20.25" customHeight="1">
      <c r="A3878" s="32" t="str">
        <f>IMAGE("https://gymvisual.com/2528-catalog_default/weighted-russian-twist.jpg",4,500,500)</f>
        <v/>
      </c>
      <c r="B3878" s="30">
        <v>3877.0</v>
      </c>
      <c r="C3878" s="16" t="s">
        <v>4831</v>
      </c>
      <c r="D3878" s="16" t="s">
        <v>184</v>
      </c>
      <c r="E3878" s="16" t="s">
        <v>254</v>
      </c>
      <c r="F3878" s="16" t="s">
        <v>396</v>
      </c>
      <c r="G3878" s="16" t="s">
        <v>257</v>
      </c>
      <c r="H3878" s="16" t="s">
        <v>220</v>
      </c>
    </row>
    <row r="3879" ht="20.25" customHeight="1">
      <c r="A3879" s="32" t="str">
        <f>IMAGE("https://gymvisual.com/11236-catalog_default/weighted-russian-twist-female.jpg",4,500,500)</f>
        <v/>
      </c>
      <c r="B3879" s="30">
        <v>3878.0</v>
      </c>
      <c r="C3879" s="16" t="s">
        <v>4832</v>
      </c>
      <c r="D3879" s="16" t="s">
        <v>184</v>
      </c>
      <c r="E3879" s="16" t="s">
        <v>254</v>
      </c>
      <c r="F3879" s="16" t="s">
        <v>396</v>
      </c>
      <c r="G3879" s="16" t="s">
        <v>220</v>
      </c>
      <c r="H3879" s="16" t="s">
        <v>220</v>
      </c>
    </row>
    <row r="3880" ht="20.25" customHeight="1">
      <c r="A3880" s="32" t="str">
        <f>IMAGE("https://gymvisual.com/2525-catalog_default/weighted-russian-twist-legs-up.jpg",4,500,500)</f>
        <v/>
      </c>
      <c r="B3880" s="30">
        <v>3879.0</v>
      </c>
      <c r="C3880" s="16" t="s">
        <v>4833</v>
      </c>
      <c r="D3880" s="16" t="s">
        <v>184</v>
      </c>
      <c r="E3880" s="16" t="s">
        <v>254</v>
      </c>
      <c r="F3880" s="16" t="s">
        <v>396</v>
      </c>
      <c r="G3880" s="16" t="s">
        <v>257</v>
      </c>
      <c r="H3880" s="16" t="s">
        <v>2640</v>
      </c>
    </row>
    <row r="3881" ht="20.25" customHeight="1">
      <c r="A3881" s="32" t="str">
        <f>IMAGE("https://gymvisual.com/10294-catalog_default/weighted-russian-twist-version-2.jpg",4,500,500)</f>
        <v/>
      </c>
      <c r="B3881" s="30">
        <v>3880.0</v>
      </c>
      <c r="C3881" s="16" t="s">
        <v>4834</v>
      </c>
      <c r="D3881" s="16" t="s">
        <v>184</v>
      </c>
      <c r="E3881" s="16" t="s">
        <v>254</v>
      </c>
      <c r="F3881" s="16" t="s">
        <v>396</v>
      </c>
      <c r="G3881" s="16" t="s">
        <v>257</v>
      </c>
      <c r="H3881" s="16" t="s">
        <v>305</v>
      </c>
    </row>
    <row r="3882" ht="20.25" customHeight="1">
      <c r="A3882" s="32" t="str">
        <f>IMAGE("https://gymvisual.com/2531-catalog_default/weighted-seated-bicep-curl-on-stability-ball.jpg",4,500,500)</f>
        <v/>
      </c>
      <c r="B3882" s="30">
        <v>3881.0</v>
      </c>
      <c r="C3882" s="16" t="s">
        <v>4835</v>
      </c>
      <c r="D3882" s="16" t="s">
        <v>184</v>
      </c>
      <c r="E3882" s="16" t="s">
        <v>219</v>
      </c>
      <c r="F3882" s="16" t="s">
        <v>373</v>
      </c>
      <c r="G3882" s="16" t="s">
        <v>232</v>
      </c>
      <c r="H3882" s="16" t="s">
        <v>233</v>
      </c>
    </row>
    <row r="3883" ht="20.25" customHeight="1">
      <c r="A3883" s="32" t="str">
        <f>IMAGE("https://gymvisual.com/17571-catalog_default/weighted-seated-calf-raise.jpg",4,500,500)</f>
        <v/>
      </c>
      <c r="B3883" s="30">
        <v>3882.0</v>
      </c>
      <c r="C3883" s="16" t="s">
        <v>4836</v>
      </c>
      <c r="D3883" s="16" t="s">
        <v>184</v>
      </c>
      <c r="E3883" s="16" t="s">
        <v>325</v>
      </c>
      <c r="F3883" s="16" t="s">
        <v>396</v>
      </c>
      <c r="G3883" s="16" t="s">
        <v>368</v>
      </c>
      <c r="H3883" s="16" t="s">
        <v>463</v>
      </c>
    </row>
    <row r="3884" ht="20.25" customHeight="1">
      <c r="A3884" s="32" t="str">
        <f>IMAGE("https://gymvisual.com/24153-catalog_default/weighted-seated-calf-raise-version-2.jpg",4,500,500)</f>
        <v/>
      </c>
      <c r="B3884" s="30">
        <v>3883.0</v>
      </c>
      <c r="C3884" s="16" t="s">
        <v>4837</v>
      </c>
      <c r="D3884" s="16" t="s">
        <v>184</v>
      </c>
      <c r="E3884" s="16" t="s">
        <v>325</v>
      </c>
      <c r="F3884" s="16" t="s">
        <v>396</v>
      </c>
      <c r="G3884" s="16" t="s">
        <v>220</v>
      </c>
      <c r="H3884" s="16" t="s">
        <v>220</v>
      </c>
    </row>
    <row r="3885" ht="20.25" customHeight="1">
      <c r="A3885" s="32" t="str">
        <f>IMAGE("https://gymvisual.com/20165-catalog_default/weighted-seated-leg-raise-on-floor.jpg",4,500,500)</f>
        <v/>
      </c>
      <c r="B3885" s="30">
        <v>3884.0</v>
      </c>
      <c r="C3885" s="16" t="s">
        <v>4838</v>
      </c>
      <c r="D3885" s="16" t="s">
        <v>184</v>
      </c>
      <c r="E3885" s="16" t="s">
        <v>254</v>
      </c>
      <c r="F3885" s="16" t="s">
        <v>396</v>
      </c>
      <c r="G3885" s="16" t="s">
        <v>305</v>
      </c>
      <c r="H3885" s="16" t="s">
        <v>600</v>
      </c>
    </row>
    <row r="3886" ht="20.25" customHeight="1">
      <c r="A3886" s="32" t="str">
        <f>IMAGE("https://gymvisual.com/10453-catalog_default/weighted-seated-neck-extension-with-head-harness.jpg",4,500,500)</f>
        <v/>
      </c>
      <c r="B3886" s="30">
        <v>3885.0</v>
      </c>
      <c r="C3886" s="16" t="s">
        <v>4839</v>
      </c>
      <c r="D3886" s="16" t="s">
        <v>184</v>
      </c>
      <c r="E3886" s="16" t="s">
        <v>351</v>
      </c>
      <c r="F3886" s="16" t="s">
        <v>396</v>
      </c>
      <c r="G3886" s="16" t="s">
        <v>3457</v>
      </c>
      <c r="H3886" s="16" t="s">
        <v>4840</v>
      </c>
    </row>
    <row r="3887" ht="20.25" customHeight="1">
      <c r="A3887" s="32" t="str">
        <f>IMAGE("https://gymvisual.com/17569-catalog_default/weighted-seated-neutral-wrist-curl.jpg",4,500,500)</f>
        <v/>
      </c>
      <c r="B3887" s="30">
        <v>3886.0</v>
      </c>
      <c r="C3887" s="16" t="s">
        <v>4841</v>
      </c>
      <c r="D3887" s="16" t="s">
        <v>184</v>
      </c>
      <c r="E3887" s="16" t="s">
        <v>214</v>
      </c>
      <c r="F3887" s="16" t="s">
        <v>396</v>
      </c>
      <c r="G3887" s="16" t="s">
        <v>220</v>
      </c>
      <c r="H3887" s="16" t="s">
        <v>220</v>
      </c>
    </row>
    <row r="3888" ht="20.25" customHeight="1">
      <c r="A3888" s="32" t="str">
        <f>IMAGE("https://gymvisual.com/17632-catalog_default/weighted-seated-one-arm-reverse-wrist-curl.jpg",4,500,500)</f>
        <v/>
      </c>
      <c r="B3888" s="30">
        <v>3887.0</v>
      </c>
      <c r="C3888" s="16" t="s">
        <v>4842</v>
      </c>
      <c r="D3888" s="16" t="s">
        <v>184</v>
      </c>
      <c r="E3888" s="16" t="s">
        <v>214</v>
      </c>
      <c r="F3888" s="16" t="s">
        <v>396</v>
      </c>
      <c r="G3888" s="16" t="s">
        <v>604</v>
      </c>
      <c r="H3888" s="16" t="s">
        <v>220</v>
      </c>
    </row>
    <row r="3889" ht="20.25" customHeight="1">
      <c r="A3889" s="32" t="str">
        <f>IMAGE("https://gymvisual.com/17630-catalog_default/weighted-seated-one-arm-wrist-curl.jpg",4,500,500)</f>
        <v/>
      </c>
      <c r="B3889" s="30">
        <v>3888.0</v>
      </c>
      <c r="C3889" s="16" t="s">
        <v>4843</v>
      </c>
      <c r="D3889" s="16" t="s">
        <v>184</v>
      </c>
      <c r="E3889" s="16" t="s">
        <v>214</v>
      </c>
      <c r="F3889" s="16" t="s">
        <v>396</v>
      </c>
      <c r="G3889" s="16" t="s">
        <v>720</v>
      </c>
      <c r="H3889" s="16" t="s">
        <v>220</v>
      </c>
    </row>
    <row r="3890" ht="20.25" customHeight="1">
      <c r="A3890" s="32" t="str">
        <f>IMAGE("https://gymvisual.com/17628-catalog_default/weighted-seated-reverse-wrist-curl.jpg",4,500,500)</f>
        <v/>
      </c>
      <c r="B3890" s="30">
        <v>3889.0</v>
      </c>
      <c r="C3890" s="16" t="s">
        <v>4844</v>
      </c>
      <c r="D3890" s="16" t="s">
        <v>184</v>
      </c>
      <c r="E3890" s="16" t="s">
        <v>214</v>
      </c>
      <c r="F3890" s="16" t="s">
        <v>396</v>
      </c>
      <c r="G3890" s="16" t="s">
        <v>604</v>
      </c>
      <c r="H3890" s="16" t="s">
        <v>220</v>
      </c>
    </row>
    <row r="3891" ht="20.25" customHeight="1">
      <c r="A3891" s="32" t="str">
        <f>IMAGE("https://gymvisual.com/24155-catalog_default/weighted-seated-single-calf-raise-version-2.jpg",4,500,500)</f>
        <v/>
      </c>
      <c r="B3891" s="30">
        <v>3890.0</v>
      </c>
      <c r="C3891" s="16" t="s">
        <v>4845</v>
      </c>
      <c r="D3891" s="16" t="s">
        <v>184</v>
      </c>
      <c r="E3891" s="16" t="s">
        <v>325</v>
      </c>
      <c r="F3891" s="16" t="s">
        <v>396</v>
      </c>
      <c r="G3891" s="16" t="s">
        <v>220</v>
      </c>
      <c r="H3891" s="16" t="s">
        <v>220</v>
      </c>
    </row>
    <row r="3892" ht="20.25" customHeight="1">
      <c r="A3892" s="32" t="str">
        <f>IMAGE("https://gymvisual.com/17626-catalog_default/weighted-seated-supination.jpg",4,500,500)</f>
        <v/>
      </c>
      <c r="B3892" s="30">
        <v>3891.0</v>
      </c>
      <c r="C3892" s="16" t="s">
        <v>4846</v>
      </c>
      <c r="D3892" s="16" t="s">
        <v>184</v>
      </c>
      <c r="E3892" s="16" t="s">
        <v>214</v>
      </c>
      <c r="F3892" s="16" t="s">
        <v>396</v>
      </c>
      <c r="G3892" s="16" t="s">
        <v>216</v>
      </c>
      <c r="H3892" s="16" t="s">
        <v>220</v>
      </c>
    </row>
    <row r="3893" ht="20.25" customHeight="1">
      <c r="A3893" s="32" t="str">
        <f>IMAGE("https://gymvisual.com/17885-catalog_default/weighted-seated-triceps-extension-male.jpg",4,500,500)</f>
        <v/>
      </c>
      <c r="B3893" s="30">
        <v>3892.0</v>
      </c>
      <c r="C3893" s="16" t="s">
        <v>4847</v>
      </c>
      <c r="D3893" s="16" t="s">
        <v>184</v>
      </c>
      <c r="E3893" s="16" t="s">
        <v>219</v>
      </c>
      <c r="F3893" s="16" t="s">
        <v>396</v>
      </c>
      <c r="G3893" s="16" t="s">
        <v>220</v>
      </c>
      <c r="H3893" s="16" t="s">
        <v>220</v>
      </c>
    </row>
    <row r="3894" ht="20.25" customHeight="1">
      <c r="A3894" s="32" t="str">
        <f>IMAGE("https://gymvisual.com/19592-catalog_default/weighted-seated-tuck-crunch-on-floor.jpg",4,500,500)</f>
        <v/>
      </c>
      <c r="B3894" s="30">
        <v>3893.0</v>
      </c>
      <c r="C3894" s="16" t="s">
        <v>4848</v>
      </c>
      <c r="D3894" s="16" t="s">
        <v>184</v>
      </c>
      <c r="E3894" s="16" t="s">
        <v>254</v>
      </c>
      <c r="F3894" s="16" t="s">
        <v>396</v>
      </c>
      <c r="G3894" s="16" t="s">
        <v>220</v>
      </c>
      <c r="H3894" s="16" t="s">
        <v>220</v>
      </c>
    </row>
    <row r="3895" ht="20.25" customHeight="1">
      <c r="A3895" s="32" t="str">
        <f>IMAGE("https://gymvisual.com/2537-catalog_default/weighted-seated-twist-on-stability-ball.jpg",4,500,500)</f>
        <v/>
      </c>
      <c r="B3895" s="30">
        <v>3894.0</v>
      </c>
      <c r="C3895" s="16" t="s">
        <v>4849</v>
      </c>
      <c r="D3895" s="16" t="s">
        <v>184</v>
      </c>
      <c r="E3895" s="16" t="s">
        <v>254</v>
      </c>
      <c r="F3895" s="16" t="s">
        <v>396</v>
      </c>
      <c r="G3895" s="16" t="s">
        <v>257</v>
      </c>
      <c r="H3895" s="16" t="s">
        <v>220</v>
      </c>
    </row>
    <row r="3896" ht="20.25" customHeight="1">
      <c r="A3896" s="32" t="str">
        <f>IMAGE("https://gymvisual.com/2540-catalog_default/weighted-side-bend-on-stability-ball.jpg",4,500,500)</f>
        <v/>
      </c>
      <c r="B3896" s="30">
        <v>3895.0</v>
      </c>
      <c r="C3896" s="16" t="s">
        <v>4850</v>
      </c>
      <c r="D3896" s="16" t="s">
        <v>184</v>
      </c>
      <c r="E3896" s="16" t="s">
        <v>254</v>
      </c>
      <c r="F3896" s="16" t="s">
        <v>396</v>
      </c>
      <c r="G3896" s="16" t="s">
        <v>257</v>
      </c>
      <c r="H3896" s="16" t="s">
        <v>220</v>
      </c>
    </row>
    <row r="3897" ht="20.25" customHeight="1">
      <c r="A3897" s="32" t="str">
        <f>IMAGE("https://gymvisual.com/17577-catalog_default/weighted-side-crunch.jpg",4,500,500)</f>
        <v/>
      </c>
      <c r="B3897" s="30">
        <v>3896.0</v>
      </c>
      <c r="C3897" s="16" t="s">
        <v>4851</v>
      </c>
      <c r="D3897" s="16" t="s">
        <v>184</v>
      </c>
      <c r="E3897" s="16" t="s">
        <v>254</v>
      </c>
      <c r="F3897" s="16" t="s">
        <v>396</v>
      </c>
      <c r="G3897" s="16" t="s">
        <v>260</v>
      </c>
      <c r="H3897" s="16" t="s">
        <v>220</v>
      </c>
    </row>
    <row r="3898" ht="20.25" customHeight="1">
      <c r="A3898" s="32" t="str">
        <f>IMAGE("https://gymvisual.com/18982-catalog_default/weighted-side-lying-side-neck-raise.jpg",4,500,500)</f>
        <v/>
      </c>
      <c r="B3898" s="30">
        <v>3897.0</v>
      </c>
      <c r="C3898" s="16" t="s">
        <v>4852</v>
      </c>
      <c r="D3898" s="16" t="s">
        <v>184</v>
      </c>
      <c r="E3898" s="16" t="s">
        <v>351</v>
      </c>
      <c r="F3898" s="16" t="s">
        <v>396</v>
      </c>
      <c r="G3898" s="16" t="s">
        <v>220</v>
      </c>
      <c r="H3898" s="16" t="s">
        <v>220</v>
      </c>
    </row>
    <row r="3899" ht="20.25" customHeight="1">
      <c r="A3899" s="32" t="str">
        <f>IMAGE("https://gymvisual.com/14238-catalog_default/weighted-single-leg-lift.jpg",4,500,500)</f>
        <v/>
      </c>
      <c r="B3899" s="30">
        <v>3898.0</v>
      </c>
      <c r="C3899" s="16" t="s">
        <v>4853</v>
      </c>
      <c r="D3899" s="16" t="s">
        <v>184</v>
      </c>
      <c r="E3899" s="16" t="s">
        <v>285</v>
      </c>
      <c r="F3899" s="16" t="s">
        <v>396</v>
      </c>
      <c r="G3899" s="16" t="s">
        <v>3818</v>
      </c>
      <c r="H3899" s="16" t="s">
        <v>4854</v>
      </c>
    </row>
    <row r="3900" ht="20.25" customHeight="1">
      <c r="A3900" s="32" t="str">
        <f>IMAGE("https://gymvisual.com/2543-catalog_default/weighted-sissy-squat.jpg",4,500,500)</f>
        <v/>
      </c>
      <c r="B3900" s="30">
        <v>3899.0</v>
      </c>
      <c r="C3900" s="16" t="s">
        <v>4855</v>
      </c>
      <c r="D3900" s="16" t="s">
        <v>184</v>
      </c>
      <c r="E3900" s="16" t="s">
        <v>285</v>
      </c>
      <c r="F3900" s="16" t="s">
        <v>396</v>
      </c>
      <c r="G3900" s="16" t="s">
        <v>552</v>
      </c>
      <c r="H3900" s="16" t="s">
        <v>220</v>
      </c>
    </row>
    <row r="3901" ht="20.25" customHeight="1">
      <c r="A3901" s="32" t="str">
        <f>IMAGE("https://gymvisual.com/17511-catalog_default/weighted-sissy-squat-female.jpg",4,500,500)</f>
        <v/>
      </c>
      <c r="B3901" s="30">
        <v>3900.0</v>
      </c>
      <c r="C3901" s="16" t="s">
        <v>4856</v>
      </c>
      <c r="D3901" s="16" t="s">
        <v>184</v>
      </c>
      <c r="E3901" s="16" t="s">
        <v>285</v>
      </c>
      <c r="F3901" s="16" t="s">
        <v>396</v>
      </c>
      <c r="G3901" s="16" t="s">
        <v>552</v>
      </c>
      <c r="H3901" s="16" t="s">
        <v>1115</v>
      </c>
    </row>
    <row r="3902" ht="20.25" customHeight="1">
      <c r="A3902" s="32" t="str">
        <f>IMAGE("https://gymvisual.com/2546-catalog_default/weighted-squat.jpg",4,500,500)</f>
        <v/>
      </c>
      <c r="B3902" s="30">
        <v>3901.0</v>
      </c>
      <c r="C3902" s="16" t="s">
        <v>4857</v>
      </c>
      <c r="D3902" s="16" t="s">
        <v>184</v>
      </c>
      <c r="E3902" s="16" t="s">
        <v>285</v>
      </c>
      <c r="F3902" s="16" t="s">
        <v>396</v>
      </c>
      <c r="G3902" s="16" t="s">
        <v>189</v>
      </c>
      <c r="H3902" s="16" t="s">
        <v>190</v>
      </c>
    </row>
    <row r="3903" ht="20.25" customHeight="1">
      <c r="A3903" s="32" t="str">
        <f>IMAGE("https://gymvisual.com/13612-catalog_default/weighted-stability-ball-crunch-full-range.jpg",4,500,500)</f>
        <v/>
      </c>
      <c r="B3903" s="30">
        <v>3902.0</v>
      </c>
      <c r="C3903" s="16" t="s">
        <v>4858</v>
      </c>
      <c r="D3903" s="16" t="s">
        <v>184</v>
      </c>
      <c r="E3903" s="16" t="s">
        <v>254</v>
      </c>
      <c r="F3903" s="16" t="s">
        <v>396</v>
      </c>
      <c r="G3903" s="16" t="s">
        <v>256</v>
      </c>
      <c r="H3903" s="16" t="s">
        <v>257</v>
      </c>
    </row>
    <row r="3904" ht="20.25" customHeight="1">
      <c r="A3904" s="32" t="str">
        <f>IMAGE("https://gymvisual.com/2549-catalog_default/weighted-standing-curl.jpg",4,500,500)</f>
        <v/>
      </c>
      <c r="B3904" s="30">
        <v>3903.0</v>
      </c>
      <c r="C3904" s="16" t="s">
        <v>4859</v>
      </c>
      <c r="D3904" s="16" t="s">
        <v>184</v>
      </c>
      <c r="E3904" s="16" t="s">
        <v>214</v>
      </c>
      <c r="F3904" s="16" t="s">
        <v>396</v>
      </c>
      <c r="G3904" s="16" t="s">
        <v>216</v>
      </c>
      <c r="H3904" s="16" t="s">
        <v>217</v>
      </c>
    </row>
    <row r="3905" ht="20.25" customHeight="1">
      <c r="A3905" s="32" t="str">
        <f>IMAGE("https://gymvisual.com/14316-catalog_default/weighted-standing-curl-female.jpg",4,500,500)</f>
        <v/>
      </c>
      <c r="B3905" s="30">
        <v>3904.0</v>
      </c>
      <c r="C3905" s="16" t="s">
        <v>4860</v>
      </c>
      <c r="D3905" s="16" t="s">
        <v>184</v>
      </c>
      <c r="E3905" s="16" t="s">
        <v>214</v>
      </c>
      <c r="F3905" s="16" t="s">
        <v>396</v>
      </c>
      <c r="G3905" s="16" t="s">
        <v>217</v>
      </c>
      <c r="H3905" s="16" t="s">
        <v>220</v>
      </c>
    </row>
    <row r="3906" ht="20.25" customHeight="1">
      <c r="A3906" s="32" t="str">
        <f>IMAGE("https://gymvisual.com/2552-catalog_default/weighted-standing-hand-squeeze.jpg",4,500,500)</f>
        <v/>
      </c>
      <c r="B3906" s="30">
        <v>3905.0</v>
      </c>
      <c r="C3906" s="16" t="s">
        <v>4861</v>
      </c>
      <c r="D3906" s="16" t="s">
        <v>184</v>
      </c>
      <c r="E3906" s="16" t="s">
        <v>214</v>
      </c>
      <c r="F3906" s="16" t="s">
        <v>396</v>
      </c>
      <c r="G3906" s="16" t="s">
        <v>220</v>
      </c>
      <c r="H3906" s="16" t="s">
        <v>220</v>
      </c>
    </row>
    <row r="3907" ht="20.25" customHeight="1">
      <c r="A3907" s="32" t="str">
        <f>IMAGE("https://gymvisual.com/10463-catalog_default/weighted-standing-neck-extension-with-head-harness.jpg",4,500,500)</f>
        <v/>
      </c>
      <c r="B3907" s="30">
        <v>3906.0</v>
      </c>
      <c r="C3907" s="16" t="s">
        <v>4862</v>
      </c>
      <c r="D3907" s="16" t="s">
        <v>184</v>
      </c>
      <c r="E3907" s="16" t="s">
        <v>351</v>
      </c>
      <c r="F3907" s="16" t="s">
        <v>396</v>
      </c>
      <c r="G3907" s="16" t="s">
        <v>220</v>
      </c>
      <c r="H3907" s="16" t="s">
        <v>220</v>
      </c>
    </row>
    <row r="3908" ht="20.25" customHeight="1">
      <c r="A3908" s="32" t="str">
        <f>IMAGE("https://gymvisual.com/17993-catalog_default/weighted-standing-shoulder-press.jpg",4,500,500)</f>
        <v/>
      </c>
      <c r="B3908" s="30">
        <v>3907.0</v>
      </c>
      <c r="C3908" s="16" t="s">
        <v>4863</v>
      </c>
      <c r="D3908" s="16" t="s">
        <v>184</v>
      </c>
      <c r="E3908" s="16" t="s">
        <v>228</v>
      </c>
      <c r="F3908" s="16" t="s">
        <v>396</v>
      </c>
      <c r="G3908" s="16" t="s">
        <v>220</v>
      </c>
      <c r="H3908" s="16" t="s">
        <v>220</v>
      </c>
    </row>
    <row r="3909" ht="20.25" customHeight="1">
      <c r="A3909" s="32" t="str">
        <f>IMAGE("https://gymvisual.com/2555-catalog_default/weighted-standing-twist.jpg",4,500,500)</f>
        <v/>
      </c>
      <c r="B3909" s="30">
        <v>3908.0</v>
      </c>
      <c r="C3909" s="16" t="s">
        <v>4864</v>
      </c>
      <c r="D3909" s="16" t="s">
        <v>184</v>
      </c>
      <c r="E3909" s="16" t="s">
        <v>254</v>
      </c>
      <c r="F3909" s="16" t="s">
        <v>396</v>
      </c>
      <c r="G3909" s="16" t="s">
        <v>257</v>
      </c>
      <c r="H3909" s="16" t="s">
        <v>271</v>
      </c>
    </row>
    <row r="3910" ht="20.25" customHeight="1">
      <c r="A3910" s="32" t="str">
        <f>IMAGE("https://gymvisual.com/13555-catalog_default/weighted-straight-bar-dip.jpg",4,500,500)</f>
        <v/>
      </c>
      <c r="B3910" s="30">
        <v>3909.0</v>
      </c>
      <c r="C3910" s="16" t="s">
        <v>4865</v>
      </c>
      <c r="D3910" s="16" t="s">
        <v>184</v>
      </c>
      <c r="E3910" s="16" t="s">
        <v>234</v>
      </c>
      <c r="F3910" s="16" t="s">
        <v>396</v>
      </c>
      <c r="G3910" s="16" t="s">
        <v>235</v>
      </c>
      <c r="H3910" s="16" t="s">
        <v>243</v>
      </c>
    </row>
    <row r="3911" ht="20.25" customHeight="1">
      <c r="A3911" s="32" t="str">
        <f>IMAGE("https://gymvisual.com/17903-catalog_default/weighted-straight-leg-toe-touch-crunch-male.jpg",4,500,500)</f>
        <v/>
      </c>
      <c r="B3911" s="30">
        <v>3910.0</v>
      </c>
      <c r="C3911" s="16" t="s">
        <v>4866</v>
      </c>
      <c r="D3911" s="16" t="s">
        <v>184</v>
      </c>
      <c r="E3911" s="16" t="s">
        <v>254</v>
      </c>
      <c r="F3911" s="16" t="s">
        <v>396</v>
      </c>
      <c r="G3911" s="16" t="s">
        <v>220</v>
      </c>
      <c r="H3911" s="16" t="s">
        <v>220</v>
      </c>
    </row>
    <row r="3912" ht="20.25" customHeight="1">
      <c r="A3912" s="32" t="str">
        <f>IMAGE("https://gymvisual.com/22654-catalog_default/weighted-svend-bench-press.jpg",4,500,500)</f>
        <v/>
      </c>
      <c r="B3912" s="30">
        <v>3911.0</v>
      </c>
      <c r="C3912" s="16" t="s">
        <v>4867</v>
      </c>
      <c r="D3912" s="16" t="s">
        <v>184</v>
      </c>
      <c r="E3912" s="16" t="s">
        <v>219</v>
      </c>
      <c r="F3912" s="16" t="s">
        <v>396</v>
      </c>
      <c r="G3912" s="16" t="s">
        <v>347</v>
      </c>
      <c r="H3912" s="16" t="s">
        <v>382</v>
      </c>
    </row>
    <row r="3913" ht="20.25" customHeight="1">
      <c r="A3913" s="32" t="str">
        <f>IMAGE("https://gymvisual.com/2558-catalog_default/weighted-svend-press.jpg",4,500,500)</f>
        <v/>
      </c>
      <c r="B3913" s="30">
        <v>3912.0</v>
      </c>
      <c r="C3913" s="16" t="s">
        <v>4868</v>
      </c>
      <c r="D3913" s="16" t="s">
        <v>184</v>
      </c>
      <c r="E3913" s="16" t="s">
        <v>234</v>
      </c>
      <c r="F3913" s="16" t="s">
        <v>396</v>
      </c>
      <c r="G3913" s="16" t="s">
        <v>347</v>
      </c>
      <c r="H3913" s="16" t="s">
        <v>382</v>
      </c>
    </row>
    <row r="3914" ht="20.25" customHeight="1">
      <c r="A3914" s="32" t="str">
        <f>IMAGE("https://gymvisual.com/13888-catalog_default/weighted-svend-press-female.jpg",4,500,500)</f>
        <v/>
      </c>
      <c r="B3914" s="30">
        <v>3913.0</v>
      </c>
      <c r="C3914" s="16" t="s">
        <v>4869</v>
      </c>
      <c r="D3914" s="16" t="s">
        <v>184</v>
      </c>
      <c r="E3914" s="16" t="s">
        <v>234</v>
      </c>
      <c r="F3914" s="16" t="s">
        <v>396</v>
      </c>
      <c r="G3914" s="16" t="s">
        <v>220</v>
      </c>
      <c r="H3914" s="16" t="s">
        <v>220</v>
      </c>
    </row>
    <row r="3915" ht="20.25" customHeight="1">
      <c r="A3915" s="32" t="str">
        <f>IMAGE("https://gymvisual.com/7473-catalog_default/weighted-three-bench-dips.jpg",4,500,500)</f>
        <v/>
      </c>
      <c r="B3915" s="30">
        <v>3914.0</v>
      </c>
      <c r="C3915" s="16" t="s">
        <v>4870</v>
      </c>
      <c r="D3915" s="16" t="s">
        <v>184</v>
      </c>
      <c r="E3915" s="16" t="s">
        <v>219</v>
      </c>
      <c r="F3915" s="16" t="s">
        <v>396</v>
      </c>
      <c r="G3915" s="16" t="s">
        <v>223</v>
      </c>
      <c r="H3915" s="16" t="s">
        <v>394</v>
      </c>
    </row>
    <row r="3916" ht="20.25" customHeight="1">
      <c r="A3916" s="32" t="str">
        <f>IMAGE("https://gymvisual.com/7474-catalog_default/weighted-tricep-dips.jpg",4,500,500)</f>
        <v/>
      </c>
      <c r="B3916" s="30">
        <v>3915.0</v>
      </c>
      <c r="C3916" s="16" t="s">
        <v>4871</v>
      </c>
      <c r="D3916" s="16" t="s">
        <v>184</v>
      </c>
      <c r="E3916" s="16" t="s">
        <v>219</v>
      </c>
      <c r="F3916" s="16" t="s">
        <v>396</v>
      </c>
      <c r="G3916" s="16" t="s">
        <v>223</v>
      </c>
      <c r="H3916" s="16" t="s">
        <v>394</v>
      </c>
    </row>
    <row r="3917" ht="20.25" customHeight="1">
      <c r="A3917" s="32" t="str">
        <f>IMAGE("https://gymvisual.com/7596-catalog_default/weighted-triceps-dip-on-high-parallel-bars.jpg",4,500,500)</f>
        <v/>
      </c>
      <c r="B3917" s="30">
        <v>3916.0</v>
      </c>
      <c r="C3917" s="16" t="s">
        <v>4872</v>
      </c>
      <c r="D3917" s="16" t="s">
        <v>184</v>
      </c>
      <c r="E3917" s="16" t="s">
        <v>219</v>
      </c>
      <c r="F3917" s="16" t="s">
        <v>396</v>
      </c>
      <c r="G3917" s="16" t="s">
        <v>220</v>
      </c>
      <c r="H3917" s="16" t="s">
        <v>220</v>
      </c>
    </row>
    <row r="3918" ht="20.25" customHeight="1">
      <c r="A3918" s="32" t="str">
        <f>IMAGE("https://gymvisual.com/4464-catalog_default/weighted-twisting-crunch-on-bench.jpg",4,500,500)</f>
        <v/>
      </c>
      <c r="B3918" s="30">
        <v>3917.0</v>
      </c>
      <c r="C3918" s="16" t="s">
        <v>4873</v>
      </c>
      <c r="D3918" s="16" t="s">
        <v>184</v>
      </c>
      <c r="E3918" s="16" t="s">
        <v>254</v>
      </c>
      <c r="F3918" s="16" t="s">
        <v>396</v>
      </c>
      <c r="G3918" s="16" t="s">
        <v>263</v>
      </c>
      <c r="H3918" s="16" t="s">
        <v>4874</v>
      </c>
    </row>
    <row r="3919" ht="20.25" customHeight="1">
      <c r="A3919" s="32" t="str">
        <f>IMAGE("https://gymvisual.com/4467-catalog_default/weighted-v-crunch-on-bosu-ball.jpg",4,500,500)</f>
        <v/>
      </c>
      <c r="B3919" s="30">
        <v>3918.0</v>
      </c>
      <c r="C3919" s="16" t="s">
        <v>4875</v>
      </c>
      <c r="D3919" s="16" t="s">
        <v>184</v>
      </c>
      <c r="E3919" s="16" t="s">
        <v>254</v>
      </c>
      <c r="F3919" s="16" t="s">
        <v>316</v>
      </c>
      <c r="G3919" s="16" t="s">
        <v>305</v>
      </c>
      <c r="H3919" s="16" t="s">
        <v>4749</v>
      </c>
    </row>
    <row r="3920" ht="20.25" customHeight="1">
      <c r="A3920" s="32" t="str">
        <f>IMAGE("https://gymvisual.com/10043-catalog_default/wheel-rollout.jpg",4,500,500)</f>
        <v/>
      </c>
      <c r="B3920" s="30">
        <v>3919.0</v>
      </c>
      <c r="C3920" s="16" t="s">
        <v>4876</v>
      </c>
      <c r="D3920" s="16" t="s">
        <v>184</v>
      </c>
      <c r="E3920" s="16" t="s">
        <v>192</v>
      </c>
      <c r="F3920" s="16" t="s">
        <v>4478</v>
      </c>
      <c r="G3920" s="16" t="s">
        <v>271</v>
      </c>
      <c r="H3920" s="16" t="s">
        <v>4877</v>
      </c>
    </row>
    <row r="3921" ht="20.25" customHeight="1">
      <c r="A3921" s="32" t="str">
        <f>IMAGE("https://gymvisual.com/10046-catalog_default/wheel-rollout-female.jpg",4,500,500)</f>
        <v/>
      </c>
      <c r="B3921" s="30">
        <v>3920.0</v>
      </c>
      <c r="C3921" s="16" t="s">
        <v>4878</v>
      </c>
      <c r="D3921" s="16" t="s">
        <v>184</v>
      </c>
      <c r="E3921" s="16" t="s">
        <v>254</v>
      </c>
      <c r="F3921" s="16" t="s">
        <v>4478</v>
      </c>
      <c r="G3921" s="16" t="s">
        <v>263</v>
      </c>
      <c r="H3921" s="16" t="s">
        <v>437</v>
      </c>
    </row>
    <row r="3922" ht="20.25" customHeight="1">
      <c r="A3922" s="32" t="str">
        <f>IMAGE("https://gymvisual.com/17887-catalog_default/wheel-rollout-with-wall-support-male.jpg",4,500,500)</f>
        <v/>
      </c>
      <c r="B3922" s="30">
        <v>3921.0</v>
      </c>
      <c r="C3922" s="16" t="s">
        <v>4879</v>
      </c>
      <c r="D3922" s="16" t="s">
        <v>184</v>
      </c>
      <c r="E3922" s="16" t="s">
        <v>254</v>
      </c>
      <c r="F3922" s="16" t="s">
        <v>255</v>
      </c>
      <c r="G3922" s="16" t="s">
        <v>220</v>
      </c>
      <c r="H3922" s="16" t="s">
        <v>220</v>
      </c>
    </row>
    <row r="3923" ht="20.25" customHeight="1">
      <c r="A3923" s="32" t="str">
        <f>IMAGE("https://gymvisual.com/22335-catalog_default/wide-air-squat.jpg",4,500,500)</f>
        <v/>
      </c>
      <c r="B3923" s="30">
        <v>3922.0</v>
      </c>
      <c r="C3923" s="16" t="s">
        <v>4880</v>
      </c>
      <c r="D3923" s="16" t="s">
        <v>184</v>
      </c>
      <c r="E3923" s="16" t="s">
        <v>185</v>
      </c>
      <c r="F3923" s="16" t="s">
        <v>255</v>
      </c>
      <c r="G3923" s="16" t="s">
        <v>220</v>
      </c>
      <c r="H3923" s="16" t="s">
        <v>220</v>
      </c>
    </row>
    <row r="3924" ht="20.25" customHeight="1">
      <c r="A3924" s="32" t="str">
        <f>IMAGE("https://gymvisual.com/20202-catalog_default/wide-chin-up-female.jpg",4,500,500)</f>
        <v/>
      </c>
      <c r="B3924" s="30">
        <v>3923.0</v>
      </c>
      <c r="C3924" s="16" t="s">
        <v>4881</v>
      </c>
      <c r="D3924" s="16" t="s">
        <v>184</v>
      </c>
      <c r="E3924" s="16" t="s">
        <v>192</v>
      </c>
      <c r="F3924" s="16" t="s">
        <v>255</v>
      </c>
      <c r="G3924" s="16" t="s">
        <v>4882</v>
      </c>
      <c r="H3924" s="16" t="s">
        <v>447</v>
      </c>
    </row>
    <row r="3925" ht="20.25" customHeight="1">
      <c r="A3925" s="32" t="str">
        <f>IMAGE("https://gymvisual.com/14318-catalog_default/wide-grip-pull-up-female.jpg",4,500,500)</f>
        <v/>
      </c>
      <c r="B3925" s="30">
        <v>3924.0</v>
      </c>
      <c r="C3925" s="16" t="s">
        <v>4883</v>
      </c>
      <c r="D3925" s="16" t="s">
        <v>184</v>
      </c>
      <c r="E3925" s="16" t="s">
        <v>192</v>
      </c>
      <c r="F3925" s="16" t="s">
        <v>255</v>
      </c>
      <c r="G3925" s="16" t="s">
        <v>300</v>
      </c>
      <c r="H3925" s="16" t="s">
        <v>4884</v>
      </c>
    </row>
    <row r="3926" ht="20.25" customHeight="1">
      <c r="A3926" s="32" t="str">
        <f>IMAGE("https://gymvisual.com/6323-catalog_default/wide-grip-pull-up.jpg",4,500,500)</f>
        <v/>
      </c>
      <c r="B3926" s="30">
        <v>3925.0</v>
      </c>
      <c r="C3926" s="16" t="s">
        <v>4885</v>
      </c>
      <c r="D3926" s="16" t="s">
        <v>184</v>
      </c>
      <c r="E3926" s="16" t="s">
        <v>192</v>
      </c>
      <c r="F3926" s="16" t="s">
        <v>255</v>
      </c>
      <c r="G3926" s="16" t="s">
        <v>300</v>
      </c>
      <c r="H3926" s="16" t="s">
        <v>3413</v>
      </c>
    </row>
    <row r="3927" ht="20.25" customHeight="1">
      <c r="A3927" s="32" t="str">
        <f>IMAGE("https://gymvisual.com/7718-catalog_default/wide-grip-pull-up-on-dip-cage.jpg",4,500,500)</f>
        <v/>
      </c>
      <c r="B3927" s="30">
        <v>3926.0</v>
      </c>
      <c r="C3927" s="16" t="s">
        <v>4886</v>
      </c>
      <c r="D3927" s="16" t="s">
        <v>184</v>
      </c>
      <c r="E3927" s="16" t="s">
        <v>192</v>
      </c>
      <c r="F3927" s="16" t="s">
        <v>255</v>
      </c>
      <c r="G3927" s="16" t="s">
        <v>220</v>
      </c>
      <c r="H3927" s="16" t="s">
        <v>220</v>
      </c>
    </row>
    <row r="3928" ht="20.25" customHeight="1">
      <c r="A3928" s="32" t="str">
        <f>IMAGE("https://gymvisual.com/14320-catalog_default/wide-grip-rear-pull-up-female.jpg",4,500,500)</f>
        <v/>
      </c>
      <c r="B3928" s="30">
        <v>3927.0</v>
      </c>
      <c r="C3928" s="16" t="s">
        <v>4887</v>
      </c>
      <c r="D3928" s="16" t="s">
        <v>184</v>
      </c>
      <c r="E3928" s="16" t="s">
        <v>192</v>
      </c>
      <c r="F3928" s="16" t="s">
        <v>255</v>
      </c>
      <c r="G3928" s="16" t="s">
        <v>300</v>
      </c>
      <c r="H3928" s="16" t="s">
        <v>4888</v>
      </c>
    </row>
    <row r="3929" ht="20.25" customHeight="1">
      <c r="A3929" s="32" t="str">
        <f>IMAGE("https://gymvisual.com/6058-catalog_default/wide-grip-rear-pull-up.jpg",4,500,500)</f>
        <v/>
      </c>
      <c r="B3929" s="30">
        <v>3928.0</v>
      </c>
      <c r="C3929" s="16" t="s">
        <v>4889</v>
      </c>
      <c r="D3929" s="16" t="s">
        <v>184</v>
      </c>
      <c r="E3929" s="16" t="s">
        <v>192</v>
      </c>
      <c r="F3929" s="16" t="s">
        <v>255</v>
      </c>
      <c r="G3929" s="16" t="s">
        <v>300</v>
      </c>
      <c r="H3929" s="16" t="s">
        <v>4890</v>
      </c>
    </row>
    <row r="3930" ht="20.25" customHeight="1">
      <c r="A3930" s="32" t="str">
        <f>IMAGE("https://gymvisual.com/6000-catalog_default/wide-hand-push-up.jpg",4,500,500)</f>
        <v/>
      </c>
      <c r="B3930" s="30">
        <v>3929.0</v>
      </c>
      <c r="C3930" s="16" t="s">
        <v>4891</v>
      </c>
      <c r="D3930" s="16" t="s">
        <v>184</v>
      </c>
      <c r="E3930" s="16" t="s">
        <v>234</v>
      </c>
      <c r="F3930" s="16" t="s">
        <v>255</v>
      </c>
      <c r="G3930" s="16" t="s">
        <v>347</v>
      </c>
      <c r="H3930" s="16" t="s">
        <v>382</v>
      </c>
    </row>
    <row r="3931" ht="20.25" customHeight="1">
      <c r="A3931" s="32" t="str">
        <f>IMAGE("https://gymvisual.com/17521-catalog_default/wide-hand-push-up-female.jpg",4,500,500)</f>
        <v/>
      </c>
      <c r="B3931" s="30">
        <v>3930.0</v>
      </c>
      <c r="C3931" s="16" t="s">
        <v>4892</v>
      </c>
      <c r="D3931" s="16" t="s">
        <v>184</v>
      </c>
      <c r="E3931" s="16" t="s">
        <v>234</v>
      </c>
      <c r="F3931" s="16" t="s">
        <v>255</v>
      </c>
      <c r="G3931" s="16" t="s">
        <v>235</v>
      </c>
      <c r="H3931" s="16" t="s">
        <v>243</v>
      </c>
    </row>
    <row r="3932" ht="20.25" customHeight="1">
      <c r="A3932" s="32" t="str">
        <f>IMAGE("https://gymvisual.com/10914-catalog_default/wide-push-up-wall-female.jpg",4,500,500)</f>
        <v/>
      </c>
      <c r="B3932" s="30">
        <v>3931.0</v>
      </c>
      <c r="C3932" s="16" t="s">
        <v>4893</v>
      </c>
      <c r="D3932" s="16" t="s">
        <v>184</v>
      </c>
      <c r="E3932" s="16" t="s">
        <v>234</v>
      </c>
      <c r="F3932" s="16" t="s">
        <v>255</v>
      </c>
      <c r="G3932" s="16" t="s">
        <v>235</v>
      </c>
      <c r="H3932" s="16" t="s">
        <v>243</v>
      </c>
    </row>
    <row r="3933" ht="20.25" customHeight="1">
      <c r="A3933" s="32" t="str">
        <f>IMAGE("https://gymvisual.com/22337-catalog_default/wide-seated-pull-up.jpg",4,500,500)</f>
        <v/>
      </c>
      <c r="B3933" s="30">
        <v>3932.0</v>
      </c>
      <c r="C3933" s="16" t="s">
        <v>4894</v>
      </c>
      <c r="D3933" s="16" t="s">
        <v>184</v>
      </c>
      <c r="E3933" s="16" t="s">
        <v>192</v>
      </c>
      <c r="F3933" s="16" t="s">
        <v>255</v>
      </c>
      <c r="G3933" s="16" t="s">
        <v>220</v>
      </c>
      <c r="H3933" s="16" t="s">
        <v>220</v>
      </c>
    </row>
    <row r="3934" ht="20.25" customHeight="1">
      <c r="A3934" s="32" t="str">
        <f>IMAGE("https://gymvisual.com/22339-catalog_default/wide-to-narrow-push-up.jpg",4,500,500)</f>
        <v/>
      </c>
      <c r="B3934" s="30">
        <v>3933.0</v>
      </c>
      <c r="C3934" s="16" t="s">
        <v>4895</v>
      </c>
      <c r="D3934" s="16" t="s">
        <v>184</v>
      </c>
      <c r="E3934" s="16" t="s">
        <v>234</v>
      </c>
      <c r="F3934" s="16" t="s">
        <v>255</v>
      </c>
      <c r="G3934" s="16" t="s">
        <v>220</v>
      </c>
      <c r="H3934" s="16" t="s">
        <v>220</v>
      </c>
    </row>
    <row r="3935" ht="20.25" customHeight="1">
      <c r="A3935" s="32" t="str">
        <f>IMAGE("https://gymvisual.com/10239-catalog_default/wide-grip-chest-dip-on-high-parallel-bars.jpg",4,500,500)</f>
        <v/>
      </c>
      <c r="B3935" s="30">
        <v>3934.0</v>
      </c>
      <c r="C3935" s="16" t="s">
        <v>4896</v>
      </c>
      <c r="D3935" s="16" t="s">
        <v>184</v>
      </c>
      <c r="E3935" s="16" t="s">
        <v>234</v>
      </c>
      <c r="F3935" s="16" t="s">
        <v>255</v>
      </c>
      <c r="G3935" s="16" t="s">
        <v>235</v>
      </c>
      <c r="H3935" s="16" t="s">
        <v>243</v>
      </c>
    </row>
    <row r="3936" ht="20.25" customHeight="1">
      <c r="A3936" s="32" t="str">
        <f>IMAGE("https://gymvisual.com/2564-catalog_default/wind-sprints.jpg",4,500,500)</f>
        <v/>
      </c>
      <c r="B3936" s="30">
        <v>3935.0</v>
      </c>
      <c r="C3936" s="16" t="s">
        <v>4897</v>
      </c>
      <c r="D3936" s="16" t="s">
        <v>184</v>
      </c>
      <c r="E3936" s="16" t="s">
        <v>254</v>
      </c>
      <c r="F3936" s="16" t="s">
        <v>255</v>
      </c>
      <c r="G3936" s="16" t="s">
        <v>305</v>
      </c>
      <c r="H3936" s="16" t="s">
        <v>566</v>
      </c>
    </row>
    <row r="3937" ht="20.25" customHeight="1">
      <c r="A3937" s="32" t="str">
        <f>IMAGE("https://gymvisual.com/4625-catalog_default/wipers-straight-leg.jpg",4,500,500)</f>
        <v/>
      </c>
      <c r="B3937" s="30">
        <v>3936.0</v>
      </c>
      <c r="C3937" s="16" t="s">
        <v>4898</v>
      </c>
      <c r="D3937" s="16" t="s">
        <v>184</v>
      </c>
      <c r="E3937" s="16" t="s">
        <v>254</v>
      </c>
      <c r="F3937" s="16" t="s">
        <v>255</v>
      </c>
      <c r="G3937" s="16" t="s">
        <v>257</v>
      </c>
      <c r="H3937" s="16" t="s">
        <v>220</v>
      </c>
    </row>
    <row r="3938" ht="20.25" customHeight="1">
      <c r="A3938" s="32" t="str">
        <f>IMAGE("https://gymvisual.com/20017-catalog_default/wrist-abduction-articulations.jpg",4,500,500)</f>
        <v/>
      </c>
      <c r="B3938" s="30">
        <v>3937.0</v>
      </c>
      <c r="C3938" s="16" t="s">
        <v>4899</v>
      </c>
      <c r="D3938" s="16" t="s">
        <v>184</v>
      </c>
      <c r="E3938" s="16" t="s">
        <v>214</v>
      </c>
      <c r="F3938" s="16" t="s">
        <v>255</v>
      </c>
      <c r="G3938" s="16" t="s">
        <v>220</v>
      </c>
      <c r="H3938" s="16" t="s">
        <v>220</v>
      </c>
    </row>
    <row r="3939" ht="20.25" customHeight="1">
      <c r="A3939" s="32" t="str">
        <f>IMAGE("https://gymvisual.com/6280-catalog_default/wrist-circles.jpg",4,500,500)</f>
        <v/>
      </c>
      <c r="B3939" s="30">
        <v>3938.0</v>
      </c>
      <c r="C3939" s="16" t="s">
        <v>4900</v>
      </c>
      <c r="D3939" s="16" t="s">
        <v>184</v>
      </c>
      <c r="E3939" s="16" t="s">
        <v>214</v>
      </c>
      <c r="F3939" s="16" t="s">
        <v>255</v>
      </c>
      <c r="G3939" s="16" t="s">
        <v>3705</v>
      </c>
      <c r="H3939" s="16" t="s">
        <v>220</v>
      </c>
    </row>
    <row r="3940" ht="20.25" customHeight="1">
      <c r="A3940" s="32" t="str">
        <f>IMAGE("https://gymvisual.com/18858-catalog_default/wrist-circles-female.jpg",4,500,500)</f>
        <v/>
      </c>
      <c r="B3940" s="30">
        <v>3939.0</v>
      </c>
      <c r="C3940" s="16" t="s">
        <v>4901</v>
      </c>
      <c r="D3940" s="16" t="s">
        <v>184</v>
      </c>
      <c r="E3940" s="16" t="s">
        <v>214</v>
      </c>
      <c r="F3940" s="16" t="s">
        <v>255</v>
      </c>
      <c r="G3940" s="16" t="s">
        <v>3705</v>
      </c>
      <c r="H3940" s="16" t="s">
        <v>220</v>
      </c>
    </row>
    <row r="3941" ht="20.25" customHeight="1">
      <c r="A3941" s="32" t="str">
        <f>IMAGE("https://gymvisual.com/2567-catalog_default/wrist-roller.jpg",4,500,500)</f>
        <v/>
      </c>
      <c r="B3941" s="30">
        <v>3940.0</v>
      </c>
      <c r="C3941" s="16" t="s">
        <v>117</v>
      </c>
      <c r="D3941" s="16" t="s">
        <v>184</v>
      </c>
      <c r="E3941" s="16" t="s">
        <v>214</v>
      </c>
      <c r="F3941" s="16" t="s">
        <v>396</v>
      </c>
      <c r="G3941" s="16" t="s">
        <v>3705</v>
      </c>
      <c r="H3941" s="16" t="s">
        <v>220</v>
      </c>
    </row>
  </sheetData>
  <autoFilter ref="$A$1:$Z$3941">
    <sortState ref="A1:Z3941">
      <sortCondition ref="B1:B3941"/>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4.29"/>
    <col customWidth="1" min="2" max="2" width="17.86"/>
    <col customWidth="1" min="3" max="6" width="37.0"/>
    <col customWidth="1" min="7" max="8" width="61.0"/>
    <col customWidth="1" min="9" max="26" width="74.29"/>
  </cols>
  <sheetData>
    <row r="1" ht="330.75" customHeight="1">
      <c r="A1" s="32" t="str">
        <f>IMAGE("https://gymvisual.com/9577-catalog_default/dumbbell-step-up-female.jpg",4,500,500)</f>
        <v/>
      </c>
      <c r="B1" s="30">
        <v>2006.0</v>
      </c>
      <c r="C1" s="16" t="s">
        <v>2618</v>
      </c>
      <c r="D1" s="16" t="s">
        <v>184</v>
      </c>
      <c r="E1" s="16"/>
      <c r="F1" s="16"/>
      <c r="G1" s="16"/>
      <c r="H1" s="16"/>
    </row>
    <row r="2" ht="330.75" customHeight="1">
      <c r="A2" s="32" t="str">
        <f>IMAGE("https://gymvisual.com/22263-catalog_default/dumbbell-step-back-lunge-and-row.jpg",4,500,500)</f>
        <v/>
      </c>
      <c r="B2" s="30">
        <v>2005.0</v>
      </c>
      <c r="C2" s="16" t="s">
        <v>2617</v>
      </c>
      <c r="D2" s="16" t="s">
        <v>184</v>
      </c>
      <c r="E2" s="16" t="s">
        <v>285</v>
      </c>
      <c r="F2" s="16" t="s">
        <v>222</v>
      </c>
      <c r="G2" s="16" t="s">
        <v>220</v>
      </c>
      <c r="H2" s="16" t="s">
        <v>220</v>
      </c>
    </row>
    <row r="3" ht="330.75" customHeight="1">
      <c r="A3" s="32" t="str">
        <f>IMAGE("https://gymvisual.com/23591-catalog_default/dumbbell-static-lunge.jpg",4,500,500)</f>
        <v/>
      </c>
      <c r="B3" s="30">
        <v>2004.0</v>
      </c>
      <c r="C3" s="16" t="s">
        <v>2616</v>
      </c>
      <c r="D3" s="16" t="s">
        <v>184</v>
      </c>
      <c r="E3" s="16" t="s">
        <v>285</v>
      </c>
      <c r="F3" s="16" t="s">
        <v>222</v>
      </c>
      <c r="G3" s="16" t="s">
        <v>295</v>
      </c>
      <c r="H3" s="16" t="s">
        <v>2512</v>
      </c>
    </row>
    <row r="4" ht="330.75" customHeight="1">
      <c r="A4" s="32" t="str">
        <f>IMAGE("https://gymvisual.com/9744-catalog_default/dumbbell-standing-zottman-preacher-curl.jpg",4,500,500)</f>
        <v/>
      </c>
      <c r="B4" s="30">
        <v>2003.0</v>
      </c>
      <c r="C4" s="16" t="s">
        <v>2615</v>
      </c>
      <c r="D4" s="16" t="s">
        <v>184</v>
      </c>
      <c r="E4" s="16" t="s">
        <v>219</v>
      </c>
      <c r="F4" s="16" t="s">
        <v>222</v>
      </c>
      <c r="G4" s="16" t="s">
        <v>241</v>
      </c>
      <c r="H4" s="16" t="s">
        <v>2305</v>
      </c>
    </row>
    <row r="5" ht="330.75" customHeight="1">
      <c r="A5" s="32" t="str">
        <f>IMAGE("https://gymvisual.com/22450-catalog_default/dumbbell-standing-windmill.jpg",4,500,500)</f>
        <v/>
      </c>
      <c r="B5" s="30">
        <v>2002.0</v>
      </c>
      <c r="C5" s="16" t="s">
        <v>2614</v>
      </c>
      <c r="D5" s="16" t="s">
        <v>184</v>
      </c>
      <c r="E5" s="16" t="s">
        <v>254</v>
      </c>
      <c r="F5" s="16" t="s">
        <v>222</v>
      </c>
      <c r="G5" s="16" t="s">
        <v>220</v>
      </c>
      <c r="H5" s="16" t="s">
        <v>220</v>
      </c>
    </row>
    <row r="6" ht="330.75" customHeight="1">
      <c r="A6" s="32" t="str">
        <f>IMAGE("https://gymvisual.com/10368-catalog_default/dumbbell-standing-triceps-extension-female.jpg",4,500,500)</f>
        <v/>
      </c>
      <c r="B6" s="30">
        <v>2001.0</v>
      </c>
      <c r="C6" s="16" t="s">
        <v>2613</v>
      </c>
      <c r="D6" s="16" t="s">
        <v>184</v>
      </c>
      <c r="E6" s="16" t="s">
        <v>219</v>
      </c>
      <c r="F6" s="16" t="s">
        <v>222</v>
      </c>
      <c r="G6" s="16" t="s">
        <v>223</v>
      </c>
      <c r="H6" s="16" t="s">
        <v>220</v>
      </c>
    </row>
    <row r="7" ht="330.75" customHeight="1">
      <c r="A7" s="32" t="str">
        <f>IMAGE("https://gymvisual.com/1309-catalog_default/3-4-sit-up.jpg",4,500,500)</f>
        <v/>
      </c>
      <c r="B7" s="30">
        <v>2000.0</v>
      </c>
      <c r="C7" s="16" t="s">
        <v>2612</v>
      </c>
      <c r="D7" s="16" t="s">
        <v>184</v>
      </c>
      <c r="E7" s="16" t="s">
        <v>219</v>
      </c>
      <c r="F7" s="16" t="s">
        <v>222</v>
      </c>
      <c r="G7" s="16" t="s">
        <v>223</v>
      </c>
      <c r="H7" s="16" t="s">
        <v>220</v>
      </c>
    </row>
    <row r="8" ht="330.75" customHeight="1">
      <c r="A8" s="32" t="str">
        <f>IMAGE("https://gymvisual.com/17466-catalog_default/dumbbell-standing-single-spider-curl.jpg",4,500,500)</f>
        <v/>
      </c>
      <c r="B8" s="30">
        <v>1999.0</v>
      </c>
      <c r="C8" s="16" t="s">
        <v>2611</v>
      </c>
      <c r="D8" s="16" t="s">
        <v>184</v>
      </c>
      <c r="E8" s="16" t="s">
        <v>219</v>
      </c>
      <c r="F8" s="16" t="s">
        <v>222</v>
      </c>
      <c r="G8" s="16" t="s">
        <v>241</v>
      </c>
      <c r="H8" s="16" t="s">
        <v>292</v>
      </c>
    </row>
    <row r="9" ht="330.75" customHeight="1">
      <c r="A9" s="32" t="str">
        <f>IMAGE("https://gymvisual.com/16041-catalog_default/dumbbell-standing-single-leg-calf-raise.jpg",4,500,500)</f>
        <v/>
      </c>
      <c r="B9" s="30">
        <v>1998.0</v>
      </c>
      <c r="C9" s="16" t="s">
        <v>2610</v>
      </c>
      <c r="D9" s="16" t="s">
        <v>184</v>
      </c>
      <c r="E9" s="16" t="s">
        <v>325</v>
      </c>
      <c r="F9" s="16" t="s">
        <v>222</v>
      </c>
      <c r="G9" s="16" t="s">
        <v>368</v>
      </c>
      <c r="H9" s="16" t="s">
        <v>463</v>
      </c>
    </row>
    <row r="10" ht="330.75" customHeight="1">
      <c r="A10" s="32" t="str">
        <f>IMAGE("https://gymvisual.com/4434-catalog_default/dumbbell-standing-single-leg-calf-raise.jpg",4,500,500)</f>
        <v/>
      </c>
      <c r="B10" s="30">
        <v>1997.0</v>
      </c>
      <c r="C10" s="16" t="s">
        <v>2610</v>
      </c>
      <c r="D10" s="16" t="s">
        <v>184</v>
      </c>
      <c r="E10" s="16" t="s">
        <v>325</v>
      </c>
      <c r="F10" s="16" t="s">
        <v>222</v>
      </c>
      <c r="G10" s="16" t="s">
        <v>368</v>
      </c>
      <c r="H10" s="16" t="s">
        <v>463</v>
      </c>
    </row>
    <row r="11" ht="330.75" customHeight="1">
      <c r="A11" s="32" t="str">
        <f>IMAGE("https://gymvisual.com/22351-catalog_default/dumbbell-standing-single-arm-arnold-press.jpg",4,500,500)</f>
        <v/>
      </c>
      <c r="B11" s="30">
        <v>1996.0</v>
      </c>
      <c r="C11" s="16" t="s">
        <v>2609</v>
      </c>
      <c r="D11" s="16" t="s">
        <v>184</v>
      </c>
      <c r="E11" s="16" t="s">
        <v>228</v>
      </c>
      <c r="F11" s="16" t="s">
        <v>222</v>
      </c>
      <c r="G11" s="16" t="s">
        <v>220</v>
      </c>
      <c r="H11" s="16" t="s">
        <v>220</v>
      </c>
    </row>
    <row r="12" ht="330.75" customHeight="1">
      <c r="A12" s="32" t="str">
        <f>IMAGE("https://gymvisual.com/1306-catalog_default/3-4-sit-up.jpg",4,500,500)</f>
        <v/>
      </c>
      <c r="B12" s="30">
        <v>1995.0</v>
      </c>
      <c r="C12" s="16" t="s">
        <v>2608</v>
      </c>
      <c r="D12" s="16" t="s">
        <v>184</v>
      </c>
      <c r="E12" s="16" t="s">
        <v>214</v>
      </c>
      <c r="F12" s="16" t="s">
        <v>222</v>
      </c>
      <c r="G12" s="16" t="s">
        <v>216</v>
      </c>
      <c r="H12" s="16" t="s">
        <v>217</v>
      </c>
    </row>
    <row r="13" ht="330.75" customHeight="1">
      <c r="A13" s="32" t="str">
        <f>IMAGE("https://gymvisual.com/1303-catalog_default/3-4-sit-up.jpg",4,500,500)</f>
        <v/>
      </c>
      <c r="B13" s="30">
        <v>1994.0</v>
      </c>
      <c r="C13" s="16" t="s">
        <v>2607</v>
      </c>
      <c r="D13" s="16" t="s">
        <v>184</v>
      </c>
      <c r="E13" s="16" t="s">
        <v>219</v>
      </c>
      <c r="F13" s="16" t="s">
        <v>222</v>
      </c>
      <c r="G13" s="16" t="s">
        <v>232</v>
      </c>
      <c r="H13" s="16" t="s">
        <v>233</v>
      </c>
    </row>
    <row r="14" ht="330.75" customHeight="1">
      <c r="A14" s="32" t="str">
        <f>IMAGE("https://gymvisual.com/11345-catalog_default/dumbbell-standing-palms-in-press-female.jpg",4,500,500)</f>
        <v/>
      </c>
      <c r="B14" s="30">
        <v>1993.0</v>
      </c>
      <c r="C14" s="16" t="s">
        <v>2606</v>
      </c>
      <c r="D14" s="16" t="s">
        <v>184</v>
      </c>
      <c r="E14" s="16" t="s">
        <v>228</v>
      </c>
      <c r="F14" s="16" t="s">
        <v>222</v>
      </c>
      <c r="G14" s="16" t="s">
        <v>220</v>
      </c>
      <c r="H14" s="16" t="s">
        <v>220</v>
      </c>
    </row>
    <row r="15" ht="330.75" customHeight="1">
      <c r="A15" s="32" t="str">
        <f>IMAGE("https://gymvisual.com/1300-catalog_default/3-4-sit-up.jpg",4,500,500)</f>
        <v/>
      </c>
      <c r="B15" s="30">
        <v>1992.0</v>
      </c>
      <c r="C15" s="16" t="s">
        <v>2605</v>
      </c>
      <c r="D15" s="16" t="s">
        <v>184</v>
      </c>
      <c r="E15" s="16" t="s">
        <v>228</v>
      </c>
      <c r="F15" s="16" t="s">
        <v>222</v>
      </c>
      <c r="G15" s="16" t="s">
        <v>229</v>
      </c>
      <c r="H15" s="16" t="s">
        <v>626</v>
      </c>
    </row>
    <row r="16" ht="330.75" customHeight="1">
      <c r="A16" s="32" t="str">
        <f>IMAGE("https://gymvisual.com/10307-catalog_default/dumbbell-standing-overhead-press-female.jpg",4,500,500)</f>
        <v/>
      </c>
      <c r="B16" s="30">
        <v>1991.0</v>
      </c>
      <c r="C16" s="16" t="s">
        <v>2603</v>
      </c>
      <c r="D16" s="16" t="s">
        <v>184</v>
      </c>
      <c r="E16" s="16" t="s">
        <v>228</v>
      </c>
      <c r="F16" s="16" t="s">
        <v>222</v>
      </c>
      <c r="G16" s="16" t="s">
        <v>229</v>
      </c>
      <c r="H16" s="16" t="s">
        <v>2604</v>
      </c>
    </row>
    <row r="17" ht="330.75" customHeight="1">
      <c r="A17" s="32" t="str">
        <f>IMAGE("https://gymvisual.com/1297-catalog_default/3-4-sit-up.jpg",4,500,500)</f>
        <v/>
      </c>
      <c r="B17" s="30">
        <v>1990.0</v>
      </c>
      <c r="C17" s="16" t="s">
        <v>2602</v>
      </c>
      <c r="D17" s="16" t="s">
        <v>184</v>
      </c>
      <c r="E17" s="16" t="s">
        <v>228</v>
      </c>
      <c r="F17" s="16" t="s">
        <v>222</v>
      </c>
      <c r="G17" s="16" t="s">
        <v>229</v>
      </c>
      <c r="H17" s="16" t="s">
        <v>626</v>
      </c>
    </row>
    <row r="18" ht="330.75" customHeight="1">
      <c r="A18" s="32" t="str">
        <f>IMAGE("https://gymvisual.com/1294-catalog_default/3-4-sit-up.jpg",4,500,500)</f>
        <v/>
      </c>
      <c r="B18" s="30">
        <v>1989.0</v>
      </c>
      <c r="C18" s="16" t="s">
        <v>2601</v>
      </c>
      <c r="D18" s="16" t="s">
        <v>184</v>
      </c>
      <c r="E18" s="16" t="s">
        <v>214</v>
      </c>
      <c r="F18" s="16" t="s">
        <v>222</v>
      </c>
      <c r="G18" s="16" t="s">
        <v>216</v>
      </c>
      <c r="H18" s="16" t="s">
        <v>217</v>
      </c>
    </row>
    <row r="19" ht="330.75" customHeight="1">
      <c r="A19" s="32" t="str">
        <f>IMAGE("https://gymvisual.com/1291-catalog_default/3-4-sit-up.jpg",4,500,500)</f>
        <v/>
      </c>
      <c r="B19" s="30">
        <v>1988.0</v>
      </c>
      <c r="C19" s="16" t="s">
        <v>2600</v>
      </c>
      <c r="D19" s="16" t="s">
        <v>184</v>
      </c>
      <c r="E19" s="16" t="s">
        <v>228</v>
      </c>
      <c r="F19" s="16" t="s">
        <v>222</v>
      </c>
      <c r="G19" s="16" t="s">
        <v>229</v>
      </c>
      <c r="H19" s="16" t="s">
        <v>626</v>
      </c>
    </row>
    <row r="20" ht="330.75" customHeight="1">
      <c r="A20" s="32" t="str">
        <f>IMAGE("https://gymvisual.com/1288-catalog_default/3-4-sit-up.jpg",4,500,500)</f>
        <v/>
      </c>
      <c r="B20" s="30">
        <v>1987.0</v>
      </c>
      <c r="C20" s="16" t="s">
        <v>2599</v>
      </c>
      <c r="D20" s="16" t="s">
        <v>184</v>
      </c>
      <c r="E20" s="16" t="s">
        <v>219</v>
      </c>
      <c r="F20" s="16" t="s">
        <v>222</v>
      </c>
      <c r="G20" s="16" t="s">
        <v>223</v>
      </c>
      <c r="H20" s="16" t="s">
        <v>220</v>
      </c>
    </row>
    <row r="21" ht="330.75" customHeight="1">
      <c r="A21" s="32" t="str">
        <f>IMAGE("https://gymvisual.com/7154-catalog_default/dumbbell-standing-one-arm-curl-over-incline-bench.jpg",4,500,500)</f>
        <v/>
      </c>
      <c r="B21" s="30">
        <v>1986.0</v>
      </c>
      <c r="C21" s="16" t="s">
        <v>2598</v>
      </c>
      <c r="D21" s="16" t="s">
        <v>184</v>
      </c>
      <c r="E21" s="16" t="s">
        <v>219</v>
      </c>
      <c r="F21" s="16" t="s">
        <v>222</v>
      </c>
      <c r="G21" s="16" t="s">
        <v>220</v>
      </c>
      <c r="H21" s="16" t="s">
        <v>220</v>
      </c>
    </row>
    <row r="22" ht="330.75" customHeight="1">
      <c r="A22" s="32" t="str">
        <f>IMAGE("https://gymvisual.com/13439-catalog_default/dumbbell-standing-one-arm-curl-over-incline-bench-female.jpg",4,500,500)</f>
        <v/>
      </c>
      <c r="B22" s="30">
        <v>1985.0</v>
      </c>
      <c r="C22" s="16" t="s">
        <v>2597</v>
      </c>
      <c r="D22" s="16" t="s">
        <v>184</v>
      </c>
      <c r="E22" s="16" t="s">
        <v>219</v>
      </c>
      <c r="F22" s="16" t="s">
        <v>222</v>
      </c>
      <c r="G22" s="16" t="s">
        <v>220</v>
      </c>
      <c r="H22" s="16" t="s">
        <v>220</v>
      </c>
    </row>
    <row r="23" ht="330.75" customHeight="1">
      <c r="A23" s="32" t="str">
        <f>IMAGE("https://gymvisual.com/1285-catalog_default/3-4-sit-up.jpg",4,500,500)</f>
        <v/>
      </c>
      <c r="B23" s="30">
        <v>1984.0</v>
      </c>
      <c r="C23" s="16" t="s">
        <v>2596</v>
      </c>
      <c r="D23" s="16" t="s">
        <v>184</v>
      </c>
      <c r="E23" s="16" t="s">
        <v>219</v>
      </c>
      <c r="F23" s="16" t="s">
        <v>222</v>
      </c>
      <c r="G23" s="16" t="s">
        <v>232</v>
      </c>
      <c r="H23" s="16" t="s">
        <v>233</v>
      </c>
    </row>
    <row r="24" ht="330.75" customHeight="1">
      <c r="A24" s="32" t="str">
        <f>IMAGE("https://gymvisual.com/1282-catalog_default/3-4-sit-up.jpg",4,500,500)</f>
        <v/>
      </c>
      <c r="B24" s="30">
        <v>1983.0</v>
      </c>
      <c r="C24" s="16" t="s">
        <v>2595</v>
      </c>
      <c r="D24" s="16" t="s">
        <v>184</v>
      </c>
      <c r="E24" s="16" t="s">
        <v>219</v>
      </c>
      <c r="F24" s="16" t="s">
        <v>222</v>
      </c>
      <c r="G24" s="16" t="s">
        <v>232</v>
      </c>
      <c r="H24" s="16" t="s">
        <v>233</v>
      </c>
    </row>
    <row r="25" ht="330.75" customHeight="1">
      <c r="A25" s="32" t="str">
        <f>IMAGE("https://gymvisual.com/9616-catalog_default/dumbbell-standing-lateral-raise-female.jpg",4,500,500)</f>
        <v/>
      </c>
      <c r="B25" s="30">
        <v>1982.0</v>
      </c>
      <c r="C25" s="16" t="s">
        <v>2594</v>
      </c>
      <c r="D25" s="16" t="s">
        <v>184</v>
      </c>
      <c r="E25" s="16" t="s">
        <v>228</v>
      </c>
      <c r="F25" s="16" t="s">
        <v>222</v>
      </c>
      <c r="G25" s="16" t="s">
        <v>544</v>
      </c>
      <c r="H25" s="16" t="s">
        <v>545</v>
      </c>
    </row>
    <row r="26" ht="330.75" customHeight="1">
      <c r="A26" s="32" t="str">
        <f>IMAGE("https://gymvisual.com/11342-catalog_default/dumbbell-standing-kickback-female.jpg",4,500,500)</f>
        <v/>
      </c>
      <c r="B26" s="30">
        <v>1981.0</v>
      </c>
      <c r="C26" s="16" t="s">
        <v>2593</v>
      </c>
      <c r="D26" s="16" t="s">
        <v>184</v>
      </c>
      <c r="E26" s="16" t="s">
        <v>219</v>
      </c>
      <c r="F26" s="16" t="s">
        <v>222</v>
      </c>
      <c r="G26" s="16" t="s">
        <v>223</v>
      </c>
      <c r="H26" s="16" t="s">
        <v>220</v>
      </c>
    </row>
    <row r="27" ht="330.75" customHeight="1">
      <c r="A27" s="32" t="str">
        <f>IMAGE("https://gymvisual.com/1279-catalog_default/3-4-sit-up.jpg",4,500,500)</f>
        <v/>
      </c>
      <c r="B27" s="30">
        <v>1980.0</v>
      </c>
      <c r="C27" s="16" t="s">
        <v>2592</v>
      </c>
      <c r="D27" s="16" t="s">
        <v>184</v>
      </c>
      <c r="E27" s="16" t="s">
        <v>219</v>
      </c>
      <c r="F27" s="16" t="s">
        <v>222</v>
      </c>
      <c r="G27" s="16" t="s">
        <v>223</v>
      </c>
      <c r="H27" s="16" t="s">
        <v>220</v>
      </c>
    </row>
    <row r="28" ht="330.75" customHeight="1">
      <c r="A28" s="32" t="str">
        <f>IMAGE("https://gymvisual.com/9823-catalog_default/dumbbell-standing-inner-biceps-curl-version-2.jpg",4,500,500)</f>
        <v/>
      </c>
      <c r="B28" s="30">
        <v>1979.0</v>
      </c>
      <c r="C28" s="16" t="s">
        <v>2591</v>
      </c>
      <c r="D28" s="16" t="s">
        <v>184</v>
      </c>
      <c r="E28" s="16" t="s">
        <v>219</v>
      </c>
      <c r="F28" s="16" t="s">
        <v>222</v>
      </c>
      <c r="G28" s="16" t="s">
        <v>241</v>
      </c>
      <c r="H28" s="16" t="s">
        <v>232</v>
      </c>
    </row>
    <row r="29" ht="330.75" customHeight="1">
      <c r="A29" s="32" t="str">
        <f>IMAGE("https://gymvisual.com/4599-catalog_default/dumbbell-standing-inner-biceps-curl.jpg",4,500,500)</f>
        <v/>
      </c>
      <c r="B29" s="30">
        <v>1978.0</v>
      </c>
      <c r="C29" s="16" t="s">
        <v>2590</v>
      </c>
      <c r="D29" s="16" t="s">
        <v>184</v>
      </c>
      <c r="E29" s="16" t="s">
        <v>219</v>
      </c>
      <c r="F29" s="16" t="s">
        <v>222</v>
      </c>
      <c r="G29" s="16" t="s">
        <v>241</v>
      </c>
      <c r="H29" s="16" t="s">
        <v>232</v>
      </c>
    </row>
    <row r="30" ht="330.75" customHeight="1">
      <c r="A30" s="32" t="str">
        <f>IMAGE("https://gymvisual.com/22426-catalog_default/dumbbell-standing-high-windmill.jpg",4,500,500)</f>
        <v/>
      </c>
      <c r="B30" s="30">
        <v>1977.0</v>
      </c>
      <c r="C30" s="16" t="s">
        <v>2589</v>
      </c>
      <c r="D30" s="16" t="s">
        <v>184</v>
      </c>
      <c r="E30" s="16" t="s">
        <v>254</v>
      </c>
      <c r="F30" s="16" t="s">
        <v>222</v>
      </c>
      <c r="G30" s="16" t="s">
        <v>220</v>
      </c>
      <c r="H30" s="16" t="s">
        <v>220</v>
      </c>
    </row>
    <row r="31" ht="330.75" customHeight="1">
      <c r="A31" s="32" t="str">
        <f>IMAGE("https://gymvisual.com/1276-catalog_default/3-4-sit-up.jpg",4,500,500)</f>
        <v/>
      </c>
      <c r="B31" s="30">
        <v>1976.0</v>
      </c>
      <c r="C31" s="16" t="s">
        <v>2588</v>
      </c>
      <c r="D31" s="16" t="s">
        <v>184</v>
      </c>
      <c r="E31" s="16" t="s">
        <v>228</v>
      </c>
      <c r="F31" s="16" t="s">
        <v>222</v>
      </c>
      <c r="G31" s="16" t="s">
        <v>229</v>
      </c>
      <c r="H31" s="16" t="s">
        <v>244</v>
      </c>
    </row>
    <row r="32" ht="330.75" customHeight="1">
      <c r="A32" s="32" t="str">
        <f>IMAGE("https://gymvisual.com/23458-catalog_default/dumbbell-standing-drag-curl-version-2.jpg",4,500,500)</f>
        <v/>
      </c>
      <c r="B32" s="30">
        <v>1975.0</v>
      </c>
      <c r="C32" s="16" t="s">
        <v>2587</v>
      </c>
      <c r="D32" s="16" t="s">
        <v>184</v>
      </c>
      <c r="E32" s="16" t="s">
        <v>219</v>
      </c>
      <c r="F32" s="16" t="s">
        <v>222</v>
      </c>
      <c r="G32" s="16" t="s">
        <v>236</v>
      </c>
      <c r="H32" s="16" t="s">
        <v>292</v>
      </c>
    </row>
    <row r="33" ht="330.75" customHeight="1">
      <c r="A33" s="32" t="str">
        <f>IMAGE("https://gymvisual.com/1273-catalog_default/3-4-sit-up.jpg",4,500,500)</f>
        <v/>
      </c>
      <c r="B33" s="30">
        <v>1974.0</v>
      </c>
      <c r="C33" s="16" t="s">
        <v>2586</v>
      </c>
      <c r="D33" s="16" t="s">
        <v>184</v>
      </c>
      <c r="E33" s="16" t="s">
        <v>219</v>
      </c>
      <c r="F33" s="16" t="s">
        <v>222</v>
      </c>
      <c r="G33" s="16" t="s">
        <v>232</v>
      </c>
      <c r="H33" s="16" t="s">
        <v>233</v>
      </c>
    </row>
    <row r="34" ht="330.75" customHeight="1">
      <c r="A34" s="32" t="str">
        <f>IMAGE("https://gymvisual.com/9544-catalog_default/dumbbell-standing-calf-raise-female.jpg",4,500,500)</f>
        <v/>
      </c>
      <c r="B34" s="30">
        <v>1973.0</v>
      </c>
      <c r="C34" s="16" t="s">
        <v>2585</v>
      </c>
      <c r="D34" s="16" t="s">
        <v>184</v>
      </c>
      <c r="E34" s="16" t="s">
        <v>325</v>
      </c>
      <c r="F34" s="16" t="s">
        <v>222</v>
      </c>
      <c r="G34" s="16" t="s">
        <v>368</v>
      </c>
      <c r="H34" s="16" t="s">
        <v>463</v>
      </c>
    </row>
    <row r="35" ht="330.75" customHeight="1">
      <c r="A35" s="32" t="str">
        <f>IMAGE("https://gymvisual.com/1270-catalog_default/3-4-sit-up.jpg",4,500,500)</f>
        <v/>
      </c>
      <c r="B35" s="30">
        <v>1972.0</v>
      </c>
      <c r="C35" s="16" t="s">
        <v>2584</v>
      </c>
      <c r="D35" s="16" t="s">
        <v>184</v>
      </c>
      <c r="E35" s="16" t="s">
        <v>325</v>
      </c>
      <c r="F35" s="16" t="s">
        <v>222</v>
      </c>
      <c r="G35" s="16" t="s">
        <v>368</v>
      </c>
      <c r="H35" s="16" t="s">
        <v>463</v>
      </c>
    </row>
    <row r="36" ht="330.75" customHeight="1">
      <c r="A36" s="32" t="str">
        <f>IMAGE("https://gymvisual.com/19239-catalog_default/dumbbell-standing-biceps-curl-to-shoulder-press-male.jpg",4,500,500)</f>
        <v/>
      </c>
      <c r="B36" s="30">
        <v>1971.0</v>
      </c>
      <c r="C36" s="16" t="s">
        <v>2583</v>
      </c>
      <c r="D36" s="16" t="s">
        <v>184</v>
      </c>
      <c r="E36" s="16" t="s">
        <v>829</v>
      </c>
      <c r="F36" s="16" t="s">
        <v>222</v>
      </c>
      <c r="G36" s="16" t="s">
        <v>220</v>
      </c>
      <c r="H36" s="16" t="s">
        <v>220</v>
      </c>
    </row>
    <row r="37" ht="330.75" customHeight="1">
      <c r="A37" s="32" t="str">
        <f>IMAGE("https://gymvisual.com/24762-catalog_default/3-4-sit-up.jpg",4,500,500)</f>
        <v/>
      </c>
      <c r="B37" s="30">
        <v>1970.0</v>
      </c>
      <c r="C37" s="16" t="s">
        <v>2582</v>
      </c>
      <c r="D37" s="16" t="s">
        <v>184</v>
      </c>
      <c r="E37" s="16" t="s">
        <v>219</v>
      </c>
      <c r="F37" s="16" t="s">
        <v>222</v>
      </c>
      <c r="G37" s="16" t="s">
        <v>241</v>
      </c>
      <c r="H37" s="16" t="s">
        <v>292</v>
      </c>
    </row>
    <row r="38" ht="330.75" customHeight="1">
      <c r="A38" s="32" t="str">
        <f>IMAGE("https://gymvisual.com/7460-catalog_default/dumbbell-standing-bent-over-two-arm-triceps-extension.jpg",4,500,500)</f>
        <v/>
      </c>
      <c r="B38" s="30">
        <v>1969.0</v>
      </c>
      <c r="C38" s="16" t="s">
        <v>2581</v>
      </c>
      <c r="D38" s="16" t="s">
        <v>184</v>
      </c>
      <c r="E38" s="16" t="s">
        <v>219</v>
      </c>
      <c r="F38" s="16" t="s">
        <v>222</v>
      </c>
      <c r="G38" s="16" t="s">
        <v>220</v>
      </c>
      <c r="H38" s="16" t="s">
        <v>220</v>
      </c>
    </row>
    <row r="39" ht="330.75" customHeight="1">
      <c r="A39" s="32" t="str">
        <f>IMAGE("https://gymvisual.com/7459-catalog_default/dumbbell-standing-bent-over-one-arm-triceps-extension.jpg",4,500,500)</f>
        <v/>
      </c>
      <c r="B39" s="30">
        <v>1968.0</v>
      </c>
      <c r="C39" s="16" t="s">
        <v>2580</v>
      </c>
      <c r="D39" s="16" t="s">
        <v>184</v>
      </c>
      <c r="E39" s="16" t="s">
        <v>219</v>
      </c>
      <c r="F39" s="16" t="s">
        <v>222</v>
      </c>
      <c r="G39" s="16" t="s">
        <v>220</v>
      </c>
      <c r="H39" s="16" t="s">
        <v>220</v>
      </c>
    </row>
    <row r="40" ht="330.75" customHeight="1">
      <c r="A40" s="32" t="str">
        <f>IMAGE("https://gymvisual.com/24810-catalog_default/dumbbell-standing-bent-arm-lateral-raise-male.jpg",4,500,500)</f>
        <v/>
      </c>
      <c r="B40" s="30">
        <v>1967.0</v>
      </c>
      <c r="C40" s="16" t="s">
        <v>2579</v>
      </c>
      <c r="D40" s="16" t="s">
        <v>184</v>
      </c>
      <c r="E40" s="16" t="s">
        <v>228</v>
      </c>
      <c r="F40" s="16" t="s">
        <v>222</v>
      </c>
      <c r="G40" s="16" t="s">
        <v>544</v>
      </c>
      <c r="H40" s="16" t="s">
        <v>713</v>
      </c>
    </row>
    <row r="41" ht="330.75" customHeight="1">
      <c r="A41" s="32" t="str">
        <f>IMAGE("https://gymvisual.com/9806-catalog_default/dumbbell-standing-bent-arm-lateral-raise-female.jpg",4,500,500)</f>
        <v/>
      </c>
      <c r="B41" s="30">
        <v>1966.0</v>
      </c>
      <c r="C41" s="16" t="s">
        <v>2578</v>
      </c>
      <c r="D41" s="16" t="s">
        <v>184</v>
      </c>
      <c r="E41" s="16" t="s">
        <v>228</v>
      </c>
      <c r="F41" s="16" t="s">
        <v>222</v>
      </c>
      <c r="G41" s="16" t="s">
        <v>544</v>
      </c>
      <c r="H41" s="16" t="s">
        <v>2436</v>
      </c>
    </row>
    <row r="42" ht="330.75" customHeight="1">
      <c r="A42" s="32" t="str">
        <f>IMAGE("https://gymvisual.com/8764-catalog_default/dumbbell-standing-around-world.jpg",4,500,500)</f>
        <v/>
      </c>
      <c r="B42" s="30">
        <v>1965.0</v>
      </c>
      <c r="C42" s="16" t="s">
        <v>2576</v>
      </c>
      <c r="D42" s="16" t="s">
        <v>184</v>
      </c>
      <c r="E42" s="16" t="s">
        <v>228</v>
      </c>
      <c r="F42" s="16" t="s">
        <v>222</v>
      </c>
      <c r="G42" s="16" t="s">
        <v>544</v>
      </c>
      <c r="H42" s="16" t="s">
        <v>2577</v>
      </c>
    </row>
    <row r="43" ht="330.75" customHeight="1">
      <c r="A43" s="32" t="str">
        <f>IMAGE("https://gymvisual.com/17917-catalog_default/dumbbell-standing-arnold-press-male.jpg",4,500,500)</f>
        <v/>
      </c>
      <c r="B43" s="30">
        <v>1964.0</v>
      </c>
      <c r="C43" s="16" t="s">
        <v>2575</v>
      </c>
      <c r="D43" s="16" t="s">
        <v>184</v>
      </c>
      <c r="E43" s="16" t="s">
        <v>228</v>
      </c>
      <c r="F43" s="16" t="s">
        <v>222</v>
      </c>
      <c r="G43" s="16" t="s">
        <v>229</v>
      </c>
      <c r="H43" s="16" t="s">
        <v>230</v>
      </c>
    </row>
    <row r="44" ht="330.75" customHeight="1">
      <c r="A44" s="32" t="str">
        <f>IMAGE("https://gymvisual.com/7458-catalog_default/dumbbell-standing-alternating-tricep-kickback.jpg",4,500,500)</f>
        <v/>
      </c>
      <c r="B44" s="30">
        <v>1963.0</v>
      </c>
      <c r="C44" s="16" t="s">
        <v>2574</v>
      </c>
      <c r="D44" s="16" t="s">
        <v>184</v>
      </c>
      <c r="E44" s="16" t="s">
        <v>219</v>
      </c>
      <c r="F44" s="16" t="s">
        <v>222</v>
      </c>
      <c r="G44" s="16" t="s">
        <v>220</v>
      </c>
      <c r="H44" s="16" t="s">
        <v>220</v>
      </c>
    </row>
    <row r="45" ht="330.75" customHeight="1">
      <c r="A45" s="32" t="str">
        <f>IMAGE("https://gymvisual.com/26317-catalog_default/dumbbell-standing-alternate-vertical-front-raises.jpg",4,500,500)</f>
        <v/>
      </c>
      <c r="B45" s="30">
        <v>1962.0</v>
      </c>
      <c r="C45" s="16" t="s">
        <v>2573</v>
      </c>
      <c r="D45" s="16" t="s">
        <v>184</v>
      </c>
      <c r="E45" s="16" t="s">
        <v>228</v>
      </c>
      <c r="F45" s="16" t="s">
        <v>222</v>
      </c>
      <c r="G45" s="16" t="s">
        <v>229</v>
      </c>
      <c r="H45" s="16" t="s">
        <v>244</v>
      </c>
    </row>
    <row r="46" ht="330.75" customHeight="1">
      <c r="A46" s="32" t="str">
        <f>IMAGE("https://gymvisual.com/1264-catalog_default/3-4-sit-up.jpg",4,500,500)</f>
        <v/>
      </c>
      <c r="B46" s="30">
        <v>1961.0</v>
      </c>
      <c r="C46" s="16" t="s">
        <v>2572</v>
      </c>
      <c r="D46" s="16" t="s">
        <v>184</v>
      </c>
      <c r="E46" s="16" t="s">
        <v>228</v>
      </c>
      <c r="F46" s="16" t="s">
        <v>222</v>
      </c>
      <c r="G46" s="16" t="s">
        <v>229</v>
      </c>
      <c r="H46" s="16" t="s">
        <v>244</v>
      </c>
    </row>
    <row r="47" ht="330.75" customHeight="1">
      <c r="A47" s="32" t="str">
        <f>IMAGE("https://gymvisual.com/14121-catalog_default/3-4-sit-up.jpg",4,500,500)</f>
        <v/>
      </c>
      <c r="B47" s="30">
        <v>1960.0</v>
      </c>
      <c r="C47" s="16" t="s">
        <v>2571</v>
      </c>
      <c r="D47" s="16" t="s">
        <v>184</v>
      </c>
      <c r="E47" s="16" t="s">
        <v>228</v>
      </c>
      <c r="F47" s="16" t="s">
        <v>222</v>
      </c>
      <c r="G47" s="16" t="s">
        <v>229</v>
      </c>
      <c r="H47" s="16" t="s">
        <v>1334</v>
      </c>
    </row>
    <row r="48" ht="330.75" customHeight="1">
      <c r="A48" s="32" t="str">
        <f>IMAGE("https://gymvisual.com/14147-catalog_default/dumbbell-standing-alternate-hammer-curl-and-press.jpg",4,500,500)</f>
        <v/>
      </c>
      <c r="B48" s="30">
        <v>1959.0</v>
      </c>
      <c r="C48" s="16" t="s">
        <v>2570</v>
      </c>
      <c r="D48" s="16" t="s">
        <v>184</v>
      </c>
      <c r="E48" s="16" t="s">
        <v>829</v>
      </c>
      <c r="F48" s="16" t="s">
        <v>222</v>
      </c>
      <c r="G48" s="16" t="s">
        <v>2003</v>
      </c>
      <c r="H48" s="16" t="s">
        <v>2004</v>
      </c>
    </row>
    <row r="49" ht="330.75" customHeight="1">
      <c r="A49" s="32" t="str">
        <f>IMAGE("https://gymvisual.com/17863-catalog_default/dumbbell-standing-alternate-arnold-press.jpg",4,500,500)</f>
        <v/>
      </c>
      <c r="B49" s="30">
        <v>1958.0</v>
      </c>
      <c r="C49" s="16" t="s">
        <v>2569</v>
      </c>
      <c r="D49" s="16" t="s">
        <v>184</v>
      </c>
      <c r="E49" s="16" t="s">
        <v>228</v>
      </c>
      <c r="F49" s="16" t="s">
        <v>222</v>
      </c>
      <c r="G49" s="16" t="s">
        <v>220</v>
      </c>
      <c r="H49" s="16" t="s">
        <v>220</v>
      </c>
    </row>
    <row r="50" ht="330.75" customHeight="1">
      <c r="A50" s="32" t="str">
        <f>IMAGE("https://gymvisual.com/22261-catalog_default/dumbbell-staggered-stance-romanian-deadlift.jpg",4,500,500)</f>
        <v/>
      </c>
      <c r="B50" s="30">
        <v>1957.0</v>
      </c>
      <c r="C50" s="16" t="s">
        <v>2568</v>
      </c>
      <c r="D50" s="16" t="s">
        <v>184</v>
      </c>
      <c r="E50" s="16" t="s">
        <v>185</v>
      </c>
      <c r="F50" s="16" t="s">
        <v>222</v>
      </c>
      <c r="G50" s="16" t="s">
        <v>220</v>
      </c>
      <c r="H50" s="16" t="s">
        <v>220</v>
      </c>
    </row>
    <row r="51" ht="330.75" customHeight="1">
      <c r="A51" s="32" t="str">
        <f>IMAGE("https://gymvisual.com/14755-catalog_default/dumbbell-squeeze-bench-press.jpg",4,500,500)</f>
        <v/>
      </c>
      <c r="B51" s="30">
        <v>1956.0</v>
      </c>
      <c r="C51" s="16" t="s">
        <v>2567</v>
      </c>
      <c r="D51" s="16" t="s">
        <v>184</v>
      </c>
      <c r="E51" s="16" t="s">
        <v>234</v>
      </c>
      <c r="F51" s="16" t="s">
        <v>222</v>
      </c>
      <c r="G51" s="16" t="s">
        <v>2400</v>
      </c>
      <c r="H51" s="16" t="s">
        <v>229</v>
      </c>
    </row>
    <row r="52" ht="330.75" customHeight="1">
      <c r="A52" s="32" t="str">
        <f>IMAGE("https://gymvisual.com/24101-catalog_default/dumbbell-squat-to-overhead-press.jpg",4,500,500)</f>
        <v/>
      </c>
      <c r="B52" s="30">
        <v>1955.0</v>
      </c>
      <c r="C52" s="16" t="s">
        <v>2566</v>
      </c>
      <c r="D52" s="16" t="s">
        <v>184</v>
      </c>
      <c r="E52" s="16" t="s">
        <v>285</v>
      </c>
      <c r="F52" s="16" t="s">
        <v>222</v>
      </c>
      <c r="G52" s="16" t="s">
        <v>220</v>
      </c>
      <c r="H52" s="16" t="s">
        <v>220</v>
      </c>
    </row>
    <row r="53" ht="330.75" customHeight="1">
      <c r="A53" s="32" t="str">
        <f>IMAGE("https://gymvisual.com/19219-catalog_default/dumbbell-squat-hold-calf-raise.jpg",4,500,500)</f>
        <v/>
      </c>
      <c r="B53" s="30">
        <v>1954.0</v>
      </c>
      <c r="C53" s="16" t="s">
        <v>2565</v>
      </c>
      <c r="D53" s="16" t="s">
        <v>184</v>
      </c>
      <c r="E53" s="16" t="s">
        <v>1236</v>
      </c>
      <c r="F53" s="16" t="s">
        <v>222</v>
      </c>
      <c r="G53" s="16" t="s">
        <v>220</v>
      </c>
      <c r="H53" s="16" t="s">
        <v>220</v>
      </c>
    </row>
    <row r="54" ht="330.75" customHeight="1">
      <c r="A54" s="32" t="str">
        <f>IMAGE("https://gymvisual.com/9574-catalog_default/dumbbell-squat-female.jpg",4,500,500)</f>
        <v/>
      </c>
      <c r="B54" s="30">
        <v>1953.0</v>
      </c>
      <c r="C54" s="16" t="s">
        <v>2564</v>
      </c>
      <c r="D54" s="16" t="s">
        <v>184</v>
      </c>
      <c r="E54" s="16" t="s">
        <v>294</v>
      </c>
      <c r="F54" s="16" t="s">
        <v>222</v>
      </c>
      <c r="G54" s="16" t="s">
        <v>189</v>
      </c>
      <c r="H54" s="16" t="s">
        <v>190</v>
      </c>
    </row>
    <row r="55" ht="330.75" customHeight="1">
      <c r="A55" s="32" t="str">
        <f>IMAGE("https://gymvisual.com/1255-catalog_default/3-4-sit-up.jpg",4,500,500)</f>
        <v/>
      </c>
      <c r="B55" s="30">
        <v>1952.0</v>
      </c>
      <c r="C55" s="16" t="s">
        <v>2563</v>
      </c>
      <c r="D55" s="16" t="s">
        <v>184</v>
      </c>
      <c r="E55" s="16" t="s">
        <v>285</v>
      </c>
      <c r="F55" s="16" t="s">
        <v>222</v>
      </c>
      <c r="G55" s="16" t="s">
        <v>189</v>
      </c>
      <c r="H55" s="16" t="s">
        <v>190</v>
      </c>
    </row>
    <row r="56" ht="330.75" customHeight="1">
      <c r="A56" s="32" t="str">
        <f>IMAGE("https://gymvisual.com/6802-catalog_default/dumbbell-squat.jpg",4,500,500)</f>
        <v/>
      </c>
      <c r="B56" s="30">
        <v>1951.0</v>
      </c>
      <c r="C56" s="16" t="s">
        <v>2562</v>
      </c>
      <c r="D56" s="16" t="s">
        <v>184</v>
      </c>
      <c r="E56" s="16" t="s">
        <v>285</v>
      </c>
      <c r="F56" s="16" t="s">
        <v>222</v>
      </c>
      <c r="G56" s="16" t="s">
        <v>189</v>
      </c>
      <c r="H56" s="16" t="s">
        <v>190</v>
      </c>
    </row>
    <row r="57" ht="330.75" customHeight="1">
      <c r="A57" s="32" t="str">
        <f>IMAGE("https://gymvisual.com/1258-catalog_default/3-4-sit-up.jpg",4,500,500)</f>
        <v/>
      </c>
      <c r="B57" s="30">
        <v>1950.0</v>
      </c>
      <c r="C57" s="16" t="s">
        <v>2562</v>
      </c>
      <c r="D57" s="16" t="s">
        <v>184</v>
      </c>
      <c r="E57" s="16" t="s">
        <v>185</v>
      </c>
      <c r="F57" s="16" t="s">
        <v>222</v>
      </c>
      <c r="G57" s="16" t="s">
        <v>189</v>
      </c>
      <c r="H57" s="16" t="s">
        <v>190</v>
      </c>
    </row>
    <row r="58" ht="330.75" customHeight="1">
      <c r="A58" s="32" t="str">
        <f>IMAGE("https://gymvisual.com/20553-catalog_default/dumbbell-sprinter-thrust-chest-press.jpg",4,500,500)</f>
        <v/>
      </c>
      <c r="B58" s="30">
        <v>1949.0</v>
      </c>
      <c r="C58" s="16" t="s">
        <v>2559</v>
      </c>
      <c r="D58" s="16" t="s">
        <v>184</v>
      </c>
      <c r="E58" s="16" t="s">
        <v>1798</v>
      </c>
      <c r="F58" s="16" t="s">
        <v>222</v>
      </c>
      <c r="G58" s="16" t="s">
        <v>2560</v>
      </c>
      <c r="H58" s="16" t="s">
        <v>2561</v>
      </c>
    </row>
    <row r="59" ht="330.75" customHeight="1">
      <c r="A59" s="32" t="str">
        <f>IMAGE("https://gymvisual.com/16032-catalog_default/dumbbell-split-squat-front-foot-elevanted-with-bosu-ball-female.jpg",4,500,500)</f>
        <v/>
      </c>
      <c r="B59" s="30">
        <v>1948.0</v>
      </c>
      <c r="C59" s="16" t="s">
        <v>2558</v>
      </c>
      <c r="D59" s="16" t="s">
        <v>184</v>
      </c>
      <c r="E59" s="16" t="s">
        <v>294</v>
      </c>
      <c r="F59" s="16" t="s">
        <v>222</v>
      </c>
      <c r="G59" s="16" t="s">
        <v>189</v>
      </c>
      <c r="H59" s="16" t="s">
        <v>190</v>
      </c>
    </row>
    <row r="60" ht="330.75" customHeight="1">
      <c r="A60" s="32" t="str">
        <f>IMAGE("https://gymvisual.com/12263-catalog_default/dumbbell-split-squat-front-foot-elevanted-female.jpg",4,500,500)</f>
        <v/>
      </c>
      <c r="B60" s="30">
        <v>1947.0</v>
      </c>
      <c r="C60" s="16" t="s">
        <v>2557</v>
      </c>
      <c r="D60" s="16" t="s">
        <v>184</v>
      </c>
      <c r="E60" s="16" t="s">
        <v>285</v>
      </c>
      <c r="F60" s="16" t="s">
        <v>222</v>
      </c>
      <c r="G60" s="16" t="s">
        <v>189</v>
      </c>
      <c r="H60" s="16" t="s">
        <v>190</v>
      </c>
    </row>
    <row r="61" ht="330.75" customHeight="1">
      <c r="A61" s="32" t="str">
        <f>IMAGE("https://gymvisual.com/12260-catalog_default/dumbbell-split-squat-front-foot-elevanted.jpg",4,500,500)</f>
        <v/>
      </c>
      <c r="B61" s="30">
        <v>1946.0</v>
      </c>
      <c r="C61" s="16" t="s">
        <v>2556</v>
      </c>
      <c r="D61" s="16" t="s">
        <v>184</v>
      </c>
      <c r="E61" s="16" t="s">
        <v>285</v>
      </c>
      <c r="F61" s="16" t="s">
        <v>222</v>
      </c>
      <c r="G61" s="16" t="s">
        <v>189</v>
      </c>
      <c r="H61" s="16" t="s">
        <v>190</v>
      </c>
    </row>
    <row r="62" ht="330.75" customHeight="1">
      <c r="A62" s="32" t="str">
        <f>IMAGE("https://gymvisual.com/20678-catalog_default/dumbbell-split-squat-female.jpg",4,500,500)</f>
        <v/>
      </c>
      <c r="B62" s="30">
        <v>1945.0</v>
      </c>
      <c r="C62" s="16" t="s">
        <v>2555</v>
      </c>
      <c r="D62" s="16" t="s">
        <v>184</v>
      </c>
      <c r="E62" s="16" t="s">
        <v>285</v>
      </c>
      <c r="F62" s="16" t="s">
        <v>222</v>
      </c>
      <c r="G62" s="16" t="s">
        <v>189</v>
      </c>
      <c r="H62" s="16" t="s">
        <v>190</v>
      </c>
    </row>
    <row r="63" ht="330.75" customHeight="1">
      <c r="A63" s="32" t="str">
        <f>IMAGE("https://gymvisual.com/12269-catalog_default/dumbbell-split-squat.jpg",4,500,500)</f>
        <v/>
      </c>
      <c r="B63" s="30">
        <v>1944.0</v>
      </c>
      <c r="C63" s="16" t="s">
        <v>2554</v>
      </c>
      <c r="D63" s="16" t="s">
        <v>184</v>
      </c>
      <c r="E63" s="16" t="s">
        <v>285</v>
      </c>
      <c r="F63" s="16" t="s">
        <v>222</v>
      </c>
      <c r="G63" s="16" t="s">
        <v>189</v>
      </c>
      <c r="H63" s="16" t="s">
        <v>190</v>
      </c>
    </row>
    <row r="64" ht="330.75" customHeight="1">
      <c r="A64" s="32" t="str">
        <f>IMAGE("https://gymvisual.com/22259-catalog_default/dumbbell-sit-up.jpg",4,500,500)</f>
        <v/>
      </c>
      <c r="B64" s="30">
        <v>1943.0</v>
      </c>
      <c r="C64" s="16" t="s">
        <v>2553</v>
      </c>
      <c r="D64" s="16" t="s">
        <v>184</v>
      </c>
      <c r="E64" s="16" t="s">
        <v>254</v>
      </c>
      <c r="F64" s="16" t="s">
        <v>222</v>
      </c>
      <c r="G64" s="16" t="s">
        <v>220</v>
      </c>
      <c r="H64" s="16" t="s">
        <v>220</v>
      </c>
    </row>
    <row r="65" ht="330.75" customHeight="1">
      <c r="A65" s="32" t="str">
        <f>IMAGE("https://gymvisual.com/10495-catalog_default/dumbbell-single-arm-leaning-lateral-raise.jpg",4,500,500)</f>
        <v/>
      </c>
      <c r="B65" s="30">
        <v>1942.0</v>
      </c>
      <c r="C65" s="16" t="s">
        <v>2552</v>
      </c>
      <c r="D65" s="16" t="s">
        <v>184</v>
      </c>
      <c r="E65" s="16" t="s">
        <v>228</v>
      </c>
      <c r="F65" s="16" t="s">
        <v>222</v>
      </c>
      <c r="G65" s="16" t="s">
        <v>544</v>
      </c>
      <c r="H65" s="16" t="s">
        <v>2436</v>
      </c>
    </row>
    <row r="66" ht="330.75" customHeight="1">
      <c r="A66" s="32" t="str">
        <f>IMAGE("https://gymvisual.com/20686-catalog_default/dumbbell-single-stiff-leg-deadlift.jpg",4,500,500)</f>
        <v/>
      </c>
      <c r="B66" s="30">
        <v>1941.0</v>
      </c>
      <c r="C66" s="16" t="s">
        <v>2551</v>
      </c>
      <c r="D66" s="16" t="s">
        <v>184</v>
      </c>
      <c r="E66" s="16" t="s">
        <v>185</v>
      </c>
      <c r="F66" s="16" t="s">
        <v>222</v>
      </c>
      <c r="G66" s="16" t="s">
        <v>267</v>
      </c>
      <c r="H66" s="16" t="s">
        <v>188</v>
      </c>
    </row>
    <row r="67" ht="330.75" customHeight="1">
      <c r="A67" s="32" t="str">
        <f>IMAGE("https://gymvisual.com/17302-catalog_default/dumbbell-single-spider-curl-with-chest-support.jpg",4,500,500)</f>
        <v/>
      </c>
      <c r="B67" s="30">
        <v>1940.0</v>
      </c>
      <c r="C67" s="16" t="s">
        <v>2550</v>
      </c>
      <c r="D67" s="16" t="s">
        <v>184</v>
      </c>
      <c r="E67" s="16" t="s">
        <v>219</v>
      </c>
      <c r="F67" s="16" t="s">
        <v>222</v>
      </c>
      <c r="G67" s="16" t="s">
        <v>241</v>
      </c>
      <c r="H67" s="16" t="s">
        <v>292</v>
      </c>
    </row>
    <row r="68" ht="330.75" customHeight="1">
      <c r="A68" s="32" t="str">
        <f>IMAGE("https://gymvisual.com/26076-catalog_default/dumbbell-single-power-clean.jpg",4,500,500)</f>
        <v/>
      </c>
      <c r="B68" s="30">
        <v>1939.0</v>
      </c>
      <c r="C68" s="16" t="s">
        <v>2549</v>
      </c>
      <c r="D68" s="16" t="s">
        <v>184</v>
      </c>
      <c r="E68" s="16" t="s">
        <v>764</v>
      </c>
      <c r="F68" s="16" t="s">
        <v>222</v>
      </c>
      <c r="G68" s="16" t="s">
        <v>220</v>
      </c>
      <c r="H68" s="16" t="s">
        <v>220</v>
      </c>
    </row>
    <row r="69" ht="330.75" customHeight="1">
      <c r="A69" s="32" t="str">
        <f>IMAGE("https://gymvisual.com/22349-catalog_default/dumbbell-single-leg-step-up-on-bench.jpg",4,500,500)</f>
        <v/>
      </c>
      <c r="B69" s="30">
        <v>1938.0</v>
      </c>
      <c r="C69" s="16" t="s">
        <v>2548</v>
      </c>
      <c r="D69" s="16" t="s">
        <v>184</v>
      </c>
      <c r="E69" s="16" t="s">
        <v>285</v>
      </c>
      <c r="F69" s="16" t="s">
        <v>222</v>
      </c>
      <c r="G69" s="16" t="s">
        <v>220</v>
      </c>
      <c r="H69" s="16" t="s">
        <v>220</v>
      </c>
    </row>
    <row r="70" ht="330.75" customHeight="1">
      <c r="A70" s="32" t="str">
        <f>IMAGE("https://gymvisual.com/12190-catalog_default/dumbbell-single-leg-step-up.jpg",4,500,500)</f>
        <v/>
      </c>
      <c r="B70" s="30">
        <v>1937.0</v>
      </c>
      <c r="C70" s="16" t="s">
        <v>2547</v>
      </c>
      <c r="D70" s="16" t="s">
        <v>184</v>
      </c>
      <c r="E70" s="16" t="s">
        <v>285</v>
      </c>
      <c r="F70" s="16" t="s">
        <v>222</v>
      </c>
      <c r="G70" s="16" t="s">
        <v>189</v>
      </c>
      <c r="H70" s="16" t="s">
        <v>190</v>
      </c>
    </row>
    <row r="71" ht="330.75" customHeight="1">
      <c r="A71" s="32" t="str">
        <f>IMAGE("https://gymvisual.com/16714-catalog_default/dumbbell-single-leg-squat-version-2-male.jpg",4,500,500)</f>
        <v/>
      </c>
      <c r="B71" s="30">
        <v>1936.0</v>
      </c>
      <c r="C71" s="16" t="s">
        <v>2546</v>
      </c>
      <c r="D71" s="16" t="s">
        <v>184</v>
      </c>
      <c r="E71" s="16" t="s">
        <v>294</v>
      </c>
      <c r="F71" s="16" t="s">
        <v>222</v>
      </c>
      <c r="G71" s="16" t="s">
        <v>220</v>
      </c>
      <c r="H71" s="16" t="s">
        <v>220</v>
      </c>
    </row>
    <row r="72" ht="330.75" customHeight="1">
      <c r="A72" s="32" t="str">
        <f>IMAGE("https://gymvisual.com/16712-catalog_default/dumbbell-single-leg-squat-version-2-female.jpg",4,500,500)</f>
        <v/>
      </c>
      <c r="B72" s="30">
        <v>1935.0</v>
      </c>
      <c r="C72" s="16" t="s">
        <v>2545</v>
      </c>
      <c r="D72" s="16" t="s">
        <v>184</v>
      </c>
      <c r="E72" s="16" t="s">
        <v>294</v>
      </c>
      <c r="F72" s="16" t="s">
        <v>222</v>
      </c>
      <c r="G72" s="16" t="s">
        <v>189</v>
      </c>
      <c r="H72" s="16" t="s">
        <v>190</v>
      </c>
    </row>
    <row r="73" ht="330.75" customHeight="1">
      <c r="A73" s="32" t="str">
        <f>IMAGE("https://gymvisual.com/14052-catalog_default/dumbbell-single-leg-squat-female.jpg",4,500,500)</f>
        <v/>
      </c>
      <c r="B73" s="30">
        <v>1934.0</v>
      </c>
      <c r="C73" s="16" t="s">
        <v>2544</v>
      </c>
      <c r="D73" s="16" t="s">
        <v>184</v>
      </c>
      <c r="E73" s="16" t="s">
        <v>294</v>
      </c>
      <c r="F73" s="16" t="s">
        <v>222</v>
      </c>
      <c r="G73" s="16" t="s">
        <v>189</v>
      </c>
      <c r="H73" s="16" t="s">
        <v>190</v>
      </c>
    </row>
    <row r="74" ht="330.75" customHeight="1">
      <c r="A74" s="32" t="str">
        <f>IMAGE("https://gymvisual.com/1252-catalog_default/3-4-sit-up.jpg",4,500,500)</f>
        <v/>
      </c>
      <c r="B74" s="30">
        <v>1933.0</v>
      </c>
      <c r="C74" s="16" t="s">
        <v>2543</v>
      </c>
      <c r="D74" s="16" t="s">
        <v>184</v>
      </c>
      <c r="E74" s="16" t="s">
        <v>185</v>
      </c>
      <c r="F74" s="16" t="s">
        <v>222</v>
      </c>
      <c r="G74" s="16" t="s">
        <v>189</v>
      </c>
      <c r="H74" s="16" t="s">
        <v>190</v>
      </c>
    </row>
    <row r="75" ht="330.75" customHeight="1">
      <c r="A75" s="32" t="str">
        <f>IMAGE("https://gymvisual.com/26064-catalog_default/3-4-sit-up.jpg",4,500,500)</f>
        <v/>
      </c>
      <c r="B75" s="30">
        <v>1932.0</v>
      </c>
      <c r="C75" s="16" t="s">
        <v>2542</v>
      </c>
      <c r="D75" s="16" t="s">
        <v>184</v>
      </c>
      <c r="E75" s="16" t="s">
        <v>285</v>
      </c>
      <c r="F75" s="16" t="s">
        <v>222</v>
      </c>
      <c r="G75" s="16" t="s">
        <v>189</v>
      </c>
      <c r="H75" s="16" t="s">
        <v>190</v>
      </c>
    </row>
    <row r="76" ht="330.75" customHeight="1">
      <c r="A76" s="32" t="str">
        <f>IMAGE("https://gymvisual.com/22257-catalog_default/dumbbell-single-leg-hip-thrust.jpg",4,500,500)</f>
        <v/>
      </c>
      <c r="B76" s="30">
        <v>1931.0</v>
      </c>
      <c r="C76" s="16" t="s">
        <v>2541</v>
      </c>
      <c r="D76" s="16" t="s">
        <v>184</v>
      </c>
      <c r="E76" s="16" t="s">
        <v>185</v>
      </c>
      <c r="F76" s="16" t="s">
        <v>222</v>
      </c>
      <c r="G76" s="16" t="s">
        <v>220</v>
      </c>
      <c r="H76" s="16" t="s">
        <v>220</v>
      </c>
    </row>
    <row r="77" ht="330.75" customHeight="1">
      <c r="A77" s="32" t="str">
        <f>IMAGE("https://gymvisual.com/22147-catalog_default/dumbbell-single-leg-glute-bridge.jpg",4,500,500)</f>
        <v/>
      </c>
      <c r="B77" s="30">
        <v>1930.0</v>
      </c>
      <c r="C77" s="16" t="s">
        <v>2540</v>
      </c>
      <c r="D77" s="16" t="s">
        <v>184</v>
      </c>
      <c r="E77" s="16" t="s">
        <v>185</v>
      </c>
      <c r="F77" s="16" t="s">
        <v>222</v>
      </c>
      <c r="G77" s="16" t="s">
        <v>187</v>
      </c>
      <c r="H77" s="16" t="s">
        <v>854</v>
      </c>
    </row>
    <row r="78" ht="330.75" customHeight="1">
      <c r="A78" s="32" t="str">
        <f>IMAGE("https://gymvisual.com/11827-catalog_default/dumbbell-single-leg-deadlift-with-wall-support-female.jpg",4,500,500)</f>
        <v/>
      </c>
      <c r="B78" s="30">
        <v>1929.0</v>
      </c>
      <c r="C78" s="16" t="s">
        <v>2539</v>
      </c>
      <c r="D78" s="16" t="s">
        <v>184</v>
      </c>
      <c r="E78" s="16" t="s">
        <v>185</v>
      </c>
      <c r="F78" s="16" t="s">
        <v>222</v>
      </c>
      <c r="G78" s="16" t="s">
        <v>220</v>
      </c>
      <c r="H78" s="16" t="s">
        <v>220</v>
      </c>
    </row>
    <row r="79" ht="330.75" customHeight="1">
      <c r="A79" s="32" t="str">
        <f>IMAGE("https://gymvisual.com/11968-catalog_default/dumbbell-single-leg-deadlift-with-stepbox-support-female.jpg",4,500,500)</f>
        <v/>
      </c>
      <c r="B79" s="30">
        <v>1928.0</v>
      </c>
      <c r="C79" s="16" t="s">
        <v>2538</v>
      </c>
      <c r="D79" s="16" t="s">
        <v>184</v>
      </c>
      <c r="E79" s="16" t="s">
        <v>185</v>
      </c>
      <c r="F79" s="16" t="s">
        <v>222</v>
      </c>
      <c r="G79" s="16" t="s">
        <v>220</v>
      </c>
      <c r="H79" s="16" t="s">
        <v>220</v>
      </c>
    </row>
    <row r="80" ht="330.75" customHeight="1">
      <c r="A80" s="32" t="str">
        <f>IMAGE("https://gymvisual.com/11969-catalog_default/dumbbell-single-leg-deadlift-with-stepbox-support.jpg",4,500,500)</f>
        <v/>
      </c>
      <c r="B80" s="30">
        <v>1927.0</v>
      </c>
      <c r="C80" s="16" t="s">
        <v>2537</v>
      </c>
      <c r="D80" s="16" t="s">
        <v>184</v>
      </c>
      <c r="E80" s="16" t="s">
        <v>185</v>
      </c>
      <c r="F80" s="16" t="s">
        <v>222</v>
      </c>
      <c r="G80" s="16" t="s">
        <v>220</v>
      </c>
      <c r="H80" s="16" t="s">
        <v>220</v>
      </c>
    </row>
    <row r="81" ht="330.75" customHeight="1">
      <c r="A81" s="32" t="str">
        <f>IMAGE("https://gymvisual.com/11435-catalog_default/dumbbell-single-leg-deadlift-female.jpg",4,500,500)</f>
        <v/>
      </c>
      <c r="B81" s="30">
        <v>1926.0</v>
      </c>
      <c r="C81" s="16" t="s">
        <v>2536</v>
      </c>
      <c r="D81" s="16" t="s">
        <v>184</v>
      </c>
      <c r="E81" s="16" t="s">
        <v>185</v>
      </c>
      <c r="F81" s="16" t="s">
        <v>222</v>
      </c>
      <c r="G81" s="16" t="s">
        <v>187</v>
      </c>
      <c r="H81" s="16" t="s">
        <v>482</v>
      </c>
    </row>
    <row r="82" ht="330.75" customHeight="1">
      <c r="A82" s="32" t="str">
        <f>IMAGE("https://gymvisual.com/7519-catalog_default/dumbbell-single-leg-deadlift.jpg",4,500,500)</f>
        <v/>
      </c>
      <c r="B82" s="30">
        <v>1925.0</v>
      </c>
      <c r="C82" s="16" t="s">
        <v>2535</v>
      </c>
      <c r="D82" s="16" t="s">
        <v>184</v>
      </c>
      <c r="E82" s="16" t="s">
        <v>185</v>
      </c>
      <c r="F82" s="16" t="s">
        <v>222</v>
      </c>
      <c r="G82" s="16" t="s">
        <v>267</v>
      </c>
      <c r="H82" s="16" t="s">
        <v>188</v>
      </c>
    </row>
    <row r="83" ht="330.75" customHeight="1">
      <c r="A83" s="32" t="str">
        <f>IMAGE("https://gymvisual.com/17368-catalog_default/illustration.jpg",4,500,500)</f>
        <v/>
      </c>
      <c r="B83" s="30">
        <v>1924.0</v>
      </c>
      <c r="C83" s="16" t="s">
        <v>2534</v>
      </c>
      <c r="D83" s="16" t="s">
        <v>184</v>
      </c>
      <c r="E83" s="16" t="s">
        <v>325</v>
      </c>
      <c r="F83" s="16" t="s">
        <v>222</v>
      </c>
      <c r="G83" s="16" t="s">
        <v>368</v>
      </c>
      <c r="H83" s="16" t="s">
        <v>463</v>
      </c>
    </row>
    <row r="84" ht="330.75" customHeight="1">
      <c r="A84" s="32" t="str">
        <f>IMAGE("https://gymvisual.com/11402-catalog_default/dumbbell-single-leg-calf-raise-female.jpg",4,500,500)</f>
        <v/>
      </c>
      <c r="B84" s="30">
        <v>1923.0</v>
      </c>
      <c r="C84" s="16" t="s">
        <v>2533</v>
      </c>
      <c r="D84" s="16" t="s">
        <v>184</v>
      </c>
      <c r="E84" s="16" t="s">
        <v>325</v>
      </c>
      <c r="F84" s="16" t="s">
        <v>222</v>
      </c>
      <c r="G84" s="16" t="s">
        <v>220</v>
      </c>
      <c r="H84" s="16" t="s">
        <v>220</v>
      </c>
    </row>
    <row r="85" ht="330.75" customHeight="1">
      <c r="A85" s="32" t="str">
        <f>IMAGE("https://gymvisual.com/24041-catalog_default/3-4-sit-up.jpg",4,500,500)</f>
        <v/>
      </c>
      <c r="B85" s="30">
        <v>1922.0</v>
      </c>
      <c r="C85" s="16" t="s">
        <v>2532</v>
      </c>
      <c r="D85" s="16" t="s">
        <v>184</v>
      </c>
      <c r="E85" s="16" t="s">
        <v>325</v>
      </c>
      <c r="F85" s="16" t="s">
        <v>222</v>
      </c>
      <c r="G85" s="16" t="s">
        <v>368</v>
      </c>
      <c r="H85" s="16" t="s">
        <v>463</v>
      </c>
    </row>
    <row r="86" ht="330.75" customHeight="1">
      <c r="A86" s="32" t="str">
        <f>IMAGE("https://gymvisual.com/23893-catalog_default/dumbbell-single-arm-underhand-front-raise.jpg",4,500,500)</f>
        <v/>
      </c>
      <c r="B86" s="30">
        <v>1921.0</v>
      </c>
      <c r="C86" s="16" t="s">
        <v>2531</v>
      </c>
      <c r="D86" s="16" t="s">
        <v>184</v>
      </c>
      <c r="E86" s="16" t="s">
        <v>228</v>
      </c>
      <c r="F86" s="16" t="s">
        <v>222</v>
      </c>
      <c r="G86" s="16" t="s">
        <v>229</v>
      </c>
      <c r="H86" s="16" t="s">
        <v>244</v>
      </c>
    </row>
    <row r="87" ht="330.75" customHeight="1">
      <c r="A87" s="32" t="str">
        <f>IMAGE("https://gymvisual.com/13437-catalog_default/dumbbell-single-arm-preacher-curl-female.jpg",4,500,500)</f>
        <v/>
      </c>
      <c r="B87" s="30">
        <v>1920.0</v>
      </c>
      <c r="C87" s="16" t="s">
        <v>2530</v>
      </c>
      <c r="D87" s="16" t="s">
        <v>184</v>
      </c>
      <c r="E87" s="16" t="s">
        <v>219</v>
      </c>
      <c r="F87" s="16" t="s">
        <v>222</v>
      </c>
      <c r="G87" s="16" t="s">
        <v>232</v>
      </c>
      <c r="H87" s="16" t="s">
        <v>233</v>
      </c>
    </row>
    <row r="88" ht="330.75" customHeight="1">
      <c r="A88" s="32" t="str">
        <f>IMAGE("https://gymvisual.com/23899-catalog_default/dumbbell-single-arm-overhead-lunge.jpg",4,500,500)</f>
        <v/>
      </c>
      <c r="B88" s="30">
        <v>1919.0</v>
      </c>
      <c r="C88" s="16" t="s">
        <v>2529</v>
      </c>
      <c r="D88" s="16" t="s">
        <v>184</v>
      </c>
      <c r="E88" s="16" t="s">
        <v>285</v>
      </c>
      <c r="F88" s="16" t="s">
        <v>222</v>
      </c>
      <c r="G88" s="16" t="s">
        <v>189</v>
      </c>
      <c r="H88" s="16" t="s">
        <v>190</v>
      </c>
    </row>
    <row r="89" ht="330.75" customHeight="1">
      <c r="A89" s="32" t="str">
        <f>IMAGE("https://gymvisual.com/14108-catalog_default/dumbbell-single-arm-overhead-carry.jpg",4,500,500)</f>
        <v/>
      </c>
      <c r="B89" s="30">
        <v>1918.0</v>
      </c>
      <c r="C89" s="16" t="s">
        <v>2528</v>
      </c>
      <c r="D89" s="16" t="s">
        <v>184</v>
      </c>
      <c r="E89" s="16" t="s">
        <v>1129</v>
      </c>
      <c r="F89" s="16" t="s">
        <v>222</v>
      </c>
      <c r="G89" s="16" t="s">
        <v>220</v>
      </c>
      <c r="H89" s="16" t="s">
        <v>220</v>
      </c>
    </row>
    <row r="90" ht="330.75" customHeight="1">
      <c r="A90" s="32" t="str">
        <f>IMAGE("https://gymvisual.com/26373-catalog_default/dumbbell-single-arm-neutral-grip-front-raise.jpg",4,500,500)</f>
        <v/>
      </c>
      <c r="B90" s="30">
        <v>1917.0</v>
      </c>
      <c r="C90" s="16" t="s">
        <v>2527</v>
      </c>
      <c r="D90" s="16" t="s">
        <v>184</v>
      </c>
      <c r="E90" s="16" t="s">
        <v>228</v>
      </c>
      <c r="F90" s="16" t="s">
        <v>222</v>
      </c>
      <c r="G90" s="16" t="s">
        <v>220</v>
      </c>
      <c r="H90" s="16" t="s">
        <v>220</v>
      </c>
    </row>
    <row r="91" ht="330.75" customHeight="1">
      <c r="A91" s="32" t="str">
        <f>IMAGE("https://gymvisual.com/23895-catalog_default/dumbbell-single-arm-floor-press.jpg",4,500,500)</f>
        <v/>
      </c>
      <c r="B91" s="30">
        <v>1916.0</v>
      </c>
      <c r="C91" s="16" t="s">
        <v>2526</v>
      </c>
      <c r="D91" s="16" t="s">
        <v>184</v>
      </c>
      <c r="E91" s="16" t="s">
        <v>234</v>
      </c>
      <c r="F91" s="16" t="s">
        <v>222</v>
      </c>
      <c r="G91" s="16" t="s">
        <v>347</v>
      </c>
      <c r="H91" s="16" t="s">
        <v>382</v>
      </c>
    </row>
    <row r="92" ht="330.75" customHeight="1">
      <c r="A92" s="32" t="str">
        <f>IMAGE("https://gymvisual.com/22359-catalog_default/dumbbell-single-arm-bent-over-row.jpg",4,500,500)</f>
        <v/>
      </c>
      <c r="B92" s="30">
        <v>1915.0</v>
      </c>
      <c r="C92" s="16" t="s">
        <v>2525</v>
      </c>
      <c r="D92" s="16" t="s">
        <v>184</v>
      </c>
      <c r="E92" s="16" t="s">
        <v>192</v>
      </c>
      <c r="F92" s="16" t="s">
        <v>222</v>
      </c>
      <c r="G92" s="16" t="s">
        <v>220</v>
      </c>
      <c r="H92" s="16" t="s">
        <v>220</v>
      </c>
    </row>
    <row r="93" ht="330.75" customHeight="1">
      <c r="A93" s="32" t="str">
        <f>IMAGE("https://gymvisual.com/23905-catalog_default/dumbbell-single-arm-alternate-fly.jpg",4,500,500)</f>
        <v/>
      </c>
      <c r="B93" s="30">
        <v>1914.0</v>
      </c>
      <c r="C93" s="16" t="s">
        <v>2524</v>
      </c>
      <c r="D93" s="16" t="s">
        <v>184</v>
      </c>
      <c r="E93" s="16" t="s">
        <v>234</v>
      </c>
      <c r="F93" s="16" t="s">
        <v>222</v>
      </c>
      <c r="G93" s="16" t="s">
        <v>235</v>
      </c>
      <c r="H93" s="16" t="s">
        <v>236</v>
      </c>
    </row>
    <row r="94" ht="330.75" customHeight="1">
      <c r="A94" s="32" t="str">
        <f>IMAGE("https://gymvisual.com/23903-catalog_default/dumbbell-single-arm-alternate-decline-bench-press.jpg",4,500,500)</f>
        <v/>
      </c>
      <c r="B94" s="30">
        <v>1913.0</v>
      </c>
      <c r="C94" s="16" t="s">
        <v>2523</v>
      </c>
      <c r="D94" s="16" t="s">
        <v>184</v>
      </c>
      <c r="E94" s="16" t="s">
        <v>234</v>
      </c>
      <c r="F94" s="16" t="s">
        <v>222</v>
      </c>
      <c r="G94" s="16" t="s">
        <v>347</v>
      </c>
      <c r="H94" s="16" t="s">
        <v>382</v>
      </c>
    </row>
    <row r="95" ht="330.75" customHeight="1">
      <c r="A95" s="32" t="str">
        <f>IMAGE("https://gymvisual.com/20700-catalog_default/dumbbell-side-squat.jpg",4,500,500)</f>
        <v/>
      </c>
      <c r="B95" s="30">
        <v>1912.0</v>
      </c>
      <c r="C95" s="16" t="s">
        <v>2521</v>
      </c>
      <c r="D95" s="16" t="s">
        <v>184</v>
      </c>
      <c r="E95" s="16" t="s">
        <v>285</v>
      </c>
      <c r="F95" s="16" t="s">
        <v>222</v>
      </c>
      <c r="G95" s="16" t="s">
        <v>295</v>
      </c>
      <c r="H95" s="16" t="s">
        <v>2522</v>
      </c>
    </row>
    <row r="96" ht="330.75" customHeight="1">
      <c r="A96" s="32" t="str">
        <f>IMAGE("https://gymvisual.com/14448-catalog_default/dumbbell-side-plank-with-rear-fly.jpg",4,500,500)</f>
        <v/>
      </c>
      <c r="B96" s="30">
        <v>1911.0</v>
      </c>
      <c r="C96" s="16" t="s">
        <v>2518</v>
      </c>
      <c r="D96" s="16" t="s">
        <v>184</v>
      </c>
      <c r="E96" s="16" t="s">
        <v>254</v>
      </c>
      <c r="F96" s="16" t="s">
        <v>222</v>
      </c>
      <c r="G96" s="16" t="s">
        <v>2519</v>
      </c>
      <c r="H96" s="16" t="s">
        <v>2520</v>
      </c>
    </row>
    <row r="97" ht="330.75" customHeight="1">
      <c r="A97" s="32" t="str">
        <f>IMAGE("https://gymvisual.com/1243-catalog_default/3-4-sit-up.jpg",4,500,500)</f>
        <v/>
      </c>
      <c r="B97" s="30">
        <v>1910.0</v>
      </c>
      <c r="C97" s="16" t="s">
        <v>2516</v>
      </c>
      <c r="D97" s="16" t="s">
        <v>184</v>
      </c>
      <c r="E97" s="16" t="s">
        <v>228</v>
      </c>
      <c r="F97" s="16" t="s">
        <v>222</v>
      </c>
      <c r="G97" s="16" t="s">
        <v>544</v>
      </c>
      <c r="H97" s="16" t="s">
        <v>2517</v>
      </c>
    </row>
    <row r="98" ht="330.75" customHeight="1">
      <c r="A98" s="32" t="str">
        <f>IMAGE("https://gymvisual.com/25661-catalog_default/dumbbell-side-lying-external-rotation-on-a-bench-male.jpg",4,500,500)</f>
        <v/>
      </c>
      <c r="B98" s="30">
        <v>1909.0</v>
      </c>
      <c r="C98" s="16" t="s">
        <v>2515</v>
      </c>
      <c r="D98" s="16" t="s">
        <v>184</v>
      </c>
      <c r="E98" s="16" t="s">
        <v>192</v>
      </c>
      <c r="F98" s="16" t="s">
        <v>222</v>
      </c>
      <c r="G98" s="16" t="s">
        <v>220</v>
      </c>
      <c r="H98" s="16" t="s">
        <v>220</v>
      </c>
    </row>
    <row r="99" ht="330.75" customHeight="1">
      <c r="A99" s="32" t="str">
        <f>IMAGE("https://gymvisual.com/22255-catalog_default/dumbbell-side-lunge-with-shoulder-press.jpg",4,500,500)</f>
        <v/>
      </c>
      <c r="B99" s="30">
        <v>1908.0</v>
      </c>
      <c r="C99" s="16" t="s">
        <v>2514</v>
      </c>
      <c r="D99" s="16" t="s">
        <v>184</v>
      </c>
      <c r="E99" s="16" t="s">
        <v>285</v>
      </c>
      <c r="F99" s="16" t="s">
        <v>222</v>
      </c>
      <c r="G99" s="16" t="s">
        <v>220</v>
      </c>
      <c r="H99" s="16" t="s">
        <v>220</v>
      </c>
    </row>
    <row r="100" ht="330.75" customHeight="1">
      <c r="A100" s="32" t="str">
        <f>IMAGE("https://gymvisual.com/13916-catalog_default/dumbbell-side-lunge-version-3-female.jpg",4,500,500)</f>
        <v/>
      </c>
      <c r="B100" s="30">
        <v>1907.0</v>
      </c>
      <c r="C100" s="16" t="s">
        <v>2513</v>
      </c>
      <c r="D100" s="16" t="s">
        <v>184</v>
      </c>
      <c r="E100" s="16" t="s">
        <v>294</v>
      </c>
      <c r="F100" s="16" t="s">
        <v>222</v>
      </c>
      <c r="G100" s="16" t="s">
        <v>295</v>
      </c>
      <c r="H100" s="16" t="s">
        <v>2512</v>
      </c>
    </row>
    <row r="101" ht="330.75" customHeight="1">
      <c r="A101" s="32" t="str">
        <f>IMAGE("https://gymvisual.com/13918-catalog_default/dumbbell-side-lunge-version-3.jpg",4,500,500)</f>
        <v/>
      </c>
      <c r="B101" s="30">
        <v>1906.0</v>
      </c>
      <c r="C101" s="16" t="s">
        <v>2511</v>
      </c>
      <c r="D101" s="16" t="s">
        <v>184</v>
      </c>
      <c r="E101" s="16" t="s">
        <v>294</v>
      </c>
      <c r="F101" s="16" t="s">
        <v>222</v>
      </c>
      <c r="G101" s="16" t="s">
        <v>295</v>
      </c>
      <c r="H101" s="16" t="s">
        <v>2512</v>
      </c>
    </row>
    <row r="102" ht="330.75" customHeight="1">
      <c r="A102" s="32" t="str">
        <f>IMAGE("https://gymvisual.com/4583-catalog_default/dumbbell-side-lunge.jpg",4,500,500)</f>
        <v/>
      </c>
      <c r="B102" s="30">
        <v>1905.0</v>
      </c>
      <c r="C102" s="16" t="s">
        <v>2509</v>
      </c>
      <c r="D102" s="16" t="s">
        <v>184</v>
      </c>
      <c r="E102" s="16" t="s">
        <v>185</v>
      </c>
      <c r="F102" s="16" t="s">
        <v>222</v>
      </c>
      <c r="G102" s="16" t="s">
        <v>187</v>
      </c>
      <c r="H102" s="16" t="s">
        <v>2510</v>
      </c>
    </row>
    <row r="103" ht="330.75" customHeight="1">
      <c r="A103" s="32" t="str">
        <f>IMAGE("https://gymvisual.com/19021-catalog_default/dumbbell-side-bridge-with-bent-leg-male.jpg",4,500,500)</f>
        <v/>
      </c>
      <c r="B103" s="30">
        <v>1904.0</v>
      </c>
      <c r="C103" s="16" t="s">
        <v>2508</v>
      </c>
      <c r="D103" s="16" t="s">
        <v>184</v>
      </c>
      <c r="E103" s="16" t="s">
        <v>254</v>
      </c>
      <c r="F103" s="16" t="s">
        <v>222</v>
      </c>
      <c r="G103" s="16" t="s">
        <v>257</v>
      </c>
      <c r="H103" s="16" t="s">
        <v>220</v>
      </c>
    </row>
    <row r="104" ht="330.75" customHeight="1">
      <c r="A104" s="32" t="str">
        <f>IMAGE("https://gymvisual.com/10926-catalog_default/dumbbell-side-bridge-female.jpg",4,500,500)</f>
        <v/>
      </c>
      <c r="B104" s="30">
        <v>1903.0</v>
      </c>
      <c r="C104" s="16" t="s">
        <v>2506</v>
      </c>
      <c r="D104" s="16" t="s">
        <v>184</v>
      </c>
      <c r="E104" s="16" t="s">
        <v>254</v>
      </c>
      <c r="F104" s="16" t="s">
        <v>222</v>
      </c>
      <c r="G104" s="16" t="s">
        <v>257</v>
      </c>
      <c r="H104" s="16" t="s">
        <v>2507</v>
      </c>
    </row>
    <row r="105" ht="330.75" customHeight="1">
      <c r="A105" s="32" t="str">
        <f>IMAGE("https://gymvisual.com/13623-catalog_default/dumbbell-side-bridge.jpg",4,500,500)</f>
        <v/>
      </c>
      <c r="B105" s="30">
        <v>1902.0</v>
      </c>
      <c r="C105" s="16" t="s">
        <v>2504</v>
      </c>
      <c r="D105" s="16" t="s">
        <v>184</v>
      </c>
      <c r="E105" s="16" t="s">
        <v>254</v>
      </c>
      <c r="F105" s="16" t="s">
        <v>222</v>
      </c>
      <c r="G105" s="16" t="s">
        <v>2505</v>
      </c>
      <c r="H105" s="16" t="s">
        <v>220</v>
      </c>
    </row>
    <row r="106" ht="330.75" customHeight="1">
      <c r="A106" s="32" t="str">
        <f>IMAGE("https://gymvisual.com/18742-catalog_default/dumbbell-side-bend-version-2.jpg",4,500,500)</f>
        <v/>
      </c>
      <c r="B106" s="30">
        <v>1901.0</v>
      </c>
      <c r="C106" s="16" t="s">
        <v>2503</v>
      </c>
      <c r="D106" s="16" t="s">
        <v>184</v>
      </c>
      <c r="E106" s="16" t="s">
        <v>254</v>
      </c>
      <c r="F106" s="16" t="s">
        <v>222</v>
      </c>
      <c r="G106" s="16" t="s">
        <v>220</v>
      </c>
      <c r="H106" s="16" t="s">
        <v>220</v>
      </c>
    </row>
    <row r="107" ht="330.75" customHeight="1">
      <c r="A107" s="32" t="str">
        <f>IMAGE("https://gymvisual.com/10918-catalog_default/dumbbell-side-bend-female.jpg",4,500,500)</f>
        <v/>
      </c>
      <c r="B107" s="30">
        <v>1900.0</v>
      </c>
      <c r="C107" s="16" t="s">
        <v>2502</v>
      </c>
      <c r="D107" s="16" t="s">
        <v>184</v>
      </c>
      <c r="E107" s="16" t="s">
        <v>254</v>
      </c>
      <c r="F107" s="16" t="s">
        <v>222</v>
      </c>
      <c r="G107" s="16" t="s">
        <v>257</v>
      </c>
      <c r="H107" s="16" t="s">
        <v>271</v>
      </c>
    </row>
    <row r="108" ht="330.75" customHeight="1">
      <c r="A108" s="32" t="str">
        <f>IMAGE("https://gymvisual.com/25723-catalog_default/3-4-sit-up.jpg",4,500,500)</f>
        <v/>
      </c>
      <c r="B108" s="30">
        <v>1899.0</v>
      </c>
      <c r="C108" s="16" t="s">
        <v>2501</v>
      </c>
      <c r="D108" s="16" t="s">
        <v>184</v>
      </c>
      <c r="E108" s="16" t="s">
        <v>254</v>
      </c>
      <c r="F108" s="16" t="s">
        <v>222</v>
      </c>
      <c r="G108" s="16" t="s">
        <v>257</v>
      </c>
      <c r="H108" s="16" t="s">
        <v>220</v>
      </c>
    </row>
    <row r="109" ht="330.75" customHeight="1">
      <c r="A109" s="32" t="str">
        <f>IMAGE("https://gymvisual.com/22253-catalog_default/dumbbell-side-bench-squat.jpg",4,500,500)</f>
        <v/>
      </c>
      <c r="B109" s="30">
        <v>1898.0</v>
      </c>
      <c r="C109" s="16" t="s">
        <v>2500</v>
      </c>
      <c r="D109" s="16" t="s">
        <v>184</v>
      </c>
      <c r="E109" s="16" t="s">
        <v>285</v>
      </c>
      <c r="F109" s="16" t="s">
        <v>222</v>
      </c>
      <c r="G109" s="16" t="s">
        <v>220</v>
      </c>
      <c r="H109" s="16" t="s">
        <v>220</v>
      </c>
    </row>
    <row r="110" ht="330.75" customHeight="1">
      <c r="A110" s="32" t="str">
        <f>IMAGE("https://gymvisual.com/11339-catalog_default/dumbbell-shrug-female.jpg",4,500,500)</f>
        <v/>
      </c>
      <c r="B110" s="30">
        <v>1897.0</v>
      </c>
      <c r="C110" s="16" t="s">
        <v>2499</v>
      </c>
      <c r="D110" s="16" t="s">
        <v>184</v>
      </c>
      <c r="E110" s="16" t="s">
        <v>192</v>
      </c>
      <c r="F110" s="16" t="s">
        <v>222</v>
      </c>
      <c r="G110" s="16" t="s">
        <v>238</v>
      </c>
      <c r="H110" s="16" t="s">
        <v>618</v>
      </c>
    </row>
    <row r="111" ht="330.75" customHeight="1">
      <c r="A111" s="32" t="str">
        <f>IMAGE("https://gymvisual.com/10070-catalog_default/3-4-sit-up.jpg",4,500,500)</f>
        <v/>
      </c>
      <c r="B111" s="30">
        <v>1896.0</v>
      </c>
      <c r="C111" s="16" t="s">
        <v>2498</v>
      </c>
      <c r="D111" s="16" t="s">
        <v>184</v>
      </c>
      <c r="E111" s="16" t="s">
        <v>192</v>
      </c>
      <c r="F111" s="16" t="s">
        <v>222</v>
      </c>
      <c r="G111" s="16" t="s">
        <v>238</v>
      </c>
      <c r="H111" s="16" t="s">
        <v>1621</v>
      </c>
    </row>
    <row r="112" ht="330.75" customHeight="1">
      <c r="A112" s="32" t="str">
        <f>IMAGE("https://gymvisual.com/24099-catalog_default/dumbbell-shoulder-internal-rotation-at-90-abduction.jpg",4,500,500)</f>
        <v/>
      </c>
      <c r="B112" s="30">
        <v>1895.0</v>
      </c>
      <c r="C112" s="16" t="s">
        <v>2497</v>
      </c>
      <c r="D112" s="16" t="s">
        <v>184</v>
      </c>
      <c r="E112" s="16" t="s">
        <v>192</v>
      </c>
      <c r="F112" s="16" t="s">
        <v>222</v>
      </c>
      <c r="G112" s="16" t="s">
        <v>220</v>
      </c>
      <c r="H112" s="16" t="s">
        <v>220</v>
      </c>
    </row>
    <row r="113" ht="330.75" customHeight="1">
      <c r="A113" s="32" t="str">
        <f>IMAGE("https://gymvisual.com/17921-catalog_default/dumbbell-seated-zottman-curl-male.jpg",4,500,500)</f>
        <v/>
      </c>
      <c r="B113" s="30">
        <v>1894.0</v>
      </c>
      <c r="C113" s="16" t="s">
        <v>2496</v>
      </c>
      <c r="D113" s="16" t="s">
        <v>184</v>
      </c>
      <c r="E113" s="16" t="s">
        <v>219</v>
      </c>
      <c r="F113" s="16" t="s">
        <v>222</v>
      </c>
      <c r="G113" s="16" t="s">
        <v>220</v>
      </c>
      <c r="H113" s="16" t="s">
        <v>220</v>
      </c>
    </row>
    <row r="114" ht="330.75" customHeight="1">
      <c r="A114" s="32" t="str">
        <f>IMAGE("https://gymvisual.com/17298-catalog_default/dumbbell-seated-upright-alternate-squeeze-press.jpg",4,500,500)</f>
        <v/>
      </c>
      <c r="B114" s="30">
        <v>1893.0</v>
      </c>
      <c r="C114" s="16" t="s">
        <v>2495</v>
      </c>
      <c r="D114" s="16" t="s">
        <v>184</v>
      </c>
      <c r="E114" s="16" t="s">
        <v>234</v>
      </c>
      <c r="F114" s="16" t="s">
        <v>222</v>
      </c>
      <c r="G114" s="16" t="s">
        <v>472</v>
      </c>
      <c r="H114" s="16" t="s">
        <v>230</v>
      </c>
    </row>
    <row r="115" ht="330.75" customHeight="1">
      <c r="A115" s="32" t="str">
        <f>IMAGE("https://gymvisual.com/19602-catalog_default/dumbbell-seated-tuck-twisting-crunch-on-floor.jpg",4,500,500)</f>
        <v/>
      </c>
      <c r="B115" s="30">
        <v>1892.0</v>
      </c>
      <c r="C115" s="16" t="s">
        <v>2494</v>
      </c>
      <c r="D115" s="16" t="s">
        <v>184</v>
      </c>
      <c r="E115" s="16" t="s">
        <v>254</v>
      </c>
      <c r="F115" s="16" t="s">
        <v>222</v>
      </c>
      <c r="G115" s="16" t="s">
        <v>220</v>
      </c>
      <c r="H115" s="16" t="s">
        <v>220</v>
      </c>
    </row>
    <row r="116" ht="330.75" customHeight="1">
      <c r="A116" s="32" t="str">
        <f>IMAGE("https://gymvisual.com/19598-catalog_default/dumbbell-seated-tuck-crunch-on-floor.jpg",4,500,500)</f>
        <v/>
      </c>
      <c r="B116" s="30">
        <v>1891.0</v>
      </c>
      <c r="C116" s="16" t="s">
        <v>2493</v>
      </c>
      <c r="D116" s="16" t="s">
        <v>184</v>
      </c>
      <c r="E116" s="16" t="s">
        <v>254</v>
      </c>
      <c r="F116" s="16" t="s">
        <v>222</v>
      </c>
      <c r="G116" s="16" t="s">
        <v>220</v>
      </c>
      <c r="H116" s="16" t="s">
        <v>220</v>
      </c>
    </row>
    <row r="117" ht="330.75" customHeight="1">
      <c r="A117" s="32" t="str">
        <f>IMAGE("https://gymvisual.com/20670-catalog_default/dumbbell-seated-triceps-extension-female.jpg",4,500,500)</f>
        <v/>
      </c>
      <c r="B117" s="30">
        <v>1890.0</v>
      </c>
      <c r="C117" s="16" t="s">
        <v>2492</v>
      </c>
      <c r="D117" s="16" t="s">
        <v>184</v>
      </c>
      <c r="E117" s="16" t="s">
        <v>219</v>
      </c>
      <c r="F117" s="16" t="s">
        <v>222</v>
      </c>
      <c r="G117" s="16" t="s">
        <v>223</v>
      </c>
      <c r="H117" s="16" t="s">
        <v>220</v>
      </c>
    </row>
    <row r="118" ht="330.75" customHeight="1">
      <c r="A118" s="32" t="str">
        <f>IMAGE("https://gymvisual.com/8827-catalog_default/dumbbell-seated-triceps-extension.jpg",4,500,500)</f>
        <v/>
      </c>
      <c r="B118" s="30">
        <v>1889.0</v>
      </c>
      <c r="C118" s="16" t="s">
        <v>2491</v>
      </c>
      <c r="D118" s="16" t="s">
        <v>184</v>
      </c>
      <c r="E118" s="16" t="s">
        <v>219</v>
      </c>
      <c r="F118" s="16" t="s">
        <v>222</v>
      </c>
      <c r="G118" s="16" t="s">
        <v>223</v>
      </c>
      <c r="H118" s="16" t="s">
        <v>220</v>
      </c>
    </row>
    <row r="119" ht="330.75" customHeight="1">
      <c r="A119" s="32" t="str">
        <f>IMAGE("https://gymvisual.com/11330-catalog_default/dumbbell-seated-shoulder-press-parallel-grip-female.jpg",4,500,500)</f>
        <v/>
      </c>
      <c r="B119" s="30">
        <v>1888.0</v>
      </c>
      <c r="C119" s="16" t="s">
        <v>2490</v>
      </c>
      <c r="D119" s="16" t="s">
        <v>184</v>
      </c>
      <c r="E119" s="16" t="s">
        <v>228</v>
      </c>
      <c r="F119" s="16" t="s">
        <v>222</v>
      </c>
      <c r="G119" s="16" t="s">
        <v>220</v>
      </c>
      <c r="H119" s="16" t="s">
        <v>220</v>
      </c>
    </row>
    <row r="120" ht="330.75" customHeight="1">
      <c r="A120" s="32" t="str">
        <f>IMAGE("https://gymvisual.com/1231-catalog_default/3-4-sit-up.jpg",4,500,500)</f>
        <v/>
      </c>
      <c r="B120" s="30">
        <v>1887.0</v>
      </c>
      <c r="C120" s="16" t="s">
        <v>2489</v>
      </c>
      <c r="D120" s="16" t="s">
        <v>184</v>
      </c>
      <c r="E120" s="16" t="s">
        <v>228</v>
      </c>
      <c r="F120" s="16" t="s">
        <v>222</v>
      </c>
      <c r="G120" s="16" t="s">
        <v>229</v>
      </c>
      <c r="H120" s="16" t="s">
        <v>1334</v>
      </c>
    </row>
    <row r="121" ht="330.75" customHeight="1">
      <c r="A121" s="32" t="str">
        <f>IMAGE("https://gymvisual.com/9625-catalog_default/dumbbell-seated-shoulder-press-female.jpg",4,500,500)</f>
        <v/>
      </c>
      <c r="B121" s="30">
        <v>1886.0</v>
      </c>
      <c r="C121" s="16" t="s">
        <v>2488</v>
      </c>
      <c r="D121" s="16" t="s">
        <v>184</v>
      </c>
      <c r="E121" s="16" t="s">
        <v>228</v>
      </c>
      <c r="F121" s="16" t="s">
        <v>222</v>
      </c>
      <c r="G121" s="16" t="s">
        <v>229</v>
      </c>
      <c r="H121" s="16" t="s">
        <v>230</v>
      </c>
    </row>
    <row r="122" ht="330.75" customHeight="1">
      <c r="A122" s="32" t="str">
        <f>IMAGE("https://gymvisual.com/1234-catalog_default/3-4-sit-up.jpg",4,500,500)</f>
        <v/>
      </c>
      <c r="B122" s="30">
        <v>1885.0</v>
      </c>
      <c r="C122" s="16" t="s">
        <v>2487</v>
      </c>
      <c r="D122" s="16" t="s">
        <v>184</v>
      </c>
      <c r="E122" s="16" t="s">
        <v>228</v>
      </c>
      <c r="F122" s="16" t="s">
        <v>222</v>
      </c>
      <c r="G122" s="16" t="s">
        <v>229</v>
      </c>
      <c r="H122" s="16" t="s">
        <v>626</v>
      </c>
    </row>
    <row r="123" ht="330.75" customHeight="1">
      <c r="A123" s="32" t="str">
        <f>IMAGE("https://gymvisual.com/7457-catalog_default/dumbbell-seated-reverse-grip-one-arm-overhead-tricep-extension.jpg",4,500,500)</f>
        <v/>
      </c>
      <c r="B123" s="30">
        <v>1884.0</v>
      </c>
      <c r="C123" s="16" t="s">
        <v>2486</v>
      </c>
      <c r="D123" s="16" t="s">
        <v>184</v>
      </c>
      <c r="E123" s="16" t="s">
        <v>219</v>
      </c>
      <c r="F123" s="16" t="s">
        <v>222</v>
      </c>
      <c r="G123" s="16" t="s">
        <v>220</v>
      </c>
      <c r="H123" s="16" t="s">
        <v>220</v>
      </c>
    </row>
    <row r="124" ht="330.75" customHeight="1">
      <c r="A124" s="32" t="str">
        <f>IMAGE("https://gymvisual.com/14771-catalog_default/dumbbell-seated-reverse-grip-biceps-curl.jpg",4,500,500)</f>
        <v/>
      </c>
      <c r="B124" s="30">
        <v>1883.0</v>
      </c>
      <c r="C124" s="16" t="s">
        <v>2485</v>
      </c>
      <c r="D124" s="16" t="s">
        <v>184</v>
      </c>
      <c r="E124" s="16" t="s">
        <v>214</v>
      </c>
      <c r="F124" s="16" t="s">
        <v>222</v>
      </c>
      <c r="G124" s="16" t="s">
        <v>216</v>
      </c>
      <c r="H124" s="16" t="s">
        <v>217</v>
      </c>
    </row>
    <row r="125" ht="330.75" customHeight="1">
      <c r="A125" s="32" t="str">
        <f>IMAGE("https://gymvisual.com/1228-catalog_default/3-4-sit-up.jpg",4,500,500)</f>
        <v/>
      </c>
      <c r="B125" s="30">
        <v>1882.0</v>
      </c>
      <c r="C125" s="16" t="s">
        <v>2484</v>
      </c>
      <c r="D125" s="16" t="s">
        <v>184</v>
      </c>
      <c r="E125" s="16" t="s">
        <v>214</v>
      </c>
      <c r="F125" s="16" t="s">
        <v>222</v>
      </c>
      <c r="G125" s="16" t="s">
        <v>216</v>
      </c>
      <c r="H125" s="16" t="s">
        <v>217</v>
      </c>
    </row>
    <row r="126" ht="330.75" customHeight="1">
      <c r="A126" s="32" t="str">
        <f>IMAGE("https://gymvisual.com/1225-catalog_default/3-4-sit-up.jpg",4,500,500)</f>
        <v/>
      </c>
      <c r="B126" s="30">
        <v>1881.0</v>
      </c>
      <c r="C126" s="16" t="s">
        <v>2483</v>
      </c>
      <c r="D126" s="16" t="s">
        <v>184</v>
      </c>
      <c r="E126" s="16" t="s">
        <v>219</v>
      </c>
      <c r="F126" s="16" t="s">
        <v>222</v>
      </c>
      <c r="G126" s="16" t="s">
        <v>232</v>
      </c>
      <c r="H126" s="16" t="s">
        <v>233</v>
      </c>
    </row>
    <row r="127" ht="330.75" customHeight="1">
      <c r="A127" s="32" t="str">
        <f>IMAGE("https://gymvisual.com/11429-catalog_default/dumbbell-seated-palms-up-wrist-curl-female.jpg",4,500,500)</f>
        <v/>
      </c>
      <c r="B127" s="30">
        <v>1880.0</v>
      </c>
      <c r="C127" s="16" t="s">
        <v>2481</v>
      </c>
      <c r="D127" s="16" t="s">
        <v>184</v>
      </c>
      <c r="E127" s="16" t="s">
        <v>214</v>
      </c>
      <c r="F127" s="16" t="s">
        <v>222</v>
      </c>
      <c r="G127" s="16" t="s">
        <v>305</v>
      </c>
      <c r="H127" s="16" t="s">
        <v>2482</v>
      </c>
    </row>
    <row r="128" ht="330.75" customHeight="1">
      <c r="A128" s="32" t="str">
        <f>IMAGE("https://gymvisual.com/1222-catalog_default/3-4-sit-up.jpg",4,500,500)</f>
        <v/>
      </c>
      <c r="B128" s="30">
        <v>1879.0</v>
      </c>
      <c r="C128" s="16" t="s">
        <v>2480</v>
      </c>
      <c r="D128" s="16" t="s">
        <v>184</v>
      </c>
      <c r="E128" s="16" t="s">
        <v>214</v>
      </c>
      <c r="F128" s="16" t="s">
        <v>222</v>
      </c>
      <c r="G128" s="16" t="s">
        <v>720</v>
      </c>
      <c r="H128" s="16" t="s">
        <v>220</v>
      </c>
    </row>
    <row r="129" ht="330.75" customHeight="1">
      <c r="A129" s="32" t="str">
        <f>IMAGE("https://gymvisual.com/6078-catalog_default/dumbbell-seated-one-leg-calf-raise-palm-up.jpg",4,500,500)</f>
        <v/>
      </c>
      <c r="B129" s="30">
        <v>1878.0</v>
      </c>
      <c r="C129" s="16" t="s">
        <v>2479</v>
      </c>
      <c r="D129" s="16" t="s">
        <v>184</v>
      </c>
      <c r="E129" s="16" t="s">
        <v>325</v>
      </c>
      <c r="F129" s="16" t="s">
        <v>222</v>
      </c>
      <c r="G129" s="16" t="s">
        <v>368</v>
      </c>
      <c r="H129" s="16" t="s">
        <v>463</v>
      </c>
    </row>
    <row r="130" ht="330.75" customHeight="1">
      <c r="A130" s="32" t="str">
        <f>IMAGE("https://gymvisual.com/6077-catalog_default/dumbbell-seated-one-leg-calf-raise-hammer-grip.jpg",4,500,500)</f>
        <v/>
      </c>
      <c r="B130" s="30">
        <v>1877.0</v>
      </c>
      <c r="C130" s="16" t="s">
        <v>2478</v>
      </c>
      <c r="D130" s="16" t="s">
        <v>184</v>
      </c>
      <c r="E130" s="16" t="s">
        <v>325</v>
      </c>
      <c r="F130" s="16" t="s">
        <v>222</v>
      </c>
      <c r="G130" s="16" t="s">
        <v>368</v>
      </c>
      <c r="H130" s="16" t="s">
        <v>463</v>
      </c>
    </row>
    <row r="131" ht="330.75" customHeight="1">
      <c r="A131" s="32" t="str">
        <f>IMAGE("https://gymvisual.com/1219-catalog_default/3-4-sit-up.jpg",4,500,500)</f>
        <v/>
      </c>
      <c r="B131" s="30">
        <v>1876.0</v>
      </c>
      <c r="C131" s="16" t="s">
        <v>2477</v>
      </c>
      <c r="D131" s="16" t="s">
        <v>184</v>
      </c>
      <c r="E131" s="16" t="s">
        <v>325</v>
      </c>
      <c r="F131" s="16" t="s">
        <v>222</v>
      </c>
      <c r="G131" s="16" t="s">
        <v>368</v>
      </c>
      <c r="H131" s="16" t="s">
        <v>463</v>
      </c>
    </row>
    <row r="132" ht="330.75" customHeight="1">
      <c r="A132" s="32" t="str">
        <f>IMAGE("https://gymvisual.com/4602-catalog_default/dumbbell-seated-one-arm-shoulder-press.jpg",4,500,500)</f>
        <v/>
      </c>
      <c r="B132" s="30">
        <v>1875.0</v>
      </c>
      <c r="C132" s="16" t="s">
        <v>2475</v>
      </c>
      <c r="D132" s="16" t="s">
        <v>184</v>
      </c>
      <c r="E132" s="16" t="s">
        <v>228</v>
      </c>
      <c r="F132" s="16" t="s">
        <v>222</v>
      </c>
      <c r="G132" s="16" t="s">
        <v>229</v>
      </c>
      <c r="H132" s="16" t="s">
        <v>2476</v>
      </c>
    </row>
    <row r="133" ht="330.75" customHeight="1">
      <c r="A133" s="32" t="str">
        <f>IMAGE("https://gymvisual.com/1216-catalog_default/3-4-sit-up.jpg",4,500,500)</f>
        <v/>
      </c>
      <c r="B133" s="30">
        <v>1874.0</v>
      </c>
      <c r="C133" s="16" t="s">
        <v>2474</v>
      </c>
      <c r="D133" s="16" t="s">
        <v>184</v>
      </c>
      <c r="E133" s="16" t="s">
        <v>214</v>
      </c>
      <c r="F133" s="16" t="s">
        <v>222</v>
      </c>
      <c r="G133" s="16" t="s">
        <v>720</v>
      </c>
      <c r="H133" s="16" t="s">
        <v>220</v>
      </c>
    </row>
    <row r="134" ht="330.75" customHeight="1">
      <c r="A134" s="32" t="str">
        <f>IMAGE("https://gymvisual.com/1213-catalog_default/3-4-sit-up.jpg",4,500,500)</f>
        <v/>
      </c>
      <c r="B134" s="30">
        <v>1873.0</v>
      </c>
      <c r="C134" s="16" t="s">
        <v>2473</v>
      </c>
      <c r="D134" s="16" t="s">
        <v>184</v>
      </c>
      <c r="E134" s="16" t="s">
        <v>219</v>
      </c>
      <c r="F134" s="16" t="s">
        <v>222</v>
      </c>
      <c r="G134" s="16" t="s">
        <v>223</v>
      </c>
      <c r="H134" s="16" t="s">
        <v>220</v>
      </c>
    </row>
    <row r="135" ht="330.75" customHeight="1">
      <c r="A135" s="32" t="str">
        <f>IMAGE("https://gymvisual.com/14773-catalog_default/dumbbell-seated-one-arm-front-raise.jpg",4,500,500)</f>
        <v/>
      </c>
      <c r="B135" s="30">
        <v>1872.0</v>
      </c>
      <c r="C135" s="16" t="s">
        <v>2472</v>
      </c>
      <c r="D135" s="16" t="s">
        <v>184</v>
      </c>
      <c r="E135" s="16" t="s">
        <v>228</v>
      </c>
      <c r="F135" s="16" t="s">
        <v>222</v>
      </c>
      <c r="G135" s="16" t="s">
        <v>229</v>
      </c>
      <c r="H135" s="16" t="s">
        <v>244</v>
      </c>
    </row>
    <row r="136" ht="330.75" customHeight="1">
      <c r="A136" s="32" t="str">
        <f>IMAGE("https://gymvisual.com/7153-catalog_default/dumbbell-seated-one-arm-bicep-curl-on-exercise-ball-with-leg-raised.jpg",4,500,500)</f>
        <v/>
      </c>
      <c r="B136" s="30">
        <v>1871.0</v>
      </c>
      <c r="C136" s="16" t="s">
        <v>2471</v>
      </c>
      <c r="D136" s="16" t="s">
        <v>184</v>
      </c>
      <c r="E136" s="16" t="s">
        <v>219</v>
      </c>
      <c r="F136" s="16" t="s">
        <v>222</v>
      </c>
      <c r="G136" s="16" t="s">
        <v>220</v>
      </c>
      <c r="H136" s="16" t="s">
        <v>220</v>
      </c>
    </row>
    <row r="137" ht="330.75" customHeight="1">
      <c r="A137" s="32" t="str">
        <f>IMAGE("https://gymvisual.com/17941-catalog_default/dumbbell-seated-one-arm-arnold-press-male.jpg",4,500,500)</f>
        <v/>
      </c>
      <c r="B137" s="30">
        <v>1870.0</v>
      </c>
      <c r="C137" s="16" t="s">
        <v>2470</v>
      </c>
      <c r="D137" s="16" t="s">
        <v>184</v>
      </c>
      <c r="E137" s="16" t="s">
        <v>228</v>
      </c>
      <c r="F137" s="16" t="s">
        <v>222</v>
      </c>
      <c r="G137" s="16" t="s">
        <v>220</v>
      </c>
      <c r="H137" s="16" t="s">
        <v>220</v>
      </c>
    </row>
    <row r="138" ht="330.75" customHeight="1">
      <c r="A138" s="32" t="str">
        <f>IMAGE("https://gymvisual.com/14775-catalog_default/dumbbell-seated-on-exercise-ball-shoulder-press.jpg",4,500,500)</f>
        <v/>
      </c>
      <c r="B138" s="30">
        <v>1869.0</v>
      </c>
      <c r="C138" s="16" t="s">
        <v>2469</v>
      </c>
      <c r="D138" s="16" t="s">
        <v>184</v>
      </c>
      <c r="E138" s="16" t="s">
        <v>228</v>
      </c>
      <c r="F138" s="16" t="s">
        <v>222</v>
      </c>
      <c r="G138" s="16" t="s">
        <v>229</v>
      </c>
      <c r="H138" s="16" t="s">
        <v>626</v>
      </c>
    </row>
    <row r="139" ht="330.75" customHeight="1">
      <c r="A139" s="32" t="str">
        <f>IMAGE("https://gymvisual.com/11426-catalog_default/dumbbell-seated-neutral-wrist-curl-female.jpg",4,500,500)</f>
        <v/>
      </c>
      <c r="B139" s="30">
        <v>1868.0</v>
      </c>
      <c r="C139" s="16" t="s">
        <v>2468</v>
      </c>
      <c r="D139" s="16" t="s">
        <v>184</v>
      </c>
      <c r="E139" s="16" t="s">
        <v>214</v>
      </c>
      <c r="F139" s="16" t="s">
        <v>222</v>
      </c>
      <c r="G139" s="16" t="s">
        <v>604</v>
      </c>
      <c r="H139" s="16" t="s">
        <v>220</v>
      </c>
    </row>
    <row r="140" ht="330.75" customHeight="1">
      <c r="A140" s="32" t="str">
        <f>IMAGE("https://gymvisual.com/1210-catalog_default/3-4-sit-up.jpg",4,500,500)</f>
        <v/>
      </c>
      <c r="B140" s="30">
        <v>1867.0</v>
      </c>
      <c r="C140" s="16" t="s">
        <v>2467</v>
      </c>
      <c r="D140" s="16" t="s">
        <v>184</v>
      </c>
      <c r="E140" s="16" t="s">
        <v>214</v>
      </c>
      <c r="F140" s="16" t="s">
        <v>222</v>
      </c>
      <c r="G140" s="16" t="s">
        <v>216</v>
      </c>
      <c r="H140" s="16" t="s">
        <v>220</v>
      </c>
    </row>
    <row r="141" ht="330.75" customHeight="1">
      <c r="A141" s="32" t="str">
        <f>IMAGE("https://gymvisual.com/17640-catalog_default/dumbbell-seated-lateral-to-front-raise.jpg",4,500,500)</f>
        <v/>
      </c>
      <c r="B141" s="30">
        <v>1866.0</v>
      </c>
      <c r="C141" s="16" t="s">
        <v>2465</v>
      </c>
      <c r="D141" s="16" t="s">
        <v>184</v>
      </c>
      <c r="E141" s="16" t="s">
        <v>228</v>
      </c>
      <c r="F141" s="16" t="s">
        <v>222</v>
      </c>
      <c r="G141" s="16" t="s">
        <v>454</v>
      </c>
      <c r="H141" s="16" t="s">
        <v>2466</v>
      </c>
    </row>
    <row r="142" ht="330.75" customHeight="1">
      <c r="A142" s="32" t="str">
        <f>IMAGE("https://gymvisual.com/17843-catalog_default/dumbbell-seated-lateral-raise-on-stability-ball.jpg",4,500,500)</f>
        <v/>
      </c>
      <c r="B142" s="30">
        <v>1865.0</v>
      </c>
      <c r="C142" s="16" t="s">
        <v>2464</v>
      </c>
      <c r="D142" s="16" t="s">
        <v>184</v>
      </c>
      <c r="E142" s="16" t="s">
        <v>228</v>
      </c>
      <c r="F142" s="16" t="s">
        <v>222</v>
      </c>
      <c r="G142" s="16" t="s">
        <v>220</v>
      </c>
      <c r="H142" s="16" t="s">
        <v>220</v>
      </c>
    </row>
    <row r="143" ht="330.75" customHeight="1">
      <c r="A143" s="32" t="str">
        <f>IMAGE("https://gymvisual.com/1204-catalog_default/3-4-sit-up.jpg",4,500,500)</f>
        <v/>
      </c>
      <c r="B143" s="30">
        <v>1864.0</v>
      </c>
      <c r="C143" s="16" t="s">
        <v>2463</v>
      </c>
      <c r="D143" s="16" t="s">
        <v>184</v>
      </c>
      <c r="E143" s="16" t="s">
        <v>228</v>
      </c>
      <c r="F143" s="16" t="s">
        <v>222</v>
      </c>
      <c r="G143" s="16" t="s">
        <v>544</v>
      </c>
      <c r="H143" s="16" t="s">
        <v>545</v>
      </c>
    </row>
    <row r="144" ht="330.75" customHeight="1">
      <c r="A144" s="32" t="str">
        <f>IMAGE("https://gymvisual.com/9622-catalog_default/dumbbell-seated-lateral-raise-female.jpg",4,500,500)</f>
        <v/>
      </c>
      <c r="B144" s="30">
        <v>1863.0</v>
      </c>
      <c r="C144" s="16" t="s">
        <v>2462</v>
      </c>
      <c r="D144" s="16" t="s">
        <v>184</v>
      </c>
      <c r="E144" s="16" t="s">
        <v>228</v>
      </c>
      <c r="F144" s="16" t="s">
        <v>222</v>
      </c>
      <c r="G144" s="16" t="s">
        <v>544</v>
      </c>
      <c r="H144" s="16" t="s">
        <v>545</v>
      </c>
    </row>
    <row r="145" ht="330.75" customHeight="1">
      <c r="A145" s="32" t="str">
        <f>IMAGE("https://gymvisual.com/1207-catalog_default/3-4-sit-up.jpg",4,500,500)</f>
        <v/>
      </c>
      <c r="B145" s="30">
        <v>1862.0</v>
      </c>
      <c r="C145" s="16" t="s">
        <v>2461</v>
      </c>
      <c r="D145" s="16" t="s">
        <v>184</v>
      </c>
      <c r="E145" s="16" t="s">
        <v>228</v>
      </c>
      <c r="F145" s="16" t="s">
        <v>222</v>
      </c>
      <c r="G145" s="16" t="s">
        <v>544</v>
      </c>
      <c r="H145" s="16" t="s">
        <v>545</v>
      </c>
    </row>
    <row r="146" ht="330.75" customHeight="1">
      <c r="A146" s="32" t="str">
        <f>IMAGE("https://gymvisual.com/13882-catalog_default/dumbbell-seated-kickback-female.jpg",4,500,500)</f>
        <v/>
      </c>
      <c r="B146" s="30">
        <v>1861.0</v>
      </c>
      <c r="C146" s="16" t="s">
        <v>2460</v>
      </c>
      <c r="D146" s="16" t="s">
        <v>184</v>
      </c>
      <c r="E146" s="16" t="s">
        <v>219</v>
      </c>
      <c r="F146" s="16" t="s">
        <v>222</v>
      </c>
      <c r="G146" s="16" t="s">
        <v>223</v>
      </c>
      <c r="H146" s="16" t="s">
        <v>220</v>
      </c>
    </row>
    <row r="147" ht="330.75" customHeight="1">
      <c r="A147" s="32" t="str">
        <f>IMAGE("https://gymvisual.com/1201-catalog_default/3-4-sit-up.jpg",4,500,500)</f>
        <v/>
      </c>
      <c r="B147" s="30">
        <v>1860.0</v>
      </c>
      <c r="C147" s="16" t="s">
        <v>2459</v>
      </c>
      <c r="D147" s="16" t="s">
        <v>184</v>
      </c>
      <c r="E147" s="16" t="s">
        <v>219</v>
      </c>
      <c r="F147" s="16" t="s">
        <v>222</v>
      </c>
      <c r="G147" s="16" t="s">
        <v>223</v>
      </c>
      <c r="H147" s="16" t="s">
        <v>220</v>
      </c>
    </row>
    <row r="148" ht="330.75" customHeight="1">
      <c r="A148" s="32" t="str">
        <f>IMAGE("https://gymvisual.com/1198-catalog_default/3-4-sit-up.jpg",4,500,500)</f>
        <v/>
      </c>
      <c r="B148" s="30">
        <v>1859.0</v>
      </c>
      <c r="C148" s="16" t="s">
        <v>2458</v>
      </c>
      <c r="D148" s="16" t="s">
        <v>184</v>
      </c>
      <c r="E148" s="16" t="s">
        <v>219</v>
      </c>
      <c r="F148" s="16" t="s">
        <v>222</v>
      </c>
      <c r="G148" s="16" t="s">
        <v>241</v>
      </c>
      <c r="H148" s="16" t="s">
        <v>292</v>
      </c>
    </row>
    <row r="149" ht="330.75" customHeight="1">
      <c r="A149" s="32" t="str">
        <f>IMAGE("https://gymvisual.com/7152-catalog_default/dumbbell-seated-hammer-curl.jpg",4,500,500)</f>
        <v/>
      </c>
      <c r="B149" s="30">
        <v>1858.0</v>
      </c>
      <c r="C149" s="16" t="s">
        <v>2457</v>
      </c>
      <c r="D149" s="16" t="s">
        <v>184</v>
      </c>
      <c r="E149" s="16" t="s">
        <v>219</v>
      </c>
      <c r="F149" s="16" t="s">
        <v>222</v>
      </c>
      <c r="G149" s="16" t="s">
        <v>216</v>
      </c>
      <c r="H149" s="16" t="s">
        <v>217</v>
      </c>
    </row>
    <row r="150" ht="330.75" customHeight="1">
      <c r="A150" s="32" t="str">
        <f>IMAGE("https://gymvisual.com/17839-catalog_default/dumbbell-seated-gittleson-shrug.jpg",4,500,500)</f>
        <v/>
      </c>
      <c r="B150" s="30">
        <v>1857.0</v>
      </c>
      <c r="C150" s="16" t="s">
        <v>2456</v>
      </c>
      <c r="D150" s="16" t="s">
        <v>184</v>
      </c>
      <c r="E150" s="16" t="s">
        <v>192</v>
      </c>
      <c r="F150" s="16" t="s">
        <v>222</v>
      </c>
      <c r="G150" s="16" t="s">
        <v>220</v>
      </c>
      <c r="H150" s="16" t="s">
        <v>220</v>
      </c>
    </row>
    <row r="151" ht="330.75" customHeight="1">
      <c r="A151" s="32" t="str">
        <f>IMAGE("https://gymvisual.com/9619-catalog_default/dumbbell-seated-front-raise-female.jpg",4,500,500)</f>
        <v/>
      </c>
      <c r="B151" s="30">
        <v>1856.0</v>
      </c>
      <c r="C151" s="16" t="s">
        <v>2455</v>
      </c>
      <c r="D151" s="16" t="s">
        <v>184</v>
      </c>
      <c r="E151" s="16" t="s">
        <v>228</v>
      </c>
      <c r="F151" s="16" t="s">
        <v>222</v>
      </c>
      <c r="G151" s="16" t="s">
        <v>229</v>
      </c>
      <c r="H151" s="16" t="s">
        <v>244</v>
      </c>
    </row>
    <row r="152" ht="330.75" customHeight="1">
      <c r="A152" s="32" t="str">
        <f>IMAGE("https://gymvisual.com/1195-catalog_default/3-4-sit-up.jpg",4,500,500)</f>
        <v/>
      </c>
      <c r="B152" s="30">
        <v>1855.0</v>
      </c>
      <c r="C152" s="16" t="s">
        <v>2454</v>
      </c>
      <c r="D152" s="16" t="s">
        <v>184</v>
      </c>
      <c r="E152" s="16" t="s">
        <v>228</v>
      </c>
      <c r="F152" s="16" t="s">
        <v>222</v>
      </c>
      <c r="G152" s="16" t="s">
        <v>229</v>
      </c>
      <c r="H152" s="16" t="s">
        <v>244</v>
      </c>
    </row>
    <row r="153" ht="330.75" customHeight="1">
      <c r="A153" s="32" t="str">
        <f>IMAGE("https://gymvisual.com/17575-catalog_default/dumbbell-seated-front-and-back-tate-press.jpg",4,500,500)</f>
        <v/>
      </c>
      <c r="B153" s="30">
        <v>1854.0</v>
      </c>
      <c r="C153" s="16" t="s">
        <v>2452</v>
      </c>
      <c r="D153" s="16" t="s">
        <v>184</v>
      </c>
      <c r="E153" s="16" t="s">
        <v>219</v>
      </c>
      <c r="F153" s="16" t="s">
        <v>222</v>
      </c>
      <c r="G153" s="16" t="s">
        <v>223</v>
      </c>
      <c r="H153" s="16" t="s">
        <v>2453</v>
      </c>
    </row>
    <row r="154" ht="330.75" customHeight="1">
      <c r="A154" s="32" t="str">
        <f>IMAGE("https://gymvisual.com/20086-catalog_default/dumbbell-seated-external-shoulder-rotation.jpg",4,500,500)</f>
        <v/>
      </c>
      <c r="B154" s="30">
        <v>1853.0</v>
      </c>
      <c r="C154" s="16" t="s">
        <v>2450</v>
      </c>
      <c r="D154" s="16" t="s">
        <v>184</v>
      </c>
      <c r="E154" s="16" t="s">
        <v>228</v>
      </c>
      <c r="F154" s="16" t="s">
        <v>222</v>
      </c>
      <c r="G154" s="16" t="s">
        <v>408</v>
      </c>
      <c r="H154" s="16" t="s">
        <v>2451</v>
      </c>
    </row>
    <row r="155" ht="330.75" customHeight="1">
      <c r="A155" s="32" t="str">
        <f>IMAGE("https://gymvisual.com/13435-catalog_default/dumbbell-seated-curl-female.jpg",4,500,500)</f>
        <v/>
      </c>
      <c r="B155" s="30">
        <v>1852.0</v>
      </c>
      <c r="C155" s="16" t="s">
        <v>2449</v>
      </c>
      <c r="D155" s="16" t="s">
        <v>184</v>
      </c>
      <c r="E155" s="16" t="s">
        <v>219</v>
      </c>
      <c r="F155" s="16" t="s">
        <v>222</v>
      </c>
      <c r="G155" s="16" t="s">
        <v>220</v>
      </c>
      <c r="H155" s="16" t="s">
        <v>220</v>
      </c>
    </row>
    <row r="156" ht="330.75" customHeight="1">
      <c r="A156" s="32" t="str">
        <f>IMAGE("https://gymvisual.com/9634-catalog_default/dumbbell-seated-curl-female.jpg",4,500,500)</f>
        <v/>
      </c>
      <c r="B156" s="30">
        <v>1851.0</v>
      </c>
      <c r="C156" s="16" t="s">
        <v>2449</v>
      </c>
      <c r="D156" s="16" t="s">
        <v>184</v>
      </c>
      <c r="E156" s="16" t="s">
        <v>219</v>
      </c>
      <c r="F156" s="16" t="s">
        <v>222</v>
      </c>
      <c r="G156" s="16" t="s">
        <v>220</v>
      </c>
      <c r="H156" s="16" t="s">
        <v>220</v>
      </c>
    </row>
    <row r="157" ht="330.75" customHeight="1">
      <c r="A157" s="32" t="str">
        <f>IMAGE("https://gymvisual.com/1192-catalog_default/3-4-sit-up.jpg",4,500,500)</f>
        <v/>
      </c>
      <c r="B157" s="30">
        <v>1850.0</v>
      </c>
      <c r="C157" s="16" t="s">
        <v>2448</v>
      </c>
      <c r="D157" s="16" t="s">
        <v>184</v>
      </c>
      <c r="E157" s="16" t="s">
        <v>219</v>
      </c>
      <c r="F157" s="16" t="s">
        <v>222</v>
      </c>
      <c r="G157" s="16" t="s">
        <v>241</v>
      </c>
      <c r="H157" s="16" t="s">
        <v>292</v>
      </c>
    </row>
    <row r="158" ht="330.75" customHeight="1">
      <c r="A158" s="32" t="str">
        <f>IMAGE("https://gymvisual.com/18009-catalog_default/dumbbell-seated-cuban-press.jpg",4,500,500)</f>
        <v/>
      </c>
      <c r="B158" s="30">
        <v>1849.0</v>
      </c>
      <c r="C158" s="16" t="s">
        <v>2447</v>
      </c>
      <c r="D158" s="16" t="s">
        <v>184</v>
      </c>
      <c r="E158" s="16" t="s">
        <v>228</v>
      </c>
      <c r="F158" s="16" t="s">
        <v>222</v>
      </c>
      <c r="G158" s="16" t="s">
        <v>220</v>
      </c>
      <c r="H158" s="16" t="s">
        <v>220</v>
      </c>
    </row>
    <row r="159" ht="330.75" customHeight="1">
      <c r="A159" s="32" t="str">
        <f>IMAGE("https://gymvisual.com/17638-catalog_default/dumbbell-seated-close-grip-press.jpg",4,500,500)</f>
        <v/>
      </c>
      <c r="B159" s="30">
        <v>1848.0</v>
      </c>
      <c r="C159" s="16" t="s">
        <v>2446</v>
      </c>
      <c r="D159" s="16" t="s">
        <v>184</v>
      </c>
      <c r="E159" s="16" t="s">
        <v>228</v>
      </c>
      <c r="F159" s="16" t="s">
        <v>222</v>
      </c>
      <c r="G159" s="16" t="s">
        <v>229</v>
      </c>
      <c r="H159" s="16" t="s">
        <v>626</v>
      </c>
    </row>
    <row r="160" ht="330.75" customHeight="1">
      <c r="A160" s="32" t="str">
        <f>IMAGE("https://gymvisual.com/13433-catalog_default/dumbbell-seated-calf-raise-female.jpg",4,500,500)</f>
        <v/>
      </c>
      <c r="B160" s="30">
        <v>1847.0</v>
      </c>
      <c r="C160" s="16" t="s">
        <v>2445</v>
      </c>
      <c r="D160" s="16" t="s">
        <v>184</v>
      </c>
      <c r="E160" s="16" t="s">
        <v>325</v>
      </c>
      <c r="F160" s="16" t="s">
        <v>222</v>
      </c>
      <c r="G160" s="16" t="s">
        <v>368</v>
      </c>
      <c r="H160" s="16" t="s">
        <v>463</v>
      </c>
    </row>
    <row r="161" ht="330.75" customHeight="1">
      <c r="A161" s="32" t="str">
        <f>IMAGE("https://gymvisual.com/6076-catalog_default/dumbbell-seated-calf-raise.jpg",4,500,500)</f>
        <v/>
      </c>
      <c r="B161" s="30">
        <v>1846.0</v>
      </c>
      <c r="C161" s="16" t="s">
        <v>2444</v>
      </c>
      <c r="D161" s="16" t="s">
        <v>184</v>
      </c>
      <c r="E161" s="16" t="s">
        <v>325</v>
      </c>
      <c r="F161" s="16" t="s">
        <v>222</v>
      </c>
      <c r="G161" s="16" t="s">
        <v>368</v>
      </c>
      <c r="H161" s="16" t="s">
        <v>463</v>
      </c>
    </row>
    <row r="162" ht="330.75" customHeight="1">
      <c r="A162" s="32" t="str">
        <f>IMAGE("https://gymvisual.com/14106-catalog_default/dumbbell-seated-biceps-curl-to-shoulder-press.jpg",4,500,500)</f>
        <v/>
      </c>
      <c r="B162" s="30">
        <v>1845.0</v>
      </c>
      <c r="C162" s="16" t="s">
        <v>2443</v>
      </c>
      <c r="D162" s="16" t="s">
        <v>184</v>
      </c>
      <c r="E162" s="16" t="s">
        <v>829</v>
      </c>
      <c r="F162" s="16" t="s">
        <v>222</v>
      </c>
      <c r="G162" s="16" t="s">
        <v>2003</v>
      </c>
      <c r="H162" s="16" t="s">
        <v>2004</v>
      </c>
    </row>
    <row r="163" ht="330.75" customHeight="1">
      <c r="A163" s="32" t="str">
        <f>IMAGE("https://gymvisual.com/1189-catalog_default/3-4-sit-up.jpg",4,500,500)</f>
        <v/>
      </c>
      <c r="B163" s="30">
        <v>1844.0</v>
      </c>
      <c r="C163" s="16" t="s">
        <v>2442</v>
      </c>
      <c r="D163" s="16" t="s">
        <v>184</v>
      </c>
      <c r="E163" s="16" t="s">
        <v>219</v>
      </c>
      <c r="F163" s="16" t="s">
        <v>222</v>
      </c>
      <c r="G163" s="16" t="s">
        <v>241</v>
      </c>
      <c r="H163" s="16" t="s">
        <v>292</v>
      </c>
    </row>
    <row r="164" ht="330.75" customHeight="1">
      <c r="A164" s="32" t="str">
        <f>IMAGE("https://gymvisual.com/7151-catalog_default/dumbbell-seated-bicep-curl.jpg",4,500,500)</f>
        <v/>
      </c>
      <c r="B164" s="30">
        <v>1843.0</v>
      </c>
      <c r="C164" s="16" t="s">
        <v>2441</v>
      </c>
      <c r="D164" s="16" t="s">
        <v>184</v>
      </c>
      <c r="E164" s="16" t="s">
        <v>219</v>
      </c>
      <c r="F164" s="16" t="s">
        <v>222</v>
      </c>
      <c r="G164" s="16" t="s">
        <v>220</v>
      </c>
      <c r="H164" s="16" t="s">
        <v>220</v>
      </c>
    </row>
    <row r="165" ht="330.75" customHeight="1">
      <c r="A165" s="32" t="str">
        <f>IMAGE("https://gymvisual.com/7456-catalog_default/dumbbell-seated-bent-over-triceps-extension.jpg",4,500,500)</f>
        <v/>
      </c>
      <c r="B165" s="30">
        <v>1842.0</v>
      </c>
      <c r="C165" s="16" t="s">
        <v>2440</v>
      </c>
      <c r="D165" s="16" t="s">
        <v>184</v>
      </c>
      <c r="E165" s="16" t="s">
        <v>219</v>
      </c>
      <c r="F165" s="16" t="s">
        <v>222</v>
      </c>
      <c r="G165" s="16" t="s">
        <v>220</v>
      </c>
      <c r="H165" s="16" t="s">
        <v>220</v>
      </c>
    </row>
    <row r="166" ht="330.75" customHeight="1">
      <c r="A166" s="32" t="str">
        <f>IMAGE("https://gymvisual.com/17634-catalog_default/dumbbell-seated-bent-over-rear-delt-row.jpg",4,500,500)</f>
        <v/>
      </c>
      <c r="B166" s="30">
        <v>1841.0</v>
      </c>
      <c r="C166" s="16" t="s">
        <v>2439</v>
      </c>
      <c r="D166" s="16" t="s">
        <v>184</v>
      </c>
      <c r="E166" s="16" t="s">
        <v>228</v>
      </c>
      <c r="F166" s="16" t="s">
        <v>222</v>
      </c>
      <c r="G166" s="16" t="s">
        <v>408</v>
      </c>
      <c r="H166" s="16" t="s">
        <v>452</v>
      </c>
    </row>
    <row r="167" ht="330.75" customHeight="1">
      <c r="A167" s="32" t="str">
        <f>IMAGE("https://gymvisual.com/17865-catalog_default/dumbbell-seated-bent-over-alternate-rear-delt-fly.jpg",4,500,500)</f>
        <v/>
      </c>
      <c r="B167" s="30">
        <v>1840.0</v>
      </c>
      <c r="C167" s="16" t="s">
        <v>2438</v>
      </c>
      <c r="D167" s="16" t="s">
        <v>184</v>
      </c>
      <c r="E167" s="16" t="s">
        <v>228</v>
      </c>
      <c r="F167" s="16" t="s">
        <v>222</v>
      </c>
      <c r="G167" s="16" t="s">
        <v>220</v>
      </c>
      <c r="H167" s="16" t="s">
        <v>220</v>
      </c>
    </row>
    <row r="168" ht="330.75" customHeight="1">
      <c r="A168" s="32" t="str">
        <f>IMAGE("https://gymvisual.com/7449-catalog_default/dumbbell-seated-bent-over-alternate-kickback.jpg",4,500,500)</f>
        <v/>
      </c>
      <c r="B168" s="30">
        <v>1839.0</v>
      </c>
      <c r="C168" s="16" t="s">
        <v>2437</v>
      </c>
      <c r="D168" s="16" t="s">
        <v>184</v>
      </c>
      <c r="E168" s="16" t="s">
        <v>219</v>
      </c>
      <c r="F168" s="16" t="s">
        <v>222</v>
      </c>
      <c r="G168" s="16" t="s">
        <v>220</v>
      </c>
      <c r="H168" s="16" t="s">
        <v>220</v>
      </c>
    </row>
    <row r="169" ht="330.75" customHeight="1">
      <c r="A169" s="32" t="str">
        <f>IMAGE("https://gymvisual.com/9807-catalog_default/dumbbell-seated-bent-arm-lateral-raise.jpg",4,500,500)</f>
        <v/>
      </c>
      <c r="B169" s="30">
        <v>1838.0</v>
      </c>
      <c r="C169" s="16" t="s">
        <v>2435</v>
      </c>
      <c r="D169" s="16" t="s">
        <v>184</v>
      </c>
      <c r="E169" s="16" t="s">
        <v>228</v>
      </c>
      <c r="F169" s="16" t="s">
        <v>222</v>
      </c>
      <c r="G169" s="16" t="s">
        <v>544</v>
      </c>
      <c r="H169" s="16" t="s">
        <v>2436</v>
      </c>
    </row>
    <row r="170" ht="330.75" customHeight="1">
      <c r="A170" s="32" t="str">
        <f>IMAGE("https://gymvisual.com/14173-catalog_default/3-4-sit-up.jpg",4,500,500)</f>
        <v/>
      </c>
      <c r="B170" s="30">
        <v>1837.0</v>
      </c>
      <c r="C170" s="16" t="s">
        <v>2434</v>
      </c>
      <c r="D170" s="16" t="s">
        <v>184</v>
      </c>
      <c r="E170" s="16" t="s">
        <v>219</v>
      </c>
      <c r="F170" s="16" t="s">
        <v>222</v>
      </c>
      <c r="G170" s="16" t="s">
        <v>223</v>
      </c>
      <c r="H170" s="16" t="s">
        <v>220</v>
      </c>
    </row>
    <row r="171" ht="330.75" customHeight="1">
      <c r="A171" s="32" t="str">
        <f>IMAGE("https://gymvisual.com/14104-catalog_default/dumbbell-seated-alternate-shoulder.jpg",4,500,500)</f>
        <v/>
      </c>
      <c r="B171" s="30">
        <v>1836.0</v>
      </c>
      <c r="C171" s="16" t="s">
        <v>2433</v>
      </c>
      <c r="D171" s="16" t="s">
        <v>184</v>
      </c>
      <c r="E171" s="16" t="s">
        <v>228</v>
      </c>
      <c r="F171" s="16" t="s">
        <v>222</v>
      </c>
      <c r="G171" s="16" t="s">
        <v>229</v>
      </c>
      <c r="H171" s="16" t="s">
        <v>626</v>
      </c>
    </row>
    <row r="172" ht="330.75" customHeight="1">
      <c r="A172" s="32" t="str">
        <f>IMAGE("https://gymvisual.com/11333-catalog_default/dumbbell-seated-alternate-press-female.jpg",4,500,500)</f>
        <v/>
      </c>
      <c r="B172" s="30">
        <v>1835.0</v>
      </c>
      <c r="C172" s="16" t="s">
        <v>2432</v>
      </c>
      <c r="D172" s="16" t="s">
        <v>184</v>
      </c>
      <c r="E172" s="16" t="s">
        <v>228</v>
      </c>
      <c r="F172" s="16" t="s">
        <v>222</v>
      </c>
      <c r="G172" s="16" t="s">
        <v>220</v>
      </c>
      <c r="H172" s="16" t="s">
        <v>220</v>
      </c>
    </row>
    <row r="173" ht="330.75" customHeight="1">
      <c r="A173" s="32" t="str">
        <f>IMAGE("https://gymvisual.com/1183-catalog_default/3-4-sit-up.jpg",4,500,500)</f>
        <v/>
      </c>
      <c r="B173" s="30">
        <v>1834.0</v>
      </c>
      <c r="C173" s="16" t="s">
        <v>2431</v>
      </c>
      <c r="D173" s="16" t="s">
        <v>184</v>
      </c>
      <c r="E173" s="16" t="s">
        <v>228</v>
      </c>
      <c r="F173" s="16" t="s">
        <v>222</v>
      </c>
      <c r="G173" s="16" t="s">
        <v>229</v>
      </c>
      <c r="H173" s="16" t="s">
        <v>626</v>
      </c>
    </row>
    <row r="174" ht="330.75" customHeight="1">
      <c r="A174" s="32" t="str">
        <f>IMAGE("https://gymvisual.com/7150-catalog_default/dumbbell-seated-alternate-hammer-curl-on-exercise-ball.jpg",4,500,500)</f>
        <v/>
      </c>
      <c r="B174" s="30">
        <v>1833.0</v>
      </c>
      <c r="C174" s="16" t="s">
        <v>2430</v>
      </c>
      <c r="D174" s="16" t="s">
        <v>184</v>
      </c>
      <c r="E174" s="16" t="s">
        <v>219</v>
      </c>
      <c r="F174" s="16" t="s">
        <v>222</v>
      </c>
      <c r="G174" s="16" t="s">
        <v>220</v>
      </c>
      <c r="H174" s="16" t="s">
        <v>220</v>
      </c>
    </row>
    <row r="175" ht="330.75" customHeight="1">
      <c r="A175" s="32" t="str">
        <f>IMAGE("https://gymvisual.com/11336-catalog_default/dumbbell-seated-alternate-front-raise-female.jpg",4,500,500)</f>
        <v/>
      </c>
      <c r="B175" s="30">
        <v>1832.0</v>
      </c>
      <c r="C175" s="16" t="s">
        <v>2429</v>
      </c>
      <c r="D175" s="16" t="s">
        <v>184</v>
      </c>
      <c r="E175" s="16" t="s">
        <v>228</v>
      </c>
      <c r="F175" s="16" t="s">
        <v>222</v>
      </c>
      <c r="G175" s="16" t="s">
        <v>229</v>
      </c>
      <c r="H175" s="16" t="s">
        <v>244</v>
      </c>
    </row>
    <row r="176" ht="330.75" customHeight="1">
      <c r="A176" s="32" t="str">
        <f>IMAGE("https://gymvisual.com/1180-catalog_default/3-4-sit-up.jpg",4,500,500)</f>
        <v/>
      </c>
      <c r="B176" s="30">
        <v>1831.0</v>
      </c>
      <c r="C176" s="16" t="s">
        <v>2428</v>
      </c>
      <c r="D176" s="16" t="s">
        <v>184</v>
      </c>
      <c r="E176" s="16" t="s">
        <v>228</v>
      </c>
      <c r="F176" s="16" t="s">
        <v>222</v>
      </c>
      <c r="G176" s="16" t="s">
        <v>229</v>
      </c>
      <c r="H176" s="16" t="s">
        <v>244</v>
      </c>
    </row>
    <row r="177" ht="330.75" customHeight="1">
      <c r="A177" s="32" t="str">
        <f>IMAGE("https://gymvisual.com/16702-catalog_default/dumbbell-seated-alternate-biceps-curl-female.jpg",4,500,500)</f>
        <v/>
      </c>
      <c r="B177" s="30">
        <v>1830.0</v>
      </c>
      <c r="C177" s="16" t="s">
        <v>2427</v>
      </c>
      <c r="D177" s="16" t="s">
        <v>184</v>
      </c>
      <c r="E177" s="16" t="s">
        <v>219</v>
      </c>
      <c r="F177" s="16" t="s">
        <v>222</v>
      </c>
      <c r="G177" s="16" t="s">
        <v>241</v>
      </c>
      <c r="H177" s="16" t="s">
        <v>292</v>
      </c>
    </row>
    <row r="178" ht="330.75" customHeight="1">
      <c r="A178" s="32" t="str">
        <f>IMAGE("https://gymvisual.com/13896-catalog_default/dumbbell-scott-press-female.jpg",4,500,500)</f>
        <v/>
      </c>
      <c r="B178" s="30">
        <v>1829.0</v>
      </c>
      <c r="C178" s="16" t="s">
        <v>2426</v>
      </c>
      <c r="D178" s="16" t="s">
        <v>184</v>
      </c>
      <c r="E178" s="16" t="s">
        <v>228</v>
      </c>
      <c r="F178" s="16" t="s">
        <v>222</v>
      </c>
      <c r="G178" s="16" t="s">
        <v>220</v>
      </c>
      <c r="H178" s="16" t="s">
        <v>220</v>
      </c>
    </row>
    <row r="179" ht="330.75" customHeight="1">
      <c r="A179" s="32" t="str">
        <f>IMAGE("https://gymvisual.com/10375-catalog_default/dumbbell-scott-press.jpg",4,500,500)</f>
        <v/>
      </c>
      <c r="B179" s="30">
        <v>1828.0</v>
      </c>
      <c r="C179" s="16" t="s">
        <v>2424</v>
      </c>
      <c r="D179" s="16" t="s">
        <v>184</v>
      </c>
      <c r="E179" s="16" t="s">
        <v>228</v>
      </c>
      <c r="F179" s="16" t="s">
        <v>222</v>
      </c>
      <c r="G179" s="16" t="s">
        <v>544</v>
      </c>
      <c r="H179" s="16" t="s">
        <v>2425</v>
      </c>
    </row>
    <row r="180" ht="330.75" customHeight="1">
      <c r="A180" s="32" t="str">
        <f>IMAGE("https://gymvisual.com/22249-catalog_default/dumbbell-russian-twist-with-legs-floor-off.jpg",4,500,500)</f>
        <v/>
      </c>
      <c r="B180" s="30">
        <v>1827.0</v>
      </c>
      <c r="C180" s="16" t="s">
        <v>2423</v>
      </c>
      <c r="D180" s="16" t="s">
        <v>184</v>
      </c>
      <c r="E180" s="16" t="s">
        <v>254</v>
      </c>
      <c r="F180" s="16" t="s">
        <v>222</v>
      </c>
      <c r="G180" s="16" t="s">
        <v>220</v>
      </c>
      <c r="H180" s="16" t="s">
        <v>220</v>
      </c>
    </row>
    <row r="181" ht="330.75" customHeight="1">
      <c r="A181" s="32" t="str">
        <f>IMAGE("https://gymvisual.com/19596-catalog_default/dumbbell-russian-twist-close-grip-shoulder-press-sit-up.jpg",4,500,500)</f>
        <v/>
      </c>
      <c r="B181" s="30">
        <v>1826.0</v>
      </c>
      <c r="C181" s="16" t="s">
        <v>2422</v>
      </c>
      <c r="D181" s="16" t="s">
        <v>184</v>
      </c>
      <c r="E181" s="16" t="s">
        <v>254</v>
      </c>
      <c r="F181" s="16" t="s">
        <v>222</v>
      </c>
      <c r="G181" s="16" t="s">
        <v>220</v>
      </c>
      <c r="H181" s="16" t="s">
        <v>220</v>
      </c>
    </row>
    <row r="182" ht="330.75" customHeight="1">
      <c r="A182" s="32" t="str">
        <f>IMAGE("https://gymvisual.com/17815-catalog_default/dumbbell-russian-twist-on-stability-ball.jpg",4,500,500)</f>
        <v/>
      </c>
      <c r="B182" s="30">
        <v>1825.0</v>
      </c>
      <c r="C182" s="16" t="s">
        <v>2421</v>
      </c>
      <c r="D182" s="16" t="s">
        <v>184</v>
      </c>
      <c r="E182" s="16" t="s">
        <v>254</v>
      </c>
      <c r="F182" s="16" t="s">
        <v>222</v>
      </c>
      <c r="G182" s="16" t="s">
        <v>220</v>
      </c>
      <c r="H182" s="16" t="s">
        <v>220</v>
      </c>
    </row>
    <row r="183" ht="330.75" customHeight="1">
      <c r="A183" s="32" t="str">
        <f>IMAGE("https://gymvisual.com/13922-catalog_default/dumbbell-russian-twist-female.jpg",4,500,500)</f>
        <v/>
      </c>
      <c r="B183" s="30">
        <v>1824.0</v>
      </c>
      <c r="C183" s="16" t="s">
        <v>2420</v>
      </c>
      <c r="D183" s="16" t="s">
        <v>184</v>
      </c>
      <c r="E183" s="16" t="s">
        <v>254</v>
      </c>
      <c r="F183" s="16" t="s">
        <v>222</v>
      </c>
      <c r="G183" s="16" t="s">
        <v>257</v>
      </c>
      <c r="H183" s="16" t="s">
        <v>256</v>
      </c>
    </row>
    <row r="184" ht="330.75" customHeight="1">
      <c r="A184" s="32" t="str">
        <f>IMAGE("https://gymvisual.com/13920-catalog_default/dumbbell-russian-twist.jpg",4,500,500)</f>
        <v/>
      </c>
      <c r="B184" s="30">
        <v>1823.0</v>
      </c>
      <c r="C184" s="16" t="s">
        <v>2419</v>
      </c>
      <c r="D184" s="16" t="s">
        <v>184</v>
      </c>
      <c r="E184" s="16" t="s">
        <v>254</v>
      </c>
      <c r="F184" s="16" t="s">
        <v>222</v>
      </c>
      <c r="G184" s="16" t="s">
        <v>257</v>
      </c>
      <c r="H184" s="16" t="s">
        <v>256</v>
      </c>
    </row>
    <row r="185" ht="330.75" customHeight="1">
      <c r="A185" s="32" t="str">
        <f>IMAGE("https://gymvisual.com/22355-catalog_default/dumbbell-rotational-grip-bench-press.jpg",4,500,500)</f>
        <v/>
      </c>
      <c r="B185" s="30">
        <v>1822.0</v>
      </c>
      <c r="C185" s="16" t="s">
        <v>2418</v>
      </c>
      <c r="D185" s="16" t="s">
        <v>184</v>
      </c>
      <c r="E185" s="16" t="s">
        <v>234</v>
      </c>
      <c r="F185" s="16" t="s">
        <v>222</v>
      </c>
      <c r="G185" s="16" t="s">
        <v>220</v>
      </c>
      <c r="H185" s="16" t="s">
        <v>220</v>
      </c>
    </row>
    <row r="186" ht="330.75" customHeight="1">
      <c r="A186" s="32" t="str">
        <f>IMAGE("https://gymvisual.com/1177-catalog_default/3-4-sit-up.jpg",4,500,500)</f>
        <v/>
      </c>
      <c r="B186" s="30">
        <v>1821.0</v>
      </c>
      <c r="C186" s="16" t="s">
        <v>2416</v>
      </c>
      <c r="D186" s="16" t="s">
        <v>184</v>
      </c>
      <c r="E186" s="16" t="s">
        <v>228</v>
      </c>
      <c r="F186" s="16" t="s">
        <v>222</v>
      </c>
      <c r="G186" s="16" t="s">
        <v>408</v>
      </c>
      <c r="H186" s="16" t="s">
        <v>2417</v>
      </c>
    </row>
    <row r="187" ht="330.75" customHeight="1">
      <c r="A187" s="32" t="str">
        <f>IMAGE("https://gymvisual.com/9580-catalog_default/dumbbell-romanian-deadlift-female.jpg",4,500,500)</f>
        <v/>
      </c>
      <c r="B187" s="30">
        <v>1820.0</v>
      </c>
      <c r="C187" s="16" t="s">
        <v>2414</v>
      </c>
      <c r="D187" s="16" t="s">
        <v>184</v>
      </c>
      <c r="E187" s="16" t="s">
        <v>185</v>
      </c>
      <c r="F187" s="16" t="s">
        <v>222</v>
      </c>
      <c r="G187" s="16" t="s">
        <v>267</v>
      </c>
      <c r="H187" s="16" t="s">
        <v>2415</v>
      </c>
    </row>
    <row r="188" ht="330.75" customHeight="1">
      <c r="A188" s="32" t="str">
        <f>IMAGE("https://gymvisual.com/7639-catalog_default/dumbbell-romanian-deadlift.jpg",4,500,500)</f>
        <v/>
      </c>
      <c r="B188" s="30">
        <v>1819.0</v>
      </c>
      <c r="C188" s="16" t="s">
        <v>2411</v>
      </c>
      <c r="D188" s="16" t="s">
        <v>184</v>
      </c>
      <c r="E188" s="16" t="s">
        <v>185</v>
      </c>
      <c r="F188" s="16" t="s">
        <v>222</v>
      </c>
      <c r="G188" s="16" t="s">
        <v>2412</v>
      </c>
      <c r="H188" s="16" t="s">
        <v>2413</v>
      </c>
    </row>
    <row r="189" ht="330.75" customHeight="1">
      <c r="A189" s="32" t="str">
        <f>IMAGE("https://gymvisual.com/1174-catalog_default/3-4-sit-up.jpg",4,500,500)</f>
        <v/>
      </c>
      <c r="B189" s="30">
        <v>1818.0</v>
      </c>
      <c r="C189" s="16" t="s">
        <v>2410</v>
      </c>
      <c r="D189" s="16" t="s">
        <v>184</v>
      </c>
      <c r="E189" s="16" t="s">
        <v>214</v>
      </c>
      <c r="F189" s="16" t="s">
        <v>222</v>
      </c>
      <c r="G189" s="16" t="s">
        <v>604</v>
      </c>
      <c r="H189" s="16" t="s">
        <v>220</v>
      </c>
    </row>
    <row r="190" ht="330.75" customHeight="1">
      <c r="A190" s="32" t="str">
        <f>IMAGE("https://gymvisual.com/7149-catalog_default/dumbbell-reverse-spider-curl.jpg",4,500,500)</f>
        <v/>
      </c>
      <c r="B190" s="30">
        <v>1817.0</v>
      </c>
      <c r="C190" s="16" t="s">
        <v>2409</v>
      </c>
      <c r="D190" s="16" t="s">
        <v>184</v>
      </c>
      <c r="E190" s="16" t="s">
        <v>219</v>
      </c>
      <c r="F190" s="16" t="s">
        <v>222</v>
      </c>
      <c r="G190" s="16" t="s">
        <v>220</v>
      </c>
      <c r="H190" s="16" t="s">
        <v>220</v>
      </c>
    </row>
    <row r="191" ht="330.75" customHeight="1">
      <c r="A191" s="32" t="str">
        <f>IMAGE("https://gymvisual.com/24991-catalog_default/3-4-sit-up.jpg",4,500,500)</f>
        <v/>
      </c>
      <c r="B191" s="30">
        <v>1816.0</v>
      </c>
      <c r="C191" s="16" t="s">
        <v>2408</v>
      </c>
      <c r="D191" s="16" t="s">
        <v>184</v>
      </c>
      <c r="E191" s="16" t="s">
        <v>214</v>
      </c>
      <c r="F191" s="16" t="s">
        <v>222</v>
      </c>
      <c r="G191" s="16" t="s">
        <v>216</v>
      </c>
      <c r="H191" s="16" t="s">
        <v>217</v>
      </c>
    </row>
    <row r="192" ht="330.75" customHeight="1">
      <c r="A192" s="32" t="str">
        <f>IMAGE("https://gymvisual.com/22357-catalog_default/dumbbell-reverse-grip-squeeze-bench-press.jpg",4,500,500)</f>
        <v/>
      </c>
      <c r="B192" s="30">
        <v>1815.0</v>
      </c>
      <c r="C192" s="16" t="s">
        <v>2407</v>
      </c>
      <c r="D192" s="16" t="s">
        <v>184</v>
      </c>
      <c r="E192" s="16" t="s">
        <v>219</v>
      </c>
      <c r="F192" s="16" t="s">
        <v>222</v>
      </c>
      <c r="G192" s="16" t="s">
        <v>220</v>
      </c>
      <c r="H192" s="16" t="s">
        <v>220</v>
      </c>
    </row>
    <row r="193" ht="330.75" customHeight="1">
      <c r="A193" s="32" t="str">
        <f>IMAGE("https://gymvisual.com/9846-catalog_default/dumbbell-reverse-grip-row-female.jpg",4,500,500)</f>
        <v/>
      </c>
      <c r="B193" s="30">
        <v>1814.0</v>
      </c>
      <c r="C193" s="16" t="s">
        <v>2406</v>
      </c>
      <c r="D193" s="16" t="s">
        <v>184</v>
      </c>
      <c r="E193" s="16" t="s">
        <v>192</v>
      </c>
      <c r="F193" s="16" t="s">
        <v>222</v>
      </c>
      <c r="G193" s="16" t="s">
        <v>329</v>
      </c>
      <c r="H193" s="16" t="s">
        <v>457</v>
      </c>
    </row>
    <row r="194" ht="330.75" customHeight="1">
      <c r="A194" s="32" t="str">
        <f>IMAGE("https://gymvisual.com/11104-catalog_default/dumbbell-reverse-grip-incline-row-female.jpg",4,500,500)</f>
        <v/>
      </c>
      <c r="B194" s="30">
        <v>1813.0</v>
      </c>
      <c r="C194" s="16" t="s">
        <v>2405</v>
      </c>
      <c r="D194" s="16" t="s">
        <v>184</v>
      </c>
      <c r="E194" s="16" t="s">
        <v>192</v>
      </c>
      <c r="F194" s="16" t="s">
        <v>222</v>
      </c>
      <c r="G194" s="16" t="s">
        <v>570</v>
      </c>
      <c r="H194" s="16" t="s">
        <v>447</v>
      </c>
    </row>
    <row r="195" ht="330.75" customHeight="1">
      <c r="A195" s="32" t="str">
        <f>IMAGE("https://gymvisual.com/6022-catalog_default/dumbbell-reverse-grip-incline-bench-two-arm-row.jpg",4,500,500)</f>
        <v/>
      </c>
      <c r="B195" s="30">
        <v>1812.0</v>
      </c>
      <c r="C195" s="16" t="s">
        <v>2404</v>
      </c>
      <c r="D195" s="16" t="s">
        <v>184</v>
      </c>
      <c r="E195" s="16" t="s">
        <v>192</v>
      </c>
      <c r="F195" s="16" t="s">
        <v>222</v>
      </c>
      <c r="G195" s="16" t="s">
        <v>329</v>
      </c>
      <c r="H195" s="16" t="s">
        <v>457</v>
      </c>
    </row>
    <row r="196" ht="330.75" customHeight="1">
      <c r="A196" s="32" t="str">
        <f>IMAGE("https://gymvisual.com/11399-catalog_default/dumbbell-reverse-grip-incline-bench-one-arm-row-female.jpg",4,500,500)</f>
        <v/>
      </c>
      <c r="B196" s="30">
        <v>1811.0</v>
      </c>
      <c r="C196" s="16" t="s">
        <v>2403</v>
      </c>
      <c r="D196" s="16" t="s">
        <v>184</v>
      </c>
      <c r="E196" s="16" t="s">
        <v>192</v>
      </c>
      <c r="F196" s="16" t="s">
        <v>222</v>
      </c>
      <c r="G196" s="16" t="s">
        <v>220</v>
      </c>
      <c r="H196" s="16" t="s">
        <v>220</v>
      </c>
    </row>
    <row r="197" ht="330.75" customHeight="1">
      <c r="A197" s="32" t="str">
        <f>IMAGE("https://gymvisual.com/6021-catalog_default/dumbbell-reverse-grip-incline-bench-one-arm-row.jpg",4,500,500)</f>
        <v/>
      </c>
      <c r="B197" s="30">
        <v>1810.0</v>
      </c>
      <c r="C197" s="16" t="s">
        <v>2402</v>
      </c>
      <c r="D197" s="16" t="s">
        <v>184</v>
      </c>
      <c r="E197" s="16" t="s">
        <v>192</v>
      </c>
      <c r="F197" s="16" t="s">
        <v>222</v>
      </c>
      <c r="G197" s="16" t="s">
        <v>329</v>
      </c>
      <c r="H197" s="16" t="s">
        <v>457</v>
      </c>
    </row>
    <row r="198" ht="330.75" customHeight="1">
      <c r="A198" s="32" t="str">
        <f>IMAGE("https://gymvisual.com/1168-catalog_default/3-4-sit-up.jpg",4,500,500)</f>
        <v/>
      </c>
      <c r="B198" s="30">
        <v>1809.0</v>
      </c>
      <c r="C198" s="16" t="s">
        <v>2401</v>
      </c>
      <c r="D198" s="16" t="s">
        <v>184</v>
      </c>
      <c r="E198" s="16" t="s">
        <v>228</v>
      </c>
      <c r="F198" s="16" t="s">
        <v>222</v>
      </c>
      <c r="G198" s="16" t="s">
        <v>408</v>
      </c>
      <c r="H198" s="16" t="s">
        <v>452</v>
      </c>
    </row>
    <row r="199" ht="330.75" customHeight="1">
      <c r="A199" s="32" t="str">
        <f>IMAGE("https://gymvisual.com/13924-catalog_default/dumbbell-reverse-bench-press-female.jpg",4,500,500)</f>
        <v/>
      </c>
      <c r="B199" s="30">
        <v>1808.0</v>
      </c>
      <c r="C199" s="16" t="s">
        <v>2399</v>
      </c>
      <c r="D199" s="16" t="s">
        <v>184</v>
      </c>
      <c r="E199" s="16" t="s">
        <v>1894</v>
      </c>
      <c r="F199" s="16" t="s">
        <v>222</v>
      </c>
      <c r="G199" s="16" t="s">
        <v>2400</v>
      </c>
      <c r="H199" s="16" t="s">
        <v>229</v>
      </c>
    </row>
    <row r="200" ht="330.75" customHeight="1">
      <c r="A200" s="32" t="str">
        <f>IMAGE("https://gymvisual.com/7099-catalog_default/dumbbell-reverse-bench-press.jpg",4,500,500)</f>
        <v/>
      </c>
      <c r="B200" s="30">
        <v>1807.0</v>
      </c>
      <c r="C200" s="16" t="s">
        <v>2398</v>
      </c>
      <c r="D200" s="16" t="s">
        <v>184</v>
      </c>
      <c r="E200" s="16" t="s">
        <v>234</v>
      </c>
      <c r="F200" s="16" t="s">
        <v>222</v>
      </c>
      <c r="G200" s="16" t="s">
        <v>220</v>
      </c>
      <c r="H200" s="16" t="s">
        <v>220</v>
      </c>
    </row>
    <row r="201" ht="330.75" customHeight="1">
      <c r="A201" s="32" t="str">
        <f>IMAGE("https://gymvisual.com/1165-catalog_default/3-4-sit-up.jpg",4,500,500)</f>
        <v/>
      </c>
      <c r="B201" s="30">
        <v>1806.0</v>
      </c>
      <c r="C201" s="16" t="s">
        <v>2397</v>
      </c>
      <c r="D201" s="16" t="s">
        <v>184</v>
      </c>
      <c r="E201" s="16" t="s">
        <v>214</v>
      </c>
      <c r="F201" s="16" t="s">
        <v>222</v>
      </c>
      <c r="G201" s="16" t="s">
        <v>216</v>
      </c>
      <c r="H201" s="16" t="s">
        <v>217</v>
      </c>
    </row>
    <row r="202" ht="330.75" customHeight="1">
      <c r="A202" s="32" t="str">
        <f>IMAGE("https://gymvisual.com/19604-catalog_default/dumbbell-renegade-row-to-squat.jpg",4,500,500)</f>
        <v/>
      </c>
      <c r="B202" s="30">
        <v>1805.0</v>
      </c>
      <c r="C202" s="16" t="s">
        <v>2395</v>
      </c>
      <c r="D202" s="16" t="s">
        <v>184</v>
      </c>
      <c r="E202" s="16" t="s">
        <v>2396</v>
      </c>
      <c r="F202" s="16" t="s">
        <v>222</v>
      </c>
      <c r="G202" s="16" t="s">
        <v>220</v>
      </c>
      <c r="H202" s="16" t="s">
        <v>220</v>
      </c>
    </row>
    <row r="203" ht="330.75" customHeight="1">
      <c r="A203" s="32" t="str">
        <f>IMAGE("https://gymvisual.com/13303-catalog_default/dumbbell-renegade-row-female.jpg",4,500,500)</f>
        <v/>
      </c>
      <c r="B203" s="30">
        <v>1804.0</v>
      </c>
      <c r="C203" s="16" t="s">
        <v>2394</v>
      </c>
      <c r="D203" s="16" t="s">
        <v>184</v>
      </c>
      <c r="E203" s="16" t="s">
        <v>361</v>
      </c>
      <c r="F203" s="16" t="s">
        <v>222</v>
      </c>
      <c r="G203" s="16" t="s">
        <v>220</v>
      </c>
      <c r="H203" s="16" t="s">
        <v>220</v>
      </c>
    </row>
    <row r="204" ht="330.75" customHeight="1">
      <c r="A204" s="32" t="str">
        <f>IMAGE("https://gymvisual.com/13301-catalog_default/dumbbell-renegade-row.jpg",4,500,500)</f>
        <v/>
      </c>
      <c r="B204" s="30">
        <v>1803.0</v>
      </c>
      <c r="C204" s="16" t="s">
        <v>2393</v>
      </c>
      <c r="D204" s="16" t="s">
        <v>184</v>
      </c>
      <c r="E204" s="16" t="s">
        <v>361</v>
      </c>
      <c r="F204" s="16" t="s">
        <v>222</v>
      </c>
      <c r="G204" s="16" t="s">
        <v>329</v>
      </c>
      <c r="H204" s="16" t="s">
        <v>457</v>
      </c>
    </row>
    <row r="205" ht="330.75" customHeight="1">
      <c r="A205" s="32" t="str">
        <f>IMAGE("https://gymvisual.com/17583-catalog_default/dumbbell-rear-lunge-front-raise.jpg",4,500,500)</f>
        <v/>
      </c>
      <c r="B205" s="30">
        <v>1802.0</v>
      </c>
      <c r="C205" s="16" t="s">
        <v>2391</v>
      </c>
      <c r="D205" s="16" t="s">
        <v>184</v>
      </c>
      <c r="E205" s="16" t="s">
        <v>691</v>
      </c>
      <c r="F205" s="16" t="s">
        <v>222</v>
      </c>
      <c r="G205" s="16" t="s">
        <v>793</v>
      </c>
      <c r="H205" s="16" t="s">
        <v>2392</v>
      </c>
    </row>
    <row r="206" ht="330.75" customHeight="1">
      <c r="A206" s="32" t="str">
        <f>IMAGE("https://gymvisual.com/10256-catalog_default/dumbbell-rear-lunge-from-step-female.jpg",4,500,500)</f>
        <v/>
      </c>
      <c r="B206" s="30">
        <v>1801.0</v>
      </c>
      <c r="C206" s="16" t="s">
        <v>2390</v>
      </c>
      <c r="D206" s="16" t="s">
        <v>184</v>
      </c>
      <c r="E206" s="16" t="s">
        <v>294</v>
      </c>
      <c r="F206" s="16" t="s">
        <v>222</v>
      </c>
      <c r="G206" s="16" t="s">
        <v>189</v>
      </c>
      <c r="H206" s="16" t="s">
        <v>190</v>
      </c>
    </row>
    <row r="207" ht="330.75" customHeight="1">
      <c r="A207" s="32" t="str">
        <f>IMAGE("https://gymvisual.com/9571-catalog_default/dumbbell-rear-lunge-female.jpg",4,500,500)</f>
        <v/>
      </c>
      <c r="B207" s="30">
        <v>1800.0</v>
      </c>
      <c r="C207" s="16" t="s">
        <v>2389</v>
      </c>
      <c r="D207" s="16" t="s">
        <v>184</v>
      </c>
      <c r="E207" s="16" t="s">
        <v>294</v>
      </c>
      <c r="F207" s="16" t="s">
        <v>222</v>
      </c>
      <c r="G207" s="16" t="s">
        <v>189</v>
      </c>
      <c r="H207" s="16" t="s">
        <v>190</v>
      </c>
    </row>
    <row r="208" ht="330.75" customHeight="1">
      <c r="A208" s="32" t="str">
        <f>IMAGE("https://gymvisual.com/1162-catalog_default/3-4-sit-up.jpg",4,500,500)</f>
        <v/>
      </c>
      <c r="B208" s="30">
        <v>1799.0</v>
      </c>
      <c r="C208" s="16" t="s">
        <v>2388</v>
      </c>
      <c r="D208" s="16" t="s">
        <v>184</v>
      </c>
      <c r="E208" s="16" t="s">
        <v>285</v>
      </c>
      <c r="F208" s="16" t="s">
        <v>222</v>
      </c>
      <c r="G208" s="16" t="s">
        <v>189</v>
      </c>
      <c r="H208" s="16" t="s">
        <v>190</v>
      </c>
    </row>
    <row r="209" ht="330.75" customHeight="1">
      <c r="A209" s="32" t="str">
        <f>IMAGE("https://gymvisual.com/1156-catalog_default/3-4-sit-up.jpg",4,500,500)</f>
        <v/>
      </c>
      <c r="B209" s="30">
        <v>1798.0</v>
      </c>
      <c r="C209" s="16" t="s">
        <v>2387</v>
      </c>
      <c r="D209" s="16" t="s">
        <v>184</v>
      </c>
      <c r="E209" s="16" t="s">
        <v>228</v>
      </c>
      <c r="F209" s="16" t="s">
        <v>222</v>
      </c>
      <c r="G209" s="16" t="s">
        <v>408</v>
      </c>
      <c r="H209" s="16" t="s">
        <v>452</v>
      </c>
    </row>
    <row r="210" ht="330.75" customHeight="1">
      <c r="A210" s="32" t="str">
        <f>IMAGE("https://gymvisual.com/20742-catalog_default/3-4-sit-up.jpg",4,500,500)</f>
        <v/>
      </c>
      <c r="B210" s="30">
        <v>1797.0</v>
      </c>
      <c r="C210" s="16" t="s">
        <v>2386</v>
      </c>
      <c r="D210" s="16" t="s">
        <v>184</v>
      </c>
      <c r="E210" s="16" t="s">
        <v>228</v>
      </c>
      <c r="F210" s="16" t="s">
        <v>222</v>
      </c>
      <c r="G210" s="16" t="s">
        <v>408</v>
      </c>
      <c r="H210" s="16" t="s">
        <v>452</v>
      </c>
    </row>
    <row r="211" ht="330.75" customHeight="1">
      <c r="A211" s="32" t="str">
        <f>IMAGE("https://gymvisual.com/10370-catalog_default/dumbbell-rear-fly-female.jpg",4,500,500)</f>
        <v/>
      </c>
      <c r="B211" s="30">
        <v>1796.0</v>
      </c>
      <c r="C211" s="16" t="s">
        <v>2385</v>
      </c>
      <c r="D211" s="16" t="s">
        <v>184</v>
      </c>
      <c r="E211" s="16" t="s">
        <v>228</v>
      </c>
      <c r="F211" s="16" t="s">
        <v>222</v>
      </c>
      <c r="G211" s="16" t="s">
        <v>408</v>
      </c>
      <c r="H211" s="16" t="s">
        <v>452</v>
      </c>
    </row>
    <row r="212" ht="330.75" customHeight="1">
      <c r="A212" s="32" t="str">
        <f>IMAGE("https://gymvisual.com/20628-catalog_default/3-4-sit-up.jpg",4,500,500)</f>
        <v/>
      </c>
      <c r="B212" s="30">
        <v>1795.0</v>
      </c>
      <c r="C212" s="16" t="s">
        <v>2384</v>
      </c>
      <c r="D212" s="16" t="s">
        <v>184</v>
      </c>
      <c r="E212" s="16" t="s">
        <v>228</v>
      </c>
      <c r="F212" s="16" t="s">
        <v>222</v>
      </c>
      <c r="G212" s="16" t="s">
        <v>408</v>
      </c>
      <c r="H212" s="16" t="s">
        <v>452</v>
      </c>
    </row>
    <row r="213" ht="330.75" customHeight="1">
      <c r="A213" s="32" t="str">
        <f>IMAGE("https://gymvisual.com/1150-catalog_default/3-4-sit-up.jpg",4,500,500)</f>
        <v/>
      </c>
      <c r="B213" s="30">
        <v>1794.0</v>
      </c>
      <c r="C213" s="16" t="s">
        <v>2383</v>
      </c>
      <c r="D213" s="16" t="s">
        <v>184</v>
      </c>
      <c r="E213" s="16" t="s">
        <v>228</v>
      </c>
      <c r="F213" s="16" t="s">
        <v>222</v>
      </c>
      <c r="G213" s="16" t="s">
        <v>408</v>
      </c>
      <c r="H213" s="16" t="s">
        <v>490</v>
      </c>
    </row>
    <row r="214" ht="330.75" customHeight="1">
      <c r="A214" s="32" t="str">
        <f>IMAGE("https://gymvisual.com/16620-catalog_default/dumbbell-rear-delt-row-female.jpg",4,500,500)</f>
        <v/>
      </c>
      <c r="B214" s="30">
        <v>1793.0</v>
      </c>
      <c r="C214" s="16" t="s">
        <v>2382</v>
      </c>
      <c r="D214" s="16" t="s">
        <v>184</v>
      </c>
      <c r="E214" s="16" t="s">
        <v>192</v>
      </c>
      <c r="F214" s="16" t="s">
        <v>222</v>
      </c>
      <c r="G214" s="16" t="s">
        <v>329</v>
      </c>
      <c r="H214" s="16" t="s">
        <v>447</v>
      </c>
    </row>
    <row r="215" ht="330.75" customHeight="1">
      <c r="A215" s="32" t="str">
        <f>IMAGE("https://gymvisual.com/13894-catalog_default/dumbbell-rear-delt-raise-female.jpg",4,500,500)</f>
        <v/>
      </c>
      <c r="B215" s="30">
        <v>1792.0</v>
      </c>
      <c r="C215" s="16" t="s">
        <v>2381</v>
      </c>
      <c r="D215" s="16" t="s">
        <v>184</v>
      </c>
      <c r="E215" s="16" t="s">
        <v>228</v>
      </c>
      <c r="F215" s="16" t="s">
        <v>222</v>
      </c>
      <c r="G215" s="16" t="s">
        <v>220</v>
      </c>
      <c r="H215" s="16" t="s">
        <v>220</v>
      </c>
    </row>
    <row r="216" ht="330.75" customHeight="1">
      <c r="A216" s="32" t="str">
        <f>IMAGE("https://gymvisual.com/9736-catalog_default/dumbbell-rear-delt-raise.jpg",4,500,500)</f>
        <v/>
      </c>
      <c r="B216" s="30">
        <v>1791.0</v>
      </c>
      <c r="C216" s="16" t="s">
        <v>2379</v>
      </c>
      <c r="D216" s="16" t="s">
        <v>184</v>
      </c>
      <c r="E216" s="16" t="s">
        <v>228</v>
      </c>
      <c r="F216" s="16" t="s">
        <v>222</v>
      </c>
      <c r="G216" s="16" t="s">
        <v>408</v>
      </c>
      <c r="H216" s="16" t="s">
        <v>2380</v>
      </c>
    </row>
    <row r="217" ht="330.75" customHeight="1">
      <c r="A217" s="32" t="str">
        <f>IMAGE("https://gymvisual.com/11032-catalog_default/dumbbell-rear-delt-fly-female.jpg",4,500,500)</f>
        <v/>
      </c>
      <c r="B217" s="30">
        <v>1790.0</v>
      </c>
      <c r="C217" s="16" t="s">
        <v>2378</v>
      </c>
      <c r="D217" s="16" t="s">
        <v>184</v>
      </c>
      <c r="E217" s="16" t="s">
        <v>228</v>
      </c>
      <c r="F217" s="16" t="s">
        <v>222</v>
      </c>
      <c r="G217" s="16" t="s">
        <v>408</v>
      </c>
      <c r="H217" s="16" t="s">
        <v>452</v>
      </c>
    </row>
    <row r="218" ht="330.75" customHeight="1">
      <c r="A218" s="32" t="str">
        <f>IMAGE("https://gymvisual.com/20752-catalog_default/dumbbell-rear-delt-fly-45-degrees.jpg",4,500,500)</f>
        <v/>
      </c>
      <c r="B218" s="30">
        <v>1789.0</v>
      </c>
      <c r="C218" s="16" t="s">
        <v>2377</v>
      </c>
      <c r="D218" s="16" t="s">
        <v>184</v>
      </c>
      <c r="E218" s="16" t="s">
        <v>228</v>
      </c>
      <c r="F218" s="16" t="s">
        <v>222</v>
      </c>
      <c r="G218" s="16" t="s">
        <v>408</v>
      </c>
      <c r="H218" s="16" t="s">
        <v>452</v>
      </c>
    </row>
    <row r="219" ht="330.75" customHeight="1">
      <c r="A219" s="32" t="str">
        <f>IMAGE("https://gymvisual.com/14413-catalog_default/dumbbell-rdl-death-march.jpg",4,500,500)</f>
        <v/>
      </c>
      <c r="B219" s="30">
        <v>1788.0</v>
      </c>
      <c r="C219" s="16" t="s">
        <v>2376</v>
      </c>
      <c r="D219" s="16" t="s">
        <v>184</v>
      </c>
      <c r="E219" s="16" t="s">
        <v>185</v>
      </c>
      <c r="F219" s="16" t="s">
        <v>222</v>
      </c>
      <c r="G219" s="16" t="s">
        <v>189</v>
      </c>
      <c r="H219" s="16" t="s">
        <v>314</v>
      </c>
    </row>
    <row r="220" ht="330.75" customHeight="1">
      <c r="A220" s="32" t="str">
        <f>IMAGE("https://gymvisual.com/22247-catalog_default/dumbbell-rdl-and-bent-over-row.jpg",4,500,500)</f>
        <v/>
      </c>
      <c r="B220" s="30">
        <v>1787.0</v>
      </c>
      <c r="C220" s="16" t="s">
        <v>2375</v>
      </c>
      <c r="D220" s="16" t="s">
        <v>184</v>
      </c>
      <c r="E220" s="16" t="s">
        <v>192</v>
      </c>
      <c r="F220" s="16" t="s">
        <v>222</v>
      </c>
      <c r="G220" s="16" t="s">
        <v>220</v>
      </c>
      <c r="H220" s="16" t="s">
        <v>220</v>
      </c>
    </row>
    <row r="221" ht="330.75" customHeight="1">
      <c r="A221" s="32" t="str">
        <f>IMAGE("https://gymvisual.com/1147-catalog_default/3-4-sit-up.jpg",4,500,500)</f>
        <v/>
      </c>
      <c r="B221" s="30">
        <v>1786.0</v>
      </c>
      <c r="C221" s="16" t="s">
        <v>2373</v>
      </c>
      <c r="D221" s="16" t="s">
        <v>184</v>
      </c>
      <c r="E221" s="16" t="s">
        <v>228</v>
      </c>
      <c r="F221" s="16" t="s">
        <v>222</v>
      </c>
      <c r="G221" s="16" t="s">
        <v>544</v>
      </c>
      <c r="H221" s="16" t="s">
        <v>2374</v>
      </c>
    </row>
    <row r="222" ht="330.75" customHeight="1">
      <c r="A222" s="32" t="str">
        <f>IMAGE("https://gymvisual.com/17409-catalog_default/dumbbell-push-up-front-raise.jpg",4,500,500)</f>
        <v/>
      </c>
      <c r="B222" s="30">
        <v>1785.0</v>
      </c>
      <c r="C222" s="16" t="s">
        <v>2372</v>
      </c>
      <c r="D222" s="16" t="s">
        <v>184</v>
      </c>
      <c r="E222" s="16" t="s">
        <v>234</v>
      </c>
      <c r="F222" s="16" t="s">
        <v>222</v>
      </c>
      <c r="G222" s="16" t="s">
        <v>220</v>
      </c>
      <c r="H222" s="16" t="s">
        <v>220</v>
      </c>
    </row>
    <row r="223" ht="330.75" customHeight="1">
      <c r="A223" s="32" t="str">
        <f>IMAGE("https://gymvisual.com/7352-catalog_default/dumbbell-push-press.jpg",4,500,500)</f>
        <v/>
      </c>
      <c r="B223" s="30">
        <v>1784.0</v>
      </c>
      <c r="C223" s="16" t="s">
        <v>2370</v>
      </c>
      <c r="D223" s="16" t="s">
        <v>184</v>
      </c>
      <c r="E223" s="16" t="s">
        <v>228</v>
      </c>
      <c r="F223" s="16" t="s">
        <v>222</v>
      </c>
      <c r="G223" s="16" t="s">
        <v>2371</v>
      </c>
      <c r="H223" s="16" t="s">
        <v>220</v>
      </c>
    </row>
    <row r="224" ht="330.75" customHeight="1">
      <c r="A224" s="32" t="str">
        <f>IMAGE("https://gymvisual.com/19447-catalog_default/dumbbell-push-jerk.jpg",4,500,500)</f>
        <v/>
      </c>
      <c r="B224" s="30">
        <v>1783.0</v>
      </c>
      <c r="C224" s="16" t="s">
        <v>2369</v>
      </c>
      <c r="D224" s="16" t="s">
        <v>184</v>
      </c>
      <c r="E224" s="16" t="s">
        <v>764</v>
      </c>
      <c r="F224" s="16" t="s">
        <v>222</v>
      </c>
      <c r="G224" s="16" t="s">
        <v>220</v>
      </c>
      <c r="H224" s="16" t="s">
        <v>220</v>
      </c>
    </row>
    <row r="225" ht="330.75" customHeight="1">
      <c r="A225" s="32" t="str">
        <f>IMAGE("https://gymvisual.com/22153-catalog_default/dumbbell-pullover-on-floor.jpg",4,500,500)</f>
        <v/>
      </c>
      <c r="B225" s="30">
        <v>1782.0</v>
      </c>
      <c r="C225" s="16" t="s">
        <v>2368</v>
      </c>
      <c r="D225" s="16" t="s">
        <v>184</v>
      </c>
      <c r="E225" s="16" t="s">
        <v>192</v>
      </c>
      <c r="F225" s="16" t="s">
        <v>222</v>
      </c>
      <c r="G225" s="16" t="s">
        <v>347</v>
      </c>
      <c r="H225" s="16" t="s">
        <v>2362</v>
      </c>
    </row>
    <row r="226" ht="330.75" customHeight="1">
      <c r="A226" s="32" t="str">
        <f>IMAGE("https://gymvisual.com/11393-catalog_default/dumbbell-pullover-on-exercise-ball-female.jpg",4,500,500)</f>
        <v/>
      </c>
      <c r="B226" s="30">
        <v>1781.0</v>
      </c>
      <c r="C226" s="16" t="s">
        <v>2367</v>
      </c>
      <c r="D226" s="16" t="s">
        <v>184</v>
      </c>
      <c r="E226" s="16" t="s">
        <v>192</v>
      </c>
      <c r="F226" s="16" t="s">
        <v>1929</v>
      </c>
      <c r="G226" s="16" t="s">
        <v>220</v>
      </c>
      <c r="H226" s="16" t="s">
        <v>220</v>
      </c>
    </row>
    <row r="227" ht="330.75" customHeight="1">
      <c r="A227" s="32" t="str">
        <f>IMAGE("https://gymvisual.com/5984-catalog_default/dumbbell-pullover-on-exercise-ball.jpg",4,500,500)</f>
        <v/>
      </c>
      <c r="B227" s="30">
        <v>1780.0</v>
      </c>
      <c r="C227" s="16" t="s">
        <v>2366</v>
      </c>
      <c r="D227" s="16" t="s">
        <v>184</v>
      </c>
      <c r="E227" s="16" t="s">
        <v>234</v>
      </c>
      <c r="F227" s="16" t="s">
        <v>222</v>
      </c>
      <c r="G227" s="16" t="s">
        <v>347</v>
      </c>
      <c r="H227" s="16" t="s">
        <v>2222</v>
      </c>
    </row>
    <row r="228" ht="330.75" customHeight="1">
      <c r="A228" s="32" t="str">
        <f>IMAGE("https://gymvisual.com/5983-catalog_default/dumbbell-pullover-hip-extension-on-exercise-ball.jpg",4,500,500)</f>
        <v/>
      </c>
      <c r="B228" s="30">
        <v>1779.0</v>
      </c>
      <c r="C228" s="16" t="s">
        <v>2363</v>
      </c>
      <c r="D228" s="16" t="s">
        <v>184</v>
      </c>
      <c r="E228" s="16" t="s">
        <v>234</v>
      </c>
      <c r="F228" s="16" t="s">
        <v>222</v>
      </c>
      <c r="G228" s="16" t="s">
        <v>2364</v>
      </c>
      <c r="H228" s="16" t="s">
        <v>2365</v>
      </c>
    </row>
    <row r="229" ht="330.75" customHeight="1">
      <c r="A229" s="32" t="str">
        <f>IMAGE("https://gymvisual.com/1144-catalog_default/3-4-sit-up.jpg",4,500,500)</f>
        <v/>
      </c>
      <c r="B229" s="30">
        <v>1778.0</v>
      </c>
      <c r="C229" s="16" t="s">
        <v>2361</v>
      </c>
      <c r="D229" s="16" t="s">
        <v>184</v>
      </c>
      <c r="E229" s="16" t="s">
        <v>234</v>
      </c>
      <c r="F229" s="16" t="s">
        <v>222</v>
      </c>
      <c r="G229" s="16" t="s">
        <v>347</v>
      </c>
      <c r="H229" s="16" t="s">
        <v>2362</v>
      </c>
    </row>
    <row r="230" ht="330.75" customHeight="1">
      <c r="A230" s="32" t="str">
        <f>IMAGE("https://gymvisual.com/20058-catalog_default/dumbbell-prone-triceps-kickback.jpg",4,500,500)</f>
        <v/>
      </c>
      <c r="B230" s="30">
        <v>1777.0</v>
      </c>
      <c r="C230" s="16" t="s">
        <v>2360</v>
      </c>
      <c r="D230" s="16" t="s">
        <v>184</v>
      </c>
      <c r="E230" s="16" t="s">
        <v>219</v>
      </c>
      <c r="F230" s="16" t="s">
        <v>222</v>
      </c>
      <c r="G230" s="16" t="s">
        <v>223</v>
      </c>
      <c r="H230" s="16" t="s">
        <v>220</v>
      </c>
    </row>
    <row r="231" ht="330.75" customHeight="1">
      <c r="A231" s="32" t="str">
        <f>IMAGE("https://gymvisual.com/24792-catalog_default/dumbbell-prone-rear-delt-swing.jpg",4,500,500)</f>
        <v/>
      </c>
      <c r="B231" s="30">
        <v>1776.0</v>
      </c>
      <c r="C231" s="16" t="s">
        <v>2359</v>
      </c>
      <c r="D231" s="16" t="s">
        <v>184</v>
      </c>
      <c r="E231" s="16" t="s">
        <v>228</v>
      </c>
      <c r="F231" s="16" t="s">
        <v>222</v>
      </c>
      <c r="G231" s="16" t="s">
        <v>408</v>
      </c>
      <c r="H231" s="16" t="s">
        <v>1621</v>
      </c>
    </row>
    <row r="232" ht="330.75" customHeight="1">
      <c r="A232" s="32" t="str">
        <f>IMAGE("https://gymvisual.com/11056-catalog_default/dumbbell-prone-incline-hammer-curl-female.jpg",4,500,500)</f>
        <v/>
      </c>
      <c r="B232" s="30">
        <v>1775.0</v>
      </c>
      <c r="C232" s="16" t="s">
        <v>2358</v>
      </c>
      <c r="D232" s="16" t="s">
        <v>184</v>
      </c>
      <c r="E232" s="16" t="s">
        <v>219</v>
      </c>
      <c r="F232" s="16" t="s">
        <v>222</v>
      </c>
      <c r="G232" s="16" t="s">
        <v>220</v>
      </c>
      <c r="H232" s="16" t="s">
        <v>220</v>
      </c>
    </row>
    <row r="233" ht="330.75" customHeight="1">
      <c r="A233" s="32" t="str">
        <f>IMAGE("https://gymvisual.com/7148-catalog_default/dumbbell-prone-incline-hammer-curl.jpg",4,500,500)</f>
        <v/>
      </c>
      <c r="B233" s="30">
        <v>1774.0</v>
      </c>
      <c r="C233" s="16" t="s">
        <v>2357</v>
      </c>
      <c r="D233" s="16" t="s">
        <v>184</v>
      </c>
      <c r="E233" s="16" t="s">
        <v>219</v>
      </c>
      <c r="F233" s="16" t="s">
        <v>222</v>
      </c>
      <c r="G233" s="16" t="s">
        <v>216</v>
      </c>
      <c r="H233" s="16" t="s">
        <v>217</v>
      </c>
    </row>
    <row r="234" ht="330.75" customHeight="1">
      <c r="A234" s="32" t="str">
        <f>IMAGE("https://gymvisual.com/11059-catalog_default/dumbbell-prone-incline-curl-female.jpg",4,500,500)</f>
        <v/>
      </c>
      <c r="B234" s="30">
        <v>1773.0</v>
      </c>
      <c r="C234" s="16" t="s">
        <v>2356</v>
      </c>
      <c r="D234" s="16" t="s">
        <v>184</v>
      </c>
      <c r="E234" s="16" t="s">
        <v>219</v>
      </c>
      <c r="F234" s="16" t="s">
        <v>222</v>
      </c>
      <c r="G234" s="16" t="s">
        <v>241</v>
      </c>
      <c r="H234" s="16" t="s">
        <v>292</v>
      </c>
    </row>
    <row r="235" ht="330.75" customHeight="1">
      <c r="A235" s="32" t="str">
        <f>IMAGE("https://gymvisual.com/1141-catalog_default/3-4-sit-up.jpg",4,500,500)</f>
        <v/>
      </c>
      <c r="B235" s="30">
        <v>1772.0</v>
      </c>
      <c r="C235" s="16" t="s">
        <v>2355</v>
      </c>
      <c r="D235" s="16" t="s">
        <v>184</v>
      </c>
      <c r="E235" s="16" t="s">
        <v>219</v>
      </c>
      <c r="F235" s="16" t="s">
        <v>222</v>
      </c>
      <c r="G235" s="16" t="s">
        <v>232</v>
      </c>
      <c r="H235" s="16" t="s">
        <v>233</v>
      </c>
    </row>
    <row r="236" ht="330.75" customHeight="1">
      <c r="A236" s="32" t="str">
        <f>IMAGE("https://gymvisual.com/25667-catalog_default/dumbbell-prone-full-can-exercise-male.jpg",4,500,500)</f>
        <v/>
      </c>
      <c r="B236" s="30">
        <v>1771.0</v>
      </c>
      <c r="C236" s="16" t="s">
        <v>2354</v>
      </c>
      <c r="D236" s="16" t="s">
        <v>184</v>
      </c>
      <c r="E236" s="16" t="s">
        <v>228</v>
      </c>
      <c r="F236" s="16" t="s">
        <v>222</v>
      </c>
      <c r="G236" s="16" t="s">
        <v>220</v>
      </c>
      <c r="H236" s="16" t="s">
        <v>220</v>
      </c>
    </row>
    <row r="237" ht="330.75" customHeight="1">
      <c r="A237" s="32" t="str">
        <f>IMAGE("https://gymvisual.com/9844-catalog_default/dumbbell-pronated-to-neutral-grip-row-female.jpg",4,500,500)</f>
        <v/>
      </c>
      <c r="B237" s="30">
        <v>1770.0</v>
      </c>
      <c r="C237" s="16" t="s">
        <v>2353</v>
      </c>
      <c r="D237" s="16" t="s">
        <v>184</v>
      </c>
      <c r="E237" s="16" t="s">
        <v>192</v>
      </c>
      <c r="F237" s="16" t="s">
        <v>222</v>
      </c>
      <c r="G237" s="16" t="s">
        <v>329</v>
      </c>
      <c r="H237" s="16" t="s">
        <v>457</v>
      </c>
    </row>
    <row r="238" ht="330.75" customHeight="1">
      <c r="A238" s="32" t="str">
        <f>IMAGE("https://gymvisual.com/9845-catalog_default/dumbbell-pronated-grip-row-female.jpg",4,500,500)</f>
        <v/>
      </c>
      <c r="B238" s="30">
        <v>1769.0</v>
      </c>
      <c r="C238" s="16" t="s">
        <v>2352</v>
      </c>
      <c r="D238" s="16" t="s">
        <v>184</v>
      </c>
      <c r="E238" s="16" t="s">
        <v>192</v>
      </c>
      <c r="F238" s="16" t="s">
        <v>222</v>
      </c>
      <c r="G238" s="16" t="s">
        <v>329</v>
      </c>
      <c r="H238" s="16" t="s">
        <v>457</v>
      </c>
    </row>
    <row r="239" ht="330.75" customHeight="1">
      <c r="A239" s="32" t="str">
        <f>IMAGE("https://gymvisual.com/17282-catalog_default/dumbbell-pronate-grip-triceps-extension-female.jpg",4,500,500)</f>
        <v/>
      </c>
      <c r="B239" s="30">
        <v>1768.0</v>
      </c>
      <c r="C239" s="16" t="s">
        <v>2351</v>
      </c>
      <c r="D239" s="16" t="s">
        <v>184</v>
      </c>
      <c r="E239" s="16" t="s">
        <v>219</v>
      </c>
      <c r="F239" s="16" t="s">
        <v>222</v>
      </c>
      <c r="G239" s="16" t="s">
        <v>223</v>
      </c>
      <c r="H239" s="16" t="s">
        <v>220</v>
      </c>
    </row>
    <row r="240" ht="330.75" customHeight="1">
      <c r="A240" s="32" t="str">
        <f>IMAGE("https://gymvisual.com/1138-catalog_default/3-4-sit-up.jpg",4,500,500)</f>
        <v/>
      </c>
      <c r="B240" s="30">
        <v>1767.0</v>
      </c>
      <c r="C240" s="16" t="s">
        <v>2350</v>
      </c>
      <c r="D240" s="16" t="s">
        <v>184</v>
      </c>
      <c r="E240" s="16" t="s">
        <v>219</v>
      </c>
      <c r="F240" s="16" t="s">
        <v>222</v>
      </c>
      <c r="G240" s="16" t="s">
        <v>223</v>
      </c>
      <c r="H240" s="16" t="s">
        <v>220</v>
      </c>
    </row>
    <row r="241" ht="330.75" customHeight="1">
      <c r="A241" s="32" t="str">
        <f>IMAGE("https://gymvisual.com/16022-catalog_default/dumbbell-press-squat.jpg",4,500,500)</f>
        <v/>
      </c>
      <c r="B241" s="30">
        <v>1766.0</v>
      </c>
      <c r="C241" s="16" t="s">
        <v>2346</v>
      </c>
      <c r="D241" s="16" t="s">
        <v>184</v>
      </c>
      <c r="E241" s="16" t="s">
        <v>2347</v>
      </c>
      <c r="F241" s="16" t="s">
        <v>222</v>
      </c>
      <c r="G241" s="16" t="s">
        <v>2348</v>
      </c>
      <c r="H241" s="16" t="s">
        <v>2349</v>
      </c>
    </row>
    <row r="242" ht="330.75" customHeight="1">
      <c r="A242" s="32" t="str">
        <f>IMAGE("https://gymvisual.com/13431-catalog_default/dumbbell-press-on-exercise-ball-female.jpg",4,500,500)</f>
        <v/>
      </c>
      <c r="B242" s="30">
        <v>1765.0</v>
      </c>
      <c r="C242" s="16" t="s">
        <v>2345</v>
      </c>
      <c r="D242" s="16" t="s">
        <v>184</v>
      </c>
      <c r="E242" s="16" t="s">
        <v>234</v>
      </c>
      <c r="F242" s="16" t="s">
        <v>1929</v>
      </c>
      <c r="G242" s="16" t="s">
        <v>220</v>
      </c>
      <c r="H242" s="16" t="s">
        <v>220</v>
      </c>
    </row>
    <row r="243" ht="330.75" customHeight="1">
      <c r="A243" s="32" t="str">
        <f>IMAGE("https://gymvisual.com/5982-catalog_default/dumbbell-press-on-exercise-ball.jpg",4,500,500)</f>
        <v/>
      </c>
      <c r="B243" s="30">
        <v>1764.0</v>
      </c>
      <c r="C243" s="16" t="s">
        <v>2344</v>
      </c>
      <c r="D243" s="16" t="s">
        <v>184</v>
      </c>
      <c r="E243" s="16" t="s">
        <v>234</v>
      </c>
      <c r="F243" s="16" t="s">
        <v>222</v>
      </c>
      <c r="G243" s="16" t="s">
        <v>347</v>
      </c>
      <c r="H243" s="16" t="s">
        <v>382</v>
      </c>
    </row>
    <row r="244" ht="330.75" customHeight="1">
      <c r="A244" s="32" t="str">
        <f>IMAGE("https://gymvisual.com/16704-catalog_default/dumbbell-preacher-curl-over-exercise-ball-female.jpg",4,500,500)</f>
        <v/>
      </c>
      <c r="B244" s="30">
        <v>1763.0</v>
      </c>
      <c r="C244" s="16" t="s">
        <v>2343</v>
      </c>
      <c r="D244" s="16" t="s">
        <v>184</v>
      </c>
      <c r="E244" s="16" t="s">
        <v>219</v>
      </c>
      <c r="F244" s="16" t="s">
        <v>222</v>
      </c>
      <c r="G244" s="16" t="s">
        <v>232</v>
      </c>
      <c r="H244" s="16" t="s">
        <v>233</v>
      </c>
    </row>
    <row r="245" ht="330.75" customHeight="1">
      <c r="A245" s="32" t="str">
        <f>IMAGE("https://gymvisual.com/7147-catalog_default/dumbbell-preacher-curl-over-exercise-ball.jpg",4,500,500)</f>
        <v/>
      </c>
      <c r="B245" s="30">
        <v>1762.0</v>
      </c>
      <c r="C245" s="16" t="s">
        <v>2342</v>
      </c>
      <c r="D245" s="16" t="s">
        <v>184</v>
      </c>
      <c r="E245" s="16" t="s">
        <v>219</v>
      </c>
      <c r="F245" s="16" t="s">
        <v>222</v>
      </c>
      <c r="G245" s="16" t="s">
        <v>232</v>
      </c>
      <c r="H245" s="16" t="s">
        <v>233</v>
      </c>
    </row>
    <row r="246" ht="330.75" customHeight="1">
      <c r="A246" s="32" t="str">
        <f>IMAGE("https://gymvisual.com/20592-catalog_default/dumbbell-preacher-curl-turned-torso.jpg",4,500,500)</f>
        <v/>
      </c>
      <c r="B246" s="30">
        <v>1761.0</v>
      </c>
      <c r="C246" s="16" t="s">
        <v>2341</v>
      </c>
      <c r="D246" s="16" t="s">
        <v>184</v>
      </c>
      <c r="E246" s="16" t="s">
        <v>219</v>
      </c>
      <c r="F246" s="16" t="s">
        <v>222</v>
      </c>
      <c r="G246" s="16" t="s">
        <v>232</v>
      </c>
      <c r="H246" s="16" t="s">
        <v>233</v>
      </c>
    </row>
    <row r="247" ht="330.75" customHeight="1">
      <c r="A247" s="32" t="str">
        <f>IMAGE("https://gymvisual.com/10363-catalog_default/dumbbell-preacher-curl-female.jpg",4,500,500)</f>
        <v/>
      </c>
      <c r="B247" s="30">
        <v>1760.0</v>
      </c>
      <c r="C247" s="16" t="s">
        <v>2340</v>
      </c>
      <c r="D247" s="16" t="s">
        <v>184</v>
      </c>
      <c r="E247" s="16" t="s">
        <v>219</v>
      </c>
      <c r="F247" s="16" t="s">
        <v>222</v>
      </c>
      <c r="G247" s="16" t="s">
        <v>232</v>
      </c>
      <c r="H247" s="16" t="s">
        <v>233</v>
      </c>
    </row>
    <row r="248" ht="330.75" customHeight="1">
      <c r="A248" s="32" t="str">
        <f>IMAGE("https://gymvisual.com/1135-catalog_default/3-4-sit-up.jpg",4,500,500)</f>
        <v/>
      </c>
      <c r="B248" s="30">
        <v>1759.0</v>
      </c>
      <c r="C248" s="16" t="s">
        <v>2339</v>
      </c>
      <c r="D248" s="16" t="s">
        <v>184</v>
      </c>
      <c r="E248" s="16" t="s">
        <v>219</v>
      </c>
      <c r="F248" s="16" t="s">
        <v>222</v>
      </c>
      <c r="G248" s="16" t="s">
        <v>232</v>
      </c>
      <c r="H248" s="16" t="s">
        <v>292</v>
      </c>
    </row>
    <row r="249" ht="330.75" customHeight="1">
      <c r="A249" s="32" t="str">
        <f>IMAGE("https://gymvisual.com/19499-catalog_default/dumbbell-power-clean-and-jerk.jpg",4,500,500)</f>
        <v/>
      </c>
      <c r="B249" s="30">
        <v>1758.0</v>
      </c>
      <c r="C249" s="16" t="s">
        <v>2338</v>
      </c>
      <c r="D249" s="16" t="s">
        <v>184</v>
      </c>
      <c r="E249" s="16" t="s">
        <v>764</v>
      </c>
      <c r="F249" s="16" t="s">
        <v>222</v>
      </c>
      <c r="G249" s="16" t="s">
        <v>220</v>
      </c>
      <c r="H249" s="16" t="s">
        <v>220</v>
      </c>
    </row>
    <row r="250" ht="330.75" customHeight="1">
      <c r="A250" s="32" t="str">
        <f>IMAGE("https://gymvisual.com/20722-catalog_default/dumbbell-power-clean.jpg",4,500,500)</f>
        <v/>
      </c>
      <c r="B250" s="30">
        <v>1757.0</v>
      </c>
      <c r="C250" s="16" t="s">
        <v>2337</v>
      </c>
      <c r="D250" s="16" t="s">
        <v>184</v>
      </c>
      <c r="E250" s="16" t="s">
        <v>764</v>
      </c>
      <c r="F250" s="16" t="s">
        <v>222</v>
      </c>
      <c r="G250" s="16" t="s">
        <v>220</v>
      </c>
      <c r="H250" s="16" t="s">
        <v>220</v>
      </c>
    </row>
    <row r="251" ht="330.75" customHeight="1">
      <c r="A251" s="32" t="str">
        <f>IMAGE("https://gymvisual.com/17757-catalog_default/dumbbell-poliquin-lateral-raise.jpg",4,500,500)</f>
        <v/>
      </c>
      <c r="B251" s="30">
        <v>1756.0</v>
      </c>
      <c r="C251" s="16" t="s">
        <v>2336</v>
      </c>
      <c r="D251" s="16" t="s">
        <v>184</v>
      </c>
      <c r="E251" s="16" t="s">
        <v>228</v>
      </c>
      <c r="F251" s="16" t="s">
        <v>222</v>
      </c>
      <c r="G251" s="16" t="s">
        <v>220</v>
      </c>
      <c r="H251" s="16" t="s">
        <v>220</v>
      </c>
    </row>
    <row r="252" ht="330.75" customHeight="1">
      <c r="A252" s="32" t="str">
        <f>IMAGE("https://gymvisual.com/1132-catalog_default/3-4-sit-up.jpg",4,500,500)</f>
        <v/>
      </c>
      <c r="B252" s="30">
        <v>1755.0</v>
      </c>
      <c r="C252" s="16" t="s">
        <v>2335</v>
      </c>
      <c r="D252" s="16" t="s">
        <v>184</v>
      </c>
      <c r="E252" s="16" t="s">
        <v>285</v>
      </c>
      <c r="F252" s="16" t="s">
        <v>222</v>
      </c>
      <c r="G252" s="16" t="s">
        <v>189</v>
      </c>
      <c r="H252" s="16" t="s">
        <v>2046</v>
      </c>
    </row>
    <row r="253" ht="330.75" customHeight="1">
      <c r="A253" s="32" t="str">
        <f>IMAGE("https://gymvisual.com/24254-catalog_default/dumbbell-plank-pass-through.jpg",4,500,500)</f>
        <v/>
      </c>
      <c r="B253" s="30">
        <v>1754.0</v>
      </c>
      <c r="C253" s="16" t="s">
        <v>2332</v>
      </c>
      <c r="D253" s="16" t="s">
        <v>184</v>
      </c>
      <c r="E253" s="16" t="s">
        <v>254</v>
      </c>
      <c r="F253" s="16" t="s">
        <v>222</v>
      </c>
      <c r="G253" s="16" t="s">
        <v>2333</v>
      </c>
      <c r="H253" s="16" t="s">
        <v>2334</v>
      </c>
    </row>
    <row r="254" ht="330.75" customHeight="1">
      <c r="A254" s="32" t="str">
        <f>IMAGE("https://gymvisual.com/1129-catalog_default/3-4-sit-up.jpg",4,500,500)</f>
        <v/>
      </c>
      <c r="B254" s="30">
        <v>1753.0</v>
      </c>
      <c r="C254" s="16" t="s">
        <v>2331</v>
      </c>
      <c r="D254" s="16" t="s">
        <v>184</v>
      </c>
      <c r="E254" s="16" t="s">
        <v>214</v>
      </c>
      <c r="F254" s="16" t="s">
        <v>222</v>
      </c>
      <c r="G254" s="16" t="s">
        <v>216</v>
      </c>
      <c r="H254" s="16" t="s">
        <v>217</v>
      </c>
    </row>
    <row r="255" ht="330.75" customHeight="1">
      <c r="A255" s="32" t="str">
        <f>IMAGE("https://gymvisual.com/18017-catalog_default/dumbbell-partials-lateral-raise.jpg",4,500,500)</f>
        <v/>
      </c>
      <c r="B255" s="30">
        <v>1752.0</v>
      </c>
      <c r="C255" s="16" t="s">
        <v>2330</v>
      </c>
      <c r="D255" s="16" t="s">
        <v>184</v>
      </c>
      <c r="E255" s="16" t="s">
        <v>228</v>
      </c>
      <c r="F255" s="16" t="s">
        <v>222</v>
      </c>
      <c r="G255" s="16" t="s">
        <v>220</v>
      </c>
      <c r="H255" s="16" t="s">
        <v>220</v>
      </c>
    </row>
    <row r="256" ht="330.75" customHeight="1">
      <c r="A256" s="32" t="str">
        <f>IMAGE("https://gymvisual.com/7098-catalog_default/dumbbell-palms-in-incline-bench-press.jpg",4,500,500)</f>
        <v/>
      </c>
      <c r="B256" s="30">
        <v>1751.0</v>
      </c>
      <c r="C256" s="16" t="s">
        <v>2328</v>
      </c>
      <c r="D256" s="16" t="s">
        <v>184</v>
      </c>
      <c r="E256" s="16" t="s">
        <v>219</v>
      </c>
      <c r="F256" s="16" t="s">
        <v>222</v>
      </c>
      <c r="G256" s="16" t="s">
        <v>415</v>
      </c>
      <c r="H256" s="16" t="s">
        <v>2329</v>
      </c>
    </row>
    <row r="257" ht="330.75" customHeight="1">
      <c r="A257" s="32" t="str">
        <f>IMAGE("https://gymvisual.com/11396-catalog_default/dumbbell-palm-rotational-bent-over-row-female.jpg",4,500,500)</f>
        <v/>
      </c>
      <c r="B257" s="30">
        <v>1750.0</v>
      </c>
      <c r="C257" s="16" t="s">
        <v>2327</v>
      </c>
      <c r="D257" s="16" t="s">
        <v>184</v>
      </c>
      <c r="E257" s="16" t="s">
        <v>192</v>
      </c>
      <c r="F257" s="16" t="s">
        <v>222</v>
      </c>
      <c r="G257" s="16" t="s">
        <v>570</v>
      </c>
      <c r="H257" s="16" t="s">
        <v>447</v>
      </c>
    </row>
    <row r="258" ht="330.75" customHeight="1">
      <c r="A258" s="32" t="str">
        <f>IMAGE("https://gymvisual.com/6020-catalog_default/dumbbell-palm-rotational-bent-over-row.jpg",4,500,500)</f>
        <v/>
      </c>
      <c r="B258" s="30">
        <v>1749.0</v>
      </c>
      <c r="C258" s="16" t="s">
        <v>2326</v>
      </c>
      <c r="D258" s="16" t="s">
        <v>184</v>
      </c>
      <c r="E258" s="16" t="s">
        <v>192</v>
      </c>
      <c r="F258" s="16" t="s">
        <v>222</v>
      </c>
      <c r="G258" s="16" t="s">
        <v>329</v>
      </c>
      <c r="H258" s="16" t="s">
        <v>457</v>
      </c>
    </row>
    <row r="259" ht="330.75" customHeight="1">
      <c r="A259" s="32" t="str">
        <f>IMAGE("https://gymvisual.com/16029-catalog_default/dumbbell-overhead-squat.jpg",4,500,500)</f>
        <v/>
      </c>
      <c r="B259" s="30">
        <v>1748.0</v>
      </c>
      <c r="C259" s="16" t="s">
        <v>2325</v>
      </c>
      <c r="D259" s="16" t="s">
        <v>184</v>
      </c>
      <c r="E259" s="16" t="s">
        <v>294</v>
      </c>
      <c r="F259" s="16" t="s">
        <v>222</v>
      </c>
      <c r="G259" s="16" t="s">
        <v>189</v>
      </c>
      <c r="H259" s="16" t="s">
        <v>190</v>
      </c>
    </row>
    <row r="260" ht="330.75" customHeight="1">
      <c r="A260" s="32" t="str">
        <f>IMAGE("https://gymvisual.com/22245-catalog_default/dumbbell-overhead-sit-up.jpg",4,500,500)</f>
        <v/>
      </c>
      <c r="B260" s="30">
        <v>1747.0</v>
      </c>
      <c r="C260" s="16" t="s">
        <v>2324</v>
      </c>
      <c r="D260" s="16" t="s">
        <v>184</v>
      </c>
      <c r="E260" s="16" t="s">
        <v>254</v>
      </c>
      <c r="F260" s="16" t="s">
        <v>222</v>
      </c>
      <c r="G260" s="16" t="s">
        <v>256</v>
      </c>
      <c r="H260" s="16" t="s">
        <v>257</v>
      </c>
    </row>
    <row r="261" ht="330.75" customHeight="1">
      <c r="A261" s="32" t="str">
        <f>IMAGE("https://gymvisual.com/7334-catalog_default/dumbbell-overhead-side-lunge.jpg",4,500,500)</f>
        <v/>
      </c>
      <c r="B261" s="30">
        <v>1746.0</v>
      </c>
      <c r="C261" s="16" t="s">
        <v>2323</v>
      </c>
      <c r="D261" s="16" t="s">
        <v>184</v>
      </c>
      <c r="E261" s="16" t="s">
        <v>285</v>
      </c>
      <c r="F261" s="16" t="s">
        <v>222</v>
      </c>
      <c r="G261" s="16" t="s">
        <v>220</v>
      </c>
      <c r="H261" s="16" t="s">
        <v>220</v>
      </c>
    </row>
    <row r="262" ht="330.75" customHeight="1">
      <c r="A262" s="32" t="str">
        <f>IMAGE("https://gymvisual.com/24115-catalog_default/dumbbell-overhead-lunge.jpg",4,500,500)</f>
        <v/>
      </c>
      <c r="B262" s="30">
        <v>1745.0</v>
      </c>
      <c r="C262" s="16" t="s">
        <v>2322</v>
      </c>
      <c r="D262" s="16" t="s">
        <v>184</v>
      </c>
      <c r="E262" s="16" t="s">
        <v>285</v>
      </c>
      <c r="F262" s="16" t="s">
        <v>222</v>
      </c>
      <c r="G262" s="16" t="s">
        <v>220</v>
      </c>
      <c r="H262" s="16" t="s">
        <v>220</v>
      </c>
    </row>
    <row r="263" ht="330.75" customHeight="1">
      <c r="A263" s="32" t="str">
        <f>IMAGE("https://gymvisual.com/12175-catalog_default/dumbbell-overhead-carry.jpg",4,500,500)</f>
        <v/>
      </c>
      <c r="B263" s="30">
        <v>1744.0</v>
      </c>
      <c r="C263" s="16" t="s">
        <v>2321</v>
      </c>
      <c r="D263" s="16" t="s">
        <v>184</v>
      </c>
      <c r="E263" s="16" t="s">
        <v>285</v>
      </c>
      <c r="F263" s="16" t="s">
        <v>222</v>
      </c>
      <c r="G263" s="16" t="s">
        <v>220</v>
      </c>
      <c r="H263" s="16" t="s">
        <v>220</v>
      </c>
    </row>
    <row r="264" ht="330.75" customHeight="1">
      <c r="A264" s="32" t="str">
        <f>IMAGE("https://gymvisual.com/11423-catalog_default/dumbbell-over-bench-wrist-curl-female.jpg",4,500,500)</f>
        <v/>
      </c>
      <c r="B264" s="30">
        <v>1743.0</v>
      </c>
      <c r="C264" s="16" t="s">
        <v>2320</v>
      </c>
      <c r="D264" s="16" t="s">
        <v>184</v>
      </c>
      <c r="E264" s="16" t="s">
        <v>214</v>
      </c>
      <c r="F264" s="16" t="s">
        <v>222</v>
      </c>
      <c r="G264" s="16" t="s">
        <v>720</v>
      </c>
      <c r="H264" s="16" t="s">
        <v>220</v>
      </c>
    </row>
    <row r="265" ht="330.75" customHeight="1">
      <c r="A265" s="32" t="str">
        <f>IMAGE("https://gymvisual.com/1126-catalog_default/3-4-sit-up.jpg",4,500,500)</f>
        <v/>
      </c>
      <c r="B265" s="30">
        <v>1742.0</v>
      </c>
      <c r="C265" s="16" t="s">
        <v>2319</v>
      </c>
      <c r="D265" s="16" t="s">
        <v>184</v>
      </c>
      <c r="E265" s="16" t="s">
        <v>214</v>
      </c>
      <c r="F265" s="16" t="s">
        <v>222</v>
      </c>
      <c r="G265" s="16" t="s">
        <v>604</v>
      </c>
      <c r="H265" s="16" t="s">
        <v>220</v>
      </c>
    </row>
    <row r="266" ht="330.75" customHeight="1">
      <c r="A266" s="32" t="str">
        <f>IMAGE("https://gymvisual.com/22462-catalog_default/dumbbell-over-bench-revers-wrist-curl-with-mat-female.jpg",4,500,500)</f>
        <v/>
      </c>
      <c r="B266" s="30">
        <v>1741.0</v>
      </c>
      <c r="C266" s="16" t="s">
        <v>2318</v>
      </c>
      <c r="D266" s="16" t="s">
        <v>184</v>
      </c>
      <c r="E266" s="16" t="s">
        <v>214</v>
      </c>
      <c r="F266" s="16" t="s">
        <v>222</v>
      </c>
      <c r="G266" s="16" t="s">
        <v>220</v>
      </c>
      <c r="H266" s="16" t="s">
        <v>220</v>
      </c>
    </row>
    <row r="267" ht="330.75" customHeight="1">
      <c r="A267" s="32" t="str">
        <f>IMAGE("https://gymvisual.com/11420-catalog_default/dumbbell-over-bench-revers-wrist-curl-female.jpg",4,500,500)</f>
        <v/>
      </c>
      <c r="B267" s="30">
        <v>1740.0</v>
      </c>
      <c r="C267" s="16" t="s">
        <v>2317</v>
      </c>
      <c r="D267" s="16" t="s">
        <v>184</v>
      </c>
      <c r="E267" s="16" t="s">
        <v>214</v>
      </c>
      <c r="F267" s="16" t="s">
        <v>222</v>
      </c>
      <c r="G267" s="16" t="s">
        <v>220</v>
      </c>
      <c r="H267" s="16" t="s">
        <v>220</v>
      </c>
    </row>
    <row r="268" ht="330.75" customHeight="1">
      <c r="A268" s="32" t="str">
        <f>IMAGE("https://gymvisual.com/1123-catalog_default/3-4-sit-up.jpg",4,500,500)</f>
        <v/>
      </c>
      <c r="B268" s="30">
        <v>1739.0</v>
      </c>
      <c r="C268" s="16" t="s">
        <v>2316</v>
      </c>
      <c r="D268" s="16" t="s">
        <v>184</v>
      </c>
      <c r="E268" s="16" t="s">
        <v>214</v>
      </c>
      <c r="F268" s="16" t="s">
        <v>222</v>
      </c>
      <c r="G268" s="16" t="s">
        <v>720</v>
      </c>
      <c r="H268" s="16" t="s">
        <v>220</v>
      </c>
    </row>
    <row r="269" ht="330.75" customHeight="1">
      <c r="A269" s="32" t="str">
        <f>IMAGE("https://gymvisual.com/11558-catalog_default/dumbbell-over-bench-one-arm-wrist-curl-female.jpg",4,500,500)</f>
        <v/>
      </c>
      <c r="B269" s="30">
        <v>1738.0</v>
      </c>
      <c r="C269" s="16" t="s">
        <v>2315</v>
      </c>
      <c r="D269" s="16" t="s">
        <v>184</v>
      </c>
      <c r="E269" s="16" t="s">
        <v>214</v>
      </c>
      <c r="F269" s="16" t="s">
        <v>222</v>
      </c>
      <c r="G269" s="16" t="s">
        <v>220</v>
      </c>
      <c r="H269" s="16" t="s">
        <v>220</v>
      </c>
    </row>
    <row r="270" ht="330.75" customHeight="1">
      <c r="A270" s="32" t="str">
        <f>IMAGE("https://gymvisual.com/1120-catalog_default/3-4-sit-up.jpg",4,500,500)</f>
        <v/>
      </c>
      <c r="B270" s="30">
        <v>1737.0</v>
      </c>
      <c r="C270" s="16" t="s">
        <v>2314</v>
      </c>
      <c r="D270" s="16" t="s">
        <v>184</v>
      </c>
      <c r="E270" s="16" t="s">
        <v>214</v>
      </c>
      <c r="F270" s="16" t="s">
        <v>222</v>
      </c>
      <c r="G270" s="16" t="s">
        <v>604</v>
      </c>
      <c r="H270" s="16" t="s">
        <v>220</v>
      </c>
    </row>
    <row r="271" ht="330.75" customHeight="1">
      <c r="A271" s="32" t="str">
        <f>IMAGE("https://gymvisual.com/6458-catalog_default/dumbbell-over-bench-one-arm-reverse-wrist-curl.jpg",4,500,500)</f>
        <v/>
      </c>
      <c r="B271" s="30">
        <v>1736.0</v>
      </c>
      <c r="C271" s="16" t="s">
        <v>2313</v>
      </c>
      <c r="D271" s="16" t="s">
        <v>184</v>
      </c>
      <c r="E271" s="16" t="s">
        <v>214</v>
      </c>
      <c r="F271" s="16" t="s">
        <v>222</v>
      </c>
      <c r="G271" s="16" t="s">
        <v>720</v>
      </c>
      <c r="H271" s="16" t="s">
        <v>220</v>
      </c>
    </row>
    <row r="272" ht="330.75" customHeight="1">
      <c r="A272" s="32" t="str">
        <f>IMAGE("https://gymvisual.com/11417-catalog_default/dumbbell-over-bench-one-arm-neutral-wrist-curl-female.jpg",4,500,500)</f>
        <v/>
      </c>
      <c r="B272" s="30">
        <v>1735.0</v>
      </c>
      <c r="C272" s="16" t="s">
        <v>2312</v>
      </c>
      <c r="D272" s="16" t="s">
        <v>184</v>
      </c>
      <c r="E272" s="16" t="s">
        <v>214</v>
      </c>
      <c r="F272" s="16" t="s">
        <v>222</v>
      </c>
      <c r="G272" s="16" t="s">
        <v>220</v>
      </c>
      <c r="H272" s="16" t="s">
        <v>220</v>
      </c>
    </row>
    <row r="273" ht="330.75" customHeight="1">
      <c r="A273" s="32" t="str">
        <f>IMAGE("https://gymvisual.com/1117-catalog_default/3-4-sit-up.jpg",4,500,500)</f>
        <v/>
      </c>
      <c r="B273" s="30">
        <v>1734.0</v>
      </c>
      <c r="C273" s="16" t="s">
        <v>2311</v>
      </c>
      <c r="D273" s="16" t="s">
        <v>184</v>
      </c>
      <c r="E273" s="16" t="s">
        <v>214</v>
      </c>
      <c r="F273" s="16" t="s">
        <v>222</v>
      </c>
      <c r="G273" s="16" t="s">
        <v>216</v>
      </c>
      <c r="H273" s="16" t="s">
        <v>220</v>
      </c>
    </row>
    <row r="274" ht="330.75" customHeight="1">
      <c r="A274" s="32" t="str">
        <f>IMAGE("https://gymvisual.com/11414-catalog_default/dumbbell-over-bench-neutral-wrist-curl-female.jpg",4,500,500)</f>
        <v/>
      </c>
      <c r="B274" s="30">
        <v>1733.0</v>
      </c>
      <c r="C274" s="16" t="s">
        <v>2310</v>
      </c>
      <c r="D274" s="16" t="s">
        <v>184</v>
      </c>
      <c r="E274" s="16" t="s">
        <v>214</v>
      </c>
      <c r="F274" s="16" t="s">
        <v>222</v>
      </c>
      <c r="G274" s="16" t="s">
        <v>220</v>
      </c>
      <c r="H274" s="16" t="s">
        <v>220</v>
      </c>
    </row>
    <row r="275" ht="330.75" customHeight="1">
      <c r="A275" s="32" t="str">
        <f>IMAGE("https://gymvisual.com/1114-catalog_default/3-4-sit-up.jpg",4,500,500)</f>
        <v/>
      </c>
      <c r="B275" s="30">
        <v>1732.0</v>
      </c>
      <c r="C275" s="16" t="s">
        <v>2309</v>
      </c>
      <c r="D275" s="16" t="s">
        <v>184</v>
      </c>
      <c r="E275" s="16" t="s">
        <v>214</v>
      </c>
      <c r="F275" s="16" t="s">
        <v>222</v>
      </c>
      <c r="G275" s="16" t="s">
        <v>216</v>
      </c>
      <c r="H275" s="16" t="s">
        <v>220</v>
      </c>
    </row>
    <row r="276" ht="330.75" customHeight="1">
      <c r="A276" s="32" t="str">
        <f>IMAGE("https://gymvisual.com/2772-catalog_default/dumbbell-one-leg-squat.jpg",4,500,500)</f>
        <v/>
      </c>
      <c r="B276" s="30">
        <v>1731.0</v>
      </c>
      <c r="C276" s="16" t="s">
        <v>2308</v>
      </c>
      <c r="D276" s="16" t="s">
        <v>184</v>
      </c>
      <c r="E276" s="16" t="s">
        <v>285</v>
      </c>
      <c r="F276" s="16" t="s">
        <v>222</v>
      </c>
      <c r="G276" s="16" t="s">
        <v>552</v>
      </c>
      <c r="H276" s="16" t="s">
        <v>553</v>
      </c>
    </row>
    <row r="277" ht="330.75" customHeight="1">
      <c r="A277" s="32" t="str">
        <f>IMAGE("https://gymvisual.com/5981-catalog_default/dumbbell-one-leg-fly-on-exercise-ball.jpg",4,500,500)</f>
        <v/>
      </c>
      <c r="B277" s="30">
        <v>1730.0</v>
      </c>
      <c r="C277" s="16" t="s">
        <v>2307</v>
      </c>
      <c r="D277" s="16" t="s">
        <v>184</v>
      </c>
      <c r="E277" s="16" t="s">
        <v>234</v>
      </c>
      <c r="F277" s="16" t="s">
        <v>222</v>
      </c>
      <c r="G277" s="16" t="s">
        <v>347</v>
      </c>
      <c r="H277" s="16" t="s">
        <v>420</v>
      </c>
    </row>
    <row r="278" ht="330.75" customHeight="1">
      <c r="A278" s="32" t="str">
        <f>IMAGE("https://gymvisual.com/16706-catalog_default/dumbbell-one-arm-zottman-preacher-curl-female.jpg",4,500,500)</f>
        <v/>
      </c>
      <c r="B278" s="30">
        <v>1729.0</v>
      </c>
      <c r="C278" s="16" t="s">
        <v>2306</v>
      </c>
      <c r="D278" s="16" t="s">
        <v>184</v>
      </c>
      <c r="E278" s="16" t="s">
        <v>219</v>
      </c>
      <c r="F278" s="16" t="s">
        <v>222</v>
      </c>
      <c r="G278" s="16" t="s">
        <v>241</v>
      </c>
      <c r="H278" s="16" t="s">
        <v>2305</v>
      </c>
    </row>
    <row r="279" ht="330.75" customHeight="1">
      <c r="A279" s="32" t="str">
        <f>IMAGE("https://gymvisual.com/7146-catalog_default/dumbbell-one-arm-zottman-preacher-curl.jpg",4,500,500)</f>
        <v/>
      </c>
      <c r="B279" s="30">
        <v>1728.0</v>
      </c>
      <c r="C279" s="16" t="s">
        <v>2304</v>
      </c>
      <c r="D279" s="16" t="s">
        <v>184</v>
      </c>
      <c r="E279" s="16" t="s">
        <v>219</v>
      </c>
      <c r="F279" s="16" t="s">
        <v>222</v>
      </c>
      <c r="G279" s="16" t="s">
        <v>241</v>
      </c>
      <c r="H279" s="16" t="s">
        <v>2305</v>
      </c>
    </row>
    <row r="280" ht="330.75" customHeight="1">
      <c r="A280" s="32" t="str">
        <f>IMAGE("https://gymvisual.com/20088-catalog_default/dumbbell-one-arm-y-elevation.jpg",4,500,500)</f>
        <v/>
      </c>
      <c r="B280" s="30">
        <v>1727.0</v>
      </c>
      <c r="C280" s="16" t="s">
        <v>2303</v>
      </c>
      <c r="D280" s="16" t="s">
        <v>184</v>
      </c>
      <c r="E280" s="16" t="s">
        <v>228</v>
      </c>
      <c r="F280" s="16" t="s">
        <v>222</v>
      </c>
      <c r="G280" s="16" t="s">
        <v>1997</v>
      </c>
      <c r="H280" s="16" t="s">
        <v>731</v>
      </c>
    </row>
    <row r="281" ht="330.75" customHeight="1">
      <c r="A281" s="32" t="str">
        <f>IMAGE("https://gymvisual.com/11555-catalog_default/dumbbell-one-arm-wrist-curl-femaleforearm.jpg",4,500,500)</f>
        <v/>
      </c>
      <c r="B281" s="30">
        <v>1726.0</v>
      </c>
      <c r="C281" s="16" t="s">
        <v>2302</v>
      </c>
      <c r="D281" s="16" t="s">
        <v>184</v>
      </c>
      <c r="E281" s="16" t="s">
        <v>214</v>
      </c>
      <c r="F281" s="16" t="s">
        <v>222</v>
      </c>
      <c r="G281" s="16" t="s">
        <v>220</v>
      </c>
      <c r="H281" s="16" t="s">
        <v>220</v>
      </c>
    </row>
    <row r="282" ht="330.75" customHeight="1">
      <c r="A282" s="32" t="str">
        <f>IMAGE("https://gymvisual.com/13115-catalog_default/3-4-sit-up.jpg",4,500,500)</f>
        <v/>
      </c>
      <c r="B282" s="30">
        <v>1725.0</v>
      </c>
      <c r="C282" s="16" t="s">
        <v>2301</v>
      </c>
      <c r="D282" s="16" t="s">
        <v>184</v>
      </c>
      <c r="E282" s="16" t="s">
        <v>214</v>
      </c>
      <c r="F282" s="16" t="s">
        <v>222</v>
      </c>
      <c r="G282" s="16" t="s">
        <v>720</v>
      </c>
      <c r="H282" s="16" t="s">
        <v>220</v>
      </c>
    </row>
    <row r="283" ht="330.75" customHeight="1">
      <c r="A283" s="32" t="str">
        <f>IMAGE("https://gymvisual.com/13614-catalog_default/dumbbell-one-arm-wide-grip-bench-press.jpg",4,500,500)</f>
        <v/>
      </c>
      <c r="B283" s="30">
        <v>1724.0</v>
      </c>
      <c r="C283" s="16" t="s">
        <v>2300</v>
      </c>
      <c r="D283" s="16" t="s">
        <v>184</v>
      </c>
      <c r="E283" s="16" t="s">
        <v>234</v>
      </c>
      <c r="F283" s="16" t="s">
        <v>222</v>
      </c>
      <c r="G283" s="16" t="s">
        <v>235</v>
      </c>
      <c r="H283" s="16" t="s">
        <v>243</v>
      </c>
    </row>
    <row r="284" ht="330.75" customHeight="1">
      <c r="A284" s="32" t="str">
        <f>IMAGE("https://gymvisual.com/11348-catalog_default/dumbbell-one-arm-upright-row-female.jpg",4,500,500)</f>
        <v/>
      </c>
      <c r="B284" s="30">
        <v>1723.0</v>
      </c>
      <c r="C284" s="16" t="s">
        <v>2299</v>
      </c>
      <c r="D284" s="16" t="s">
        <v>184</v>
      </c>
      <c r="E284" s="16" t="s">
        <v>228</v>
      </c>
      <c r="F284" s="16" t="s">
        <v>222</v>
      </c>
      <c r="G284" s="16" t="s">
        <v>220</v>
      </c>
      <c r="H284" s="16" t="s">
        <v>220</v>
      </c>
    </row>
    <row r="285" ht="330.75" customHeight="1">
      <c r="A285" s="32" t="str">
        <f>IMAGE("https://gymvisual.com/1108-catalog_default/3-4-sit-up.jpg",4,500,500)</f>
        <v/>
      </c>
      <c r="B285" s="30">
        <v>1722.0</v>
      </c>
      <c r="C285" s="16" t="s">
        <v>2297</v>
      </c>
      <c r="D285" s="16" t="s">
        <v>184</v>
      </c>
      <c r="E285" s="16" t="s">
        <v>228</v>
      </c>
      <c r="F285" s="16" t="s">
        <v>222</v>
      </c>
      <c r="G285" s="16" t="s">
        <v>544</v>
      </c>
      <c r="H285" s="16" t="s">
        <v>2298</v>
      </c>
    </row>
    <row r="286" ht="330.75" customHeight="1">
      <c r="A286" s="32" t="str">
        <f>IMAGE("https://gymvisual.com/17841-catalog_default/dumbbell-one-arm-triceps-extension-on-stability-ball.jpg",4,500,500)</f>
        <v/>
      </c>
      <c r="B286" s="30">
        <v>1721.0</v>
      </c>
      <c r="C286" s="16" t="s">
        <v>2296</v>
      </c>
      <c r="D286" s="16" t="s">
        <v>184</v>
      </c>
      <c r="E286" s="16" t="s">
        <v>219</v>
      </c>
      <c r="F286" s="16" t="s">
        <v>222</v>
      </c>
      <c r="G286" s="16" t="s">
        <v>220</v>
      </c>
      <c r="H286" s="16" t="s">
        <v>220</v>
      </c>
    </row>
    <row r="287" ht="330.75" customHeight="1">
      <c r="A287" s="32" t="str">
        <f>IMAGE("https://gymvisual.com/11351-catalog_default/dumbbell-one-arm-triceps-extension-on-bench-female.jpg",4,500,500)</f>
        <v/>
      </c>
      <c r="B287" s="30">
        <v>1720.0</v>
      </c>
      <c r="C287" s="16" t="s">
        <v>2295</v>
      </c>
      <c r="D287" s="16" t="s">
        <v>184</v>
      </c>
      <c r="E287" s="16" t="s">
        <v>219</v>
      </c>
      <c r="F287" s="16" t="s">
        <v>222</v>
      </c>
      <c r="G287" s="16" t="s">
        <v>223</v>
      </c>
      <c r="H287" s="16" t="s">
        <v>220</v>
      </c>
    </row>
    <row r="288" ht="330.75" customHeight="1">
      <c r="A288" s="32" t="str">
        <f>IMAGE("https://gymvisual.com/1105-catalog_default/3-4-sit-up.jpg",4,500,500)</f>
        <v/>
      </c>
      <c r="B288" s="30">
        <v>1719.0</v>
      </c>
      <c r="C288" s="16" t="s">
        <v>2294</v>
      </c>
      <c r="D288" s="16" t="s">
        <v>184</v>
      </c>
      <c r="E288" s="16" t="s">
        <v>219</v>
      </c>
      <c r="F288" s="16" t="s">
        <v>222</v>
      </c>
      <c r="G288" s="16" t="s">
        <v>223</v>
      </c>
      <c r="H288" s="16" t="s">
        <v>220</v>
      </c>
    </row>
    <row r="289" ht="330.75" customHeight="1">
      <c r="A289" s="32" t="str">
        <f>IMAGE("https://gymvisual.com/18758-catalog_default/dumbbell-one-arm-triceps-extension-female.jpg",4,500,500)</f>
        <v/>
      </c>
      <c r="B289" s="30">
        <v>1718.0</v>
      </c>
      <c r="C289" s="16" t="s">
        <v>2293</v>
      </c>
      <c r="D289" s="16" t="s">
        <v>184</v>
      </c>
      <c r="E289" s="16" t="s">
        <v>219</v>
      </c>
      <c r="F289" s="16" t="s">
        <v>222</v>
      </c>
      <c r="G289" s="16" t="s">
        <v>220</v>
      </c>
      <c r="H289" s="16" t="s">
        <v>220</v>
      </c>
    </row>
    <row r="290" ht="330.75" customHeight="1">
      <c r="A290" s="32" t="str">
        <f>IMAGE("https://gymvisual.com/19179-catalog_default/dumbbell-one-arm-thruster.jpg",4,500,500)</f>
        <v/>
      </c>
      <c r="B290" s="30">
        <v>1717.0</v>
      </c>
      <c r="C290" s="16" t="s">
        <v>2292</v>
      </c>
      <c r="D290" s="16" t="s">
        <v>184</v>
      </c>
      <c r="E290" s="16" t="s">
        <v>691</v>
      </c>
      <c r="F290" s="16" t="s">
        <v>222</v>
      </c>
      <c r="G290" s="16" t="s">
        <v>220</v>
      </c>
      <c r="H290" s="16" t="s">
        <v>220</v>
      </c>
    </row>
    <row r="291" ht="330.75" customHeight="1">
      <c r="A291" s="32" t="str">
        <f>IMAGE("https://gymvisual.com/7145-catalog_default/dumbbell-one-arm-standing-hammer-curl.jpg",4,500,500)</f>
        <v/>
      </c>
      <c r="B291" s="30">
        <v>1716.0</v>
      </c>
      <c r="C291" s="16" t="s">
        <v>2291</v>
      </c>
      <c r="D291" s="16" t="s">
        <v>184</v>
      </c>
      <c r="E291" s="16" t="s">
        <v>219</v>
      </c>
      <c r="F291" s="16" t="s">
        <v>222</v>
      </c>
      <c r="G291" s="16" t="s">
        <v>220</v>
      </c>
      <c r="H291" s="16" t="s">
        <v>220</v>
      </c>
    </row>
    <row r="292" ht="330.75" customHeight="1">
      <c r="A292" s="32" t="str">
        <f>IMAGE("https://gymvisual.com/7144-catalog_default/dumbbell-one-arm-standing-curl.jpg",4,500,500)</f>
        <v/>
      </c>
      <c r="B292" s="30">
        <v>1715.0</v>
      </c>
      <c r="C292" s="16" t="s">
        <v>2290</v>
      </c>
      <c r="D292" s="16" t="s">
        <v>184</v>
      </c>
      <c r="E292" s="16" t="s">
        <v>219</v>
      </c>
      <c r="F292" s="16" t="s">
        <v>222</v>
      </c>
      <c r="G292" s="16" t="s">
        <v>220</v>
      </c>
      <c r="H292" s="16" t="s">
        <v>220</v>
      </c>
    </row>
    <row r="293" ht="330.75" customHeight="1">
      <c r="A293" s="32" t="str">
        <f>IMAGE("https://gymvisual.com/17119-catalog_default/dumbbell-one-arm-snatch.jpg",4,500,500)</f>
        <v/>
      </c>
      <c r="B293" s="30">
        <v>1714.0</v>
      </c>
      <c r="C293" s="16" t="s">
        <v>2287</v>
      </c>
      <c r="D293" s="16" t="s">
        <v>184</v>
      </c>
      <c r="E293" s="16" t="s">
        <v>691</v>
      </c>
      <c r="F293" s="16" t="s">
        <v>222</v>
      </c>
      <c r="G293" s="16" t="s">
        <v>2288</v>
      </c>
      <c r="H293" s="16" t="s">
        <v>2289</v>
      </c>
    </row>
    <row r="294" ht="330.75" customHeight="1">
      <c r="A294" s="32" t="str">
        <f>IMAGE("https://gymvisual.com/10310-catalog_default/dumbbell-one-arm-shoulder-press-version-2-female.jpg",4,500,500)</f>
        <v/>
      </c>
      <c r="B294" s="30">
        <v>1713.0</v>
      </c>
      <c r="C294" s="16" t="s">
        <v>2286</v>
      </c>
      <c r="D294" s="16" t="s">
        <v>184</v>
      </c>
      <c r="E294" s="16" t="s">
        <v>228</v>
      </c>
      <c r="F294" s="16" t="s">
        <v>222</v>
      </c>
      <c r="G294" s="16" t="s">
        <v>229</v>
      </c>
      <c r="H294" s="16" t="s">
        <v>626</v>
      </c>
    </row>
    <row r="295" ht="330.75" customHeight="1">
      <c r="A295" s="32" t="str">
        <f>IMAGE("https://gymvisual.com/1099-catalog_default/3-4-sit-up.jpg",4,500,500)</f>
        <v/>
      </c>
      <c r="B295" s="30">
        <v>1712.0</v>
      </c>
      <c r="C295" s="16" t="s">
        <v>2285</v>
      </c>
      <c r="D295" s="16" t="s">
        <v>184</v>
      </c>
      <c r="E295" s="16" t="s">
        <v>228</v>
      </c>
      <c r="F295" s="16" t="s">
        <v>222</v>
      </c>
      <c r="G295" s="16" t="s">
        <v>229</v>
      </c>
      <c r="H295" s="16" t="s">
        <v>626</v>
      </c>
    </row>
    <row r="296" ht="330.75" customHeight="1">
      <c r="A296" s="32" t="str">
        <f>IMAGE("https://gymvisual.com/1102-catalog_default/3-4-sit-up.jpg",4,500,500)</f>
        <v/>
      </c>
      <c r="B296" s="30">
        <v>1711.0</v>
      </c>
      <c r="C296" s="16" t="s">
        <v>2284</v>
      </c>
      <c r="D296" s="16" t="s">
        <v>184</v>
      </c>
      <c r="E296" s="16" t="s">
        <v>228</v>
      </c>
      <c r="F296" s="16" t="s">
        <v>222</v>
      </c>
      <c r="G296" s="16" t="s">
        <v>229</v>
      </c>
      <c r="H296" s="16" t="s">
        <v>626</v>
      </c>
    </row>
    <row r="297" ht="330.75" customHeight="1">
      <c r="A297" s="32" t="str">
        <f>IMAGE("https://gymvisual.com/11552-catalog_default/dumbbell-one-arm-seated-neutral-wrist-curl-female.jpg",4,500,500)</f>
        <v/>
      </c>
      <c r="B297" s="30">
        <v>1710.0</v>
      </c>
      <c r="C297" s="16" t="s">
        <v>2283</v>
      </c>
      <c r="D297" s="16" t="s">
        <v>184</v>
      </c>
      <c r="E297" s="16" t="s">
        <v>214</v>
      </c>
      <c r="F297" s="16" t="s">
        <v>222</v>
      </c>
      <c r="G297" s="16" t="s">
        <v>220</v>
      </c>
      <c r="H297" s="16" t="s">
        <v>220</v>
      </c>
    </row>
    <row r="298" ht="330.75" customHeight="1">
      <c r="A298" s="32" t="str">
        <f>IMAGE("https://gymvisual.com/6267-catalog_default/dumbbell-one-arm-seated-neutral-wrist-curl.jpg",4,500,500)</f>
        <v/>
      </c>
      <c r="B298" s="30">
        <v>1709.0</v>
      </c>
      <c r="C298" s="16" t="s">
        <v>2282</v>
      </c>
      <c r="D298" s="16" t="s">
        <v>184</v>
      </c>
      <c r="E298" s="16" t="s">
        <v>214</v>
      </c>
      <c r="F298" s="16" t="s">
        <v>222</v>
      </c>
      <c r="G298" s="16" t="s">
        <v>604</v>
      </c>
      <c r="H298" s="16" t="s">
        <v>220</v>
      </c>
    </row>
    <row r="299" ht="330.75" customHeight="1">
      <c r="A299" s="32" t="str">
        <f>IMAGE("https://gymvisual.com/7143-catalog_default/dumbbell-one-arm-seated-hammer-curl.jpg",4,500,500)</f>
        <v/>
      </c>
      <c r="B299" s="30">
        <v>1708.0</v>
      </c>
      <c r="C299" s="16" t="s">
        <v>2281</v>
      </c>
      <c r="D299" s="16" t="s">
        <v>184</v>
      </c>
      <c r="E299" s="16" t="s">
        <v>219</v>
      </c>
      <c r="F299" s="16" t="s">
        <v>222</v>
      </c>
      <c r="G299" s="16" t="s">
        <v>220</v>
      </c>
      <c r="H299" s="16" t="s">
        <v>220</v>
      </c>
    </row>
    <row r="300" ht="330.75" customHeight="1">
      <c r="A300" s="32" t="str">
        <f>IMAGE("https://gymvisual.com/7142-catalog_default/dumbbell-one-arm-seated-bicep-curl-on-exercise-ball.jpg",4,500,500)</f>
        <v/>
      </c>
      <c r="B300" s="30">
        <v>1707.0</v>
      </c>
      <c r="C300" s="16" t="s">
        <v>2280</v>
      </c>
      <c r="D300" s="16" t="s">
        <v>184</v>
      </c>
      <c r="E300" s="16" t="s">
        <v>219</v>
      </c>
      <c r="F300" s="16" t="s">
        <v>222</v>
      </c>
      <c r="G300" s="16" t="s">
        <v>220</v>
      </c>
      <c r="H300" s="16" t="s">
        <v>220</v>
      </c>
    </row>
    <row r="301" ht="330.75" customHeight="1">
      <c r="A301" s="32" t="str">
        <f>IMAGE("https://gymvisual.com/4607-catalog_default/dumbbell-one-arm-row-rack-support.jpg",4,500,500)</f>
        <v/>
      </c>
      <c r="B301" s="30">
        <v>1706.0</v>
      </c>
      <c r="C301" s="16" t="s">
        <v>2279</v>
      </c>
      <c r="D301" s="16" t="s">
        <v>184</v>
      </c>
      <c r="E301" s="16" t="s">
        <v>192</v>
      </c>
      <c r="F301" s="16" t="s">
        <v>222</v>
      </c>
      <c r="G301" s="16" t="s">
        <v>329</v>
      </c>
      <c r="H301" s="16" t="s">
        <v>457</v>
      </c>
    </row>
    <row r="302" ht="330.75" customHeight="1">
      <c r="A302" s="32" t="str">
        <f>IMAGE("https://gymvisual.com/7141-catalog_default/dumbbell-one-arm-reverse-spider-curl.jpg",4,500,500)</f>
        <v/>
      </c>
      <c r="B302" s="30">
        <v>1705.0</v>
      </c>
      <c r="C302" s="16" t="s">
        <v>2278</v>
      </c>
      <c r="D302" s="16" t="s">
        <v>184</v>
      </c>
      <c r="E302" s="16" t="s">
        <v>219</v>
      </c>
      <c r="F302" s="16" t="s">
        <v>222</v>
      </c>
      <c r="G302" s="16" t="s">
        <v>220</v>
      </c>
      <c r="H302" s="16" t="s">
        <v>220</v>
      </c>
    </row>
    <row r="303" ht="330.75" customHeight="1">
      <c r="A303" s="32" t="str">
        <f>IMAGE("https://gymvisual.com/6266-catalog_default/dumbbell-one-arm-reverse-preacher-curl.jpg",4,500,500)</f>
        <v/>
      </c>
      <c r="B303" s="30">
        <v>1704.0</v>
      </c>
      <c r="C303" s="16" t="s">
        <v>2277</v>
      </c>
      <c r="D303" s="16" t="s">
        <v>184</v>
      </c>
      <c r="E303" s="16" t="s">
        <v>214</v>
      </c>
      <c r="F303" s="16" t="s">
        <v>222</v>
      </c>
      <c r="G303" s="16" t="s">
        <v>216</v>
      </c>
      <c r="H303" s="16" t="s">
        <v>217</v>
      </c>
    </row>
    <row r="304" ht="330.75" customHeight="1">
      <c r="A304" s="32" t="str">
        <f>IMAGE("https://gymvisual.com/7097-catalog_default/dumbbell-one-arm-reverse-grip-press.jpg",4,500,500)</f>
        <v/>
      </c>
      <c r="B304" s="30">
        <v>1703.0</v>
      </c>
      <c r="C304" s="16" t="s">
        <v>2276</v>
      </c>
      <c r="D304" s="16" t="s">
        <v>184</v>
      </c>
      <c r="E304" s="16" t="s">
        <v>234</v>
      </c>
      <c r="F304" s="16" t="s">
        <v>222</v>
      </c>
      <c r="G304" s="16" t="s">
        <v>220</v>
      </c>
      <c r="H304" s="16" t="s">
        <v>220</v>
      </c>
    </row>
    <row r="305" ht="330.75" customHeight="1">
      <c r="A305" s="32" t="str">
        <f>IMAGE("https://gymvisual.com/17642-catalog_default/dumbbell-one-arm-reverse-fly-with-support-version-2.jpg",4,500,500)</f>
        <v/>
      </c>
      <c r="B305" s="30">
        <v>1702.0</v>
      </c>
      <c r="C305" s="16" t="s">
        <v>2275</v>
      </c>
      <c r="D305" s="16" t="s">
        <v>184</v>
      </c>
      <c r="E305" s="16" t="s">
        <v>228</v>
      </c>
      <c r="F305" s="16" t="s">
        <v>222</v>
      </c>
      <c r="G305" s="16" t="s">
        <v>408</v>
      </c>
      <c r="H305" s="16" t="s">
        <v>452</v>
      </c>
    </row>
    <row r="306" ht="330.75" customHeight="1">
      <c r="A306" s="32" t="str">
        <f>IMAGE("https://gymvisual.com/11570-catalog_default/dumbbell-one-arm-reverse-fly-with-support-female.jpg",4,500,500)</f>
        <v/>
      </c>
      <c r="B306" s="30">
        <v>1701.0</v>
      </c>
      <c r="C306" s="16" t="s">
        <v>2274</v>
      </c>
      <c r="D306" s="16" t="s">
        <v>184</v>
      </c>
      <c r="E306" s="16" t="s">
        <v>228</v>
      </c>
      <c r="F306" s="16" t="s">
        <v>222</v>
      </c>
      <c r="G306" s="16" t="s">
        <v>220</v>
      </c>
      <c r="H306" s="16" t="s">
        <v>220</v>
      </c>
    </row>
    <row r="307" ht="330.75" customHeight="1">
      <c r="A307" s="32" t="str">
        <f>IMAGE("https://gymvisual.com/1096-catalog_default/3-4-sit-up.jpg",4,500,500)</f>
        <v/>
      </c>
      <c r="B307" s="30">
        <v>1700.0</v>
      </c>
      <c r="C307" s="16" t="s">
        <v>2273</v>
      </c>
      <c r="D307" s="16" t="s">
        <v>184</v>
      </c>
      <c r="E307" s="16" t="s">
        <v>228</v>
      </c>
      <c r="F307" s="16" t="s">
        <v>222</v>
      </c>
      <c r="G307" s="16" t="s">
        <v>408</v>
      </c>
      <c r="H307" s="16" t="s">
        <v>452</v>
      </c>
    </row>
    <row r="308" ht="330.75" customHeight="1">
      <c r="A308" s="32" t="str">
        <f>IMAGE("https://gymvisual.com/11549-catalog_default/dumbbell-one-arm-revers-wrist-curl-female.jpg",4,500,500)</f>
        <v/>
      </c>
      <c r="B308" s="30">
        <v>1699.0</v>
      </c>
      <c r="C308" s="16" t="s">
        <v>2272</v>
      </c>
      <c r="D308" s="16" t="s">
        <v>184</v>
      </c>
      <c r="E308" s="16" t="s">
        <v>214</v>
      </c>
      <c r="F308" s="16" t="s">
        <v>222</v>
      </c>
      <c r="G308" s="16" t="s">
        <v>220</v>
      </c>
      <c r="H308" s="16" t="s">
        <v>220</v>
      </c>
    </row>
    <row r="309" ht="330.75" customHeight="1">
      <c r="A309" s="32" t="str">
        <f>IMAGE("https://gymvisual.com/1093-catalog_default/3-4-sit-up.jpg",4,500,500)</f>
        <v/>
      </c>
      <c r="B309" s="30">
        <v>1698.0</v>
      </c>
      <c r="C309" s="16" t="s">
        <v>2271</v>
      </c>
      <c r="D309" s="16" t="s">
        <v>184</v>
      </c>
      <c r="E309" s="16" t="s">
        <v>214</v>
      </c>
      <c r="F309" s="16" t="s">
        <v>222</v>
      </c>
      <c r="G309" s="16" t="s">
        <v>604</v>
      </c>
      <c r="H309" s="16" t="s">
        <v>220</v>
      </c>
    </row>
    <row r="310" ht="330.75" customHeight="1">
      <c r="A310" s="32" t="str">
        <f>IMAGE("https://gymvisual.com/5980-catalog_default/dumbbell-one-arm-pullover-on-exercise-ball.jpg",4,500,500)</f>
        <v/>
      </c>
      <c r="B310" s="30">
        <v>1697.0</v>
      </c>
      <c r="C310" s="16" t="s">
        <v>2270</v>
      </c>
      <c r="D310" s="16" t="s">
        <v>184</v>
      </c>
      <c r="E310" s="16" t="s">
        <v>234</v>
      </c>
      <c r="F310" s="16" t="s">
        <v>222</v>
      </c>
      <c r="G310" s="16" t="s">
        <v>347</v>
      </c>
      <c r="H310" s="16" t="s">
        <v>2222</v>
      </c>
    </row>
    <row r="311" ht="330.75" customHeight="1">
      <c r="A311" s="32" t="str">
        <f>IMAGE("https://gymvisual.com/7140-catalog_default/dumbbell-one-arm-prone-hammer-curl.jpg",4,500,500)</f>
        <v/>
      </c>
      <c r="B311" s="30">
        <v>1696.0</v>
      </c>
      <c r="C311" s="16" t="s">
        <v>2269</v>
      </c>
      <c r="D311" s="16" t="s">
        <v>184</v>
      </c>
      <c r="E311" s="16" t="s">
        <v>219</v>
      </c>
      <c r="F311" s="16" t="s">
        <v>222</v>
      </c>
      <c r="G311" s="16" t="s">
        <v>220</v>
      </c>
      <c r="H311" s="16" t="s">
        <v>220</v>
      </c>
    </row>
    <row r="312" ht="330.75" customHeight="1">
      <c r="A312" s="32" t="str">
        <f>IMAGE("https://gymvisual.com/7139-catalog_default/dumbbell-one-arm-prone-curl.jpg",4,500,500)</f>
        <v/>
      </c>
      <c r="B312" s="30">
        <v>1695.0</v>
      </c>
      <c r="C312" s="16" t="s">
        <v>2268</v>
      </c>
      <c r="D312" s="16" t="s">
        <v>184</v>
      </c>
      <c r="E312" s="16" t="s">
        <v>219</v>
      </c>
      <c r="F312" s="16" t="s">
        <v>222</v>
      </c>
      <c r="G312" s="16" t="s">
        <v>220</v>
      </c>
      <c r="H312" s="16" t="s">
        <v>220</v>
      </c>
    </row>
    <row r="313" ht="330.75" customHeight="1">
      <c r="A313" s="32" t="str">
        <f>IMAGE("https://gymvisual.com/5979-catalog_default/dumbbell-one-arm-press-on-exercise-ball.jpg",4,500,500)</f>
        <v/>
      </c>
      <c r="B313" s="30">
        <v>1694.0</v>
      </c>
      <c r="C313" s="16" t="s">
        <v>2267</v>
      </c>
      <c r="D313" s="16" t="s">
        <v>184</v>
      </c>
      <c r="E313" s="16" t="s">
        <v>234</v>
      </c>
      <c r="F313" s="16" t="s">
        <v>222</v>
      </c>
      <c r="G313" s="16" t="s">
        <v>347</v>
      </c>
      <c r="H313" s="16" t="s">
        <v>382</v>
      </c>
    </row>
    <row r="314" ht="330.75" customHeight="1">
      <c r="A314" s="32" t="str">
        <f>IMAGE("https://gymvisual.com/1090-catalog_default/3-4-sit-up.jpg",4,500,500)</f>
        <v/>
      </c>
      <c r="B314" s="30">
        <v>1693.0</v>
      </c>
      <c r="C314" s="16" t="s">
        <v>2265</v>
      </c>
      <c r="D314" s="16" t="s">
        <v>184</v>
      </c>
      <c r="E314" s="16" t="s">
        <v>234</v>
      </c>
      <c r="F314" s="16" t="s">
        <v>222</v>
      </c>
      <c r="G314" s="16" t="s">
        <v>235</v>
      </c>
      <c r="H314" s="16" t="s">
        <v>2266</v>
      </c>
    </row>
    <row r="315" ht="330.75" customHeight="1">
      <c r="A315" s="32" t="str">
        <f>IMAGE("https://gymvisual.com/13627-catalog_default/dumbbell-one-arm-lunge.jpg",4,500,500)</f>
        <v/>
      </c>
      <c r="B315" s="30">
        <v>1692.0</v>
      </c>
      <c r="C315" s="16" t="s">
        <v>2264</v>
      </c>
      <c r="D315" s="16" t="s">
        <v>184</v>
      </c>
      <c r="E315" s="16" t="s">
        <v>285</v>
      </c>
      <c r="F315" s="16" t="s">
        <v>222</v>
      </c>
      <c r="G315" s="16" t="s">
        <v>189</v>
      </c>
      <c r="H315" s="16" t="s">
        <v>190</v>
      </c>
    </row>
    <row r="316" ht="330.75" customHeight="1">
      <c r="A316" s="32" t="str">
        <f>IMAGE("https://gymvisual.com/22137-catalog_default/dumbbell-one-arm-low-fly.jpg",4,500,500)</f>
        <v/>
      </c>
      <c r="B316" s="30">
        <v>1691.0</v>
      </c>
      <c r="C316" s="16" t="s">
        <v>2263</v>
      </c>
      <c r="D316" s="16" t="s">
        <v>184</v>
      </c>
      <c r="E316" s="16" t="s">
        <v>234</v>
      </c>
      <c r="F316" s="16" t="s">
        <v>222</v>
      </c>
      <c r="G316" s="16" t="s">
        <v>235</v>
      </c>
      <c r="H316" s="16" t="s">
        <v>236</v>
      </c>
    </row>
    <row r="317" ht="330.75" customHeight="1">
      <c r="A317" s="32" t="str">
        <f>IMAGE("https://gymvisual.com/1087-catalog_default/3-4-sit-up.jpg",4,500,500)</f>
        <v/>
      </c>
      <c r="B317" s="30">
        <v>1690.0</v>
      </c>
      <c r="C317" s="16" t="s">
        <v>2260</v>
      </c>
      <c r="D317" s="16" t="s">
        <v>184</v>
      </c>
      <c r="E317" s="16" t="s">
        <v>228</v>
      </c>
      <c r="F317" s="16" t="s">
        <v>222</v>
      </c>
      <c r="G317" s="16" t="s">
        <v>544</v>
      </c>
      <c r="H317" s="16" t="s">
        <v>2135</v>
      </c>
    </row>
    <row r="318" ht="330.75" customHeight="1">
      <c r="A318" s="32" t="str">
        <f>IMAGE("https://gymvisual.com/11567-catalog_default/dumbbell-one-arm-lateral-raise-female.jpg",4,500,500)</f>
        <v/>
      </c>
      <c r="B318" s="30">
        <v>1689.0</v>
      </c>
      <c r="C318" s="16" t="s">
        <v>2262</v>
      </c>
      <c r="D318" s="16" t="s">
        <v>184</v>
      </c>
      <c r="E318" s="16" t="s">
        <v>228</v>
      </c>
      <c r="F318" s="16" t="s">
        <v>222</v>
      </c>
      <c r="G318" s="16" t="s">
        <v>220</v>
      </c>
      <c r="H318" s="16" t="s">
        <v>220</v>
      </c>
    </row>
    <row r="319" ht="330.75" customHeight="1">
      <c r="A319" s="32" t="str">
        <f>IMAGE("https://gymvisual.com/11324-catalog_default/dumbbell-one-arm-lateral-raise-female.jpg",4,500,500)</f>
        <v/>
      </c>
      <c r="B319" s="30">
        <v>1688.0</v>
      </c>
      <c r="C319" s="16" t="s">
        <v>2261</v>
      </c>
      <c r="D319" s="16" t="s">
        <v>184</v>
      </c>
      <c r="E319" s="16" t="s">
        <v>228</v>
      </c>
      <c r="F319" s="16" t="s">
        <v>222</v>
      </c>
      <c r="G319" s="16" t="s">
        <v>544</v>
      </c>
      <c r="H319" s="16" t="s">
        <v>545</v>
      </c>
    </row>
    <row r="320" ht="330.75" customHeight="1">
      <c r="A320" s="32" t="str">
        <f>IMAGE("https://gymvisual.com/1084-catalog_default/3-4-sit-up.jpg",4,500,500)</f>
        <v/>
      </c>
      <c r="B320" s="30">
        <v>1687.0</v>
      </c>
      <c r="C320" s="16" t="s">
        <v>2260</v>
      </c>
      <c r="D320" s="16" t="s">
        <v>184</v>
      </c>
      <c r="E320" s="16" t="s">
        <v>228</v>
      </c>
      <c r="F320" s="16" t="s">
        <v>222</v>
      </c>
      <c r="G320" s="16" t="s">
        <v>544</v>
      </c>
      <c r="H320" s="16" t="s">
        <v>545</v>
      </c>
    </row>
    <row r="321" ht="330.75" customHeight="1">
      <c r="A321" s="32" t="str">
        <f>IMAGE("https://gymvisual.com/10300-catalog_default/dumbbell-one-arm-kickback-female.jpg",4,500,500)</f>
        <v/>
      </c>
      <c r="B321" s="30">
        <v>1686.0</v>
      </c>
      <c r="C321" s="16" t="s">
        <v>2259</v>
      </c>
      <c r="D321" s="16" t="s">
        <v>184</v>
      </c>
      <c r="E321" s="16" t="s">
        <v>219</v>
      </c>
      <c r="F321" s="16" t="s">
        <v>222</v>
      </c>
      <c r="G321" s="16" t="s">
        <v>223</v>
      </c>
      <c r="H321" s="16" t="s">
        <v>220</v>
      </c>
    </row>
    <row r="322" ht="330.75" customHeight="1">
      <c r="A322" s="32" t="str">
        <f>IMAGE("https://gymvisual.com/1081-catalog_default/3-4-sit-up.jpg",4,500,500)</f>
        <v/>
      </c>
      <c r="B322" s="30">
        <v>1685.0</v>
      </c>
      <c r="C322" s="16" t="s">
        <v>2258</v>
      </c>
      <c r="D322" s="16" t="s">
        <v>184</v>
      </c>
      <c r="E322" s="16" t="s">
        <v>219</v>
      </c>
      <c r="F322" s="16" t="s">
        <v>222</v>
      </c>
      <c r="G322" s="16" t="s">
        <v>223</v>
      </c>
      <c r="H322" s="16" t="s">
        <v>220</v>
      </c>
    </row>
    <row r="323" ht="330.75" customHeight="1">
      <c r="A323" s="32" t="str">
        <f>IMAGE("https://gymvisual.com/5978-catalog_default/dumbbell-one-arm-incline-chest-press.jpg",4,500,500)</f>
        <v/>
      </c>
      <c r="B323" s="30">
        <v>1684.0</v>
      </c>
      <c r="C323" s="16" t="s">
        <v>2257</v>
      </c>
      <c r="D323" s="16" t="s">
        <v>184</v>
      </c>
      <c r="E323" s="16" t="s">
        <v>234</v>
      </c>
      <c r="F323" s="16" t="s">
        <v>222</v>
      </c>
      <c r="G323" s="16" t="s">
        <v>415</v>
      </c>
      <c r="H323" s="16" t="s">
        <v>243</v>
      </c>
    </row>
    <row r="324" ht="330.75" customHeight="1">
      <c r="A324" s="32" t="str">
        <f>IMAGE("https://gymvisual.com/7096-catalog_default/dumbbell-one-arm-hammer-press-on-exercise-ball.jpg",4,500,500)</f>
        <v/>
      </c>
      <c r="B324" s="30">
        <v>1683.0</v>
      </c>
      <c r="C324" s="16" t="s">
        <v>2256</v>
      </c>
      <c r="D324" s="16" t="s">
        <v>184</v>
      </c>
      <c r="E324" s="16" t="s">
        <v>219</v>
      </c>
      <c r="F324" s="16" t="s">
        <v>222</v>
      </c>
      <c r="G324" s="16" t="s">
        <v>220</v>
      </c>
      <c r="H324" s="16" t="s">
        <v>220</v>
      </c>
    </row>
    <row r="325" ht="330.75" customHeight="1">
      <c r="A325" s="32" t="str">
        <f>IMAGE("https://gymvisual.com/7137-catalog_default/dumbbell-one-arm-hammer-preacher-curl.jpg",4,500,500)</f>
        <v/>
      </c>
      <c r="B325" s="30">
        <v>1682.0</v>
      </c>
      <c r="C325" s="16" t="s">
        <v>2255</v>
      </c>
      <c r="D325" s="16" t="s">
        <v>184</v>
      </c>
      <c r="E325" s="16" t="s">
        <v>219</v>
      </c>
      <c r="F325" s="16" t="s">
        <v>222</v>
      </c>
      <c r="G325" s="16" t="s">
        <v>220</v>
      </c>
      <c r="H325" s="16" t="s">
        <v>220</v>
      </c>
    </row>
    <row r="326" ht="330.75" customHeight="1">
      <c r="A326" s="32" t="str">
        <f>IMAGE("https://gymvisual.com/17177-catalog_default/dumbbell-one-arm-front-raise.jpg",4,500,500)</f>
        <v/>
      </c>
      <c r="B326" s="30">
        <v>1681.0</v>
      </c>
      <c r="C326" s="16" t="s">
        <v>2254</v>
      </c>
      <c r="D326" s="16" t="s">
        <v>184</v>
      </c>
      <c r="E326" s="16" t="s">
        <v>228</v>
      </c>
      <c r="F326" s="16" t="s">
        <v>222</v>
      </c>
      <c r="G326" s="16" t="s">
        <v>229</v>
      </c>
      <c r="H326" s="16" t="s">
        <v>244</v>
      </c>
    </row>
    <row r="327" ht="330.75" customHeight="1">
      <c r="A327" s="32" t="str">
        <f>IMAGE("https://gymvisual.com/11474-catalog_default/dumbbell-one-arm-french-press-on-exercise-ball-female.jpg",4,500,500)</f>
        <v/>
      </c>
      <c r="B327" s="30">
        <v>1680.0</v>
      </c>
      <c r="C327" s="16" t="s">
        <v>2253</v>
      </c>
      <c r="D327" s="16" t="s">
        <v>184</v>
      </c>
      <c r="E327" s="16" t="s">
        <v>219</v>
      </c>
      <c r="F327" s="16" t="s">
        <v>1929</v>
      </c>
      <c r="G327" s="16" t="s">
        <v>220</v>
      </c>
      <c r="H327" s="16" t="s">
        <v>220</v>
      </c>
    </row>
    <row r="328" ht="330.75" customHeight="1">
      <c r="A328" s="32" t="str">
        <f>IMAGE("https://gymvisual.com/7455-catalog_default/dumbbell-one-arm-french-press-on-exercise-ball.jpg",4,500,500)</f>
        <v/>
      </c>
      <c r="B328" s="30">
        <v>1679.0</v>
      </c>
      <c r="C328" s="16" t="s">
        <v>2252</v>
      </c>
      <c r="D328" s="16" t="s">
        <v>184</v>
      </c>
      <c r="E328" s="16" t="s">
        <v>219</v>
      </c>
      <c r="F328" s="16" t="s">
        <v>222</v>
      </c>
      <c r="G328" s="16" t="s">
        <v>220</v>
      </c>
      <c r="H328" s="16" t="s">
        <v>220</v>
      </c>
    </row>
    <row r="329" ht="330.75" customHeight="1">
      <c r="A329" s="32" t="str">
        <f>IMAGE("https://gymvisual.com/5977-catalog_default/dumbbell-one-arm-fly-on-exercise-ball.jpg",4,500,500)</f>
        <v/>
      </c>
      <c r="B329" s="30">
        <v>1678.0</v>
      </c>
      <c r="C329" s="16" t="s">
        <v>2251</v>
      </c>
      <c r="D329" s="16" t="s">
        <v>184</v>
      </c>
      <c r="E329" s="16" t="s">
        <v>234</v>
      </c>
      <c r="F329" s="16" t="s">
        <v>222</v>
      </c>
      <c r="G329" s="16" t="s">
        <v>347</v>
      </c>
      <c r="H329" s="16" t="s">
        <v>420</v>
      </c>
    </row>
    <row r="330" ht="330.75" customHeight="1">
      <c r="A330" s="32" t="str">
        <f>IMAGE("https://gymvisual.com/13616-catalog_default/dumbbell-one-arm-floor-fly.jpg",4,500,500)</f>
        <v/>
      </c>
      <c r="B330" s="30">
        <v>1677.0</v>
      </c>
      <c r="C330" s="16" t="s">
        <v>2250</v>
      </c>
      <c r="D330" s="16" t="s">
        <v>184</v>
      </c>
      <c r="E330" s="16" t="s">
        <v>234</v>
      </c>
      <c r="F330" s="16" t="s">
        <v>222</v>
      </c>
      <c r="G330" s="16" t="s">
        <v>235</v>
      </c>
      <c r="H330" s="16" t="s">
        <v>236</v>
      </c>
    </row>
    <row r="331" ht="330.75" customHeight="1">
      <c r="A331" s="32" t="str">
        <f>IMAGE("https://gymvisual.com/5976-catalog_default/dumbbell-one-arm-decline-chest-press.jpg",4,500,500)</f>
        <v/>
      </c>
      <c r="B331" s="30">
        <v>1676.0</v>
      </c>
      <c r="C331" s="16" t="s">
        <v>2249</v>
      </c>
      <c r="D331" s="16" t="s">
        <v>184</v>
      </c>
      <c r="E331" s="16" t="s">
        <v>234</v>
      </c>
      <c r="F331" s="16" t="s">
        <v>222</v>
      </c>
      <c r="G331" s="16" t="s">
        <v>347</v>
      </c>
      <c r="H331" s="16" t="s">
        <v>382</v>
      </c>
    </row>
    <row r="332" ht="330.75" customHeight="1">
      <c r="A332" s="32" t="str">
        <f>IMAGE("https://gymvisual.com/11321-catalog_default/dumbbell-one-arm-concetration-curl-on-stability-ball-female.jpg",4,500,500)</f>
        <v/>
      </c>
      <c r="B332" s="30">
        <v>1675.0</v>
      </c>
      <c r="C332" s="16" t="s">
        <v>2248</v>
      </c>
      <c r="D332" s="16" t="s">
        <v>184</v>
      </c>
      <c r="E332" s="16" t="s">
        <v>219</v>
      </c>
      <c r="F332" s="16" t="s">
        <v>1929</v>
      </c>
      <c r="G332" s="16" t="s">
        <v>220</v>
      </c>
      <c r="H332" s="16" t="s">
        <v>220</v>
      </c>
    </row>
    <row r="333" ht="330.75" customHeight="1">
      <c r="A333" s="32" t="str">
        <f>IMAGE("https://gymvisual.com/1078-catalog_default/3-4-sit-up.jpg",4,500,500)</f>
        <v/>
      </c>
      <c r="B333" s="30">
        <v>1674.0</v>
      </c>
      <c r="C333" s="16" t="s">
        <v>2247</v>
      </c>
      <c r="D333" s="16" t="s">
        <v>184</v>
      </c>
      <c r="E333" s="16" t="s">
        <v>219</v>
      </c>
      <c r="F333" s="16" t="s">
        <v>222</v>
      </c>
      <c r="G333" s="16" t="s">
        <v>232</v>
      </c>
      <c r="H333" s="16" t="s">
        <v>233</v>
      </c>
    </row>
    <row r="334" ht="330.75" customHeight="1">
      <c r="A334" s="32" t="str">
        <f>IMAGE("https://gymvisual.com/5975-catalog_default/dumbbell-one-arm-chest-fly-on-exercise-ball.jpg",4,500,500)</f>
        <v/>
      </c>
      <c r="B334" s="30">
        <v>1673.0</v>
      </c>
      <c r="C334" s="16" t="s">
        <v>2246</v>
      </c>
      <c r="D334" s="16" t="s">
        <v>184</v>
      </c>
      <c r="E334" s="16" t="s">
        <v>234</v>
      </c>
      <c r="F334" s="16" t="s">
        <v>222</v>
      </c>
      <c r="G334" s="16" t="s">
        <v>347</v>
      </c>
      <c r="H334" s="16" t="s">
        <v>420</v>
      </c>
    </row>
    <row r="335" ht="330.75" customHeight="1">
      <c r="A335" s="32" t="str">
        <f>IMAGE("https://gymvisual.com/15647-catalog_default/dumbbell-one-arm-bent-over-row.jpg",4,500,500)</f>
        <v/>
      </c>
      <c r="B335" s="30">
        <v>1672.0</v>
      </c>
      <c r="C335" s="16" t="s">
        <v>2245</v>
      </c>
      <c r="D335" s="16" t="s">
        <v>184</v>
      </c>
      <c r="E335" s="16" t="s">
        <v>192</v>
      </c>
      <c r="F335" s="16" t="s">
        <v>222</v>
      </c>
      <c r="G335" s="16" t="s">
        <v>329</v>
      </c>
      <c r="H335" s="16" t="s">
        <v>457</v>
      </c>
    </row>
    <row r="336" ht="330.75" customHeight="1">
      <c r="A336" s="32" t="str">
        <f>IMAGE("https://gymvisual.com/10371-catalog_default/dumbbell-one-arm-bent-over-row-female.jpg",4,500,500)</f>
        <v/>
      </c>
      <c r="B336" s="30">
        <v>1671.0</v>
      </c>
      <c r="C336" s="16" t="s">
        <v>2243</v>
      </c>
      <c r="D336" s="16" t="s">
        <v>184</v>
      </c>
      <c r="E336" s="16" t="s">
        <v>228</v>
      </c>
      <c r="F336" s="16" t="s">
        <v>222</v>
      </c>
      <c r="G336" s="16" t="s">
        <v>408</v>
      </c>
      <c r="H336" s="16" t="s">
        <v>2244</v>
      </c>
    </row>
    <row r="337" ht="330.75" customHeight="1">
      <c r="A337" s="32" t="str">
        <f>IMAGE("https://gymvisual.com/5974-catalog_default/dumbbell-one-arm-bench-fly.jpg",4,500,500)</f>
        <v/>
      </c>
      <c r="B337" s="30">
        <v>1670.0</v>
      </c>
      <c r="C337" s="16" t="s">
        <v>2242</v>
      </c>
      <c r="D337" s="16" t="s">
        <v>184</v>
      </c>
      <c r="E337" s="16" t="s">
        <v>234</v>
      </c>
      <c r="F337" s="16" t="s">
        <v>222</v>
      </c>
      <c r="G337" s="16" t="s">
        <v>347</v>
      </c>
      <c r="H337" s="16" t="s">
        <v>420</v>
      </c>
    </row>
    <row r="338" ht="330.75" customHeight="1">
      <c r="A338" s="32" t="str">
        <f>IMAGE("https://gymvisual.com/1075-catalog_default/3-4-sit-up.jpg",4,500,500)</f>
        <v/>
      </c>
      <c r="B338" s="30">
        <v>1669.0</v>
      </c>
      <c r="C338" s="16" t="s">
        <v>2241</v>
      </c>
      <c r="D338" s="16" t="s">
        <v>184</v>
      </c>
      <c r="E338" s="16" t="s">
        <v>219</v>
      </c>
      <c r="F338" s="16" t="s">
        <v>222</v>
      </c>
      <c r="G338" s="16" t="s">
        <v>223</v>
      </c>
      <c r="H338" s="16" t="s">
        <v>220</v>
      </c>
    </row>
    <row r="339" ht="330.75" customHeight="1">
      <c r="A339" s="32" t="str">
        <f>IMAGE("https://gymvisual.com/24830-catalog_default/dumbbell-narrow-stance-squat-male.jpg",4,500,500)</f>
        <v/>
      </c>
      <c r="B339" s="30">
        <v>1668.0</v>
      </c>
      <c r="C339" s="16" t="s">
        <v>2240</v>
      </c>
      <c r="D339" s="16" t="s">
        <v>184</v>
      </c>
      <c r="E339" s="16" t="s">
        <v>285</v>
      </c>
      <c r="F339" s="16" t="s">
        <v>222</v>
      </c>
      <c r="G339" s="16" t="s">
        <v>552</v>
      </c>
      <c r="H339" s="16" t="s">
        <v>553</v>
      </c>
    </row>
    <row r="340" ht="330.75" customHeight="1">
      <c r="A340" s="32" t="str">
        <f>IMAGE("https://gymvisual.com/22243-catalog_default/dumbbell-lying-woodchop.jpg",4,500,500)</f>
        <v/>
      </c>
      <c r="B340" s="30">
        <v>1667.0</v>
      </c>
      <c r="C340" s="16" t="s">
        <v>2239</v>
      </c>
      <c r="D340" s="16" t="s">
        <v>184</v>
      </c>
      <c r="E340" s="16" t="s">
        <v>254</v>
      </c>
      <c r="F340" s="16" t="s">
        <v>222</v>
      </c>
      <c r="G340" s="16" t="s">
        <v>220</v>
      </c>
      <c r="H340" s="16" t="s">
        <v>220</v>
      </c>
    </row>
    <row r="341" ht="330.75" customHeight="1">
      <c r="A341" s="32" t="str">
        <f>IMAGE("https://gymvisual.com/18965-catalog_default/dumbbell-lying-wide-grip-row-on-rack.jpg",4,500,500)</f>
        <v/>
      </c>
      <c r="B341" s="30">
        <v>1666.0</v>
      </c>
      <c r="C341" s="16" t="s">
        <v>2238</v>
      </c>
      <c r="D341" s="16" t="s">
        <v>184</v>
      </c>
      <c r="E341" s="16" t="s">
        <v>192</v>
      </c>
      <c r="F341" s="16" t="s">
        <v>222</v>
      </c>
      <c r="G341" s="16" t="s">
        <v>329</v>
      </c>
      <c r="H341" s="16" t="s">
        <v>447</v>
      </c>
    </row>
    <row r="342" ht="330.75" customHeight="1">
      <c r="A342" s="32" t="str">
        <f>IMAGE("https://gymvisual.com/7136-catalog_default/dumbbell-lying-wide-curl.jpg",4,500,500)</f>
        <v/>
      </c>
      <c r="B342" s="30">
        <v>1665.0</v>
      </c>
      <c r="C342" s="16" t="s">
        <v>2237</v>
      </c>
      <c r="D342" s="16" t="s">
        <v>184</v>
      </c>
      <c r="E342" s="16" t="s">
        <v>219</v>
      </c>
      <c r="F342" s="16" t="s">
        <v>222</v>
      </c>
      <c r="G342" s="16" t="s">
        <v>220</v>
      </c>
      <c r="H342" s="16" t="s">
        <v>220</v>
      </c>
    </row>
    <row r="343" ht="330.75" customHeight="1">
      <c r="A343" s="32" t="str">
        <f>IMAGE("https://gymvisual.com/10922-catalog_default/dumbbell-lying-triceps-extension-on-floor-female.jpg",4,500,500)</f>
        <v/>
      </c>
      <c r="B343" s="30">
        <v>1664.0</v>
      </c>
      <c r="C343" s="16" t="s">
        <v>2236</v>
      </c>
      <c r="D343" s="16" t="s">
        <v>184</v>
      </c>
      <c r="E343" s="16" t="s">
        <v>219</v>
      </c>
      <c r="F343" s="16" t="s">
        <v>222</v>
      </c>
      <c r="G343" s="16" t="s">
        <v>223</v>
      </c>
      <c r="H343" s="16" t="s">
        <v>220</v>
      </c>
    </row>
    <row r="344" ht="330.75" customHeight="1">
      <c r="A344" s="32" t="str">
        <f>IMAGE("https://gymvisual.com/11318-catalog_default/dumbbell-lying-triceps-extension-female.jpg",4,500,500)</f>
        <v/>
      </c>
      <c r="B344" s="30">
        <v>1663.0</v>
      </c>
      <c r="C344" s="16" t="s">
        <v>2235</v>
      </c>
      <c r="D344" s="16" t="s">
        <v>184</v>
      </c>
      <c r="E344" s="16" t="s">
        <v>219</v>
      </c>
      <c r="F344" s="16" t="s">
        <v>222</v>
      </c>
      <c r="G344" s="16" t="s">
        <v>223</v>
      </c>
      <c r="H344" s="16" t="s">
        <v>220</v>
      </c>
    </row>
    <row r="345" ht="330.75" customHeight="1">
      <c r="A345" s="32" t="str">
        <f>IMAGE("https://gymvisual.com/9667-catalog_default/dumbbell-lying-triceps-extension-female.jpg",4,500,500)</f>
        <v/>
      </c>
      <c r="B345" s="30">
        <v>1662.0</v>
      </c>
      <c r="C345" s="16" t="s">
        <v>2235</v>
      </c>
      <c r="D345" s="16" t="s">
        <v>184</v>
      </c>
      <c r="E345" s="16" t="s">
        <v>219</v>
      </c>
      <c r="F345" s="16" t="s">
        <v>222</v>
      </c>
      <c r="G345" s="16" t="s">
        <v>223</v>
      </c>
      <c r="H345" s="16" t="s">
        <v>220</v>
      </c>
    </row>
    <row r="346" ht="330.75" customHeight="1">
      <c r="A346" s="32" t="str">
        <f>IMAGE("https://gymvisual.com/20626-catalog_default/3-4-sit-up.jpg",4,500,500)</f>
        <v/>
      </c>
      <c r="B346" s="30">
        <v>1661.0</v>
      </c>
      <c r="C346" s="16" t="s">
        <v>2234</v>
      </c>
      <c r="D346" s="16" t="s">
        <v>184</v>
      </c>
      <c r="E346" s="16" t="s">
        <v>219</v>
      </c>
      <c r="F346" s="16" t="s">
        <v>222</v>
      </c>
      <c r="G346" s="16" t="s">
        <v>223</v>
      </c>
      <c r="H346" s="16" t="s">
        <v>220</v>
      </c>
    </row>
    <row r="347" ht="330.75" customHeight="1">
      <c r="A347" s="32" t="str">
        <f>IMAGE("https://gymvisual.com/14268-catalog_default/dumbbell-lying-supine-curl-female.jpg",4,500,500)</f>
        <v/>
      </c>
      <c r="B347" s="30">
        <v>1660.0</v>
      </c>
      <c r="C347" s="16" t="s">
        <v>2233</v>
      </c>
      <c r="D347" s="16" t="s">
        <v>184</v>
      </c>
      <c r="E347" s="16" t="s">
        <v>214</v>
      </c>
      <c r="F347" s="16" t="s">
        <v>222</v>
      </c>
      <c r="G347" s="16" t="s">
        <v>216</v>
      </c>
      <c r="H347" s="16" t="s">
        <v>2003</v>
      </c>
    </row>
    <row r="348" ht="330.75" customHeight="1">
      <c r="A348" s="32" t="str">
        <f>IMAGE("https://gymvisual.com/1069-catalog_default/3-4-sit-up.jpg",4,500,500)</f>
        <v/>
      </c>
      <c r="B348" s="30">
        <v>1659.0</v>
      </c>
      <c r="C348" s="16" t="s">
        <v>2232</v>
      </c>
      <c r="D348" s="16" t="s">
        <v>184</v>
      </c>
      <c r="E348" s="16" t="s">
        <v>214</v>
      </c>
      <c r="F348" s="16" t="s">
        <v>222</v>
      </c>
      <c r="G348" s="16" t="s">
        <v>216</v>
      </c>
      <c r="H348" s="16" t="s">
        <v>2003</v>
      </c>
    </row>
    <row r="349" ht="330.75" customHeight="1">
      <c r="A349" s="32" t="str">
        <f>IMAGE("https://gymvisual.com/7135-catalog_default/dumbbell-lying-supine-biceps-curl.jpg",4,500,500)</f>
        <v/>
      </c>
      <c r="B349" s="30">
        <v>1658.0</v>
      </c>
      <c r="C349" s="16" t="s">
        <v>2231</v>
      </c>
      <c r="D349" s="16" t="s">
        <v>184</v>
      </c>
      <c r="E349" s="16" t="s">
        <v>219</v>
      </c>
      <c r="F349" s="16" t="s">
        <v>222</v>
      </c>
      <c r="G349" s="16" t="s">
        <v>220</v>
      </c>
      <c r="H349" s="16" t="s">
        <v>220</v>
      </c>
    </row>
    <row r="350" ht="330.75" customHeight="1">
      <c r="A350" s="32" t="str">
        <f>IMAGE("https://gymvisual.com/10807-catalog_default/dumbbell-lying-supination-on-floor.jpg",4,500,500)</f>
        <v/>
      </c>
      <c r="B350" s="30">
        <v>1657.0</v>
      </c>
      <c r="C350" s="16" t="s">
        <v>2230</v>
      </c>
      <c r="D350" s="16" t="s">
        <v>184</v>
      </c>
      <c r="E350" s="16" t="s">
        <v>214</v>
      </c>
      <c r="F350" s="16" t="s">
        <v>222</v>
      </c>
      <c r="G350" s="16" t="s">
        <v>220</v>
      </c>
      <c r="H350" s="16" t="s">
        <v>220</v>
      </c>
    </row>
    <row r="351" ht="330.75" customHeight="1">
      <c r="A351" s="32" t="str">
        <f>IMAGE("https://gymvisual.com/19337-catalog_default/3-4-sit-up.jpg",4,500,500)</f>
        <v/>
      </c>
      <c r="B351" s="30">
        <v>1656.0</v>
      </c>
      <c r="C351" s="16" t="s">
        <v>2229</v>
      </c>
      <c r="D351" s="16" t="s">
        <v>184</v>
      </c>
      <c r="E351" s="16" t="s">
        <v>214</v>
      </c>
      <c r="F351" s="16" t="s">
        <v>222</v>
      </c>
      <c r="G351" s="16" t="s">
        <v>220</v>
      </c>
      <c r="H351" s="16" t="s">
        <v>220</v>
      </c>
    </row>
    <row r="352" ht="330.75" customHeight="1">
      <c r="A352" s="32" t="str">
        <f>IMAGE("https://gymvisual.com/13429-catalog_default/dumbbell-lying-single-extension-female.jpg",4,500,500)</f>
        <v/>
      </c>
      <c r="B352" s="30">
        <v>1655.0</v>
      </c>
      <c r="C352" s="16" t="s">
        <v>2228</v>
      </c>
      <c r="D352" s="16" t="s">
        <v>184</v>
      </c>
      <c r="E352" s="16" t="s">
        <v>219</v>
      </c>
      <c r="F352" s="16" t="s">
        <v>222</v>
      </c>
      <c r="G352" s="16" t="s">
        <v>220</v>
      </c>
      <c r="H352" s="16" t="s">
        <v>220</v>
      </c>
    </row>
    <row r="353" ht="330.75" customHeight="1">
      <c r="A353" s="32" t="str">
        <f>IMAGE("https://gymvisual.com/7454-catalog_default/dumbbell-lying-single-extension.jpg",4,500,500)</f>
        <v/>
      </c>
      <c r="B353" s="30">
        <v>1654.0</v>
      </c>
      <c r="C353" s="16" t="s">
        <v>2227</v>
      </c>
      <c r="D353" s="16" t="s">
        <v>184</v>
      </c>
      <c r="E353" s="16" t="s">
        <v>219</v>
      </c>
      <c r="F353" s="16" t="s">
        <v>222</v>
      </c>
      <c r="G353" s="16" t="s">
        <v>223</v>
      </c>
      <c r="H353" s="16" t="s">
        <v>220</v>
      </c>
    </row>
    <row r="354" ht="330.75" customHeight="1">
      <c r="A354" s="32" t="str">
        <f>IMAGE("https://gymvisual.com/25065-catalog_default/dumbbell-lying-row-on-rack.jpg",4,500,500)</f>
        <v/>
      </c>
      <c r="B354" s="30">
        <v>1653.0</v>
      </c>
      <c r="C354" s="16" t="s">
        <v>2226</v>
      </c>
      <c r="D354" s="16" t="s">
        <v>184</v>
      </c>
      <c r="E354" s="16" t="s">
        <v>192</v>
      </c>
      <c r="F354" s="16" t="s">
        <v>222</v>
      </c>
      <c r="G354" s="16" t="s">
        <v>220</v>
      </c>
      <c r="H354" s="16" t="s">
        <v>220</v>
      </c>
    </row>
    <row r="355" ht="330.75" customHeight="1">
      <c r="A355" s="32" t="str">
        <f>IMAGE("https://gymvisual.com/1063-catalog_default/3-4-sit-up.jpg",4,500,500)</f>
        <v/>
      </c>
      <c r="B355" s="30">
        <v>1652.0</v>
      </c>
      <c r="C355" s="16" t="s">
        <v>2225</v>
      </c>
      <c r="D355" s="16" t="s">
        <v>184</v>
      </c>
      <c r="E355" s="16" t="s">
        <v>228</v>
      </c>
      <c r="F355" s="16" t="s">
        <v>222</v>
      </c>
      <c r="G355" s="16" t="s">
        <v>408</v>
      </c>
      <c r="H355" s="16" t="s">
        <v>452</v>
      </c>
    </row>
    <row r="356" ht="330.75" customHeight="1">
      <c r="A356" s="32" t="str">
        <f>IMAGE("https://gymvisual.com/11384-catalog_default/dumbbell-lying-rear-delt-row-female.jpg",4,500,500)</f>
        <v/>
      </c>
      <c r="B356" s="30">
        <v>1651.0</v>
      </c>
      <c r="C356" s="16" t="s">
        <v>2224</v>
      </c>
      <c r="D356" s="16" t="s">
        <v>184</v>
      </c>
      <c r="E356" s="16" t="s">
        <v>192</v>
      </c>
      <c r="F356" s="16" t="s">
        <v>222</v>
      </c>
      <c r="G356" s="16" t="s">
        <v>220</v>
      </c>
      <c r="H356" s="16" t="s">
        <v>220</v>
      </c>
    </row>
    <row r="357" ht="330.75" customHeight="1">
      <c r="A357" s="32" t="str">
        <f>IMAGE("https://gymvisual.com/6019-catalog_default/dumbbell-lying-rear-delt-row.jpg",4,500,500)</f>
        <v/>
      </c>
      <c r="B357" s="30">
        <v>1650.0</v>
      </c>
      <c r="C357" s="16" t="s">
        <v>2223</v>
      </c>
      <c r="D357" s="16" t="s">
        <v>184</v>
      </c>
      <c r="E357" s="16" t="s">
        <v>192</v>
      </c>
      <c r="F357" s="16" t="s">
        <v>222</v>
      </c>
      <c r="G357" s="16" t="s">
        <v>329</v>
      </c>
      <c r="H357" s="16" t="s">
        <v>457</v>
      </c>
    </row>
    <row r="358" ht="330.75" customHeight="1">
      <c r="A358" s="32" t="str">
        <f>IMAGE("https://gymvisual.com/5973-catalog_default/dumbbell-lying-pullover-on-exercise-ball.jpg",4,500,500)</f>
        <v/>
      </c>
      <c r="B358" s="30">
        <v>1649.0</v>
      </c>
      <c r="C358" s="16" t="s">
        <v>2221</v>
      </c>
      <c r="D358" s="16" t="s">
        <v>184</v>
      </c>
      <c r="E358" s="16" t="s">
        <v>234</v>
      </c>
      <c r="F358" s="16" t="s">
        <v>222</v>
      </c>
      <c r="G358" s="16" t="s">
        <v>347</v>
      </c>
      <c r="H358" s="16" t="s">
        <v>2222</v>
      </c>
    </row>
    <row r="359" ht="330.75" customHeight="1">
      <c r="A359" s="32" t="str">
        <f>IMAGE("https://gymvisual.com/10804-catalog_default/dumbbell-lying-pronation-on-floor.jpg",4,500,500)</f>
        <v/>
      </c>
      <c r="B359" s="30">
        <v>1648.0</v>
      </c>
      <c r="C359" s="16" t="s">
        <v>2220</v>
      </c>
      <c r="D359" s="16" t="s">
        <v>184</v>
      </c>
      <c r="E359" s="16" t="s">
        <v>214</v>
      </c>
      <c r="F359" s="16" t="s">
        <v>222</v>
      </c>
      <c r="G359" s="16" t="s">
        <v>220</v>
      </c>
      <c r="H359" s="16" t="s">
        <v>220</v>
      </c>
    </row>
    <row r="360" ht="330.75" customHeight="1">
      <c r="A360" s="32" t="str">
        <f>IMAGE("https://gymvisual.com/1060-catalog_default/3-4-sit-up.jpg",4,500,500)</f>
        <v/>
      </c>
      <c r="B360" s="30">
        <v>1647.0</v>
      </c>
      <c r="C360" s="16" t="s">
        <v>2219</v>
      </c>
      <c r="D360" s="16" t="s">
        <v>184</v>
      </c>
      <c r="E360" s="16" t="s">
        <v>214</v>
      </c>
      <c r="F360" s="16" t="s">
        <v>222</v>
      </c>
      <c r="G360" s="16" t="s">
        <v>720</v>
      </c>
      <c r="H360" s="16" t="s">
        <v>220</v>
      </c>
    </row>
    <row r="361" ht="330.75" customHeight="1">
      <c r="A361" s="32" t="str">
        <f>IMAGE("https://gymvisual.com/10760-catalog_default/dumbbell-lying-one-arm-supinated-triceps-extension-female.jpg",4,500,500)</f>
        <v/>
      </c>
      <c r="B361" s="30">
        <v>1646.0</v>
      </c>
      <c r="C361" s="16" t="s">
        <v>2218</v>
      </c>
      <c r="D361" s="16" t="s">
        <v>184</v>
      </c>
      <c r="E361" s="16" t="s">
        <v>219</v>
      </c>
      <c r="F361" s="16" t="s">
        <v>222</v>
      </c>
      <c r="G361" s="16" t="s">
        <v>223</v>
      </c>
      <c r="H361" s="16" t="s">
        <v>220</v>
      </c>
    </row>
    <row r="362" ht="330.75" customHeight="1">
      <c r="A362" s="32" t="str">
        <f>IMAGE("https://gymvisual.com/1057-catalog_default/3-4-sit-up.jpg",4,500,500)</f>
        <v/>
      </c>
      <c r="B362" s="30">
        <v>1645.0</v>
      </c>
      <c r="C362" s="16" t="s">
        <v>2217</v>
      </c>
      <c r="D362" s="16" t="s">
        <v>184</v>
      </c>
      <c r="E362" s="16" t="s">
        <v>219</v>
      </c>
      <c r="F362" s="16" t="s">
        <v>222</v>
      </c>
      <c r="G362" s="16" t="s">
        <v>223</v>
      </c>
      <c r="H362" s="16" t="s">
        <v>220</v>
      </c>
    </row>
    <row r="363" ht="330.75" customHeight="1">
      <c r="A363" s="32" t="str">
        <f>IMAGE("https://gymvisual.com/2959-catalog_default/dumbbell-lying-one-arm-rear-lateral-raise.jpg",4,500,500)</f>
        <v/>
      </c>
      <c r="B363" s="30">
        <v>1644.0</v>
      </c>
      <c r="C363" s="16" t="s">
        <v>2216</v>
      </c>
      <c r="D363" s="16" t="s">
        <v>184</v>
      </c>
      <c r="E363" s="16" t="s">
        <v>228</v>
      </c>
      <c r="F363" s="16" t="s">
        <v>222</v>
      </c>
      <c r="G363" s="16" t="s">
        <v>408</v>
      </c>
      <c r="H363" s="16" t="s">
        <v>452</v>
      </c>
    </row>
    <row r="364" ht="330.75" customHeight="1">
      <c r="A364" s="32" t="str">
        <f>IMAGE("https://gymvisual.com/1054-catalog_default/3-4-sit-up.jpg",4,500,500)</f>
        <v/>
      </c>
      <c r="B364" s="30">
        <v>1643.0</v>
      </c>
      <c r="C364" s="16" t="s">
        <v>2216</v>
      </c>
      <c r="D364" s="16" t="s">
        <v>184</v>
      </c>
      <c r="E364" s="16" t="s">
        <v>228</v>
      </c>
      <c r="F364" s="16" t="s">
        <v>222</v>
      </c>
      <c r="G364" s="16" t="s">
        <v>408</v>
      </c>
      <c r="H364" s="16" t="s">
        <v>452</v>
      </c>
    </row>
    <row r="365" ht="330.75" customHeight="1">
      <c r="A365" s="32" t="str">
        <f>IMAGE("https://gymvisual.com/11315-catalog_default/dumbbell-lying-one-arm-pronated-triceps-extension-female.jpg",4,500,500)</f>
        <v/>
      </c>
      <c r="B365" s="30">
        <v>1642.0</v>
      </c>
      <c r="C365" s="16" t="s">
        <v>2215</v>
      </c>
      <c r="D365" s="16" t="s">
        <v>184</v>
      </c>
      <c r="E365" s="16" t="s">
        <v>219</v>
      </c>
      <c r="F365" s="16" t="s">
        <v>222</v>
      </c>
      <c r="G365" s="16" t="s">
        <v>220</v>
      </c>
      <c r="H365" s="16" t="s">
        <v>220</v>
      </c>
    </row>
    <row r="366" ht="330.75" customHeight="1">
      <c r="A366" s="32" t="str">
        <f>IMAGE("https://gymvisual.com/1051-catalog_default/3-4-sit-up.jpg",4,500,500)</f>
        <v/>
      </c>
      <c r="B366" s="30">
        <v>1641.0</v>
      </c>
      <c r="C366" s="16" t="s">
        <v>2214</v>
      </c>
      <c r="D366" s="16" t="s">
        <v>184</v>
      </c>
      <c r="E366" s="16" t="s">
        <v>219</v>
      </c>
      <c r="F366" s="16" t="s">
        <v>222</v>
      </c>
      <c r="G366" s="16" t="s">
        <v>223</v>
      </c>
      <c r="H366" s="16" t="s">
        <v>220</v>
      </c>
    </row>
    <row r="367" ht="330.75" customHeight="1">
      <c r="A367" s="32" t="str">
        <f>IMAGE("https://gymvisual.com/1045-catalog_default/3-4-sit-up.jpg",4,500,500)</f>
        <v/>
      </c>
      <c r="B367" s="30">
        <v>1640.0</v>
      </c>
      <c r="C367" s="16" t="s">
        <v>2213</v>
      </c>
      <c r="D367" s="16" t="s">
        <v>184</v>
      </c>
      <c r="E367" s="16" t="s">
        <v>234</v>
      </c>
      <c r="F367" s="16" t="s">
        <v>222</v>
      </c>
      <c r="G367" s="16" t="s">
        <v>235</v>
      </c>
      <c r="H367" s="16" t="s">
        <v>243</v>
      </c>
    </row>
    <row r="368" ht="330.75" customHeight="1">
      <c r="A368" s="32" t="str">
        <f>IMAGE("https://gymvisual.com/11537-catalog_default/dumbbell-lying-one-arm-press-female.jpg",4,500,500)</f>
        <v/>
      </c>
      <c r="B368" s="30">
        <v>1639.0</v>
      </c>
      <c r="C368" s="16" t="s">
        <v>2212</v>
      </c>
      <c r="D368" s="16" t="s">
        <v>184</v>
      </c>
      <c r="E368" s="16" t="s">
        <v>234</v>
      </c>
      <c r="F368" s="16" t="s">
        <v>222</v>
      </c>
      <c r="G368" s="16" t="s">
        <v>220</v>
      </c>
      <c r="H368" s="16" t="s">
        <v>220</v>
      </c>
    </row>
    <row r="369" ht="330.75" customHeight="1">
      <c r="A369" s="32" t="str">
        <f>IMAGE("https://gymvisual.com/1048-catalog_default/3-4-sit-up.jpg",4,500,500)</f>
        <v/>
      </c>
      <c r="B369" s="30">
        <v>1638.0</v>
      </c>
      <c r="C369" s="16" t="s">
        <v>2211</v>
      </c>
      <c r="D369" s="16" t="s">
        <v>184</v>
      </c>
      <c r="E369" s="16" t="s">
        <v>234</v>
      </c>
      <c r="F369" s="16" t="s">
        <v>222</v>
      </c>
      <c r="G369" s="16" t="s">
        <v>235</v>
      </c>
      <c r="H369" s="16" t="s">
        <v>243</v>
      </c>
    </row>
    <row r="370" ht="330.75" customHeight="1">
      <c r="A370" s="32" t="str">
        <f>IMAGE("https://gymvisual.com/1042-catalog_default/3-4-sit-up.jpg",4,500,500)</f>
        <v/>
      </c>
      <c r="B370" s="30">
        <v>1637.0</v>
      </c>
      <c r="C370" s="16" t="s">
        <v>2210</v>
      </c>
      <c r="D370" s="16" t="s">
        <v>184</v>
      </c>
      <c r="E370" s="16" t="s">
        <v>228</v>
      </c>
      <c r="F370" s="16" t="s">
        <v>222</v>
      </c>
      <c r="G370" s="16" t="s">
        <v>408</v>
      </c>
      <c r="H370" s="16" t="s">
        <v>731</v>
      </c>
    </row>
    <row r="371" ht="330.75" customHeight="1">
      <c r="A371" s="32" t="str">
        <f>IMAGE("https://gymvisual.com/10614-catalog_default/dumbbell-lying-on-floor-rear-delt-raise.jpg",4,500,500)</f>
        <v/>
      </c>
      <c r="B371" s="30">
        <v>1636.0</v>
      </c>
      <c r="C371" s="16" t="s">
        <v>2209</v>
      </c>
      <c r="D371" s="16" t="s">
        <v>184</v>
      </c>
      <c r="E371" s="16" t="s">
        <v>228</v>
      </c>
      <c r="F371" s="16" t="s">
        <v>222</v>
      </c>
      <c r="G371" s="16" t="s">
        <v>408</v>
      </c>
      <c r="H371" s="16" t="s">
        <v>452</v>
      </c>
    </row>
    <row r="372" ht="330.75" customHeight="1">
      <c r="A372" s="32" t="str">
        <f>IMAGE("https://gymvisual.com/13886-catalog_default/dumbbell-lying-on-floor-hammer-press-female.jpg",4,500,500)</f>
        <v/>
      </c>
      <c r="B372" s="30">
        <v>1635.0</v>
      </c>
      <c r="C372" s="16" t="s">
        <v>2208</v>
      </c>
      <c r="D372" s="16" t="s">
        <v>184</v>
      </c>
      <c r="E372" s="16" t="s">
        <v>234</v>
      </c>
      <c r="F372" s="16" t="s">
        <v>222</v>
      </c>
      <c r="G372" s="16" t="s">
        <v>220</v>
      </c>
      <c r="H372" s="16" t="s">
        <v>220</v>
      </c>
    </row>
    <row r="373" ht="330.75" customHeight="1">
      <c r="A373" s="32" t="str">
        <f>IMAGE("https://gymvisual.com/13207-catalog_default/dumbbell-lying-on-floor-hammer-press.jpg",4,500,500)</f>
        <v/>
      </c>
      <c r="B373" s="30">
        <v>1634.0</v>
      </c>
      <c r="C373" s="16" t="s">
        <v>2207</v>
      </c>
      <c r="D373" s="16" t="s">
        <v>184</v>
      </c>
      <c r="E373" s="16" t="s">
        <v>234</v>
      </c>
      <c r="F373" s="16" t="s">
        <v>222</v>
      </c>
      <c r="G373" s="16" t="s">
        <v>235</v>
      </c>
      <c r="H373" s="16" t="s">
        <v>243</v>
      </c>
    </row>
    <row r="374" ht="330.75" customHeight="1">
      <c r="A374" s="32" t="str">
        <f>IMAGE("https://gymvisual.com/14580-catalog_default/dumbbell-lying-on-floor-chest-press.jpg",4,500,500)</f>
        <v/>
      </c>
      <c r="B374" s="30">
        <v>1633.0</v>
      </c>
      <c r="C374" s="16" t="s">
        <v>2206</v>
      </c>
      <c r="D374" s="16" t="s">
        <v>184</v>
      </c>
      <c r="E374" s="16" t="s">
        <v>234</v>
      </c>
      <c r="F374" s="16" t="s">
        <v>222</v>
      </c>
      <c r="G374" s="16" t="s">
        <v>235</v>
      </c>
      <c r="H374" s="16" t="s">
        <v>243</v>
      </c>
    </row>
    <row r="375" ht="330.75" customHeight="1">
      <c r="A375" s="32" t="str">
        <f>IMAGE("https://gymvisual.com/22149-catalog_default/dumbbell-lying-hamstring-curl.jpg",4,500,500)</f>
        <v/>
      </c>
      <c r="B375" s="30">
        <v>1632.0</v>
      </c>
      <c r="C375" s="16" t="s">
        <v>2205</v>
      </c>
      <c r="D375" s="16" t="s">
        <v>184</v>
      </c>
      <c r="E375" s="16" t="s">
        <v>285</v>
      </c>
      <c r="F375" s="16" t="s">
        <v>222</v>
      </c>
      <c r="G375" s="16" t="s">
        <v>188</v>
      </c>
      <c r="H375" s="16" t="s">
        <v>368</v>
      </c>
    </row>
    <row r="376" ht="330.75" customHeight="1">
      <c r="A376" s="32" t="str">
        <f>IMAGE("https://gymvisual.com/4431-catalog_default/dumbbell-lying-hammer-press-version-2.jpg",4,500,500)</f>
        <v/>
      </c>
      <c r="B376" s="30">
        <v>1631.0</v>
      </c>
      <c r="C376" s="16" t="s">
        <v>2204</v>
      </c>
      <c r="D376" s="16" t="s">
        <v>184</v>
      </c>
      <c r="E376" s="16" t="s">
        <v>234</v>
      </c>
      <c r="F376" s="16" t="s">
        <v>222</v>
      </c>
      <c r="G376" s="16" t="s">
        <v>347</v>
      </c>
      <c r="H376" s="16" t="s">
        <v>1884</v>
      </c>
    </row>
    <row r="377" ht="330.75" customHeight="1">
      <c r="A377" s="32" t="str">
        <f>IMAGE("https://gymvisual.com/11029-catalog_default/dumbbell-lying-hammer-press-female.jpg",4,500,500)</f>
        <v/>
      </c>
      <c r="B377" s="30">
        <v>1630.0</v>
      </c>
      <c r="C377" s="16" t="s">
        <v>2203</v>
      </c>
      <c r="D377" s="16" t="s">
        <v>184</v>
      </c>
      <c r="E377" s="16" t="s">
        <v>234</v>
      </c>
      <c r="F377" s="16" t="s">
        <v>222</v>
      </c>
      <c r="G377" s="16" t="s">
        <v>223</v>
      </c>
      <c r="H377" s="16" t="s">
        <v>472</v>
      </c>
    </row>
    <row r="378" ht="330.75" customHeight="1">
      <c r="A378" s="32" t="str">
        <f>IMAGE("https://gymvisual.com/1039-catalog_default/3-4-sit-up.jpg",4,500,500)</f>
        <v/>
      </c>
      <c r="B378" s="30">
        <v>1629.0</v>
      </c>
      <c r="C378" s="16" t="s">
        <v>2202</v>
      </c>
      <c r="D378" s="16" t="s">
        <v>184</v>
      </c>
      <c r="E378" s="16" t="s">
        <v>234</v>
      </c>
      <c r="F378" s="16" t="s">
        <v>222</v>
      </c>
      <c r="G378" s="16" t="s">
        <v>235</v>
      </c>
      <c r="H378" s="16" t="s">
        <v>243</v>
      </c>
    </row>
    <row r="379" ht="330.75" customHeight="1">
      <c r="A379" s="32" t="str">
        <f>IMAGE("https://gymvisual.com/18714-catalog_default/dumbbell-lying-floor-skull-crusher.jpg",4,500,500)</f>
        <v/>
      </c>
      <c r="B379" s="30">
        <v>1628.0</v>
      </c>
      <c r="C379" s="16" t="s">
        <v>2201</v>
      </c>
      <c r="D379" s="16" t="s">
        <v>184</v>
      </c>
      <c r="E379" s="16" t="s">
        <v>219</v>
      </c>
      <c r="F379" s="16" t="s">
        <v>222</v>
      </c>
      <c r="G379" s="16" t="s">
        <v>223</v>
      </c>
      <c r="H379" s="16" t="s">
        <v>220</v>
      </c>
    </row>
    <row r="380" ht="330.75" customHeight="1">
      <c r="A380" s="32" t="str">
        <f>IMAGE("https://gymvisual.com/11504-catalog_default/dumbbell-lying-femoral-female.jpg",4,500,500)</f>
        <v/>
      </c>
      <c r="B380" s="30">
        <v>1627.0</v>
      </c>
      <c r="C380" s="16" t="s">
        <v>2200</v>
      </c>
      <c r="D380" s="16" t="s">
        <v>184</v>
      </c>
      <c r="E380" s="16" t="s">
        <v>285</v>
      </c>
      <c r="F380" s="16" t="s">
        <v>222</v>
      </c>
      <c r="G380" s="16" t="s">
        <v>188</v>
      </c>
      <c r="H380" s="16" t="s">
        <v>561</v>
      </c>
    </row>
    <row r="381" ht="330.75" customHeight="1">
      <c r="A381" s="32" t="str">
        <f>IMAGE("https://gymvisual.com/1036-catalog_default/3-4-sit-up.jpg",4,500,500)</f>
        <v/>
      </c>
      <c r="B381" s="30">
        <v>1626.0</v>
      </c>
      <c r="C381" s="16" t="s">
        <v>2199</v>
      </c>
      <c r="D381" s="16" t="s">
        <v>184</v>
      </c>
      <c r="E381" s="16" t="s">
        <v>285</v>
      </c>
      <c r="F381" s="16" t="s">
        <v>222</v>
      </c>
      <c r="G381" s="16" t="s">
        <v>188</v>
      </c>
      <c r="H381" s="16" t="s">
        <v>561</v>
      </c>
    </row>
    <row r="382" ht="330.75" customHeight="1">
      <c r="A382" s="32" t="str">
        <f>IMAGE("https://gymvisual.com/13427-catalog_default/dumbbell-lying-external-shoulder-rotation-female.jpg",4,500,500)</f>
        <v/>
      </c>
      <c r="B382" s="30">
        <v>1625.0</v>
      </c>
      <c r="C382" s="16" t="s">
        <v>2198</v>
      </c>
      <c r="D382" s="16" t="s">
        <v>184</v>
      </c>
      <c r="E382" s="16" t="s">
        <v>192</v>
      </c>
      <c r="F382" s="16" t="s">
        <v>222</v>
      </c>
      <c r="G382" s="16" t="s">
        <v>220</v>
      </c>
      <c r="H382" s="16" t="s">
        <v>220</v>
      </c>
    </row>
    <row r="383" ht="330.75" customHeight="1">
      <c r="A383" s="32" t="str">
        <f>IMAGE("https://gymvisual.com/2628-catalog_default/dumbbell-lying-external-shoulder-rotation.jpg",4,500,500)</f>
        <v/>
      </c>
      <c r="B383" s="30">
        <v>1624.0</v>
      </c>
      <c r="C383" s="16" t="s">
        <v>2196</v>
      </c>
      <c r="D383" s="16" t="s">
        <v>184</v>
      </c>
      <c r="E383" s="16" t="s">
        <v>192</v>
      </c>
      <c r="F383" s="16" t="s">
        <v>222</v>
      </c>
      <c r="G383" s="16" t="s">
        <v>2197</v>
      </c>
      <c r="H383" s="16" t="s">
        <v>220</v>
      </c>
    </row>
    <row r="384" ht="330.75" customHeight="1">
      <c r="A384" s="32" t="str">
        <f>IMAGE("https://gymvisual.com/11312-catalog_default/dumbbell-lying-extension-across-face-female.jpg",4,500,500)</f>
        <v/>
      </c>
      <c r="B384" s="30">
        <v>1623.0</v>
      </c>
      <c r="C384" s="16" t="s">
        <v>2195</v>
      </c>
      <c r="D384" s="16" t="s">
        <v>184</v>
      </c>
      <c r="E384" s="16" t="s">
        <v>219</v>
      </c>
      <c r="F384" s="16" t="s">
        <v>222</v>
      </c>
      <c r="G384" s="16" t="s">
        <v>220</v>
      </c>
      <c r="H384" s="16" t="s">
        <v>220</v>
      </c>
    </row>
    <row r="385" ht="330.75" customHeight="1">
      <c r="A385" s="32" t="str">
        <f>IMAGE("https://gymvisual.com/1033-catalog_default/3-4-sit-up.jpg",4,500,500)</f>
        <v/>
      </c>
      <c r="B385" s="30">
        <v>1622.0</v>
      </c>
      <c r="C385" s="16" t="s">
        <v>2194</v>
      </c>
      <c r="D385" s="16" t="s">
        <v>184</v>
      </c>
      <c r="E385" s="16" t="s">
        <v>219</v>
      </c>
      <c r="F385" s="16" t="s">
        <v>222</v>
      </c>
      <c r="G385" s="16" t="s">
        <v>223</v>
      </c>
      <c r="H385" s="16" t="s">
        <v>472</v>
      </c>
    </row>
    <row r="386" ht="330.75" customHeight="1">
      <c r="A386" s="32" t="str">
        <f>IMAGE("https://gymvisual.com/18963-catalog_default/dumbbell-lying-close-grip-parallel-row-on-rack.jpg",4,500,500)</f>
        <v/>
      </c>
      <c r="B386" s="30">
        <v>1621.0</v>
      </c>
      <c r="C386" s="16" t="s">
        <v>2193</v>
      </c>
      <c r="D386" s="16" t="s">
        <v>184</v>
      </c>
      <c r="E386" s="16" t="s">
        <v>192</v>
      </c>
      <c r="F386" s="16" t="s">
        <v>222</v>
      </c>
      <c r="G386" s="16" t="s">
        <v>329</v>
      </c>
      <c r="H386" s="16" t="s">
        <v>357</v>
      </c>
    </row>
    <row r="387" ht="330.75" customHeight="1">
      <c r="A387" s="32" t="str">
        <f>IMAGE("https://gymvisual.com/17280-catalog_default/dumbbell-lying-alternate-extension-female.jpg",4,500,500)</f>
        <v/>
      </c>
      <c r="B387" s="30">
        <v>1620.0</v>
      </c>
      <c r="C387" s="16" t="s">
        <v>2192</v>
      </c>
      <c r="D387" s="16" t="s">
        <v>184</v>
      </c>
      <c r="E387" s="16" t="s">
        <v>219</v>
      </c>
      <c r="F387" s="16" t="s">
        <v>222</v>
      </c>
      <c r="G387" s="16" t="s">
        <v>223</v>
      </c>
      <c r="H387" s="16" t="s">
        <v>220</v>
      </c>
    </row>
    <row r="388" ht="330.75" customHeight="1">
      <c r="A388" s="32" t="str">
        <f>IMAGE("https://gymvisual.com/7448-catalog_default/dumbbell-lying-alternate-extension.jpg",4,500,500)</f>
        <v/>
      </c>
      <c r="B388" s="30">
        <v>1619.0</v>
      </c>
      <c r="C388" s="16" t="s">
        <v>2191</v>
      </c>
      <c r="D388" s="16" t="s">
        <v>184</v>
      </c>
      <c r="E388" s="16" t="s">
        <v>219</v>
      </c>
      <c r="F388" s="16" t="s">
        <v>222</v>
      </c>
      <c r="G388" s="16" t="s">
        <v>223</v>
      </c>
      <c r="H388" s="16" t="s">
        <v>220</v>
      </c>
    </row>
    <row r="389" ht="330.75" customHeight="1">
      <c r="A389" s="32" t="str">
        <f>IMAGE("https://gymvisual.com/1030-catalog_default/3-4-sit-up.jpg",4,500,500)</f>
        <v/>
      </c>
      <c r="B389" s="30">
        <v>1618.0</v>
      </c>
      <c r="C389" s="16" t="s">
        <v>2190</v>
      </c>
      <c r="D389" s="16" t="s">
        <v>184</v>
      </c>
      <c r="E389" s="16" t="s">
        <v>219</v>
      </c>
      <c r="F389" s="16" t="s">
        <v>222</v>
      </c>
      <c r="G389" s="16" t="s">
        <v>223</v>
      </c>
      <c r="H389" s="16" t="s">
        <v>220</v>
      </c>
    </row>
    <row r="390" ht="330.75" customHeight="1">
      <c r="A390" s="32" t="str">
        <f>IMAGE("https://gymvisual.com/20674-catalog_default/dumbbell-lunge-with-bicep-curl-female.jpg",4,500,500)</f>
        <v/>
      </c>
      <c r="B390" s="30">
        <v>1617.0</v>
      </c>
      <c r="C390" s="16" t="s">
        <v>2189</v>
      </c>
      <c r="D390" s="16" t="s">
        <v>184</v>
      </c>
      <c r="E390" s="16" t="s">
        <v>294</v>
      </c>
      <c r="F390" s="16" t="s">
        <v>222</v>
      </c>
      <c r="G390" s="16" t="s">
        <v>220</v>
      </c>
      <c r="H390" s="16" t="s">
        <v>220</v>
      </c>
    </row>
    <row r="391" ht="330.75" customHeight="1">
      <c r="A391" s="32" t="str">
        <f>IMAGE("https://gymvisual.com/7132-catalog_default/dumbbell-lunge-with-bicep-curl.jpg",4,500,500)</f>
        <v/>
      </c>
      <c r="B391" s="30">
        <v>1616.0</v>
      </c>
      <c r="C391" s="16" t="s">
        <v>2188</v>
      </c>
      <c r="D391" s="16" t="s">
        <v>184</v>
      </c>
      <c r="E391" s="16" t="s">
        <v>219</v>
      </c>
      <c r="F391" s="16" t="s">
        <v>222</v>
      </c>
      <c r="G391" s="16" t="s">
        <v>220</v>
      </c>
      <c r="H391" s="16" t="s">
        <v>220</v>
      </c>
    </row>
    <row r="392" ht="330.75" customHeight="1">
      <c r="A392" s="32" t="str">
        <f>IMAGE("https://gymvisual.com/13632-catalog_default/dumbbell-lunge-version-2.jpg",4,500,500)</f>
        <v/>
      </c>
      <c r="B392" s="30">
        <v>1615.0</v>
      </c>
      <c r="C392" s="16" t="s">
        <v>2187</v>
      </c>
      <c r="D392" s="16" t="s">
        <v>184</v>
      </c>
      <c r="E392" s="16" t="s">
        <v>285</v>
      </c>
      <c r="F392" s="16" t="s">
        <v>222</v>
      </c>
      <c r="G392" s="16" t="s">
        <v>189</v>
      </c>
      <c r="H392" s="16" t="s">
        <v>190</v>
      </c>
    </row>
    <row r="393" ht="330.75" customHeight="1">
      <c r="A393" s="32" t="str">
        <f>IMAGE("https://gymvisual.com/9568-catalog_default/dumbbell-lunge-female.jpg",4,500,500)</f>
        <v/>
      </c>
      <c r="B393" s="30">
        <v>1614.0</v>
      </c>
      <c r="C393" s="16" t="s">
        <v>2186</v>
      </c>
      <c r="D393" s="16" t="s">
        <v>184</v>
      </c>
      <c r="E393" s="16" t="s">
        <v>294</v>
      </c>
      <c r="F393" s="16" t="s">
        <v>222</v>
      </c>
      <c r="G393" s="16" t="s">
        <v>189</v>
      </c>
      <c r="H393" s="16" t="s">
        <v>190</v>
      </c>
    </row>
    <row r="394" ht="330.75" customHeight="1">
      <c r="A394" s="32" t="str">
        <f>IMAGE("https://gymvisual.com/20624-catalog_default/3-4-sit-up.jpg",4,500,500)</f>
        <v/>
      </c>
      <c r="B394" s="30">
        <v>1613.0</v>
      </c>
      <c r="C394" s="16" t="s">
        <v>95</v>
      </c>
      <c r="D394" s="16" t="s">
        <v>184</v>
      </c>
      <c r="E394" s="16" t="s">
        <v>185</v>
      </c>
      <c r="F394" s="16" t="s">
        <v>222</v>
      </c>
      <c r="G394" s="16" t="s">
        <v>189</v>
      </c>
      <c r="H394" s="16" t="s">
        <v>190</v>
      </c>
    </row>
    <row r="395" ht="330.75" customHeight="1">
      <c r="A395" s="32" t="str">
        <f>IMAGE("https://gymvisual.com/22241-catalog_default/dumbbell-low-windmill.jpg",4,500,500)</f>
        <v/>
      </c>
      <c r="B395" s="30">
        <v>1612.0</v>
      </c>
      <c r="C395" s="16" t="s">
        <v>2185</v>
      </c>
      <c r="D395" s="16" t="s">
        <v>184</v>
      </c>
      <c r="E395" s="16" t="s">
        <v>254</v>
      </c>
      <c r="F395" s="16" t="s">
        <v>222</v>
      </c>
      <c r="G395" s="16" t="s">
        <v>220</v>
      </c>
      <c r="H395" s="16" t="s">
        <v>220</v>
      </c>
    </row>
    <row r="396" ht="330.75" customHeight="1">
      <c r="A396" s="32" t="str">
        <f>IMAGE("https://gymvisual.com/17173-catalog_default/dumbbell-low-fly.jpg",4,500,500)</f>
        <v/>
      </c>
      <c r="B396" s="30">
        <v>1611.0</v>
      </c>
      <c r="C396" s="16" t="s">
        <v>2184</v>
      </c>
      <c r="D396" s="16" t="s">
        <v>184</v>
      </c>
      <c r="E396" s="16" t="s">
        <v>234</v>
      </c>
      <c r="F396" s="16" t="s">
        <v>222</v>
      </c>
      <c r="G396" s="16" t="s">
        <v>415</v>
      </c>
      <c r="H396" s="16" t="s">
        <v>236</v>
      </c>
    </row>
    <row r="397" ht="330.75" customHeight="1">
      <c r="A397" s="32" t="str">
        <f>IMAGE("https://gymvisual.com/1025-catalog_default/3-4-sit-up.jpg",4,500,500)</f>
        <v/>
      </c>
      <c r="B397" s="30">
        <v>1610.0</v>
      </c>
      <c r="C397" s="16" t="s">
        <v>2183</v>
      </c>
      <c r="D397" s="16" t="s">
        <v>184</v>
      </c>
      <c r="E397" s="16" t="s">
        <v>228</v>
      </c>
      <c r="F397" s="16" t="s">
        <v>222</v>
      </c>
      <c r="G397" s="16" t="s">
        <v>454</v>
      </c>
      <c r="H397" s="16" t="s">
        <v>389</v>
      </c>
    </row>
    <row r="398" ht="330.75" customHeight="1">
      <c r="A398" s="32" t="str">
        <f>IMAGE("https://gymvisual.com/10579-catalog_default/dumbbell-lateral-step-up-female.jpg",4,500,500)</f>
        <v/>
      </c>
      <c r="B398" s="30">
        <v>1609.0</v>
      </c>
      <c r="C398" s="16" t="s">
        <v>2182</v>
      </c>
      <c r="D398" s="16" t="s">
        <v>184</v>
      </c>
      <c r="E398" s="16" t="s">
        <v>294</v>
      </c>
      <c r="F398" s="16" t="s">
        <v>222</v>
      </c>
      <c r="G398" s="16" t="s">
        <v>189</v>
      </c>
      <c r="H398" s="16" t="s">
        <v>2046</v>
      </c>
    </row>
    <row r="399" ht="330.75" customHeight="1">
      <c r="A399" s="32" t="str">
        <f>IMAGE("https://gymvisual.com/15650-catalog_default/3-4-sit-up.jpg",4,500,500)</f>
        <v/>
      </c>
      <c r="B399" s="30">
        <v>1608.0</v>
      </c>
      <c r="C399" s="16" t="s">
        <v>2181</v>
      </c>
      <c r="D399" s="16" t="s">
        <v>184</v>
      </c>
      <c r="E399" s="16" t="s">
        <v>228</v>
      </c>
      <c r="F399" s="16" t="s">
        <v>222</v>
      </c>
      <c r="G399" s="16" t="s">
        <v>544</v>
      </c>
      <c r="H399" s="16" t="s">
        <v>545</v>
      </c>
    </row>
    <row r="400" ht="330.75" customHeight="1">
      <c r="A400" s="32" t="str">
        <f>IMAGE("https://gymvisual.com/6800-catalog_default/dumbbell-lateral-lunge-with-bicep-curl.jpg",4,500,500)</f>
        <v/>
      </c>
      <c r="B400" s="30">
        <v>1607.0</v>
      </c>
      <c r="C400" s="16" t="s">
        <v>2180</v>
      </c>
      <c r="D400" s="16" t="s">
        <v>184</v>
      </c>
      <c r="E400" s="16" t="s">
        <v>285</v>
      </c>
      <c r="F400" s="16" t="s">
        <v>222</v>
      </c>
      <c r="G400" s="16" t="s">
        <v>220</v>
      </c>
      <c r="H400" s="16" t="s">
        <v>220</v>
      </c>
    </row>
    <row r="401" ht="330.75" customHeight="1">
      <c r="A401" s="32" t="str">
        <f>IMAGE("https://gymvisual.com/22391-catalog_default/dumbbell-lateral-lunge.jpg",4,500,500)</f>
        <v/>
      </c>
      <c r="B401" s="30">
        <v>1606.0</v>
      </c>
      <c r="C401" s="16" t="s">
        <v>2179</v>
      </c>
      <c r="D401" s="16" t="s">
        <v>184</v>
      </c>
      <c r="E401" s="16" t="s">
        <v>285</v>
      </c>
      <c r="F401" s="16" t="s">
        <v>222</v>
      </c>
      <c r="G401" s="16" t="s">
        <v>220</v>
      </c>
      <c r="H401" s="16" t="s">
        <v>220</v>
      </c>
    </row>
    <row r="402" ht="330.75" customHeight="1">
      <c r="A402" s="32" t="str">
        <f>IMAGE("https://gymvisual.com/24097-catalog_default/dumbbell-kneeling-hold-to-stand-clean-grip.jpg",4,500,500)</f>
        <v/>
      </c>
      <c r="B402" s="30">
        <v>1605.0</v>
      </c>
      <c r="C402" s="16" t="s">
        <v>2178</v>
      </c>
      <c r="D402" s="16" t="s">
        <v>184</v>
      </c>
      <c r="E402" s="16" t="s">
        <v>285</v>
      </c>
      <c r="F402" s="16" t="s">
        <v>222</v>
      </c>
      <c r="G402" s="16" t="s">
        <v>220</v>
      </c>
      <c r="H402" s="16" t="s">
        <v>220</v>
      </c>
    </row>
    <row r="403" ht="330.75" customHeight="1">
      <c r="A403" s="32" t="str">
        <f>IMAGE("https://gymvisual.com/14767-catalog_default/dumbbell-kneeling-hold-to-stand.jpg",4,500,500)</f>
        <v/>
      </c>
      <c r="B403" s="30">
        <v>1604.0</v>
      </c>
      <c r="C403" s="16" t="s">
        <v>2176</v>
      </c>
      <c r="D403" s="16" t="s">
        <v>184</v>
      </c>
      <c r="E403" s="16" t="s">
        <v>691</v>
      </c>
      <c r="F403" s="16" t="s">
        <v>222</v>
      </c>
      <c r="G403" s="16" t="s">
        <v>793</v>
      </c>
      <c r="H403" s="16" t="s">
        <v>2177</v>
      </c>
    </row>
    <row r="404" ht="330.75" customHeight="1">
      <c r="A404" s="32" t="str">
        <f>IMAGE("https://gymvisual.com/7134-catalog_default/dumbbell-kneeling-bicep-curl-exercise-ball.jpg",4,500,500)</f>
        <v/>
      </c>
      <c r="B404" s="30">
        <v>1603.0</v>
      </c>
      <c r="C404" s="16" t="s">
        <v>2175</v>
      </c>
      <c r="D404" s="16" t="s">
        <v>184</v>
      </c>
      <c r="E404" s="16" t="s">
        <v>219</v>
      </c>
      <c r="F404" s="16" t="s">
        <v>222</v>
      </c>
      <c r="G404" s="16" t="s">
        <v>220</v>
      </c>
      <c r="H404" s="16" t="s">
        <v>220</v>
      </c>
    </row>
    <row r="405" ht="330.75" customHeight="1">
      <c r="A405" s="32" t="str">
        <f>IMAGE("https://gymvisual.com/22239-catalog_default/dumbbell-kneeling-arnold-press.jpg",4,500,500)</f>
        <v/>
      </c>
      <c r="B405" s="30">
        <v>1602.0</v>
      </c>
      <c r="C405" s="16" t="s">
        <v>2174</v>
      </c>
      <c r="D405" s="16" t="s">
        <v>184</v>
      </c>
      <c r="E405" s="16" t="s">
        <v>228</v>
      </c>
      <c r="F405" s="16" t="s">
        <v>222</v>
      </c>
      <c r="G405" s="16" t="s">
        <v>220</v>
      </c>
      <c r="H405" s="16" t="s">
        <v>220</v>
      </c>
    </row>
    <row r="406" ht="330.75" customHeight="1">
      <c r="A406" s="32" t="str">
        <f>IMAGE("https://gymvisual.com/7453-catalog_default/dumbbell-kickbacks-on-exercise-ball.jpg",4,500,500)</f>
        <v/>
      </c>
      <c r="B406" s="30">
        <v>1601.0</v>
      </c>
      <c r="C406" s="16" t="s">
        <v>2173</v>
      </c>
      <c r="D406" s="16" t="s">
        <v>184</v>
      </c>
      <c r="E406" s="16" t="s">
        <v>219</v>
      </c>
      <c r="F406" s="16" t="s">
        <v>222</v>
      </c>
      <c r="G406" s="16" t="s">
        <v>220</v>
      </c>
      <c r="H406" s="16" t="s">
        <v>220</v>
      </c>
    </row>
    <row r="407" ht="330.75" customHeight="1">
      <c r="A407" s="32" t="str">
        <f>IMAGE("https://gymvisual.com/10936-catalog_default/dumbbell-kickback-female.jpg",4,500,500)</f>
        <v/>
      </c>
      <c r="B407" s="30">
        <v>1600.0</v>
      </c>
      <c r="C407" s="16" t="s">
        <v>2172</v>
      </c>
      <c r="D407" s="16" t="s">
        <v>184</v>
      </c>
      <c r="E407" s="16" t="s">
        <v>219</v>
      </c>
      <c r="F407" s="16" t="s">
        <v>222</v>
      </c>
      <c r="G407" s="16" t="s">
        <v>223</v>
      </c>
      <c r="H407" s="16" t="s">
        <v>220</v>
      </c>
    </row>
    <row r="408" ht="330.75" customHeight="1">
      <c r="A408" s="32" t="str">
        <f>IMAGE("https://gymvisual.com/1019-catalog_default/3-4-sit-up.jpg",4,500,500)</f>
        <v/>
      </c>
      <c r="B408" s="30">
        <v>1599.0</v>
      </c>
      <c r="C408" s="16" t="s">
        <v>221</v>
      </c>
      <c r="D408" s="16" t="s">
        <v>184</v>
      </c>
      <c r="E408" s="16" t="s">
        <v>219</v>
      </c>
      <c r="F408" s="16" t="s">
        <v>222</v>
      </c>
      <c r="G408" s="16" t="s">
        <v>223</v>
      </c>
      <c r="H408" s="16" t="s">
        <v>220</v>
      </c>
    </row>
    <row r="409" ht="330.75" customHeight="1">
      <c r="A409" s="32" t="str">
        <f>IMAGE("https://gymvisual.com/24496-catalog_default/dumbbell-kas-glute-bridge-female.jpg",4,500,500)</f>
        <v/>
      </c>
      <c r="B409" s="30">
        <v>1598.0</v>
      </c>
      <c r="C409" s="16" t="s">
        <v>2171</v>
      </c>
      <c r="D409" s="16" t="s">
        <v>184</v>
      </c>
      <c r="E409" s="16" t="s">
        <v>185</v>
      </c>
      <c r="F409" s="16" t="s">
        <v>222</v>
      </c>
      <c r="G409" s="16" t="s">
        <v>220</v>
      </c>
      <c r="H409" s="16" t="s">
        <v>220</v>
      </c>
    </row>
    <row r="410" ht="330.75" customHeight="1">
      <c r="A410" s="32" t="str">
        <f>IMAGE("https://gymvisual.com/14266-catalog_default/dumbbell-iron-cross-female.jpg",4,500,500)</f>
        <v/>
      </c>
      <c r="B410" s="30">
        <v>1597.0</v>
      </c>
      <c r="C410" s="16" t="s">
        <v>2170</v>
      </c>
      <c r="D410" s="16" t="s">
        <v>184</v>
      </c>
      <c r="E410" s="16" t="s">
        <v>691</v>
      </c>
      <c r="F410" s="16" t="s">
        <v>222</v>
      </c>
      <c r="G410" s="16" t="s">
        <v>2168</v>
      </c>
      <c r="H410" s="16" t="s">
        <v>2169</v>
      </c>
    </row>
    <row r="411" ht="330.75" customHeight="1">
      <c r="A411" s="32" t="str">
        <f>IMAGE("https://gymvisual.com/1016-catalog_default/3-4-sit-up.jpg",4,500,500)</f>
        <v/>
      </c>
      <c r="B411" s="30">
        <v>1596.0</v>
      </c>
      <c r="C411" s="16" t="s">
        <v>2167</v>
      </c>
      <c r="D411" s="16" t="s">
        <v>184</v>
      </c>
      <c r="E411" s="16" t="s">
        <v>228</v>
      </c>
      <c r="F411" s="16" t="s">
        <v>222</v>
      </c>
      <c r="G411" s="16" t="s">
        <v>2168</v>
      </c>
      <c r="H411" s="16" t="s">
        <v>2169</v>
      </c>
    </row>
    <row r="412" ht="330.75" customHeight="1">
      <c r="A412" s="32" t="str">
        <f>IMAGE("https://gymvisual.com/17829-catalog_default/dumbbell-ipsilateral-split-squat.jpg",4,500,500)</f>
        <v/>
      </c>
      <c r="B412" s="30">
        <v>1595.0</v>
      </c>
      <c r="C412" s="16" t="s">
        <v>2166</v>
      </c>
      <c r="D412" s="16" t="s">
        <v>184</v>
      </c>
      <c r="E412" s="16" t="s">
        <v>285</v>
      </c>
      <c r="F412" s="16" t="s">
        <v>222</v>
      </c>
      <c r="G412" s="16" t="s">
        <v>220</v>
      </c>
      <c r="H412" s="16" t="s">
        <v>220</v>
      </c>
    </row>
    <row r="413" ht="330.75" customHeight="1">
      <c r="A413" s="32" t="str">
        <f>IMAGE("https://gymvisual.com/14094-catalog_default/dumbbell-incline-y-raise.jpg",4,500,500)</f>
        <v/>
      </c>
      <c r="B413" s="30">
        <v>1594.0</v>
      </c>
      <c r="C413" s="16" t="s">
        <v>2164</v>
      </c>
      <c r="D413" s="16" t="s">
        <v>184</v>
      </c>
      <c r="E413" s="16" t="s">
        <v>228</v>
      </c>
      <c r="F413" s="16" t="s">
        <v>222</v>
      </c>
      <c r="G413" s="16" t="s">
        <v>2165</v>
      </c>
      <c r="H413" s="16" t="s">
        <v>220</v>
      </c>
    </row>
    <row r="414" ht="330.75" customHeight="1">
      <c r="A414" s="32" t="str">
        <f>IMAGE("https://gymvisual.com/17636-catalog_default/dumbbell-incline-two-front-raise-with-chest-support.jpg",4,500,500)</f>
        <v/>
      </c>
      <c r="B414" s="30">
        <v>1593.0</v>
      </c>
      <c r="C414" s="16" t="s">
        <v>2163</v>
      </c>
      <c r="D414" s="16" t="s">
        <v>184</v>
      </c>
      <c r="E414" s="16" t="s">
        <v>228</v>
      </c>
      <c r="F414" s="16" t="s">
        <v>222</v>
      </c>
      <c r="G414" s="16" t="s">
        <v>229</v>
      </c>
      <c r="H414" s="16" t="s">
        <v>244</v>
      </c>
    </row>
    <row r="415" ht="330.75" customHeight="1">
      <c r="A415" s="32" t="str">
        <f>IMAGE("https://gymvisual.com/13425-catalog_default/dumbbell-incline-two-arm-extension-female.jpg",4,500,500)</f>
        <v/>
      </c>
      <c r="B415" s="30">
        <v>1592.0</v>
      </c>
      <c r="C415" s="16" t="s">
        <v>2162</v>
      </c>
      <c r="D415" s="16" t="s">
        <v>184</v>
      </c>
      <c r="E415" s="16" t="s">
        <v>219</v>
      </c>
      <c r="F415" s="16" t="s">
        <v>222</v>
      </c>
      <c r="G415" s="16" t="s">
        <v>223</v>
      </c>
      <c r="H415" s="16" t="s">
        <v>220</v>
      </c>
    </row>
    <row r="416" ht="330.75" customHeight="1">
      <c r="A416" s="32" t="str">
        <f>IMAGE("https://gymvisual.com/7452-catalog_default/dumbbell-incline-two-arm-extension.jpg",4,500,500)</f>
        <v/>
      </c>
      <c r="B416" s="30">
        <v>1591.0</v>
      </c>
      <c r="C416" s="16" t="s">
        <v>2161</v>
      </c>
      <c r="D416" s="16" t="s">
        <v>184</v>
      </c>
      <c r="E416" s="16" t="s">
        <v>219</v>
      </c>
      <c r="F416" s="16" t="s">
        <v>222</v>
      </c>
      <c r="G416" s="16" t="s">
        <v>223</v>
      </c>
      <c r="H416" s="16" t="s">
        <v>220</v>
      </c>
    </row>
    <row r="417" ht="330.75" customHeight="1">
      <c r="A417" s="32" t="str">
        <f>IMAGE("https://gymvisual.com/1013-catalog_default/3-4-sit-up.jpg",4,500,500)</f>
        <v/>
      </c>
      <c r="B417" s="30">
        <v>1590.0</v>
      </c>
      <c r="C417" s="16" t="s">
        <v>2160</v>
      </c>
      <c r="D417" s="16" t="s">
        <v>184</v>
      </c>
      <c r="E417" s="16" t="s">
        <v>234</v>
      </c>
      <c r="F417" s="16" t="s">
        <v>222</v>
      </c>
      <c r="G417" s="16" t="s">
        <v>415</v>
      </c>
      <c r="H417" s="16" t="s">
        <v>236</v>
      </c>
    </row>
    <row r="418" ht="330.75" customHeight="1">
      <c r="A418" s="32" t="str">
        <f>IMAGE("https://gymvisual.com/11092-catalog_default/dumbbell-incline-triceps-extension-female.jpg",4,500,500)</f>
        <v/>
      </c>
      <c r="B418" s="30">
        <v>1589.0</v>
      </c>
      <c r="C418" s="16" t="s">
        <v>2159</v>
      </c>
      <c r="D418" s="16" t="s">
        <v>184</v>
      </c>
      <c r="E418" s="16" t="s">
        <v>219</v>
      </c>
      <c r="F418" s="16" t="s">
        <v>222</v>
      </c>
      <c r="G418" s="16" t="s">
        <v>223</v>
      </c>
      <c r="H418" s="16" t="s">
        <v>220</v>
      </c>
    </row>
    <row r="419" ht="330.75" customHeight="1">
      <c r="A419" s="32" t="str">
        <f>IMAGE("https://gymvisual.com/20622-catalog_default/3-4-sit-up.jpg",4,500,500)</f>
        <v/>
      </c>
      <c r="B419" s="30">
        <v>1588.0</v>
      </c>
      <c r="C419" s="16" t="s">
        <v>2158</v>
      </c>
      <c r="D419" s="16" t="s">
        <v>184</v>
      </c>
      <c r="E419" s="16" t="s">
        <v>219</v>
      </c>
      <c r="F419" s="16" t="s">
        <v>222</v>
      </c>
      <c r="G419" s="16" t="s">
        <v>223</v>
      </c>
      <c r="H419" s="16" t="s">
        <v>220</v>
      </c>
    </row>
    <row r="420" ht="330.75" customHeight="1">
      <c r="A420" s="32" t="str">
        <f>IMAGE("https://gymvisual.com/14096-catalog_default/dumbbell-incline-t-raise.jpg",4,500,500)</f>
        <v/>
      </c>
      <c r="B420" s="30">
        <v>1587.0</v>
      </c>
      <c r="C420" s="16" t="s">
        <v>2157</v>
      </c>
      <c r="D420" s="16" t="s">
        <v>184</v>
      </c>
      <c r="E420" s="16" t="s">
        <v>228</v>
      </c>
      <c r="F420" s="16" t="s">
        <v>222</v>
      </c>
      <c r="G420" s="16" t="s">
        <v>408</v>
      </c>
      <c r="H420" s="16" t="s">
        <v>731</v>
      </c>
    </row>
    <row r="421" ht="330.75" customHeight="1">
      <c r="A421" s="32" t="str">
        <f>IMAGE("https://gymvisual.com/23881-catalog_default/dumbbell-incline-squeeze-press.jpg",4,500,500)</f>
        <v/>
      </c>
      <c r="B421" s="30">
        <v>1586.0</v>
      </c>
      <c r="C421" s="16" t="s">
        <v>2156</v>
      </c>
      <c r="D421" s="16" t="s">
        <v>184</v>
      </c>
      <c r="E421" s="16" t="s">
        <v>219</v>
      </c>
      <c r="F421" s="16" t="s">
        <v>222</v>
      </c>
      <c r="G421" s="16" t="s">
        <v>415</v>
      </c>
      <c r="H421" s="16" t="s">
        <v>243</v>
      </c>
    </row>
    <row r="422" ht="330.75" customHeight="1">
      <c r="A422" s="32" t="str">
        <f>IMAGE("https://gymvisual.com/17276-catalog_default/dumbbell-incline-shrug-female.jpg",4,500,500)</f>
        <v/>
      </c>
      <c r="B422" s="30">
        <v>1585.0</v>
      </c>
      <c r="C422" s="16" t="s">
        <v>2155</v>
      </c>
      <c r="D422" s="16" t="s">
        <v>184</v>
      </c>
      <c r="E422" s="16" t="s">
        <v>192</v>
      </c>
      <c r="F422" s="16" t="s">
        <v>222</v>
      </c>
      <c r="G422" s="16" t="s">
        <v>238</v>
      </c>
      <c r="H422" s="16" t="s">
        <v>239</v>
      </c>
    </row>
    <row r="423" ht="330.75" customHeight="1">
      <c r="A423" s="32" t="str">
        <f>IMAGE("https://gymvisual.com/1007-catalog_default/3-4-sit-up.jpg",4,500,500)</f>
        <v/>
      </c>
      <c r="B423" s="30">
        <v>1584.0</v>
      </c>
      <c r="C423" s="16" t="s">
        <v>2154</v>
      </c>
      <c r="D423" s="16" t="s">
        <v>184</v>
      </c>
      <c r="E423" s="16" t="s">
        <v>192</v>
      </c>
      <c r="F423" s="16" t="s">
        <v>222</v>
      </c>
      <c r="G423" s="16" t="s">
        <v>238</v>
      </c>
      <c r="H423" s="16" t="s">
        <v>239</v>
      </c>
    </row>
    <row r="424" ht="330.75" customHeight="1">
      <c r="A424" s="32" t="str">
        <f>IMAGE("https://gymvisual.com/21034-catalog_default/dumbbell-incline-shoulders-press.jpg",4,500,500)</f>
        <v/>
      </c>
      <c r="B424" s="30">
        <v>1583.0</v>
      </c>
      <c r="C424" s="16" t="s">
        <v>2153</v>
      </c>
      <c r="D424" s="16" t="s">
        <v>184</v>
      </c>
      <c r="E424" s="16" t="s">
        <v>228</v>
      </c>
      <c r="F424" s="16" t="s">
        <v>222</v>
      </c>
      <c r="G424" s="16" t="s">
        <v>220</v>
      </c>
      <c r="H424" s="16" t="s">
        <v>220</v>
      </c>
    </row>
    <row r="425" ht="330.75" customHeight="1">
      <c r="A425" s="32" t="str">
        <f>IMAGE("https://gymvisual.com/1004-catalog_default/3-4-sit-up.jpg",4,500,500)</f>
        <v/>
      </c>
      <c r="B425" s="30">
        <v>1582.0</v>
      </c>
      <c r="C425" s="16" t="s">
        <v>2152</v>
      </c>
      <c r="D425" s="16" t="s">
        <v>184</v>
      </c>
      <c r="E425" s="16" t="s">
        <v>234</v>
      </c>
      <c r="F425" s="16" t="s">
        <v>222</v>
      </c>
      <c r="G425" s="16" t="s">
        <v>885</v>
      </c>
      <c r="H425" s="16" t="s">
        <v>415</v>
      </c>
    </row>
    <row r="426" ht="330.75" customHeight="1">
      <c r="A426" s="32" t="str">
        <f>IMAGE("https://gymvisual.com/11101-catalog_default/dumbbell-incline-row-female.jpg",4,500,500)</f>
        <v/>
      </c>
      <c r="B426" s="30">
        <v>1581.0</v>
      </c>
      <c r="C426" s="16" t="s">
        <v>2151</v>
      </c>
      <c r="D426" s="16" t="s">
        <v>184</v>
      </c>
      <c r="E426" s="16" t="s">
        <v>192</v>
      </c>
      <c r="F426" s="16" t="s">
        <v>186</v>
      </c>
      <c r="G426" s="16" t="s">
        <v>570</v>
      </c>
      <c r="H426" s="16" t="s">
        <v>447</v>
      </c>
    </row>
    <row r="427" ht="330.75" customHeight="1">
      <c r="A427" s="32" t="str">
        <f>IMAGE("https://gymvisual.com/1001-catalog_default/3-4-sit-up.jpg",4,500,500)</f>
        <v/>
      </c>
      <c r="B427" s="30">
        <v>1580.0</v>
      </c>
      <c r="C427" s="16" t="s">
        <v>2150</v>
      </c>
      <c r="D427" s="16" t="s">
        <v>184</v>
      </c>
      <c r="E427" s="16" t="s">
        <v>192</v>
      </c>
      <c r="F427" s="16" t="s">
        <v>222</v>
      </c>
      <c r="G427" s="16" t="s">
        <v>329</v>
      </c>
      <c r="H427" s="16" t="s">
        <v>194</v>
      </c>
    </row>
    <row r="428" ht="330.75" customHeight="1">
      <c r="A428" s="32" t="str">
        <f>IMAGE("https://gymvisual.com/4582-catalog_default/dumbbell-incline-reverse-grip-30-degrees-bench-press.jpg",4,500,500)</f>
        <v/>
      </c>
      <c r="B428" s="30">
        <v>1579.0</v>
      </c>
      <c r="C428" s="16" t="s">
        <v>2148</v>
      </c>
      <c r="D428" s="16" t="s">
        <v>184</v>
      </c>
      <c r="E428" s="16" t="s">
        <v>234</v>
      </c>
      <c r="F428" s="16" t="s">
        <v>222</v>
      </c>
      <c r="G428" s="16" t="s">
        <v>415</v>
      </c>
      <c r="H428" s="16" t="s">
        <v>2149</v>
      </c>
    </row>
    <row r="429" ht="330.75" customHeight="1">
      <c r="A429" s="32" t="str">
        <f>IMAGE("https://gymvisual.com/998-catalog_default/3-4-sit-up.jpg",4,500,500)</f>
        <v/>
      </c>
      <c r="B429" s="30">
        <v>1578.0</v>
      </c>
      <c r="C429" s="16" t="s">
        <v>2146</v>
      </c>
      <c r="D429" s="16" t="s">
        <v>184</v>
      </c>
      <c r="E429" s="16" t="s">
        <v>228</v>
      </c>
      <c r="F429" s="16" t="s">
        <v>222</v>
      </c>
      <c r="G429" s="16" t="s">
        <v>1997</v>
      </c>
      <c r="H429" s="16" t="s">
        <v>2147</v>
      </c>
    </row>
    <row r="430" ht="330.75" customHeight="1">
      <c r="A430" s="32" t="str">
        <f>IMAGE("https://gymvisual.com/11071-catalog_default/dumbbell-incline-rear-fly-female.jpg",4,500,500)</f>
        <v/>
      </c>
      <c r="B430" s="30">
        <v>1577.0</v>
      </c>
      <c r="C430" s="16" t="s">
        <v>2145</v>
      </c>
      <c r="D430" s="16" t="s">
        <v>184</v>
      </c>
      <c r="E430" s="16" t="s">
        <v>228</v>
      </c>
      <c r="F430" s="16" t="s">
        <v>222</v>
      </c>
      <c r="G430" s="16" t="s">
        <v>408</v>
      </c>
      <c r="H430" s="16" t="s">
        <v>452</v>
      </c>
    </row>
    <row r="431" ht="330.75" customHeight="1">
      <c r="A431" s="32" t="str">
        <f>IMAGE("https://gymvisual.com/11119-catalog_default/dumbbell-incline-raise-female.jpg",4,500,500)</f>
        <v/>
      </c>
      <c r="B431" s="30">
        <v>1576.0</v>
      </c>
      <c r="C431" s="16" t="s">
        <v>2144</v>
      </c>
      <c r="D431" s="16" t="s">
        <v>184</v>
      </c>
      <c r="E431" s="16" t="s">
        <v>228</v>
      </c>
      <c r="F431" s="16" t="s">
        <v>222</v>
      </c>
      <c r="G431" s="16" t="s">
        <v>220</v>
      </c>
      <c r="H431" s="16" t="s">
        <v>220</v>
      </c>
    </row>
    <row r="432" ht="330.75" customHeight="1">
      <c r="A432" s="32" t="str">
        <f>IMAGE("https://gymvisual.com/995-catalog_default/3-4-sit-up.jpg",4,500,500)</f>
        <v/>
      </c>
      <c r="B432" s="30">
        <v>1575.0</v>
      </c>
      <c r="C432" s="16" t="s">
        <v>2143</v>
      </c>
      <c r="D432" s="16" t="s">
        <v>184</v>
      </c>
      <c r="E432" s="16" t="s">
        <v>228</v>
      </c>
      <c r="F432" s="16" t="s">
        <v>222</v>
      </c>
      <c r="G432" s="16" t="s">
        <v>229</v>
      </c>
      <c r="H432" s="16" t="s">
        <v>244</v>
      </c>
    </row>
    <row r="433" ht="330.75" customHeight="1">
      <c r="A433" s="32" t="str">
        <f>IMAGE("https://gymvisual.com/11411-catalog_default/dumbbell-incline-press-on-exercise-ball-female.jpg",4,500,500)</f>
        <v/>
      </c>
      <c r="B433" s="30">
        <v>1574.0</v>
      </c>
      <c r="C433" s="16" t="s">
        <v>2142</v>
      </c>
      <c r="D433" s="16" t="s">
        <v>184</v>
      </c>
      <c r="E433" s="16" t="s">
        <v>234</v>
      </c>
      <c r="F433" s="16" t="s">
        <v>1929</v>
      </c>
      <c r="G433" s="16" t="s">
        <v>220</v>
      </c>
      <c r="H433" s="16" t="s">
        <v>220</v>
      </c>
    </row>
    <row r="434" ht="330.75" customHeight="1">
      <c r="A434" s="32" t="str">
        <f>IMAGE("https://gymvisual.com/5972-catalog_default/dumbbell-incline-press-on-exercise-ball.jpg",4,500,500)</f>
        <v/>
      </c>
      <c r="B434" s="30">
        <v>1573.0</v>
      </c>
      <c r="C434" s="16" t="s">
        <v>2141</v>
      </c>
      <c r="D434" s="16" t="s">
        <v>184</v>
      </c>
      <c r="E434" s="16" t="s">
        <v>234</v>
      </c>
      <c r="F434" s="16" t="s">
        <v>222</v>
      </c>
      <c r="G434" s="16" t="s">
        <v>415</v>
      </c>
      <c r="H434" s="16" t="s">
        <v>243</v>
      </c>
    </row>
    <row r="435" ht="330.75" customHeight="1">
      <c r="A435" s="32" t="str">
        <f>IMAGE("https://gymvisual.com/992-catalog_default/3-4-sit-up.jpg",4,500,500)</f>
        <v/>
      </c>
      <c r="B435" s="30">
        <v>1572.0</v>
      </c>
      <c r="C435" s="16" t="s">
        <v>2140</v>
      </c>
      <c r="D435" s="16" t="s">
        <v>184</v>
      </c>
      <c r="E435" s="16" t="s">
        <v>234</v>
      </c>
      <c r="F435" s="16" t="s">
        <v>222</v>
      </c>
      <c r="G435" s="16" t="s">
        <v>235</v>
      </c>
      <c r="H435" s="16" t="s">
        <v>243</v>
      </c>
    </row>
    <row r="436" ht="330.75" customHeight="1">
      <c r="A436" s="32" t="str">
        <f>IMAGE("https://gymvisual.com/11086-catalog_default/dumbbell-incline-palm-in-press-female.jpg",4,500,500)</f>
        <v/>
      </c>
      <c r="B436" s="30">
        <v>1571.0</v>
      </c>
      <c r="C436" s="16" t="s">
        <v>2139</v>
      </c>
      <c r="D436" s="16" t="s">
        <v>184</v>
      </c>
      <c r="E436" s="16" t="s">
        <v>234</v>
      </c>
      <c r="F436" s="16" t="s">
        <v>222</v>
      </c>
      <c r="G436" s="16" t="s">
        <v>220</v>
      </c>
      <c r="H436" s="16" t="s">
        <v>220</v>
      </c>
    </row>
    <row r="437" ht="330.75" customHeight="1">
      <c r="A437" s="32" t="str">
        <f>IMAGE("https://gymvisual.com/5971-catalog_default/dumbbell-incline-one-arm-press-on-exercise-ball.jpg",4,500,500)</f>
        <v/>
      </c>
      <c r="B437" s="30">
        <v>1570.0</v>
      </c>
      <c r="C437" s="16" t="s">
        <v>2138</v>
      </c>
      <c r="D437" s="16" t="s">
        <v>184</v>
      </c>
      <c r="E437" s="16" t="s">
        <v>234</v>
      </c>
      <c r="F437" s="16" t="s">
        <v>222</v>
      </c>
      <c r="G437" s="16" t="s">
        <v>415</v>
      </c>
      <c r="H437" s="16" t="s">
        <v>243</v>
      </c>
    </row>
    <row r="438" ht="330.75" customHeight="1">
      <c r="A438" s="32" t="str">
        <f>IMAGE("https://gymvisual.com/5970-catalog_default/dumbbell-incline-one-arm-press.jpg",4,500,500)</f>
        <v/>
      </c>
      <c r="B438" s="30">
        <v>1569.0</v>
      </c>
      <c r="C438" s="16" t="s">
        <v>2137</v>
      </c>
      <c r="D438" s="16" t="s">
        <v>184</v>
      </c>
      <c r="E438" s="16" t="s">
        <v>234</v>
      </c>
      <c r="F438" s="16" t="s">
        <v>222</v>
      </c>
      <c r="G438" s="16" t="s">
        <v>415</v>
      </c>
      <c r="H438" s="16" t="s">
        <v>243</v>
      </c>
    </row>
    <row r="439" ht="330.75" customHeight="1">
      <c r="A439" s="32" t="str">
        <f>IMAGE("https://gymvisual.com/12057-catalog_default/dumbbell-incline-one-arm-lateral-raise-female.jpg",4,500,500)</f>
        <v/>
      </c>
      <c r="B439" s="30">
        <v>1568.0</v>
      </c>
      <c r="C439" s="16" t="s">
        <v>2136</v>
      </c>
      <c r="D439" s="16" t="s">
        <v>184</v>
      </c>
      <c r="E439" s="16" t="s">
        <v>228</v>
      </c>
      <c r="F439" s="16" t="s">
        <v>222</v>
      </c>
      <c r="G439" s="16" t="s">
        <v>220</v>
      </c>
      <c r="H439" s="16" t="s">
        <v>220</v>
      </c>
    </row>
    <row r="440" ht="330.75" customHeight="1">
      <c r="A440" s="32" t="str">
        <f>IMAGE("https://gymvisual.com/989-catalog_default/3-4-sit-up.jpg",4,500,500)</f>
        <v/>
      </c>
      <c r="B440" s="30">
        <v>1567.0</v>
      </c>
      <c r="C440" s="16" t="s">
        <v>2134</v>
      </c>
      <c r="D440" s="16" t="s">
        <v>184</v>
      </c>
      <c r="E440" s="16" t="s">
        <v>228</v>
      </c>
      <c r="F440" s="16" t="s">
        <v>222</v>
      </c>
      <c r="G440" s="16" t="s">
        <v>544</v>
      </c>
      <c r="H440" s="16" t="s">
        <v>2135</v>
      </c>
    </row>
    <row r="441" ht="330.75" customHeight="1">
      <c r="A441" s="32" t="str">
        <f>IMAGE("https://gymvisual.com/7095-catalog_default/dumbbell-incline-one-arm-hammer-press-on-exercise-ball.jpg",4,500,500)</f>
        <v/>
      </c>
      <c r="B441" s="30">
        <v>1566.0</v>
      </c>
      <c r="C441" s="16" t="s">
        <v>2133</v>
      </c>
      <c r="D441" s="16" t="s">
        <v>184</v>
      </c>
      <c r="E441" s="16" t="s">
        <v>219</v>
      </c>
      <c r="F441" s="16" t="s">
        <v>222</v>
      </c>
      <c r="G441" s="16" t="s">
        <v>220</v>
      </c>
      <c r="H441" s="16" t="s">
        <v>220</v>
      </c>
    </row>
    <row r="442" ht="330.75" customHeight="1">
      <c r="A442" s="32" t="str">
        <f>IMAGE("https://gymvisual.com/7094-catalog_default/dumbbell-incline-one-arm-hammer-press.jpg",4,500,500)</f>
        <v/>
      </c>
      <c r="B442" s="30">
        <v>1565.0</v>
      </c>
      <c r="C442" s="16" t="s">
        <v>2132</v>
      </c>
      <c r="D442" s="16" t="s">
        <v>184</v>
      </c>
      <c r="E442" s="16" t="s">
        <v>219</v>
      </c>
      <c r="F442" s="16" t="s">
        <v>222</v>
      </c>
      <c r="G442" s="16" t="s">
        <v>220</v>
      </c>
      <c r="H442" s="16" t="s">
        <v>220</v>
      </c>
    </row>
    <row r="443" ht="330.75" customHeight="1">
      <c r="A443" s="32" t="str">
        <f>IMAGE("https://gymvisual.com/17875-catalog_default/dumbbell-incline-one-arm-front-raise-with-chest-support.jpg",4,500,500)</f>
        <v/>
      </c>
      <c r="B443" s="30">
        <v>1564.0</v>
      </c>
      <c r="C443" s="16" t="s">
        <v>2131</v>
      </c>
      <c r="D443" s="16" t="s">
        <v>184</v>
      </c>
      <c r="E443" s="16" t="s">
        <v>228</v>
      </c>
      <c r="F443" s="16" t="s">
        <v>222</v>
      </c>
      <c r="G443" s="16" t="s">
        <v>220</v>
      </c>
      <c r="H443" s="16" t="s">
        <v>220</v>
      </c>
    </row>
    <row r="444" ht="330.75" customHeight="1">
      <c r="A444" s="32" t="str">
        <f>IMAGE("https://gymvisual.com/5969-catalog_default/dumbbell-incline-one-arm-fly-on-exercise-ball.jpg",4,500,500)</f>
        <v/>
      </c>
      <c r="B444" s="30">
        <v>1563.0</v>
      </c>
      <c r="C444" s="16" t="s">
        <v>2130</v>
      </c>
      <c r="D444" s="16" t="s">
        <v>184</v>
      </c>
      <c r="E444" s="16" t="s">
        <v>234</v>
      </c>
      <c r="F444" s="16" t="s">
        <v>222</v>
      </c>
      <c r="G444" s="16" t="s">
        <v>415</v>
      </c>
      <c r="H444" s="16" t="s">
        <v>236</v>
      </c>
    </row>
    <row r="445" ht="330.75" customHeight="1">
      <c r="A445" s="32" t="str">
        <f>IMAGE("https://gymvisual.com/5968-catalog_default/dumbbell-incline-one-arm-fly.jpg",4,500,500)</f>
        <v/>
      </c>
      <c r="B445" s="30">
        <v>1562.0</v>
      </c>
      <c r="C445" s="16" t="s">
        <v>2129</v>
      </c>
      <c r="D445" s="16" t="s">
        <v>184</v>
      </c>
      <c r="E445" s="16" t="s">
        <v>234</v>
      </c>
      <c r="F445" s="16" t="s">
        <v>222</v>
      </c>
      <c r="G445" s="16" t="s">
        <v>415</v>
      </c>
      <c r="H445" s="16" t="s">
        <v>236</v>
      </c>
    </row>
    <row r="446" ht="330.75" customHeight="1">
      <c r="A446" s="32" t="str">
        <f>IMAGE("https://gymvisual.com/11134-catalog_default/dumbbell-incline-inner-biceps-curl-female.jpg",4,500,500)</f>
        <v/>
      </c>
      <c r="B446" s="30">
        <v>1561.0</v>
      </c>
      <c r="C446" s="16" t="s">
        <v>2128</v>
      </c>
      <c r="D446" s="16" t="s">
        <v>184</v>
      </c>
      <c r="E446" s="16" t="s">
        <v>219</v>
      </c>
      <c r="F446" s="16" t="s">
        <v>222</v>
      </c>
      <c r="G446" s="16" t="s">
        <v>220</v>
      </c>
      <c r="H446" s="16" t="s">
        <v>220</v>
      </c>
    </row>
    <row r="447" ht="330.75" customHeight="1">
      <c r="A447" s="32" t="str">
        <f>IMAGE("https://gymvisual.com/986-catalog_default/3-4-sit-up.jpg",4,500,500)</f>
        <v/>
      </c>
      <c r="B447" s="30">
        <v>1560.0</v>
      </c>
      <c r="C447" s="16" t="s">
        <v>2127</v>
      </c>
      <c r="D447" s="16" t="s">
        <v>184</v>
      </c>
      <c r="E447" s="16" t="s">
        <v>219</v>
      </c>
      <c r="F447" s="16" t="s">
        <v>222</v>
      </c>
      <c r="G447" s="16" t="s">
        <v>241</v>
      </c>
      <c r="H447" s="16" t="s">
        <v>292</v>
      </c>
    </row>
    <row r="448" ht="330.75" customHeight="1">
      <c r="A448" s="32" t="str">
        <f>IMAGE("https://gymvisual.com/22237-catalog_default/dumbbell-incline-head-supported-row.jpg",4,500,500)</f>
        <v/>
      </c>
      <c r="B448" s="30">
        <v>1559.0</v>
      </c>
      <c r="C448" s="16" t="s">
        <v>2126</v>
      </c>
      <c r="D448" s="16" t="s">
        <v>184</v>
      </c>
      <c r="E448" s="16" t="s">
        <v>192</v>
      </c>
      <c r="F448" s="16" t="s">
        <v>222</v>
      </c>
      <c r="G448" s="16" t="s">
        <v>220</v>
      </c>
      <c r="H448" s="16" t="s">
        <v>220</v>
      </c>
    </row>
    <row r="449" ht="330.75" customHeight="1">
      <c r="A449" s="32" t="str">
        <f>IMAGE("https://gymvisual.com/7093-catalog_default/dumbbell-incline-hammer-press-on-exercise-ball.jpg",4,500,500)</f>
        <v/>
      </c>
      <c r="B449" s="30">
        <v>1558.0</v>
      </c>
      <c r="C449" s="16" t="s">
        <v>2125</v>
      </c>
      <c r="D449" s="16" t="s">
        <v>184</v>
      </c>
      <c r="E449" s="16" t="s">
        <v>219</v>
      </c>
      <c r="F449" s="16" t="s">
        <v>222</v>
      </c>
      <c r="G449" s="16" t="s">
        <v>220</v>
      </c>
      <c r="H449" s="16" t="s">
        <v>220</v>
      </c>
    </row>
    <row r="450" ht="330.75" customHeight="1">
      <c r="A450" s="32" t="str">
        <f>IMAGE("https://gymvisual.com/11083-catalog_default/dumbbell-incline-hammer-press-female.jpg",4,500,500)</f>
        <v/>
      </c>
      <c r="B450" s="30">
        <v>1557.0</v>
      </c>
      <c r="C450" s="16" t="s">
        <v>2124</v>
      </c>
      <c r="D450" s="16" t="s">
        <v>184</v>
      </c>
      <c r="E450" s="16" t="s">
        <v>234</v>
      </c>
      <c r="F450" s="16" t="s">
        <v>222</v>
      </c>
      <c r="G450" s="16" t="s">
        <v>223</v>
      </c>
      <c r="H450" s="16" t="s">
        <v>472</v>
      </c>
    </row>
    <row r="451" ht="330.75" customHeight="1">
      <c r="A451" s="32" t="str">
        <f>IMAGE("https://gymvisual.com/983-catalog_default/3-4-sit-up.jpg",4,500,500)</f>
        <v/>
      </c>
      <c r="B451" s="30">
        <v>1556.0</v>
      </c>
      <c r="C451" s="16" t="s">
        <v>2123</v>
      </c>
      <c r="D451" s="16" t="s">
        <v>184</v>
      </c>
      <c r="E451" s="16" t="s">
        <v>234</v>
      </c>
      <c r="F451" s="16" t="s">
        <v>222</v>
      </c>
      <c r="G451" s="16" t="s">
        <v>415</v>
      </c>
      <c r="H451" s="16" t="s">
        <v>243</v>
      </c>
    </row>
    <row r="452" ht="330.75" customHeight="1">
      <c r="A452" s="32" t="str">
        <f>IMAGE("https://gymvisual.com/11053-catalog_default/dumbbell-incline-hammer-curl-female.jpg",4,500,500)</f>
        <v/>
      </c>
      <c r="B452" s="30">
        <v>1555.0</v>
      </c>
      <c r="C452" s="16" t="s">
        <v>2122</v>
      </c>
      <c r="D452" s="16" t="s">
        <v>184</v>
      </c>
      <c r="E452" s="16" t="s">
        <v>219</v>
      </c>
      <c r="F452" s="16" t="s">
        <v>222</v>
      </c>
      <c r="G452" s="16" t="s">
        <v>216</v>
      </c>
      <c r="H452" s="16" t="s">
        <v>217</v>
      </c>
    </row>
    <row r="453" ht="330.75" customHeight="1">
      <c r="A453" s="32" t="str">
        <f>IMAGE("https://gymvisual.com/980-catalog_default/3-4-sit-up.jpg",4,500,500)</f>
        <v/>
      </c>
      <c r="B453" s="30">
        <v>1554.0</v>
      </c>
      <c r="C453" s="16" t="s">
        <v>2121</v>
      </c>
      <c r="D453" s="16" t="s">
        <v>184</v>
      </c>
      <c r="E453" s="16" t="s">
        <v>219</v>
      </c>
      <c r="F453" s="16" t="s">
        <v>222</v>
      </c>
      <c r="G453" s="16" t="s">
        <v>241</v>
      </c>
      <c r="H453" s="16" t="s">
        <v>292</v>
      </c>
    </row>
    <row r="454" ht="330.75" customHeight="1">
      <c r="A454" s="32" t="str">
        <f>IMAGE("https://gymvisual.com/17383-catalog_default/dumbbell-incline-front-raise-with-chest-support.jpg",4,500,500)</f>
        <v/>
      </c>
      <c r="B454" s="30">
        <v>1553.0</v>
      </c>
      <c r="C454" s="16" t="s">
        <v>2120</v>
      </c>
      <c r="D454" s="16" t="s">
        <v>184</v>
      </c>
      <c r="E454" s="16" t="s">
        <v>228</v>
      </c>
      <c r="F454" s="16" t="s">
        <v>222</v>
      </c>
      <c r="G454" s="16" t="s">
        <v>229</v>
      </c>
      <c r="H454" s="16" t="s">
        <v>244</v>
      </c>
    </row>
    <row r="455" ht="330.75" customHeight="1">
      <c r="A455" s="32" t="str">
        <f>IMAGE("https://gymvisual.com/4428-catalog_default/dumbbell-incline-front-raise.jpg",4,500,500)</f>
        <v/>
      </c>
      <c r="B455" s="30">
        <v>1552.0</v>
      </c>
      <c r="C455" s="16" t="s">
        <v>2119</v>
      </c>
      <c r="D455" s="16" t="s">
        <v>184</v>
      </c>
      <c r="E455" s="16" t="s">
        <v>228</v>
      </c>
      <c r="F455" s="16" t="s">
        <v>222</v>
      </c>
      <c r="G455" s="16" t="s">
        <v>229</v>
      </c>
      <c r="H455" s="16" t="s">
        <v>244</v>
      </c>
    </row>
    <row r="456" ht="330.75" customHeight="1">
      <c r="A456" s="32" t="str">
        <f>IMAGE("https://gymvisual.com/11408-catalog_default/dumbbell-incline-fly-on-exercise-ball-female.jpg",4,500,500)</f>
        <v/>
      </c>
      <c r="B456" s="30">
        <v>1551.0</v>
      </c>
      <c r="C456" s="16" t="s">
        <v>2118</v>
      </c>
      <c r="D456" s="16" t="s">
        <v>184</v>
      </c>
      <c r="E456" s="16" t="s">
        <v>234</v>
      </c>
      <c r="F456" s="16" t="s">
        <v>1929</v>
      </c>
      <c r="G456" s="16" t="s">
        <v>415</v>
      </c>
      <c r="H456" s="16" t="s">
        <v>236</v>
      </c>
    </row>
    <row r="457" ht="330.75" customHeight="1">
      <c r="A457" s="32" t="str">
        <f>IMAGE("https://gymvisual.com/5967-catalog_default/dumbbell-incline-fly-on-exercise-ball.jpg",4,500,500)</f>
        <v/>
      </c>
      <c r="B457" s="30">
        <v>1550.0</v>
      </c>
      <c r="C457" s="16" t="s">
        <v>2117</v>
      </c>
      <c r="D457" s="16" t="s">
        <v>184</v>
      </c>
      <c r="E457" s="16" t="s">
        <v>234</v>
      </c>
      <c r="F457" s="16" t="s">
        <v>222</v>
      </c>
      <c r="G457" s="16" t="s">
        <v>415</v>
      </c>
      <c r="H457" s="16" t="s">
        <v>236</v>
      </c>
    </row>
    <row r="458" ht="330.75" customHeight="1">
      <c r="A458" s="32" t="str">
        <f>IMAGE("https://gymvisual.com/11113-catalog_default/dumbbell-incline-fly-female.jpg",4,500,500)</f>
        <v/>
      </c>
      <c r="B458" s="30">
        <v>1549.0</v>
      </c>
      <c r="C458" s="16" t="s">
        <v>2116</v>
      </c>
      <c r="D458" s="16" t="s">
        <v>184</v>
      </c>
      <c r="E458" s="16" t="s">
        <v>234</v>
      </c>
      <c r="F458" s="16" t="s">
        <v>222</v>
      </c>
      <c r="G458" s="16" t="s">
        <v>415</v>
      </c>
      <c r="H458" s="16" t="s">
        <v>236</v>
      </c>
    </row>
    <row r="459" ht="330.75" customHeight="1">
      <c r="A459" s="32" t="str">
        <f>IMAGE("https://gymvisual.com/10273-catalog_default/3-4-sit-up.jpg",4,500,500)</f>
        <v/>
      </c>
      <c r="B459" s="30">
        <v>1548.0</v>
      </c>
      <c r="C459" s="16" t="s">
        <v>2115</v>
      </c>
      <c r="D459" s="16" t="s">
        <v>184</v>
      </c>
      <c r="E459" s="16" t="s">
        <v>234</v>
      </c>
      <c r="F459" s="16" t="s">
        <v>222</v>
      </c>
      <c r="G459" s="16" t="s">
        <v>415</v>
      </c>
      <c r="H459" s="16" t="s">
        <v>236</v>
      </c>
    </row>
    <row r="460" ht="330.75" customHeight="1">
      <c r="A460" s="32" t="str">
        <f>IMAGE("https://gymvisual.com/971-catalog_default/3-4-sit-up.jpg",4,500,500)</f>
        <v/>
      </c>
      <c r="B460" s="30">
        <v>1547.0</v>
      </c>
      <c r="C460" s="16" t="s">
        <v>2114</v>
      </c>
      <c r="D460" s="16" t="s">
        <v>184</v>
      </c>
      <c r="E460" s="16" t="s">
        <v>219</v>
      </c>
      <c r="F460" s="16" t="s">
        <v>222</v>
      </c>
      <c r="G460" s="16" t="s">
        <v>232</v>
      </c>
      <c r="H460" s="16" t="s">
        <v>233</v>
      </c>
    </row>
    <row r="461" ht="330.75" customHeight="1">
      <c r="A461" s="32" t="str">
        <f>IMAGE("https://gymvisual.com/974-catalog_default/3-4-sit-up.jpg",4,500,500)</f>
        <v/>
      </c>
      <c r="B461" s="30">
        <v>1546.0</v>
      </c>
      <c r="C461" s="16" t="s">
        <v>2113</v>
      </c>
      <c r="D461" s="16" t="s">
        <v>184</v>
      </c>
      <c r="E461" s="16" t="s">
        <v>219</v>
      </c>
      <c r="F461" s="16" t="s">
        <v>222</v>
      </c>
      <c r="G461" s="16" t="s">
        <v>241</v>
      </c>
      <c r="H461" s="16" t="s">
        <v>292</v>
      </c>
    </row>
    <row r="462" ht="330.75" customHeight="1">
      <c r="A462" s="32" t="str">
        <f>IMAGE("https://gymvisual.com/17462-catalog_default/dumbbell-incline-close-grip-press-variation.jpg",4,500,500)</f>
        <v/>
      </c>
      <c r="B462" s="30">
        <v>1545.0</v>
      </c>
      <c r="C462" s="16" t="s">
        <v>2111</v>
      </c>
      <c r="D462" s="16" t="s">
        <v>184</v>
      </c>
      <c r="E462" s="16" t="s">
        <v>219</v>
      </c>
      <c r="F462" s="16" t="s">
        <v>222</v>
      </c>
      <c r="G462" s="16" t="s">
        <v>2112</v>
      </c>
      <c r="H462" s="16" t="s">
        <v>896</v>
      </c>
    </row>
    <row r="463" ht="330.75" customHeight="1">
      <c r="A463" s="32" t="str">
        <f>IMAGE("https://gymvisual.com/968-catalog_default/3-4-sit-up.jpg",4,500,500)</f>
        <v/>
      </c>
      <c r="B463" s="30">
        <v>1544.0</v>
      </c>
      <c r="C463" s="16" t="s">
        <v>2110</v>
      </c>
      <c r="D463" s="16" t="s">
        <v>184</v>
      </c>
      <c r="E463" s="16" t="s">
        <v>234</v>
      </c>
      <c r="F463" s="16" t="s">
        <v>222</v>
      </c>
      <c r="G463" s="16" t="s">
        <v>415</v>
      </c>
      <c r="H463" s="16" t="s">
        <v>2003</v>
      </c>
    </row>
    <row r="464" ht="330.75" customHeight="1">
      <c r="A464" s="32" t="str">
        <f>IMAGE("https://gymvisual.com/22235-catalog_default/dumbbell-incline-biceps-curl-version-2-female.jpg",4,500,500)</f>
        <v/>
      </c>
      <c r="B464" s="30">
        <v>1543.0</v>
      </c>
      <c r="C464" s="16" t="s">
        <v>2109</v>
      </c>
      <c r="D464" s="16" t="s">
        <v>184</v>
      </c>
      <c r="E464" s="16" t="s">
        <v>219</v>
      </c>
      <c r="F464" s="16" t="s">
        <v>222</v>
      </c>
      <c r="G464" s="16" t="s">
        <v>220</v>
      </c>
      <c r="H464" s="16" t="s">
        <v>220</v>
      </c>
    </row>
    <row r="465" ht="330.75" customHeight="1">
      <c r="A465" s="32" t="str">
        <f>IMAGE("https://gymvisual.com/16708-catalog_default/dumbbell-incline-biceps-curl-female.jpg",4,500,500)</f>
        <v/>
      </c>
      <c r="B465" s="30">
        <v>1542.0</v>
      </c>
      <c r="C465" s="16" t="s">
        <v>2108</v>
      </c>
      <c r="D465" s="16" t="s">
        <v>184</v>
      </c>
      <c r="E465" s="16" t="s">
        <v>219</v>
      </c>
      <c r="F465" s="16" t="s">
        <v>222</v>
      </c>
      <c r="G465" s="16" t="s">
        <v>241</v>
      </c>
      <c r="H465" s="16" t="s">
        <v>292</v>
      </c>
    </row>
    <row r="466" ht="330.75" customHeight="1">
      <c r="A466" s="32" t="str">
        <f>IMAGE("https://gymvisual.com/11044-catalog_default/dumbbell-incline-biceps-curl-female.jpg",4,500,500)</f>
        <v/>
      </c>
      <c r="B466" s="30">
        <v>1541.0</v>
      </c>
      <c r="C466" s="16" t="s">
        <v>2108</v>
      </c>
      <c r="D466" s="16" t="s">
        <v>184</v>
      </c>
      <c r="E466" s="16" t="s">
        <v>219</v>
      </c>
      <c r="F466" s="16" t="s">
        <v>222</v>
      </c>
      <c r="G466" s="16" t="s">
        <v>241</v>
      </c>
      <c r="H466" s="16" t="s">
        <v>292</v>
      </c>
    </row>
    <row r="467" ht="330.75" customHeight="1">
      <c r="A467" s="32" t="str">
        <f>IMAGE("https://gymvisual.com/22500-catalog_default/dumbbell-incline-biceps-curl-70-degrees-female.jpg",4,500,500)</f>
        <v/>
      </c>
      <c r="B467" s="30">
        <v>1540.0</v>
      </c>
      <c r="C467" s="16" t="s">
        <v>2107</v>
      </c>
      <c r="D467" s="16" t="s">
        <v>184</v>
      </c>
      <c r="E467" s="16" t="s">
        <v>219</v>
      </c>
      <c r="F467" s="16" t="s">
        <v>222</v>
      </c>
      <c r="G467" s="16" t="s">
        <v>220</v>
      </c>
      <c r="H467" s="16" t="s">
        <v>220</v>
      </c>
    </row>
    <row r="468" ht="330.75" customHeight="1">
      <c r="A468" s="32" t="str">
        <f>IMAGE("https://gymvisual.com/965-catalog_default/3-4-sit-up.jpg",4,500,500)</f>
        <v/>
      </c>
      <c r="B468" s="30">
        <v>1539.0</v>
      </c>
      <c r="C468" s="16" t="s">
        <v>2106</v>
      </c>
      <c r="D468" s="16" t="s">
        <v>184</v>
      </c>
      <c r="E468" s="16" t="s">
        <v>219</v>
      </c>
      <c r="F468" s="16" t="s">
        <v>222</v>
      </c>
      <c r="G468" s="16" t="s">
        <v>241</v>
      </c>
      <c r="H468" s="16" t="s">
        <v>292</v>
      </c>
    </row>
    <row r="469" ht="330.75" customHeight="1">
      <c r="A469" s="32" t="str">
        <f>IMAGE("https://gymvisual.com/10948-catalog_default/dumbbell-incline-bench-press-female.jpg",4,500,500)</f>
        <v/>
      </c>
      <c r="B469" s="30">
        <v>1538.0</v>
      </c>
      <c r="C469" s="16" t="s">
        <v>2105</v>
      </c>
      <c r="D469" s="16" t="s">
        <v>184</v>
      </c>
      <c r="E469" s="16" t="s">
        <v>234</v>
      </c>
      <c r="F469" s="16" t="s">
        <v>222</v>
      </c>
      <c r="G469" s="16" t="s">
        <v>415</v>
      </c>
      <c r="H469" s="16" t="s">
        <v>243</v>
      </c>
    </row>
    <row r="470" ht="330.75" customHeight="1">
      <c r="A470" s="32" t="str">
        <f>IMAGE("https://gymvisual.com/19335-catalog_default/3-4-sit-up.jpg",4,500,500)</f>
        <v/>
      </c>
      <c r="B470" s="30">
        <v>1537.0</v>
      </c>
      <c r="C470" s="16" t="s">
        <v>2104</v>
      </c>
      <c r="D470" s="16" t="s">
        <v>184</v>
      </c>
      <c r="E470" s="16" t="s">
        <v>234</v>
      </c>
      <c r="F470" s="16" t="s">
        <v>222</v>
      </c>
      <c r="G470" s="16" t="s">
        <v>415</v>
      </c>
      <c r="H470" s="16" t="s">
        <v>243</v>
      </c>
    </row>
    <row r="471" ht="330.75" customHeight="1">
      <c r="A471" s="32" t="str">
        <f>IMAGE("https://gymvisual.com/17329-catalog_default/dumbbell-incline-around-the-world.jpg",4,500,500)</f>
        <v/>
      </c>
      <c r="B471" s="30">
        <v>1536.0</v>
      </c>
      <c r="C471" s="16" t="s">
        <v>2102</v>
      </c>
      <c r="D471" s="16" t="s">
        <v>184</v>
      </c>
      <c r="E471" s="16" t="s">
        <v>1168</v>
      </c>
      <c r="F471" s="16" t="s">
        <v>222</v>
      </c>
      <c r="G471" s="16" t="s">
        <v>882</v>
      </c>
      <c r="H471" s="16" t="s">
        <v>2103</v>
      </c>
    </row>
    <row r="472" ht="330.75" customHeight="1">
      <c r="A472" s="32" t="str">
        <f>IMAGE("https://gymvisual.com/14784-catalog_default/dumbbell-incline-alternate-reverse-fly.jpg",4,500,500)</f>
        <v/>
      </c>
      <c r="B472" s="30">
        <v>1535.0</v>
      </c>
      <c r="C472" s="16" t="s">
        <v>2101</v>
      </c>
      <c r="D472" s="16" t="s">
        <v>184</v>
      </c>
      <c r="E472" s="16" t="s">
        <v>228</v>
      </c>
      <c r="F472" s="16" t="s">
        <v>222</v>
      </c>
      <c r="G472" s="16" t="s">
        <v>408</v>
      </c>
      <c r="H472" s="16" t="s">
        <v>452</v>
      </c>
    </row>
    <row r="473" ht="330.75" customHeight="1">
      <c r="A473" s="32" t="str">
        <f>IMAGE("https://gymvisual.com/14102-catalog_default/dumbbell-incline-alternate-press.jpg",4,500,500)</f>
        <v/>
      </c>
      <c r="B473" s="30">
        <v>1534.0</v>
      </c>
      <c r="C473" s="16" t="s">
        <v>2100</v>
      </c>
      <c r="D473" s="16" t="s">
        <v>184</v>
      </c>
      <c r="E473" s="16" t="s">
        <v>234</v>
      </c>
      <c r="F473" s="16" t="s">
        <v>222</v>
      </c>
      <c r="G473" s="16" t="s">
        <v>415</v>
      </c>
      <c r="H473" s="16" t="s">
        <v>243</v>
      </c>
    </row>
    <row r="474" ht="330.75" customHeight="1">
      <c r="A474" s="32" t="str">
        <f>IMAGE("https://gymvisual.com/4604-catalog_default/dumbbell-incline-alternate-hammer-curl.jpg",4,500,500)</f>
        <v/>
      </c>
      <c r="B474" s="30">
        <v>1533.0</v>
      </c>
      <c r="C474" s="16" t="s">
        <v>2099</v>
      </c>
      <c r="D474" s="16" t="s">
        <v>184</v>
      </c>
      <c r="E474" s="16" t="s">
        <v>219</v>
      </c>
      <c r="F474" s="16" t="s">
        <v>222</v>
      </c>
      <c r="G474" s="16" t="s">
        <v>216</v>
      </c>
      <c r="H474" s="16" t="s">
        <v>217</v>
      </c>
    </row>
    <row r="475" ht="330.75" customHeight="1">
      <c r="A475" s="32" t="str">
        <f>IMAGE("https://gymvisual.com/14759-catalog_default/dumbbell-incline-alternate-bicep-curl.jpg",4,500,500)</f>
        <v/>
      </c>
      <c r="B475" s="30">
        <v>1532.0</v>
      </c>
      <c r="C475" s="16" t="s">
        <v>2098</v>
      </c>
      <c r="D475" s="16" t="s">
        <v>184</v>
      </c>
      <c r="E475" s="16" t="s">
        <v>219</v>
      </c>
      <c r="F475" s="16" t="s">
        <v>222</v>
      </c>
      <c r="G475" s="16" t="s">
        <v>217</v>
      </c>
      <c r="H475" s="16" t="s">
        <v>216</v>
      </c>
    </row>
    <row r="476" ht="330.75" customHeight="1">
      <c r="A476" s="32" t="str">
        <f>IMAGE("https://gymvisual.com/22233-catalog_default/dumbbell-hip-thrust.jpg",4,500,500)</f>
        <v/>
      </c>
      <c r="B476" s="30">
        <v>1531.0</v>
      </c>
      <c r="C476" s="16" t="s">
        <v>2097</v>
      </c>
      <c r="D476" s="16" t="s">
        <v>184</v>
      </c>
      <c r="E476" s="16" t="s">
        <v>185</v>
      </c>
      <c r="F476" s="16" t="s">
        <v>222</v>
      </c>
      <c r="G476" s="16" t="s">
        <v>220</v>
      </c>
      <c r="H476" s="16" t="s">
        <v>220</v>
      </c>
    </row>
    <row r="477" ht="330.75" customHeight="1">
      <c r="A477" s="32" t="str">
        <f>IMAGE("https://gymvisual.com/25011-catalog_default/dumbbell-high-pull.jpg",4,500,500)</f>
        <v/>
      </c>
      <c r="B477" s="30">
        <v>1530.0</v>
      </c>
      <c r="C477" s="16" t="s">
        <v>2096</v>
      </c>
      <c r="D477" s="16" t="s">
        <v>184</v>
      </c>
      <c r="E477" s="16" t="s">
        <v>764</v>
      </c>
      <c r="F477" s="16" t="s">
        <v>222</v>
      </c>
      <c r="G477" s="16" t="s">
        <v>220</v>
      </c>
      <c r="H477" s="16" t="s">
        <v>220</v>
      </c>
    </row>
    <row r="478" ht="330.75" customHeight="1">
      <c r="A478" s="32" t="str">
        <f>IMAGE("https://gymvisual.com/12173-catalog_default/dumbbell-high-low-carry.jpg",4,500,500)</f>
        <v/>
      </c>
      <c r="B478" s="30">
        <v>1529.0</v>
      </c>
      <c r="C478" s="16" t="s">
        <v>2095</v>
      </c>
      <c r="D478" s="16" t="s">
        <v>184</v>
      </c>
      <c r="E478" s="16" t="s">
        <v>285</v>
      </c>
      <c r="F478" s="16" t="s">
        <v>222</v>
      </c>
      <c r="G478" s="16" t="s">
        <v>220</v>
      </c>
      <c r="H478" s="16" t="s">
        <v>220</v>
      </c>
    </row>
    <row r="479" ht="330.75" customHeight="1">
      <c r="A479" s="32" t="str">
        <f>IMAGE("https://gymvisual.com/7138-catalog_default/dumbbell-high-curl.jpg",4,500,500)</f>
        <v/>
      </c>
      <c r="B479" s="30">
        <v>1528.0</v>
      </c>
      <c r="C479" s="16" t="s">
        <v>2094</v>
      </c>
      <c r="D479" s="16" t="s">
        <v>184</v>
      </c>
      <c r="E479" s="16" t="s">
        <v>219</v>
      </c>
      <c r="F479" s="16" t="s">
        <v>222</v>
      </c>
      <c r="G479" s="16" t="s">
        <v>220</v>
      </c>
      <c r="H479" s="16" t="s">
        <v>220</v>
      </c>
    </row>
    <row r="480" ht="330.75" customHeight="1">
      <c r="A480" s="32" t="str">
        <f>IMAGE("https://gymvisual.com/22231-catalog_default/dumbbell-head-supported-row.jpg",4,500,500)</f>
        <v/>
      </c>
      <c r="B480" s="30">
        <v>1527.0</v>
      </c>
      <c r="C480" s="16" t="s">
        <v>2093</v>
      </c>
      <c r="D480" s="16" t="s">
        <v>184</v>
      </c>
      <c r="E480" s="16" t="s">
        <v>192</v>
      </c>
      <c r="F480" s="16" t="s">
        <v>222</v>
      </c>
      <c r="G480" s="16" t="s">
        <v>220</v>
      </c>
      <c r="H480" s="16" t="s">
        <v>220</v>
      </c>
    </row>
    <row r="481" ht="330.75" customHeight="1">
      <c r="A481" s="32" t="str">
        <f>IMAGE("https://gymvisual.com/22229-catalog_default/dumbbell-hang-power-clean-and-jerk.jpg",4,500,500)</f>
        <v/>
      </c>
      <c r="B481" s="30">
        <v>1526.0</v>
      </c>
      <c r="C481" s="16" t="s">
        <v>2092</v>
      </c>
      <c r="D481" s="16" t="s">
        <v>184</v>
      </c>
      <c r="E481" s="16" t="s">
        <v>764</v>
      </c>
      <c r="F481" s="16" t="s">
        <v>222</v>
      </c>
      <c r="G481" s="16" t="s">
        <v>220</v>
      </c>
      <c r="H481" s="16" t="s">
        <v>220</v>
      </c>
    </row>
    <row r="482" ht="330.75" customHeight="1">
      <c r="A482" s="32" t="str">
        <f>IMAGE("https://gymvisual.com/22227-catalog_default/dumbbell-hang-power-clean.jpg",4,500,500)</f>
        <v/>
      </c>
      <c r="B482" s="30">
        <v>1525.0</v>
      </c>
      <c r="C482" s="16" t="s">
        <v>2091</v>
      </c>
      <c r="D482" s="16" t="s">
        <v>184</v>
      </c>
      <c r="E482" s="16" t="s">
        <v>764</v>
      </c>
      <c r="F482" s="16" t="s">
        <v>222</v>
      </c>
      <c r="G482" s="16" t="s">
        <v>954</v>
      </c>
      <c r="H482" s="16" t="s">
        <v>220</v>
      </c>
    </row>
    <row r="483" ht="330.75" customHeight="1">
      <c r="A483" s="32" t="str">
        <f>IMAGE("https://gymvisual.com/19423-catalog_default/dumbbell-hang-clean-and-jerk.jpg",4,500,500)</f>
        <v/>
      </c>
      <c r="B483" s="30">
        <v>1524.0</v>
      </c>
      <c r="C483" s="16" t="s">
        <v>2090</v>
      </c>
      <c r="D483" s="16" t="s">
        <v>184</v>
      </c>
      <c r="E483" s="16" t="s">
        <v>764</v>
      </c>
      <c r="F483" s="16" t="s">
        <v>222</v>
      </c>
      <c r="G483" s="16" t="s">
        <v>220</v>
      </c>
      <c r="H483" s="16" t="s">
        <v>220</v>
      </c>
    </row>
    <row r="484" ht="330.75" customHeight="1">
      <c r="A484" s="32" t="str">
        <f>IMAGE("https://gymvisual.com/19519-catalog_default/dumbbell-hang-clean.jpg",4,500,500)</f>
        <v/>
      </c>
      <c r="B484" s="30">
        <v>1523.0</v>
      </c>
      <c r="C484" s="16" t="s">
        <v>2089</v>
      </c>
      <c r="D484" s="16" t="s">
        <v>184</v>
      </c>
      <c r="E484" s="16" t="s">
        <v>764</v>
      </c>
      <c r="F484" s="16" t="s">
        <v>222</v>
      </c>
      <c r="G484" s="16" t="s">
        <v>220</v>
      </c>
      <c r="H484" s="16" t="s">
        <v>220</v>
      </c>
    </row>
    <row r="485" ht="330.75" customHeight="1">
      <c r="A485" s="32" t="str">
        <f>IMAGE("https://gymvisual.com/18746-catalog_default/dumbbell-hammer-preacher-curl-female.jpg",4,500,500)</f>
        <v/>
      </c>
      <c r="B485" s="30">
        <v>1522.0</v>
      </c>
      <c r="C485" s="16" t="s">
        <v>2088</v>
      </c>
      <c r="D485" s="16" t="s">
        <v>184</v>
      </c>
      <c r="E485" s="16" t="s">
        <v>214</v>
      </c>
      <c r="F485" s="16" t="s">
        <v>222</v>
      </c>
      <c r="G485" s="16" t="s">
        <v>220</v>
      </c>
      <c r="H485" s="16" t="s">
        <v>220</v>
      </c>
    </row>
    <row r="486" ht="330.75" customHeight="1">
      <c r="A486" s="32" t="str">
        <f>IMAGE("https://gymvisual.com/17146-catalog_default/dumbbell-hammer-grip-incline-bench-two-arm-row-female.jpg",4,500,500)</f>
        <v/>
      </c>
      <c r="B486" s="30">
        <v>1521.0</v>
      </c>
      <c r="C486" s="16" t="s">
        <v>2087</v>
      </c>
      <c r="D486" s="16" t="s">
        <v>184</v>
      </c>
      <c r="E486" s="16" t="s">
        <v>192</v>
      </c>
      <c r="F486" s="16" t="s">
        <v>222</v>
      </c>
      <c r="G486" s="16" t="s">
        <v>329</v>
      </c>
      <c r="H486" s="16" t="s">
        <v>447</v>
      </c>
    </row>
    <row r="487" ht="330.75" customHeight="1">
      <c r="A487" s="32" t="str">
        <f>IMAGE("https://gymvisual.com/13209-catalog_default/dumbbell-hammer-grip-incline-bench-two-arm-row.jpg",4,500,500)</f>
        <v/>
      </c>
      <c r="B487" s="30">
        <v>1520.0</v>
      </c>
      <c r="C487" s="16" t="s">
        <v>2086</v>
      </c>
      <c r="D487" s="16" t="s">
        <v>184</v>
      </c>
      <c r="E487" s="16" t="s">
        <v>192</v>
      </c>
      <c r="F487" s="16" t="s">
        <v>222</v>
      </c>
      <c r="G487" s="16" t="s">
        <v>329</v>
      </c>
      <c r="H487" s="16" t="s">
        <v>457</v>
      </c>
    </row>
    <row r="488" ht="330.75" customHeight="1">
      <c r="A488" s="32" t="str">
        <f>IMAGE("https://gymvisual.com/13423-catalog_default/dumbbell-hammer-curls-with-arm-blaster-female.jpg",4,500,500)</f>
        <v/>
      </c>
      <c r="B488" s="30">
        <v>1519.0</v>
      </c>
      <c r="C488" s="16" t="s">
        <v>2085</v>
      </c>
      <c r="D488" s="16" t="s">
        <v>184</v>
      </c>
      <c r="E488" s="16" t="s">
        <v>214</v>
      </c>
      <c r="F488" s="16" t="s">
        <v>222</v>
      </c>
      <c r="G488" s="16" t="s">
        <v>220</v>
      </c>
      <c r="H488" s="16" t="s">
        <v>220</v>
      </c>
    </row>
    <row r="489" ht="330.75" customHeight="1">
      <c r="A489" s="32" t="str">
        <f>IMAGE("https://gymvisual.com/10455-catalog_default/dumbbell-hammer-curls-with-arm-blaster.jpg",4,500,500)</f>
        <v/>
      </c>
      <c r="B489" s="30">
        <v>1518.0</v>
      </c>
      <c r="C489" s="16" t="s">
        <v>2084</v>
      </c>
      <c r="D489" s="16" t="s">
        <v>184</v>
      </c>
      <c r="E489" s="16" t="s">
        <v>214</v>
      </c>
      <c r="F489" s="16" t="s">
        <v>222</v>
      </c>
      <c r="G489" s="16" t="s">
        <v>216</v>
      </c>
      <c r="H489" s="16" t="s">
        <v>217</v>
      </c>
    </row>
    <row r="490" ht="330.75" customHeight="1">
      <c r="A490" s="32" t="str">
        <f>IMAGE("https://gymvisual.com/11471-catalog_default/dumbbell-hammer-curl-on-exercise-ball-female.jpg",4,500,500)</f>
        <v/>
      </c>
      <c r="B490" s="30">
        <v>1517.0</v>
      </c>
      <c r="C490" s="16" t="s">
        <v>2083</v>
      </c>
      <c r="D490" s="16" t="s">
        <v>184</v>
      </c>
      <c r="E490" s="16" t="s">
        <v>219</v>
      </c>
      <c r="F490" s="16" t="s">
        <v>1929</v>
      </c>
      <c r="G490" s="16" t="s">
        <v>220</v>
      </c>
      <c r="H490" s="16" t="s">
        <v>220</v>
      </c>
    </row>
    <row r="491" ht="330.75" customHeight="1">
      <c r="A491" s="32" t="str">
        <f>IMAGE("https://gymvisual.com/7133-catalog_default/dumbbell-hammer-curl-on-exercise-ball.jpg",4,500,500)</f>
        <v/>
      </c>
      <c r="B491" s="30">
        <v>1516.0</v>
      </c>
      <c r="C491" s="16" t="s">
        <v>2082</v>
      </c>
      <c r="D491" s="16" t="s">
        <v>184</v>
      </c>
      <c r="E491" s="16" t="s">
        <v>219</v>
      </c>
      <c r="F491" s="16" t="s">
        <v>222</v>
      </c>
      <c r="G491" s="16" t="s">
        <v>220</v>
      </c>
      <c r="H491" s="16" t="s">
        <v>220</v>
      </c>
    </row>
    <row r="492" ht="330.75" customHeight="1">
      <c r="A492" s="32" t="str">
        <f>IMAGE("https://gymvisual.com/956-catalog_default/3-4-sit-up.jpg",4,500,500)</f>
        <v/>
      </c>
      <c r="B492" s="30">
        <v>1515.0</v>
      </c>
      <c r="C492" s="16" t="s">
        <v>2081</v>
      </c>
      <c r="D492" s="16" t="s">
        <v>184</v>
      </c>
      <c r="E492" s="16" t="s">
        <v>219</v>
      </c>
      <c r="F492" s="16" t="s">
        <v>222</v>
      </c>
      <c r="G492" s="16" t="s">
        <v>216</v>
      </c>
      <c r="H492" s="16" t="s">
        <v>217</v>
      </c>
    </row>
    <row r="493" ht="330.75" customHeight="1">
      <c r="A493" s="32" t="str">
        <f>IMAGE("https://gymvisual.com/20668-catalog_default/dumbbell-hammer-curl-female.jpg",4,500,500)</f>
        <v/>
      </c>
      <c r="B493" s="30">
        <v>1514.0</v>
      </c>
      <c r="C493" s="16" t="s">
        <v>2080</v>
      </c>
      <c r="D493" s="16" t="s">
        <v>184</v>
      </c>
      <c r="E493" s="16" t="s">
        <v>219</v>
      </c>
      <c r="F493" s="16" t="s">
        <v>222</v>
      </c>
      <c r="G493" s="16" t="s">
        <v>216</v>
      </c>
      <c r="H493" s="16" t="s">
        <v>217</v>
      </c>
    </row>
    <row r="494" ht="330.75" customHeight="1">
      <c r="A494" s="32" t="str">
        <f>IMAGE("https://gymvisual.com/9631-catalog_default/dumbbell-hammer-curl-female.jpg",4,500,500)</f>
        <v/>
      </c>
      <c r="B494" s="30">
        <v>1513.0</v>
      </c>
      <c r="C494" s="16" t="s">
        <v>2080</v>
      </c>
      <c r="D494" s="16" t="s">
        <v>184</v>
      </c>
      <c r="E494" s="16" t="s">
        <v>219</v>
      </c>
      <c r="F494" s="16" t="s">
        <v>222</v>
      </c>
      <c r="G494" s="16" t="s">
        <v>216</v>
      </c>
      <c r="H494" s="16" t="s">
        <v>217</v>
      </c>
    </row>
    <row r="495" ht="330.75" customHeight="1">
      <c r="A495" s="32" t="str">
        <f>IMAGE("https://gymvisual.com/959-catalog_default/3-4-sit-up.jpg",4,500,500)</f>
        <v/>
      </c>
      <c r="B495" s="30">
        <v>1512.0</v>
      </c>
      <c r="C495" s="16" t="s">
        <v>2079</v>
      </c>
      <c r="D495" s="16" t="s">
        <v>184</v>
      </c>
      <c r="E495" s="16" t="s">
        <v>219</v>
      </c>
      <c r="F495" s="16" t="s">
        <v>222</v>
      </c>
      <c r="G495" s="16" t="s">
        <v>216</v>
      </c>
      <c r="H495" s="16" t="s">
        <v>217</v>
      </c>
    </row>
    <row r="496" ht="330.75" customHeight="1">
      <c r="A496" s="32" t="str">
        <f>IMAGE("https://gymvisual.com/19245-catalog_default/dumbbell-half-kneeling-military-press.jpg",4,500,500)</f>
        <v/>
      </c>
      <c r="B496" s="30">
        <v>1511.0</v>
      </c>
      <c r="C496" s="16" t="s">
        <v>2078</v>
      </c>
      <c r="D496" s="16" t="s">
        <v>184</v>
      </c>
      <c r="E496" s="16" t="s">
        <v>228</v>
      </c>
      <c r="F496" s="16" t="s">
        <v>222</v>
      </c>
      <c r="G496" s="16" t="s">
        <v>220</v>
      </c>
      <c r="H496" s="16" t="s">
        <v>220</v>
      </c>
    </row>
    <row r="497" ht="330.75" customHeight="1">
      <c r="A497" s="32" t="str">
        <f>IMAGE("https://gymvisual.com/19235-catalog_default/dumbbell-half-kneeling-lift-and-chop.jpg",4,500,500)</f>
        <v/>
      </c>
      <c r="B497" s="30">
        <v>1510.0</v>
      </c>
      <c r="C497" s="16" t="s">
        <v>2077</v>
      </c>
      <c r="D497" s="16" t="s">
        <v>184</v>
      </c>
      <c r="E497" s="16" t="s">
        <v>254</v>
      </c>
      <c r="F497" s="16" t="s">
        <v>222</v>
      </c>
      <c r="G497" s="16" t="s">
        <v>220</v>
      </c>
      <c r="H497" s="16" t="s">
        <v>220</v>
      </c>
    </row>
    <row r="498" ht="330.75" customHeight="1">
      <c r="A498" s="32" t="str">
        <f>IMAGE("https://gymvisual.com/20988-catalog_default/dumbbell-good-morning-squat.jpg",4,500,500)</f>
        <v/>
      </c>
      <c r="B498" s="30">
        <v>1509.0</v>
      </c>
      <c r="C498" s="16" t="s">
        <v>2075</v>
      </c>
      <c r="D498" s="16" t="s">
        <v>184</v>
      </c>
      <c r="E498" s="16" t="s">
        <v>294</v>
      </c>
      <c r="F498" s="16" t="s">
        <v>222</v>
      </c>
      <c r="G498" s="16" t="s">
        <v>2010</v>
      </c>
      <c r="H498" s="16" t="s">
        <v>2076</v>
      </c>
    </row>
    <row r="499" ht="330.75" customHeight="1">
      <c r="A499" s="32" t="str">
        <f>IMAGE("https://gymvisual.com/22225-catalog_default/dumbbell-goblet-squat-and-biceps-curl.jpg",4,500,500)</f>
        <v/>
      </c>
      <c r="B499" s="30">
        <v>1508.0</v>
      </c>
      <c r="C499" s="16" t="s">
        <v>2074</v>
      </c>
      <c r="D499" s="16" t="s">
        <v>184</v>
      </c>
      <c r="E499" s="16" t="s">
        <v>285</v>
      </c>
      <c r="F499" s="16" t="s">
        <v>222</v>
      </c>
      <c r="G499" s="16" t="s">
        <v>220</v>
      </c>
      <c r="H499" s="16" t="s">
        <v>220</v>
      </c>
    </row>
    <row r="500" ht="330.75" customHeight="1">
      <c r="A500" s="32" t="str">
        <f>IMAGE("https://gymvisual.com/9712-catalog_default/dumbbell-goblet-squat-female.jpg",4,500,500)</f>
        <v/>
      </c>
      <c r="B500" s="30">
        <v>1507.0</v>
      </c>
      <c r="C500" s="16" t="s">
        <v>2073</v>
      </c>
      <c r="D500" s="16" t="s">
        <v>184</v>
      </c>
      <c r="E500" s="16" t="s">
        <v>294</v>
      </c>
      <c r="F500" s="16" t="s">
        <v>222</v>
      </c>
      <c r="G500" s="16" t="s">
        <v>295</v>
      </c>
      <c r="H500" s="16" t="s">
        <v>1121</v>
      </c>
    </row>
    <row r="501" ht="330.75" customHeight="1">
      <c r="A501" s="32" t="str">
        <f>IMAGE("https://gymvisual.com/7570-catalog_default/dumbbell-goblet-squat.jpg",4,500,500)</f>
        <v/>
      </c>
      <c r="B501" s="30">
        <v>1506.0</v>
      </c>
      <c r="C501" s="16" t="s">
        <v>2072</v>
      </c>
      <c r="D501" s="16" t="s">
        <v>184</v>
      </c>
      <c r="E501" s="16" t="s">
        <v>285</v>
      </c>
      <c r="F501" s="16" t="s">
        <v>222</v>
      </c>
      <c r="G501" s="16" t="s">
        <v>189</v>
      </c>
      <c r="H501" s="16" t="s">
        <v>902</v>
      </c>
    </row>
    <row r="502" ht="330.75" customHeight="1">
      <c r="A502" s="32" t="str">
        <f>IMAGE("https://gymvisual.com/12254-catalog_default/dumbbell-goblet-split-squat-front-foot-elevanted-female.jpg",4,500,500)</f>
        <v/>
      </c>
      <c r="B502" s="30">
        <v>1505.0</v>
      </c>
      <c r="C502" s="16" t="s">
        <v>2071</v>
      </c>
      <c r="D502" s="16" t="s">
        <v>184</v>
      </c>
      <c r="E502" s="16" t="s">
        <v>285</v>
      </c>
      <c r="F502" s="16" t="s">
        <v>222</v>
      </c>
      <c r="G502" s="16" t="s">
        <v>189</v>
      </c>
      <c r="H502" s="16" t="s">
        <v>190</v>
      </c>
    </row>
    <row r="503" ht="330.75" customHeight="1">
      <c r="A503" s="32" t="str">
        <f>IMAGE("https://gymvisual.com/12257-catalog_default/dumbbell-goblet-split-squat-front-foot-elevanted.jpg",4,500,500)</f>
        <v/>
      </c>
      <c r="B503" s="30">
        <v>1504.0</v>
      </c>
      <c r="C503" s="16" t="s">
        <v>2070</v>
      </c>
      <c r="D503" s="16" t="s">
        <v>184</v>
      </c>
      <c r="E503" s="16" t="s">
        <v>285</v>
      </c>
      <c r="F503" s="16" t="s">
        <v>222</v>
      </c>
      <c r="G503" s="16" t="s">
        <v>189</v>
      </c>
      <c r="H503" s="16" t="s">
        <v>190</v>
      </c>
    </row>
    <row r="504" ht="330.75" customHeight="1">
      <c r="A504" s="32" t="str">
        <f>IMAGE("https://gymvisual.com/22835-catalog_default/dumbbell-goblet-split-squat.jpg",4,500,500)</f>
        <v/>
      </c>
      <c r="B504" s="30">
        <v>1503.0</v>
      </c>
      <c r="C504" s="16" t="s">
        <v>2069</v>
      </c>
      <c r="D504" s="16" t="s">
        <v>184</v>
      </c>
      <c r="E504" s="16" t="s">
        <v>285</v>
      </c>
      <c r="F504" s="16" t="s">
        <v>222</v>
      </c>
      <c r="G504" s="16" t="s">
        <v>189</v>
      </c>
      <c r="H504" s="16" t="s">
        <v>902</v>
      </c>
    </row>
    <row r="505" ht="330.75" customHeight="1">
      <c r="A505" s="32" t="str">
        <f>IMAGE("https://gymvisual.com/14777-catalog_default/dumbbell-goblet-split-squat.jpg",4,500,500)</f>
        <v/>
      </c>
      <c r="B505" s="30">
        <v>1502.0</v>
      </c>
      <c r="C505" s="16" t="s">
        <v>2069</v>
      </c>
      <c r="D505" s="16" t="s">
        <v>184</v>
      </c>
      <c r="E505" s="16" t="s">
        <v>294</v>
      </c>
      <c r="F505" s="16" t="s">
        <v>222</v>
      </c>
      <c r="G505" s="16" t="s">
        <v>189</v>
      </c>
      <c r="H505" s="16" t="s">
        <v>190</v>
      </c>
    </row>
    <row r="506" ht="330.75" customHeight="1">
      <c r="A506" s="32" t="str">
        <f>IMAGE("https://gymvisual.com/14779-catalog_default/dumbbell-goblet-box-squat.jpg",4,500,500)</f>
        <v/>
      </c>
      <c r="B506" s="30">
        <v>1501.0</v>
      </c>
      <c r="C506" s="16" t="s">
        <v>2068</v>
      </c>
      <c r="D506" s="16" t="s">
        <v>184</v>
      </c>
      <c r="E506" s="16" t="s">
        <v>294</v>
      </c>
      <c r="F506" s="16" t="s">
        <v>222</v>
      </c>
      <c r="G506" s="16" t="s">
        <v>189</v>
      </c>
      <c r="H506" s="16" t="s">
        <v>190</v>
      </c>
    </row>
    <row r="507" ht="330.75" customHeight="1">
      <c r="A507" s="32" t="str">
        <f>IMAGE("https://gymvisual.com/23667-catalog_default/dumbbell-goblet-2-sec-hold-squat.jpg",4,500,500)</f>
        <v/>
      </c>
      <c r="B507" s="30">
        <v>1500.0</v>
      </c>
      <c r="C507" s="16" t="s">
        <v>2067</v>
      </c>
      <c r="D507" s="16" t="s">
        <v>184</v>
      </c>
      <c r="E507" s="16" t="s">
        <v>285</v>
      </c>
      <c r="F507" s="16" t="s">
        <v>222</v>
      </c>
      <c r="G507" s="16" t="s">
        <v>189</v>
      </c>
      <c r="H507" s="16" t="s">
        <v>902</v>
      </c>
    </row>
    <row r="508" ht="330.75" customHeight="1">
      <c r="A508" s="32" t="str">
        <f>IMAGE("https://gymvisual.com/14761-catalog_default/dumbbell-gobelt-curtsey-lunge.jpg",4,500,500)</f>
        <v/>
      </c>
      <c r="B508" s="30">
        <v>1499.0</v>
      </c>
      <c r="C508" s="16" t="s">
        <v>2065</v>
      </c>
      <c r="D508" s="16" t="s">
        <v>184</v>
      </c>
      <c r="E508" s="16" t="s">
        <v>294</v>
      </c>
      <c r="F508" s="16" t="s">
        <v>222</v>
      </c>
      <c r="G508" s="16" t="s">
        <v>189</v>
      </c>
      <c r="H508" s="16" t="s">
        <v>2066</v>
      </c>
    </row>
    <row r="509" ht="330.75" customHeight="1">
      <c r="A509" s="32" t="str">
        <f>IMAGE("https://gymvisual.com/20990-catalog_default/dumbbell-glute-dominant-step-up-female.jpg",4,500,500)</f>
        <v/>
      </c>
      <c r="B509" s="30">
        <v>1498.0</v>
      </c>
      <c r="C509" s="16" t="s">
        <v>2064</v>
      </c>
      <c r="D509" s="16" t="s">
        <v>184</v>
      </c>
      <c r="E509" s="16" t="s">
        <v>294</v>
      </c>
      <c r="F509" s="16" t="s">
        <v>222</v>
      </c>
      <c r="G509" s="16" t="s">
        <v>189</v>
      </c>
      <c r="H509" s="16" t="s">
        <v>190</v>
      </c>
    </row>
    <row r="510" ht="330.75" customHeight="1">
      <c r="A510" s="32" t="str">
        <f>IMAGE("https://gymvisual.com/13890-catalog_default/dumbbell-glute-bridge-female.jpg",4,500,500)</f>
        <v/>
      </c>
      <c r="B510" s="30">
        <v>1497.0</v>
      </c>
      <c r="C510" s="16" t="s">
        <v>2063</v>
      </c>
      <c r="D510" s="16" t="s">
        <v>184</v>
      </c>
      <c r="E510" s="16" t="s">
        <v>185</v>
      </c>
      <c r="F510" s="16" t="s">
        <v>222</v>
      </c>
      <c r="G510" s="16" t="s">
        <v>187</v>
      </c>
      <c r="H510" s="16" t="s">
        <v>854</v>
      </c>
    </row>
    <row r="511" ht="330.75" customHeight="1">
      <c r="A511" s="32" t="str">
        <f>IMAGE("https://gymvisual.com/13618-catalog_default/dumbbell-glute-bridge.jpg",4,500,500)</f>
        <v/>
      </c>
      <c r="B511" s="30">
        <v>1496.0</v>
      </c>
      <c r="C511" s="16" t="s">
        <v>2062</v>
      </c>
      <c r="D511" s="16" t="s">
        <v>184</v>
      </c>
      <c r="E511" s="16" t="s">
        <v>185</v>
      </c>
      <c r="F511" s="16" t="s">
        <v>222</v>
      </c>
      <c r="G511" s="16" t="s">
        <v>187</v>
      </c>
      <c r="H511" s="16" t="s">
        <v>188</v>
      </c>
    </row>
    <row r="512" ht="330.75" customHeight="1">
      <c r="A512" s="32" t="str">
        <f>IMAGE("https://gymvisual.com/22628-catalog_default/dumbbell-full-swing.jpg",4,500,500)</f>
        <v/>
      </c>
      <c r="B512" s="30">
        <v>1495.0</v>
      </c>
      <c r="C512" s="16" t="s">
        <v>2059</v>
      </c>
      <c r="D512" s="16" t="s">
        <v>184</v>
      </c>
      <c r="E512" s="16" t="s">
        <v>185</v>
      </c>
      <c r="F512" s="16" t="s">
        <v>222</v>
      </c>
      <c r="G512" s="16" t="s">
        <v>2060</v>
      </c>
      <c r="H512" s="16" t="s">
        <v>2061</v>
      </c>
    </row>
    <row r="513" ht="330.75" customHeight="1">
      <c r="A513" s="32" t="str">
        <f>IMAGE("https://gymvisual.com/11303-catalog_default/dumbbell-full-can-lateral-raise-female.jpg",4,500,500)</f>
        <v/>
      </c>
      <c r="B513" s="30">
        <v>1494.0</v>
      </c>
      <c r="C513" s="16" t="s">
        <v>2058</v>
      </c>
      <c r="D513" s="16" t="s">
        <v>184</v>
      </c>
      <c r="E513" s="16" t="s">
        <v>228</v>
      </c>
      <c r="F513" s="16" t="s">
        <v>222</v>
      </c>
      <c r="G513" s="16" t="s">
        <v>220</v>
      </c>
      <c r="H513" s="16" t="s">
        <v>220</v>
      </c>
    </row>
    <row r="514" ht="330.75" customHeight="1">
      <c r="A514" s="32" t="str">
        <f>IMAGE("https://gymvisual.com/953-catalog_default/3-4-sit-up.jpg",4,500,500)</f>
        <v/>
      </c>
      <c r="B514" s="30">
        <v>1493.0</v>
      </c>
      <c r="C514" s="16" t="s">
        <v>2057</v>
      </c>
      <c r="D514" s="16" t="s">
        <v>184</v>
      </c>
      <c r="E514" s="16" t="s">
        <v>228</v>
      </c>
      <c r="F514" s="16" t="s">
        <v>222</v>
      </c>
      <c r="G514" s="16" t="s">
        <v>454</v>
      </c>
      <c r="H514" s="16" t="s">
        <v>885</v>
      </c>
    </row>
    <row r="515" ht="330.75" customHeight="1">
      <c r="A515" s="32" t="str">
        <f>IMAGE("https://gymvisual.com/13277-catalog_default/dumbbell-front-squat-female.jpg",4,500,500)</f>
        <v/>
      </c>
      <c r="B515" s="30">
        <v>1492.0</v>
      </c>
      <c r="C515" s="16" t="s">
        <v>2056</v>
      </c>
      <c r="D515" s="16" t="s">
        <v>184</v>
      </c>
      <c r="E515" s="16" t="s">
        <v>294</v>
      </c>
      <c r="F515" s="16" t="s">
        <v>222</v>
      </c>
      <c r="G515" s="16" t="s">
        <v>189</v>
      </c>
      <c r="H515" s="16" t="s">
        <v>190</v>
      </c>
    </row>
    <row r="516" ht="330.75" customHeight="1">
      <c r="A516" s="32" t="str">
        <f>IMAGE("https://gymvisual.com/13213-catalog_default/dumbbell-front-squat.jpg",4,500,500)</f>
        <v/>
      </c>
      <c r="B516" s="30">
        <v>1491.0</v>
      </c>
      <c r="C516" s="16" t="s">
        <v>2055</v>
      </c>
      <c r="D516" s="16" t="s">
        <v>184</v>
      </c>
      <c r="E516" s="16" t="s">
        <v>294</v>
      </c>
      <c r="F516" s="16" t="s">
        <v>222</v>
      </c>
      <c r="G516" s="16" t="s">
        <v>189</v>
      </c>
      <c r="H516" s="16" t="s">
        <v>190</v>
      </c>
    </row>
    <row r="517" ht="330.75" customHeight="1">
      <c r="A517" s="32" t="str">
        <f>IMAGE("https://gymvisual.com/13892-catalog_default/dumbbell-front-raise-version-2-female.jpg",4,500,500)</f>
        <v/>
      </c>
      <c r="B517" s="30">
        <v>1490.0</v>
      </c>
      <c r="C517" s="16" t="s">
        <v>2054</v>
      </c>
      <c r="D517" s="16" t="s">
        <v>184</v>
      </c>
      <c r="E517" s="16" t="s">
        <v>228</v>
      </c>
      <c r="F517" s="16" t="s">
        <v>222</v>
      </c>
      <c r="G517" s="16" t="s">
        <v>220</v>
      </c>
      <c r="H517" s="16" t="s">
        <v>220</v>
      </c>
    </row>
    <row r="518" ht="330.75" customHeight="1">
      <c r="A518" s="32" t="str">
        <f>IMAGE("https://gymvisual.com/947-catalog_default/3-4-sit-up.jpg",4,500,500)</f>
        <v/>
      </c>
      <c r="B518" s="30">
        <v>1489.0</v>
      </c>
      <c r="C518" s="16" t="s">
        <v>2053</v>
      </c>
      <c r="D518" s="16" t="s">
        <v>184</v>
      </c>
      <c r="E518" s="16" t="s">
        <v>228</v>
      </c>
      <c r="F518" s="16" t="s">
        <v>222</v>
      </c>
      <c r="G518" s="16" t="s">
        <v>229</v>
      </c>
      <c r="H518" s="16" t="s">
        <v>244</v>
      </c>
    </row>
    <row r="519" ht="330.75" customHeight="1">
      <c r="A519" s="32" t="str">
        <f>IMAGE("https://gymvisual.com/9613-catalog_default/dumbbell-front-raise-female.jpg",4,500,500)</f>
        <v/>
      </c>
      <c r="B519" s="30">
        <v>1488.0</v>
      </c>
      <c r="C519" s="16" t="s">
        <v>2052</v>
      </c>
      <c r="D519" s="16" t="s">
        <v>184</v>
      </c>
      <c r="E519" s="16" t="s">
        <v>228</v>
      </c>
      <c r="F519" s="16" t="s">
        <v>222</v>
      </c>
      <c r="G519" s="16" t="s">
        <v>229</v>
      </c>
      <c r="H519" s="16" t="s">
        <v>244</v>
      </c>
    </row>
    <row r="520" ht="330.75" customHeight="1">
      <c r="A520" s="32" t="str">
        <f>IMAGE("https://gymvisual.com/24920-catalog_default/3-4-sit-up.jpg",4,500,500)</f>
        <v/>
      </c>
      <c r="B520" s="30">
        <v>1487.0</v>
      </c>
      <c r="C520" s="16" t="s">
        <v>2051</v>
      </c>
      <c r="D520" s="16" t="s">
        <v>184</v>
      </c>
      <c r="E520" s="16" t="s">
        <v>228</v>
      </c>
      <c r="F520" s="16" t="s">
        <v>222</v>
      </c>
      <c r="G520" s="16" t="s">
        <v>229</v>
      </c>
      <c r="H520" s="16" t="s">
        <v>244</v>
      </c>
    </row>
    <row r="521" ht="330.75" customHeight="1">
      <c r="A521" s="32" t="str">
        <f>IMAGE("https://gymvisual.com/22091-catalog_default/dumbbell-front-rack-lunge.jpg",4,500,500)</f>
        <v/>
      </c>
      <c r="B521" s="30">
        <v>1486.0</v>
      </c>
      <c r="C521" s="16" t="s">
        <v>2050</v>
      </c>
      <c r="D521" s="16" t="s">
        <v>184</v>
      </c>
      <c r="E521" s="16" t="s">
        <v>285</v>
      </c>
      <c r="F521" s="16" t="s">
        <v>222</v>
      </c>
      <c r="G521" s="16" t="s">
        <v>189</v>
      </c>
      <c r="H521" s="16" t="s">
        <v>190</v>
      </c>
    </row>
    <row r="522" ht="330.75" customHeight="1">
      <c r="A522" s="32" t="str">
        <f>IMAGE("https://gymvisual.com/19590-catalog_default/dumbbell-front-plank-arm-raise.jpg",4,500,500)</f>
        <v/>
      </c>
      <c r="B522" s="30">
        <v>1485.0</v>
      </c>
      <c r="C522" s="16" t="s">
        <v>2049</v>
      </c>
      <c r="D522" s="16" t="s">
        <v>184</v>
      </c>
      <c r="E522" s="16" t="s">
        <v>254</v>
      </c>
      <c r="F522" s="16" t="s">
        <v>222</v>
      </c>
      <c r="G522" s="16" t="s">
        <v>220</v>
      </c>
      <c r="H522" s="16" t="s">
        <v>220</v>
      </c>
    </row>
    <row r="523" ht="330.75" customHeight="1">
      <c r="A523" s="32" t="str">
        <f>IMAGE("https://gymvisual.com/19600-catalog_default/dumbbell-front-plank-arm-leg-raise.jpg",4,500,500)</f>
        <v/>
      </c>
      <c r="B523" s="30">
        <v>1484.0</v>
      </c>
      <c r="C523" s="16" t="s">
        <v>2048</v>
      </c>
      <c r="D523" s="16" t="s">
        <v>184</v>
      </c>
      <c r="E523" s="16" t="s">
        <v>254</v>
      </c>
      <c r="F523" s="16" t="s">
        <v>222</v>
      </c>
      <c r="G523" s="16" t="s">
        <v>220</v>
      </c>
      <c r="H523" s="16" t="s">
        <v>220</v>
      </c>
    </row>
    <row r="524" ht="330.75" customHeight="1">
      <c r="A524" s="32" t="str">
        <f>IMAGE("https://gymvisual.com/7451-catalog_default/dumbbell-forward-lunge-triceps-extension.jpg",4,500,500)</f>
        <v/>
      </c>
      <c r="B524" s="30">
        <v>1483.0</v>
      </c>
      <c r="C524" s="16" t="s">
        <v>2047</v>
      </c>
      <c r="D524" s="16" t="s">
        <v>184</v>
      </c>
      <c r="E524" s="16" t="s">
        <v>219</v>
      </c>
      <c r="F524" s="16" t="s">
        <v>222</v>
      </c>
      <c r="G524" s="16" t="s">
        <v>220</v>
      </c>
      <c r="H524" s="16" t="s">
        <v>220</v>
      </c>
    </row>
    <row r="525" ht="330.75" customHeight="1">
      <c r="A525" s="32" t="str">
        <f>IMAGE("https://gymvisual.com/4425-catalog_default/dumbbell-forward-leaning-lunge.jpg",4,500,500)</f>
        <v/>
      </c>
      <c r="B525" s="30">
        <v>1482.0</v>
      </c>
      <c r="C525" s="16" t="s">
        <v>2045</v>
      </c>
      <c r="D525" s="16" t="s">
        <v>184</v>
      </c>
      <c r="E525" s="16" t="s">
        <v>285</v>
      </c>
      <c r="F525" s="16" t="s">
        <v>222</v>
      </c>
      <c r="G525" s="16" t="s">
        <v>189</v>
      </c>
      <c r="H525" s="16" t="s">
        <v>2046</v>
      </c>
    </row>
    <row r="526" ht="330.75" customHeight="1">
      <c r="A526" s="32" t="str">
        <f>IMAGE("https://gymvisual.com/11390-catalog_default/dumbbell-fly-on-exercise-ball-female.jpg",4,500,500)</f>
        <v/>
      </c>
      <c r="B526" s="30">
        <v>1481.0</v>
      </c>
      <c r="C526" s="16" t="s">
        <v>2044</v>
      </c>
      <c r="D526" s="16" t="s">
        <v>184</v>
      </c>
      <c r="E526" s="16" t="s">
        <v>234</v>
      </c>
      <c r="F526" s="16" t="s">
        <v>1929</v>
      </c>
      <c r="G526" s="16" t="s">
        <v>235</v>
      </c>
      <c r="H526" s="16" t="s">
        <v>236</v>
      </c>
    </row>
    <row r="527" ht="330.75" customHeight="1">
      <c r="A527" s="32" t="str">
        <f>IMAGE("https://gymvisual.com/5966-catalog_default/dumbbell-fly-on-exercise-ball.jpg",4,500,500)</f>
        <v/>
      </c>
      <c r="B527" s="30">
        <v>1480.0</v>
      </c>
      <c r="C527" s="16" t="s">
        <v>2043</v>
      </c>
      <c r="D527" s="16" t="s">
        <v>184</v>
      </c>
      <c r="E527" s="16" t="s">
        <v>234</v>
      </c>
      <c r="F527" s="16" t="s">
        <v>222</v>
      </c>
      <c r="G527" s="16" t="s">
        <v>347</v>
      </c>
      <c r="H527" s="16" t="s">
        <v>420</v>
      </c>
    </row>
    <row r="528" ht="330.75" customHeight="1">
      <c r="A528" s="32" t="str">
        <f>IMAGE("https://gymvisual.com/12747-catalog_default/dumbbell-fly-knees-at-90-degrees.jpg",4,500,500)</f>
        <v/>
      </c>
      <c r="B528" s="30">
        <v>1479.0</v>
      </c>
      <c r="C528" s="16" t="s">
        <v>2042</v>
      </c>
      <c r="D528" s="16" t="s">
        <v>184</v>
      </c>
      <c r="E528" s="16" t="s">
        <v>234</v>
      </c>
      <c r="F528" s="16" t="s">
        <v>222</v>
      </c>
      <c r="G528" s="16" t="s">
        <v>235</v>
      </c>
      <c r="H528" s="16" t="s">
        <v>236</v>
      </c>
    </row>
    <row r="529" ht="330.75" customHeight="1">
      <c r="A529" s="32" t="str">
        <f>IMAGE("https://gymvisual.com/9673-catalog_default/dumbbell-fly-female.jpg",4,500,500)</f>
        <v/>
      </c>
      <c r="B529" s="30">
        <v>1478.0</v>
      </c>
      <c r="C529" s="16" t="s">
        <v>2041</v>
      </c>
      <c r="D529" s="16" t="s">
        <v>184</v>
      </c>
      <c r="E529" s="16" t="s">
        <v>234</v>
      </c>
      <c r="F529" s="16" t="s">
        <v>222</v>
      </c>
      <c r="G529" s="16" t="s">
        <v>235</v>
      </c>
      <c r="H529" s="16" t="s">
        <v>236</v>
      </c>
    </row>
    <row r="530" ht="330.75" customHeight="1">
      <c r="A530" s="32" t="str">
        <f>IMAGE("https://gymvisual.com/10248-catalog_default/3-4-sit-up.jpg",4,500,500)</f>
        <v/>
      </c>
      <c r="B530" s="30">
        <v>1477.0</v>
      </c>
      <c r="C530" s="16" t="s">
        <v>178</v>
      </c>
      <c r="D530" s="16" t="s">
        <v>184</v>
      </c>
      <c r="E530" s="16" t="s">
        <v>234</v>
      </c>
      <c r="F530" s="16" t="s">
        <v>222</v>
      </c>
      <c r="G530" s="16" t="s">
        <v>235</v>
      </c>
      <c r="H530" s="16" t="s">
        <v>236</v>
      </c>
    </row>
    <row r="531" ht="330.75" customHeight="1">
      <c r="A531" s="32" t="str">
        <f>IMAGE("https://gymvisual.com/22223-catalog_default/dumbbell-floor-wiper.jpg",4,500,500)</f>
        <v/>
      </c>
      <c r="B531" s="30">
        <v>1476.0</v>
      </c>
      <c r="C531" s="16" t="s">
        <v>2040</v>
      </c>
      <c r="D531" s="16" t="s">
        <v>184</v>
      </c>
      <c r="E531" s="16" t="s">
        <v>254</v>
      </c>
      <c r="F531" s="16" t="s">
        <v>222</v>
      </c>
      <c r="G531" s="16" t="s">
        <v>220</v>
      </c>
      <c r="H531" s="16" t="s">
        <v>220</v>
      </c>
    </row>
    <row r="532" ht="330.75" customHeight="1">
      <c r="A532" s="32" t="str">
        <f>IMAGE("https://gymvisual.com/18712-catalog_default/dumbbell-floor-fly.jpg",4,500,500)</f>
        <v/>
      </c>
      <c r="B532" s="30">
        <v>1475.0</v>
      </c>
      <c r="C532" s="16" t="s">
        <v>2039</v>
      </c>
      <c r="D532" s="16" t="s">
        <v>184</v>
      </c>
      <c r="E532" s="16" t="s">
        <v>234</v>
      </c>
      <c r="F532" s="16" t="s">
        <v>222</v>
      </c>
      <c r="G532" s="16" t="s">
        <v>235</v>
      </c>
      <c r="H532" s="16" t="s">
        <v>236</v>
      </c>
    </row>
    <row r="533" ht="330.75" customHeight="1">
      <c r="A533" s="32" t="str">
        <f>IMAGE("https://gymvisual.com/17331-catalog_default/dumbbell-flat-around-the-world.jpg",4,500,500)</f>
        <v/>
      </c>
      <c r="B533" s="30">
        <v>1474.0</v>
      </c>
      <c r="C533" s="16" t="s">
        <v>2037</v>
      </c>
      <c r="D533" s="16" t="s">
        <v>184</v>
      </c>
      <c r="E533" s="16" t="s">
        <v>1168</v>
      </c>
      <c r="F533" s="16" t="s">
        <v>222</v>
      </c>
      <c r="G533" s="16" t="s">
        <v>472</v>
      </c>
      <c r="H533" s="16" t="s">
        <v>2038</v>
      </c>
    </row>
    <row r="534" ht="330.75" customHeight="1">
      <c r="A534" s="32" t="str">
        <f>IMAGE("https://gymvisual.com/13421-catalog_default/dumbbell-finger-curls-female.jpg",4,500,500)</f>
        <v/>
      </c>
      <c r="B534" s="30">
        <v>1473.0</v>
      </c>
      <c r="C534" s="16" t="s">
        <v>2036</v>
      </c>
      <c r="D534" s="16" t="s">
        <v>184</v>
      </c>
      <c r="E534" s="16" t="s">
        <v>214</v>
      </c>
      <c r="F534" s="16" t="s">
        <v>222</v>
      </c>
      <c r="G534" s="16" t="s">
        <v>220</v>
      </c>
      <c r="H534" s="16" t="s">
        <v>220</v>
      </c>
    </row>
    <row r="535" ht="330.75" customHeight="1">
      <c r="A535" s="32" t="str">
        <f>IMAGE("https://gymvisual.com/6450-catalog_default/dumbbell-finger-curls.jpg",4,500,500)</f>
        <v/>
      </c>
      <c r="B535" s="30">
        <v>1472.0</v>
      </c>
      <c r="C535" s="16" t="s">
        <v>2035</v>
      </c>
      <c r="D535" s="16" t="s">
        <v>184</v>
      </c>
      <c r="E535" s="16" t="s">
        <v>214</v>
      </c>
      <c r="F535" s="16" t="s">
        <v>222</v>
      </c>
      <c r="G535" s="16" t="s">
        <v>220</v>
      </c>
      <c r="H535" s="16" t="s">
        <v>220</v>
      </c>
    </row>
    <row r="536" ht="330.75" customHeight="1">
      <c r="A536" s="32" t="str">
        <f>IMAGE("https://gymvisual.com/12179-catalog_default/dumbbell-farmers-carry.jpg",4,500,500)</f>
        <v/>
      </c>
      <c r="B536" s="30">
        <v>1471.0</v>
      </c>
      <c r="C536" s="16" t="s">
        <v>2034</v>
      </c>
      <c r="D536" s="16" t="s">
        <v>184</v>
      </c>
      <c r="E536" s="16" t="s">
        <v>285</v>
      </c>
      <c r="F536" s="16" t="s">
        <v>222</v>
      </c>
      <c r="G536" s="16" t="s">
        <v>220</v>
      </c>
      <c r="H536" s="16" t="s">
        <v>220</v>
      </c>
    </row>
    <row r="537" ht="330.75" customHeight="1">
      <c r="A537" s="32" t="str">
        <f>IMAGE("https://gymvisual.com/17951-catalog_default/dumbbell-face-down-lying-shoulder-press-male.jpg",4,500,500)</f>
        <v/>
      </c>
      <c r="B537" s="30">
        <v>1470.0</v>
      </c>
      <c r="C537" s="16" t="s">
        <v>2033</v>
      </c>
      <c r="D537" s="16" t="s">
        <v>184</v>
      </c>
      <c r="E537" s="16" t="s">
        <v>228</v>
      </c>
      <c r="F537" s="16" t="s">
        <v>222</v>
      </c>
      <c r="G537" s="16" t="s">
        <v>220</v>
      </c>
      <c r="H537" s="16" t="s">
        <v>220</v>
      </c>
    </row>
    <row r="538" ht="330.75" customHeight="1">
      <c r="A538" s="32" t="str">
        <f>IMAGE("https://gymvisual.com/14763-catalog_default/dumbbell-external-rotation.jpg",4,500,500)</f>
        <v/>
      </c>
      <c r="B538" s="30">
        <v>1469.0</v>
      </c>
      <c r="C538" s="16" t="s">
        <v>2032</v>
      </c>
      <c r="D538" s="16" t="s">
        <v>184</v>
      </c>
      <c r="E538" s="16" t="s">
        <v>192</v>
      </c>
      <c r="F538" s="16" t="s">
        <v>222</v>
      </c>
      <c r="G538" s="16" t="s">
        <v>1607</v>
      </c>
      <c r="H538" s="16" t="s">
        <v>408</v>
      </c>
    </row>
    <row r="539" ht="330.75" customHeight="1">
      <c r="A539" s="32" t="str">
        <f>IMAGE("https://gymvisual.com/25665-catalog_default/dumbbell-empty-can-exercise-male.jpg",4,500,500)</f>
        <v/>
      </c>
      <c r="B539" s="30">
        <v>1468.0</v>
      </c>
      <c r="C539" s="16" t="s">
        <v>2031</v>
      </c>
      <c r="D539" s="16" t="s">
        <v>184</v>
      </c>
      <c r="E539" s="16" t="s">
        <v>228</v>
      </c>
      <c r="F539" s="16" t="s">
        <v>222</v>
      </c>
      <c r="G539" s="16" t="s">
        <v>220</v>
      </c>
      <c r="H539" s="16" t="s">
        <v>220</v>
      </c>
    </row>
    <row r="540" ht="330.75" customHeight="1">
      <c r="A540" s="32" t="str">
        <f>IMAGE("https://gymvisual.com/14769-catalog_default/dumbbell-drag-bicep-curl.jpg",4,500,500)</f>
        <v/>
      </c>
      <c r="B540" s="30">
        <v>1467.0</v>
      </c>
      <c r="C540" s="16" t="s">
        <v>2030</v>
      </c>
      <c r="D540" s="16" t="s">
        <v>184</v>
      </c>
      <c r="E540" s="16" t="s">
        <v>829</v>
      </c>
      <c r="F540" s="16" t="s">
        <v>222</v>
      </c>
      <c r="G540" s="16" t="s">
        <v>236</v>
      </c>
      <c r="H540" s="16" t="s">
        <v>292</v>
      </c>
    </row>
    <row r="541" ht="330.75" customHeight="1">
      <c r="A541" s="32" t="str">
        <f>IMAGE("https://gymvisual.com/22221-catalog_default/dumbbell-deep-push-up-and-renegade-row.jpg",4,500,500)</f>
        <v/>
      </c>
      <c r="B541" s="30">
        <v>1466.0</v>
      </c>
      <c r="C541" s="16" t="s">
        <v>2029</v>
      </c>
      <c r="D541" s="16" t="s">
        <v>184</v>
      </c>
      <c r="E541" s="16" t="s">
        <v>234</v>
      </c>
      <c r="F541" s="16" t="s">
        <v>222</v>
      </c>
      <c r="G541" s="16" t="s">
        <v>220</v>
      </c>
      <c r="H541" s="16" t="s">
        <v>220</v>
      </c>
    </row>
    <row r="542" ht="330.75" customHeight="1">
      <c r="A542" s="32" t="str">
        <f>IMAGE("https://gymvisual.com/11309-catalog_default/dumbbell-decline-twist-fly-female.jpg",4,500,500)</f>
        <v/>
      </c>
      <c r="B542" s="30">
        <v>1465.0</v>
      </c>
      <c r="C542" s="16" t="s">
        <v>2028</v>
      </c>
      <c r="D542" s="16" t="s">
        <v>184</v>
      </c>
      <c r="E542" s="16" t="s">
        <v>234</v>
      </c>
      <c r="F542" s="16" t="s">
        <v>222</v>
      </c>
      <c r="G542" s="16" t="s">
        <v>347</v>
      </c>
      <c r="H542" s="16" t="s">
        <v>420</v>
      </c>
    </row>
    <row r="543" ht="330.75" customHeight="1">
      <c r="A543" s="32" t="str">
        <f>IMAGE("https://gymvisual.com/941-catalog_default/3-4-sit-up.jpg",4,500,500)</f>
        <v/>
      </c>
      <c r="B543" s="30">
        <v>1464.0</v>
      </c>
      <c r="C543" s="16" t="s">
        <v>2027</v>
      </c>
      <c r="D543" s="16" t="s">
        <v>184</v>
      </c>
      <c r="E543" s="16" t="s">
        <v>234</v>
      </c>
      <c r="F543" s="16" t="s">
        <v>222</v>
      </c>
      <c r="G543" s="16" t="s">
        <v>347</v>
      </c>
      <c r="H543" s="16" t="s">
        <v>420</v>
      </c>
    </row>
    <row r="544" ht="330.75" customHeight="1">
      <c r="A544" s="32" t="str">
        <f>IMAGE("https://gymvisual.com/11516-catalog_default/dumbbell-decline-triceps-extension-female.jpg",4,500,500)</f>
        <v/>
      </c>
      <c r="B544" s="30">
        <v>1463.0</v>
      </c>
      <c r="C544" s="16" t="s">
        <v>2026</v>
      </c>
      <c r="D544" s="16" t="s">
        <v>184</v>
      </c>
      <c r="E544" s="16" t="s">
        <v>219</v>
      </c>
      <c r="F544" s="16" t="s">
        <v>222</v>
      </c>
      <c r="G544" s="16" t="s">
        <v>220</v>
      </c>
      <c r="H544" s="16" t="s">
        <v>220</v>
      </c>
    </row>
    <row r="545" ht="330.75" customHeight="1">
      <c r="A545" s="32" t="str">
        <f>IMAGE("https://gymvisual.com/938-catalog_default/3-4-sit-up.jpg",4,500,500)</f>
        <v/>
      </c>
      <c r="B545" s="30">
        <v>1462.0</v>
      </c>
      <c r="C545" s="16" t="s">
        <v>2025</v>
      </c>
      <c r="D545" s="16" t="s">
        <v>184</v>
      </c>
      <c r="E545" s="16" t="s">
        <v>219</v>
      </c>
      <c r="F545" s="16" t="s">
        <v>222</v>
      </c>
      <c r="G545" s="16" t="s">
        <v>223</v>
      </c>
      <c r="H545" s="16" t="s">
        <v>220</v>
      </c>
    </row>
    <row r="546" ht="330.75" customHeight="1">
      <c r="A546" s="32" t="str">
        <f>IMAGE("https://gymvisual.com/22219-catalog_default/dumbbell-decline-sit-up.jpg",4,500,500)</f>
        <v/>
      </c>
      <c r="B546" s="30">
        <v>1461.0</v>
      </c>
      <c r="C546" s="16" t="s">
        <v>2024</v>
      </c>
      <c r="D546" s="16" t="s">
        <v>184</v>
      </c>
      <c r="E546" s="16" t="s">
        <v>254</v>
      </c>
      <c r="F546" s="16" t="s">
        <v>222</v>
      </c>
      <c r="G546" s="16" t="s">
        <v>220</v>
      </c>
      <c r="H546" s="16" t="s">
        <v>220</v>
      </c>
    </row>
    <row r="547" ht="330.75" customHeight="1">
      <c r="A547" s="32" t="str">
        <f>IMAGE("https://gymvisual.com/20620-catalog_default/3-4-sit-up.jpg",4,500,500)</f>
        <v/>
      </c>
      <c r="B547" s="30">
        <v>1460.0</v>
      </c>
      <c r="C547" s="16" t="s">
        <v>2023</v>
      </c>
      <c r="D547" s="16" t="s">
        <v>184</v>
      </c>
      <c r="E547" s="16" t="s">
        <v>192</v>
      </c>
      <c r="F547" s="16" t="s">
        <v>222</v>
      </c>
      <c r="G547" s="16" t="s">
        <v>238</v>
      </c>
      <c r="H547" s="16" t="s">
        <v>1621</v>
      </c>
    </row>
    <row r="548" ht="330.75" customHeight="1">
      <c r="A548" s="32" t="str">
        <f>IMAGE("https://gymvisual.com/935-catalog_default/3-4-sit-up.jpg",4,500,500)</f>
        <v/>
      </c>
      <c r="B548" s="30">
        <v>1459.0</v>
      </c>
      <c r="C548" s="16" t="s">
        <v>2022</v>
      </c>
      <c r="D548" s="16" t="s">
        <v>184</v>
      </c>
      <c r="E548" s="16" t="s">
        <v>192</v>
      </c>
      <c r="F548" s="16" t="s">
        <v>222</v>
      </c>
      <c r="G548" s="16" t="s">
        <v>238</v>
      </c>
      <c r="H548" s="16" t="s">
        <v>239</v>
      </c>
    </row>
    <row r="549" ht="330.75" customHeight="1">
      <c r="A549" s="32" t="str">
        <f>IMAGE("https://gymvisual.com/22217-catalog_default/dumbbell-decline-overhead-sit-up.jpg",4,500,500)</f>
        <v/>
      </c>
      <c r="B549" s="30">
        <v>1458.0</v>
      </c>
      <c r="C549" s="16" t="s">
        <v>2021</v>
      </c>
      <c r="D549" s="16" t="s">
        <v>184</v>
      </c>
      <c r="E549" s="16" t="s">
        <v>254</v>
      </c>
      <c r="F549" s="16" t="s">
        <v>222</v>
      </c>
      <c r="G549" s="16" t="s">
        <v>220</v>
      </c>
      <c r="H549" s="16" t="s">
        <v>220</v>
      </c>
    </row>
    <row r="550" ht="330.75" customHeight="1">
      <c r="A550" s="32" t="str">
        <f>IMAGE("https://gymvisual.com/7092-catalog_default/dumbbell-decline-one-arm-hammer-press.jpg",4,500,500)</f>
        <v/>
      </c>
      <c r="B550" s="30">
        <v>1457.0</v>
      </c>
      <c r="C550" s="16" t="s">
        <v>2020</v>
      </c>
      <c r="D550" s="16" t="s">
        <v>184</v>
      </c>
      <c r="E550" s="16" t="s">
        <v>219</v>
      </c>
      <c r="F550" s="16" t="s">
        <v>222</v>
      </c>
      <c r="G550" s="16" t="s">
        <v>220</v>
      </c>
      <c r="H550" s="16" t="s">
        <v>220</v>
      </c>
    </row>
    <row r="551" ht="330.75" customHeight="1">
      <c r="A551" s="32" t="str">
        <f>IMAGE("https://gymvisual.com/5965-catalog_default/dumbbell-decline-one-arm-fly.jpg",4,500,500)</f>
        <v/>
      </c>
      <c r="B551" s="30">
        <v>1456.0</v>
      </c>
      <c r="C551" s="16" t="s">
        <v>2019</v>
      </c>
      <c r="D551" s="16" t="s">
        <v>184</v>
      </c>
      <c r="E551" s="16" t="s">
        <v>234</v>
      </c>
      <c r="F551" s="16" t="s">
        <v>222</v>
      </c>
      <c r="G551" s="16" t="s">
        <v>347</v>
      </c>
      <c r="H551" s="16" t="s">
        <v>420</v>
      </c>
    </row>
    <row r="552" ht="330.75" customHeight="1">
      <c r="A552" s="32" t="str">
        <f>IMAGE("https://gymvisual.com/22215-catalog_default/dumbbell-decline-lying-leg-curl.jpg",4,500,500)</f>
        <v/>
      </c>
      <c r="B552" s="30">
        <v>1455.0</v>
      </c>
      <c r="C552" s="16" t="s">
        <v>2018</v>
      </c>
      <c r="D552" s="16" t="s">
        <v>184</v>
      </c>
      <c r="E552" s="16" t="s">
        <v>285</v>
      </c>
      <c r="F552" s="16" t="s">
        <v>222</v>
      </c>
      <c r="G552" s="16" t="s">
        <v>220</v>
      </c>
      <c r="H552" s="16" t="s">
        <v>220</v>
      </c>
    </row>
    <row r="553" ht="330.75" customHeight="1">
      <c r="A553" s="32" t="str">
        <f>IMAGE("https://gymvisual.com/929-catalog_default/3-4-sit-up.jpg",4,500,500)</f>
        <v/>
      </c>
      <c r="B553" s="30">
        <v>1454.0</v>
      </c>
      <c r="C553" s="16" t="s">
        <v>2017</v>
      </c>
      <c r="D553" s="16" t="s">
        <v>184</v>
      </c>
      <c r="E553" s="16" t="s">
        <v>234</v>
      </c>
      <c r="F553" s="16" t="s">
        <v>222</v>
      </c>
      <c r="G553" s="16" t="s">
        <v>347</v>
      </c>
      <c r="H553" s="16" t="s">
        <v>382</v>
      </c>
    </row>
    <row r="554" ht="330.75" customHeight="1">
      <c r="A554" s="32" t="str">
        <f>IMAGE("https://gymvisual.com/20736-catalog_default/3-4-sit-up.jpg",4,500,500)</f>
        <v/>
      </c>
      <c r="B554" s="30">
        <v>1453.0</v>
      </c>
      <c r="C554" s="16" t="s">
        <v>2016</v>
      </c>
      <c r="D554" s="16" t="s">
        <v>184</v>
      </c>
      <c r="E554" s="16" t="s">
        <v>234</v>
      </c>
      <c r="F554" s="16" t="s">
        <v>222</v>
      </c>
      <c r="G554" s="16" t="s">
        <v>347</v>
      </c>
      <c r="H554" s="16" t="s">
        <v>420</v>
      </c>
    </row>
    <row r="555" ht="330.75" customHeight="1">
      <c r="A555" s="32" t="str">
        <f>IMAGE("https://gymvisual.com/10981-catalog_default/dumbbell-decline-bench-press-female.jpg",4,500,500)</f>
        <v/>
      </c>
      <c r="B555" s="30">
        <v>1452.0</v>
      </c>
      <c r="C555" s="16" t="s">
        <v>2015</v>
      </c>
      <c r="D555" s="16" t="s">
        <v>184</v>
      </c>
      <c r="E555" s="16" t="s">
        <v>234</v>
      </c>
      <c r="F555" s="16" t="s">
        <v>222</v>
      </c>
      <c r="G555" s="16" t="s">
        <v>347</v>
      </c>
      <c r="H555" s="16" t="s">
        <v>382</v>
      </c>
    </row>
    <row r="556" ht="330.75" customHeight="1">
      <c r="A556" s="32" t="str">
        <f>IMAGE("https://gymvisual.com/19333-catalog_default/3-4-sit-up.jpg",4,500,500)</f>
        <v/>
      </c>
      <c r="B556" s="30">
        <v>1451.0</v>
      </c>
      <c r="C556" s="16" t="s">
        <v>2014</v>
      </c>
      <c r="D556" s="16" t="s">
        <v>184</v>
      </c>
      <c r="E556" s="16" t="s">
        <v>234</v>
      </c>
      <c r="F556" s="16" t="s">
        <v>222</v>
      </c>
      <c r="G556" s="16" t="s">
        <v>347</v>
      </c>
      <c r="H556" s="16" t="s">
        <v>382</v>
      </c>
    </row>
    <row r="557" ht="330.75" customHeight="1">
      <c r="A557" s="32" t="str">
        <f>IMAGE("https://gymvisual.com/6798-catalog_default/dumbbell-decline-bench-lunge.jpg",4,500,500)</f>
        <v/>
      </c>
      <c r="B557" s="30">
        <v>1450.0</v>
      </c>
      <c r="C557" s="16" t="s">
        <v>2013</v>
      </c>
      <c r="D557" s="16" t="s">
        <v>184</v>
      </c>
      <c r="E557" s="16" t="s">
        <v>285</v>
      </c>
      <c r="F557" s="16" t="s">
        <v>222</v>
      </c>
      <c r="G557" s="16" t="s">
        <v>220</v>
      </c>
      <c r="H557" s="16" t="s">
        <v>220</v>
      </c>
    </row>
    <row r="558" ht="330.75" customHeight="1">
      <c r="A558" s="32" t="str">
        <f>IMAGE("https://gymvisual.com/21028-catalog_default/dumbbell-deadlift-bent-over-row.jpg",4,500,500)</f>
        <v/>
      </c>
      <c r="B558" s="30">
        <v>1449.0</v>
      </c>
      <c r="C558" s="16" t="s">
        <v>2012</v>
      </c>
      <c r="D558" s="16" t="s">
        <v>184</v>
      </c>
      <c r="E558" s="16" t="s">
        <v>192</v>
      </c>
      <c r="F558" s="16" t="s">
        <v>222</v>
      </c>
      <c r="G558" s="16" t="s">
        <v>220</v>
      </c>
      <c r="H558" s="16" t="s">
        <v>220</v>
      </c>
    </row>
    <row r="559" ht="330.75" customHeight="1">
      <c r="A559" s="32" t="str">
        <f>IMAGE("https://gymvisual.com/22538-catalog_default/dumbbell-deadlift-version-2-male.jpg",4,500,500)</f>
        <v/>
      </c>
      <c r="B559" s="30">
        <v>1448.0</v>
      </c>
      <c r="C559" s="16" t="s">
        <v>2011</v>
      </c>
      <c r="D559" s="16" t="s">
        <v>184</v>
      </c>
      <c r="E559" s="16" t="s">
        <v>185</v>
      </c>
      <c r="F559" s="16" t="s">
        <v>222</v>
      </c>
      <c r="G559" s="16" t="s">
        <v>220</v>
      </c>
      <c r="H559" s="16" t="s">
        <v>220</v>
      </c>
    </row>
    <row r="560" ht="330.75" customHeight="1">
      <c r="A560" s="32" t="str">
        <f>IMAGE("https://gymvisual.com/20724-catalog_default/dumbbell-deadlift-neutral-grip.jpg",4,500,500)</f>
        <v/>
      </c>
      <c r="B560" s="30">
        <v>1447.0</v>
      </c>
      <c r="C560" s="16" t="s">
        <v>2009</v>
      </c>
      <c r="D560" s="16" t="s">
        <v>184</v>
      </c>
      <c r="E560" s="16" t="s">
        <v>294</v>
      </c>
      <c r="F560" s="16" t="s">
        <v>222</v>
      </c>
      <c r="G560" s="16" t="s">
        <v>2010</v>
      </c>
      <c r="H560" s="16" t="s">
        <v>314</v>
      </c>
    </row>
    <row r="561" ht="330.75" customHeight="1">
      <c r="A561" s="32" t="str">
        <f>IMAGE("https://gymvisual.com/11023-catalog_default/dumbbell-deadlift-female.jpg",4,500,500)</f>
        <v/>
      </c>
      <c r="B561" s="30">
        <v>1446.0</v>
      </c>
      <c r="C561" s="16" t="s">
        <v>2008</v>
      </c>
      <c r="D561" s="16" t="s">
        <v>184</v>
      </c>
      <c r="E561" s="16" t="s">
        <v>294</v>
      </c>
      <c r="F561" s="16" t="s">
        <v>222</v>
      </c>
      <c r="G561" s="16" t="s">
        <v>187</v>
      </c>
      <c r="H561" s="16" t="s">
        <v>482</v>
      </c>
    </row>
    <row r="562" ht="330.75" customHeight="1">
      <c r="A562" s="32" t="str">
        <f>IMAGE("https://gymvisual.com/19331-catalog_default/dumbbell-deadlift.jpg",4,500,500)</f>
        <v/>
      </c>
      <c r="B562" s="30">
        <v>1445.0</v>
      </c>
      <c r="C562" s="16" t="s">
        <v>2007</v>
      </c>
      <c r="D562" s="16" t="s">
        <v>184</v>
      </c>
      <c r="E562" s="16" t="s">
        <v>192</v>
      </c>
      <c r="F562" s="16" t="s">
        <v>222</v>
      </c>
      <c r="G562" s="16" t="s">
        <v>189</v>
      </c>
      <c r="H562" s="16" t="s">
        <v>190</v>
      </c>
    </row>
    <row r="563" ht="330.75" customHeight="1">
      <c r="A563" s="32" t="str">
        <f>IMAGE("https://gymvisual.com/2771-catalog_default/dumbbell-curtsey-lunge.jpg",4,500,500)</f>
        <v/>
      </c>
      <c r="B563" s="30">
        <v>1444.0</v>
      </c>
      <c r="C563" s="16" t="s">
        <v>2005</v>
      </c>
      <c r="D563" s="16" t="s">
        <v>184</v>
      </c>
      <c r="E563" s="16" t="s">
        <v>285</v>
      </c>
      <c r="F563" s="16" t="s">
        <v>222</v>
      </c>
      <c r="G563" s="16" t="s">
        <v>189</v>
      </c>
      <c r="H563" s="16" t="s">
        <v>2006</v>
      </c>
    </row>
    <row r="564" ht="330.75" customHeight="1">
      <c r="A564" s="32" t="str">
        <f>IMAGE("https://gymvisual.com/22087-catalog_default/dumbbell-curl-to-press-female.jpg",4,500,500)</f>
        <v/>
      </c>
      <c r="B564" s="30">
        <v>1443.0</v>
      </c>
      <c r="C564" s="16" t="s">
        <v>2002</v>
      </c>
      <c r="D564" s="16" t="s">
        <v>184</v>
      </c>
      <c r="E564" s="16" t="s">
        <v>228</v>
      </c>
      <c r="F564" s="16" t="s">
        <v>222</v>
      </c>
      <c r="G564" s="16" t="s">
        <v>2003</v>
      </c>
      <c r="H564" s="16" t="s">
        <v>2004</v>
      </c>
    </row>
    <row r="565" ht="330.75" customHeight="1">
      <c r="A565" s="32" t="str">
        <f>IMAGE("https://gymvisual.com/26118-catalog_default/dumbbell-curl-press-extension-male.jpg",4,500,500)</f>
        <v/>
      </c>
      <c r="B565" s="30">
        <v>1442.0</v>
      </c>
      <c r="C565" s="16" t="s">
        <v>2001</v>
      </c>
      <c r="D565" s="16" t="s">
        <v>184</v>
      </c>
      <c r="E565" s="16" t="s">
        <v>219</v>
      </c>
      <c r="F565" s="16" t="s">
        <v>222</v>
      </c>
      <c r="G565" s="16" t="s">
        <v>220</v>
      </c>
      <c r="H565" s="16" t="s">
        <v>220</v>
      </c>
    </row>
    <row r="566" ht="330.75" customHeight="1">
      <c r="A566" s="32" t="str">
        <f>IMAGE("https://gymvisual.com/8732-catalog_default/dumbbell-cuban-press-version-2.jpg",4,500,500)</f>
        <v/>
      </c>
      <c r="B566" s="30">
        <v>1441.0</v>
      </c>
      <c r="C566" s="16" t="s">
        <v>1999</v>
      </c>
      <c r="D566" s="16" t="s">
        <v>184</v>
      </c>
      <c r="E566" s="16" t="s">
        <v>228</v>
      </c>
      <c r="F566" s="16" t="s">
        <v>222</v>
      </c>
      <c r="G566" s="16" t="s">
        <v>454</v>
      </c>
      <c r="H566" s="16" t="s">
        <v>2000</v>
      </c>
    </row>
    <row r="567" ht="330.75" customHeight="1">
      <c r="A567" s="32" t="str">
        <f>IMAGE("https://gymvisual.com/918-catalog_default/dumbbell-cuban-press.jpg",4,500,500)</f>
        <v/>
      </c>
      <c r="B567" s="30">
        <v>1440.0</v>
      </c>
      <c r="C567" s="16" t="s">
        <v>1996</v>
      </c>
      <c r="D567" s="16" t="s">
        <v>184</v>
      </c>
      <c r="E567" s="16" t="s">
        <v>228</v>
      </c>
      <c r="F567" s="16" t="s">
        <v>222</v>
      </c>
      <c r="G567" s="16" t="s">
        <v>1997</v>
      </c>
      <c r="H567" s="16" t="s">
        <v>1998</v>
      </c>
    </row>
    <row r="568" ht="330.75" customHeight="1">
      <c r="A568" s="32" t="str">
        <f>IMAGE("https://gymvisual.com/19594-catalog_default/dumbbell-crunch-up.jpg",4,500,500)</f>
        <v/>
      </c>
      <c r="B568" s="30">
        <v>1439.0</v>
      </c>
      <c r="C568" s="16" t="s">
        <v>1995</v>
      </c>
      <c r="D568" s="16" t="s">
        <v>184</v>
      </c>
      <c r="E568" s="16" t="s">
        <v>254</v>
      </c>
      <c r="F568" s="16" t="s">
        <v>222</v>
      </c>
      <c r="G568" s="16" t="s">
        <v>220</v>
      </c>
      <c r="H568" s="16" t="s">
        <v>220</v>
      </c>
    </row>
    <row r="569" ht="330.75" customHeight="1">
      <c r="A569" s="32" t="str">
        <f>IMAGE("https://gymvisual.com/11468-catalog_default/dumbbell-cross-body-hammer-curl-version-2-female.jpg",4,500,500)</f>
        <v/>
      </c>
      <c r="B569" s="30">
        <v>1438.0</v>
      </c>
      <c r="C569" s="16" t="s">
        <v>1994</v>
      </c>
      <c r="D569" s="16" t="s">
        <v>184</v>
      </c>
      <c r="E569" s="16" t="s">
        <v>219</v>
      </c>
      <c r="F569" s="16" t="s">
        <v>222</v>
      </c>
      <c r="G569" s="16" t="s">
        <v>216</v>
      </c>
      <c r="H569" s="16" t="s">
        <v>217</v>
      </c>
    </row>
    <row r="570" ht="330.75" customHeight="1">
      <c r="A570" s="32" t="str">
        <f>IMAGE("https://gymvisual.com/7131-catalog_default/dumbbell-cross-body-hammer-curl-version-2.jpg",4,500,500)</f>
        <v/>
      </c>
      <c r="B570" s="30">
        <v>1437.0</v>
      </c>
      <c r="C570" s="16" t="s">
        <v>1993</v>
      </c>
      <c r="D570" s="16" t="s">
        <v>184</v>
      </c>
      <c r="E570" s="16" t="s">
        <v>219</v>
      </c>
      <c r="F570" s="16" t="s">
        <v>222</v>
      </c>
      <c r="G570" s="16" t="s">
        <v>216</v>
      </c>
      <c r="H570" s="16" t="s">
        <v>217</v>
      </c>
    </row>
    <row r="571" ht="330.75" customHeight="1">
      <c r="A571" s="32" t="str">
        <f>IMAGE("https://gymvisual.com/915-catalog_default/dumbbell-cross-body-hammer-curl.jpg",4,500,500)</f>
        <v/>
      </c>
      <c r="B571" s="30">
        <v>1436.0</v>
      </c>
      <c r="C571" s="16" t="s">
        <v>1992</v>
      </c>
      <c r="D571" s="16" t="s">
        <v>184</v>
      </c>
      <c r="E571" s="16" t="s">
        <v>214</v>
      </c>
      <c r="F571" s="16" t="s">
        <v>222</v>
      </c>
      <c r="G571" s="16" t="s">
        <v>216</v>
      </c>
      <c r="H571" s="16" t="s">
        <v>217</v>
      </c>
    </row>
    <row r="572" ht="330.75" customHeight="1">
      <c r="A572" s="32" t="str">
        <f>IMAGE("https://gymvisual.com/22213-catalog_default/dumbbell-cossack-squats-version-2-male.jpg",4,500,500)</f>
        <v/>
      </c>
      <c r="B572" s="30">
        <v>1435.0</v>
      </c>
      <c r="C572" s="16" t="s">
        <v>1991</v>
      </c>
      <c r="D572" s="16" t="s">
        <v>184</v>
      </c>
      <c r="E572" s="16" t="s">
        <v>285</v>
      </c>
      <c r="F572" s="16" t="s">
        <v>222</v>
      </c>
      <c r="G572" s="16" t="s">
        <v>220</v>
      </c>
      <c r="H572" s="16" t="s">
        <v>220</v>
      </c>
    </row>
    <row r="573" ht="330.75" customHeight="1">
      <c r="A573" s="32" t="str">
        <f>IMAGE("https://gymvisual.com/19217-catalog_default/dumbbell-cossack-squats-male.jpg",4,500,500)</f>
        <v/>
      </c>
      <c r="B573" s="30">
        <v>1434.0</v>
      </c>
      <c r="C573" s="16" t="s">
        <v>1990</v>
      </c>
      <c r="D573" s="16" t="s">
        <v>184</v>
      </c>
      <c r="E573" s="16" t="s">
        <v>294</v>
      </c>
      <c r="F573" s="16" t="s">
        <v>222</v>
      </c>
      <c r="G573" s="16" t="s">
        <v>220</v>
      </c>
      <c r="H573" s="16" t="s">
        <v>220</v>
      </c>
    </row>
    <row r="574" ht="330.75" customHeight="1">
      <c r="A574" s="32" t="str">
        <f>IMAGE("https://gymvisual.com/14340-catalog_default/dumbbell-contralateral-forward-lunge.jpg",4,500,500)</f>
        <v/>
      </c>
      <c r="B574" s="30">
        <v>1433.0</v>
      </c>
      <c r="C574" s="16" t="s">
        <v>1989</v>
      </c>
      <c r="D574" s="16" t="s">
        <v>184</v>
      </c>
      <c r="E574" s="16" t="s">
        <v>285</v>
      </c>
      <c r="F574" s="16" t="s">
        <v>222</v>
      </c>
      <c r="G574" s="16" t="s">
        <v>189</v>
      </c>
      <c r="H574" s="16" t="s">
        <v>190</v>
      </c>
    </row>
    <row r="575" ht="330.75" customHeight="1">
      <c r="A575" s="32" t="str">
        <f>IMAGE("https://gymvisual.com/10299-catalog_default/dumbbell-concentration-curl-female.jpg",4,500,500)</f>
        <v/>
      </c>
      <c r="B575" s="30">
        <v>1432.0</v>
      </c>
      <c r="C575" s="16" t="s">
        <v>231</v>
      </c>
      <c r="D575" s="16" t="s">
        <v>184</v>
      </c>
      <c r="E575" s="16" t="s">
        <v>219</v>
      </c>
      <c r="F575" s="16" t="s">
        <v>222</v>
      </c>
      <c r="G575" s="16" t="s">
        <v>232</v>
      </c>
      <c r="H575" s="16" t="s">
        <v>233</v>
      </c>
    </row>
    <row r="576" ht="330.75" customHeight="1">
      <c r="A576" s="32" t="str">
        <f>IMAGE("https://gymvisual.com/912-catalog_default/dumbbell-concentration-curl.jpg",4,500,500)</f>
        <v/>
      </c>
      <c r="B576" s="30">
        <v>1431.0</v>
      </c>
      <c r="C576" s="16" t="s">
        <v>141</v>
      </c>
      <c r="D576" s="16" t="s">
        <v>184</v>
      </c>
      <c r="E576" s="16" t="s">
        <v>219</v>
      </c>
      <c r="F576" s="16" t="s">
        <v>222</v>
      </c>
      <c r="G576" s="16" t="s">
        <v>232</v>
      </c>
      <c r="H576" s="16" t="s">
        <v>233</v>
      </c>
    </row>
    <row r="577" ht="330.75" customHeight="1">
      <c r="A577" s="32" t="str">
        <f>IMAGE("https://gymvisual.com/17771-catalog_default/dumbbell-complex-push-up-row-clean-and-press.jpg",4,500,500)</f>
        <v/>
      </c>
      <c r="B577" s="30">
        <v>1430.0</v>
      </c>
      <c r="C577" s="16" t="s">
        <v>1988</v>
      </c>
      <c r="D577" s="16" t="s">
        <v>184</v>
      </c>
      <c r="E577" s="16" t="s">
        <v>321</v>
      </c>
      <c r="F577" s="16" t="s">
        <v>222</v>
      </c>
      <c r="G577" s="16" t="s">
        <v>220</v>
      </c>
      <c r="H577" s="16" t="s">
        <v>220</v>
      </c>
    </row>
    <row r="578" ht="330.75" customHeight="1">
      <c r="A578" s="32" t="str">
        <f>IMAGE("https://gymvisual.com/909-catalog_default/dumbbell-close-grip-press.jpg",4,500,500)</f>
        <v/>
      </c>
      <c r="B578" s="30">
        <v>1429.0</v>
      </c>
      <c r="C578" s="16" t="s">
        <v>1987</v>
      </c>
      <c r="D578" s="16" t="s">
        <v>184</v>
      </c>
      <c r="E578" s="16" t="s">
        <v>219</v>
      </c>
      <c r="F578" s="16" t="s">
        <v>222</v>
      </c>
      <c r="G578" s="16" t="s">
        <v>223</v>
      </c>
      <c r="H578" s="16" t="s">
        <v>896</v>
      </c>
    </row>
    <row r="579" ht="330.75" customHeight="1">
      <c r="A579" s="32" t="str">
        <f>IMAGE("https://gymvisual.com/19588-catalog_default/dumbbell-close-grip-shoulder-press-sit-up.jpg",4,500,500)</f>
        <v/>
      </c>
      <c r="B579" s="30">
        <v>1428.0</v>
      </c>
      <c r="C579" s="16" t="s">
        <v>1986</v>
      </c>
      <c r="D579" s="16" t="s">
        <v>184</v>
      </c>
      <c r="E579" s="16" t="s">
        <v>254</v>
      </c>
      <c r="F579" s="16" t="s">
        <v>222</v>
      </c>
      <c r="G579" s="16" t="s">
        <v>220</v>
      </c>
      <c r="H579" s="16" t="s">
        <v>220</v>
      </c>
    </row>
    <row r="580" ht="330.75" customHeight="1">
      <c r="A580" s="32" t="str">
        <f>IMAGE("https://gymvisual.com/13419-catalog_default/dumbbell-close-grip-press-female.jpg",4,500,500)</f>
        <v/>
      </c>
      <c r="B580" s="30">
        <v>1427.0</v>
      </c>
      <c r="C580" s="16" t="s">
        <v>1985</v>
      </c>
      <c r="D580" s="16" t="s">
        <v>184</v>
      </c>
      <c r="E580" s="16" t="s">
        <v>234</v>
      </c>
      <c r="F580" s="16" t="s">
        <v>222</v>
      </c>
      <c r="G580" s="16" t="s">
        <v>220</v>
      </c>
      <c r="H580" s="16" t="s">
        <v>220</v>
      </c>
    </row>
    <row r="581" ht="330.75" customHeight="1">
      <c r="A581" s="32" t="str">
        <f>IMAGE("https://gymvisual.com/11465-catalog_default/dumbbell-close-grip-press-female.jpg",4,500,500)</f>
        <v/>
      </c>
      <c r="B581" s="30">
        <v>1426.0</v>
      </c>
      <c r="C581" s="16" t="s">
        <v>1984</v>
      </c>
      <c r="D581" s="16" t="s">
        <v>184</v>
      </c>
      <c r="E581" s="16" t="s">
        <v>1894</v>
      </c>
      <c r="F581" s="16" t="s">
        <v>222</v>
      </c>
      <c r="G581" s="16" t="s">
        <v>223</v>
      </c>
      <c r="H581" s="16" t="s">
        <v>472</v>
      </c>
    </row>
    <row r="582" ht="330.75" customHeight="1">
      <c r="A582" s="32" t="str">
        <f>IMAGE("https://gymvisual.com/7450-catalog_default/dumbbell-close-grip-press.jpg",4,500,500)</f>
        <v/>
      </c>
      <c r="B582" s="30">
        <v>1425.0</v>
      </c>
      <c r="C582" s="16" t="s">
        <v>1983</v>
      </c>
      <c r="D582" s="16" t="s">
        <v>184</v>
      </c>
      <c r="E582" s="16" t="s">
        <v>219</v>
      </c>
      <c r="F582" s="16" t="s">
        <v>222</v>
      </c>
      <c r="G582" s="16" t="s">
        <v>223</v>
      </c>
      <c r="H582" s="16" t="s">
        <v>472</v>
      </c>
    </row>
    <row r="583" ht="330.75" customHeight="1">
      <c r="A583" s="32" t="str">
        <f>IMAGE("https://gymvisual.com/18716-catalog_default/dumbbell-close-grip-curl.jpg",4,500,500)</f>
        <v/>
      </c>
      <c r="B583" s="30">
        <v>1424.0</v>
      </c>
      <c r="C583" s="16" t="s">
        <v>1982</v>
      </c>
      <c r="D583" s="16" t="s">
        <v>184</v>
      </c>
      <c r="E583" s="16" t="s">
        <v>219</v>
      </c>
      <c r="F583" s="16" t="s">
        <v>222</v>
      </c>
      <c r="G583" s="16" t="s">
        <v>241</v>
      </c>
      <c r="H583" s="16" t="s">
        <v>292</v>
      </c>
    </row>
    <row r="584" ht="330.75" customHeight="1">
      <c r="A584" s="32" t="str">
        <f>IMAGE("https://gymvisual.com/22568-catalog_default/dumbbell-clean-and-press.jpg",4,500,500)</f>
        <v/>
      </c>
      <c r="B584" s="30">
        <v>1423.0</v>
      </c>
      <c r="C584" s="16" t="s">
        <v>1980</v>
      </c>
      <c r="D584" s="16" t="s">
        <v>184</v>
      </c>
      <c r="E584" s="16" t="s">
        <v>764</v>
      </c>
      <c r="F584" s="16" t="s">
        <v>222</v>
      </c>
      <c r="G584" s="16" t="s">
        <v>1981</v>
      </c>
      <c r="H584" s="16" t="s">
        <v>220</v>
      </c>
    </row>
    <row r="585" ht="330.75" customHeight="1">
      <c r="A585" s="32" t="str">
        <f>IMAGE("https://gymvisual.com/20618-catalog_default/dumbbell-clean.jpg",4,500,500)</f>
        <v/>
      </c>
      <c r="B585" s="30">
        <v>1422.0</v>
      </c>
      <c r="C585" s="16" t="s">
        <v>1979</v>
      </c>
      <c r="D585" s="16" t="s">
        <v>184</v>
      </c>
      <c r="E585" s="16" t="s">
        <v>285</v>
      </c>
      <c r="F585" s="16" t="s">
        <v>222</v>
      </c>
      <c r="G585" s="16" t="s">
        <v>793</v>
      </c>
      <c r="H585" s="16" t="s">
        <v>220</v>
      </c>
    </row>
    <row r="586" ht="330.75" customHeight="1">
      <c r="A586" s="32" t="str">
        <f>IMAGE("https://gymvisual.com/14765-catalog_default/dumbbell-chest-supported-lateral-raises.jpg",4,500,500)</f>
        <v/>
      </c>
      <c r="B586" s="30">
        <v>1421.0</v>
      </c>
      <c r="C586" s="16" t="s">
        <v>1977</v>
      </c>
      <c r="D586" s="16" t="s">
        <v>184</v>
      </c>
      <c r="E586" s="16" t="s">
        <v>228</v>
      </c>
      <c r="F586" s="16" t="s">
        <v>222</v>
      </c>
      <c r="G586" s="16" t="s">
        <v>408</v>
      </c>
      <c r="H586" s="16" t="s">
        <v>1978</v>
      </c>
    </row>
    <row r="587" ht="330.75" customHeight="1">
      <c r="A587" s="32" t="str">
        <f>IMAGE("https://gymvisual.com/9730-catalog_default/dumbbell-bulgarian-split-squat-female.jpg",4,500,500)</f>
        <v/>
      </c>
      <c r="B587" s="30">
        <v>1420.0</v>
      </c>
      <c r="C587" s="16" t="s">
        <v>1976</v>
      </c>
      <c r="D587" s="16" t="s">
        <v>184</v>
      </c>
      <c r="E587" s="16" t="s">
        <v>294</v>
      </c>
      <c r="F587" s="16" t="s">
        <v>222</v>
      </c>
      <c r="G587" s="16" t="s">
        <v>189</v>
      </c>
      <c r="H587" s="16" t="s">
        <v>190</v>
      </c>
    </row>
    <row r="588" ht="330.75" customHeight="1">
      <c r="A588" s="32" t="str">
        <f>IMAGE("https://gymvisual.com/22211-catalog_default/dumbbell-bridge-bench-press.jpg",4,500,500)</f>
        <v/>
      </c>
      <c r="B588" s="30">
        <v>1419.0</v>
      </c>
      <c r="C588" s="16" t="s">
        <v>1975</v>
      </c>
      <c r="D588" s="16" t="s">
        <v>184</v>
      </c>
      <c r="E588" s="16" t="s">
        <v>234</v>
      </c>
      <c r="F588" s="16" t="s">
        <v>222</v>
      </c>
      <c r="G588" s="16" t="s">
        <v>220</v>
      </c>
      <c r="H588" s="16" t="s">
        <v>220</v>
      </c>
    </row>
    <row r="589" ht="330.75" customHeight="1">
      <c r="A589" s="32" t="str">
        <f>IMAGE("https://gymvisual.com/20473-catalog_default/dumbbell-biceps-curl-with-overhead-extension-on-stability-ball.jpg",4,500,500)</f>
        <v/>
      </c>
      <c r="B589" s="30">
        <v>1418.0</v>
      </c>
      <c r="C589" s="16" t="s">
        <v>1973</v>
      </c>
      <c r="D589" s="16" t="s">
        <v>184</v>
      </c>
      <c r="E589" s="16" t="s">
        <v>219</v>
      </c>
      <c r="F589" s="16" t="s">
        <v>222</v>
      </c>
      <c r="G589" s="16" t="s">
        <v>1974</v>
      </c>
      <c r="H589" s="16" t="s">
        <v>292</v>
      </c>
    </row>
    <row r="590" ht="330.75" customHeight="1">
      <c r="A590" s="32" t="str">
        <f>IMAGE("https://gymvisual.com/7130-catalog_default/dumbbell-biceps-curl-v-sit-on-bosu-ball.jpg",4,500,500)</f>
        <v/>
      </c>
      <c r="B590" s="30">
        <v>1417.0</v>
      </c>
      <c r="C590" s="16" t="s">
        <v>1972</v>
      </c>
      <c r="D590" s="16" t="s">
        <v>184</v>
      </c>
      <c r="E590" s="16" t="s">
        <v>219</v>
      </c>
      <c r="F590" s="16" t="s">
        <v>222</v>
      </c>
      <c r="G590" s="16" t="s">
        <v>220</v>
      </c>
      <c r="H590" s="16" t="s">
        <v>220</v>
      </c>
    </row>
    <row r="591" ht="330.75" customHeight="1">
      <c r="A591" s="32" t="str">
        <f>IMAGE("https://gymvisual.com/7129-catalog_default/dumbbell-biceps-curl-squat.jpg",4,500,500)</f>
        <v/>
      </c>
      <c r="B591" s="30">
        <v>1416.0</v>
      </c>
      <c r="C591" s="16" t="s">
        <v>1971</v>
      </c>
      <c r="D591" s="16" t="s">
        <v>184</v>
      </c>
      <c r="E591" s="16" t="s">
        <v>219</v>
      </c>
      <c r="F591" s="16" t="s">
        <v>222</v>
      </c>
      <c r="G591" s="16" t="s">
        <v>220</v>
      </c>
      <c r="H591" s="16" t="s">
        <v>220</v>
      </c>
    </row>
    <row r="592" ht="330.75" customHeight="1">
      <c r="A592" s="32" t="str">
        <f>IMAGE("https://gymvisual.com/11462-catalog_default/dumbbell-biceps-curl-reverse-female.jpg",4,500,500)</f>
        <v/>
      </c>
      <c r="B592" s="30">
        <v>1415.0</v>
      </c>
      <c r="C592" s="16" t="s">
        <v>1970</v>
      </c>
      <c r="D592" s="16" t="s">
        <v>184</v>
      </c>
      <c r="E592" s="16" t="s">
        <v>214</v>
      </c>
      <c r="F592" s="16" t="s">
        <v>222</v>
      </c>
      <c r="G592" s="16" t="s">
        <v>220</v>
      </c>
      <c r="H592" s="16" t="s">
        <v>220</v>
      </c>
    </row>
    <row r="593" ht="330.75" customHeight="1">
      <c r="A593" s="32" t="str">
        <f>IMAGE("https://gymvisual.com/7128-catalog_default/dumbbell-biceps-curl-reverse.jpg",4,500,500)</f>
        <v/>
      </c>
      <c r="B593" s="30">
        <v>1414.0</v>
      </c>
      <c r="C593" s="16" t="s">
        <v>1969</v>
      </c>
      <c r="D593" s="16" t="s">
        <v>184</v>
      </c>
      <c r="E593" s="16" t="s">
        <v>219</v>
      </c>
      <c r="F593" s="16" t="s">
        <v>222</v>
      </c>
      <c r="G593" s="16" t="s">
        <v>220</v>
      </c>
      <c r="H593" s="16" t="s">
        <v>220</v>
      </c>
    </row>
    <row r="594" ht="330.75" customHeight="1">
      <c r="A594" s="32" t="str">
        <f>IMAGE("https://gymvisual.com/13417-catalog_default/dumbbell-biceps-curl-with-arm-blaster-female.jpg",4,500,500)</f>
        <v/>
      </c>
      <c r="B594" s="30">
        <v>1413.0</v>
      </c>
      <c r="C594" s="16" t="s">
        <v>1968</v>
      </c>
      <c r="D594" s="16" t="s">
        <v>184</v>
      </c>
      <c r="E594" s="16" t="s">
        <v>219</v>
      </c>
      <c r="F594" s="16" t="s">
        <v>222</v>
      </c>
      <c r="G594" s="16" t="s">
        <v>220</v>
      </c>
      <c r="H594" s="16" t="s">
        <v>220</v>
      </c>
    </row>
    <row r="595" ht="330.75" customHeight="1">
      <c r="A595" s="32" t="str">
        <f>IMAGE("https://gymvisual.com/10454-catalog_default/dumbbell-biceps-curl-with-arm-blaster.jpg",4,500,500)</f>
        <v/>
      </c>
      <c r="B595" s="30">
        <v>1412.0</v>
      </c>
      <c r="C595" s="16" t="s">
        <v>1967</v>
      </c>
      <c r="D595" s="16" t="s">
        <v>184</v>
      </c>
      <c r="E595" s="16" t="s">
        <v>219</v>
      </c>
      <c r="F595" s="16" t="s">
        <v>222</v>
      </c>
      <c r="G595" s="16" t="s">
        <v>241</v>
      </c>
      <c r="H595" s="16" t="s">
        <v>292</v>
      </c>
    </row>
    <row r="596" ht="330.75" customHeight="1">
      <c r="A596" s="32" t="str">
        <f>IMAGE("https://gymvisual.com/11020-catalog_default/dumbbell-biceps-curl-female.jpg",4,500,500)</f>
        <v/>
      </c>
      <c r="B596" s="30">
        <v>1411.0</v>
      </c>
      <c r="C596" s="16" t="s">
        <v>1966</v>
      </c>
      <c r="D596" s="16" t="s">
        <v>184</v>
      </c>
      <c r="E596" s="16" t="s">
        <v>219</v>
      </c>
      <c r="F596" s="16" t="s">
        <v>222</v>
      </c>
      <c r="G596" s="16" t="s">
        <v>241</v>
      </c>
      <c r="H596" s="16" t="s">
        <v>292</v>
      </c>
    </row>
    <row r="597" ht="330.75" customHeight="1">
      <c r="A597" s="32" t="str">
        <f>IMAGE("https://gymvisual.com/904-catalog_default/dumbbell-biceps-curl.jpg",4,500,500)</f>
        <v/>
      </c>
      <c r="B597" s="30">
        <v>1410.0</v>
      </c>
      <c r="C597" s="16" t="s">
        <v>1965</v>
      </c>
      <c r="D597" s="16" t="s">
        <v>184</v>
      </c>
      <c r="E597" s="16" t="s">
        <v>219</v>
      </c>
      <c r="F597" s="16" t="s">
        <v>222</v>
      </c>
      <c r="G597" s="16" t="s">
        <v>241</v>
      </c>
      <c r="H597" s="16" t="s">
        <v>292</v>
      </c>
    </row>
    <row r="598" ht="330.75" customHeight="1">
      <c r="A598" s="32" t="str">
        <f>IMAGE("https://gymvisual.com/7127-catalog_default/dumbbell-bicep-curl-with-stork-stance.jpg",4,500,500)</f>
        <v/>
      </c>
      <c r="B598" s="30">
        <v>1409.0</v>
      </c>
      <c r="C598" s="16" t="s">
        <v>1964</v>
      </c>
      <c r="D598" s="16" t="s">
        <v>184</v>
      </c>
      <c r="E598" s="16" t="s">
        <v>219</v>
      </c>
      <c r="F598" s="16" t="s">
        <v>222</v>
      </c>
      <c r="G598" s="16" t="s">
        <v>220</v>
      </c>
      <c r="H598" s="16" t="s">
        <v>220</v>
      </c>
    </row>
    <row r="599" ht="330.75" customHeight="1">
      <c r="A599" s="32" t="str">
        <f>IMAGE("https://gymvisual.com/7126-catalog_default/dumbbell-bicep-curl-on-exercise-ball-with-leg-raised.jpg",4,500,500)</f>
        <v/>
      </c>
      <c r="B599" s="30">
        <v>1408.0</v>
      </c>
      <c r="C599" s="16" t="s">
        <v>1963</v>
      </c>
      <c r="D599" s="16" t="s">
        <v>184</v>
      </c>
      <c r="E599" s="16" t="s">
        <v>219</v>
      </c>
      <c r="F599" s="16" t="s">
        <v>222</v>
      </c>
      <c r="G599" s="16" t="s">
        <v>220</v>
      </c>
      <c r="H599" s="16" t="s">
        <v>220</v>
      </c>
    </row>
    <row r="600" ht="330.75" customHeight="1">
      <c r="A600" s="32" t="str">
        <f>IMAGE("https://gymvisual.com/7125-catalog_default/dumbbell-bicep-curl-lunge-with-bowling-motion.jpg",4,500,500)</f>
        <v/>
      </c>
      <c r="B600" s="30">
        <v>1407.0</v>
      </c>
      <c r="C600" s="16" t="s">
        <v>1962</v>
      </c>
      <c r="D600" s="16" t="s">
        <v>184</v>
      </c>
      <c r="E600" s="16" t="s">
        <v>219</v>
      </c>
      <c r="F600" s="16" t="s">
        <v>222</v>
      </c>
      <c r="G600" s="16" t="s">
        <v>220</v>
      </c>
      <c r="H600" s="16" t="s">
        <v>220</v>
      </c>
    </row>
    <row r="601" ht="330.75" customHeight="1">
      <c r="A601" s="32" t="str">
        <f>IMAGE("https://gymvisual.com/22209-catalog_default/dumbbell-bent-over-single-arm-row-version-2.jpg",4,500,500)</f>
        <v/>
      </c>
      <c r="B601" s="30">
        <v>1406.0</v>
      </c>
      <c r="C601" s="16" t="s">
        <v>1961</v>
      </c>
      <c r="D601" s="16" t="s">
        <v>184</v>
      </c>
      <c r="E601" s="16" t="s">
        <v>192</v>
      </c>
      <c r="F601" s="16" t="s">
        <v>222</v>
      </c>
      <c r="G601" s="16" t="s">
        <v>220</v>
      </c>
      <c r="H601" s="16" t="s">
        <v>220</v>
      </c>
    </row>
    <row r="602" ht="330.75" customHeight="1">
      <c r="A602" s="32" t="str">
        <f>IMAGE("https://gymvisual.com/25001-catalog_default/dumbbell-bent-over-row-with-chest-support.jpg",4,500,500)</f>
        <v/>
      </c>
      <c r="B602" s="30">
        <v>1405.0</v>
      </c>
      <c r="C602" s="16" t="s">
        <v>1960</v>
      </c>
      <c r="D602" s="16" t="s">
        <v>184</v>
      </c>
      <c r="E602" s="16" t="s">
        <v>192</v>
      </c>
      <c r="F602" s="16" t="s">
        <v>222</v>
      </c>
      <c r="G602" s="16" t="s">
        <v>220</v>
      </c>
      <c r="H602" s="16" t="s">
        <v>220</v>
      </c>
    </row>
    <row r="603" ht="330.75" customHeight="1">
      <c r="A603" s="32" t="str">
        <f>IMAGE("https://gymvisual.com/11017-catalog_default/dumbbell-bent-over-row-female.jpg",4,500,500)</f>
        <v/>
      </c>
      <c r="B603" s="30">
        <v>1404.0</v>
      </c>
      <c r="C603" s="16" t="s">
        <v>1959</v>
      </c>
      <c r="D603" s="16" t="s">
        <v>184</v>
      </c>
      <c r="E603" s="16" t="s">
        <v>192</v>
      </c>
      <c r="F603" s="16" t="s">
        <v>222</v>
      </c>
      <c r="G603" s="16" t="s">
        <v>570</v>
      </c>
      <c r="H603" s="16" t="s">
        <v>447</v>
      </c>
    </row>
    <row r="604" ht="330.75" customHeight="1">
      <c r="A604" s="32" t="str">
        <f>IMAGE("https://gymvisual.com/10066-catalog_default/dumbbell-bent-over-row.jpg",4,500,500)</f>
        <v/>
      </c>
      <c r="B604" s="30">
        <v>1403.0</v>
      </c>
      <c r="C604" s="16" t="s">
        <v>1958</v>
      </c>
      <c r="D604" s="16" t="s">
        <v>184</v>
      </c>
      <c r="E604" s="16" t="s">
        <v>192</v>
      </c>
      <c r="F604" s="16" t="s">
        <v>222</v>
      </c>
      <c r="G604" s="16" t="s">
        <v>329</v>
      </c>
      <c r="H604" s="16" t="s">
        <v>457</v>
      </c>
    </row>
    <row r="605" ht="330.75" customHeight="1">
      <c r="A605" s="32" t="str">
        <f>IMAGE("https://gymvisual.com/17065-catalog_default/dumbbell-bent-over-reverse-row.jpg",4,500,500)</f>
        <v/>
      </c>
      <c r="B605" s="30">
        <v>1402.0</v>
      </c>
      <c r="C605" s="16" t="s">
        <v>1957</v>
      </c>
      <c r="D605" s="16" t="s">
        <v>184</v>
      </c>
      <c r="E605" s="16" t="s">
        <v>192</v>
      </c>
      <c r="F605" s="16" t="s">
        <v>222</v>
      </c>
      <c r="G605" s="16" t="s">
        <v>329</v>
      </c>
      <c r="H605" s="16" t="s">
        <v>447</v>
      </c>
    </row>
    <row r="606" ht="330.75" customHeight="1">
      <c r="A606" s="32" t="str">
        <f>IMAGE("https://gymvisual.com/25009-catalog_default/dumbbell-bent-over-face-pull.jpg",4,500,500)</f>
        <v/>
      </c>
      <c r="B606" s="30">
        <v>1401.0</v>
      </c>
      <c r="C606" s="16" t="s">
        <v>1956</v>
      </c>
      <c r="D606" s="16" t="s">
        <v>184</v>
      </c>
      <c r="E606" s="16" t="s">
        <v>228</v>
      </c>
      <c r="F606" s="16" t="s">
        <v>222</v>
      </c>
      <c r="G606" s="16" t="s">
        <v>220</v>
      </c>
      <c r="H606" s="16" t="s">
        <v>220</v>
      </c>
    </row>
    <row r="607" ht="330.75" customHeight="1">
      <c r="A607" s="32" t="str">
        <f>IMAGE("https://gymvisual.com/14788-catalog_default/dumbbell-bent-over-alternate-rear-delt-fly.jpg",4,500,500)</f>
        <v/>
      </c>
      <c r="B607" s="30">
        <v>1400.0</v>
      </c>
      <c r="C607" s="16" t="s">
        <v>1955</v>
      </c>
      <c r="D607" s="16" t="s">
        <v>184</v>
      </c>
      <c r="E607" s="16" t="s">
        <v>228</v>
      </c>
      <c r="F607" s="16" t="s">
        <v>222</v>
      </c>
      <c r="G607" s="16" t="s">
        <v>408</v>
      </c>
      <c r="H607" s="16" t="s">
        <v>452</v>
      </c>
    </row>
    <row r="608" ht="330.75" customHeight="1">
      <c r="A608" s="32" t="str">
        <f>IMAGE("https://gymvisual.com/10740-catalog_default/dumbbell-bent-arm-pullover-with-knees-bent-female.jpg",4,500,500)</f>
        <v/>
      </c>
      <c r="B608" s="30">
        <v>1399.0</v>
      </c>
      <c r="C608" s="16" t="s">
        <v>1954</v>
      </c>
      <c r="D608" s="16" t="s">
        <v>184</v>
      </c>
      <c r="E608" s="16" t="s">
        <v>234</v>
      </c>
      <c r="F608" s="16" t="s">
        <v>222</v>
      </c>
      <c r="G608" s="16" t="s">
        <v>347</v>
      </c>
      <c r="H608" s="16" t="s">
        <v>824</v>
      </c>
    </row>
    <row r="609" ht="330.75" customHeight="1">
      <c r="A609" s="32" t="str">
        <f>IMAGE("https://gymvisual.com/18734-catalog_default/dumbbell-bent-arm-pullover-female.jpg",4,500,500)</f>
        <v/>
      </c>
      <c r="B609" s="30">
        <v>1398.0</v>
      </c>
      <c r="C609" s="16" t="s">
        <v>1953</v>
      </c>
      <c r="D609" s="16" t="s">
        <v>184</v>
      </c>
      <c r="E609" s="16" t="s">
        <v>234</v>
      </c>
      <c r="F609" s="16" t="s">
        <v>222</v>
      </c>
      <c r="G609" s="16" t="s">
        <v>220</v>
      </c>
      <c r="H609" s="16" t="s">
        <v>220</v>
      </c>
    </row>
    <row r="610" ht="330.75" customHeight="1">
      <c r="A610" s="32" t="str">
        <f>IMAGE("https://gymvisual.com/24832-catalog_default/dumbbell-bent-arm-lateral-raise-male.jpg",4,500,500)</f>
        <v/>
      </c>
      <c r="B610" s="30">
        <v>1397.0</v>
      </c>
      <c r="C610" s="16" t="s">
        <v>1952</v>
      </c>
      <c r="D610" s="16" t="s">
        <v>184</v>
      </c>
      <c r="E610" s="16" t="s">
        <v>228</v>
      </c>
      <c r="F610" s="16" t="s">
        <v>222</v>
      </c>
      <c r="G610" s="16" t="s">
        <v>544</v>
      </c>
      <c r="H610" s="16" t="s">
        <v>545</v>
      </c>
    </row>
    <row r="611" ht="330.75" customHeight="1">
      <c r="A611" s="32" t="str">
        <f>IMAGE("https://gymvisual.com/19667-catalog_default/dumbbell-bent-arm-lateral-raise-female.jpg",4,500,500)</f>
        <v/>
      </c>
      <c r="B611" s="30">
        <v>1396.0</v>
      </c>
      <c r="C611" s="16" t="s">
        <v>1951</v>
      </c>
      <c r="D611" s="16" t="s">
        <v>184</v>
      </c>
      <c r="E611" s="16" t="s">
        <v>228</v>
      </c>
      <c r="F611" s="16" t="s">
        <v>222</v>
      </c>
      <c r="G611" s="16" t="s">
        <v>544</v>
      </c>
      <c r="H611" s="16" t="s">
        <v>545</v>
      </c>
    </row>
    <row r="612" ht="330.75" customHeight="1">
      <c r="A612" s="32" t="str">
        <f>IMAGE("https://gymvisual.com/22466-catalog_default/dumbbell-bent-arm-iso-hold.jpg",4,500,500)</f>
        <v/>
      </c>
      <c r="B612" s="30">
        <v>1395.0</v>
      </c>
      <c r="C612" s="16" t="s">
        <v>1950</v>
      </c>
      <c r="D612" s="16" t="s">
        <v>184</v>
      </c>
      <c r="E612" s="16" t="s">
        <v>219</v>
      </c>
      <c r="F612" s="16" t="s">
        <v>222</v>
      </c>
      <c r="G612" s="16" t="s">
        <v>220</v>
      </c>
      <c r="H612" s="16" t="s">
        <v>220</v>
      </c>
    </row>
    <row r="613" ht="330.75" customHeight="1">
      <c r="A613" s="32" t="str">
        <f>IMAGE("https://gymvisual.com/14782-catalog_default/dumbbell-bench-supported-external-rotation.jpg",4,500,500)</f>
        <v/>
      </c>
      <c r="B613" s="30">
        <v>1394.0</v>
      </c>
      <c r="C613" s="16" t="s">
        <v>1949</v>
      </c>
      <c r="D613" s="16" t="s">
        <v>184</v>
      </c>
      <c r="E613" s="16" t="s">
        <v>192</v>
      </c>
      <c r="F613" s="16" t="s">
        <v>222</v>
      </c>
      <c r="G613" s="16" t="s">
        <v>1607</v>
      </c>
      <c r="H613" s="16" t="s">
        <v>408</v>
      </c>
    </row>
    <row r="614" ht="330.75" customHeight="1">
      <c r="A614" s="32" t="str">
        <f>IMAGE("https://gymvisual.com/9565-catalog_default/dumbbell-bench-squat-female.jpg",4,500,500)</f>
        <v/>
      </c>
      <c r="B614" s="30">
        <v>1393.0</v>
      </c>
      <c r="C614" s="16" t="s">
        <v>1948</v>
      </c>
      <c r="D614" s="16" t="s">
        <v>184</v>
      </c>
      <c r="E614" s="16" t="s">
        <v>294</v>
      </c>
      <c r="F614" s="16" t="s">
        <v>222</v>
      </c>
      <c r="G614" s="16" t="s">
        <v>220</v>
      </c>
      <c r="H614" s="16" t="s">
        <v>220</v>
      </c>
    </row>
    <row r="615" ht="330.75" customHeight="1">
      <c r="A615" s="32" t="str">
        <f>IMAGE("https://gymvisual.com/895-catalog_default/dumbbell-bench-squat.jpg",4,500,500)</f>
        <v/>
      </c>
      <c r="B615" s="30">
        <v>1392.0</v>
      </c>
      <c r="C615" s="16" t="s">
        <v>1947</v>
      </c>
      <c r="D615" s="16" t="s">
        <v>184</v>
      </c>
      <c r="E615" s="16" t="s">
        <v>285</v>
      </c>
      <c r="F615" s="16" t="s">
        <v>222</v>
      </c>
      <c r="G615" s="16" t="s">
        <v>189</v>
      </c>
      <c r="H615" s="16" t="s">
        <v>190</v>
      </c>
    </row>
    <row r="616" ht="330.75" customHeight="1">
      <c r="A616" s="32" t="str">
        <f>IMAGE("https://gymvisual.com/24820-catalog_default/dumbbell-bench-seated-press.jpg",4,500,500)</f>
        <v/>
      </c>
      <c r="B616" s="30">
        <v>1391.0</v>
      </c>
      <c r="C616" s="16" t="s">
        <v>1946</v>
      </c>
      <c r="D616" s="16" t="s">
        <v>184</v>
      </c>
      <c r="E616" s="16" t="s">
        <v>228</v>
      </c>
      <c r="F616" s="16" t="s">
        <v>222</v>
      </c>
      <c r="G616" s="16" t="s">
        <v>229</v>
      </c>
      <c r="H616" s="16" t="s">
        <v>244</v>
      </c>
    </row>
    <row r="617" ht="330.75" customHeight="1">
      <c r="A617" s="32" t="str">
        <f>IMAGE("https://gymvisual.com/9676-catalog_default/dumbbell-bench-press-female.jpg",4,500,500)</f>
        <v/>
      </c>
      <c r="B617" s="30">
        <v>1390.0</v>
      </c>
      <c r="C617" s="16" t="s">
        <v>1945</v>
      </c>
      <c r="D617" s="16" t="s">
        <v>184</v>
      </c>
      <c r="E617" s="16" t="s">
        <v>234</v>
      </c>
      <c r="F617" s="16" t="s">
        <v>222</v>
      </c>
      <c r="G617" s="16" t="s">
        <v>347</v>
      </c>
      <c r="H617" s="16" t="s">
        <v>382</v>
      </c>
    </row>
    <row r="618" ht="330.75" customHeight="1">
      <c r="A618" s="32" t="str">
        <f>IMAGE("https://gymvisual.com/19327-catalog_default/dumbbell-bench-press.jpg",4,500,500)</f>
        <v/>
      </c>
      <c r="B618" s="30">
        <v>1389.0</v>
      </c>
      <c r="C618" s="16" t="s">
        <v>115</v>
      </c>
      <c r="D618" s="16" t="s">
        <v>184</v>
      </c>
      <c r="E618" s="16" t="s">
        <v>234</v>
      </c>
      <c r="F618" s="16" t="s">
        <v>222</v>
      </c>
      <c r="G618" s="16" t="s">
        <v>235</v>
      </c>
      <c r="H618" s="16" t="s">
        <v>243</v>
      </c>
    </row>
    <row r="619" ht="330.75" customHeight="1">
      <c r="A619" s="32" t="str">
        <f>IMAGE("https://gymvisual.com/6797-catalog_default/dumbbell-bench-one-leg-squat.jpg",4,500,500)</f>
        <v/>
      </c>
      <c r="B619" s="30">
        <v>1388.0</v>
      </c>
      <c r="C619" s="16" t="s">
        <v>1944</v>
      </c>
      <c r="D619" s="16" t="s">
        <v>184</v>
      </c>
      <c r="E619" s="16" t="s">
        <v>285</v>
      </c>
      <c r="F619" s="16" t="s">
        <v>222</v>
      </c>
      <c r="G619" s="16" t="s">
        <v>220</v>
      </c>
      <c r="H619" s="16" t="s">
        <v>220</v>
      </c>
    </row>
    <row r="620" ht="330.75" customHeight="1">
      <c r="A620" s="32" t="str">
        <f>IMAGE("https://gymvisual.com/22207-catalog_default/dumbbell-bench-dip-with-legs-elevated.jpg",4,500,500)</f>
        <v/>
      </c>
      <c r="B620" s="30">
        <v>1387.0</v>
      </c>
      <c r="C620" s="16" t="s">
        <v>1943</v>
      </c>
      <c r="D620" s="16" t="s">
        <v>184</v>
      </c>
      <c r="E620" s="16" t="s">
        <v>219</v>
      </c>
      <c r="F620" s="16" t="s">
        <v>222</v>
      </c>
      <c r="G620" s="16" t="s">
        <v>220</v>
      </c>
      <c r="H620" s="16" t="s">
        <v>220</v>
      </c>
    </row>
    <row r="621" ht="330.75" customHeight="1">
      <c r="A621" s="32" t="str">
        <f>IMAGE("https://gymvisual.com/22205-catalog_default/dumbbell-bench-dip.jpg",4,500,500)</f>
        <v/>
      </c>
      <c r="B621" s="30">
        <v>1386.0</v>
      </c>
      <c r="C621" s="16" t="s">
        <v>1942</v>
      </c>
      <c r="D621" s="16" t="s">
        <v>184</v>
      </c>
      <c r="E621" s="16" t="s">
        <v>219</v>
      </c>
      <c r="F621" s="16" t="s">
        <v>222</v>
      </c>
      <c r="G621" s="16" t="s">
        <v>220</v>
      </c>
      <c r="H621" s="16" t="s">
        <v>220</v>
      </c>
    </row>
    <row r="622" ht="330.75" customHeight="1">
      <c r="A622" s="32" t="str">
        <f>IMAGE("https://gymvisual.com/16622-catalog_default/dumbbell-behind-back-finger-curl-female.jpg",4,500,500)</f>
        <v/>
      </c>
      <c r="B622" s="30">
        <v>1385.0</v>
      </c>
      <c r="C622" s="16" t="s">
        <v>1941</v>
      </c>
      <c r="D622" s="16" t="s">
        <v>184</v>
      </c>
      <c r="E622" s="16" t="s">
        <v>214</v>
      </c>
      <c r="F622" s="16" t="s">
        <v>222</v>
      </c>
      <c r="G622" s="16" t="s">
        <v>720</v>
      </c>
      <c r="H622" s="16" t="s">
        <v>220</v>
      </c>
    </row>
    <row r="623" ht="330.75" customHeight="1">
      <c r="A623" s="32" t="str">
        <f>IMAGE("https://gymvisual.com/6958-catalog_default/dumbbell-behind-back-finger-curl.jpg",4,500,500)</f>
        <v/>
      </c>
      <c r="B623" s="30">
        <v>1384.0</v>
      </c>
      <c r="C623" s="16" t="s">
        <v>1940</v>
      </c>
      <c r="D623" s="16" t="s">
        <v>184</v>
      </c>
      <c r="E623" s="16" t="s">
        <v>214</v>
      </c>
      <c r="F623" s="16" t="s">
        <v>222</v>
      </c>
      <c r="G623" s="16" t="s">
        <v>720</v>
      </c>
      <c r="H623" s="16" t="s">
        <v>220</v>
      </c>
    </row>
    <row r="624" ht="330.75" customHeight="1">
      <c r="A624" s="32" t="str">
        <f>IMAGE("https://gymvisual.com/17507-catalog_default/dumbbell-bar-grip-sumo-squat-male.jpg",4,500,500)</f>
        <v/>
      </c>
      <c r="B624" s="30">
        <v>1383.0</v>
      </c>
      <c r="C624" s="16" t="s">
        <v>1938</v>
      </c>
      <c r="D624" s="16" t="s">
        <v>184</v>
      </c>
      <c r="E624" s="16" t="s">
        <v>294</v>
      </c>
      <c r="F624" s="16" t="s">
        <v>222</v>
      </c>
      <c r="G624" s="16" t="s">
        <v>1851</v>
      </c>
      <c r="H624" s="16" t="s">
        <v>1939</v>
      </c>
    </row>
    <row r="625" ht="330.75" customHeight="1">
      <c r="A625" s="32" t="str">
        <f>IMAGE("https://gymvisual.com/10536-catalog_default/dumbbell-bar-grip-sumo-squat-female.jpg",4,500,500)</f>
        <v/>
      </c>
      <c r="B625" s="30">
        <v>1382.0</v>
      </c>
      <c r="C625" s="16" t="s">
        <v>1937</v>
      </c>
      <c r="D625" s="16" t="s">
        <v>184</v>
      </c>
      <c r="E625" s="16" t="s">
        <v>185</v>
      </c>
      <c r="F625" s="16" t="s">
        <v>222</v>
      </c>
      <c r="G625" s="16" t="s">
        <v>189</v>
      </c>
      <c r="H625" s="16" t="s">
        <v>1121</v>
      </c>
    </row>
    <row r="626" ht="330.75" customHeight="1">
      <c r="A626" s="32" t="str">
        <f>IMAGE("https://gymvisual.com/18011-catalog_default/dumbbell-banded-bench-press.jpg",4,500,500)</f>
        <v/>
      </c>
      <c r="B626" s="30">
        <v>1381.0</v>
      </c>
      <c r="C626" s="16" t="s">
        <v>1936</v>
      </c>
      <c r="D626" s="16" t="s">
        <v>184</v>
      </c>
      <c r="E626" s="16" t="s">
        <v>234</v>
      </c>
      <c r="F626" s="16" t="s">
        <v>222</v>
      </c>
      <c r="G626" s="16" t="s">
        <v>220</v>
      </c>
      <c r="H626" s="16" t="s">
        <v>220</v>
      </c>
    </row>
    <row r="627" ht="330.75" customHeight="1">
      <c r="A627" s="32" t="str">
        <f>IMAGE("https://gymvisual.com/19507-catalog_default/dumbbell-assisted-bulgarian-split-squat.jpg",4,500,500)</f>
        <v/>
      </c>
      <c r="B627" s="30">
        <v>1380.0</v>
      </c>
      <c r="C627" s="16" t="s">
        <v>1935</v>
      </c>
      <c r="D627" s="16" t="s">
        <v>184</v>
      </c>
      <c r="E627" s="16" t="s">
        <v>285</v>
      </c>
      <c r="F627" s="16" t="s">
        <v>222</v>
      </c>
      <c r="G627" s="16" t="s">
        <v>220</v>
      </c>
      <c r="H627" s="16" t="s">
        <v>220</v>
      </c>
    </row>
    <row r="628" ht="330.75" customHeight="1">
      <c r="A628" s="32" t="str">
        <f>IMAGE("https://gymvisual.com/886-catalog_default/dumbbell-around-pullover.jpg",4,500,500)</f>
        <v/>
      </c>
      <c r="B628" s="30">
        <v>1379.0</v>
      </c>
      <c r="C628" s="16" t="s">
        <v>1933</v>
      </c>
      <c r="D628" s="16" t="s">
        <v>184</v>
      </c>
      <c r="E628" s="16" t="s">
        <v>234</v>
      </c>
      <c r="F628" s="16" t="s">
        <v>222</v>
      </c>
      <c r="G628" s="16" t="s">
        <v>347</v>
      </c>
      <c r="H628" s="16" t="s">
        <v>1934</v>
      </c>
    </row>
    <row r="629" ht="330.75" customHeight="1">
      <c r="A629" s="32" t="str">
        <f>IMAGE("https://gymvisual.com/883-catalog_default/dumbbell-arnold-press-version-2.jpg",4,500,500)</f>
        <v/>
      </c>
      <c r="B629" s="30">
        <v>1378.0</v>
      </c>
      <c r="C629" s="16" t="s">
        <v>1932</v>
      </c>
      <c r="D629" s="16" t="s">
        <v>184</v>
      </c>
      <c r="E629" s="16" t="s">
        <v>228</v>
      </c>
      <c r="F629" s="16" t="s">
        <v>222</v>
      </c>
      <c r="G629" s="16" t="s">
        <v>229</v>
      </c>
      <c r="H629" s="16" t="s">
        <v>230</v>
      </c>
    </row>
    <row r="630" ht="330.75" customHeight="1">
      <c r="A630" s="32" t="str">
        <f>IMAGE("https://gymvisual.com/10364-catalog_default/dumbbell-arnold-press-female.jpg",4,500,500)</f>
        <v/>
      </c>
      <c r="B630" s="30">
        <v>1377.0</v>
      </c>
      <c r="C630" s="16" t="s">
        <v>1930</v>
      </c>
      <c r="D630" s="16" t="s">
        <v>184</v>
      </c>
      <c r="E630" s="16" t="s">
        <v>228</v>
      </c>
      <c r="F630" s="16" t="s">
        <v>222</v>
      </c>
      <c r="G630" s="16" t="s">
        <v>229</v>
      </c>
      <c r="H630" s="16" t="s">
        <v>1931</v>
      </c>
    </row>
    <row r="631" ht="330.75" customHeight="1">
      <c r="A631" s="32" t="str">
        <f>IMAGE("https://gymvisual.com/8736-catalog_default/dumbbell-arnold-press.jpg",4,500,500)</f>
        <v/>
      </c>
      <c r="B631" s="30">
        <v>1376.0</v>
      </c>
      <c r="C631" s="16" t="s">
        <v>158</v>
      </c>
      <c r="D631" s="16" t="s">
        <v>184</v>
      </c>
      <c r="E631" s="16" t="s">
        <v>228</v>
      </c>
      <c r="F631" s="16" t="s">
        <v>222</v>
      </c>
      <c r="G631" s="16" t="s">
        <v>229</v>
      </c>
      <c r="H631" s="16" t="s">
        <v>230</v>
      </c>
    </row>
    <row r="632" ht="330.75" customHeight="1">
      <c r="A632" s="32" t="str">
        <f>IMAGE("https://gymvisual.com/16771-catalog_default/dumbbell-archer.jpg",4,500,500)</f>
        <v/>
      </c>
      <c r="B632" s="30">
        <v>1375.0</v>
      </c>
      <c r="C632" s="16" t="s">
        <v>156</v>
      </c>
      <c r="D632" s="16" t="s">
        <v>184</v>
      </c>
      <c r="E632" s="16" t="s">
        <v>228</v>
      </c>
      <c r="F632" s="16" t="s">
        <v>222</v>
      </c>
      <c r="G632" s="16" t="s">
        <v>220</v>
      </c>
      <c r="H632" s="16" t="s">
        <v>220</v>
      </c>
    </row>
    <row r="633" ht="330.75" customHeight="1">
      <c r="A633" s="32" t="str">
        <f>IMAGE("https://gymvisual.com/11591-catalog_default/dumbbell-alternating-seated-bicep-curl-on-exercise-ball-female.jpg",4,500,500)</f>
        <v/>
      </c>
      <c r="B633" s="30">
        <v>1374.0</v>
      </c>
      <c r="C633" s="16" t="s">
        <v>1928</v>
      </c>
      <c r="D633" s="16" t="s">
        <v>184</v>
      </c>
      <c r="E633" s="16" t="s">
        <v>219</v>
      </c>
      <c r="F633" s="16" t="s">
        <v>1929</v>
      </c>
      <c r="G633" s="16" t="s">
        <v>220</v>
      </c>
      <c r="H633" s="16" t="s">
        <v>220</v>
      </c>
    </row>
    <row r="634" ht="330.75" customHeight="1">
      <c r="A634" s="32" t="str">
        <f>IMAGE("https://gymvisual.com/7124-catalog_default/dumbbell-alternating-seated-bicep-curl-on-exercise-ball.jpg",4,500,500)</f>
        <v/>
      </c>
      <c r="B634" s="30">
        <v>1373.0</v>
      </c>
      <c r="C634" s="16" t="s">
        <v>1927</v>
      </c>
      <c r="D634" s="16" t="s">
        <v>184</v>
      </c>
      <c r="E634" s="16" t="s">
        <v>219</v>
      </c>
      <c r="F634" s="16" t="s">
        <v>222</v>
      </c>
      <c r="G634" s="16" t="s">
        <v>220</v>
      </c>
      <c r="H634" s="16" t="s">
        <v>220</v>
      </c>
    </row>
    <row r="635" ht="330.75" customHeight="1">
      <c r="A635" s="32" t="str">
        <f>IMAGE("https://gymvisual.com/13307-catalog_default/dumbbell-alternating-floor-press-female.jpg",4,500,500)</f>
        <v/>
      </c>
      <c r="B635" s="30">
        <v>1372.0</v>
      </c>
      <c r="C635" s="16" t="s">
        <v>1926</v>
      </c>
      <c r="D635" s="16" t="s">
        <v>184</v>
      </c>
      <c r="E635" s="16" t="s">
        <v>234</v>
      </c>
      <c r="F635" s="16" t="s">
        <v>222</v>
      </c>
      <c r="G635" s="16" t="s">
        <v>220</v>
      </c>
      <c r="H635" s="16" t="s">
        <v>220</v>
      </c>
    </row>
    <row r="636" ht="330.75" customHeight="1">
      <c r="A636" s="32" t="str">
        <f>IMAGE("https://gymvisual.com/13305-catalog_default/dumbbell-alternating-floor-press.jpg",4,500,500)</f>
        <v/>
      </c>
      <c r="B636" s="30">
        <v>1371.0</v>
      </c>
      <c r="C636" s="16" t="s">
        <v>1925</v>
      </c>
      <c r="D636" s="16" t="s">
        <v>184</v>
      </c>
      <c r="E636" s="16" t="s">
        <v>234</v>
      </c>
      <c r="F636" s="16" t="s">
        <v>222</v>
      </c>
      <c r="G636" s="16" t="s">
        <v>220</v>
      </c>
      <c r="H636" s="16" t="s">
        <v>220</v>
      </c>
    </row>
    <row r="637" ht="330.75" customHeight="1">
      <c r="A637" s="32" t="str">
        <f>IMAGE("https://gymvisual.com/7123-catalog_default/dumbbell-alternating-bicep-curl-with-leg-raised-on-exercise-ball.jpg",4,500,500)</f>
        <v/>
      </c>
      <c r="B637" s="30">
        <v>1370.0</v>
      </c>
      <c r="C637" s="16" t="s">
        <v>1924</v>
      </c>
      <c r="D637" s="16" t="s">
        <v>184</v>
      </c>
      <c r="E637" s="16" t="s">
        <v>219</v>
      </c>
      <c r="F637" s="16" t="s">
        <v>222</v>
      </c>
      <c r="G637" s="16" t="s">
        <v>220</v>
      </c>
      <c r="H637" s="16" t="s">
        <v>220</v>
      </c>
    </row>
    <row r="638" ht="330.75" customHeight="1">
      <c r="A638" s="32" t="str">
        <f>IMAGE("https://gymvisual.com/11327-catalog_default/dumbbell-alternate-side-press-female.jpg",4,500,500)</f>
        <v/>
      </c>
      <c r="B638" s="30">
        <v>1369.0</v>
      </c>
      <c r="C638" s="16" t="s">
        <v>1923</v>
      </c>
      <c r="D638" s="16" t="s">
        <v>184</v>
      </c>
      <c r="E638" s="16" t="s">
        <v>228</v>
      </c>
      <c r="F638" s="16" t="s">
        <v>222</v>
      </c>
      <c r="G638" s="16" t="s">
        <v>220</v>
      </c>
      <c r="H638" s="16" t="s">
        <v>220</v>
      </c>
    </row>
    <row r="639" ht="330.75" customHeight="1">
      <c r="A639" s="32" t="str">
        <f>IMAGE("https://gymvisual.com/880-catalog_default/dumbbell-alternate-side-press.jpg",4,500,500)</f>
        <v/>
      </c>
      <c r="B639" s="30">
        <v>1368.0</v>
      </c>
      <c r="C639" s="16" t="s">
        <v>1922</v>
      </c>
      <c r="D639" s="16" t="s">
        <v>184</v>
      </c>
      <c r="E639" s="16" t="s">
        <v>228</v>
      </c>
      <c r="F639" s="16" t="s">
        <v>222</v>
      </c>
      <c r="G639" s="16" t="s">
        <v>229</v>
      </c>
      <c r="H639" s="16" t="s">
        <v>1334</v>
      </c>
    </row>
    <row r="640" ht="330.75" customHeight="1">
      <c r="A640" s="32" t="str">
        <f>IMAGE("https://gymvisual.com/17366-catalog_default/dumbbell-alternate-shoulder-press-male.jpg",4,500,500)</f>
        <v/>
      </c>
      <c r="B640" s="30">
        <v>1367.0</v>
      </c>
      <c r="C640" s="16" t="s">
        <v>1921</v>
      </c>
      <c r="D640" s="16" t="s">
        <v>184</v>
      </c>
      <c r="E640" s="16" t="s">
        <v>228</v>
      </c>
      <c r="F640" s="16" t="s">
        <v>222</v>
      </c>
      <c r="G640" s="16" t="s">
        <v>229</v>
      </c>
      <c r="H640" s="16" t="s">
        <v>626</v>
      </c>
    </row>
    <row r="641" ht="330.75" customHeight="1">
      <c r="A641" s="32" t="str">
        <f>IMAGE("https://gymvisual.com/13415-catalog_default/dumbbell-alternate-shoulder-press-female.jpg",4,500,500)</f>
        <v/>
      </c>
      <c r="B641" s="30">
        <v>1366.0</v>
      </c>
      <c r="C641" s="16" t="s">
        <v>1920</v>
      </c>
      <c r="D641" s="16" t="s">
        <v>184</v>
      </c>
      <c r="E641" s="16" t="s">
        <v>228</v>
      </c>
      <c r="F641" s="16" t="s">
        <v>222</v>
      </c>
      <c r="G641" s="16" t="s">
        <v>229</v>
      </c>
      <c r="H641" s="16" t="s">
        <v>230</v>
      </c>
    </row>
    <row r="642" ht="330.75" customHeight="1">
      <c r="A642" s="32" t="str">
        <f>IMAGE("https://gymvisual.com/11459-catalog_default/dumbbell-alternate-seated-hammer-curl-female.jpg",4,500,500)</f>
        <v/>
      </c>
      <c r="B642" s="30">
        <v>1365.0</v>
      </c>
      <c r="C642" s="16" t="s">
        <v>1919</v>
      </c>
      <c r="D642" s="16" t="s">
        <v>184</v>
      </c>
      <c r="E642" s="16" t="s">
        <v>214</v>
      </c>
      <c r="F642" s="16" t="s">
        <v>222</v>
      </c>
      <c r="G642" s="16" t="s">
        <v>220</v>
      </c>
      <c r="H642" s="16" t="s">
        <v>220</v>
      </c>
    </row>
    <row r="643" ht="330.75" customHeight="1">
      <c r="A643" s="32" t="str">
        <f>IMAGE("https://gymvisual.com/7122-catalog_default/dumbbell-alternate-seated-hammer-curl.jpg",4,500,500)</f>
        <v/>
      </c>
      <c r="B643" s="30">
        <v>1364.0</v>
      </c>
      <c r="C643" s="16" t="s">
        <v>1918</v>
      </c>
      <c r="D643" s="16" t="s">
        <v>184</v>
      </c>
      <c r="E643" s="16" t="s">
        <v>219</v>
      </c>
      <c r="F643" s="16" t="s">
        <v>222</v>
      </c>
      <c r="G643" s="16" t="s">
        <v>220</v>
      </c>
      <c r="H643" s="16" t="s">
        <v>220</v>
      </c>
    </row>
    <row r="644" ht="330.75" customHeight="1">
      <c r="A644" s="32" t="str">
        <f>IMAGE("https://gymvisual.com/11456-catalog_default/dumbbell-alternate-preacher-curl-female.jpg",4,500,500)</f>
        <v/>
      </c>
      <c r="B644" s="30">
        <v>1363.0</v>
      </c>
      <c r="C644" s="16" t="s">
        <v>1917</v>
      </c>
      <c r="D644" s="16" t="s">
        <v>184</v>
      </c>
      <c r="E644" s="16" t="s">
        <v>219</v>
      </c>
      <c r="F644" s="16" t="s">
        <v>222</v>
      </c>
      <c r="G644" s="16" t="s">
        <v>220</v>
      </c>
      <c r="H644" s="16" t="s">
        <v>220</v>
      </c>
    </row>
    <row r="645" ht="330.75" customHeight="1">
      <c r="A645" s="32" t="str">
        <f>IMAGE("https://gymvisual.com/7121-catalog_default/dumbbell-alternate-preacher-curl.jpg",4,500,500)</f>
        <v/>
      </c>
      <c r="B645" s="30">
        <v>1362.0</v>
      </c>
      <c r="C645" s="16" t="s">
        <v>1916</v>
      </c>
      <c r="D645" s="16" t="s">
        <v>184</v>
      </c>
      <c r="E645" s="16" t="s">
        <v>219</v>
      </c>
      <c r="F645" s="16" t="s">
        <v>222</v>
      </c>
      <c r="G645" s="16" t="s">
        <v>220</v>
      </c>
      <c r="H645" s="16" t="s">
        <v>220</v>
      </c>
    </row>
    <row r="646" ht="330.75" customHeight="1">
      <c r="A646" s="32" t="str">
        <f>IMAGE("https://gymvisual.com/22389-catalog_default/dumbbell-alternate-lateral-raise.jpg",4,500,500)</f>
        <v/>
      </c>
      <c r="B646" s="30">
        <v>1361.0</v>
      </c>
      <c r="C646" s="16" t="s">
        <v>1915</v>
      </c>
      <c r="D646" s="16" t="s">
        <v>184</v>
      </c>
      <c r="E646" s="16" t="s">
        <v>228</v>
      </c>
      <c r="F646" s="16" t="s">
        <v>222</v>
      </c>
      <c r="G646" s="16" t="s">
        <v>220</v>
      </c>
      <c r="H646" s="16" t="s">
        <v>220</v>
      </c>
    </row>
    <row r="647" ht="330.75" customHeight="1">
      <c r="A647" s="32" t="str">
        <f>IMAGE("https://gymvisual.com/11453-catalog_default/dumbbell-alternate-hammer-preacher-curl-female.jpg",4,500,500)</f>
        <v/>
      </c>
      <c r="B647" s="30">
        <v>1360.0</v>
      </c>
      <c r="C647" s="16" t="s">
        <v>1914</v>
      </c>
      <c r="D647" s="16" t="s">
        <v>184</v>
      </c>
      <c r="E647" s="16" t="s">
        <v>219</v>
      </c>
      <c r="F647" s="16" t="s">
        <v>222</v>
      </c>
      <c r="G647" s="16" t="s">
        <v>220</v>
      </c>
      <c r="H647" s="16" t="s">
        <v>220</v>
      </c>
    </row>
    <row r="648" ht="330.75" customHeight="1">
      <c r="A648" s="32" t="str">
        <f>IMAGE("https://gymvisual.com/7120-catalog_default/dumbbell-alternate-hammer-preacher-curl.jpg",4,500,500)</f>
        <v/>
      </c>
      <c r="B648" s="30">
        <v>1359.0</v>
      </c>
      <c r="C648" s="16" t="s">
        <v>1913</v>
      </c>
      <c r="D648" s="16" t="s">
        <v>184</v>
      </c>
      <c r="E648" s="16" t="s">
        <v>219</v>
      </c>
      <c r="F648" s="16" t="s">
        <v>222</v>
      </c>
      <c r="G648" s="16" t="s">
        <v>220</v>
      </c>
      <c r="H648" s="16" t="s">
        <v>220</v>
      </c>
    </row>
    <row r="649" ht="330.75" customHeight="1">
      <c r="A649" s="32" t="str">
        <f>IMAGE("https://gymvisual.com/18754-catalog_default/dumbbell-alternate-front-raise-female.jpg",4,500,500)</f>
        <v/>
      </c>
      <c r="B649" s="30">
        <v>1358.0</v>
      </c>
      <c r="C649" s="16" t="s">
        <v>1912</v>
      </c>
      <c r="D649" s="16" t="s">
        <v>184</v>
      </c>
      <c r="E649" s="16" t="s">
        <v>228</v>
      </c>
      <c r="F649" s="16" t="s">
        <v>222</v>
      </c>
      <c r="G649" s="16" t="s">
        <v>220</v>
      </c>
      <c r="H649" s="16" t="s">
        <v>220</v>
      </c>
    </row>
    <row r="650" ht="330.75" customHeight="1">
      <c r="A650" s="32" t="str">
        <f>IMAGE("https://gymvisual.com/22353-catalog_default/dumbbell-alternate-chest-press-on-stability-ball.jpg",4,500,500)</f>
        <v/>
      </c>
      <c r="B650" s="30">
        <v>1357.0</v>
      </c>
      <c r="C650" s="16" t="s">
        <v>1911</v>
      </c>
      <c r="D650" s="16" t="s">
        <v>184</v>
      </c>
      <c r="E650" s="16" t="s">
        <v>234</v>
      </c>
      <c r="F650" s="16" t="s">
        <v>222</v>
      </c>
      <c r="G650" s="16" t="s">
        <v>220</v>
      </c>
      <c r="H650" s="16" t="s">
        <v>220</v>
      </c>
    </row>
    <row r="651" ht="330.75" customHeight="1">
      <c r="A651" s="32" t="str">
        <f>IMAGE("https://gymvisual.com/10456-catalog_default/dumbbell-alternate-biceps-curl-with-arm-blaster.jpg",4,500,500)</f>
        <v/>
      </c>
      <c r="B651" s="30">
        <v>1356.0</v>
      </c>
      <c r="C651" s="16" t="s">
        <v>1910</v>
      </c>
      <c r="D651" s="16" t="s">
        <v>184</v>
      </c>
      <c r="E651" s="16" t="s">
        <v>219</v>
      </c>
      <c r="F651" s="16" t="s">
        <v>222</v>
      </c>
      <c r="G651" s="16" t="s">
        <v>241</v>
      </c>
      <c r="H651" s="16" t="s">
        <v>292</v>
      </c>
    </row>
    <row r="652" ht="330.75" customHeight="1">
      <c r="A652" s="32" t="str">
        <f>IMAGE("https://gymvisual.com/11306-catalog_default/dumbbell-alternate-biceps-curl-female.jpg",4,500,500)</f>
        <v/>
      </c>
      <c r="B652" s="30">
        <v>1355.0</v>
      </c>
      <c r="C652" s="16" t="s">
        <v>1909</v>
      </c>
      <c r="D652" s="16" t="s">
        <v>184</v>
      </c>
      <c r="E652" s="16" t="s">
        <v>219</v>
      </c>
      <c r="F652" s="16" t="s">
        <v>222</v>
      </c>
      <c r="G652" s="16" t="s">
        <v>241</v>
      </c>
      <c r="H652" s="16" t="s">
        <v>292</v>
      </c>
    </row>
    <row r="653" ht="330.75" customHeight="1">
      <c r="A653" s="32" t="str">
        <f>IMAGE("https://gymvisual.com/4526-catalog_default/dumbbell-alternate-biceps-curl.jpg",4,500,500)</f>
        <v/>
      </c>
      <c r="B653" s="30">
        <v>1354.0</v>
      </c>
      <c r="C653" s="16" t="s">
        <v>1908</v>
      </c>
      <c r="D653" s="16" t="s">
        <v>184</v>
      </c>
      <c r="E653" s="16" t="s">
        <v>219</v>
      </c>
      <c r="F653" s="16" t="s">
        <v>222</v>
      </c>
      <c r="G653" s="16" t="s">
        <v>241</v>
      </c>
      <c r="H653" s="16" t="s">
        <v>292</v>
      </c>
    </row>
    <row r="654" ht="330.75" customHeight="1">
      <c r="A654" s="32" t="str">
        <f>IMAGE("https://gymvisual.com/15644-catalog_default/dumbbell-alternate-biceps-curl.jpg",4,500,500)</f>
        <v/>
      </c>
      <c r="B654" s="30">
        <v>1353.0</v>
      </c>
      <c r="C654" s="16" t="s">
        <v>1908</v>
      </c>
      <c r="D654" s="16" t="s">
        <v>184</v>
      </c>
      <c r="E654" s="16" t="s">
        <v>219</v>
      </c>
      <c r="F654" s="16" t="s">
        <v>222</v>
      </c>
      <c r="G654" s="16" t="s">
        <v>241</v>
      </c>
      <c r="H654" s="16" t="s">
        <v>292</v>
      </c>
    </row>
    <row r="655" ht="330.75" customHeight="1">
      <c r="A655" s="32" t="str">
        <f>IMAGE("https://gymvisual.com/14786-catalog_default/dumbbell-alternate-bench-press-high-start.jpg",4,500,500)</f>
        <v/>
      </c>
      <c r="B655" s="30">
        <v>1352.0</v>
      </c>
      <c r="C655" s="16" t="s">
        <v>1906</v>
      </c>
      <c r="D655" s="16" t="s">
        <v>184</v>
      </c>
      <c r="E655" s="16" t="s">
        <v>234</v>
      </c>
      <c r="F655" s="16" t="s">
        <v>222</v>
      </c>
      <c r="G655" s="16" t="s">
        <v>235</v>
      </c>
      <c r="H655" s="16" t="s">
        <v>1907</v>
      </c>
    </row>
    <row r="656" ht="330.75" customHeight="1">
      <c r="A656" s="32" t="str">
        <f>IMAGE("https://gymvisual.com/17867-catalog_default/dumbbell-alternate-arnold-press.jpg",4,500,500)</f>
        <v/>
      </c>
      <c r="B656" s="30">
        <v>1351.0</v>
      </c>
      <c r="C656" s="16" t="s">
        <v>1905</v>
      </c>
      <c r="D656" s="16" t="s">
        <v>184</v>
      </c>
      <c r="E656" s="16" t="s">
        <v>228</v>
      </c>
      <c r="F656" s="16" t="s">
        <v>222</v>
      </c>
      <c r="G656" s="16" t="s">
        <v>220</v>
      </c>
      <c r="H656" s="16" t="s">
        <v>220</v>
      </c>
    </row>
    <row r="657" ht="330.75" customHeight="1">
      <c r="A657" s="32" t="str">
        <f>IMAGE("https://gymvisual.com/22418-catalog_default/dumbbell-6-ways-raise.jpg",4,500,500)</f>
        <v/>
      </c>
      <c r="B657" s="30">
        <v>1350.0</v>
      </c>
      <c r="C657" s="16" t="s">
        <v>1904</v>
      </c>
      <c r="D657" s="16" t="s">
        <v>184</v>
      </c>
      <c r="E657" s="16" t="s">
        <v>228</v>
      </c>
      <c r="F657" s="16" t="s">
        <v>222</v>
      </c>
      <c r="G657" s="16" t="s">
        <v>220</v>
      </c>
      <c r="H657" s="16" t="s">
        <v>220</v>
      </c>
    </row>
    <row r="658" ht="330.75" customHeight="1">
      <c r="A658" s="32" t="str">
        <f>IMAGE("https://gymvisual.com/18057-catalog_default/dumbbell-4-ways-lateral-raise.jpg",4,500,500)</f>
        <v/>
      </c>
      <c r="B658" s="30">
        <v>1349.0</v>
      </c>
      <c r="C658" s="16" t="s">
        <v>1903</v>
      </c>
      <c r="D658" s="16" t="s">
        <v>184</v>
      </c>
      <c r="E658" s="16" t="s">
        <v>228</v>
      </c>
      <c r="F658" s="16" t="s">
        <v>222</v>
      </c>
      <c r="G658" s="16" t="s">
        <v>220</v>
      </c>
      <c r="H658" s="16" t="s">
        <v>220</v>
      </c>
    </row>
    <row r="659" ht="330.75" customHeight="1">
      <c r="A659" s="32" t="str">
        <f>IMAGE("https://gymvisual.com/5964-catalog_default/drop-push-up.jpg",4,500,500)</f>
        <v/>
      </c>
      <c r="B659" s="30">
        <v>1348.0</v>
      </c>
      <c r="C659" s="16" t="s">
        <v>1901</v>
      </c>
      <c r="D659" s="16" t="s">
        <v>184</v>
      </c>
      <c r="E659" s="16" t="s">
        <v>234</v>
      </c>
      <c r="F659" s="16" t="s">
        <v>255</v>
      </c>
      <c r="G659" s="16" t="s">
        <v>347</v>
      </c>
      <c r="H659" s="16" t="s">
        <v>1902</v>
      </c>
    </row>
    <row r="660" ht="330.75" customHeight="1">
      <c r="A660" s="32" t="str">
        <f>IMAGE("https://gymvisual.com/11528-catalog_default/donkey-calf-raise-female.jpg",4,500,500)</f>
        <v/>
      </c>
      <c r="B660" s="30">
        <v>1347.0</v>
      </c>
      <c r="C660" s="16" t="s">
        <v>1900</v>
      </c>
      <c r="D660" s="16" t="s">
        <v>184</v>
      </c>
      <c r="E660" s="16" t="s">
        <v>325</v>
      </c>
      <c r="F660" s="16" t="s">
        <v>255</v>
      </c>
      <c r="G660" s="16" t="s">
        <v>368</v>
      </c>
      <c r="H660" s="16" t="s">
        <v>463</v>
      </c>
    </row>
    <row r="661" ht="330.75" customHeight="1">
      <c r="A661" s="32" t="str">
        <f>IMAGE("https://gymvisual.com/874-catalog_default/donkey-calf-raise.jpg",4,500,500)</f>
        <v/>
      </c>
      <c r="B661" s="30">
        <v>1346.0</v>
      </c>
      <c r="C661" s="16" t="s">
        <v>1899</v>
      </c>
      <c r="D661" s="16" t="s">
        <v>184</v>
      </c>
      <c r="E661" s="16" t="s">
        <v>325</v>
      </c>
      <c r="F661" s="16" t="s">
        <v>255</v>
      </c>
      <c r="G661" s="16" t="s">
        <v>368</v>
      </c>
      <c r="H661" s="16" t="s">
        <v>463</v>
      </c>
    </row>
    <row r="662" ht="330.75" customHeight="1">
      <c r="A662" s="32" t="str">
        <f>IMAGE("https://gymvisual.com/13737-catalog_default/dips-between-chairs.jpg",4,500,500)</f>
        <v/>
      </c>
      <c r="B662" s="30">
        <v>1345.0</v>
      </c>
      <c r="C662" s="16" t="s">
        <v>1898</v>
      </c>
      <c r="D662" s="16" t="s">
        <v>184</v>
      </c>
      <c r="E662" s="16" t="s">
        <v>1894</v>
      </c>
      <c r="F662" s="16" t="s">
        <v>255</v>
      </c>
      <c r="G662" s="16" t="s">
        <v>1895</v>
      </c>
      <c r="H662" s="16" t="s">
        <v>505</v>
      </c>
    </row>
    <row r="663" ht="330.75" customHeight="1">
      <c r="A663" s="32" t="str">
        <f>IMAGE("https://gymvisual.com/22629-catalog_default/dip-on-floor-with-chair-female.jpg",4,500,500)</f>
        <v/>
      </c>
      <c r="B663" s="30">
        <v>1344.0</v>
      </c>
      <c r="C663" s="16" t="s">
        <v>1897</v>
      </c>
      <c r="D663" s="16" t="s">
        <v>184</v>
      </c>
      <c r="E663" s="16" t="s">
        <v>234</v>
      </c>
      <c r="F663" s="16" t="s">
        <v>255</v>
      </c>
      <c r="G663" s="16" t="s">
        <v>347</v>
      </c>
      <c r="H663" s="16" t="s">
        <v>1764</v>
      </c>
    </row>
    <row r="664" ht="330.75" customHeight="1">
      <c r="A664" s="32" t="str">
        <f>IMAGE("https://gymvisual.com/13908-catalog_default/dip-on-floor-with-chair.jpg",4,500,500)</f>
        <v/>
      </c>
      <c r="B664" s="30">
        <v>1343.0</v>
      </c>
      <c r="C664" s="16" t="s">
        <v>1893</v>
      </c>
      <c r="D664" s="16" t="s">
        <v>184</v>
      </c>
      <c r="E664" s="16" t="s">
        <v>1894</v>
      </c>
      <c r="F664" s="16" t="s">
        <v>255</v>
      </c>
      <c r="G664" s="16" t="s">
        <v>1895</v>
      </c>
      <c r="H664" s="16" t="s">
        <v>1896</v>
      </c>
    </row>
    <row r="665" ht="330.75" customHeight="1">
      <c r="A665" s="32" t="str">
        <f>IMAGE("https://gymvisual.com/4422-catalog_default/diamond-push-up-on-knees.jpg",4,500,500)</f>
        <v/>
      </c>
      <c r="B665" s="30">
        <v>1342.0</v>
      </c>
      <c r="C665" s="16" t="s">
        <v>1892</v>
      </c>
      <c r="D665" s="16" t="s">
        <v>184</v>
      </c>
      <c r="E665" s="16" t="s">
        <v>219</v>
      </c>
      <c r="F665" s="16" t="s">
        <v>255</v>
      </c>
      <c r="G665" s="16" t="s">
        <v>223</v>
      </c>
      <c r="H665" s="16" t="s">
        <v>420</v>
      </c>
    </row>
    <row r="666" ht="330.75" customHeight="1">
      <c r="A666" s="32" t="str">
        <f>IMAGE("https://gymvisual.com/20616-catalog_default/diamond-push-up.jpg",4,500,500)</f>
        <v/>
      </c>
      <c r="B666" s="30">
        <v>1341.0</v>
      </c>
      <c r="C666" s="16" t="s">
        <v>1891</v>
      </c>
      <c r="D666" s="16" t="s">
        <v>184</v>
      </c>
      <c r="E666" s="16" t="s">
        <v>219</v>
      </c>
      <c r="F666" s="16" t="s">
        <v>255</v>
      </c>
      <c r="G666" s="16" t="s">
        <v>223</v>
      </c>
      <c r="H666" s="16" t="s">
        <v>472</v>
      </c>
    </row>
    <row r="667" ht="330.75" customHeight="1">
      <c r="A667" s="32" t="str">
        <f>IMAGE("https://gymvisual.com/11588-catalog_default/diamond-push-up-female.jpg",4,500,500)</f>
        <v/>
      </c>
      <c r="B667" s="30">
        <v>1340.0</v>
      </c>
      <c r="C667" s="16" t="s">
        <v>1890</v>
      </c>
      <c r="D667" s="16" t="s">
        <v>184</v>
      </c>
      <c r="E667" s="16" t="s">
        <v>219</v>
      </c>
      <c r="F667" s="16" t="s">
        <v>255</v>
      </c>
      <c r="G667" s="16" t="s">
        <v>223</v>
      </c>
      <c r="H667" s="16" t="s">
        <v>472</v>
      </c>
    </row>
    <row r="668" ht="330.75" customHeight="1">
      <c r="A668" s="32" t="str">
        <f>IMAGE("https://gymvisual.com/19177-catalog_default/diamond-press.jpg",4,500,500)</f>
        <v/>
      </c>
      <c r="B668" s="30">
        <v>1339.0</v>
      </c>
      <c r="C668" s="16" t="s">
        <v>1887</v>
      </c>
      <c r="D668" s="16" t="s">
        <v>184</v>
      </c>
      <c r="E668" s="16" t="s">
        <v>1888</v>
      </c>
      <c r="F668" s="16" t="s">
        <v>255</v>
      </c>
      <c r="G668" s="16" t="s">
        <v>1889</v>
      </c>
      <c r="H668" s="16" t="s">
        <v>229</v>
      </c>
    </row>
    <row r="669" ht="330.75" customHeight="1">
      <c r="A669" s="32" t="str">
        <f>IMAGE("https://gymvisual.com/23613-catalog_default/diagonal-lunge.jpg",4,500,500)</f>
        <v/>
      </c>
      <c r="B669" s="30">
        <v>1338.0</v>
      </c>
      <c r="C669" s="16" t="s">
        <v>1886</v>
      </c>
      <c r="D669" s="16" t="s">
        <v>184</v>
      </c>
      <c r="E669" s="16" t="s">
        <v>321</v>
      </c>
      <c r="F669" s="16" t="s">
        <v>255</v>
      </c>
      <c r="G669" s="16" t="s">
        <v>220</v>
      </c>
      <c r="H669" s="16" t="s">
        <v>220</v>
      </c>
    </row>
    <row r="670" ht="330.75" customHeight="1">
      <c r="A670" s="32" t="str">
        <f>IMAGE("https://gymvisual.com/12062-catalog_default/deep-push-up-female.jpg",4,500,500)</f>
        <v/>
      </c>
      <c r="B670" s="30">
        <v>1337.0</v>
      </c>
      <c r="C670" s="16" t="s">
        <v>1885</v>
      </c>
      <c r="D670" s="16" t="s">
        <v>184</v>
      </c>
      <c r="E670" s="16" t="s">
        <v>234</v>
      </c>
      <c r="F670" s="16" t="s">
        <v>222</v>
      </c>
      <c r="G670" s="16" t="s">
        <v>235</v>
      </c>
      <c r="H670" s="16" t="s">
        <v>243</v>
      </c>
    </row>
    <row r="671" ht="330.75" customHeight="1">
      <c r="A671" s="32" t="str">
        <f>IMAGE("https://gymvisual.com/20650-catalog_default/deep-push-up.jpg",4,500,500)</f>
        <v/>
      </c>
      <c r="B671" s="30">
        <v>1336.0</v>
      </c>
      <c r="C671" s="16" t="s">
        <v>1883</v>
      </c>
      <c r="D671" s="16" t="s">
        <v>184</v>
      </c>
      <c r="E671" s="16" t="s">
        <v>234</v>
      </c>
      <c r="F671" s="16" t="s">
        <v>222</v>
      </c>
      <c r="G671" s="16" t="s">
        <v>347</v>
      </c>
      <c r="H671" s="16" t="s">
        <v>1884</v>
      </c>
    </row>
    <row r="672" ht="330.75" customHeight="1">
      <c r="A672" s="32" t="str">
        <f>IMAGE("https://gymvisual.com/11140-catalog_default/decline-twisting-sit-up-female.jpg",4,500,500)</f>
        <v/>
      </c>
      <c r="B672" s="30">
        <v>1335.0</v>
      </c>
      <c r="C672" s="16" t="s">
        <v>1882</v>
      </c>
      <c r="D672" s="16" t="s">
        <v>184</v>
      </c>
      <c r="E672" s="16" t="s">
        <v>254</v>
      </c>
      <c r="F672" s="16" t="s">
        <v>255</v>
      </c>
      <c r="G672" s="16" t="s">
        <v>220</v>
      </c>
      <c r="H672" s="16" t="s">
        <v>220</v>
      </c>
    </row>
    <row r="673" ht="330.75" customHeight="1">
      <c r="A673" s="32" t="str">
        <f>IMAGE("https://gymvisual.com/22498-catalog_default/decline-sit-up-and-russian-twist.jpg",4,500,500)</f>
        <v/>
      </c>
      <c r="B673" s="30">
        <v>1334.0</v>
      </c>
      <c r="C673" s="16" t="s">
        <v>1881</v>
      </c>
      <c r="D673" s="16" t="s">
        <v>184</v>
      </c>
      <c r="E673" s="16" t="s">
        <v>254</v>
      </c>
      <c r="F673" s="16" t="s">
        <v>255</v>
      </c>
      <c r="G673" s="16" t="s">
        <v>220</v>
      </c>
      <c r="H673" s="16" t="s">
        <v>220</v>
      </c>
    </row>
    <row r="674" ht="330.75" customHeight="1">
      <c r="A674" s="32" t="str">
        <f>IMAGE("https://gymvisual.com/24313-catalog_default/decline-sit-up-version-3.jpg",4,500,500)</f>
        <v/>
      </c>
      <c r="B674" s="30">
        <v>1333.0</v>
      </c>
      <c r="C674" s="16" t="s">
        <v>1880</v>
      </c>
      <c r="D674" s="16" t="s">
        <v>184</v>
      </c>
      <c r="E674" s="16" t="s">
        <v>254</v>
      </c>
      <c r="F674" s="16" t="s">
        <v>255</v>
      </c>
      <c r="G674" s="16" t="s">
        <v>220</v>
      </c>
      <c r="H674" s="16" t="s">
        <v>220</v>
      </c>
    </row>
    <row r="675" ht="330.75" customHeight="1">
      <c r="A675" s="32" t="str">
        <f>IMAGE("https://gymvisual.com/865-catalog_default/decline-sit-up-arms-straight.jpg",4,500,500)</f>
        <v/>
      </c>
      <c r="B675" s="30">
        <v>1332.0</v>
      </c>
      <c r="C675" s="16" t="s">
        <v>1879</v>
      </c>
      <c r="D675" s="16" t="s">
        <v>184</v>
      </c>
      <c r="E675" s="16" t="s">
        <v>254</v>
      </c>
      <c r="F675" s="16" t="s">
        <v>255</v>
      </c>
      <c r="G675" s="16" t="s">
        <v>256</v>
      </c>
      <c r="H675" s="16" t="s">
        <v>600</v>
      </c>
    </row>
    <row r="676" ht="330.75" customHeight="1">
      <c r="A676" s="32" t="str">
        <f>IMAGE("https://gymvisual.com/20614-catalog_default/decline-sit-up.jpg",4,500,500)</f>
        <v/>
      </c>
      <c r="B676" s="30">
        <v>1331.0</v>
      </c>
      <c r="C676" s="16" t="s">
        <v>1877</v>
      </c>
      <c r="D676" s="16" t="s">
        <v>184</v>
      </c>
      <c r="E676" s="16" t="s">
        <v>185</v>
      </c>
      <c r="F676" s="16" t="s">
        <v>255</v>
      </c>
      <c r="G676" s="16" t="s">
        <v>271</v>
      </c>
      <c r="H676" s="16" t="s">
        <v>1878</v>
      </c>
    </row>
    <row r="677" ht="330.75" customHeight="1">
      <c r="A677" s="32" t="str">
        <f>IMAGE("https://gymvisual.com/10972-catalog_default/decline-sit-up-female.jpg",4,500,500)</f>
        <v/>
      </c>
      <c r="B677" s="30">
        <v>1330.0</v>
      </c>
      <c r="C677" s="16" t="s">
        <v>1876</v>
      </c>
      <c r="D677" s="16" t="s">
        <v>184</v>
      </c>
      <c r="E677" s="16" t="s">
        <v>254</v>
      </c>
      <c r="F677" s="16" t="s">
        <v>255</v>
      </c>
      <c r="G677" s="16" t="s">
        <v>220</v>
      </c>
      <c r="H677" s="16" t="s">
        <v>220</v>
      </c>
    </row>
    <row r="678" ht="330.75" customHeight="1">
      <c r="A678" s="32" t="str">
        <f>IMAGE("https://gymvisual.com/22708-catalog_default/decline-shoulder-tap.jpg",4,500,500)</f>
        <v/>
      </c>
      <c r="B678" s="30">
        <v>1329.0</v>
      </c>
      <c r="C678" s="16" t="s">
        <v>1873</v>
      </c>
      <c r="D678" s="16" t="s">
        <v>184</v>
      </c>
      <c r="E678" s="16" t="s">
        <v>234</v>
      </c>
      <c r="F678" s="16" t="s">
        <v>255</v>
      </c>
      <c r="G678" s="16" t="s">
        <v>1874</v>
      </c>
      <c r="H678" s="16" t="s">
        <v>1875</v>
      </c>
    </row>
    <row r="679" ht="330.75" customHeight="1">
      <c r="A679" s="32" t="str">
        <f>IMAGE("https://gymvisual.com/13998-catalog_default/decline-push-up-against-wall.jpg",4,500,500)</f>
        <v/>
      </c>
      <c r="B679" s="30">
        <v>1328.0</v>
      </c>
      <c r="C679" s="16" t="s">
        <v>1872</v>
      </c>
      <c r="D679" s="16" t="s">
        <v>184</v>
      </c>
      <c r="E679" s="16" t="s">
        <v>234</v>
      </c>
      <c r="F679" s="16" t="s">
        <v>255</v>
      </c>
      <c r="G679" s="16" t="s">
        <v>235</v>
      </c>
      <c r="H679" s="16" t="s">
        <v>243</v>
      </c>
    </row>
    <row r="680" ht="330.75" customHeight="1">
      <c r="A680" s="32" t="str">
        <f>IMAGE("https://gymvisual.com/2589-catalog_default/decline-push-up-on-stability-ball.jpg",4,500,500)</f>
        <v/>
      </c>
      <c r="B680" s="30">
        <v>1327.0</v>
      </c>
      <c r="C680" s="16" t="s">
        <v>1871</v>
      </c>
      <c r="D680" s="16" t="s">
        <v>184</v>
      </c>
      <c r="E680" s="16" t="s">
        <v>234</v>
      </c>
      <c r="F680" s="16" t="s">
        <v>399</v>
      </c>
      <c r="G680" s="16" t="s">
        <v>235</v>
      </c>
      <c r="H680" s="16" t="s">
        <v>243</v>
      </c>
    </row>
    <row r="681" ht="330.75" customHeight="1">
      <c r="A681" s="32" t="str">
        <f>IMAGE("https://gymvisual.com/22107-catalog_default/decline-push-up-kneeling-female.jpg",4,500,500)</f>
        <v/>
      </c>
      <c r="B681" s="30">
        <v>1326.0</v>
      </c>
      <c r="C681" s="16" t="s">
        <v>1870</v>
      </c>
      <c r="D681" s="16" t="s">
        <v>184</v>
      </c>
      <c r="E681" s="16" t="s">
        <v>234</v>
      </c>
      <c r="F681" s="16" t="s">
        <v>255</v>
      </c>
      <c r="G681" s="16" t="s">
        <v>235</v>
      </c>
      <c r="H681" s="16" t="s">
        <v>243</v>
      </c>
    </row>
    <row r="682" ht="330.75" customHeight="1">
      <c r="A682" s="32" t="str">
        <f>IMAGE("https://gymvisual.com/862-catalog_default/decline-push-up.jpg",4,500,500)</f>
        <v/>
      </c>
      <c r="B682" s="30">
        <v>1325.0</v>
      </c>
      <c r="C682" s="16" t="s">
        <v>1869</v>
      </c>
      <c r="D682" s="16" t="s">
        <v>184</v>
      </c>
      <c r="E682" s="16" t="s">
        <v>234</v>
      </c>
      <c r="F682" s="16" t="s">
        <v>255</v>
      </c>
      <c r="G682" s="16" t="s">
        <v>235</v>
      </c>
      <c r="H682" s="16" t="s">
        <v>243</v>
      </c>
    </row>
    <row r="683" ht="330.75" customHeight="1">
      <c r="A683" s="32" t="str">
        <f>IMAGE("https://gymvisual.com/859-catalog_default/decline-push-up.jpg",4,500,500)</f>
        <v/>
      </c>
      <c r="B683" s="30">
        <v>1324.0</v>
      </c>
      <c r="C683" s="16" t="s">
        <v>1869</v>
      </c>
      <c r="D683" s="16" t="s">
        <v>184</v>
      </c>
      <c r="E683" s="16" t="s">
        <v>234</v>
      </c>
      <c r="F683" s="16" t="s">
        <v>255</v>
      </c>
      <c r="G683" s="16" t="s">
        <v>235</v>
      </c>
      <c r="H683" s="16" t="s">
        <v>243</v>
      </c>
    </row>
    <row r="684" ht="330.75" customHeight="1">
      <c r="A684" s="32" t="str">
        <f>IMAGE("https://gymvisual.com/17777-catalog_default/decline-pike-press-between-benches.jpg",4,500,500)</f>
        <v/>
      </c>
      <c r="B684" s="30">
        <v>1323.0</v>
      </c>
      <c r="C684" s="16" t="s">
        <v>1868</v>
      </c>
      <c r="D684" s="16" t="s">
        <v>184</v>
      </c>
      <c r="E684" s="16" t="s">
        <v>228</v>
      </c>
      <c r="F684" s="16" t="s">
        <v>255</v>
      </c>
      <c r="G684" s="16" t="s">
        <v>220</v>
      </c>
      <c r="H684" s="16" t="s">
        <v>220</v>
      </c>
    </row>
    <row r="685" ht="330.75" customHeight="1">
      <c r="A685" s="32" t="str">
        <f>IMAGE("https://gymvisual.com/13902-catalog_default/decline-leg-hip-raise.jpg",4,500,500)</f>
        <v/>
      </c>
      <c r="B685" s="30">
        <v>1322.0</v>
      </c>
      <c r="C685" s="16" t="s">
        <v>1867</v>
      </c>
      <c r="D685" s="16" t="s">
        <v>184</v>
      </c>
      <c r="E685" s="16" t="s">
        <v>310</v>
      </c>
      <c r="F685" s="16" t="s">
        <v>255</v>
      </c>
      <c r="G685" s="16" t="s">
        <v>305</v>
      </c>
      <c r="H685" s="16" t="s">
        <v>600</v>
      </c>
    </row>
    <row r="686" ht="330.75" customHeight="1">
      <c r="A686" s="32" t="str">
        <f>IMAGE("https://gymvisual.com/13996-catalog_default/decline-kneeling-push-up-on-box.jpg",4,500,500)</f>
        <v/>
      </c>
      <c r="B686" s="30">
        <v>1321.0</v>
      </c>
      <c r="C686" s="16" t="s">
        <v>1866</v>
      </c>
      <c r="D686" s="16" t="s">
        <v>184</v>
      </c>
      <c r="E686" s="16" t="s">
        <v>234</v>
      </c>
      <c r="F686" s="16" t="s">
        <v>255</v>
      </c>
      <c r="G686" s="16" t="s">
        <v>235</v>
      </c>
      <c r="H686" s="16" t="s">
        <v>243</v>
      </c>
    </row>
    <row r="687" ht="330.75" customHeight="1">
      <c r="A687" s="32" t="str">
        <f>IMAGE("https://gymvisual.com/26106-catalog_default/decline-diamond-push-up.jpg",4,500,500)</f>
        <v/>
      </c>
      <c r="B687" s="30">
        <v>1320.0</v>
      </c>
      <c r="C687" s="16" t="s">
        <v>1865</v>
      </c>
      <c r="D687" s="16" t="s">
        <v>184</v>
      </c>
      <c r="E687" s="16" t="s">
        <v>234</v>
      </c>
      <c r="F687" s="16" t="s">
        <v>255</v>
      </c>
      <c r="G687" s="16" t="s">
        <v>220</v>
      </c>
      <c r="H687" s="16" t="s">
        <v>220</v>
      </c>
    </row>
    <row r="688" ht="330.75" customHeight="1">
      <c r="A688" s="32" t="str">
        <f>IMAGE("https://gymvisual.com/10975-catalog_default/decline-crunch-female.jpg",4,500,500)</f>
        <v/>
      </c>
      <c r="B688" s="30">
        <v>1319.0</v>
      </c>
      <c r="C688" s="16" t="s">
        <v>1864</v>
      </c>
      <c r="D688" s="16" t="s">
        <v>184</v>
      </c>
      <c r="E688" s="16" t="s">
        <v>254</v>
      </c>
      <c r="F688" s="16" t="s">
        <v>255</v>
      </c>
      <c r="G688" s="16" t="s">
        <v>220</v>
      </c>
      <c r="H688" s="16" t="s">
        <v>220</v>
      </c>
    </row>
    <row r="689" ht="330.75" customHeight="1">
      <c r="A689" s="32" t="str">
        <f>IMAGE("https://gymvisual.com/853-catalog_default/decline-crunch.jpg",4,500,500)</f>
        <v/>
      </c>
      <c r="B689" s="30">
        <v>1318.0</v>
      </c>
      <c r="C689" s="16" t="s">
        <v>1863</v>
      </c>
      <c r="D689" s="16" t="s">
        <v>184</v>
      </c>
      <c r="E689" s="16" t="s">
        <v>254</v>
      </c>
      <c r="F689" s="16" t="s">
        <v>255</v>
      </c>
      <c r="G689" s="16" t="s">
        <v>256</v>
      </c>
      <c r="H689" s="16" t="s">
        <v>257</v>
      </c>
    </row>
    <row r="690" ht="330.75" customHeight="1">
      <c r="A690" s="32" t="str">
        <f>IMAGE("https://gymvisual.com/13413-catalog_default/decline-bent-leg-reverse-crunch-female.jpg",4,500,500)</f>
        <v/>
      </c>
      <c r="B690" s="30">
        <v>1317.0</v>
      </c>
      <c r="C690" s="16" t="s">
        <v>1862</v>
      </c>
      <c r="D690" s="16" t="s">
        <v>184</v>
      </c>
      <c r="E690" s="16" t="s">
        <v>254</v>
      </c>
      <c r="F690" s="16" t="s">
        <v>255</v>
      </c>
      <c r="G690" s="16" t="s">
        <v>256</v>
      </c>
      <c r="H690" s="16" t="s">
        <v>257</v>
      </c>
    </row>
    <row r="691" ht="330.75" customHeight="1">
      <c r="A691" s="32" t="str">
        <f>IMAGE("https://gymvisual.com/7643-catalog_default/decline-bent-leg-reverse-crunch.jpg",4,500,500)</f>
        <v/>
      </c>
      <c r="B691" s="30">
        <v>1316.0</v>
      </c>
      <c r="C691" s="16" t="s">
        <v>1861</v>
      </c>
      <c r="D691" s="16" t="s">
        <v>184</v>
      </c>
      <c r="E691" s="16" t="s">
        <v>254</v>
      </c>
      <c r="F691" s="16" t="s">
        <v>255</v>
      </c>
      <c r="G691" s="16" t="s">
        <v>220</v>
      </c>
      <c r="H691" s="16" t="s">
        <v>220</v>
      </c>
    </row>
    <row r="692" ht="330.75" customHeight="1">
      <c r="A692" s="32" t="str">
        <f>IMAGE("https://gymvisual.com/10225-catalog_default/deadlift-hips-wrong-right.jpg",4,500,500)</f>
        <v/>
      </c>
      <c r="B692" s="30">
        <v>1315.0</v>
      </c>
      <c r="C692" s="16" t="s">
        <v>1860</v>
      </c>
      <c r="D692" s="16" t="s">
        <v>184</v>
      </c>
      <c r="E692" s="16" t="s">
        <v>294</v>
      </c>
      <c r="F692" s="16" t="s">
        <v>186</v>
      </c>
      <c r="G692" s="16" t="s">
        <v>220</v>
      </c>
      <c r="H692" s="16" t="s">
        <v>220</v>
      </c>
    </row>
    <row r="693" ht="330.75" customHeight="1">
      <c r="A693" s="32" t="str">
        <f>IMAGE("https://gymvisual.com/10211-catalog_default/deadlift-back-wrong-right.jpg",4,500,500)</f>
        <v/>
      </c>
      <c r="B693" s="30">
        <v>1314.0</v>
      </c>
      <c r="C693" s="16" t="s">
        <v>1859</v>
      </c>
      <c r="D693" s="16" t="s">
        <v>184</v>
      </c>
      <c r="E693" s="16" t="s">
        <v>285</v>
      </c>
      <c r="F693" s="16" t="s">
        <v>186</v>
      </c>
      <c r="G693" s="16" t="s">
        <v>220</v>
      </c>
      <c r="H693" s="16" t="s">
        <v>220</v>
      </c>
    </row>
    <row r="694" ht="330.75" customHeight="1">
      <c r="A694" s="32" t="str">
        <f>IMAGE("https://gymvisual.com/17845-catalog_default/dead-bug-with-stability-ball.jpg",4,500,500)</f>
        <v/>
      </c>
      <c r="B694" s="30">
        <v>1313.0</v>
      </c>
      <c r="C694" s="16" t="s">
        <v>1858</v>
      </c>
      <c r="D694" s="16" t="s">
        <v>184</v>
      </c>
      <c r="E694" s="16" t="s">
        <v>254</v>
      </c>
      <c r="F694" s="16" t="s">
        <v>399</v>
      </c>
      <c r="G694" s="16" t="s">
        <v>220</v>
      </c>
      <c r="H694" s="16" t="s">
        <v>220</v>
      </c>
    </row>
    <row r="695" ht="330.75" customHeight="1">
      <c r="A695" s="32" t="str">
        <f>IMAGE("https://gymvisual.com/17949-catalog_default/dead-bug-with-medicine-ball-male.jpg",4,500,500)</f>
        <v/>
      </c>
      <c r="B695" s="30">
        <v>1312.0</v>
      </c>
      <c r="C695" s="16" t="s">
        <v>1857</v>
      </c>
      <c r="D695" s="16" t="s">
        <v>184</v>
      </c>
      <c r="E695" s="16" t="s">
        <v>254</v>
      </c>
      <c r="F695" s="16" t="s">
        <v>373</v>
      </c>
      <c r="G695" s="16" t="s">
        <v>220</v>
      </c>
      <c r="H695" s="16" t="s">
        <v>220</v>
      </c>
    </row>
    <row r="696" ht="330.75" customHeight="1">
      <c r="A696" s="32" t="str">
        <f>IMAGE("https://gymvisual.com/23559-catalog_default/dead-bug-version-2-female.jpg",4,500,500)</f>
        <v/>
      </c>
      <c r="B696" s="30">
        <v>1311.0</v>
      </c>
      <c r="C696" s="16" t="s">
        <v>1856</v>
      </c>
      <c r="D696" s="16" t="s">
        <v>184</v>
      </c>
      <c r="E696" s="16" t="s">
        <v>254</v>
      </c>
      <c r="F696" s="16" t="s">
        <v>255</v>
      </c>
      <c r="G696" s="16" t="s">
        <v>256</v>
      </c>
      <c r="H696" s="16" t="s">
        <v>189</v>
      </c>
    </row>
    <row r="697" ht="330.75" customHeight="1">
      <c r="A697" s="32" t="str">
        <f>IMAGE("https://gymvisual.com/4619-catalog_default/dead-bug-version-2.jpg",4,500,500)</f>
        <v/>
      </c>
      <c r="B697" s="30">
        <v>1310.0</v>
      </c>
      <c r="C697" s="16" t="s">
        <v>1855</v>
      </c>
      <c r="D697" s="16" t="s">
        <v>184</v>
      </c>
      <c r="E697" s="16" t="s">
        <v>254</v>
      </c>
      <c r="F697" s="16" t="s">
        <v>255</v>
      </c>
      <c r="G697" s="16" t="s">
        <v>305</v>
      </c>
      <c r="H697" s="16" t="s">
        <v>189</v>
      </c>
    </row>
    <row r="698" ht="330.75" customHeight="1">
      <c r="A698" s="32" t="str">
        <f>IMAGE("https://gymvisual.com/13411-catalog_default/dead-bug-female.jpg",4,500,500)</f>
        <v/>
      </c>
      <c r="B698" s="30">
        <v>1309.0</v>
      </c>
      <c r="C698" s="16" t="s">
        <v>1854</v>
      </c>
      <c r="D698" s="16" t="s">
        <v>184</v>
      </c>
      <c r="E698" s="16" t="s">
        <v>522</v>
      </c>
      <c r="F698" s="16" t="s">
        <v>255</v>
      </c>
      <c r="G698" s="16" t="s">
        <v>256</v>
      </c>
      <c r="H698" s="16" t="s">
        <v>189</v>
      </c>
    </row>
    <row r="699" ht="330.75" customHeight="1">
      <c r="A699" s="32" t="str">
        <f>IMAGE("https://gymvisual.com/20612-catalog_default/dead-bug.jpg",4,500,500)</f>
        <v/>
      </c>
      <c r="B699" s="30">
        <v>1308.0</v>
      </c>
      <c r="C699" s="16" t="s">
        <v>1853</v>
      </c>
      <c r="D699" s="16" t="s">
        <v>184</v>
      </c>
      <c r="E699" s="16" t="s">
        <v>254</v>
      </c>
      <c r="F699" s="16" t="s">
        <v>255</v>
      </c>
      <c r="G699" s="16" t="s">
        <v>256</v>
      </c>
      <c r="H699" s="16" t="s">
        <v>189</v>
      </c>
    </row>
    <row r="700" ht="330.75" customHeight="1">
      <c r="A700" s="32" t="str">
        <f>IMAGE("https://gymvisual.com/16737-catalog_default/curtsey-squat.jpg",4,500,500)</f>
        <v/>
      </c>
      <c r="B700" s="30">
        <v>1307.0</v>
      </c>
      <c r="C700" s="16" t="s">
        <v>1850</v>
      </c>
      <c r="D700" s="16" t="s">
        <v>184</v>
      </c>
      <c r="E700" s="16" t="s">
        <v>294</v>
      </c>
      <c r="F700" s="16" t="s">
        <v>255</v>
      </c>
      <c r="G700" s="16" t="s">
        <v>1851</v>
      </c>
      <c r="H700" s="16" t="s">
        <v>1852</v>
      </c>
    </row>
    <row r="701" ht="330.75" customHeight="1">
      <c r="A701" s="32" t="str">
        <f>IMAGE("https://gymvisual.com/12477-catalog_default/curl-up-female.jpg",4,500,500)</f>
        <v/>
      </c>
      <c r="B701" s="30">
        <v>1306.0</v>
      </c>
      <c r="C701" s="16" t="s">
        <v>1849</v>
      </c>
      <c r="D701" s="16" t="s">
        <v>184</v>
      </c>
      <c r="E701" s="16" t="s">
        <v>254</v>
      </c>
      <c r="F701" s="16" t="s">
        <v>255</v>
      </c>
      <c r="G701" s="16" t="s">
        <v>256</v>
      </c>
      <c r="H701" s="16" t="s">
        <v>257</v>
      </c>
    </row>
    <row r="702" ht="330.75" customHeight="1">
      <c r="A702" s="32" t="str">
        <f>IMAGE("https://gymvisual.com/12480-catalog_default/curl-up.jpg",4,500,500)</f>
        <v/>
      </c>
      <c r="B702" s="30">
        <v>1305.0</v>
      </c>
      <c r="C702" s="16" t="s">
        <v>1848</v>
      </c>
      <c r="D702" s="16" t="s">
        <v>184</v>
      </c>
      <c r="E702" s="16" t="s">
        <v>254</v>
      </c>
      <c r="F702" s="16" t="s">
        <v>255</v>
      </c>
      <c r="G702" s="16" t="s">
        <v>256</v>
      </c>
      <c r="H702" s="16" t="s">
        <v>257</v>
      </c>
    </row>
    <row r="703" ht="330.75" customHeight="1">
      <c r="A703" s="32" t="str">
        <f>IMAGE("https://gymvisual.com/14030-catalog_default/crunchy-frog-on-floor.jpg",4,500,500)</f>
        <v/>
      </c>
      <c r="B703" s="30">
        <v>1304.0</v>
      </c>
      <c r="C703" s="16" t="s">
        <v>1844</v>
      </c>
      <c r="D703" s="16" t="s">
        <v>184</v>
      </c>
      <c r="E703" s="16" t="s">
        <v>1845</v>
      </c>
      <c r="F703" s="16" t="s">
        <v>255</v>
      </c>
      <c r="G703" s="16" t="s">
        <v>1846</v>
      </c>
      <c r="H703" s="16" t="s">
        <v>1847</v>
      </c>
    </row>
    <row r="704" ht="330.75" customHeight="1">
      <c r="A704" s="32" t="str">
        <f>IMAGE("https://gymvisual.com/13838-catalog_default/crunch-with-medicine-ball-female.jpg",4,500,500)</f>
        <v/>
      </c>
      <c r="B704" s="30">
        <v>1303.0</v>
      </c>
      <c r="C704" s="16" t="s">
        <v>1843</v>
      </c>
      <c r="D704" s="16" t="s">
        <v>184</v>
      </c>
      <c r="E704" s="16" t="s">
        <v>254</v>
      </c>
      <c r="F704" s="16" t="s">
        <v>373</v>
      </c>
      <c r="G704" s="16" t="s">
        <v>256</v>
      </c>
      <c r="H704" s="16" t="s">
        <v>257</v>
      </c>
    </row>
    <row r="705" ht="330.75" customHeight="1">
      <c r="A705" s="32" t="str">
        <f>IMAGE("https://gymvisual.com/13836-catalog_default/crunch-with-medicine-ball.jpg",4,500,500)</f>
        <v/>
      </c>
      <c r="B705" s="30">
        <v>1302.0</v>
      </c>
      <c r="C705" s="16" t="s">
        <v>1842</v>
      </c>
      <c r="D705" s="16" t="s">
        <v>184</v>
      </c>
      <c r="E705" s="16" t="s">
        <v>254</v>
      </c>
      <c r="F705" s="16" t="s">
        <v>373</v>
      </c>
      <c r="G705" s="16" t="s">
        <v>256</v>
      </c>
      <c r="H705" s="16" t="s">
        <v>257</v>
      </c>
    </row>
    <row r="706" ht="330.75" customHeight="1">
      <c r="A706" s="32" t="str">
        <f>IMAGE("https://gymvisual.com/17891-catalog_default/crunch-with-leg-lift-male.jpg",4,500,500)</f>
        <v/>
      </c>
      <c r="B706" s="30">
        <v>1301.0</v>
      </c>
      <c r="C706" s="16" t="s">
        <v>1841</v>
      </c>
      <c r="D706" s="16" t="s">
        <v>184</v>
      </c>
      <c r="E706" s="16" t="s">
        <v>254</v>
      </c>
      <c r="F706" s="16" t="s">
        <v>255</v>
      </c>
      <c r="G706" s="16" t="s">
        <v>220</v>
      </c>
      <c r="H706" s="16" t="s">
        <v>220</v>
      </c>
    </row>
    <row r="707" ht="330.75" customHeight="1">
      <c r="A707" s="32" t="str">
        <f>IMAGE("https://gymvisual.com/18252-catalog_default/crunch-single-leg-lift.jpg",4,500,500)</f>
        <v/>
      </c>
      <c r="B707" s="30">
        <v>1300.0</v>
      </c>
      <c r="C707" s="16" t="s">
        <v>1839</v>
      </c>
      <c r="D707" s="16" t="s">
        <v>184</v>
      </c>
      <c r="E707" s="16" t="s">
        <v>254</v>
      </c>
      <c r="F707" s="16" t="s">
        <v>255</v>
      </c>
      <c r="G707" s="16" t="s">
        <v>305</v>
      </c>
      <c r="H707" s="16" t="s">
        <v>1840</v>
      </c>
    </row>
    <row r="708" ht="330.75" customHeight="1">
      <c r="A708" s="32" t="str">
        <f>IMAGE("https://gymvisual.com/18254-catalog_default/crunch-hold.jpg",4,500,500)</f>
        <v/>
      </c>
      <c r="B708" s="30">
        <v>1299.0</v>
      </c>
      <c r="C708" s="16" t="s">
        <v>1838</v>
      </c>
      <c r="D708" s="16" t="s">
        <v>184</v>
      </c>
      <c r="E708" s="16" t="s">
        <v>254</v>
      </c>
      <c r="F708" s="16" t="s">
        <v>255</v>
      </c>
      <c r="G708" s="16" t="s">
        <v>256</v>
      </c>
      <c r="H708" s="16" t="s">
        <v>257</v>
      </c>
    </row>
    <row r="709" ht="330.75" customHeight="1">
      <c r="A709" s="32" t="str">
        <f>IMAGE("https://gymvisual.com/847-catalog_default/crunch-floor.jpg",4,500,500)</f>
        <v/>
      </c>
      <c r="B709" s="30">
        <v>1298.0</v>
      </c>
      <c r="C709" s="16" t="s">
        <v>1837</v>
      </c>
      <c r="D709" s="16" t="s">
        <v>184</v>
      </c>
      <c r="E709" s="16" t="s">
        <v>254</v>
      </c>
      <c r="F709" s="16" t="s">
        <v>255</v>
      </c>
      <c r="G709" s="16" t="s">
        <v>256</v>
      </c>
      <c r="H709" s="16" t="s">
        <v>257</v>
      </c>
    </row>
    <row r="710" ht="330.75" customHeight="1">
      <c r="A710" s="32" t="str">
        <f>IMAGE("https://gymvisual.com/844-catalog_default/crunch-floor.jpg",4,500,500)</f>
        <v/>
      </c>
      <c r="B710" s="30">
        <v>1297.0</v>
      </c>
      <c r="C710" s="16" t="s">
        <v>1837</v>
      </c>
      <c r="D710" s="16" t="s">
        <v>184</v>
      </c>
      <c r="E710" s="16" t="s">
        <v>254</v>
      </c>
      <c r="F710" s="16" t="s">
        <v>255</v>
      </c>
      <c r="G710" s="16" t="s">
        <v>256</v>
      </c>
      <c r="H710" s="16" t="s">
        <v>257</v>
      </c>
    </row>
    <row r="711" ht="330.75" customHeight="1">
      <c r="A711" s="32" t="str">
        <f>IMAGE("https://gymvisual.com/10188-catalog_default/crunch-back-wrong-right.jpg",4,500,500)</f>
        <v/>
      </c>
      <c r="B711" s="30">
        <v>1296.0</v>
      </c>
      <c r="C711" s="16" t="s">
        <v>1836</v>
      </c>
      <c r="D711" s="16" t="s">
        <v>184</v>
      </c>
      <c r="E711" s="16" t="s">
        <v>254</v>
      </c>
      <c r="F711" s="16" t="s">
        <v>255</v>
      </c>
      <c r="G711" s="16" t="s">
        <v>220</v>
      </c>
      <c r="H711" s="16" t="s">
        <v>220</v>
      </c>
    </row>
    <row r="712" ht="330.75" customHeight="1">
      <c r="A712" s="32" t="str">
        <f>IMAGE("https://gymvisual.com/841-catalog_default/crunch-straight-leg-up.jpg",4,500,500)</f>
        <v/>
      </c>
      <c r="B712" s="30">
        <v>1295.0</v>
      </c>
      <c r="C712" s="16" t="s">
        <v>1835</v>
      </c>
      <c r="D712" s="16" t="s">
        <v>184</v>
      </c>
      <c r="E712" s="16" t="s">
        <v>254</v>
      </c>
      <c r="F712" s="16" t="s">
        <v>255</v>
      </c>
      <c r="G712" s="16" t="s">
        <v>256</v>
      </c>
      <c r="H712" s="16" t="s">
        <v>424</v>
      </c>
    </row>
    <row r="713" ht="330.75" customHeight="1">
      <c r="A713" s="32" t="str">
        <f>IMAGE("https://gymvisual.com/838-catalog_default/crunch-on-stability-ball-arms-straight.jpg",4,500,500)</f>
        <v/>
      </c>
      <c r="B713" s="30">
        <v>1294.0</v>
      </c>
      <c r="C713" s="16" t="s">
        <v>1834</v>
      </c>
      <c r="D713" s="16" t="s">
        <v>184</v>
      </c>
      <c r="E713" s="16" t="s">
        <v>254</v>
      </c>
      <c r="F713" s="16" t="s">
        <v>399</v>
      </c>
      <c r="G713" s="16" t="s">
        <v>256</v>
      </c>
      <c r="H713" s="16" t="s">
        <v>257</v>
      </c>
    </row>
    <row r="714" ht="330.75" customHeight="1">
      <c r="A714" s="32" t="str">
        <f>IMAGE("https://gymvisual.com/11604-catalog_default/crunch-on-stability-ball-female.jpg",4,500,500)</f>
        <v/>
      </c>
      <c r="B714" s="30">
        <v>1293.0</v>
      </c>
      <c r="C714" s="16" t="s">
        <v>1833</v>
      </c>
      <c r="D714" s="16" t="s">
        <v>184</v>
      </c>
      <c r="E714" s="16" t="s">
        <v>254</v>
      </c>
      <c r="F714" s="16" t="s">
        <v>399</v>
      </c>
      <c r="G714" s="16" t="s">
        <v>220</v>
      </c>
      <c r="H714" s="16" t="s">
        <v>220</v>
      </c>
    </row>
    <row r="715" ht="330.75" customHeight="1">
      <c r="A715" s="32" t="str">
        <f>IMAGE("https://gymvisual.com/835-catalog_default/crunch-on-stability-ball.jpg",4,500,500)</f>
        <v/>
      </c>
      <c r="B715" s="30">
        <v>1292.0</v>
      </c>
      <c r="C715" s="16" t="s">
        <v>1832</v>
      </c>
      <c r="D715" s="16" t="s">
        <v>184</v>
      </c>
      <c r="E715" s="16" t="s">
        <v>254</v>
      </c>
      <c r="F715" s="16" t="s">
        <v>399</v>
      </c>
      <c r="G715" s="16" t="s">
        <v>256</v>
      </c>
      <c r="H715" s="16" t="s">
        <v>257</v>
      </c>
    </row>
    <row r="716" ht="330.75" customHeight="1">
      <c r="A716" s="32" t="str">
        <f>IMAGE("https://gymvisual.com/4618-catalog_default/crunch-on-bosu-ball.jpg",4,500,500)</f>
        <v/>
      </c>
      <c r="B716" s="30">
        <v>1291.0</v>
      </c>
      <c r="C716" s="16" t="s">
        <v>1831</v>
      </c>
      <c r="D716" s="16" t="s">
        <v>184</v>
      </c>
      <c r="E716" s="16" t="s">
        <v>254</v>
      </c>
      <c r="F716" s="16" t="s">
        <v>316</v>
      </c>
      <c r="G716" s="16" t="s">
        <v>256</v>
      </c>
      <c r="H716" s="16" t="s">
        <v>257</v>
      </c>
    </row>
    <row r="717" ht="330.75" customHeight="1">
      <c r="A717" s="32" t="str">
        <f>IMAGE("https://gymvisual.com/17069-catalog_default/crunch-on-bench-male.jpg",4,500,500)</f>
        <v/>
      </c>
      <c r="B717" s="30">
        <v>1290.0</v>
      </c>
      <c r="C717" s="16" t="s">
        <v>1830</v>
      </c>
      <c r="D717" s="16" t="s">
        <v>184</v>
      </c>
      <c r="E717" s="16" t="s">
        <v>254</v>
      </c>
      <c r="F717" s="16" t="s">
        <v>255</v>
      </c>
      <c r="G717" s="16" t="s">
        <v>256</v>
      </c>
      <c r="H717" s="16" t="s">
        <v>257</v>
      </c>
    </row>
    <row r="718" ht="330.75" customHeight="1">
      <c r="A718" s="32" t="str">
        <f>IMAGE("https://gymvisual.com/832-catalog_default/crunch-on-bench.jpg",4,500,500)</f>
        <v/>
      </c>
      <c r="B718" s="30">
        <v>1289.0</v>
      </c>
      <c r="C718" s="16" t="s">
        <v>1829</v>
      </c>
      <c r="D718" s="16" t="s">
        <v>184</v>
      </c>
      <c r="E718" s="16" t="s">
        <v>254</v>
      </c>
      <c r="F718" s="16" t="s">
        <v>255</v>
      </c>
      <c r="G718" s="16" t="s">
        <v>256</v>
      </c>
      <c r="H718" s="16" t="s">
        <v>257</v>
      </c>
    </row>
    <row r="719" ht="330.75" customHeight="1">
      <c r="A719" s="32" t="str">
        <f>IMAGE("https://gymvisual.com/829-catalog_default/crunch-legs-on-stability-ball.jpg",4,500,500)</f>
        <v/>
      </c>
      <c r="B719" s="30">
        <v>1288.0</v>
      </c>
      <c r="C719" s="16" t="s">
        <v>1828</v>
      </c>
      <c r="D719" s="16" t="s">
        <v>184</v>
      </c>
      <c r="E719" s="16" t="s">
        <v>254</v>
      </c>
      <c r="F719" s="16" t="s">
        <v>399</v>
      </c>
      <c r="G719" s="16" t="s">
        <v>256</v>
      </c>
      <c r="H719" s="16" t="s">
        <v>257</v>
      </c>
    </row>
    <row r="720" ht="330.75" customHeight="1">
      <c r="A720" s="32" t="str">
        <f>IMAGE("https://gymvisual.com/826-catalog_default/crunch-leg-raise.jpg",4,500,500)</f>
        <v/>
      </c>
      <c r="B720" s="30">
        <v>1287.0</v>
      </c>
      <c r="C720" s="16" t="s">
        <v>1827</v>
      </c>
      <c r="D720" s="16" t="s">
        <v>184</v>
      </c>
      <c r="E720" s="16" t="s">
        <v>254</v>
      </c>
      <c r="F720" s="16" t="s">
        <v>255</v>
      </c>
      <c r="G720" s="16" t="s">
        <v>256</v>
      </c>
      <c r="H720" s="16" t="s">
        <v>524</v>
      </c>
    </row>
    <row r="721" ht="330.75" customHeight="1">
      <c r="A721" s="32" t="str">
        <f>IMAGE("https://gymvisual.com/823-catalog_default/crunch-hands-overhead.jpg",4,500,500)</f>
        <v/>
      </c>
      <c r="B721" s="30">
        <v>1286.0</v>
      </c>
      <c r="C721" s="16" t="s">
        <v>1826</v>
      </c>
      <c r="D721" s="16" t="s">
        <v>184</v>
      </c>
      <c r="E721" s="16" t="s">
        <v>254</v>
      </c>
      <c r="F721" s="16" t="s">
        <v>255</v>
      </c>
      <c r="G721" s="16" t="s">
        <v>256</v>
      </c>
      <c r="H721" s="16" t="s">
        <v>257</v>
      </c>
    </row>
    <row r="722" ht="330.75" customHeight="1">
      <c r="A722" s="32" t="str">
        <f>IMAGE("https://gymvisual.com/18706-catalog_default/crunch-arms-straight-male.jpg",4,500,500)</f>
        <v/>
      </c>
      <c r="B722" s="30">
        <v>1285.0</v>
      </c>
      <c r="C722" s="16" t="s">
        <v>1825</v>
      </c>
      <c r="D722" s="16" t="s">
        <v>184</v>
      </c>
      <c r="E722" s="16" t="s">
        <v>254</v>
      </c>
      <c r="F722" s="16" t="s">
        <v>255</v>
      </c>
      <c r="G722" s="16" t="s">
        <v>256</v>
      </c>
      <c r="H722" s="16" t="s">
        <v>257</v>
      </c>
    </row>
    <row r="723" ht="330.75" customHeight="1">
      <c r="A723" s="32" t="str">
        <f>IMAGE("https://gymvisual.com/820-catalog_default/crunch-arms-straight.jpg",4,500,500)</f>
        <v/>
      </c>
      <c r="B723" s="30">
        <v>1284.0</v>
      </c>
      <c r="C723" s="16" t="s">
        <v>1824</v>
      </c>
      <c r="D723" s="16" t="s">
        <v>184</v>
      </c>
      <c r="E723" s="16" t="s">
        <v>254</v>
      </c>
      <c r="F723" s="16" t="s">
        <v>255</v>
      </c>
      <c r="G723" s="16" t="s">
        <v>256</v>
      </c>
      <c r="H723" s="16" t="s">
        <v>257</v>
      </c>
    </row>
    <row r="724" ht="330.75" customHeight="1">
      <c r="A724" s="32" t="str">
        <f>IMAGE("https://gymvisual.com/22203-catalog_default/crunch-arms-on-chest-female.jpg",4,500,500)</f>
        <v/>
      </c>
      <c r="B724" s="30">
        <v>1283.0</v>
      </c>
      <c r="C724" s="16" t="s">
        <v>1823</v>
      </c>
      <c r="D724" s="16" t="s">
        <v>184</v>
      </c>
      <c r="E724" s="16" t="s">
        <v>254</v>
      </c>
      <c r="F724" s="16" t="s">
        <v>255</v>
      </c>
      <c r="G724" s="16" t="s">
        <v>220</v>
      </c>
      <c r="H724" s="16" t="s">
        <v>220</v>
      </c>
    </row>
    <row r="725" ht="330.75" customHeight="1">
      <c r="A725" s="32" t="str">
        <f>IMAGE("https://gymvisual.com/23060-catalog_default/cross-twisting-sit-up-version-2-female.jpg",4,500,500)</f>
        <v/>
      </c>
      <c r="B725" s="30">
        <v>1282.0</v>
      </c>
      <c r="C725" s="16" t="s">
        <v>1822</v>
      </c>
      <c r="D725" s="16" t="s">
        <v>184</v>
      </c>
      <c r="E725" s="16" t="s">
        <v>254</v>
      </c>
      <c r="F725" s="16" t="s">
        <v>255</v>
      </c>
      <c r="G725" s="16" t="s">
        <v>220</v>
      </c>
      <c r="H725" s="16" t="s">
        <v>220</v>
      </c>
    </row>
    <row r="726" ht="330.75" customHeight="1">
      <c r="A726" s="32" t="str">
        <f>IMAGE("https://gymvisual.com/17791-catalog_default/cross-twisting-sit-up-female.jpg",4,500,500)</f>
        <v/>
      </c>
      <c r="B726" s="30">
        <v>1281.0</v>
      </c>
      <c r="C726" s="16" t="s">
        <v>1821</v>
      </c>
      <c r="D726" s="16" t="s">
        <v>184</v>
      </c>
      <c r="E726" s="16" t="s">
        <v>254</v>
      </c>
      <c r="F726" s="16" t="s">
        <v>255</v>
      </c>
      <c r="G726" s="16" t="s">
        <v>220</v>
      </c>
      <c r="H726" s="16" t="s">
        <v>220</v>
      </c>
    </row>
    <row r="727" ht="330.75" customHeight="1">
      <c r="A727" s="32" t="str">
        <f>IMAGE("https://gymvisual.com/811-catalog_default/cross-body-twisting-crunch.jpg",4,500,500)</f>
        <v/>
      </c>
      <c r="B727" s="30">
        <v>1280.0</v>
      </c>
      <c r="C727" s="16" t="s">
        <v>1820</v>
      </c>
      <c r="D727" s="16" t="s">
        <v>184</v>
      </c>
      <c r="E727" s="16" t="s">
        <v>254</v>
      </c>
      <c r="F727" s="16" t="s">
        <v>255</v>
      </c>
      <c r="G727" s="16" t="s">
        <v>260</v>
      </c>
      <c r="H727" s="16" t="s">
        <v>189</v>
      </c>
    </row>
    <row r="728" ht="330.75" customHeight="1">
      <c r="A728" s="32" t="str">
        <f>IMAGE("https://gymvisual.com/21030-catalog_default/cross-body-punch-in-squat-position.jpg",4,500,500)</f>
        <v/>
      </c>
      <c r="B728" s="30">
        <v>1279.0</v>
      </c>
      <c r="C728" s="16" t="s">
        <v>1819</v>
      </c>
      <c r="D728" s="16" t="s">
        <v>184</v>
      </c>
      <c r="E728" s="16" t="s">
        <v>234</v>
      </c>
      <c r="F728" s="16" t="s">
        <v>255</v>
      </c>
      <c r="G728" s="16" t="s">
        <v>220</v>
      </c>
      <c r="H728" s="16" t="s">
        <v>220</v>
      </c>
    </row>
    <row r="729" ht="330.75" customHeight="1">
      <c r="A729" s="32" t="str">
        <f>IMAGE("https://gymvisual.com/808-catalog_default/cross-body-crunch.jpg",4,500,500)</f>
        <v/>
      </c>
      <c r="B729" s="30">
        <v>1278.0</v>
      </c>
      <c r="C729" s="16" t="s">
        <v>1818</v>
      </c>
      <c r="D729" s="16" t="s">
        <v>184</v>
      </c>
      <c r="E729" s="16" t="s">
        <v>254</v>
      </c>
      <c r="F729" s="16" t="s">
        <v>255</v>
      </c>
      <c r="G729" s="16" t="s">
        <v>260</v>
      </c>
      <c r="H729" s="16" t="s">
        <v>189</v>
      </c>
    </row>
    <row r="730" ht="330.75" customHeight="1">
      <c r="A730" s="32" t="str">
        <f>IMAGE("https://gymvisual.com/16773-catalog_default/cross-arms-push-up.jpg",4,500,500)</f>
        <v/>
      </c>
      <c r="B730" s="30">
        <v>1277.0</v>
      </c>
      <c r="C730" s="16" t="s">
        <v>1816</v>
      </c>
      <c r="D730" s="16" t="s">
        <v>184</v>
      </c>
      <c r="E730" s="16" t="s">
        <v>219</v>
      </c>
      <c r="F730" s="16" t="s">
        <v>255</v>
      </c>
      <c r="G730" s="16" t="s">
        <v>223</v>
      </c>
      <c r="H730" s="16" t="s">
        <v>1817</v>
      </c>
    </row>
    <row r="731" ht="330.75" customHeight="1">
      <c r="A731" s="32" t="str">
        <f>IMAGE("https://gymvisual.com/22740-catalog_default/criss-cross-leg-raises.jpg",4,500,500)</f>
        <v/>
      </c>
      <c r="B731" s="30">
        <v>1276.0</v>
      </c>
      <c r="C731" s="16" t="s">
        <v>1813</v>
      </c>
      <c r="D731" s="16" t="s">
        <v>184</v>
      </c>
      <c r="E731" s="16" t="s">
        <v>185</v>
      </c>
      <c r="F731" s="16" t="s">
        <v>255</v>
      </c>
      <c r="G731" s="16" t="s">
        <v>1814</v>
      </c>
      <c r="H731" s="16" t="s">
        <v>1815</v>
      </c>
    </row>
    <row r="732" ht="330.75" customHeight="1">
      <c r="A732" s="32" t="str">
        <f>IMAGE("https://gymvisual.com/6403-catalog_default/crab-twist-toe-touch.jpg",4,500,500)</f>
        <v/>
      </c>
      <c r="B732" s="30">
        <v>1275.0</v>
      </c>
      <c r="C732" s="16" t="s">
        <v>1810</v>
      </c>
      <c r="D732" s="16" t="s">
        <v>184</v>
      </c>
      <c r="E732" s="16" t="s">
        <v>254</v>
      </c>
      <c r="F732" s="16" t="s">
        <v>255</v>
      </c>
      <c r="G732" s="16" t="s">
        <v>1811</v>
      </c>
      <c r="H732" s="16" t="s">
        <v>1812</v>
      </c>
    </row>
    <row r="733" ht="330.75" customHeight="1">
      <c r="A733" s="32" t="str">
        <f>IMAGE("https://gymvisual.com/22604-catalog_default/counterbalanced-skater-squat-male.jpg",4,500,500)</f>
        <v/>
      </c>
      <c r="B733" s="30">
        <v>1274.0</v>
      </c>
      <c r="C733" s="16" t="s">
        <v>1809</v>
      </c>
      <c r="D733" s="16" t="s">
        <v>184</v>
      </c>
      <c r="E733" s="16" t="s">
        <v>285</v>
      </c>
      <c r="F733" s="16" t="s">
        <v>255</v>
      </c>
      <c r="G733" s="16" t="s">
        <v>189</v>
      </c>
      <c r="H733" s="16" t="s">
        <v>190</v>
      </c>
    </row>
    <row r="734" ht="330.75" customHeight="1">
      <c r="A734" s="32" t="str">
        <f>IMAGE("https://gymvisual.com/19371-catalog_default/cossack-squats-female.jpg",4,500,500)</f>
        <v/>
      </c>
      <c r="B734" s="30">
        <v>1273.0</v>
      </c>
      <c r="C734" s="16" t="s">
        <v>1808</v>
      </c>
      <c r="D734" s="16" t="s">
        <v>184</v>
      </c>
      <c r="E734" s="16" t="s">
        <v>294</v>
      </c>
      <c r="F734" s="16" t="s">
        <v>255</v>
      </c>
      <c r="G734" s="16" t="s">
        <v>189</v>
      </c>
      <c r="H734" s="16" t="s">
        <v>902</v>
      </c>
    </row>
    <row r="735" ht="330.75" customHeight="1">
      <c r="A735" s="32" t="str">
        <f>IMAGE("https://gymvisual.com/805-catalog_default/corkscrew-push-up.jpg",4,500,500)</f>
        <v/>
      </c>
      <c r="B735" s="30">
        <v>1272.0</v>
      </c>
      <c r="C735" s="16" t="s">
        <v>1806</v>
      </c>
      <c r="D735" s="16" t="s">
        <v>184</v>
      </c>
      <c r="E735" s="16" t="s">
        <v>254</v>
      </c>
      <c r="F735" s="16" t="s">
        <v>255</v>
      </c>
      <c r="G735" s="16" t="s">
        <v>1807</v>
      </c>
      <c r="H735" s="16" t="s">
        <v>382</v>
      </c>
    </row>
    <row r="736" ht="330.75" customHeight="1">
      <c r="A736" s="32" t="str">
        <f>IMAGE("https://gymvisual.com/10209-catalog_default/concentration-curl-arms-wrong-right.jpg",4,500,500)</f>
        <v/>
      </c>
      <c r="B736" s="30">
        <v>1271.0</v>
      </c>
      <c r="C736" s="16" t="s">
        <v>1805</v>
      </c>
      <c r="D736" s="16" t="s">
        <v>184</v>
      </c>
      <c r="E736" s="16" t="s">
        <v>219</v>
      </c>
      <c r="F736" s="16" t="s">
        <v>222</v>
      </c>
      <c r="G736" s="16" t="s">
        <v>220</v>
      </c>
      <c r="H736" s="16" t="s">
        <v>220</v>
      </c>
    </row>
    <row r="737" ht="330.75" customHeight="1">
      <c r="A737" s="32" t="str">
        <f>IMAGE("https://gymvisual.com/20523-catalog_default/commando-pull-up-female.jpg",4,500,500)</f>
        <v/>
      </c>
      <c r="B737" s="30">
        <v>1270.0</v>
      </c>
      <c r="C737" s="16" t="s">
        <v>1804</v>
      </c>
      <c r="D737" s="16" t="s">
        <v>184</v>
      </c>
      <c r="E737" s="16" t="s">
        <v>361</v>
      </c>
      <c r="F737" s="16" t="s">
        <v>255</v>
      </c>
      <c r="G737" s="16" t="s">
        <v>362</v>
      </c>
      <c r="H737" s="16" t="s">
        <v>357</v>
      </c>
    </row>
    <row r="738" ht="330.75" customHeight="1">
      <c r="A738" s="32" t="str">
        <f>IMAGE("https://gymvisual.com/20503-catalog_default/commando-pull-up.jpg",4,500,500)</f>
        <v/>
      </c>
      <c r="B738" s="30">
        <v>1269.0</v>
      </c>
      <c r="C738" s="16" t="s">
        <v>1803</v>
      </c>
      <c r="D738" s="16" t="s">
        <v>184</v>
      </c>
      <c r="E738" s="16" t="s">
        <v>361</v>
      </c>
      <c r="F738" s="16" t="s">
        <v>255</v>
      </c>
      <c r="G738" s="16" t="s">
        <v>362</v>
      </c>
      <c r="H738" s="16" t="s">
        <v>357</v>
      </c>
    </row>
    <row r="739" ht="330.75" customHeight="1">
      <c r="A739" s="32" t="str">
        <f>IMAGE("https://gymvisual.com/11300-catalog_default/cocoons-female.jpg",4,500,500)</f>
        <v/>
      </c>
      <c r="B739" s="30">
        <v>1268.0</v>
      </c>
      <c r="C739" s="16" t="s">
        <v>1802</v>
      </c>
      <c r="D739" s="16" t="s">
        <v>184</v>
      </c>
      <c r="E739" s="16" t="s">
        <v>254</v>
      </c>
      <c r="F739" s="16" t="s">
        <v>255</v>
      </c>
      <c r="G739" s="16" t="s">
        <v>305</v>
      </c>
      <c r="H739" s="16" t="s">
        <v>319</v>
      </c>
    </row>
    <row r="740" ht="330.75" customHeight="1">
      <c r="A740" s="32" t="str">
        <f>IMAGE("https://gymvisual.com/802-catalog_default/cocoons.jpg",4,500,500)</f>
        <v/>
      </c>
      <c r="B740" s="30">
        <v>1267.0</v>
      </c>
      <c r="C740" s="16" t="s">
        <v>1801</v>
      </c>
      <c r="D740" s="16" t="s">
        <v>184</v>
      </c>
      <c r="E740" s="16" t="s">
        <v>254</v>
      </c>
      <c r="F740" s="16" t="s">
        <v>255</v>
      </c>
      <c r="G740" s="16" t="s">
        <v>305</v>
      </c>
      <c r="H740" s="16" t="s">
        <v>189</v>
      </c>
    </row>
    <row r="741" ht="330.75" customHeight="1">
      <c r="A741" s="32" t="str">
        <f>IMAGE("https://gymvisual.com/13992-catalog_default/cobra-push-up.jpg",4,500,500)</f>
        <v/>
      </c>
      <c r="B741" s="30">
        <v>1266.0</v>
      </c>
      <c r="C741" s="16" t="s">
        <v>1797</v>
      </c>
      <c r="D741" s="16" t="s">
        <v>184</v>
      </c>
      <c r="E741" s="16" t="s">
        <v>1798</v>
      </c>
      <c r="F741" s="16" t="s">
        <v>255</v>
      </c>
      <c r="G741" s="16" t="s">
        <v>1799</v>
      </c>
      <c r="H741" s="16" t="s">
        <v>1800</v>
      </c>
    </row>
    <row r="742" ht="330.75" customHeight="1">
      <c r="A742" s="32" t="str">
        <f>IMAGE("https://gymvisual.com/10765-catalog_default/close-grip-push-up-on-knees-female.jpg",4,500,500)</f>
        <v/>
      </c>
      <c r="B742" s="30">
        <v>1265.0</v>
      </c>
      <c r="C742" s="16" t="s">
        <v>1796</v>
      </c>
      <c r="D742" s="16" t="s">
        <v>184</v>
      </c>
      <c r="E742" s="16" t="s">
        <v>219</v>
      </c>
      <c r="F742" s="16" t="s">
        <v>255</v>
      </c>
      <c r="G742" s="16" t="s">
        <v>223</v>
      </c>
      <c r="H742" s="16" t="s">
        <v>472</v>
      </c>
    </row>
    <row r="743" ht="330.75" customHeight="1">
      <c r="A743" s="32" t="str">
        <f>IMAGE("https://gymvisual.com/10408-catalog_default/close-grip-push-up-on-knees.jpg",4,500,500)</f>
        <v/>
      </c>
      <c r="B743" s="30">
        <v>1264.0</v>
      </c>
      <c r="C743" s="16" t="s">
        <v>1795</v>
      </c>
      <c r="D743" s="16" t="s">
        <v>184</v>
      </c>
      <c r="E743" s="16" t="s">
        <v>219</v>
      </c>
      <c r="F743" s="16" t="s">
        <v>255</v>
      </c>
      <c r="G743" s="16" t="s">
        <v>223</v>
      </c>
      <c r="H743" s="16" t="s">
        <v>472</v>
      </c>
    </row>
    <row r="744" ht="330.75" customHeight="1">
      <c r="A744" s="32" t="str">
        <f>IMAGE("https://gymvisual.com/10773-catalog_default/close-grip-push-up-female.jpg",4,500,500)</f>
        <v/>
      </c>
      <c r="B744" s="30">
        <v>1263.0</v>
      </c>
      <c r="C744" s="16" t="s">
        <v>1794</v>
      </c>
      <c r="D744" s="16" t="s">
        <v>184</v>
      </c>
      <c r="E744" s="16" t="s">
        <v>219</v>
      </c>
      <c r="F744" s="16" t="s">
        <v>255</v>
      </c>
      <c r="G744" s="16" t="s">
        <v>223</v>
      </c>
      <c r="H744" s="16" t="s">
        <v>472</v>
      </c>
    </row>
    <row r="745" ht="330.75" customHeight="1">
      <c r="A745" s="32" t="str">
        <f>IMAGE("https://gymvisual.com/26452-catalog_default/close-grip-push-up.jpg",4,500,500)</f>
        <v/>
      </c>
      <c r="B745" s="30">
        <v>1262.0</v>
      </c>
      <c r="C745" s="16" t="s">
        <v>1793</v>
      </c>
      <c r="D745" s="16" t="s">
        <v>184</v>
      </c>
      <c r="E745" s="16" t="s">
        <v>219</v>
      </c>
      <c r="F745" s="16" t="s">
        <v>255</v>
      </c>
      <c r="G745" s="16" t="s">
        <v>223</v>
      </c>
      <c r="H745" s="16" t="s">
        <v>472</v>
      </c>
    </row>
    <row r="746" ht="330.75" customHeight="1">
      <c r="A746" s="32" t="str">
        <f>IMAGE("https://gymvisual.com/20662-catalog_default/close-grip-chin-up-female.jpg",4,500,500)</f>
        <v/>
      </c>
      <c r="B746" s="30">
        <v>1261.0</v>
      </c>
      <c r="C746" s="16" t="s">
        <v>1791</v>
      </c>
      <c r="D746" s="16" t="s">
        <v>184</v>
      </c>
      <c r="E746" s="16" t="s">
        <v>192</v>
      </c>
      <c r="F746" s="16" t="s">
        <v>255</v>
      </c>
      <c r="G746" s="16" t="s">
        <v>300</v>
      </c>
      <c r="H746" s="16" t="s">
        <v>1792</v>
      </c>
    </row>
    <row r="747" ht="330.75" customHeight="1">
      <c r="A747" s="32" t="str">
        <f>IMAGE("https://gymvisual.com/23871-catalog_default/close-grip-pull-up.jpg",4,500,500)</f>
        <v/>
      </c>
      <c r="B747" s="30">
        <v>1260.0</v>
      </c>
      <c r="C747" s="16" t="s">
        <v>1790</v>
      </c>
      <c r="D747" s="16" t="s">
        <v>184</v>
      </c>
      <c r="E747" s="16" t="s">
        <v>192</v>
      </c>
      <c r="F747" s="16" t="s">
        <v>255</v>
      </c>
      <c r="G747" s="16" t="s">
        <v>220</v>
      </c>
      <c r="H747" s="16" t="s">
        <v>220</v>
      </c>
    </row>
    <row r="748" ht="330.75" customHeight="1">
      <c r="A748" s="32" t="str">
        <f>IMAGE("https://gymvisual.com/6018-catalog_default/close-grip-chin-up.jpg",4,500,500)</f>
        <v/>
      </c>
      <c r="B748" s="30">
        <v>1259.0</v>
      </c>
      <c r="C748" s="16" t="s">
        <v>1788</v>
      </c>
      <c r="D748" s="16" t="s">
        <v>184</v>
      </c>
      <c r="E748" s="16" t="s">
        <v>192</v>
      </c>
      <c r="F748" s="16" t="s">
        <v>255</v>
      </c>
      <c r="G748" s="16" t="s">
        <v>300</v>
      </c>
      <c r="H748" s="16" t="s">
        <v>1789</v>
      </c>
    </row>
    <row r="749" ht="330.75" customHeight="1">
      <c r="A749" s="32" t="str">
        <f>IMAGE("https://gymvisual.com/796-catalog_default/clock-push-up.jpg",4,500,500)</f>
        <v/>
      </c>
      <c r="B749" s="30">
        <v>1258.0</v>
      </c>
      <c r="C749" s="16" t="s">
        <v>1787</v>
      </c>
      <c r="D749" s="16" t="s">
        <v>184</v>
      </c>
      <c r="E749" s="16" t="s">
        <v>234</v>
      </c>
      <c r="F749" s="16" t="s">
        <v>255</v>
      </c>
      <c r="G749" s="16" t="s">
        <v>347</v>
      </c>
      <c r="H749" s="16" t="s">
        <v>382</v>
      </c>
    </row>
    <row r="750" ht="330.75" customHeight="1">
      <c r="A750" s="32" t="str">
        <f>IMAGE("https://gymvisual.com/790-catalog_default/circles-elbow-arm.jpg",4,500,500)</f>
        <v/>
      </c>
      <c r="B750" s="30">
        <v>1257.0</v>
      </c>
      <c r="C750" s="16" t="s">
        <v>1786</v>
      </c>
      <c r="D750" s="16" t="s">
        <v>184</v>
      </c>
      <c r="E750" s="16" t="s">
        <v>228</v>
      </c>
      <c r="F750" s="16" t="s">
        <v>255</v>
      </c>
      <c r="G750" s="16" t="s">
        <v>333</v>
      </c>
      <c r="H750" s="16" t="s">
        <v>220</v>
      </c>
    </row>
    <row r="751" ht="330.75" customHeight="1">
      <c r="A751" s="32" t="str">
        <f>IMAGE("https://gymvisual.com/787-catalog_default/circles-ball-wall.jpg",4,500,500)</f>
        <v/>
      </c>
      <c r="B751" s="30">
        <v>1256.0</v>
      </c>
      <c r="C751" s="16" t="s">
        <v>1784</v>
      </c>
      <c r="D751" s="16" t="s">
        <v>184</v>
      </c>
      <c r="E751" s="16" t="s">
        <v>228</v>
      </c>
      <c r="F751" s="16" t="s">
        <v>399</v>
      </c>
      <c r="G751" s="16" t="s">
        <v>1785</v>
      </c>
      <c r="H751" s="16" t="s">
        <v>220</v>
      </c>
    </row>
    <row r="752" ht="330.75" customHeight="1">
      <c r="A752" s="32" t="str">
        <f>IMAGE("https://gymvisual.com/23581-catalog_default/circles-arm-male.jpg",4,500,500)</f>
        <v/>
      </c>
      <c r="B752" s="30">
        <v>1255.0</v>
      </c>
      <c r="C752" s="16" t="s">
        <v>1783</v>
      </c>
      <c r="D752" s="16" t="s">
        <v>184</v>
      </c>
      <c r="E752" s="16" t="s">
        <v>228</v>
      </c>
      <c r="F752" s="16" t="s">
        <v>255</v>
      </c>
      <c r="G752" s="16" t="s">
        <v>333</v>
      </c>
      <c r="H752" s="16" t="s">
        <v>334</v>
      </c>
    </row>
    <row r="753" ht="330.75" customHeight="1">
      <c r="A753" s="32" t="str">
        <f>IMAGE("https://gymvisual.com/784-catalog_default/circles-arm.jpg",4,500,500)</f>
        <v/>
      </c>
      <c r="B753" s="30">
        <v>1254.0</v>
      </c>
      <c r="C753" s="16" t="s">
        <v>1782</v>
      </c>
      <c r="D753" s="16" t="s">
        <v>184</v>
      </c>
      <c r="E753" s="16" t="s">
        <v>228</v>
      </c>
      <c r="F753" s="16" t="s">
        <v>255</v>
      </c>
      <c r="G753" s="16" t="s">
        <v>333</v>
      </c>
      <c r="H753" s="16" t="s">
        <v>220</v>
      </c>
    </row>
    <row r="754" ht="330.75" customHeight="1">
      <c r="A754" s="32" t="str">
        <f>IMAGE("https://gymvisual.com/781-catalog_default/chin-ups-narrow-parallel-grip.jpg",4,500,500)</f>
        <v/>
      </c>
      <c r="B754" s="30">
        <v>1253.0</v>
      </c>
      <c r="C754" s="16" t="s">
        <v>1781</v>
      </c>
      <c r="D754" s="16" t="s">
        <v>184</v>
      </c>
      <c r="E754" s="16" t="s">
        <v>192</v>
      </c>
      <c r="F754" s="16" t="s">
        <v>255</v>
      </c>
      <c r="G754" s="16" t="s">
        <v>329</v>
      </c>
      <c r="H754" s="16" t="s">
        <v>457</v>
      </c>
    </row>
    <row r="755" ht="330.75" customHeight="1">
      <c r="A755" s="32" t="str">
        <f>IMAGE("https://gymvisual.com/18049-catalog_default/chin-up-around-the-bar.jpg",4,500,500)</f>
        <v/>
      </c>
      <c r="B755" s="30">
        <v>1252.0</v>
      </c>
      <c r="C755" s="16" t="s">
        <v>1780</v>
      </c>
      <c r="D755" s="16" t="s">
        <v>184</v>
      </c>
      <c r="E755" s="16" t="s">
        <v>192</v>
      </c>
      <c r="F755" s="16" t="s">
        <v>255</v>
      </c>
      <c r="G755" s="16" t="s">
        <v>220</v>
      </c>
      <c r="H755" s="16" t="s">
        <v>220</v>
      </c>
    </row>
    <row r="756" ht="330.75" customHeight="1">
      <c r="A756" s="32" t="str">
        <f>IMAGE("https://gymvisual.com/22201-catalog_default/chin-up-izometric-and-negative.jpg",4,500,500)</f>
        <v/>
      </c>
      <c r="B756" s="30">
        <v>1251.0</v>
      </c>
      <c r="C756" s="16" t="s">
        <v>1779</v>
      </c>
      <c r="D756" s="16" t="s">
        <v>184</v>
      </c>
      <c r="E756" s="16" t="s">
        <v>192</v>
      </c>
      <c r="F756" s="16" t="s">
        <v>255</v>
      </c>
      <c r="G756" s="16" t="s">
        <v>329</v>
      </c>
      <c r="H756" s="16" t="s">
        <v>447</v>
      </c>
    </row>
    <row r="757" ht="330.75" customHeight="1">
      <c r="A757" s="32" t="str">
        <f>IMAGE("https://gymvisual.com/22199-catalog_default/chin-up-in-squatting-position.jpg",4,500,500)</f>
        <v/>
      </c>
      <c r="B757" s="30">
        <v>1250.0</v>
      </c>
      <c r="C757" s="16" t="s">
        <v>1778</v>
      </c>
      <c r="D757" s="16" t="s">
        <v>184</v>
      </c>
      <c r="E757" s="16" t="s">
        <v>192</v>
      </c>
      <c r="F757" s="16" t="s">
        <v>255</v>
      </c>
      <c r="G757" s="16" t="s">
        <v>220</v>
      </c>
      <c r="H757" s="16" t="s">
        <v>220</v>
      </c>
    </row>
    <row r="758" ht="330.75" customHeight="1">
      <c r="A758" s="32" t="str">
        <f>IMAGE("https://gymvisual.com/10306-catalog_default/chin-up-female.jpg",4,500,500)</f>
        <v/>
      </c>
      <c r="B758" s="30">
        <v>1249.0</v>
      </c>
      <c r="C758" s="16" t="s">
        <v>1776</v>
      </c>
      <c r="D758" s="16" t="s">
        <v>184</v>
      </c>
      <c r="E758" s="16" t="s">
        <v>192</v>
      </c>
      <c r="F758" s="16" t="s">
        <v>255</v>
      </c>
      <c r="G758" s="16" t="s">
        <v>300</v>
      </c>
      <c r="H758" s="16" t="s">
        <v>1777</v>
      </c>
    </row>
    <row r="759" ht="330.75" customHeight="1">
      <c r="A759" s="32" t="str">
        <f>IMAGE("https://gymvisual.com/19361-catalog_default/chin-up.jpg",4,500,500)</f>
        <v/>
      </c>
      <c r="B759" s="30">
        <v>1248.0</v>
      </c>
      <c r="C759" s="16" t="s">
        <v>1775</v>
      </c>
      <c r="D759" s="16" t="s">
        <v>184</v>
      </c>
      <c r="E759" s="16" t="s">
        <v>192</v>
      </c>
      <c r="F759" s="16" t="s">
        <v>255</v>
      </c>
      <c r="G759" s="16" t="s">
        <v>300</v>
      </c>
      <c r="H759" s="16" t="s">
        <v>1357</v>
      </c>
    </row>
    <row r="760" ht="330.75" customHeight="1">
      <c r="A760" s="32" t="str">
        <f>IMAGE("https://gymvisual.com/14264-catalog_default/chin-ups-narrow-parallel-grip-female.jpg",4,500,500)</f>
        <v/>
      </c>
      <c r="B760" s="30">
        <v>1247.0</v>
      </c>
      <c r="C760" s="16" t="s">
        <v>1774</v>
      </c>
      <c r="D760" s="16" t="s">
        <v>184</v>
      </c>
      <c r="E760" s="16" t="s">
        <v>192</v>
      </c>
      <c r="F760" s="16" t="s">
        <v>255</v>
      </c>
      <c r="G760" s="16" t="s">
        <v>329</v>
      </c>
      <c r="H760" s="16" t="s">
        <v>447</v>
      </c>
    </row>
    <row r="761" ht="330.75" customHeight="1">
      <c r="A761" s="32" t="str">
        <f>IMAGE("https://gymvisual.com/12557-catalog_default/chin-tuck-female.jpg",4,500,500)</f>
        <v/>
      </c>
      <c r="B761" s="30">
        <v>1246.0</v>
      </c>
      <c r="C761" s="16" t="s">
        <v>1773</v>
      </c>
      <c r="D761" s="16" t="s">
        <v>184</v>
      </c>
      <c r="E761" s="16" t="s">
        <v>351</v>
      </c>
      <c r="F761" s="16" t="s">
        <v>255</v>
      </c>
      <c r="G761" s="16" t="s">
        <v>220</v>
      </c>
      <c r="H761" s="16" t="s">
        <v>220</v>
      </c>
    </row>
    <row r="762" ht="330.75" customHeight="1">
      <c r="A762" s="32" t="str">
        <f>IMAGE("https://gymvisual.com/12555-catalog_default/chin-tuck.jpg",4,500,500)</f>
        <v/>
      </c>
      <c r="B762" s="30">
        <v>1245.0</v>
      </c>
      <c r="C762" s="16" t="s">
        <v>1772</v>
      </c>
      <c r="D762" s="16" t="s">
        <v>184</v>
      </c>
      <c r="E762" s="16" t="s">
        <v>351</v>
      </c>
      <c r="F762" s="16" t="s">
        <v>255</v>
      </c>
      <c r="G762" s="16" t="s">
        <v>220</v>
      </c>
      <c r="H762" s="16" t="s">
        <v>220</v>
      </c>
    </row>
    <row r="763" ht="330.75" customHeight="1">
      <c r="A763" s="32" t="str">
        <f>IMAGE("https://gymvisual.com/12907-catalog_default/chest-tap-push-up-male.jpg",4,500,500)</f>
        <v/>
      </c>
      <c r="B763" s="30">
        <v>1244.0</v>
      </c>
      <c r="C763" s="16" t="s">
        <v>1770</v>
      </c>
      <c r="D763" s="16" t="s">
        <v>184</v>
      </c>
      <c r="E763" s="16" t="s">
        <v>234</v>
      </c>
      <c r="F763" s="16" t="s">
        <v>255</v>
      </c>
      <c r="G763" s="16" t="s">
        <v>235</v>
      </c>
      <c r="H763" s="16" t="s">
        <v>1771</v>
      </c>
    </row>
    <row r="764" ht="330.75" customHeight="1">
      <c r="A764" s="32" t="str">
        <f>IMAGE("https://gymvisual.com/23687-catalog_default/chest-out-hands-behind-hold-female.jpg",4,500,500)</f>
        <v/>
      </c>
      <c r="B764" s="30">
        <v>1243.0</v>
      </c>
      <c r="C764" s="16" t="s">
        <v>1769</v>
      </c>
      <c r="D764" s="16" t="s">
        <v>184</v>
      </c>
      <c r="E764" s="16" t="s">
        <v>234</v>
      </c>
      <c r="F764" s="16" t="s">
        <v>255</v>
      </c>
      <c r="G764" s="16" t="s">
        <v>472</v>
      </c>
      <c r="H764" s="16" t="s">
        <v>220</v>
      </c>
    </row>
    <row r="765" ht="330.75" customHeight="1">
      <c r="A765" s="32" t="str">
        <f>IMAGE("https://gymvisual.com/10237-catalog_default/chest-fly-arms-wrong-right.jpg",4,500,500)</f>
        <v/>
      </c>
      <c r="B765" s="30">
        <v>1242.0</v>
      </c>
      <c r="C765" s="16" t="s">
        <v>1768</v>
      </c>
      <c r="D765" s="16" t="s">
        <v>184</v>
      </c>
      <c r="E765" s="16" t="s">
        <v>234</v>
      </c>
      <c r="F765" s="16" t="s">
        <v>222</v>
      </c>
      <c r="G765" s="16" t="s">
        <v>220</v>
      </c>
      <c r="H765" s="16" t="s">
        <v>220</v>
      </c>
    </row>
    <row r="766" ht="330.75" customHeight="1">
      <c r="A766" s="32" t="str">
        <f>IMAGE("https://gymvisual.com/20666-catalog_default/chest-dip-on-straight-bar.jpg",4,500,500)</f>
        <v/>
      </c>
      <c r="B766" s="30">
        <v>1241.0</v>
      </c>
      <c r="C766" s="16" t="s">
        <v>1767</v>
      </c>
      <c r="D766" s="16" t="s">
        <v>184</v>
      </c>
      <c r="E766" s="16" t="s">
        <v>234</v>
      </c>
      <c r="F766" s="16" t="s">
        <v>255</v>
      </c>
      <c r="G766" s="16" t="s">
        <v>235</v>
      </c>
      <c r="H766" s="16" t="s">
        <v>243</v>
      </c>
    </row>
    <row r="767" ht="330.75" customHeight="1">
      <c r="A767" s="32" t="str">
        <f>IMAGE("https://gymvisual.com/6436-catalog_default/chest-dip-on-dip-pull-up-cage.jpg",4,500,500)</f>
        <v/>
      </c>
      <c r="B767" s="30">
        <v>1240.0</v>
      </c>
      <c r="C767" s="16" t="s">
        <v>1766</v>
      </c>
      <c r="D767" s="16" t="s">
        <v>184</v>
      </c>
      <c r="E767" s="16" t="s">
        <v>234</v>
      </c>
      <c r="F767" s="16" t="s">
        <v>255</v>
      </c>
      <c r="G767" s="16" t="s">
        <v>347</v>
      </c>
      <c r="H767" s="16" t="s">
        <v>1764</v>
      </c>
    </row>
    <row r="768" ht="330.75" customHeight="1">
      <c r="A768" s="32" t="str">
        <f>IMAGE("https://gymvisual.com/19383-catalog_default/chest-dip-female.jpg",4,500,500)</f>
        <v/>
      </c>
      <c r="B768" s="30">
        <v>1239.0</v>
      </c>
      <c r="C768" s="16" t="s">
        <v>1765</v>
      </c>
      <c r="D768" s="16" t="s">
        <v>184</v>
      </c>
      <c r="E768" s="16" t="s">
        <v>234</v>
      </c>
      <c r="F768" s="16" t="s">
        <v>255</v>
      </c>
      <c r="G768" s="16" t="s">
        <v>347</v>
      </c>
      <c r="H768" s="16" t="s">
        <v>1764</v>
      </c>
    </row>
    <row r="769" ht="330.75" customHeight="1">
      <c r="A769" s="32" t="str">
        <f>IMAGE("https://gymvisual.com/4493-catalog_default/chest-dip.jpg",4,500,500)</f>
        <v/>
      </c>
      <c r="B769" s="30">
        <v>1238.0</v>
      </c>
      <c r="C769" s="16" t="s">
        <v>1763</v>
      </c>
      <c r="D769" s="16" t="s">
        <v>184</v>
      </c>
      <c r="E769" s="16" t="s">
        <v>234</v>
      </c>
      <c r="F769" s="16" t="s">
        <v>255</v>
      </c>
      <c r="G769" s="16" t="s">
        <v>347</v>
      </c>
      <c r="H769" s="16" t="s">
        <v>1764</v>
      </c>
    </row>
    <row r="770" ht="330.75" customHeight="1">
      <c r="A770" s="32" t="str">
        <f>IMAGE("https://gymvisual.com/10180-catalog_default/chest-bench-press-shoulders-wrong-right.jpg",4,500,500)</f>
        <v/>
      </c>
      <c r="B770" s="30">
        <v>1237.0</v>
      </c>
      <c r="C770" s="16" t="s">
        <v>1762</v>
      </c>
      <c r="D770" s="16" t="s">
        <v>184</v>
      </c>
      <c r="E770" s="16" t="s">
        <v>234</v>
      </c>
      <c r="F770" s="16" t="s">
        <v>186</v>
      </c>
      <c r="G770" s="16" t="s">
        <v>220</v>
      </c>
      <c r="H770" s="16" t="s">
        <v>220</v>
      </c>
    </row>
    <row r="771" ht="330.75" customHeight="1">
      <c r="A771" s="32" t="str">
        <f>IMAGE("https://gymvisual.com/10178-catalog_default/chest-bench-press-grip-width-wrong-right.jpg",4,500,500)</f>
        <v/>
      </c>
      <c r="B771" s="30">
        <v>1236.0</v>
      </c>
      <c r="C771" s="16" t="s">
        <v>1761</v>
      </c>
      <c r="D771" s="16" t="s">
        <v>184</v>
      </c>
      <c r="E771" s="16" t="s">
        <v>234</v>
      </c>
      <c r="F771" s="16" t="s">
        <v>186</v>
      </c>
      <c r="G771" s="16" t="s">
        <v>220</v>
      </c>
      <c r="H771" s="16" t="s">
        <v>220</v>
      </c>
    </row>
    <row r="772" ht="330.75" customHeight="1">
      <c r="A772" s="32" t="str">
        <f>IMAGE("https://gymvisual.com/10172-catalog_default/chest-bench-press-forearms-wrong-right.jpg",4,500,500)</f>
        <v/>
      </c>
      <c r="B772" s="30">
        <v>1235.0</v>
      </c>
      <c r="C772" s="16" t="s">
        <v>1760</v>
      </c>
      <c r="D772" s="16" t="s">
        <v>184</v>
      </c>
      <c r="E772" s="16" t="s">
        <v>234</v>
      </c>
      <c r="F772" s="16" t="s">
        <v>186</v>
      </c>
      <c r="G772" s="16" t="s">
        <v>220</v>
      </c>
      <c r="H772" s="16" t="s">
        <v>220</v>
      </c>
    </row>
    <row r="773" ht="330.75" customHeight="1">
      <c r="A773" s="32" t="str">
        <f>IMAGE("https://gymvisual.com/10184-catalog_default/chest-bench-press-elbows-wrong-right.jpg",4,500,500)</f>
        <v/>
      </c>
      <c r="B773" s="30">
        <v>1234.0</v>
      </c>
      <c r="C773" s="16" t="s">
        <v>1759</v>
      </c>
      <c r="D773" s="16" t="s">
        <v>184</v>
      </c>
      <c r="E773" s="16" t="s">
        <v>234</v>
      </c>
      <c r="F773" s="16" t="s">
        <v>186</v>
      </c>
      <c r="G773" s="16" t="s">
        <v>220</v>
      </c>
      <c r="H773" s="16" t="s">
        <v>220</v>
      </c>
    </row>
    <row r="774" ht="330.75" customHeight="1">
      <c r="A774" s="32" t="str">
        <f>IMAGE("https://gymvisual.com/10176-catalog_default/chest-bench-press-butt-wrong-right.jpg",4,500,500)</f>
        <v/>
      </c>
      <c r="B774" s="30">
        <v>1233.0</v>
      </c>
      <c r="C774" s="16" t="s">
        <v>1758</v>
      </c>
      <c r="D774" s="16" t="s">
        <v>184</v>
      </c>
      <c r="E774" s="16" t="s">
        <v>234</v>
      </c>
      <c r="F774" s="16" t="s">
        <v>186</v>
      </c>
      <c r="G774" s="16" t="s">
        <v>220</v>
      </c>
      <c r="H774" s="16" t="s">
        <v>220</v>
      </c>
    </row>
    <row r="775" ht="330.75" customHeight="1">
      <c r="A775" s="32" t="str">
        <f>IMAGE("https://gymvisual.com/10182-catalog_default/chest-bench-press-arms-wrong-right.jpg",4,500,500)</f>
        <v/>
      </c>
      <c r="B775" s="30">
        <v>1232.0</v>
      </c>
      <c r="C775" s="16" t="s">
        <v>1757</v>
      </c>
      <c r="D775" s="16" t="s">
        <v>184</v>
      </c>
      <c r="E775" s="16" t="s">
        <v>234</v>
      </c>
      <c r="F775" s="16" t="s">
        <v>186</v>
      </c>
      <c r="G775" s="16" t="s">
        <v>220</v>
      </c>
      <c r="H775" s="16" t="s">
        <v>220</v>
      </c>
    </row>
    <row r="776" ht="330.75" customHeight="1">
      <c r="A776" s="32" t="str">
        <f>IMAGE("https://gymvisual.com/25063-catalog_default/cheat-curl.jpg",4,500,500)</f>
        <v/>
      </c>
      <c r="B776" s="30">
        <v>1231.0</v>
      </c>
      <c r="C776" s="16" t="s">
        <v>1756</v>
      </c>
      <c r="D776" s="16" t="s">
        <v>184</v>
      </c>
      <c r="E776" s="16" t="s">
        <v>219</v>
      </c>
      <c r="F776" s="16" t="s">
        <v>255</v>
      </c>
      <c r="G776" s="16" t="s">
        <v>220</v>
      </c>
      <c r="H776" s="16" t="s">
        <v>220</v>
      </c>
    </row>
    <row r="777" ht="330.75" customHeight="1">
      <c r="A777" s="32" t="str">
        <f>IMAGE("https://gymvisual.com/22177-catalog_default/captains-chair-straight-leg-raise-female.jpg",4,500,500)</f>
        <v/>
      </c>
      <c r="B777" s="30">
        <v>1230.0</v>
      </c>
      <c r="C777" s="16" t="s">
        <v>1755</v>
      </c>
      <c r="D777" s="16" t="s">
        <v>184</v>
      </c>
      <c r="E777" s="16" t="s">
        <v>254</v>
      </c>
      <c r="F777" s="16" t="s">
        <v>255</v>
      </c>
      <c r="G777" s="16" t="s">
        <v>305</v>
      </c>
      <c r="H777" s="16" t="s">
        <v>1306</v>
      </c>
    </row>
    <row r="778" ht="330.75" customHeight="1">
      <c r="A778" s="32" t="str">
        <f>IMAGE("https://gymvisual.com/12286-catalog_default/captains-chair-straight-leg-raise.jpg",4,500,500)</f>
        <v/>
      </c>
      <c r="B778" s="30">
        <v>1229.0</v>
      </c>
      <c r="C778" s="16" t="s">
        <v>1754</v>
      </c>
      <c r="D778" s="16" t="s">
        <v>184</v>
      </c>
      <c r="E778" s="16" t="s">
        <v>254</v>
      </c>
      <c r="F778" s="16" t="s">
        <v>255</v>
      </c>
      <c r="G778" s="16" t="s">
        <v>305</v>
      </c>
      <c r="H778" s="16" t="s">
        <v>319</v>
      </c>
    </row>
    <row r="779" ht="330.75" customHeight="1">
      <c r="A779" s="32" t="str">
        <f>IMAGE("https://gymvisual.com/22534-catalog_default/captains-chair-leg-raise.jpg",4,500,500)</f>
        <v/>
      </c>
      <c r="B779" s="30">
        <v>1228.0</v>
      </c>
      <c r="C779" s="16" t="s">
        <v>1753</v>
      </c>
      <c r="D779" s="16" t="s">
        <v>184</v>
      </c>
      <c r="E779" s="16" t="s">
        <v>185</v>
      </c>
      <c r="F779" s="16" t="s">
        <v>255</v>
      </c>
      <c r="G779" s="16" t="s">
        <v>220</v>
      </c>
      <c r="H779" s="16" t="s">
        <v>220</v>
      </c>
    </row>
    <row r="780" ht="330.75" customHeight="1">
      <c r="A780" s="32" t="str">
        <f>IMAGE("https://gymvisual.com/20517-catalog_default/cambered-bar-lying-row-female.jpg",4,500,500)</f>
        <v/>
      </c>
      <c r="B780" s="30">
        <v>1227.0</v>
      </c>
      <c r="C780" s="16" t="s">
        <v>1752</v>
      </c>
      <c r="D780" s="16" t="s">
        <v>184</v>
      </c>
      <c r="E780" s="16" t="s">
        <v>192</v>
      </c>
      <c r="F780" s="16" t="s">
        <v>186</v>
      </c>
      <c r="G780" s="16" t="s">
        <v>329</v>
      </c>
      <c r="H780" s="16" t="s">
        <v>447</v>
      </c>
    </row>
    <row r="781" ht="330.75" customHeight="1">
      <c r="A781" s="32" t="str">
        <f>IMAGE("https://gymvisual.com/766-catalog_default/cambered-bar-lying-row.jpg",4,500,500)</f>
        <v/>
      </c>
      <c r="B781" s="30">
        <v>1226.0</v>
      </c>
      <c r="C781" s="16" t="s">
        <v>1751</v>
      </c>
      <c r="D781" s="16" t="s">
        <v>184</v>
      </c>
      <c r="E781" s="16" t="s">
        <v>192</v>
      </c>
      <c r="F781" s="16" t="s">
        <v>186</v>
      </c>
      <c r="G781" s="16" t="s">
        <v>329</v>
      </c>
      <c r="H781" s="16" t="s">
        <v>457</v>
      </c>
    </row>
    <row r="782" ht="330.75" customHeight="1">
      <c r="A782" s="32" t="str">
        <f>IMAGE("https://gymvisual.com/13743-catalog_default/calf-raise-from-deficit-with-chair-supported.jpg",4,500,500)</f>
        <v/>
      </c>
      <c r="B782" s="30">
        <v>1225.0</v>
      </c>
      <c r="C782" s="16" t="s">
        <v>1750</v>
      </c>
      <c r="D782" s="16" t="s">
        <v>184</v>
      </c>
      <c r="E782" s="16" t="s">
        <v>325</v>
      </c>
      <c r="F782" s="16" t="s">
        <v>255</v>
      </c>
      <c r="G782" s="16" t="s">
        <v>368</v>
      </c>
      <c r="H782" s="16" t="s">
        <v>463</v>
      </c>
    </row>
    <row r="783" ht="330.75" customHeight="1">
      <c r="A783" s="32" t="str">
        <f>IMAGE("https://gymvisual.com/19381-catalog_default/cable-y-raise.jpg",4,500,500)</f>
        <v/>
      </c>
      <c r="B783" s="30">
        <v>1224.0</v>
      </c>
      <c r="C783" s="16" t="s">
        <v>1749</v>
      </c>
      <c r="D783" s="16" t="s">
        <v>184</v>
      </c>
      <c r="E783" s="16" t="s">
        <v>228</v>
      </c>
      <c r="F783" s="16" t="s">
        <v>215</v>
      </c>
      <c r="G783" s="16" t="s">
        <v>544</v>
      </c>
      <c r="H783" s="16" t="s">
        <v>220</v>
      </c>
    </row>
    <row r="784" ht="330.75" customHeight="1">
      <c r="A784" s="32" t="str">
        <f>IMAGE("https://gymvisual.com/763-catalog_default/cable-wrist-curl.jpg",4,500,500)</f>
        <v/>
      </c>
      <c r="B784" s="30">
        <v>1223.0</v>
      </c>
      <c r="C784" s="16" t="s">
        <v>1748</v>
      </c>
      <c r="D784" s="16" t="s">
        <v>184</v>
      </c>
      <c r="E784" s="16" t="s">
        <v>214</v>
      </c>
      <c r="F784" s="16" t="s">
        <v>215</v>
      </c>
      <c r="G784" s="16" t="s">
        <v>720</v>
      </c>
      <c r="H784" s="16" t="s">
        <v>220</v>
      </c>
    </row>
    <row r="785" ht="330.75" customHeight="1">
      <c r="A785" s="32" t="str">
        <f>IMAGE("https://gymvisual.com/9733-catalog_default/cable-wide-grip-lat-pulldown-female.jpg",4,500,500)</f>
        <v/>
      </c>
      <c r="B785" s="30">
        <v>1222.0</v>
      </c>
      <c r="C785" s="16" t="s">
        <v>1746</v>
      </c>
      <c r="D785" s="16" t="s">
        <v>184</v>
      </c>
      <c r="E785" s="16" t="s">
        <v>192</v>
      </c>
      <c r="F785" s="16" t="s">
        <v>215</v>
      </c>
      <c r="G785" s="16" t="s">
        <v>300</v>
      </c>
      <c r="H785" s="16" t="s">
        <v>1747</v>
      </c>
    </row>
    <row r="786" ht="330.75" customHeight="1">
      <c r="A786" s="32" t="str">
        <f>IMAGE("https://gymvisual.com/24471-catalog_default/cable-wide-pulldown.jpg",4,500,500)</f>
        <v/>
      </c>
      <c r="B786" s="30">
        <v>1221.0</v>
      </c>
      <c r="C786" s="16" t="s">
        <v>1745</v>
      </c>
      <c r="D786" s="16" t="s">
        <v>184</v>
      </c>
      <c r="E786" s="16" t="s">
        <v>192</v>
      </c>
      <c r="F786" s="16" t="s">
        <v>215</v>
      </c>
      <c r="G786" s="16" t="s">
        <v>300</v>
      </c>
      <c r="H786" s="16" t="s">
        <v>387</v>
      </c>
    </row>
    <row r="787" ht="330.75" customHeight="1">
      <c r="A787" s="32" t="str">
        <f>IMAGE("https://gymvisual.com/18067-catalog_default/cable-wide-neutral-grip-pulldown.jpg",4,500,500)</f>
        <v/>
      </c>
      <c r="B787" s="30">
        <v>1220.0</v>
      </c>
      <c r="C787" s="16" t="s">
        <v>1744</v>
      </c>
      <c r="D787" s="16" t="s">
        <v>184</v>
      </c>
      <c r="E787" s="16" t="s">
        <v>192</v>
      </c>
      <c r="F787" s="16" t="s">
        <v>215</v>
      </c>
      <c r="G787" s="16" t="s">
        <v>220</v>
      </c>
      <c r="H787" s="16" t="s">
        <v>220</v>
      </c>
    </row>
    <row r="788" ht="330.75" customHeight="1">
      <c r="A788" s="32" t="str">
        <f>IMAGE("https://gymvisual.com/11191-catalog_default/cable-wide-grip-rear-pulldown-behind-neck-female.jpg",4,500,500)</f>
        <v/>
      </c>
      <c r="B788" s="30">
        <v>1219.0</v>
      </c>
      <c r="C788" s="16" t="s">
        <v>1743</v>
      </c>
      <c r="D788" s="16" t="s">
        <v>184</v>
      </c>
      <c r="E788" s="16" t="s">
        <v>192</v>
      </c>
      <c r="F788" s="16" t="s">
        <v>215</v>
      </c>
      <c r="G788" s="16" t="s">
        <v>220</v>
      </c>
      <c r="H788" s="16" t="s">
        <v>220</v>
      </c>
    </row>
    <row r="789" ht="330.75" customHeight="1">
      <c r="A789" s="32" t="str">
        <f>IMAGE("https://gymvisual.com/24519-catalog_default/cable-wide-grip-behind-neck-pulldown.jpg",4,500,500)</f>
        <v/>
      </c>
      <c r="B789" s="30">
        <v>1218.0</v>
      </c>
      <c r="C789" s="16" t="s">
        <v>1741</v>
      </c>
      <c r="D789" s="16" t="s">
        <v>184</v>
      </c>
      <c r="E789" s="16" t="s">
        <v>192</v>
      </c>
      <c r="F789" s="16" t="s">
        <v>215</v>
      </c>
      <c r="G789" s="16" t="s">
        <v>300</v>
      </c>
      <c r="H789" s="16" t="s">
        <v>1742</v>
      </c>
    </row>
    <row r="790" ht="330.75" customHeight="1">
      <c r="A790" s="32" t="str">
        <f>IMAGE("https://gymvisual.com/4581-catalog_default/cable-vertical-pallof-press.jpg",4,500,500)</f>
        <v/>
      </c>
      <c r="B790" s="30">
        <v>1217.0</v>
      </c>
      <c r="C790" s="16" t="s">
        <v>1740</v>
      </c>
      <c r="D790" s="16" t="s">
        <v>184</v>
      </c>
      <c r="E790" s="16" t="s">
        <v>254</v>
      </c>
      <c r="F790" s="16" t="s">
        <v>215</v>
      </c>
      <c r="G790" s="16" t="s">
        <v>257</v>
      </c>
      <c r="H790" s="16" t="s">
        <v>220</v>
      </c>
    </row>
    <row r="791" ht="330.75" customHeight="1">
      <c r="A791" s="32" t="str">
        <f>IMAGE("https://gymvisual.com/22552-catalog_default/cable-upright-row-female.jpg",4,500,500)</f>
        <v/>
      </c>
      <c r="B791" s="30">
        <v>1216.0</v>
      </c>
      <c r="C791" s="16" t="s">
        <v>1739</v>
      </c>
      <c r="D791" s="16" t="s">
        <v>184</v>
      </c>
      <c r="E791" s="16" t="s">
        <v>228</v>
      </c>
      <c r="F791" s="16" t="s">
        <v>215</v>
      </c>
      <c r="G791" s="16" t="s">
        <v>544</v>
      </c>
      <c r="H791" s="16" t="s">
        <v>713</v>
      </c>
    </row>
    <row r="792" ht="330.75" customHeight="1">
      <c r="A792" s="32" t="str">
        <f>IMAGE("https://gymvisual.com/24818-catalog_default/cable-upright-row.jpg",4,500,500)</f>
        <v/>
      </c>
      <c r="B792" s="30">
        <v>1215.0</v>
      </c>
      <c r="C792" s="16" t="s">
        <v>1738</v>
      </c>
      <c r="D792" s="16" t="s">
        <v>184</v>
      </c>
      <c r="E792" s="16" t="s">
        <v>228</v>
      </c>
      <c r="F792" s="16" t="s">
        <v>215</v>
      </c>
      <c r="G792" s="16" t="s">
        <v>544</v>
      </c>
      <c r="H792" s="16" t="s">
        <v>1151</v>
      </c>
    </row>
    <row r="793" ht="330.75" customHeight="1">
      <c r="A793" s="32" t="str">
        <f>IMAGE("https://gymvisual.com/6015-catalog_default/cable-upper-row.jpg",4,500,500)</f>
        <v/>
      </c>
      <c r="B793" s="30">
        <v>1214.0</v>
      </c>
      <c r="C793" s="16" t="s">
        <v>1737</v>
      </c>
      <c r="D793" s="16" t="s">
        <v>184</v>
      </c>
      <c r="E793" s="16" t="s">
        <v>192</v>
      </c>
      <c r="F793" s="16" t="s">
        <v>215</v>
      </c>
      <c r="G793" s="16" t="s">
        <v>329</v>
      </c>
      <c r="H793" s="16" t="s">
        <v>457</v>
      </c>
    </row>
    <row r="794" ht="330.75" customHeight="1">
      <c r="A794" s="32" t="str">
        <f>IMAGE("https://gymvisual.com/10951-catalog_default/cable-upper-chest-crossovers-female.jpg",4,500,500)</f>
        <v/>
      </c>
      <c r="B794" s="30">
        <v>1213.0</v>
      </c>
      <c r="C794" s="16" t="s">
        <v>1736</v>
      </c>
      <c r="D794" s="16" t="s">
        <v>184</v>
      </c>
      <c r="E794" s="16" t="s">
        <v>234</v>
      </c>
      <c r="F794" s="16" t="s">
        <v>215</v>
      </c>
      <c r="G794" s="16" t="s">
        <v>220</v>
      </c>
      <c r="H794" s="16" t="s">
        <v>220</v>
      </c>
    </row>
    <row r="795" ht="330.75" customHeight="1">
      <c r="A795" s="32" t="str">
        <f>IMAGE("https://gymvisual.com/5959-catalog_default/cable-upper-chest-crossovers.jpg",4,500,500)</f>
        <v/>
      </c>
      <c r="B795" s="30">
        <v>1212.0</v>
      </c>
      <c r="C795" s="16" t="s">
        <v>1735</v>
      </c>
      <c r="D795" s="16" t="s">
        <v>184</v>
      </c>
      <c r="E795" s="16" t="s">
        <v>234</v>
      </c>
      <c r="F795" s="16" t="s">
        <v>215</v>
      </c>
      <c r="G795" s="16" t="s">
        <v>415</v>
      </c>
      <c r="H795" s="16" t="s">
        <v>236</v>
      </c>
    </row>
    <row r="796" ht="330.75" customHeight="1">
      <c r="A796" s="32" t="str">
        <f>IMAGE("https://gymvisual.com/22361-catalog_default/cable-unilateral-bicep-curl.jpg",4,500,500)</f>
        <v/>
      </c>
      <c r="B796" s="30">
        <v>1211.0</v>
      </c>
      <c r="C796" s="16" t="s">
        <v>1734</v>
      </c>
      <c r="D796" s="16" t="s">
        <v>184</v>
      </c>
      <c r="E796" s="16" t="s">
        <v>219</v>
      </c>
      <c r="F796" s="16" t="s">
        <v>215</v>
      </c>
      <c r="G796" s="16" t="s">
        <v>220</v>
      </c>
      <c r="H796" s="16" t="s">
        <v>220</v>
      </c>
    </row>
    <row r="797" ht="330.75" customHeight="1">
      <c r="A797" s="32" t="str">
        <f>IMAGE("https://gymvisual.com/2586-catalog_default/cable-underhand-pulldown.jpg",4,500,500)</f>
        <v/>
      </c>
      <c r="B797" s="30">
        <v>1210.0</v>
      </c>
      <c r="C797" s="16" t="s">
        <v>1732</v>
      </c>
      <c r="D797" s="16" t="s">
        <v>184</v>
      </c>
      <c r="E797" s="16" t="s">
        <v>192</v>
      </c>
      <c r="F797" s="16" t="s">
        <v>215</v>
      </c>
      <c r="G797" s="16" t="s">
        <v>300</v>
      </c>
      <c r="H797" s="16" t="s">
        <v>1733</v>
      </c>
    </row>
    <row r="798" ht="330.75" customHeight="1">
      <c r="A798" s="32" t="str">
        <f>IMAGE("https://gymvisual.com/13409-catalog_default/cable-two-arm-tricep-kickback-female.jpg",4,500,500)</f>
        <v/>
      </c>
      <c r="B798" s="30">
        <v>1209.0</v>
      </c>
      <c r="C798" s="16" t="s">
        <v>1731</v>
      </c>
      <c r="D798" s="16" t="s">
        <v>184</v>
      </c>
      <c r="E798" s="16" t="s">
        <v>219</v>
      </c>
      <c r="F798" s="16" t="s">
        <v>215</v>
      </c>
      <c r="G798" s="16" t="s">
        <v>220</v>
      </c>
      <c r="H798" s="16" t="s">
        <v>220</v>
      </c>
    </row>
    <row r="799" ht="330.75" customHeight="1">
      <c r="A799" s="32" t="str">
        <f>IMAGE("https://gymvisual.com/7447-catalog_default/cable-two-arm-tricep-kickback.jpg",4,500,500)</f>
        <v/>
      </c>
      <c r="B799" s="30">
        <v>1208.0</v>
      </c>
      <c r="C799" s="16" t="s">
        <v>1730</v>
      </c>
      <c r="D799" s="16" t="s">
        <v>184</v>
      </c>
      <c r="E799" s="16" t="s">
        <v>219</v>
      </c>
      <c r="F799" s="16" t="s">
        <v>215</v>
      </c>
      <c r="G799" s="16" t="s">
        <v>220</v>
      </c>
      <c r="H799" s="16" t="s">
        <v>220</v>
      </c>
    </row>
    <row r="800" ht="330.75" customHeight="1">
      <c r="A800" s="32" t="str">
        <f>IMAGE("https://gymvisual.com/7119-catalog_default/cable-two-arm-curl-on-incline-bench.jpg",4,500,500)</f>
        <v/>
      </c>
      <c r="B800" s="30">
        <v>1207.0</v>
      </c>
      <c r="C800" s="16" t="s">
        <v>1729</v>
      </c>
      <c r="D800" s="16" t="s">
        <v>184</v>
      </c>
      <c r="E800" s="16" t="s">
        <v>219</v>
      </c>
      <c r="F800" s="16" t="s">
        <v>215</v>
      </c>
      <c r="G800" s="16" t="s">
        <v>220</v>
      </c>
      <c r="H800" s="16" t="s">
        <v>220</v>
      </c>
    </row>
    <row r="801" ht="330.75" customHeight="1">
      <c r="A801" s="32" t="str">
        <f>IMAGE("https://gymvisual.com/4580-catalog_default/cable-twisting-standing-row.jpg",4,500,500)</f>
        <v/>
      </c>
      <c r="B801" s="30">
        <v>1206.0</v>
      </c>
      <c r="C801" s="16" t="s">
        <v>1727</v>
      </c>
      <c r="D801" s="16" t="s">
        <v>184</v>
      </c>
      <c r="E801" s="16" t="s">
        <v>192</v>
      </c>
      <c r="F801" s="16" t="s">
        <v>215</v>
      </c>
      <c r="G801" s="16" t="s">
        <v>329</v>
      </c>
      <c r="H801" s="16" t="s">
        <v>1728</v>
      </c>
    </row>
    <row r="802" ht="330.75" customHeight="1">
      <c r="A802" s="32" t="str">
        <f>IMAGE("https://gymvisual.com/4579-catalog_default/cable-twisting-standing-one-arm-chest-press.jpg",4,500,500)</f>
        <v/>
      </c>
      <c r="B802" s="30">
        <v>1205.0</v>
      </c>
      <c r="C802" s="16" t="s">
        <v>1725</v>
      </c>
      <c r="D802" s="16" t="s">
        <v>184</v>
      </c>
      <c r="E802" s="16" t="s">
        <v>234</v>
      </c>
      <c r="F802" s="16" t="s">
        <v>215</v>
      </c>
      <c r="G802" s="16" t="s">
        <v>347</v>
      </c>
      <c r="H802" s="16" t="s">
        <v>1726</v>
      </c>
    </row>
    <row r="803" ht="330.75" customHeight="1">
      <c r="A803" s="32" t="str">
        <f>IMAGE("https://gymvisual.com/4578-catalog_default/cable-twisting-standing-high-row.jpg",4,500,500)</f>
        <v/>
      </c>
      <c r="B803" s="30">
        <v>1204.0</v>
      </c>
      <c r="C803" s="16" t="s">
        <v>1723</v>
      </c>
      <c r="D803" s="16" t="s">
        <v>184</v>
      </c>
      <c r="E803" s="16" t="s">
        <v>192</v>
      </c>
      <c r="F803" s="16" t="s">
        <v>215</v>
      </c>
      <c r="G803" s="16" t="s">
        <v>329</v>
      </c>
      <c r="H803" s="16" t="s">
        <v>1724</v>
      </c>
    </row>
    <row r="804" ht="330.75" customHeight="1">
      <c r="A804" s="32" t="str">
        <f>IMAGE("https://gymvisual.com/754-catalog_default/cable-twisting-pull.jpg",4,500,500)</f>
        <v/>
      </c>
      <c r="B804" s="30">
        <v>1203.0</v>
      </c>
      <c r="C804" s="16" t="s">
        <v>1721</v>
      </c>
      <c r="D804" s="16" t="s">
        <v>184</v>
      </c>
      <c r="E804" s="16" t="s">
        <v>192</v>
      </c>
      <c r="F804" s="16" t="s">
        <v>215</v>
      </c>
      <c r="G804" s="16" t="s">
        <v>300</v>
      </c>
      <c r="H804" s="16" t="s">
        <v>1722</v>
      </c>
    </row>
    <row r="805" ht="330.75" customHeight="1">
      <c r="A805" s="32" t="str">
        <f>IMAGE("https://gymvisual.com/11185-catalog_default/cable-twisting-overhead-press-female.jpg",4,500,500)</f>
        <v/>
      </c>
      <c r="B805" s="30">
        <v>1202.0</v>
      </c>
      <c r="C805" s="16" t="s">
        <v>1719</v>
      </c>
      <c r="D805" s="16" t="s">
        <v>184</v>
      </c>
      <c r="E805" s="16" t="s">
        <v>1720</v>
      </c>
      <c r="F805" s="16" t="s">
        <v>215</v>
      </c>
      <c r="G805" s="16" t="s">
        <v>220</v>
      </c>
      <c r="H805" s="16" t="s">
        <v>220</v>
      </c>
    </row>
    <row r="806" ht="330.75" customHeight="1">
      <c r="A806" s="32" t="str">
        <f>IMAGE("https://gymvisual.com/4577-catalog_default/cable-twisting-overhead-press.jpg",4,500,500)</f>
        <v/>
      </c>
      <c r="B806" s="30">
        <v>1201.0</v>
      </c>
      <c r="C806" s="16" t="s">
        <v>1717</v>
      </c>
      <c r="D806" s="16" t="s">
        <v>184</v>
      </c>
      <c r="E806" s="16" t="s">
        <v>228</v>
      </c>
      <c r="F806" s="16" t="s">
        <v>215</v>
      </c>
      <c r="G806" s="16" t="s">
        <v>229</v>
      </c>
      <c r="H806" s="16" t="s">
        <v>1718</v>
      </c>
    </row>
    <row r="807" ht="330.75" customHeight="1">
      <c r="A807" s="32" t="str">
        <f>IMAGE("https://gymvisual.com/22536-catalog_default/cable-twist-version-2-male.jpg",4,500,500)</f>
        <v/>
      </c>
      <c r="B807" s="30">
        <v>1200.0</v>
      </c>
      <c r="C807" s="16" t="s">
        <v>1716</v>
      </c>
      <c r="D807" s="16" t="s">
        <v>184</v>
      </c>
      <c r="E807" s="16" t="s">
        <v>254</v>
      </c>
      <c r="F807" s="16" t="s">
        <v>215</v>
      </c>
      <c r="G807" s="16" t="s">
        <v>220</v>
      </c>
      <c r="H807" s="16" t="s">
        <v>220</v>
      </c>
    </row>
    <row r="808" ht="330.75" customHeight="1">
      <c r="A808" s="32" t="str">
        <f>IMAGE("https://gymvisual.com/4100-catalog_default/cable-twist-version-2.jpg",4,500,500)</f>
        <v/>
      </c>
      <c r="B808" s="30">
        <v>1199.0</v>
      </c>
      <c r="C808" s="16" t="s">
        <v>1714</v>
      </c>
      <c r="D808" s="16" t="s">
        <v>184</v>
      </c>
      <c r="E808" s="16" t="s">
        <v>254</v>
      </c>
      <c r="F808" s="16" t="s">
        <v>215</v>
      </c>
      <c r="G808" s="16" t="s">
        <v>257</v>
      </c>
      <c r="H808" s="16" t="s">
        <v>1715</v>
      </c>
    </row>
    <row r="809" ht="330.75" customHeight="1">
      <c r="A809" s="32" t="str">
        <f>IMAGE("https://gymvisual.com/2625-catalog_default/cable-twist-up-down.jpg",4,500,500)</f>
        <v/>
      </c>
      <c r="B809" s="30">
        <v>1198.0</v>
      </c>
      <c r="C809" s="16" t="s">
        <v>1712</v>
      </c>
      <c r="D809" s="16" t="s">
        <v>184</v>
      </c>
      <c r="E809" s="16" t="s">
        <v>254</v>
      </c>
      <c r="F809" s="16" t="s">
        <v>215</v>
      </c>
      <c r="G809" s="16" t="s">
        <v>257</v>
      </c>
      <c r="H809" s="16" t="s">
        <v>1713</v>
      </c>
    </row>
    <row r="810" ht="330.75" customHeight="1">
      <c r="A810" s="32" t="str">
        <f>IMAGE("https://gymvisual.com/4576-catalog_default/cable-twist-up-down-version-2.jpg",4,500,500)</f>
        <v/>
      </c>
      <c r="B810" s="30">
        <v>1197.0</v>
      </c>
      <c r="C810" s="16" t="s">
        <v>1711</v>
      </c>
      <c r="D810" s="16" t="s">
        <v>184</v>
      </c>
      <c r="E810" s="16" t="s">
        <v>254</v>
      </c>
      <c r="F810" s="16" t="s">
        <v>215</v>
      </c>
      <c r="G810" s="16" t="s">
        <v>257</v>
      </c>
      <c r="H810" s="16" t="s">
        <v>695</v>
      </c>
    </row>
    <row r="811" ht="330.75" customHeight="1">
      <c r="A811" s="32" t="str">
        <f>IMAGE("https://gymvisual.com/10978-catalog_default/cable-twist-female.jpg",4,500,500)</f>
        <v/>
      </c>
      <c r="B811" s="30">
        <v>1196.0</v>
      </c>
      <c r="C811" s="16" t="s">
        <v>1710</v>
      </c>
      <c r="D811" s="16" t="s">
        <v>184</v>
      </c>
      <c r="E811" s="16" t="s">
        <v>254</v>
      </c>
      <c r="F811" s="16" t="s">
        <v>215</v>
      </c>
      <c r="G811" s="16" t="s">
        <v>257</v>
      </c>
      <c r="H811" s="16" t="s">
        <v>271</v>
      </c>
    </row>
    <row r="812" ht="330.75" customHeight="1">
      <c r="A812" s="32" t="str">
        <f>IMAGE("https://gymvisual.com/4575-catalog_default/cable-twist-down-up.jpg",4,500,500)</f>
        <v/>
      </c>
      <c r="B812" s="30">
        <v>1195.0</v>
      </c>
      <c r="C812" s="16" t="s">
        <v>1708</v>
      </c>
      <c r="D812" s="16" t="s">
        <v>184</v>
      </c>
      <c r="E812" s="16" t="s">
        <v>254</v>
      </c>
      <c r="F812" s="16" t="s">
        <v>215</v>
      </c>
      <c r="G812" s="16" t="s">
        <v>257</v>
      </c>
      <c r="H812" s="16" t="s">
        <v>1709</v>
      </c>
    </row>
    <row r="813" ht="330.75" customHeight="1">
      <c r="A813" s="32" t="str">
        <f>IMAGE("https://gymvisual.com/751-catalog_default/cable-twist.jpg",4,500,500)</f>
        <v/>
      </c>
      <c r="B813" s="30">
        <v>1194.0</v>
      </c>
      <c r="C813" s="16" t="s">
        <v>1706</v>
      </c>
      <c r="D813" s="16" t="s">
        <v>184</v>
      </c>
      <c r="E813" s="16" t="s">
        <v>254</v>
      </c>
      <c r="F813" s="16" t="s">
        <v>215</v>
      </c>
      <c r="G813" s="16" t="s">
        <v>257</v>
      </c>
      <c r="H813" s="16" t="s">
        <v>1707</v>
      </c>
    </row>
    <row r="814" ht="330.75" customHeight="1">
      <c r="A814" s="32" t="str">
        <f>IMAGE("https://gymvisual.com/748-catalog_default/cable-tuck-reverse-crunch.jpg",4,500,500)</f>
        <v/>
      </c>
      <c r="B814" s="30">
        <v>1193.0</v>
      </c>
      <c r="C814" s="16" t="s">
        <v>1705</v>
      </c>
      <c r="D814" s="16" t="s">
        <v>184</v>
      </c>
      <c r="E814" s="16" t="s">
        <v>254</v>
      </c>
      <c r="F814" s="16" t="s">
        <v>215</v>
      </c>
      <c r="G814" s="16" t="s">
        <v>305</v>
      </c>
      <c r="H814" s="16" t="s">
        <v>524</v>
      </c>
    </row>
    <row r="815" ht="330.75" customHeight="1">
      <c r="A815" s="32" t="str">
        <f>IMAGE("https://gymvisual.com/17187-catalog_default/cable-triceps-pushdown-on-floor.jpg",4,500,500)</f>
        <v/>
      </c>
      <c r="B815" s="30">
        <v>1192.0</v>
      </c>
      <c r="C815" s="16" t="s">
        <v>1704</v>
      </c>
      <c r="D815" s="16" t="s">
        <v>184</v>
      </c>
      <c r="E815" s="16" t="s">
        <v>219</v>
      </c>
      <c r="F815" s="16" t="s">
        <v>215</v>
      </c>
      <c r="G815" s="16" t="s">
        <v>223</v>
      </c>
      <c r="H815" s="16" t="s">
        <v>220</v>
      </c>
    </row>
    <row r="816" ht="330.75" customHeight="1">
      <c r="A816" s="32" t="str">
        <f>IMAGE("https://gymvisual.com/10458-catalog_default/cable-triceps-pushdown-v-bar-with-arm-blaster.jpg",4,500,500)</f>
        <v/>
      </c>
      <c r="B816" s="30">
        <v>1191.0</v>
      </c>
      <c r="C816" s="16" t="s">
        <v>1703</v>
      </c>
      <c r="D816" s="16" t="s">
        <v>184</v>
      </c>
      <c r="E816" s="16" t="s">
        <v>219</v>
      </c>
      <c r="F816" s="16" t="s">
        <v>215</v>
      </c>
      <c r="G816" s="16" t="s">
        <v>223</v>
      </c>
      <c r="H816" s="16" t="s">
        <v>220</v>
      </c>
    </row>
    <row r="817" ht="330.75" customHeight="1">
      <c r="A817" s="32" t="str">
        <f>IMAGE("https://gymvisual.com/18876-catalog_default/cable-triceps-pushdown-v-bar-version-2.jpg",4,500,500)</f>
        <v/>
      </c>
      <c r="B817" s="30">
        <v>1190.0</v>
      </c>
      <c r="C817" s="16" t="s">
        <v>1702</v>
      </c>
      <c r="D817" s="16" t="s">
        <v>184</v>
      </c>
      <c r="E817" s="16" t="s">
        <v>219</v>
      </c>
      <c r="F817" s="16" t="s">
        <v>215</v>
      </c>
      <c r="G817" s="16" t="s">
        <v>223</v>
      </c>
      <c r="H817" s="16" t="s">
        <v>220</v>
      </c>
    </row>
    <row r="818" ht="330.75" customHeight="1">
      <c r="A818" s="32" t="str">
        <f>IMAGE("https://gymvisual.com/745-catalog_default/cable-triceps-pushdown-v-bar.jpg",4,500,500)</f>
        <v/>
      </c>
      <c r="B818" s="30">
        <v>1189.0</v>
      </c>
      <c r="C818" s="16" t="s">
        <v>1701</v>
      </c>
      <c r="D818" s="16" t="s">
        <v>184</v>
      </c>
      <c r="E818" s="16" t="s">
        <v>219</v>
      </c>
      <c r="F818" s="16" t="s">
        <v>215</v>
      </c>
      <c r="G818" s="16" t="s">
        <v>223</v>
      </c>
      <c r="H818" s="16" t="s">
        <v>220</v>
      </c>
    </row>
    <row r="819" ht="330.75" customHeight="1">
      <c r="A819" s="32" t="str">
        <f>IMAGE("https://gymvisual.com/9661-catalog_default/cable-triceps-pushdown-v-bar-female.jpg",4,500,500)</f>
        <v/>
      </c>
      <c r="B819" s="30">
        <v>1188.0</v>
      </c>
      <c r="C819" s="16" t="s">
        <v>1700</v>
      </c>
      <c r="D819" s="16" t="s">
        <v>184</v>
      </c>
      <c r="E819" s="16" t="s">
        <v>219</v>
      </c>
      <c r="F819" s="16" t="s">
        <v>215</v>
      </c>
      <c r="G819" s="16" t="s">
        <v>223</v>
      </c>
      <c r="H819" s="16" t="s">
        <v>220</v>
      </c>
    </row>
    <row r="820" ht="330.75" customHeight="1">
      <c r="A820" s="32" t="str">
        <f>IMAGE("https://gymvisual.com/6946-catalog_default/cable-triceps-pushdown-sz-bar.jpg",4,500,500)</f>
        <v/>
      </c>
      <c r="B820" s="30">
        <v>1187.0</v>
      </c>
      <c r="C820" s="16" t="s">
        <v>1699</v>
      </c>
      <c r="D820" s="16" t="s">
        <v>184</v>
      </c>
      <c r="E820" s="16" t="s">
        <v>219</v>
      </c>
      <c r="F820" s="16" t="s">
        <v>215</v>
      </c>
      <c r="G820" s="16" t="s">
        <v>223</v>
      </c>
      <c r="H820" s="16" t="s">
        <v>220</v>
      </c>
    </row>
    <row r="821" ht="330.75" customHeight="1">
      <c r="A821" s="32" t="str">
        <f>IMAGE("https://gymvisual.com/10571-catalog_default/cable-thibaudeau-kayak-row.jpg",4,500,500)</f>
        <v/>
      </c>
      <c r="B821" s="30">
        <v>1186.0</v>
      </c>
      <c r="C821" s="16" t="s">
        <v>1696</v>
      </c>
      <c r="D821" s="16" t="s">
        <v>184</v>
      </c>
      <c r="E821" s="16" t="s">
        <v>361</v>
      </c>
      <c r="F821" s="16" t="s">
        <v>215</v>
      </c>
      <c r="G821" s="16" t="s">
        <v>1697</v>
      </c>
      <c r="H821" s="16" t="s">
        <v>1698</v>
      </c>
    </row>
    <row r="822" ht="330.75" customHeight="1">
      <c r="A822" s="32" t="str">
        <f>IMAGE("https://gymvisual.com/18892-catalog_default/cable-supine-reverse-fly.jpg",4,500,500)</f>
        <v/>
      </c>
      <c r="B822" s="30">
        <v>1185.0</v>
      </c>
      <c r="C822" s="16" t="s">
        <v>1694</v>
      </c>
      <c r="D822" s="16" t="s">
        <v>184</v>
      </c>
      <c r="E822" s="16" t="s">
        <v>228</v>
      </c>
      <c r="F822" s="16" t="s">
        <v>215</v>
      </c>
      <c r="G822" s="16" t="s">
        <v>408</v>
      </c>
      <c r="H822" s="16" t="s">
        <v>1695</v>
      </c>
    </row>
    <row r="823" ht="330.75" customHeight="1">
      <c r="A823" s="32" t="str">
        <f>IMAGE("https://gymvisual.com/10151-catalog_default/cable-straight-legs-pull-through-with-rope-female.jpg",4,500,500)</f>
        <v/>
      </c>
      <c r="B823" s="30">
        <v>1184.0</v>
      </c>
      <c r="C823" s="16" t="s">
        <v>1693</v>
      </c>
      <c r="D823" s="16" t="s">
        <v>184</v>
      </c>
      <c r="E823" s="16" t="s">
        <v>185</v>
      </c>
      <c r="F823" s="16" t="s">
        <v>215</v>
      </c>
      <c r="G823" s="16" t="s">
        <v>187</v>
      </c>
      <c r="H823" s="16" t="s">
        <v>188</v>
      </c>
    </row>
    <row r="824" ht="330.75" customHeight="1">
      <c r="A824" s="32" t="str">
        <f>IMAGE("https://gymvisual.com/13407-catalog_default/cable-straight-back-seated-row-female.jpg",4,500,500)</f>
        <v/>
      </c>
      <c r="B824" s="30">
        <v>1183.0</v>
      </c>
      <c r="C824" s="16" t="s">
        <v>1692</v>
      </c>
      <c r="D824" s="16" t="s">
        <v>184</v>
      </c>
      <c r="E824" s="16" t="s">
        <v>192</v>
      </c>
      <c r="F824" s="16" t="s">
        <v>215</v>
      </c>
      <c r="G824" s="16" t="s">
        <v>570</v>
      </c>
      <c r="H824" s="16" t="s">
        <v>447</v>
      </c>
    </row>
    <row r="825" ht="330.75" customHeight="1">
      <c r="A825" s="32" t="str">
        <f>IMAGE("https://gymvisual.com/7321-catalog_default/cable-straight-back-seated-row.jpg",4,500,500)</f>
        <v/>
      </c>
      <c r="B825" s="30">
        <v>1182.0</v>
      </c>
      <c r="C825" s="16" t="s">
        <v>1691</v>
      </c>
      <c r="D825" s="16" t="s">
        <v>184</v>
      </c>
      <c r="E825" s="16" t="s">
        <v>192</v>
      </c>
      <c r="F825" s="16" t="s">
        <v>215</v>
      </c>
      <c r="G825" s="16" t="s">
        <v>329</v>
      </c>
      <c r="H825" s="16" t="s">
        <v>457</v>
      </c>
    </row>
    <row r="826" ht="330.75" customHeight="1">
      <c r="A826" s="32" t="str">
        <f>IMAGE("https://gymvisual.com/16054-catalog_default/cable-straight-arm-pulldown-with-rope.jpg",4,500,500)</f>
        <v/>
      </c>
      <c r="B826" s="30">
        <v>1181.0</v>
      </c>
      <c r="C826" s="16" t="s">
        <v>1690</v>
      </c>
      <c r="D826" s="16" t="s">
        <v>184</v>
      </c>
      <c r="E826" s="16" t="s">
        <v>192</v>
      </c>
      <c r="F826" s="16" t="s">
        <v>215</v>
      </c>
      <c r="G826" s="16" t="s">
        <v>300</v>
      </c>
      <c r="H826" s="16" t="s">
        <v>1507</v>
      </c>
    </row>
    <row r="827" ht="330.75" customHeight="1">
      <c r="A827" s="32" t="str">
        <f>IMAGE("https://gymvisual.com/4094-catalog_default/cable-straight-arm-pulldown-version-2.jpg",4,500,500)</f>
        <v/>
      </c>
      <c r="B827" s="30">
        <v>1180.0</v>
      </c>
      <c r="C827" s="16" t="s">
        <v>1689</v>
      </c>
      <c r="D827" s="16" t="s">
        <v>184</v>
      </c>
      <c r="E827" s="16" t="s">
        <v>192</v>
      </c>
      <c r="F827" s="16" t="s">
        <v>215</v>
      </c>
      <c r="G827" s="16" t="s">
        <v>300</v>
      </c>
      <c r="H827" s="16" t="s">
        <v>687</v>
      </c>
    </row>
    <row r="828" ht="330.75" customHeight="1">
      <c r="A828" s="32" t="str">
        <f>IMAGE("https://gymvisual.com/736-catalog_default/cable-straight-arm-pulldown.jpg",4,500,500)</f>
        <v/>
      </c>
      <c r="B828" s="30">
        <v>1179.0</v>
      </c>
      <c r="C828" s="16" t="s">
        <v>1688</v>
      </c>
      <c r="D828" s="16" t="s">
        <v>184</v>
      </c>
      <c r="E828" s="16" t="s">
        <v>192</v>
      </c>
      <c r="F828" s="16" t="s">
        <v>215</v>
      </c>
      <c r="G828" s="16" t="s">
        <v>300</v>
      </c>
      <c r="H828" s="16" t="s">
        <v>1507</v>
      </c>
    </row>
    <row r="829" ht="330.75" customHeight="1">
      <c r="A829" s="32" t="str">
        <f>IMAGE("https://gymvisual.com/11997-catalog_default/cable-stiff-leg-deadlift-from-stepbox.jpg",4,500,500)</f>
        <v/>
      </c>
      <c r="B829" s="30">
        <v>1178.0</v>
      </c>
      <c r="C829" s="16" t="s">
        <v>1687</v>
      </c>
      <c r="D829" s="16" t="s">
        <v>184</v>
      </c>
      <c r="E829" s="16" t="s">
        <v>185</v>
      </c>
      <c r="F829" s="16" t="s">
        <v>215</v>
      </c>
      <c r="G829" s="16" t="s">
        <v>267</v>
      </c>
      <c r="H829" s="16" t="s">
        <v>188</v>
      </c>
    </row>
    <row r="830" ht="330.75" customHeight="1">
      <c r="A830" s="32" t="str">
        <f>IMAGE("https://gymvisual.com/10365-catalog_default/cable-standing-up-straight-crossovers-female.jpg",4,500,500)</f>
        <v/>
      </c>
      <c r="B830" s="30">
        <v>1177.0</v>
      </c>
      <c r="C830" s="16" t="s">
        <v>1686</v>
      </c>
      <c r="D830" s="16" t="s">
        <v>184</v>
      </c>
      <c r="E830" s="16" t="s">
        <v>234</v>
      </c>
      <c r="F830" s="16" t="s">
        <v>215</v>
      </c>
      <c r="G830" s="16" t="s">
        <v>347</v>
      </c>
      <c r="H830" s="16" t="s">
        <v>420</v>
      </c>
    </row>
    <row r="831" ht="330.75" customHeight="1">
      <c r="A831" s="32" t="str">
        <f>IMAGE("https://gymvisual.com/5958-catalog_default/cable-standing-up-straight-crossovers.jpg",4,500,500)</f>
        <v/>
      </c>
      <c r="B831" s="30">
        <v>1176.0</v>
      </c>
      <c r="C831" s="16" t="s">
        <v>1685</v>
      </c>
      <c r="D831" s="16" t="s">
        <v>184</v>
      </c>
      <c r="E831" s="16" t="s">
        <v>234</v>
      </c>
      <c r="F831" s="16" t="s">
        <v>215</v>
      </c>
      <c r="G831" s="16" t="s">
        <v>347</v>
      </c>
      <c r="H831" s="16" t="s">
        <v>420</v>
      </c>
    </row>
    <row r="832" ht="330.75" customHeight="1">
      <c r="A832" s="32" t="str">
        <f>IMAGE("https://gymvisual.com/730-catalog_default/cable-standing-twist-row-v-bar.jpg",4,500,500)</f>
        <v/>
      </c>
      <c r="B832" s="30">
        <v>1175.0</v>
      </c>
      <c r="C832" s="16" t="s">
        <v>1684</v>
      </c>
      <c r="D832" s="16" t="s">
        <v>184</v>
      </c>
      <c r="E832" s="16" t="s">
        <v>192</v>
      </c>
      <c r="F832" s="16" t="s">
        <v>215</v>
      </c>
      <c r="G832" s="16" t="s">
        <v>329</v>
      </c>
      <c r="H832" s="16" t="s">
        <v>579</v>
      </c>
    </row>
    <row r="833" ht="330.75" customHeight="1">
      <c r="A833" s="32" t="str">
        <f>IMAGE("https://gymvisual.com/11522-catalog_default/cable-standing-shoulder-external-rotation-female.jpg",4,500,500)</f>
        <v/>
      </c>
      <c r="B833" s="30">
        <v>1174.0</v>
      </c>
      <c r="C833" s="16" t="s">
        <v>1683</v>
      </c>
      <c r="D833" s="16" t="s">
        <v>184</v>
      </c>
      <c r="E833" s="16" t="s">
        <v>192</v>
      </c>
      <c r="F833" s="16" t="s">
        <v>215</v>
      </c>
      <c r="G833" s="16" t="s">
        <v>220</v>
      </c>
      <c r="H833" s="16" t="s">
        <v>220</v>
      </c>
    </row>
    <row r="834" ht="330.75" customHeight="1">
      <c r="A834" s="32" t="str">
        <f>IMAGE("https://gymvisual.com/26418-catalog_default/cable-standing-shoulder-external-rotation.jpg",4,500,500)</f>
        <v/>
      </c>
      <c r="B834" s="30">
        <v>1173.0</v>
      </c>
      <c r="C834" s="16" t="s">
        <v>1682</v>
      </c>
      <c r="D834" s="16" t="s">
        <v>184</v>
      </c>
      <c r="E834" s="16" t="s">
        <v>192</v>
      </c>
      <c r="F834" s="16" t="s">
        <v>215</v>
      </c>
      <c r="G834" s="16" t="s">
        <v>1607</v>
      </c>
      <c r="H834" s="16" t="s">
        <v>408</v>
      </c>
    </row>
    <row r="835" ht="330.75" customHeight="1">
      <c r="A835" s="32" t="str">
        <f>IMAGE("https://gymvisual.com/724-catalog_default/cable-standing-row-v-bar.jpg",4,500,500)</f>
        <v/>
      </c>
      <c r="B835" s="30">
        <v>1172.0</v>
      </c>
      <c r="C835" s="16" t="s">
        <v>1681</v>
      </c>
      <c r="D835" s="16" t="s">
        <v>184</v>
      </c>
      <c r="E835" s="16" t="s">
        <v>192</v>
      </c>
      <c r="F835" s="16" t="s">
        <v>215</v>
      </c>
      <c r="G835" s="16" t="s">
        <v>329</v>
      </c>
      <c r="H835" s="16" t="s">
        <v>457</v>
      </c>
    </row>
    <row r="836" ht="330.75" customHeight="1">
      <c r="A836" s="32" t="str">
        <f>IMAGE("https://gymvisual.com/21050-catalog_default/cable-standing-row.jpg",4,500,500)</f>
        <v/>
      </c>
      <c r="B836" s="30">
        <v>1171.0</v>
      </c>
      <c r="C836" s="16" t="s">
        <v>1680</v>
      </c>
      <c r="D836" s="16" t="s">
        <v>184</v>
      </c>
      <c r="E836" s="16" t="s">
        <v>192</v>
      </c>
      <c r="F836" s="16" t="s">
        <v>215</v>
      </c>
      <c r="G836" s="16" t="s">
        <v>570</v>
      </c>
      <c r="H836" s="16" t="s">
        <v>447</v>
      </c>
    </row>
    <row r="837" ht="330.75" customHeight="1">
      <c r="A837" s="32" t="str">
        <f>IMAGE("https://gymvisual.com/7446-catalog_default/cable-standing-reverse-grip-one-arm-overhead-tricep-extension.jpg",4,500,500)</f>
        <v/>
      </c>
      <c r="B837" s="30">
        <v>1170.0</v>
      </c>
      <c r="C837" s="16" t="s">
        <v>1679</v>
      </c>
      <c r="D837" s="16" t="s">
        <v>184</v>
      </c>
      <c r="E837" s="16" t="s">
        <v>219</v>
      </c>
      <c r="F837" s="16" t="s">
        <v>215</v>
      </c>
      <c r="G837" s="16" t="s">
        <v>220</v>
      </c>
      <c r="H837" s="16" t="s">
        <v>220</v>
      </c>
    </row>
    <row r="838" ht="330.75" customHeight="1">
      <c r="A838" s="32" t="str">
        <f>IMAGE("https://gymvisual.com/12239-catalog_default/cable-standing-reverse-grip-curl-straight-bar-female.jpg",4,500,500)</f>
        <v/>
      </c>
      <c r="B838" s="30">
        <v>1169.0</v>
      </c>
      <c r="C838" s="16" t="s">
        <v>1678</v>
      </c>
      <c r="D838" s="16" t="s">
        <v>184</v>
      </c>
      <c r="E838" s="16" t="s">
        <v>214</v>
      </c>
      <c r="F838" s="16" t="s">
        <v>215</v>
      </c>
      <c r="G838" s="16" t="s">
        <v>216</v>
      </c>
      <c r="H838" s="16" t="s">
        <v>217</v>
      </c>
    </row>
    <row r="839" ht="330.75" customHeight="1">
      <c r="A839" s="32" t="str">
        <f>IMAGE("https://gymvisual.com/12240-catalog_default/cable-standing-reverse-grip-curl-straight-bar.jpg",4,500,500)</f>
        <v/>
      </c>
      <c r="B839" s="30">
        <v>1168.0</v>
      </c>
      <c r="C839" s="16" t="s">
        <v>1677</v>
      </c>
      <c r="D839" s="16" t="s">
        <v>184</v>
      </c>
      <c r="E839" s="16" t="s">
        <v>214</v>
      </c>
      <c r="F839" s="16" t="s">
        <v>215</v>
      </c>
      <c r="G839" s="16" t="s">
        <v>216</v>
      </c>
      <c r="H839" s="16" t="s">
        <v>217</v>
      </c>
    </row>
    <row r="840" ht="330.75" customHeight="1">
      <c r="A840" s="32" t="str">
        <f>IMAGE("https://gymvisual.com/12052-catalog_default/cable-standing-rear-delt-row-with-rope-female.jpg",4,500,500)</f>
        <v/>
      </c>
      <c r="B840" s="30">
        <v>1167.0</v>
      </c>
      <c r="C840" s="16" t="s">
        <v>1676</v>
      </c>
      <c r="D840" s="16" t="s">
        <v>184</v>
      </c>
      <c r="E840" s="16" t="s">
        <v>228</v>
      </c>
      <c r="F840" s="16" t="s">
        <v>215</v>
      </c>
      <c r="G840" s="16" t="s">
        <v>408</v>
      </c>
      <c r="H840" s="16" t="s">
        <v>452</v>
      </c>
    </row>
    <row r="841" ht="330.75" customHeight="1">
      <c r="A841" s="32" t="str">
        <f>IMAGE("https://gymvisual.com/24816-catalog_default/cable-standing-rear-delt-row-with-rope.jpg",4,500,500)</f>
        <v/>
      </c>
      <c r="B841" s="30">
        <v>1166.0</v>
      </c>
      <c r="C841" s="16" t="s">
        <v>1675</v>
      </c>
      <c r="D841" s="16" t="s">
        <v>184</v>
      </c>
      <c r="E841" s="16" t="s">
        <v>228</v>
      </c>
      <c r="F841" s="16" t="s">
        <v>215</v>
      </c>
      <c r="G841" s="16" t="s">
        <v>408</v>
      </c>
      <c r="H841" s="16" t="s">
        <v>490</v>
      </c>
    </row>
    <row r="842" ht="330.75" customHeight="1">
      <c r="A842" s="32" t="str">
        <f>IMAGE("https://gymvisual.com/12978-catalog_default/cable-standing-rear-delt-horizontal-row-with-rope.jpg",4,500,500)</f>
        <v/>
      </c>
      <c r="B842" s="30">
        <v>1165.0</v>
      </c>
      <c r="C842" s="16" t="s">
        <v>1674</v>
      </c>
      <c r="D842" s="16" t="s">
        <v>184</v>
      </c>
      <c r="E842" s="16" t="s">
        <v>228</v>
      </c>
      <c r="F842" s="16" t="s">
        <v>215</v>
      </c>
      <c r="G842" s="16" t="s">
        <v>408</v>
      </c>
      <c r="H842" s="16" t="s">
        <v>731</v>
      </c>
    </row>
    <row r="843" ht="330.75" customHeight="1">
      <c r="A843" s="32" t="str">
        <f>IMAGE("https://gymvisual.com/718-catalog_default/cable-standing-pulldown-with-rope.jpg",4,500,500)</f>
        <v/>
      </c>
      <c r="B843" s="30">
        <v>1164.0</v>
      </c>
      <c r="C843" s="16" t="s">
        <v>1673</v>
      </c>
      <c r="D843" s="16" t="s">
        <v>184</v>
      </c>
      <c r="E843" s="16" t="s">
        <v>214</v>
      </c>
      <c r="F843" s="16" t="s">
        <v>215</v>
      </c>
      <c r="G843" s="16" t="s">
        <v>216</v>
      </c>
      <c r="H843" s="16" t="s">
        <v>217</v>
      </c>
    </row>
    <row r="844" ht="330.75" customHeight="1">
      <c r="A844" s="32" t="str">
        <f>IMAGE("https://gymvisual.com/6071-catalog_default/cable-standing-one-leg-calf-raise.jpg",4,500,500)</f>
        <v/>
      </c>
      <c r="B844" s="30">
        <v>1163.0</v>
      </c>
      <c r="C844" s="16" t="s">
        <v>1672</v>
      </c>
      <c r="D844" s="16" t="s">
        <v>184</v>
      </c>
      <c r="E844" s="16" t="s">
        <v>325</v>
      </c>
      <c r="F844" s="16" t="s">
        <v>215</v>
      </c>
      <c r="G844" s="16" t="s">
        <v>368</v>
      </c>
      <c r="H844" s="16" t="s">
        <v>463</v>
      </c>
    </row>
    <row r="845" ht="330.75" customHeight="1">
      <c r="A845" s="32" t="str">
        <f>IMAGE("https://gymvisual.com/11585-catalog_default/cable-standing-one-arm-triceps-extension-female.jpg",4,500,500)</f>
        <v/>
      </c>
      <c r="B845" s="30">
        <v>1162.0</v>
      </c>
      <c r="C845" s="16" t="s">
        <v>1671</v>
      </c>
      <c r="D845" s="16" t="s">
        <v>184</v>
      </c>
      <c r="E845" s="16" t="s">
        <v>219</v>
      </c>
      <c r="F845" s="16" t="s">
        <v>215</v>
      </c>
      <c r="G845" s="16" t="s">
        <v>223</v>
      </c>
      <c r="H845" s="16" t="s">
        <v>220</v>
      </c>
    </row>
    <row r="846" ht="330.75" customHeight="1">
      <c r="A846" s="32" t="str">
        <f>IMAGE("https://gymvisual.com/25649-catalog_default/cable-standing-one-arm-triceps-extension.jpg",4,500,500)</f>
        <v/>
      </c>
      <c r="B846" s="30">
        <v>1161.0</v>
      </c>
      <c r="C846" s="16" t="s">
        <v>1670</v>
      </c>
      <c r="D846" s="16" t="s">
        <v>184</v>
      </c>
      <c r="E846" s="16" t="s">
        <v>219</v>
      </c>
      <c r="F846" s="16" t="s">
        <v>215</v>
      </c>
      <c r="G846" s="16" t="s">
        <v>223</v>
      </c>
      <c r="H846" s="16" t="s">
        <v>220</v>
      </c>
    </row>
    <row r="847" ht="330.75" customHeight="1">
      <c r="A847" s="32" t="str">
        <f>IMAGE("https://gymvisual.com/4598-catalog_default/cable-standing-one-arm-tricep-pushdown-overhand-grip.jpg",4,500,500)</f>
        <v/>
      </c>
      <c r="B847" s="30">
        <v>1160.0</v>
      </c>
      <c r="C847" s="16" t="s">
        <v>1669</v>
      </c>
      <c r="D847" s="16" t="s">
        <v>184</v>
      </c>
      <c r="E847" s="16" t="s">
        <v>219</v>
      </c>
      <c r="F847" s="16" t="s">
        <v>215</v>
      </c>
      <c r="G847" s="16" t="s">
        <v>223</v>
      </c>
      <c r="H847" s="16" t="s">
        <v>220</v>
      </c>
    </row>
    <row r="848" ht="330.75" customHeight="1">
      <c r="A848" s="32" t="str">
        <f>IMAGE("https://gymvisual.com/23041-catalog_default/cable-standing-one-arm-hammer-curl-with-rope-attachment.jpg",4,500,500)</f>
        <v/>
      </c>
      <c r="B848" s="30">
        <v>1159.0</v>
      </c>
      <c r="C848" s="16" t="s">
        <v>1668</v>
      </c>
      <c r="D848" s="16" t="s">
        <v>184</v>
      </c>
      <c r="E848" s="16" t="s">
        <v>219</v>
      </c>
      <c r="F848" s="16" t="s">
        <v>215</v>
      </c>
      <c r="G848" s="16" t="s">
        <v>220</v>
      </c>
      <c r="H848" s="16" t="s">
        <v>220</v>
      </c>
    </row>
    <row r="849" ht="330.75" customHeight="1">
      <c r="A849" s="32" t="str">
        <f>IMAGE("https://gymvisual.com/712-catalog_default/cable-standing-lift.jpg",4,500,500)</f>
        <v/>
      </c>
      <c r="B849" s="30">
        <v>1158.0</v>
      </c>
      <c r="C849" s="16" t="s">
        <v>1666</v>
      </c>
      <c r="D849" s="16" t="s">
        <v>184</v>
      </c>
      <c r="E849" s="16" t="s">
        <v>254</v>
      </c>
      <c r="F849" s="16" t="s">
        <v>215</v>
      </c>
      <c r="G849" s="16" t="s">
        <v>257</v>
      </c>
      <c r="H849" s="16" t="s">
        <v>1667</v>
      </c>
    </row>
    <row r="850" ht="330.75" customHeight="1">
      <c r="A850" s="32" t="str">
        <f>IMAGE("https://gymvisual.com/6794-catalog_default/cable-standing-leg-curl.jpg",4,500,500)</f>
        <v/>
      </c>
      <c r="B850" s="30">
        <v>1157.0</v>
      </c>
      <c r="C850" s="16" t="s">
        <v>1665</v>
      </c>
      <c r="D850" s="16" t="s">
        <v>184</v>
      </c>
      <c r="E850" s="16" t="s">
        <v>285</v>
      </c>
      <c r="F850" s="16" t="s">
        <v>215</v>
      </c>
      <c r="G850" s="16" t="s">
        <v>220</v>
      </c>
      <c r="H850" s="16" t="s">
        <v>220</v>
      </c>
    </row>
    <row r="851" ht="330.75" customHeight="1">
      <c r="A851" s="32" t="str">
        <f>IMAGE("https://gymvisual.com/4600-catalog_default/cable-standing-lat-pushdown-rope-equipment.jpg",4,500,500)</f>
        <v/>
      </c>
      <c r="B851" s="30">
        <v>1156.0</v>
      </c>
      <c r="C851" s="16" t="s">
        <v>1664</v>
      </c>
      <c r="D851" s="16" t="s">
        <v>184</v>
      </c>
      <c r="E851" s="16" t="s">
        <v>192</v>
      </c>
      <c r="F851" s="16" t="s">
        <v>215</v>
      </c>
      <c r="G851" s="16" t="s">
        <v>300</v>
      </c>
      <c r="H851" s="16" t="s">
        <v>781</v>
      </c>
    </row>
    <row r="852" ht="330.75" customHeight="1">
      <c r="A852" s="32" t="str">
        <f>IMAGE("https://gymvisual.com/11294-catalog_default/cable-standing-inner-curl-female.jpg",4,500,500)</f>
        <v/>
      </c>
      <c r="B852" s="30">
        <v>1155.0</v>
      </c>
      <c r="C852" s="16" t="s">
        <v>1663</v>
      </c>
      <c r="D852" s="16" t="s">
        <v>184</v>
      </c>
      <c r="E852" s="16" t="s">
        <v>219</v>
      </c>
      <c r="F852" s="16" t="s">
        <v>215</v>
      </c>
      <c r="G852" s="16" t="s">
        <v>241</v>
      </c>
      <c r="H852" s="16" t="s">
        <v>292</v>
      </c>
    </row>
    <row r="853" ht="330.75" customHeight="1">
      <c r="A853" s="32" t="str">
        <f>IMAGE("https://gymvisual.com/709-catalog_default/cable-standing-inner-curl.jpg",4,500,500)</f>
        <v/>
      </c>
      <c r="B853" s="30">
        <v>1154.0</v>
      </c>
      <c r="C853" s="16" t="s">
        <v>1662</v>
      </c>
      <c r="D853" s="16" t="s">
        <v>184</v>
      </c>
      <c r="E853" s="16" t="s">
        <v>219</v>
      </c>
      <c r="F853" s="16" t="s">
        <v>215</v>
      </c>
      <c r="G853" s="16" t="s">
        <v>241</v>
      </c>
      <c r="H853" s="16" t="s">
        <v>232</v>
      </c>
    </row>
    <row r="854" ht="330.75" customHeight="1">
      <c r="A854" s="32" t="str">
        <f>IMAGE("https://gymvisual.com/11801-catalog_default/cable-standing-hip-thrust-female.jpg",4,500,500)</f>
        <v/>
      </c>
      <c r="B854" s="30">
        <v>1153.0</v>
      </c>
      <c r="C854" s="16" t="s">
        <v>1661</v>
      </c>
      <c r="D854" s="16" t="s">
        <v>184</v>
      </c>
      <c r="E854" s="16" t="s">
        <v>185</v>
      </c>
      <c r="F854" s="16" t="s">
        <v>346</v>
      </c>
      <c r="G854" s="16" t="s">
        <v>220</v>
      </c>
      <c r="H854" s="16" t="s">
        <v>220</v>
      </c>
    </row>
    <row r="855" ht="330.75" customHeight="1">
      <c r="A855" s="32" t="str">
        <f>IMAGE("https://gymvisual.com/2770-catalog_default/cable-standing-hip-extension-version-2.jpg",4,500,500)</f>
        <v/>
      </c>
      <c r="B855" s="30">
        <v>1152.0</v>
      </c>
      <c r="C855" s="16" t="s">
        <v>1660</v>
      </c>
      <c r="D855" s="16" t="s">
        <v>184</v>
      </c>
      <c r="E855" s="16" t="s">
        <v>185</v>
      </c>
      <c r="F855" s="16" t="s">
        <v>215</v>
      </c>
      <c r="G855" s="16" t="s">
        <v>187</v>
      </c>
      <c r="H855" s="16" t="s">
        <v>188</v>
      </c>
    </row>
    <row r="856" ht="330.75" customHeight="1">
      <c r="A856" s="32" t="str">
        <f>IMAGE("https://gymvisual.com/706-catalog_default/cable-standing-hip-extension.jpg",4,500,500)</f>
        <v/>
      </c>
      <c r="B856" s="30">
        <v>1151.0</v>
      </c>
      <c r="C856" s="16" t="s">
        <v>1659</v>
      </c>
      <c r="D856" s="16" t="s">
        <v>184</v>
      </c>
      <c r="E856" s="16" t="s">
        <v>185</v>
      </c>
      <c r="F856" s="16" t="s">
        <v>215</v>
      </c>
      <c r="G856" s="16" t="s">
        <v>187</v>
      </c>
      <c r="H856" s="16" t="s">
        <v>188</v>
      </c>
    </row>
    <row r="857" ht="330.75" customHeight="1">
      <c r="A857" s="32" t="str">
        <f>IMAGE("https://gymvisual.com/20050-catalog_default/cable-standing-high-cross-triceps-extension.jpg",4,500,500)</f>
        <v/>
      </c>
      <c r="B857" s="30">
        <v>1150.0</v>
      </c>
      <c r="C857" s="16" t="s">
        <v>1658</v>
      </c>
      <c r="D857" s="16" t="s">
        <v>184</v>
      </c>
      <c r="E857" s="16" t="s">
        <v>219</v>
      </c>
      <c r="F857" s="16" t="s">
        <v>215</v>
      </c>
      <c r="G857" s="16" t="s">
        <v>223</v>
      </c>
      <c r="H857" s="16" t="s">
        <v>220</v>
      </c>
    </row>
    <row r="858" ht="330.75" customHeight="1">
      <c r="A858" s="32" t="str">
        <f>IMAGE("https://gymvisual.com/17460-catalog_default/cable-standing-front-raise-variation.jpg",4,500,500)</f>
        <v/>
      </c>
      <c r="B858" s="30">
        <v>1149.0</v>
      </c>
      <c r="C858" s="16" t="s">
        <v>1656</v>
      </c>
      <c r="D858" s="16" t="s">
        <v>184</v>
      </c>
      <c r="E858" s="16" t="s">
        <v>228</v>
      </c>
      <c r="F858" s="16" t="s">
        <v>215</v>
      </c>
      <c r="G858" s="16" t="s">
        <v>229</v>
      </c>
      <c r="H858" s="16" t="s">
        <v>1657</v>
      </c>
    </row>
    <row r="859" ht="330.75" customHeight="1">
      <c r="A859" s="32" t="str">
        <f>IMAGE("https://gymvisual.com/19325-catalog_default/cable-standing-fly.jpg",4,500,500)</f>
        <v/>
      </c>
      <c r="B859" s="30">
        <v>1148.0</v>
      </c>
      <c r="C859" s="16" t="s">
        <v>1655</v>
      </c>
      <c r="D859" s="16" t="s">
        <v>184</v>
      </c>
      <c r="E859" s="16" t="s">
        <v>234</v>
      </c>
      <c r="F859" s="16" t="s">
        <v>215</v>
      </c>
      <c r="G859" s="16" t="s">
        <v>347</v>
      </c>
      <c r="H859" s="16" t="s">
        <v>882</v>
      </c>
    </row>
    <row r="860" ht="330.75" customHeight="1">
      <c r="A860" s="32" t="str">
        <f>IMAGE("https://gymvisual.com/24928-catalog_default/cable-standing-face-pull-with-rope.jpg",4,500,500)</f>
        <v/>
      </c>
      <c r="B860" s="30">
        <v>1147.0</v>
      </c>
      <c r="C860" s="16" t="s">
        <v>1654</v>
      </c>
      <c r="D860" s="16" t="s">
        <v>184</v>
      </c>
      <c r="E860" s="16" t="s">
        <v>228</v>
      </c>
      <c r="F860" s="16" t="s">
        <v>215</v>
      </c>
      <c r="G860" s="16" t="s">
        <v>408</v>
      </c>
      <c r="H860" s="16" t="s">
        <v>490</v>
      </c>
    </row>
    <row r="861" ht="330.75" customHeight="1">
      <c r="A861" s="32" t="str">
        <f>IMAGE("https://gymvisual.com/24801-catalog_default/cable-standing-face-pull.jpg",4,500,500)</f>
        <v/>
      </c>
      <c r="B861" s="30">
        <v>1146.0</v>
      </c>
      <c r="C861" s="16" t="s">
        <v>1653</v>
      </c>
      <c r="D861" s="16" t="s">
        <v>184</v>
      </c>
      <c r="E861" s="16" t="s">
        <v>228</v>
      </c>
      <c r="F861" s="16" t="s">
        <v>215</v>
      </c>
      <c r="G861" s="16" t="s">
        <v>408</v>
      </c>
      <c r="H861" s="16" t="s">
        <v>490</v>
      </c>
    </row>
    <row r="862" ht="330.75" customHeight="1">
      <c r="A862" s="32" t="str">
        <f>IMAGE("https://gymvisual.com/11519-catalog_default/cable-standing-crunch-with-rope-attachment-female.jpg",4,500,500)</f>
        <v/>
      </c>
      <c r="B862" s="30">
        <v>1145.0</v>
      </c>
      <c r="C862" s="16" t="s">
        <v>1652</v>
      </c>
      <c r="D862" s="16" t="s">
        <v>184</v>
      </c>
      <c r="E862" s="16" t="s">
        <v>254</v>
      </c>
      <c r="F862" s="16" t="s">
        <v>215</v>
      </c>
      <c r="G862" s="16" t="s">
        <v>256</v>
      </c>
      <c r="H862" s="16" t="s">
        <v>257</v>
      </c>
    </row>
    <row r="863" ht="330.75" customHeight="1">
      <c r="A863" s="32" t="str">
        <f>IMAGE("https://gymvisual.com/25216-catalog_default/cable-standing-crunch-with-rope-attachment.jpg",4,500,500)</f>
        <v/>
      </c>
      <c r="B863" s="30">
        <v>1144.0</v>
      </c>
      <c r="C863" s="16" t="s">
        <v>1651</v>
      </c>
      <c r="D863" s="16" t="s">
        <v>184</v>
      </c>
      <c r="E863" s="16" t="s">
        <v>254</v>
      </c>
      <c r="F863" s="16" t="s">
        <v>215</v>
      </c>
      <c r="G863" s="16" t="s">
        <v>256</v>
      </c>
      <c r="H863" s="16" t="s">
        <v>257</v>
      </c>
    </row>
    <row r="864" ht="330.75" customHeight="1">
      <c r="A864" s="32" t="str">
        <f>IMAGE("https://gymvisual.com/11288-catalog_default/cable-standing-crunch-female.jpg",4,500,500)</f>
        <v/>
      </c>
      <c r="B864" s="30">
        <v>1143.0</v>
      </c>
      <c r="C864" s="16" t="s">
        <v>1650</v>
      </c>
      <c r="D864" s="16" t="s">
        <v>184</v>
      </c>
      <c r="E864" s="16" t="s">
        <v>254</v>
      </c>
      <c r="F864" s="16" t="s">
        <v>215</v>
      </c>
      <c r="G864" s="16" t="s">
        <v>220</v>
      </c>
      <c r="H864" s="16" t="s">
        <v>220</v>
      </c>
    </row>
    <row r="865" ht="330.75" customHeight="1">
      <c r="A865" s="32" t="str">
        <f>IMAGE("https://gymvisual.com/700-catalog_default/cable-standing-crunch.jpg",4,500,500)</f>
        <v/>
      </c>
      <c r="B865" s="30">
        <v>1142.0</v>
      </c>
      <c r="C865" s="16" t="s">
        <v>1649</v>
      </c>
      <c r="D865" s="16" t="s">
        <v>184</v>
      </c>
      <c r="E865" s="16" t="s">
        <v>254</v>
      </c>
      <c r="F865" s="16" t="s">
        <v>215</v>
      </c>
      <c r="G865" s="16" t="s">
        <v>256</v>
      </c>
      <c r="H865" s="16" t="s">
        <v>257</v>
      </c>
    </row>
    <row r="866" ht="330.75" customHeight="1">
      <c r="A866" s="32" t="str">
        <f>IMAGE("https://gymvisual.com/24454-catalog_default/cable-standing-crossover-overhead-tricep-extension.jpg",4,500,500)</f>
        <v/>
      </c>
      <c r="B866" s="30">
        <v>1141.0</v>
      </c>
      <c r="C866" s="16" t="s">
        <v>1648</v>
      </c>
      <c r="D866" s="16" t="s">
        <v>184</v>
      </c>
      <c r="E866" s="16" t="s">
        <v>219</v>
      </c>
      <c r="F866" s="16" t="s">
        <v>215</v>
      </c>
      <c r="G866" s="16" t="s">
        <v>223</v>
      </c>
      <c r="H866" s="16" t="s">
        <v>220</v>
      </c>
    </row>
    <row r="867" ht="330.75" customHeight="1">
      <c r="A867" s="32" t="str">
        <f>IMAGE("https://gymvisual.com/697-catalog_default/cable-standing-cross-over-high-reverse-fly.jpg",4,500,500)</f>
        <v/>
      </c>
      <c r="B867" s="30">
        <v>1140.0</v>
      </c>
      <c r="C867" s="16" t="s">
        <v>1647</v>
      </c>
      <c r="D867" s="16" t="s">
        <v>184</v>
      </c>
      <c r="E867" s="16" t="s">
        <v>228</v>
      </c>
      <c r="F867" s="16" t="s">
        <v>215</v>
      </c>
      <c r="G867" s="16" t="s">
        <v>408</v>
      </c>
      <c r="H867" s="16" t="s">
        <v>452</v>
      </c>
    </row>
    <row r="868" ht="330.75" customHeight="1">
      <c r="A868" s="32" t="str">
        <f>IMAGE("https://gymvisual.com/13681-catalog_default/cable-standing-close-press.jpg",4,500,500)</f>
        <v/>
      </c>
      <c r="B868" s="30">
        <v>1139.0</v>
      </c>
      <c r="C868" s="16" t="s">
        <v>1646</v>
      </c>
      <c r="D868" s="16" t="s">
        <v>184</v>
      </c>
      <c r="E868" s="16" t="s">
        <v>219</v>
      </c>
      <c r="F868" s="16" t="s">
        <v>215</v>
      </c>
      <c r="G868" s="16" t="s">
        <v>223</v>
      </c>
      <c r="H868" s="16" t="s">
        <v>472</v>
      </c>
    </row>
    <row r="869" ht="330.75" customHeight="1">
      <c r="A869" s="32" t="str">
        <f>IMAGE("https://gymvisual.com/23947-catalog_default/cable-standing-close-grip-row.jpg",4,500,500)</f>
        <v/>
      </c>
      <c r="B869" s="30">
        <v>1138.0</v>
      </c>
      <c r="C869" s="16" t="s">
        <v>1645</v>
      </c>
      <c r="D869" s="16" t="s">
        <v>184</v>
      </c>
      <c r="E869" s="16" t="s">
        <v>192</v>
      </c>
      <c r="F869" s="16" t="s">
        <v>215</v>
      </c>
      <c r="G869" s="16" t="s">
        <v>570</v>
      </c>
      <c r="H869" s="16" t="s">
        <v>447</v>
      </c>
    </row>
    <row r="870" ht="330.75" customHeight="1">
      <c r="A870" s="32" t="str">
        <f>IMAGE("https://gymvisual.com/13670-catalog_default/cable-standing-chest-press.jpg",4,500,500)</f>
        <v/>
      </c>
      <c r="B870" s="30">
        <v>1137.0</v>
      </c>
      <c r="C870" s="16" t="s">
        <v>1644</v>
      </c>
      <c r="D870" s="16" t="s">
        <v>184</v>
      </c>
      <c r="E870" s="16" t="s">
        <v>234</v>
      </c>
      <c r="F870" s="16" t="s">
        <v>215</v>
      </c>
      <c r="G870" s="16" t="s">
        <v>235</v>
      </c>
      <c r="H870" s="16" t="s">
        <v>220</v>
      </c>
    </row>
    <row r="871" ht="330.75" customHeight="1">
      <c r="A871" s="32" t="str">
        <f>IMAGE("https://gymvisual.com/20557-catalog_default/cable-standing-chest-press.jpg",4,500,500)</f>
        <v/>
      </c>
      <c r="B871" s="30">
        <v>1136.0</v>
      </c>
      <c r="C871" s="16" t="s">
        <v>1644</v>
      </c>
      <c r="D871" s="16" t="s">
        <v>184</v>
      </c>
      <c r="E871" s="16" t="s">
        <v>234</v>
      </c>
      <c r="F871" s="16" t="s">
        <v>215</v>
      </c>
      <c r="G871" s="16" t="s">
        <v>347</v>
      </c>
      <c r="H871" s="16" t="s">
        <v>382</v>
      </c>
    </row>
    <row r="872" ht="330.75" customHeight="1">
      <c r="A872" s="32" t="str">
        <f>IMAGE("https://gymvisual.com/6070-catalog_default/cable-standing-calf-raise.jpg",4,500,500)</f>
        <v/>
      </c>
      <c r="B872" s="30">
        <v>1135.0</v>
      </c>
      <c r="C872" s="16" t="s">
        <v>1643</v>
      </c>
      <c r="D872" s="16" t="s">
        <v>184</v>
      </c>
      <c r="E872" s="16" t="s">
        <v>325</v>
      </c>
      <c r="F872" s="16" t="s">
        <v>215</v>
      </c>
      <c r="G872" s="16" t="s">
        <v>368</v>
      </c>
      <c r="H872" s="16" t="s">
        <v>463</v>
      </c>
    </row>
    <row r="873" ht="330.75" customHeight="1">
      <c r="A873" s="32" t="str">
        <f>IMAGE("https://gymvisual.com/13405-catalog_default/cable-standing-biceps-curl-with-rope-female.jpg",4,500,500)</f>
        <v/>
      </c>
      <c r="B873" s="30">
        <v>1134.0</v>
      </c>
      <c r="C873" s="16" t="s">
        <v>1642</v>
      </c>
      <c r="D873" s="16" t="s">
        <v>184</v>
      </c>
      <c r="E873" s="16" t="s">
        <v>219</v>
      </c>
      <c r="F873" s="16" t="s">
        <v>215</v>
      </c>
      <c r="G873" s="16" t="s">
        <v>220</v>
      </c>
      <c r="H873" s="16" t="s">
        <v>220</v>
      </c>
    </row>
    <row r="874" ht="330.75" customHeight="1">
      <c r="A874" s="32" t="str">
        <f>IMAGE("https://gymvisual.com/694-catalog_default/cable-standing-back-wrist-curl.jpg",4,500,500)</f>
        <v/>
      </c>
      <c r="B874" s="30">
        <v>1133.0</v>
      </c>
      <c r="C874" s="16" t="s">
        <v>1641</v>
      </c>
      <c r="D874" s="16" t="s">
        <v>184</v>
      </c>
      <c r="E874" s="16" t="s">
        <v>214</v>
      </c>
      <c r="F874" s="16" t="s">
        <v>215</v>
      </c>
      <c r="G874" s="16" t="s">
        <v>720</v>
      </c>
      <c r="H874" s="16" t="s">
        <v>220</v>
      </c>
    </row>
    <row r="875" ht="330.75" customHeight="1">
      <c r="A875" s="32" t="str">
        <f>IMAGE("https://gymvisual.com/19417-catalog_default/cable-standing-alternate-low-fly.jpg",4,500,500)</f>
        <v/>
      </c>
      <c r="B875" s="30">
        <v>1132.0</v>
      </c>
      <c r="C875" s="16" t="s">
        <v>1640</v>
      </c>
      <c r="D875" s="16" t="s">
        <v>184</v>
      </c>
      <c r="E875" s="16" t="s">
        <v>234</v>
      </c>
      <c r="F875" s="16" t="s">
        <v>215</v>
      </c>
      <c r="G875" s="16" t="s">
        <v>220</v>
      </c>
      <c r="H875" s="16" t="s">
        <v>220</v>
      </c>
    </row>
    <row r="876" ht="330.75" customHeight="1">
      <c r="A876" s="32" t="str">
        <f>IMAGE("https://gymvisual.com/11835-catalog_default/cable-stand-up-female.jpg",4,500,500)</f>
        <v/>
      </c>
      <c r="B876" s="30">
        <v>1131.0</v>
      </c>
      <c r="C876" s="16" t="s">
        <v>1639</v>
      </c>
      <c r="D876" s="16" t="s">
        <v>184</v>
      </c>
      <c r="E876" s="16" t="s">
        <v>185</v>
      </c>
      <c r="F876" s="16" t="s">
        <v>215</v>
      </c>
      <c r="G876" s="16" t="s">
        <v>189</v>
      </c>
      <c r="H876" s="16" t="s">
        <v>190</v>
      </c>
    </row>
    <row r="877" ht="330.75" customHeight="1">
      <c r="A877" s="32" t="str">
        <f>IMAGE("https://gymvisual.com/13403-catalog_default/cable-squatting-curl-female.jpg",4,500,500)</f>
        <v/>
      </c>
      <c r="B877" s="30">
        <v>1130.0</v>
      </c>
      <c r="C877" s="16" t="s">
        <v>1638</v>
      </c>
      <c r="D877" s="16" t="s">
        <v>184</v>
      </c>
      <c r="E877" s="16" t="s">
        <v>219</v>
      </c>
      <c r="F877" s="16" t="s">
        <v>215</v>
      </c>
      <c r="G877" s="16" t="s">
        <v>220</v>
      </c>
      <c r="H877" s="16" t="s">
        <v>220</v>
      </c>
    </row>
    <row r="878" ht="330.75" customHeight="1">
      <c r="A878" s="32" t="str">
        <f>IMAGE("https://gymvisual.com/7118-catalog_default/cable-squatting-curl.jpg",4,500,500)</f>
        <v/>
      </c>
      <c r="B878" s="30">
        <v>1129.0</v>
      </c>
      <c r="C878" s="16" t="s">
        <v>1637</v>
      </c>
      <c r="D878" s="16" t="s">
        <v>184</v>
      </c>
      <c r="E878" s="16" t="s">
        <v>219</v>
      </c>
      <c r="F878" s="16" t="s">
        <v>215</v>
      </c>
      <c r="G878" s="16" t="s">
        <v>232</v>
      </c>
      <c r="H878" s="16" t="s">
        <v>233</v>
      </c>
    </row>
    <row r="879" ht="330.75" customHeight="1">
      <c r="A879" s="32" t="str">
        <f>IMAGE("https://gymvisual.com/11209-catalog_default/cable-squat-row-with-rope-attachment-female.jpg",4,500,500)</f>
        <v/>
      </c>
      <c r="B879" s="30">
        <v>1128.0</v>
      </c>
      <c r="C879" s="16" t="s">
        <v>1636</v>
      </c>
      <c r="D879" s="16" t="s">
        <v>184</v>
      </c>
      <c r="E879" s="16" t="s">
        <v>484</v>
      </c>
      <c r="F879" s="16" t="s">
        <v>215</v>
      </c>
      <c r="G879" s="16" t="s">
        <v>220</v>
      </c>
      <c r="H879" s="16" t="s">
        <v>220</v>
      </c>
    </row>
    <row r="880" ht="330.75" customHeight="1">
      <c r="A880" s="32" t="str">
        <f>IMAGE("https://gymvisual.com/7431-catalog_default/cable-squat-row-with-rope-attachment.jpg",4,500,500)</f>
        <v/>
      </c>
      <c r="B880" s="30">
        <v>1127.0</v>
      </c>
      <c r="C880" s="16" t="s">
        <v>1633</v>
      </c>
      <c r="D880" s="16" t="s">
        <v>184</v>
      </c>
      <c r="E880" s="16" t="s">
        <v>192</v>
      </c>
      <c r="F880" s="16" t="s">
        <v>215</v>
      </c>
      <c r="G880" s="16" t="s">
        <v>1634</v>
      </c>
      <c r="H880" s="16" t="s">
        <v>1635</v>
      </c>
    </row>
    <row r="881" ht="330.75" customHeight="1">
      <c r="A881" s="32" t="str">
        <f>IMAGE("https://gymvisual.com/17913-catalog_default/cable-split-stance-horizontal-pallof-press-male.jpg",4,500,500)</f>
        <v/>
      </c>
      <c r="B881" s="30">
        <v>1126.0</v>
      </c>
      <c r="C881" s="16" t="s">
        <v>1632</v>
      </c>
      <c r="D881" s="16" t="s">
        <v>184</v>
      </c>
      <c r="E881" s="16" t="s">
        <v>254</v>
      </c>
      <c r="F881" s="16" t="s">
        <v>215</v>
      </c>
      <c r="G881" s="16" t="s">
        <v>220</v>
      </c>
      <c r="H881" s="16" t="s">
        <v>220</v>
      </c>
    </row>
    <row r="882" ht="330.75" customHeight="1">
      <c r="A882" s="32" t="str">
        <f>IMAGE("https://gymvisual.com/22841-catalog_default/cable-single-arm-triceps-pushdown-rope-attachment.jpg",4,500,500)</f>
        <v/>
      </c>
      <c r="B882" s="30">
        <v>1125.0</v>
      </c>
      <c r="C882" s="16" t="s">
        <v>1631</v>
      </c>
      <c r="D882" s="16" t="s">
        <v>184</v>
      </c>
      <c r="E882" s="16" t="s">
        <v>219</v>
      </c>
      <c r="F882" s="16" t="s">
        <v>215</v>
      </c>
      <c r="G882" s="16" t="s">
        <v>223</v>
      </c>
      <c r="H882" s="16" t="s">
        <v>220</v>
      </c>
    </row>
    <row r="883" ht="330.75" customHeight="1">
      <c r="A883" s="32" t="str">
        <f>IMAGE("https://gymvisual.com/26371-catalog_default/cable-single-arm-neutral-grip-front-raise.jpg",4,500,500)</f>
        <v/>
      </c>
      <c r="B883" s="30">
        <v>1124.0</v>
      </c>
      <c r="C883" s="16" t="s">
        <v>1630</v>
      </c>
      <c r="D883" s="16" t="s">
        <v>184</v>
      </c>
      <c r="E883" s="16" t="s">
        <v>228</v>
      </c>
      <c r="F883" s="16" t="s">
        <v>215</v>
      </c>
      <c r="G883" s="16" t="s">
        <v>220</v>
      </c>
      <c r="H883" s="16" t="s">
        <v>220</v>
      </c>
    </row>
    <row r="884" ht="330.75" customHeight="1">
      <c r="A884" s="32" t="str">
        <f>IMAGE("https://gymvisual.com/12189-catalog_default/cable-side-lying-lateral-raise.jpg",4,500,500)</f>
        <v/>
      </c>
      <c r="B884" s="30">
        <v>1123.0</v>
      </c>
      <c r="C884" s="16" t="s">
        <v>1629</v>
      </c>
      <c r="D884" s="16" t="s">
        <v>184</v>
      </c>
      <c r="E884" s="16" t="s">
        <v>228</v>
      </c>
      <c r="F884" s="16" t="s">
        <v>215</v>
      </c>
      <c r="G884" s="16" t="s">
        <v>220</v>
      </c>
      <c r="H884" s="16" t="s">
        <v>220</v>
      </c>
    </row>
    <row r="885" ht="330.75" customHeight="1">
      <c r="A885" s="32" t="str">
        <f>IMAGE("https://gymvisual.com/11285-catalog_default/cable-side-crunch-female.jpg",4,500,500)</f>
        <v/>
      </c>
      <c r="B885" s="30">
        <v>1122.0</v>
      </c>
      <c r="C885" s="16" t="s">
        <v>1628</v>
      </c>
      <c r="D885" s="16" t="s">
        <v>184</v>
      </c>
      <c r="E885" s="16" t="s">
        <v>254</v>
      </c>
      <c r="F885" s="16" t="s">
        <v>215</v>
      </c>
      <c r="G885" s="16" t="s">
        <v>220</v>
      </c>
      <c r="H885" s="16" t="s">
        <v>220</v>
      </c>
    </row>
    <row r="886" ht="330.75" customHeight="1">
      <c r="A886" s="32" t="str">
        <f>IMAGE("https://gymvisual.com/691-catalog_default/cable-side-crunch.jpg",4,500,500)</f>
        <v/>
      </c>
      <c r="B886" s="30">
        <v>1121.0</v>
      </c>
      <c r="C886" s="16" t="s">
        <v>1627</v>
      </c>
      <c r="D886" s="16" t="s">
        <v>184</v>
      </c>
      <c r="E886" s="16" t="s">
        <v>254</v>
      </c>
      <c r="F886" s="16" t="s">
        <v>215</v>
      </c>
      <c r="G886" s="16" t="s">
        <v>257</v>
      </c>
      <c r="H886" s="16" t="s">
        <v>220</v>
      </c>
    </row>
    <row r="887" ht="330.75" customHeight="1">
      <c r="A887" s="32" t="str">
        <f>IMAGE("https://gymvisual.com/685-catalog_default/cable-side-bend-crunch-bosu-ball.jpg",4,500,500)</f>
        <v/>
      </c>
      <c r="B887" s="30">
        <v>1120.0</v>
      </c>
      <c r="C887" s="16" t="s">
        <v>1626</v>
      </c>
      <c r="D887" s="16" t="s">
        <v>184</v>
      </c>
      <c r="E887" s="16" t="s">
        <v>254</v>
      </c>
      <c r="F887" s="16" t="s">
        <v>215</v>
      </c>
      <c r="G887" s="16" t="s">
        <v>257</v>
      </c>
      <c r="H887" s="16" t="s">
        <v>256</v>
      </c>
    </row>
    <row r="888" ht="330.75" customHeight="1">
      <c r="A888" s="32" t="str">
        <f>IMAGE("https://gymvisual.com/24930-catalog_default/cable-side-bend-version-2.jpg",4,500,500)</f>
        <v/>
      </c>
      <c r="B888" s="30">
        <v>1119.0</v>
      </c>
      <c r="C888" s="16" t="s">
        <v>1625</v>
      </c>
      <c r="D888" s="16" t="s">
        <v>184</v>
      </c>
      <c r="E888" s="16" t="s">
        <v>254</v>
      </c>
      <c r="F888" s="16" t="s">
        <v>215</v>
      </c>
      <c r="G888" s="16" t="s">
        <v>257</v>
      </c>
      <c r="H888" s="16" t="s">
        <v>271</v>
      </c>
    </row>
    <row r="889" ht="330.75" customHeight="1">
      <c r="A889" s="32" t="str">
        <f>IMAGE("https://gymvisual.com/11282-catalog_default/cable-side-bend-female.jpg",4,500,500)</f>
        <v/>
      </c>
      <c r="B889" s="30">
        <v>1118.0</v>
      </c>
      <c r="C889" s="16" t="s">
        <v>1624</v>
      </c>
      <c r="D889" s="16" t="s">
        <v>184</v>
      </c>
      <c r="E889" s="16" t="s">
        <v>254</v>
      </c>
      <c r="F889" s="16" t="s">
        <v>215</v>
      </c>
      <c r="G889" s="16" t="s">
        <v>220</v>
      </c>
      <c r="H889" s="16" t="s">
        <v>220</v>
      </c>
    </row>
    <row r="890" ht="330.75" customHeight="1">
      <c r="A890" s="32" t="str">
        <f>IMAGE("https://gymvisual.com/13112-catalog_default/cable-side-bend.jpg",4,500,500)</f>
        <v/>
      </c>
      <c r="B890" s="30">
        <v>1117.0</v>
      </c>
      <c r="C890" s="16" t="s">
        <v>1623</v>
      </c>
      <c r="D890" s="16" t="s">
        <v>184</v>
      </c>
      <c r="E890" s="16" t="s">
        <v>254</v>
      </c>
      <c r="F890" s="16" t="s">
        <v>215</v>
      </c>
      <c r="G890" s="16" t="s">
        <v>257</v>
      </c>
      <c r="H890" s="16" t="s">
        <v>220</v>
      </c>
    </row>
    <row r="891" ht="330.75" customHeight="1">
      <c r="A891" s="32" t="str">
        <f>IMAGE("https://gymvisual.com/11291-catalog_default/cable-shrug-female.jpg",4,500,500)</f>
        <v/>
      </c>
      <c r="B891" s="30">
        <v>1116.0</v>
      </c>
      <c r="C891" s="16" t="s">
        <v>1622</v>
      </c>
      <c r="D891" s="16" t="s">
        <v>184</v>
      </c>
      <c r="E891" s="16" t="s">
        <v>192</v>
      </c>
      <c r="F891" s="16" t="s">
        <v>215</v>
      </c>
      <c r="G891" s="16" t="s">
        <v>220</v>
      </c>
      <c r="H891" s="16" t="s">
        <v>220</v>
      </c>
    </row>
    <row r="892" ht="330.75" customHeight="1">
      <c r="A892" s="32" t="str">
        <f>IMAGE("https://gymvisual.com/682-catalog_default/cable-shrug.jpg",4,500,500)</f>
        <v/>
      </c>
      <c r="B892" s="30">
        <v>1115.0</v>
      </c>
      <c r="C892" s="16" t="s">
        <v>1620</v>
      </c>
      <c r="D892" s="16" t="s">
        <v>184</v>
      </c>
      <c r="E892" s="16" t="s">
        <v>192</v>
      </c>
      <c r="F892" s="16" t="s">
        <v>215</v>
      </c>
      <c r="G892" s="16" t="s">
        <v>238</v>
      </c>
      <c r="H892" s="16" t="s">
        <v>1621</v>
      </c>
    </row>
    <row r="893" ht="330.75" customHeight="1">
      <c r="A893" s="32" t="str">
        <f>IMAGE("https://gymvisual.com/13401-catalog_default/cable-shoulder-press-female.jpg",4,500,500)</f>
        <v/>
      </c>
      <c r="B893" s="30">
        <v>1114.0</v>
      </c>
      <c r="C893" s="16" t="s">
        <v>1619</v>
      </c>
      <c r="D893" s="16" t="s">
        <v>184</v>
      </c>
      <c r="E893" s="16" t="s">
        <v>228</v>
      </c>
      <c r="F893" s="16" t="s">
        <v>215</v>
      </c>
      <c r="G893" s="16" t="s">
        <v>220</v>
      </c>
      <c r="H893" s="16" t="s">
        <v>220</v>
      </c>
    </row>
    <row r="894" ht="330.75" customHeight="1">
      <c r="A894" s="32" t="str">
        <f>IMAGE("https://gymvisual.com/679-catalog_default/cable-shoulder-press.jpg",4,500,500)</f>
        <v/>
      </c>
      <c r="B894" s="30">
        <v>1113.0</v>
      </c>
      <c r="C894" s="16" t="s">
        <v>1618</v>
      </c>
      <c r="D894" s="16" t="s">
        <v>184</v>
      </c>
      <c r="E894" s="16" t="s">
        <v>228</v>
      </c>
      <c r="F894" s="16" t="s">
        <v>215</v>
      </c>
      <c r="G894" s="16" t="s">
        <v>229</v>
      </c>
      <c r="H894" s="16" t="s">
        <v>230</v>
      </c>
    </row>
    <row r="895" ht="330.75" customHeight="1">
      <c r="A895" s="32" t="str">
        <f>IMAGE("https://gymvisual.com/23887-catalog_default/cable-shoulder-internal-rotation.jpg",4,500,500)</f>
        <v/>
      </c>
      <c r="B895" s="30">
        <v>1112.0</v>
      </c>
      <c r="C895" s="16" t="s">
        <v>1617</v>
      </c>
      <c r="D895" s="16" t="s">
        <v>184</v>
      </c>
      <c r="E895" s="16" t="s">
        <v>228</v>
      </c>
      <c r="F895" s="16" t="s">
        <v>215</v>
      </c>
      <c r="G895" s="16" t="s">
        <v>472</v>
      </c>
      <c r="H895" s="16" t="s">
        <v>220</v>
      </c>
    </row>
    <row r="896" ht="330.75" customHeight="1">
      <c r="A896" s="32" t="str">
        <f>IMAGE("https://gymvisual.com/23889-catalog_default/cable-shoulder-90-degrees-internal-rotation.jpg",4,500,500)</f>
        <v/>
      </c>
      <c r="B896" s="30">
        <v>1111.0</v>
      </c>
      <c r="C896" s="16" t="s">
        <v>1616</v>
      </c>
      <c r="D896" s="16" t="s">
        <v>184</v>
      </c>
      <c r="E896" s="16" t="s">
        <v>192</v>
      </c>
      <c r="F896" s="16" t="s">
        <v>215</v>
      </c>
      <c r="G896" s="16" t="s">
        <v>347</v>
      </c>
      <c r="H896" s="16" t="s">
        <v>882</v>
      </c>
    </row>
    <row r="897" ht="330.75" customHeight="1">
      <c r="A897" s="32" t="str">
        <f>IMAGE("https://gymvisual.com/23885-catalog_default/cable-shoulder-90-degrees-external-rotation.jpg",4,500,500)</f>
        <v/>
      </c>
      <c r="B897" s="30">
        <v>1110.0</v>
      </c>
      <c r="C897" s="16" t="s">
        <v>1615</v>
      </c>
      <c r="D897" s="16" t="s">
        <v>184</v>
      </c>
      <c r="E897" s="16" t="s">
        <v>192</v>
      </c>
      <c r="F897" s="16" t="s">
        <v>215</v>
      </c>
      <c r="G897" s="16" t="s">
        <v>1607</v>
      </c>
      <c r="H897" s="16" t="s">
        <v>408</v>
      </c>
    </row>
    <row r="898" ht="330.75" customHeight="1">
      <c r="A898" s="32" t="str">
        <f>IMAGE("https://gymvisual.com/13682-catalog_default/cable-seating-close-press.jpg",4,500,500)</f>
        <v/>
      </c>
      <c r="B898" s="30">
        <v>1109.0</v>
      </c>
      <c r="C898" s="16" t="s">
        <v>1614</v>
      </c>
      <c r="D898" s="16" t="s">
        <v>184</v>
      </c>
      <c r="E898" s="16" t="s">
        <v>219</v>
      </c>
      <c r="F898" s="16" t="s">
        <v>215</v>
      </c>
      <c r="G898" s="16" t="s">
        <v>223</v>
      </c>
      <c r="H898" s="16" t="s">
        <v>472</v>
      </c>
    </row>
    <row r="899" ht="330.75" customHeight="1">
      <c r="A899" s="32" t="str">
        <f>IMAGE("https://gymvisual.com/676-catalog_default/cable-seated-wide-grip-row.jpg",4,500,500)</f>
        <v/>
      </c>
      <c r="B899" s="30">
        <v>1108.0</v>
      </c>
      <c r="C899" s="16" t="s">
        <v>1613</v>
      </c>
      <c r="D899" s="16" t="s">
        <v>184</v>
      </c>
      <c r="E899" s="16" t="s">
        <v>192</v>
      </c>
      <c r="F899" s="16" t="s">
        <v>215</v>
      </c>
      <c r="G899" s="16" t="s">
        <v>329</v>
      </c>
      <c r="H899" s="16" t="s">
        <v>447</v>
      </c>
    </row>
    <row r="900" ht="330.75" customHeight="1">
      <c r="A900" s="32" t="str">
        <f>IMAGE("https://gymvisual.com/14260-catalog_default/cable-seated-wide-grip-row-female.jpg",4,500,500)</f>
        <v/>
      </c>
      <c r="B900" s="30">
        <v>1107.0</v>
      </c>
      <c r="C900" s="16" t="s">
        <v>1612</v>
      </c>
      <c r="D900" s="16" t="s">
        <v>184</v>
      </c>
      <c r="E900" s="16" t="s">
        <v>192</v>
      </c>
      <c r="F900" s="16" t="s">
        <v>215</v>
      </c>
      <c r="G900" s="16" t="s">
        <v>329</v>
      </c>
      <c r="H900" s="16" t="s">
        <v>357</v>
      </c>
    </row>
    <row r="901" ht="330.75" customHeight="1">
      <c r="A901" s="32" t="str">
        <f>IMAGE("https://gymvisual.com/10551-catalog_default/cable-seated-twist-on-floor-female.jpg",4,500,500)</f>
        <v/>
      </c>
      <c r="B901" s="30">
        <v>1106.0</v>
      </c>
      <c r="C901" s="16" t="s">
        <v>1611</v>
      </c>
      <c r="D901" s="16" t="s">
        <v>184</v>
      </c>
      <c r="E901" s="16" t="s">
        <v>254</v>
      </c>
      <c r="F901" s="16" t="s">
        <v>215</v>
      </c>
      <c r="G901" s="16" t="s">
        <v>257</v>
      </c>
      <c r="H901" s="16" t="s">
        <v>271</v>
      </c>
    </row>
    <row r="902" ht="330.75" customHeight="1">
      <c r="A902" s="32" t="str">
        <f>IMAGE("https://gymvisual.com/10412-catalog_default/cable-seated-twist.jpg",4,500,500)</f>
        <v/>
      </c>
      <c r="B902" s="30">
        <v>1105.0</v>
      </c>
      <c r="C902" s="16" t="s">
        <v>1610</v>
      </c>
      <c r="D902" s="16" t="s">
        <v>184</v>
      </c>
      <c r="E902" s="16" t="s">
        <v>254</v>
      </c>
      <c r="F902" s="16" t="s">
        <v>215</v>
      </c>
      <c r="G902" s="16" t="s">
        <v>257</v>
      </c>
      <c r="H902" s="16" t="s">
        <v>271</v>
      </c>
    </row>
    <row r="903" ht="330.75" customHeight="1">
      <c r="A903" s="32" t="str">
        <f>IMAGE("https://gymvisual.com/12979-catalog_default/cable-seated-supine-grip-row-male.jpg",4,500,500)</f>
        <v/>
      </c>
      <c r="B903" s="30">
        <v>1104.0</v>
      </c>
      <c r="C903" s="16" t="s">
        <v>1609</v>
      </c>
      <c r="D903" s="16" t="s">
        <v>184</v>
      </c>
      <c r="E903" s="16" t="s">
        <v>192</v>
      </c>
      <c r="F903" s="16" t="s">
        <v>215</v>
      </c>
      <c r="G903" s="16" t="s">
        <v>329</v>
      </c>
      <c r="H903" s="16" t="s">
        <v>357</v>
      </c>
    </row>
    <row r="904" ht="330.75" customHeight="1">
      <c r="A904" s="32" t="str">
        <f>IMAGE("https://gymvisual.com/673-catalog_default/cable-seated-supine-grip-row.jpg",4,500,500)</f>
        <v/>
      </c>
      <c r="B904" s="30">
        <v>1103.0</v>
      </c>
      <c r="C904" s="16" t="s">
        <v>1608</v>
      </c>
      <c r="D904" s="16" t="s">
        <v>184</v>
      </c>
      <c r="E904" s="16" t="s">
        <v>192</v>
      </c>
      <c r="F904" s="16" t="s">
        <v>215</v>
      </c>
      <c r="G904" s="16" t="s">
        <v>329</v>
      </c>
      <c r="H904" s="16" t="s">
        <v>357</v>
      </c>
    </row>
    <row r="905" ht="330.75" customHeight="1">
      <c r="A905" s="32" t="str">
        <f>IMAGE("https://gymvisual.com/670-catalog_default/cable-seated-shoulder-internal-rotation.jpg",4,500,500)</f>
        <v/>
      </c>
      <c r="B905" s="30">
        <v>1102.0</v>
      </c>
      <c r="C905" s="16" t="s">
        <v>1606</v>
      </c>
      <c r="D905" s="16" t="s">
        <v>184</v>
      </c>
      <c r="E905" s="16" t="s">
        <v>192</v>
      </c>
      <c r="F905" s="16" t="s">
        <v>215</v>
      </c>
      <c r="G905" s="16" t="s">
        <v>1607</v>
      </c>
      <c r="H905" s="16" t="s">
        <v>662</v>
      </c>
    </row>
    <row r="906" ht="330.75" customHeight="1">
      <c r="A906" s="32" t="str">
        <f>IMAGE("https://gymvisual.com/12224-catalog_default/cable-seated-row-with-v-bar.jpg",4,500,500)</f>
        <v/>
      </c>
      <c r="B906" s="30">
        <v>1101.0</v>
      </c>
      <c r="C906" s="16" t="s">
        <v>1605</v>
      </c>
      <c r="D906" s="16" t="s">
        <v>184</v>
      </c>
      <c r="E906" s="16" t="s">
        <v>192</v>
      </c>
      <c r="F906" s="16" t="s">
        <v>215</v>
      </c>
      <c r="G906" s="16" t="s">
        <v>329</v>
      </c>
      <c r="H906" s="16" t="s">
        <v>447</v>
      </c>
    </row>
    <row r="907" ht="330.75" customHeight="1">
      <c r="A907" s="32" t="str">
        <f>IMAGE("https://gymvisual.com/9649-catalog_default/cable-seated-row-female.jpg",4,500,500)</f>
        <v/>
      </c>
      <c r="B907" s="30">
        <v>1100.0</v>
      </c>
      <c r="C907" s="16" t="s">
        <v>1604</v>
      </c>
      <c r="D907" s="16" t="s">
        <v>184</v>
      </c>
      <c r="E907" s="16" t="s">
        <v>192</v>
      </c>
      <c r="F907" s="16" t="s">
        <v>215</v>
      </c>
      <c r="G907" s="16" t="s">
        <v>220</v>
      </c>
      <c r="H907" s="16" t="s">
        <v>220</v>
      </c>
    </row>
    <row r="908" ht="330.75" customHeight="1">
      <c r="A908" s="32" t="str">
        <f>IMAGE("https://gymvisual.com/4609-catalog_default/cable-seated-row-bent-bar.jpg",4,500,500)</f>
        <v/>
      </c>
      <c r="B908" s="30">
        <v>1099.0</v>
      </c>
      <c r="C908" s="16" t="s">
        <v>1603</v>
      </c>
      <c r="D908" s="16" t="s">
        <v>184</v>
      </c>
      <c r="E908" s="16" t="s">
        <v>192</v>
      </c>
      <c r="F908" s="16" t="s">
        <v>215</v>
      </c>
      <c r="G908" s="16" t="s">
        <v>329</v>
      </c>
      <c r="H908" s="16" t="s">
        <v>457</v>
      </c>
    </row>
    <row r="909" ht="330.75" customHeight="1">
      <c r="A909" s="32" t="str">
        <f>IMAGE("https://gymvisual.com/7320-catalog_default/cable-seated-row.jpg",4,500,500)</f>
        <v/>
      </c>
      <c r="B909" s="30">
        <v>1098.0</v>
      </c>
      <c r="C909" s="16" t="s">
        <v>1602</v>
      </c>
      <c r="D909" s="16" t="s">
        <v>184</v>
      </c>
      <c r="E909" s="16" t="s">
        <v>192</v>
      </c>
      <c r="F909" s="16" t="s">
        <v>215</v>
      </c>
      <c r="G909" s="16" t="s">
        <v>329</v>
      </c>
      <c r="H909" s="16" t="s">
        <v>457</v>
      </c>
    </row>
    <row r="910" ht="330.75" customHeight="1">
      <c r="A910" s="32" t="str">
        <f>IMAGE("https://gymvisual.com/2946-catalog_default/cable-seated-rear-lateral-raise.jpg",4,500,500)</f>
        <v/>
      </c>
      <c r="B910" s="30">
        <v>1097.0</v>
      </c>
      <c r="C910" s="16" t="s">
        <v>1600</v>
      </c>
      <c r="D910" s="16" t="s">
        <v>184</v>
      </c>
      <c r="E910" s="16" t="s">
        <v>228</v>
      </c>
      <c r="F910" s="16" t="s">
        <v>215</v>
      </c>
      <c r="G910" s="16" t="s">
        <v>408</v>
      </c>
      <c r="H910" s="16" t="s">
        <v>1601</v>
      </c>
    </row>
    <row r="911" ht="330.75" customHeight="1">
      <c r="A911" s="32" t="str">
        <f>IMAGE("https://gymvisual.com/17292-catalog_default/cable-seated-rear-delt-fly-with-chest-support.jpg",4,500,500)</f>
        <v/>
      </c>
      <c r="B911" s="30">
        <v>1096.0</v>
      </c>
      <c r="C911" s="16" t="s">
        <v>1599</v>
      </c>
      <c r="D911" s="16" t="s">
        <v>184</v>
      </c>
      <c r="E911" s="16" t="s">
        <v>228</v>
      </c>
      <c r="F911" s="16" t="s">
        <v>215</v>
      </c>
      <c r="G911" s="16" t="s">
        <v>408</v>
      </c>
      <c r="H911" s="16" t="s">
        <v>452</v>
      </c>
    </row>
    <row r="912" ht="330.75" customHeight="1">
      <c r="A912" s="32" t="str">
        <f>IMAGE("https://gymvisual.com/18003-catalog_default/cable-seated-pullover.jpg",4,500,500)</f>
        <v/>
      </c>
      <c r="B912" s="30">
        <v>1095.0</v>
      </c>
      <c r="C912" s="16" t="s">
        <v>1598</v>
      </c>
      <c r="D912" s="16" t="s">
        <v>184</v>
      </c>
      <c r="E912" s="16" t="s">
        <v>192</v>
      </c>
      <c r="F912" s="16" t="s">
        <v>215</v>
      </c>
      <c r="G912" s="16" t="s">
        <v>220</v>
      </c>
      <c r="H912" s="16" t="s">
        <v>220</v>
      </c>
    </row>
    <row r="913" ht="330.75" customHeight="1">
      <c r="A913" s="32" t="str">
        <f>IMAGE("https://gymvisual.com/13399-catalog_default/cable-seated-overhead-curl-female.jpg",4,500,500)</f>
        <v/>
      </c>
      <c r="B913" s="30">
        <v>1094.0</v>
      </c>
      <c r="C913" s="16" t="s">
        <v>1597</v>
      </c>
      <c r="D913" s="16" t="s">
        <v>184</v>
      </c>
      <c r="E913" s="16" t="s">
        <v>219</v>
      </c>
      <c r="F913" s="16" t="s">
        <v>215</v>
      </c>
      <c r="G913" s="16" t="s">
        <v>220</v>
      </c>
      <c r="H913" s="16" t="s">
        <v>220</v>
      </c>
    </row>
    <row r="914" ht="330.75" customHeight="1">
      <c r="A914" s="32" t="str">
        <f>IMAGE("https://gymvisual.com/7117-catalog_default/cable-seated-overhead-curl.jpg",4,500,500)</f>
        <v/>
      </c>
      <c r="B914" s="30">
        <v>1093.0</v>
      </c>
      <c r="C914" s="16" t="s">
        <v>1596</v>
      </c>
      <c r="D914" s="16" t="s">
        <v>184</v>
      </c>
      <c r="E914" s="16" t="s">
        <v>219</v>
      </c>
      <c r="F914" s="16" t="s">
        <v>215</v>
      </c>
      <c r="G914" s="16" t="s">
        <v>220</v>
      </c>
      <c r="H914" s="16" t="s">
        <v>220</v>
      </c>
    </row>
    <row r="915" ht="330.75" customHeight="1">
      <c r="A915" s="32" t="str">
        <f>IMAGE("https://gymvisual.com/13397-catalog_default/cable-seated-one-arm-concentration-curl-female.jpg",4,500,500)</f>
        <v/>
      </c>
      <c r="B915" s="30">
        <v>1092.0</v>
      </c>
      <c r="C915" s="16" t="s">
        <v>1595</v>
      </c>
      <c r="D915" s="16" t="s">
        <v>184</v>
      </c>
      <c r="E915" s="16" t="s">
        <v>219</v>
      </c>
      <c r="F915" s="16" t="s">
        <v>215</v>
      </c>
      <c r="G915" s="16" t="s">
        <v>220</v>
      </c>
      <c r="H915" s="16" t="s">
        <v>220</v>
      </c>
    </row>
    <row r="916" ht="330.75" customHeight="1">
      <c r="A916" s="32" t="str">
        <f>IMAGE("https://gymvisual.com/7116-catalog_default/cable-seated-one-arm-concentration-curl.jpg",4,500,500)</f>
        <v/>
      </c>
      <c r="B916" s="30">
        <v>1091.0</v>
      </c>
      <c r="C916" s="16" t="s">
        <v>1594</v>
      </c>
      <c r="D916" s="16" t="s">
        <v>184</v>
      </c>
      <c r="E916" s="16" t="s">
        <v>219</v>
      </c>
      <c r="F916" s="16" t="s">
        <v>215</v>
      </c>
      <c r="G916" s="16" t="s">
        <v>220</v>
      </c>
      <c r="H916" s="16" t="s">
        <v>220</v>
      </c>
    </row>
    <row r="917" ht="330.75" customHeight="1">
      <c r="A917" s="32" t="str">
        <f>IMAGE("https://gymvisual.com/664-catalog_default/cable-seated-one-arm-alternate-row.jpg",4,500,500)</f>
        <v/>
      </c>
      <c r="B917" s="30">
        <v>1090.0</v>
      </c>
      <c r="C917" s="16" t="s">
        <v>1593</v>
      </c>
      <c r="D917" s="16" t="s">
        <v>184</v>
      </c>
      <c r="E917" s="16" t="s">
        <v>192</v>
      </c>
      <c r="F917" s="16" t="s">
        <v>215</v>
      </c>
      <c r="G917" s="16" t="s">
        <v>329</v>
      </c>
      <c r="H917" s="16" t="s">
        <v>330</v>
      </c>
    </row>
    <row r="918" ht="330.75" customHeight="1">
      <c r="A918" s="32" t="str">
        <f>IMAGE("https://gymvisual.com/13662-catalog_default/cable-seated-on-floor-row-with-rope.jpg",4,500,500)</f>
        <v/>
      </c>
      <c r="B918" s="30">
        <v>1089.0</v>
      </c>
      <c r="C918" s="16" t="s">
        <v>1592</v>
      </c>
      <c r="D918" s="16" t="s">
        <v>184</v>
      </c>
      <c r="E918" s="16" t="s">
        <v>192</v>
      </c>
      <c r="F918" s="16" t="s">
        <v>215</v>
      </c>
      <c r="G918" s="16" t="s">
        <v>329</v>
      </c>
      <c r="H918" s="16" t="s">
        <v>220</v>
      </c>
    </row>
    <row r="919" ht="330.75" customHeight="1">
      <c r="A919" s="32" t="str">
        <f>IMAGE("https://gymvisual.com/10490-catalog_default/cable-seated-neck-flexion-with-head-harness.jpg",4,500,500)</f>
        <v/>
      </c>
      <c r="B919" s="30">
        <v>1088.0</v>
      </c>
      <c r="C919" s="16" t="s">
        <v>1591</v>
      </c>
      <c r="D919" s="16" t="s">
        <v>184</v>
      </c>
      <c r="E919" s="16" t="s">
        <v>351</v>
      </c>
      <c r="F919" s="16" t="s">
        <v>215</v>
      </c>
      <c r="G919" s="16" t="s">
        <v>220</v>
      </c>
      <c r="H919" s="16" t="s">
        <v>220</v>
      </c>
    </row>
    <row r="920" ht="330.75" customHeight="1">
      <c r="A920" s="32" t="str">
        <f>IMAGE("https://gymvisual.com/10489-catalog_default/cable-seated-neck-extension-with-head-harness.jpg",4,500,500)</f>
        <v/>
      </c>
      <c r="B920" s="30">
        <v>1087.0</v>
      </c>
      <c r="C920" s="16" t="s">
        <v>1589</v>
      </c>
      <c r="D920" s="16" t="s">
        <v>184</v>
      </c>
      <c r="E920" s="16" t="s">
        <v>351</v>
      </c>
      <c r="F920" s="16" t="s">
        <v>215</v>
      </c>
      <c r="G920" s="16" t="s">
        <v>1590</v>
      </c>
      <c r="H920" s="16" t="s">
        <v>220</v>
      </c>
    </row>
    <row r="921" ht="330.75" customHeight="1">
      <c r="A921" s="32" t="str">
        <f>IMAGE("https://gymvisual.com/25007-catalog_default/cable-seated-leg-extension.jpg",4,500,500)</f>
        <v/>
      </c>
      <c r="B921" s="30">
        <v>1086.0</v>
      </c>
      <c r="C921" s="16" t="s">
        <v>1588</v>
      </c>
      <c r="D921" s="16" t="s">
        <v>184</v>
      </c>
      <c r="E921" s="16" t="s">
        <v>285</v>
      </c>
      <c r="F921" s="16" t="s">
        <v>215</v>
      </c>
      <c r="G921" s="16" t="s">
        <v>220</v>
      </c>
      <c r="H921" s="16" t="s">
        <v>220</v>
      </c>
    </row>
    <row r="922" ht="330.75" customHeight="1">
      <c r="A922" s="32" t="str">
        <f>IMAGE("https://gymvisual.com/24462-catalog_default/cable-seated-lats-focused-row.jpg",4,500,500)</f>
        <v/>
      </c>
      <c r="B922" s="30">
        <v>1085.0</v>
      </c>
      <c r="C922" s="16" t="s">
        <v>1587</v>
      </c>
      <c r="D922" s="16" t="s">
        <v>184</v>
      </c>
      <c r="E922" s="16" t="s">
        <v>192</v>
      </c>
      <c r="F922" s="16" t="s">
        <v>215</v>
      </c>
      <c r="G922" s="16" t="s">
        <v>300</v>
      </c>
      <c r="H922" s="16" t="s">
        <v>387</v>
      </c>
    </row>
    <row r="923" ht="330.75" customHeight="1">
      <c r="A923" s="32" t="str">
        <f>IMAGE("https://gymvisual.com/17923-catalog_default/cable-seated-horizontal-shrug-male.jpg",4,500,500)</f>
        <v/>
      </c>
      <c r="B923" s="30">
        <v>1084.0</v>
      </c>
      <c r="C923" s="16" t="s">
        <v>1586</v>
      </c>
      <c r="D923" s="16" t="s">
        <v>184</v>
      </c>
      <c r="E923" s="16" t="s">
        <v>192</v>
      </c>
      <c r="F923" s="16" t="s">
        <v>215</v>
      </c>
      <c r="G923" s="16" t="s">
        <v>220</v>
      </c>
      <c r="H923" s="16" t="s">
        <v>220</v>
      </c>
    </row>
    <row r="924" ht="330.75" customHeight="1">
      <c r="A924" s="32" t="str">
        <f>IMAGE("https://gymvisual.com/661-catalog_default/cable-seated-high-row-v-bar.jpg",4,500,500)</f>
        <v/>
      </c>
      <c r="B924" s="30">
        <v>1083.0</v>
      </c>
      <c r="C924" s="16" t="s">
        <v>1585</v>
      </c>
      <c r="D924" s="16" t="s">
        <v>184</v>
      </c>
      <c r="E924" s="16" t="s">
        <v>192</v>
      </c>
      <c r="F924" s="16" t="s">
        <v>215</v>
      </c>
      <c r="G924" s="16" t="s">
        <v>300</v>
      </c>
      <c r="H924" s="16" t="s">
        <v>1357</v>
      </c>
    </row>
    <row r="925" ht="330.75" customHeight="1">
      <c r="A925" s="32" t="str">
        <f>IMAGE("https://gymvisual.com/13395-catalog_default/cable-seated-high-row-v-bar-female.jpg",4,500,500)</f>
        <v/>
      </c>
      <c r="B925" s="30">
        <v>1082.0</v>
      </c>
      <c r="C925" s="16" t="s">
        <v>1584</v>
      </c>
      <c r="D925" s="16" t="s">
        <v>184</v>
      </c>
      <c r="E925" s="16" t="s">
        <v>192</v>
      </c>
      <c r="F925" s="16" t="s">
        <v>215</v>
      </c>
      <c r="G925" s="16" t="s">
        <v>570</v>
      </c>
      <c r="H925" s="16" t="s">
        <v>447</v>
      </c>
    </row>
    <row r="926" ht="330.75" customHeight="1">
      <c r="A926" s="32" t="str">
        <f>IMAGE("https://gymvisual.com/25964-catalog_default/cable-seated-high-pulley-overhead-triceps-extension.jpg",4,500,500)</f>
        <v/>
      </c>
      <c r="B926" s="30">
        <v>1081.0</v>
      </c>
      <c r="C926" s="16" t="s">
        <v>1583</v>
      </c>
      <c r="D926" s="16" t="s">
        <v>184</v>
      </c>
      <c r="E926" s="16" t="s">
        <v>219</v>
      </c>
      <c r="F926" s="16" t="s">
        <v>215</v>
      </c>
      <c r="G926" s="16" t="s">
        <v>223</v>
      </c>
      <c r="H926" s="16" t="s">
        <v>220</v>
      </c>
    </row>
    <row r="927" ht="330.75" customHeight="1">
      <c r="A927" s="32" t="str">
        <f>IMAGE("https://gymvisual.com/17197-catalog_default/cable-seated-floor-one-arm-concentration-curl.jpg",4,500,500)</f>
        <v/>
      </c>
      <c r="B927" s="30">
        <v>1080.0</v>
      </c>
      <c r="C927" s="16" t="s">
        <v>1582</v>
      </c>
      <c r="D927" s="16" t="s">
        <v>184</v>
      </c>
      <c r="E927" s="16" t="s">
        <v>219</v>
      </c>
      <c r="F927" s="16" t="s">
        <v>215</v>
      </c>
      <c r="G927" s="16" t="s">
        <v>241</v>
      </c>
      <c r="H927" s="16" t="s">
        <v>292</v>
      </c>
    </row>
    <row r="928" ht="330.75" customHeight="1">
      <c r="A928" s="32" t="str">
        <f>IMAGE("https://gymvisual.com/24995-catalog_default/cable-seated-face-pull-with-rope-male.jpg",4,500,500)</f>
        <v/>
      </c>
      <c r="B928" s="30">
        <v>1079.0</v>
      </c>
      <c r="C928" s="16" t="s">
        <v>1581</v>
      </c>
      <c r="D928" s="16" t="s">
        <v>184</v>
      </c>
      <c r="E928" s="16" t="s">
        <v>228</v>
      </c>
      <c r="F928" s="16" t="s">
        <v>215</v>
      </c>
      <c r="G928" s="16" t="s">
        <v>220</v>
      </c>
      <c r="H928" s="16" t="s">
        <v>220</v>
      </c>
    </row>
    <row r="929" ht="330.75" customHeight="1">
      <c r="A929" s="32" t="str">
        <f>IMAGE("https://gymvisual.com/13393-catalog_default/cable-seated-curl-female.jpg",4,500,500)</f>
        <v/>
      </c>
      <c r="B929" s="30">
        <v>1078.0</v>
      </c>
      <c r="C929" s="16" t="s">
        <v>1580</v>
      </c>
      <c r="D929" s="16" t="s">
        <v>184</v>
      </c>
      <c r="E929" s="16" t="s">
        <v>219</v>
      </c>
      <c r="F929" s="16" t="s">
        <v>215</v>
      </c>
      <c r="G929" s="16" t="s">
        <v>220</v>
      </c>
      <c r="H929" s="16" t="s">
        <v>220</v>
      </c>
    </row>
    <row r="930" ht="330.75" customHeight="1">
      <c r="A930" s="32" t="str">
        <f>IMAGE("https://gymvisual.com/7115-catalog_default/cable-seated-curl.jpg",4,500,500)</f>
        <v/>
      </c>
      <c r="B930" s="30">
        <v>1077.0</v>
      </c>
      <c r="C930" s="16" t="s">
        <v>1579</v>
      </c>
      <c r="D930" s="16" t="s">
        <v>184</v>
      </c>
      <c r="E930" s="16" t="s">
        <v>219</v>
      </c>
      <c r="F930" s="16" t="s">
        <v>215</v>
      </c>
      <c r="G930" s="16" t="s">
        <v>220</v>
      </c>
      <c r="H930" s="16" t="s">
        <v>220</v>
      </c>
    </row>
    <row r="931" ht="330.75" customHeight="1">
      <c r="A931" s="32" t="str">
        <f>IMAGE("https://gymvisual.com/11601-catalog_default/cable-seated-crunch-female.jpg",4,500,500)</f>
        <v/>
      </c>
      <c r="B931" s="30">
        <v>1076.0</v>
      </c>
      <c r="C931" s="16" t="s">
        <v>1578</v>
      </c>
      <c r="D931" s="16" t="s">
        <v>184</v>
      </c>
      <c r="E931" s="16" t="s">
        <v>254</v>
      </c>
      <c r="F931" s="16" t="s">
        <v>215</v>
      </c>
      <c r="G931" s="16" t="s">
        <v>220</v>
      </c>
      <c r="H931" s="16" t="s">
        <v>220</v>
      </c>
    </row>
    <row r="932" ht="330.75" customHeight="1">
      <c r="A932" s="32" t="str">
        <f>IMAGE("https://gymvisual.com/25214-catalog_default/cable-seated-crunch.jpg",4,500,500)</f>
        <v/>
      </c>
      <c r="B932" s="30">
        <v>1075.0</v>
      </c>
      <c r="C932" s="16" t="s">
        <v>1577</v>
      </c>
      <c r="D932" s="16" t="s">
        <v>184</v>
      </c>
      <c r="E932" s="16" t="s">
        <v>254</v>
      </c>
      <c r="F932" s="16" t="s">
        <v>215</v>
      </c>
      <c r="G932" s="16" t="s">
        <v>256</v>
      </c>
      <c r="H932" s="16" t="s">
        <v>257</v>
      </c>
    </row>
    <row r="933" ht="330.75" customHeight="1">
      <c r="A933" s="32" t="str">
        <f>IMAGE("https://gymvisual.com/17817-catalog_default/cable-seated-cross-arm-twist.jpg",4,500,500)</f>
        <v/>
      </c>
      <c r="B933" s="30">
        <v>1074.0</v>
      </c>
      <c r="C933" s="16" t="s">
        <v>1576</v>
      </c>
      <c r="D933" s="16" t="s">
        <v>184</v>
      </c>
      <c r="E933" s="16" t="s">
        <v>254</v>
      </c>
      <c r="F933" s="16" t="s">
        <v>215</v>
      </c>
      <c r="G933" s="16" t="s">
        <v>220</v>
      </c>
      <c r="H933" s="16" t="s">
        <v>220</v>
      </c>
    </row>
    <row r="934" ht="330.75" customHeight="1">
      <c r="A934" s="32" t="str">
        <f>IMAGE("https://gymvisual.com/13391-catalog_default/cable-seated-chest-press-female.jpg",4,500,500)</f>
        <v/>
      </c>
      <c r="B934" s="30">
        <v>1073.0</v>
      </c>
      <c r="C934" s="16" t="s">
        <v>1575</v>
      </c>
      <c r="D934" s="16" t="s">
        <v>184</v>
      </c>
      <c r="E934" s="16" t="s">
        <v>234</v>
      </c>
      <c r="F934" s="16" t="s">
        <v>215</v>
      </c>
      <c r="G934" s="16" t="s">
        <v>220</v>
      </c>
      <c r="H934" s="16" t="s">
        <v>220</v>
      </c>
    </row>
    <row r="935" ht="330.75" customHeight="1">
      <c r="A935" s="32" t="str">
        <f>IMAGE("https://gymvisual.com/8767-catalog_default/cable-seated-chest-press.jpg",4,500,500)</f>
        <v/>
      </c>
      <c r="B935" s="30">
        <v>1072.0</v>
      </c>
      <c r="C935" s="16" t="s">
        <v>1574</v>
      </c>
      <c r="D935" s="16" t="s">
        <v>184</v>
      </c>
      <c r="E935" s="16" t="s">
        <v>234</v>
      </c>
      <c r="F935" s="16" t="s">
        <v>215</v>
      </c>
      <c r="G935" s="16" t="s">
        <v>220</v>
      </c>
      <c r="H935" s="16" t="s">
        <v>220</v>
      </c>
    </row>
    <row r="936" ht="330.75" customHeight="1">
      <c r="A936" s="32" t="str">
        <f>IMAGE("https://gymvisual.com/17737-catalog_default/cable-seated-chest-fly.jpg",4,500,500)</f>
        <v/>
      </c>
      <c r="B936" s="30">
        <v>1071.0</v>
      </c>
      <c r="C936" s="16" t="s">
        <v>1573</v>
      </c>
      <c r="D936" s="16" t="s">
        <v>184</v>
      </c>
      <c r="E936" s="16" t="s">
        <v>234</v>
      </c>
      <c r="F936" s="16" t="s">
        <v>215</v>
      </c>
      <c r="G936" s="16" t="s">
        <v>220</v>
      </c>
      <c r="H936" s="16" t="s">
        <v>220</v>
      </c>
    </row>
    <row r="937" ht="330.75" customHeight="1">
      <c r="A937" s="32" t="str">
        <f>IMAGE("https://gymvisual.com/13389-catalog_default/cable-russian-twists-on-stability-ball-female.jpg",4,500,500)</f>
        <v/>
      </c>
      <c r="B937" s="30">
        <v>1070.0</v>
      </c>
      <c r="C937" s="16" t="s">
        <v>1571</v>
      </c>
      <c r="D937" s="16" t="s">
        <v>184</v>
      </c>
      <c r="E937" s="16" t="s">
        <v>254</v>
      </c>
      <c r="F937" s="16" t="s">
        <v>1572</v>
      </c>
      <c r="G937" s="16" t="s">
        <v>220</v>
      </c>
      <c r="H937" s="16" t="s">
        <v>220</v>
      </c>
    </row>
    <row r="938" ht="330.75" customHeight="1">
      <c r="A938" s="32" t="str">
        <f>IMAGE("https://gymvisual.com/655-catalog_default/cable-russian-twists-on-stability-ball.jpg",4,500,500)</f>
        <v/>
      </c>
      <c r="B938" s="30">
        <v>1069.0</v>
      </c>
      <c r="C938" s="16" t="s">
        <v>1570</v>
      </c>
      <c r="D938" s="16" t="s">
        <v>184</v>
      </c>
      <c r="E938" s="16" t="s">
        <v>254</v>
      </c>
      <c r="F938" s="16" t="s">
        <v>215</v>
      </c>
      <c r="G938" s="16" t="s">
        <v>257</v>
      </c>
      <c r="H938" s="16" t="s">
        <v>220</v>
      </c>
    </row>
    <row r="939" ht="330.75" customHeight="1">
      <c r="A939" s="32" t="str">
        <f>IMAGE("https://gymvisual.com/6014-catalog_default/cable-rope-seated-row.jpg",4,500,500)</f>
        <v/>
      </c>
      <c r="B939" s="30">
        <v>1068.0</v>
      </c>
      <c r="C939" s="16" t="s">
        <v>1569</v>
      </c>
      <c r="D939" s="16" t="s">
        <v>184</v>
      </c>
      <c r="E939" s="16" t="s">
        <v>192</v>
      </c>
      <c r="F939" s="16" t="s">
        <v>215</v>
      </c>
      <c r="G939" s="16" t="s">
        <v>329</v>
      </c>
      <c r="H939" s="16" t="s">
        <v>457</v>
      </c>
    </row>
    <row r="940" ht="330.75" customHeight="1">
      <c r="A940" s="32" t="str">
        <f>IMAGE("https://gymvisual.com/7114-catalog_default/cable-rope-one-arm-hammer-preacher-curl.jpg",4,500,500)</f>
        <v/>
      </c>
      <c r="B940" s="30">
        <v>1067.0</v>
      </c>
      <c r="C940" s="16" t="s">
        <v>1568</v>
      </c>
      <c r="D940" s="16" t="s">
        <v>184</v>
      </c>
      <c r="E940" s="16" t="s">
        <v>219</v>
      </c>
      <c r="F940" s="16" t="s">
        <v>215</v>
      </c>
      <c r="G940" s="16" t="s">
        <v>220</v>
      </c>
      <c r="H940" s="16" t="s">
        <v>220</v>
      </c>
    </row>
    <row r="941" ht="330.75" customHeight="1">
      <c r="A941" s="32" t="str">
        <f>IMAGE("https://gymvisual.com/7445-catalog_default/cable-rope-lying-on-floor-tricep-extension.jpg",4,500,500)</f>
        <v/>
      </c>
      <c r="B941" s="30">
        <v>1066.0</v>
      </c>
      <c r="C941" s="16" t="s">
        <v>1567</v>
      </c>
      <c r="D941" s="16" t="s">
        <v>184</v>
      </c>
      <c r="E941" s="16" t="s">
        <v>219</v>
      </c>
      <c r="F941" s="16" t="s">
        <v>215</v>
      </c>
      <c r="G941" s="16" t="s">
        <v>220</v>
      </c>
      <c r="H941" s="16" t="s">
        <v>220</v>
      </c>
    </row>
    <row r="942" ht="330.75" customHeight="1">
      <c r="A942" s="32" t="str">
        <f>IMAGE("https://gymvisual.com/7444-catalog_default/cable-rope-incline-tricep-extension.jpg",4,500,500)</f>
        <v/>
      </c>
      <c r="B942" s="30">
        <v>1065.0</v>
      </c>
      <c r="C942" s="16" t="s">
        <v>1566</v>
      </c>
      <c r="D942" s="16" t="s">
        <v>184</v>
      </c>
      <c r="E942" s="16" t="s">
        <v>219</v>
      </c>
      <c r="F942" s="16" t="s">
        <v>215</v>
      </c>
      <c r="G942" s="16" t="s">
        <v>220</v>
      </c>
      <c r="H942" s="16" t="s">
        <v>220</v>
      </c>
    </row>
    <row r="943" ht="330.75" customHeight="1">
      <c r="A943" s="32" t="str">
        <f>IMAGE("https://gymvisual.com/7443-catalog_default/cable-rope-high-pulley-overhead-tricep-extension.jpg",4,500,500)</f>
        <v/>
      </c>
      <c r="B943" s="30">
        <v>1064.0</v>
      </c>
      <c r="C943" s="16" t="s">
        <v>1565</v>
      </c>
      <c r="D943" s="16" t="s">
        <v>184</v>
      </c>
      <c r="E943" s="16" t="s">
        <v>219</v>
      </c>
      <c r="F943" s="16" t="s">
        <v>215</v>
      </c>
      <c r="G943" s="16" t="s">
        <v>223</v>
      </c>
      <c r="H943" s="16" t="s">
        <v>220</v>
      </c>
    </row>
    <row r="944" ht="330.75" customHeight="1">
      <c r="A944" s="32" t="str">
        <f>IMAGE("https://gymvisual.com/7113-catalog_default/cable-rope-hammer-preacher-curl.jpg",4,500,500)</f>
        <v/>
      </c>
      <c r="B944" s="30">
        <v>1063.0</v>
      </c>
      <c r="C944" s="16" t="s">
        <v>1564</v>
      </c>
      <c r="D944" s="16" t="s">
        <v>184</v>
      </c>
      <c r="E944" s="16" t="s">
        <v>219</v>
      </c>
      <c r="F944" s="16" t="s">
        <v>215</v>
      </c>
      <c r="G944" s="16" t="s">
        <v>220</v>
      </c>
      <c r="H944" s="16" t="s">
        <v>220</v>
      </c>
    </row>
    <row r="945" ht="330.75" customHeight="1">
      <c r="A945" s="32" t="str">
        <f>IMAGE("https://gymvisual.com/6013-catalog_default/cable-rope-extension-incline-bench-row.jpg",4,500,500)</f>
        <v/>
      </c>
      <c r="B945" s="30">
        <v>1062.0</v>
      </c>
      <c r="C945" s="16" t="s">
        <v>1563</v>
      </c>
      <c r="D945" s="16" t="s">
        <v>184</v>
      </c>
      <c r="E945" s="16" t="s">
        <v>192</v>
      </c>
      <c r="F945" s="16" t="s">
        <v>215</v>
      </c>
      <c r="G945" s="16" t="s">
        <v>570</v>
      </c>
      <c r="H945" s="16" t="s">
        <v>457</v>
      </c>
    </row>
    <row r="946" ht="330.75" customHeight="1">
      <c r="A946" s="32" t="str">
        <f>IMAGE("https://gymvisual.com/6012-catalog_default/cable-rope-elevated-seated-row.jpg",4,500,500)</f>
        <v/>
      </c>
      <c r="B946" s="30">
        <v>1061.0</v>
      </c>
      <c r="C946" s="16" t="s">
        <v>1562</v>
      </c>
      <c r="D946" s="16" t="s">
        <v>184</v>
      </c>
      <c r="E946" s="16" t="s">
        <v>192</v>
      </c>
      <c r="F946" s="16" t="s">
        <v>215</v>
      </c>
      <c r="G946" s="16" t="s">
        <v>329</v>
      </c>
      <c r="H946" s="16" t="s">
        <v>457</v>
      </c>
    </row>
    <row r="947" ht="330.75" customHeight="1">
      <c r="A947" s="32" t="str">
        <f>IMAGE("https://gymvisual.com/6011-catalog_default/cable-rope-crossover-seated-row.jpg",4,500,500)</f>
        <v/>
      </c>
      <c r="B947" s="30">
        <v>1060.0</v>
      </c>
      <c r="C947" s="16" t="s">
        <v>1561</v>
      </c>
      <c r="D947" s="16" t="s">
        <v>184</v>
      </c>
      <c r="E947" s="16" t="s">
        <v>192</v>
      </c>
      <c r="F947" s="16" t="s">
        <v>215</v>
      </c>
      <c r="G947" s="16" t="s">
        <v>404</v>
      </c>
      <c r="H947" s="16" t="s">
        <v>457</v>
      </c>
    </row>
    <row r="948" ht="330.75" customHeight="1">
      <c r="A948" s="32" t="str">
        <f>IMAGE("https://gymvisual.com/15641-catalog_default/cable-reverse-grip-straight-back-seated-high-row.jpg",4,500,500)</f>
        <v/>
      </c>
      <c r="B948" s="30">
        <v>1059.0</v>
      </c>
      <c r="C948" s="16" t="s">
        <v>1560</v>
      </c>
      <c r="D948" s="16" t="s">
        <v>184</v>
      </c>
      <c r="E948" s="16" t="s">
        <v>192</v>
      </c>
      <c r="F948" s="16" t="s">
        <v>215</v>
      </c>
      <c r="G948" s="16" t="s">
        <v>329</v>
      </c>
      <c r="H948" s="16" t="s">
        <v>447</v>
      </c>
    </row>
    <row r="949" ht="330.75" customHeight="1">
      <c r="A949" s="32" t="str">
        <f>IMAGE("https://gymvisual.com/24784-catalog_default/cable-reverse-grip-pushdown.jpg",4,500,500)</f>
        <v/>
      </c>
      <c r="B949" s="30">
        <v>1058.0</v>
      </c>
      <c r="C949" s="16" t="s">
        <v>1559</v>
      </c>
      <c r="D949" s="16" t="s">
        <v>184</v>
      </c>
      <c r="E949" s="16" t="s">
        <v>219</v>
      </c>
      <c r="F949" s="16" t="s">
        <v>215</v>
      </c>
      <c r="G949" s="16" t="s">
        <v>223</v>
      </c>
      <c r="H949" s="16" t="s">
        <v>220</v>
      </c>
    </row>
    <row r="950" ht="330.75" customHeight="1">
      <c r="A950" s="32" t="str">
        <f>IMAGE("https://gymvisual.com/652-catalog_default/cable-reverse-wrist-curl.jpg",4,500,500)</f>
        <v/>
      </c>
      <c r="B950" s="30">
        <v>1057.0</v>
      </c>
      <c r="C950" s="16" t="s">
        <v>1558</v>
      </c>
      <c r="D950" s="16" t="s">
        <v>184</v>
      </c>
      <c r="E950" s="16" t="s">
        <v>214</v>
      </c>
      <c r="F950" s="16" t="s">
        <v>215</v>
      </c>
      <c r="G950" s="16" t="s">
        <v>604</v>
      </c>
      <c r="H950" s="16" t="s">
        <v>220</v>
      </c>
    </row>
    <row r="951" ht="330.75" customHeight="1">
      <c r="A951" s="32" t="str">
        <f>IMAGE("https://gymvisual.com/25838-catalog_default/cable-reverse-preacher-curl.jpg",4,500,500)</f>
        <v/>
      </c>
      <c r="B951" s="30">
        <v>1056.0</v>
      </c>
      <c r="C951" s="16" t="s">
        <v>1557</v>
      </c>
      <c r="D951" s="16" t="s">
        <v>184</v>
      </c>
      <c r="E951" s="16" t="s">
        <v>214</v>
      </c>
      <c r="F951" s="16" t="s">
        <v>215</v>
      </c>
      <c r="G951" s="16" t="s">
        <v>216</v>
      </c>
      <c r="H951" s="16" t="s">
        <v>217</v>
      </c>
    </row>
    <row r="952" ht="330.75" customHeight="1">
      <c r="A952" s="32" t="str">
        <f>IMAGE("https://gymvisual.com/11582-catalog_default/cable-reverse-one-arm-curl-female.jpg",4,500,500)</f>
        <v/>
      </c>
      <c r="B952" s="30">
        <v>1055.0</v>
      </c>
      <c r="C952" s="16" t="s">
        <v>1556</v>
      </c>
      <c r="D952" s="16" t="s">
        <v>184</v>
      </c>
      <c r="E952" s="16" t="s">
        <v>219</v>
      </c>
      <c r="F952" s="16" t="s">
        <v>215</v>
      </c>
      <c r="G952" s="16" t="s">
        <v>220</v>
      </c>
      <c r="H952" s="16" t="s">
        <v>220</v>
      </c>
    </row>
    <row r="953" ht="330.75" customHeight="1">
      <c r="A953" s="32" t="str">
        <f>IMAGE("https://gymvisual.com/6265-catalog_default/cable-reverse-one-arm-curl.jpg",4,500,500)</f>
        <v/>
      </c>
      <c r="B953" s="30">
        <v>1054.0</v>
      </c>
      <c r="C953" s="16" t="s">
        <v>1555</v>
      </c>
      <c r="D953" s="16" t="s">
        <v>184</v>
      </c>
      <c r="E953" s="16" t="s">
        <v>214</v>
      </c>
      <c r="F953" s="16" t="s">
        <v>215</v>
      </c>
      <c r="G953" s="16" t="s">
        <v>216</v>
      </c>
      <c r="H953" s="16" t="s">
        <v>217</v>
      </c>
    </row>
    <row r="954" ht="330.75" customHeight="1">
      <c r="A954" s="32" t="str">
        <f>IMAGE("https://gymvisual.com/10459-catalog_default/cable-reverse-grip-triceps-pushdown-sz-bar-with-arm-blaster.jpg",4,500,500)</f>
        <v/>
      </c>
      <c r="B954" s="30">
        <v>1053.0</v>
      </c>
      <c r="C954" s="16" t="s">
        <v>1554</v>
      </c>
      <c r="D954" s="16" t="s">
        <v>184</v>
      </c>
      <c r="E954" s="16" t="s">
        <v>219</v>
      </c>
      <c r="F954" s="16" t="s">
        <v>215</v>
      </c>
      <c r="G954" s="16" t="s">
        <v>223</v>
      </c>
      <c r="H954" s="16" t="s">
        <v>220</v>
      </c>
    </row>
    <row r="955" ht="330.75" customHeight="1">
      <c r="A955" s="32" t="str">
        <f>IMAGE("https://gymvisual.com/6948-catalog_default/cable-reverse-grip-triceps-pushdown-sz-bar.jpg",4,500,500)</f>
        <v/>
      </c>
      <c r="B955" s="30">
        <v>1052.0</v>
      </c>
      <c r="C955" s="16" t="s">
        <v>1553</v>
      </c>
      <c r="D955" s="16" t="s">
        <v>184</v>
      </c>
      <c r="E955" s="16" t="s">
        <v>219</v>
      </c>
      <c r="F955" s="16" t="s">
        <v>215</v>
      </c>
      <c r="G955" s="16" t="s">
        <v>223</v>
      </c>
      <c r="H955" s="16" t="s">
        <v>220</v>
      </c>
    </row>
    <row r="956" ht="330.75" customHeight="1">
      <c r="A956" s="32" t="str">
        <f>IMAGE("https://gymvisual.com/11131-catalog_default/cable-reverse-grip-pushdown-female.jpg",4,500,500)</f>
        <v/>
      </c>
      <c r="B956" s="30">
        <v>1051.0</v>
      </c>
      <c r="C956" s="16" t="s">
        <v>1552</v>
      </c>
      <c r="D956" s="16" t="s">
        <v>184</v>
      </c>
      <c r="E956" s="16" t="s">
        <v>219</v>
      </c>
      <c r="F956" s="16" t="s">
        <v>215</v>
      </c>
      <c r="G956" s="16" t="s">
        <v>223</v>
      </c>
      <c r="H956" s="16" t="s">
        <v>220</v>
      </c>
    </row>
    <row r="957" ht="330.75" customHeight="1">
      <c r="A957" s="32" t="str">
        <f>IMAGE("https://gymvisual.com/11047-catalog_default/cable-reverse-grip-pulldown-female.jpg",4,500,500)</f>
        <v/>
      </c>
      <c r="B957" s="30">
        <v>1050.0</v>
      </c>
      <c r="C957" s="16" t="s">
        <v>1551</v>
      </c>
      <c r="D957" s="16" t="s">
        <v>184</v>
      </c>
      <c r="E957" s="16" t="s">
        <v>192</v>
      </c>
      <c r="F957" s="16" t="s">
        <v>215</v>
      </c>
      <c r="G957" s="16" t="s">
        <v>329</v>
      </c>
      <c r="H957" s="16" t="s">
        <v>447</v>
      </c>
    </row>
    <row r="958" ht="330.75" customHeight="1">
      <c r="A958" s="32" t="str">
        <f>IMAGE("https://gymvisual.com/21022-catalog_default/cable-reverse-grip-pulldown.jpg",4,500,500)</f>
        <v/>
      </c>
      <c r="B958" s="30">
        <v>1049.0</v>
      </c>
      <c r="C958" s="16" t="s">
        <v>1550</v>
      </c>
      <c r="D958" s="16" t="s">
        <v>184</v>
      </c>
      <c r="E958" s="16" t="s">
        <v>192</v>
      </c>
      <c r="F958" s="16" t="s">
        <v>215</v>
      </c>
      <c r="G958" s="16" t="s">
        <v>220</v>
      </c>
      <c r="H958" s="16" t="s">
        <v>220</v>
      </c>
    </row>
    <row r="959" ht="330.75" customHeight="1">
      <c r="A959" s="32" t="str">
        <f>IMAGE("https://gymvisual.com/6952-catalog_default/cable-reverse-grip-biceps-curl-sz-bar.jpg",4,500,500)</f>
        <v/>
      </c>
      <c r="B959" s="30">
        <v>1048.0</v>
      </c>
      <c r="C959" s="16" t="s">
        <v>1549</v>
      </c>
      <c r="D959" s="16" t="s">
        <v>184</v>
      </c>
      <c r="E959" s="16" t="s">
        <v>219</v>
      </c>
      <c r="F959" s="16" t="s">
        <v>215</v>
      </c>
      <c r="G959" s="16" t="s">
        <v>220</v>
      </c>
      <c r="H959" s="16" t="s">
        <v>220</v>
      </c>
    </row>
    <row r="960" ht="330.75" customHeight="1">
      <c r="A960" s="32" t="str">
        <f>IMAGE("https://gymvisual.com/640-catalog_default/cable-reverse-curl.jpg",4,500,500)</f>
        <v/>
      </c>
      <c r="B960" s="30">
        <v>1047.0</v>
      </c>
      <c r="C960" s="16" t="s">
        <v>1548</v>
      </c>
      <c r="D960" s="16" t="s">
        <v>184</v>
      </c>
      <c r="E960" s="16" t="s">
        <v>214</v>
      </c>
      <c r="F960" s="16" t="s">
        <v>215</v>
      </c>
      <c r="G960" s="16" t="s">
        <v>216</v>
      </c>
      <c r="H960" s="16" t="s">
        <v>217</v>
      </c>
    </row>
    <row r="961" ht="330.75" customHeight="1">
      <c r="A961" s="32" t="str">
        <f>IMAGE("https://gymvisual.com/11480-catalog_default/cable-reverse-crunch-female.jpg",4,500,500)</f>
        <v/>
      </c>
      <c r="B961" s="30">
        <v>1046.0</v>
      </c>
      <c r="C961" s="16" t="s">
        <v>1547</v>
      </c>
      <c r="D961" s="16" t="s">
        <v>184</v>
      </c>
      <c r="E961" s="16" t="s">
        <v>254</v>
      </c>
      <c r="F961" s="16" t="s">
        <v>215</v>
      </c>
      <c r="G961" s="16" t="s">
        <v>220</v>
      </c>
      <c r="H961" s="16" t="s">
        <v>220</v>
      </c>
    </row>
    <row r="962" ht="330.75" customHeight="1">
      <c r="A962" s="32" t="str">
        <f>IMAGE("https://gymvisual.com/2657-catalog_default/cable-reverse-crunch.jpg",4,500,500)</f>
        <v/>
      </c>
      <c r="B962" s="30">
        <v>1045.0</v>
      </c>
      <c r="C962" s="16" t="s">
        <v>1546</v>
      </c>
      <c r="D962" s="16" t="s">
        <v>184</v>
      </c>
      <c r="E962" s="16" t="s">
        <v>254</v>
      </c>
      <c r="F962" s="16" t="s">
        <v>215</v>
      </c>
      <c r="G962" s="16" t="s">
        <v>256</v>
      </c>
      <c r="H962" s="16" t="s">
        <v>257</v>
      </c>
    </row>
    <row r="963" ht="330.75" customHeight="1">
      <c r="A963" s="32" t="str">
        <f>IMAGE("https://gymvisual.com/637-catalog_default/cable-rear-pulldown.jpg",4,500,500)</f>
        <v/>
      </c>
      <c r="B963" s="30">
        <v>1044.0</v>
      </c>
      <c r="C963" s="16" t="s">
        <v>1544</v>
      </c>
      <c r="D963" s="16" t="s">
        <v>184</v>
      </c>
      <c r="E963" s="16" t="s">
        <v>192</v>
      </c>
      <c r="F963" s="16" t="s">
        <v>215</v>
      </c>
      <c r="G963" s="16" t="s">
        <v>300</v>
      </c>
      <c r="H963" s="16" t="s">
        <v>1545</v>
      </c>
    </row>
    <row r="964" ht="330.75" customHeight="1">
      <c r="A964" s="32" t="str">
        <f>IMAGE("https://gymvisual.com/11998-catalog_default/cable-rear-lunge-from-stepbox.jpg",4,500,500)</f>
        <v/>
      </c>
      <c r="B964" s="30">
        <v>1043.0</v>
      </c>
      <c r="C964" s="16" t="s">
        <v>1543</v>
      </c>
      <c r="D964" s="16" t="s">
        <v>184</v>
      </c>
      <c r="E964" s="16" t="s">
        <v>285</v>
      </c>
      <c r="F964" s="16" t="s">
        <v>215</v>
      </c>
      <c r="G964" s="16" t="s">
        <v>220</v>
      </c>
      <c r="H964" s="16" t="s">
        <v>220</v>
      </c>
    </row>
    <row r="965" ht="330.75" customHeight="1">
      <c r="A965" s="32" t="str">
        <f>IMAGE("https://gymvisual.com/13387-catalog_default/cable-rear-drive-female.jpg",4,500,500)</f>
        <v/>
      </c>
      <c r="B965" s="30">
        <v>1042.0</v>
      </c>
      <c r="C965" s="16" t="s">
        <v>1542</v>
      </c>
      <c r="D965" s="16" t="s">
        <v>184</v>
      </c>
      <c r="E965" s="16" t="s">
        <v>219</v>
      </c>
      <c r="F965" s="16" t="s">
        <v>215</v>
      </c>
      <c r="G965" s="16" t="s">
        <v>220</v>
      </c>
      <c r="H965" s="16" t="s">
        <v>220</v>
      </c>
    </row>
    <row r="966" ht="330.75" customHeight="1">
      <c r="A966" s="32" t="str">
        <f>IMAGE("https://gymvisual.com/634-catalog_default/cable-rear-drive.jpg",4,500,500)</f>
        <v/>
      </c>
      <c r="B966" s="30">
        <v>1041.0</v>
      </c>
      <c r="C966" s="16" t="s">
        <v>1540</v>
      </c>
      <c r="D966" s="16" t="s">
        <v>184</v>
      </c>
      <c r="E966" s="16" t="s">
        <v>219</v>
      </c>
      <c r="F966" s="16" t="s">
        <v>215</v>
      </c>
      <c r="G966" s="16" t="s">
        <v>223</v>
      </c>
      <c r="H966" s="16" t="s">
        <v>1541</v>
      </c>
    </row>
    <row r="967" ht="330.75" customHeight="1">
      <c r="A967" s="32" t="str">
        <f>IMAGE("https://gymvisual.com/631-catalog_default/cable-rear-delt-row-with-rope.jpg",4,500,500)</f>
        <v/>
      </c>
      <c r="B967" s="30">
        <v>1040.0</v>
      </c>
      <c r="C967" s="16" t="s">
        <v>1539</v>
      </c>
      <c r="D967" s="16" t="s">
        <v>184</v>
      </c>
      <c r="E967" s="16" t="s">
        <v>228</v>
      </c>
      <c r="F967" s="16" t="s">
        <v>215</v>
      </c>
      <c r="G967" s="16" t="s">
        <v>408</v>
      </c>
      <c r="H967" s="16" t="s">
        <v>490</v>
      </c>
    </row>
    <row r="968" ht="330.75" customHeight="1">
      <c r="A968" s="32" t="str">
        <f>IMAGE("https://gymvisual.com/13385-catalog_default/cable-rear-delt-row-stirrups-female.jpg",4,500,500)</f>
        <v/>
      </c>
      <c r="B968" s="30">
        <v>1039.0</v>
      </c>
      <c r="C968" s="16" t="s">
        <v>1538</v>
      </c>
      <c r="D968" s="16" t="s">
        <v>184</v>
      </c>
      <c r="E968" s="16" t="s">
        <v>228</v>
      </c>
      <c r="F968" s="16" t="s">
        <v>215</v>
      </c>
      <c r="G968" s="16" t="s">
        <v>220</v>
      </c>
      <c r="H968" s="16" t="s">
        <v>220</v>
      </c>
    </row>
    <row r="969" ht="330.75" customHeight="1">
      <c r="A969" s="32" t="str">
        <f>IMAGE("https://gymvisual.com/628-catalog_default/cable-rear-delt-row-stirrups.jpg",4,500,500)</f>
        <v/>
      </c>
      <c r="B969" s="30">
        <v>1038.0</v>
      </c>
      <c r="C969" s="16" t="s">
        <v>1537</v>
      </c>
      <c r="D969" s="16" t="s">
        <v>184</v>
      </c>
      <c r="E969" s="16" t="s">
        <v>228</v>
      </c>
      <c r="F969" s="16" t="s">
        <v>215</v>
      </c>
      <c r="G969" s="16" t="s">
        <v>408</v>
      </c>
      <c r="H969" s="16" t="s">
        <v>490</v>
      </c>
    </row>
    <row r="970" ht="330.75" customHeight="1">
      <c r="A970" s="32" t="str">
        <f>IMAGE("https://gymvisual.com/17775-catalog_default/cable-rear-delt-row.jpg",4,500,500)</f>
        <v/>
      </c>
      <c r="B970" s="30">
        <v>1037.0</v>
      </c>
      <c r="C970" s="16" t="s">
        <v>1536</v>
      </c>
      <c r="D970" s="16" t="s">
        <v>184</v>
      </c>
      <c r="E970" s="16" t="s">
        <v>228</v>
      </c>
      <c r="F970" s="16" t="s">
        <v>215</v>
      </c>
      <c r="G970" s="16" t="s">
        <v>220</v>
      </c>
      <c r="H970" s="16" t="s">
        <v>220</v>
      </c>
    </row>
    <row r="971" ht="330.75" customHeight="1">
      <c r="A971" s="32" t="str">
        <f>IMAGE("https://gymvisual.com/10939-catalog_default/cable-pushdown-with-rope-attachment-female.jpg",4,500,500)</f>
        <v/>
      </c>
      <c r="B971" s="30">
        <v>1036.0</v>
      </c>
      <c r="C971" s="16" t="s">
        <v>1535</v>
      </c>
      <c r="D971" s="16" t="s">
        <v>184</v>
      </c>
      <c r="E971" s="16" t="s">
        <v>219</v>
      </c>
      <c r="F971" s="16" t="s">
        <v>215</v>
      </c>
      <c r="G971" s="16" t="s">
        <v>223</v>
      </c>
      <c r="H971" s="16" t="s">
        <v>220</v>
      </c>
    </row>
    <row r="972" ht="330.75" customHeight="1">
      <c r="A972" s="32" t="str">
        <f>IMAGE("https://gymvisual.com/622-catalog_default/cable-pushdown-with-rope-attachment.jpg",4,500,500)</f>
        <v/>
      </c>
      <c r="B972" s="30">
        <v>1035.0</v>
      </c>
      <c r="C972" s="16" t="s">
        <v>1534</v>
      </c>
      <c r="D972" s="16" t="s">
        <v>184</v>
      </c>
      <c r="E972" s="16" t="s">
        <v>219</v>
      </c>
      <c r="F972" s="16" t="s">
        <v>215</v>
      </c>
      <c r="G972" s="16" t="s">
        <v>223</v>
      </c>
      <c r="H972" s="16" t="s">
        <v>220</v>
      </c>
    </row>
    <row r="973" ht="330.75" customHeight="1">
      <c r="A973" s="32" t="str">
        <f>IMAGE("https://gymvisual.com/619-catalog_default/cable-pushdown-straight-arm-version-2.jpg",4,500,500)</f>
        <v/>
      </c>
      <c r="B973" s="30">
        <v>1034.0</v>
      </c>
      <c r="C973" s="16" t="s">
        <v>1532</v>
      </c>
      <c r="D973" s="16" t="s">
        <v>184</v>
      </c>
      <c r="E973" s="16" t="s">
        <v>192</v>
      </c>
      <c r="F973" s="16" t="s">
        <v>215</v>
      </c>
      <c r="G973" s="16" t="s">
        <v>300</v>
      </c>
      <c r="H973" s="16" t="s">
        <v>1533</v>
      </c>
    </row>
    <row r="974" ht="330.75" customHeight="1">
      <c r="A974" s="32" t="str">
        <f>IMAGE("https://gymvisual.com/625-catalog_default/cable-pushdown.jpg",4,500,500)</f>
        <v/>
      </c>
      <c r="B974" s="30">
        <v>1033.0</v>
      </c>
      <c r="C974" s="16" t="s">
        <v>1531</v>
      </c>
      <c r="D974" s="16" t="s">
        <v>184</v>
      </c>
      <c r="E974" s="16" t="s">
        <v>219</v>
      </c>
      <c r="F974" s="16" t="s">
        <v>215</v>
      </c>
      <c r="G974" s="16" t="s">
        <v>223</v>
      </c>
      <c r="H974" s="16" t="s">
        <v>220</v>
      </c>
    </row>
    <row r="975" ht="330.75" customHeight="1">
      <c r="A975" s="32" t="str">
        <f>IMAGE("https://gymvisual.com/13383-catalog_default/cable-pulldown-bicep-curl-female.jpg",4,500,500)</f>
        <v/>
      </c>
      <c r="B975" s="30">
        <v>1032.0</v>
      </c>
      <c r="C975" s="16" t="s">
        <v>1530</v>
      </c>
      <c r="D975" s="16" t="s">
        <v>184</v>
      </c>
      <c r="E975" s="16" t="s">
        <v>219</v>
      </c>
      <c r="F975" s="16" t="s">
        <v>215</v>
      </c>
      <c r="G975" s="16" t="s">
        <v>220</v>
      </c>
      <c r="H975" s="16" t="s">
        <v>220</v>
      </c>
    </row>
    <row r="976" ht="330.75" customHeight="1">
      <c r="A976" s="32" t="str">
        <f>IMAGE("https://gymvisual.com/7112-catalog_default/cable-pulldown-bicep-curl.jpg",4,500,500)</f>
        <v/>
      </c>
      <c r="B976" s="30">
        <v>1031.0</v>
      </c>
      <c r="C976" s="16" t="s">
        <v>1529</v>
      </c>
      <c r="D976" s="16" t="s">
        <v>184</v>
      </c>
      <c r="E976" s="16" t="s">
        <v>219</v>
      </c>
      <c r="F976" s="16" t="s">
        <v>215</v>
      </c>
      <c r="G976" s="16" t="s">
        <v>220</v>
      </c>
      <c r="H976" s="16" t="s">
        <v>220</v>
      </c>
    </row>
    <row r="977" ht="330.75" customHeight="1">
      <c r="A977" s="32" t="str">
        <f>IMAGE("https://gymvisual.com/9643-catalog_default/cable-pulldown-female.jpg",4,500,500)</f>
        <v/>
      </c>
      <c r="B977" s="30">
        <v>1030.0</v>
      </c>
      <c r="C977" s="16" t="s">
        <v>1528</v>
      </c>
      <c r="D977" s="16" t="s">
        <v>184</v>
      </c>
      <c r="E977" s="16" t="s">
        <v>192</v>
      </c>
      <c r="F977" s="16" t="s">
        <v>215</v>
      </c>
      <c r="G977" s="16" t="s">
        <v>220</v>
      </c>
      <c r="H977" s="16" t="s">
        <v>220</v>
      </c>
    </row>
    <row r="978" ht="330.75" customHeight="1">
      <c r="A978" s="32" t="str">
        <f>IMAGE("https://gymvisual.com/616-catalog_default/cable-pulldown.jpg",4,500,500)</f>
        <v/>
      </c>
      <c r="B978" s="30">
        <v>1029.0</v>
      </c>
      <c r="C978" s="16" t="s">
        <v>1527</v>
      </c>
      <c r="D978" s="16" t="s">
        <v>184</v>
      </c>
      <c r="E978" s="16" t="s">
        <v>192</v>
      </c>
      <c r="F978" s="16" t="s">
        <v>215</v>
      </c>
      <c r="G978" s="16" t="s">
        <v>300</v>
      </c>
      <c r="H978" s="16" t="s">
        <v>387</v>
      </c>
    </row>
    <row r="979" ht="330.75" customHeight="1">
      <c r="A979" s="32" t="str">
        <f>IMAGE("https://gymvisual.com/2583-catalog_default/cable-pull-through-with-rope.jpg",4,500,500)</f>
        <v/>
      </c>
      <c r="B979" s="30">
        <v>1028.0</v>
      </c>
      <c r="C979" s="16" t="s">
        <v>1526</v>
      </c>
      <c r="D979" s="16" t="s">
        <v>184</v>
      </c>
      <c r="E979" s="16" t="s">
        <v>185</v>
      </c>
      <c r="F979" s="16" t="s">
        <v>215</v>
      </c>
      <c r="G979" s="16" t="s">
        <v>187</v>
      </c>
      <c r="H979" s="16" t="s">
        <v>227</v>
      </c>
    </row>
    <row r="980" ht="330.75" customHeight="1">
      <c r="A980" s="32" t="str">
        <f>IMAGE("https://gymvisual.com/4574-catalog_default/cable-pull-through.jpg",4,500,500)</f>
        <v/>
      </c>
      <c r="B980" s="30">
        <v>1027.0</v>
      </c>
      <c r="C980" s="16" t="s">
        <v>226</v>
      </c>
      <c r="D980" s="16" t="s">
        <v>184</v>
      </c>
      <c r="E980" s="16" t="s">
        <v>185</v>
      </c>
      <c r="F980" s="16" t="s">
        <v>215</v>
      </c>
      <c r="G980" s="16" t="s">
        <v>187</v>
      </c>
      <c r="H980" s="16" t="s">
        <v>227</v>
      </c>
    </row>
    <row r="981" ht="330.75" customHeight="1">
      <c r="A981" s="32" t="str">
        <f>IMAGE("https://gymvisual.com/5957-catalog_default/cable-press-on-exercise-ball.jpg",4,500,500)</f>
        <v/>
      </c>
      <c r="B981" s="30">
        <v>1026.0</v>
      </c>
      <c r="C981" s="16" t="s">
        <v>823</v>
      </c>
      <c r="D981" s="16" t="s">
        <v>184</v>
      </c>
      <c r="E981" s="16" t="s">
        <v>234</v>
      </c>
      <c r="F981" s="16" t="s">
        <v>215</v>
      </c>
      <c r="G981" s="16" t="s">
        <v>347</v>
      </c>
      <c r="H981" s="16" t="s">
        <v>382</v>
      </c>
    </row>
    <row r="982" ht="330.75" customHeight="1">
      <c r="A982" s="32" t="str">
        <f>IMAGE("https://gymvisual.com/607-catalog_default/cable-preacher-curl.jpg",4,500,500)</f>
        <v/>
      </c>
      <c r="B982" s="30">
        <v>1025.0</v>
      </c>
      <c r="C982" s="16" t="s">
        <v>1525</v>
      </c>
      <c r="D982" s="16" t="s">
        <v>184</v>
      </c>
      <c r="E982" s="16" t="s">
        <v>219</v>
      </c>
      <c r="F982" s="16" t="s">
        <v>215</v>
      </c>
      <c r="G982" s="16" t="s">
        <v>232</v>
      </c>
      <c r="H982" s="16" t="s">
        <v>233</v>
      </c>
    </row>
    <row r="983" ht="330.75" customHeight="1">
      <c r="A983" s="32" t="str">
        <f>IMAGE("https://gymvisual.com/13669-catalog_default/cable-parallel-grip-lat-pulldown-on-floor.jpg",4,500,500)</f>
        <v/>
      </c>
      <c r="B983" s="30">
        <v>1024.0</v>
      </c>
      <c r="C983" s="16" t="s">
        <v>1524</v>
      </c>
      <c r="D983" s="16" t="s">
        <v>184</v>
      </c>
      <c r="E983" s="16" t="s">
        <v>192</v>
      </c>
      <c r="F983" s="16" t="s">
        <v>215</v>
      </c>
      <c r="G983" s="16" t="s">
        <v>300</v>
      </c>
      <c r="H983" s="16" t="s">
        <v>220</v>
      </c>
    </row>
    <row r="984" ht="330.75" customHeight="1">
      <c r="A984" s="32" t="str">
        <f>IMAGE("https://gymvisual.com/6010-catalog_default/cable-palm-rotational-row.jpg",4,500,500)</f>
        <v/>
      </c>
      <c r="B984" s="30">
        <v>1023.0</v>
      </c>
      <c r="C984" s="16" t="s">
        <v>1523</v>
      </c>
      <c r="D984" s="16" t="s">
        <v>184</v>
      </c>
      <c r="E984" s="16" t="s">
        <v>192</v>
      </c>
      <c r="F984" s="16" t="s">
        <v>215</v>
      </c>
      <c r="G984" s="16" t="s">
        <v>329</v>
      </c>
      <c r="H984" s="16" t="s">
        <v>457</v>
      </c>
    </row>
    <row r="985" ht="330.75" customHeight="1">
      <c r="A985" s="32" t="str">
        <f>IMAGE("https://gymvisual.com/18029-catalog_default/cable-pallof-press-with-glute-bridge.jpg",4,500,500)</f>
        <v/>
      </c>
      <c r="B985" s="30">
        <v>1022.0</v>
      </c>
      <c r="C985" s="16" t="s">
        <v>224</v>
      </c>
      <c r="D985" s="16" t="s">
        <v>184</v>
      </c>
      <c r="E985" s="16" t="s">
        <v>254</v>
      </c>
      <c r="F985" s="16" t="s">
        <v>215</v>
      </c>
      <c r="G985" s="16" t="s">
        <v>220</v>
      </c>
      <c r="H985" s="16" t="s">
        <v>220</v>
      </c>
    </row>
    <row r="986" ht="330.75" customHeight="1">
      <c r="A986" s="32" t="str">
        <f>IMAGE("https://gymvisual.com/9658-catalog_default/cable-overhead-triceps-extension-rope-attachment-female.jpg",4,500,500)</f>
        <v/>
      </c>
      <c r="B986" s="30">
        <v>1021.0</v>
      </c>
      <c r="C986" s="16" t="s">
        <v>1522</v>
      </c>
      <c r="D986" s="16" t="s">
        <v>184</v>
      </c>
      <c r="E986" s="16" t="s">
        <v>219</v>
      </c>
      <c r="F986" s="16" t="s">
        <v>215</v>
      </c>
      <c r="G986" s="16" t="s">
        <v>223</v>
      </c>
      <c r="H986" s="16" t="s">
        <v>220</v>
      </c>
    </row>
    <row r="987" ht="330.75" customHeight="1">
      <c r="A987" s="32" t="str">
        <f>IMAGE("https://gymvisual.com/604-catalog_default/cable-overhead-triceps-extension-rope-attachment.jpg",4,500,500)</f>
        <v/>
      </c>
      <c r="B987" s="30">
        <v>1020.0</v>
      </c>
      <c r="C987" s="16" t="s">
        <v>225</v>
      </c>
      <c r="D987" s="16" t="s">
        <v>184</v>
      </c>
      <c r="E987" s="16" t="s">
        <v>219</v>
      </c>
      <c r="F987" s="16" t="s">
        <v>215</v>
      </c>
      <c r="G987" s="16" t="s">
        <v>223</v>
      </c>
      <c r="H987" s="16" t="s">
        <v>220</v>
      </c>
    </row>
    <row r="988" ht="330.75" customHeight="1">
      <c r="A988" s="32" t="str">
        <f>IMAGE("https://gymvisual.com/17931-catalog_default/cable-overhead-tricep-extension-straight-bar-male.jpg",4,500,500)</f>
        <v/>
      </c>
      <c r="B988" s="30">
        <v>1019.0</v>
      </c>
      <c r="C988" s="16" t="s">
        <v>1521</v>
      </c>
      <c r="D988" s="16" t="s">
        <v>184</v>
      </c>
      <c r="E988" s="16" t="s">
        <v>219</v>
      </c>
      <c r="F988" s="16" t="s">
        <v>215</v>
      </c>
      <c r="G988" s="16" t="s">
        <v>220</v>
      </c>
      <c r="H988" s="16" t="s">
        <v>220</v>
      </c>
    </row>
    <row r="989" ht="330.75" customHeight="1">
      <c r="A989" s="32" t="str">
        <f>IMAGE("https://gymvisual.com/20054-catalog_default/cable-overhead-single-arm-triceps-extension-rope-attachment.jpg",4,500,500)</f>
        <v/>
      </c>
      <c r="B989" s="30">
        <v>1018.0</v>
      </c>
      <c r="C989" s="16" t="s">
        <v>1520</v>
      </c>
      <c r="D989" s="16" t="s">
        <v>184</v>
      </c>
      <c r="E989" s="16" t="s">
        <v>219</v>
      </c>
      <c r="F989" s="16" t="s">
        <v>215</v>
      </c>
      <c r="G989" s="16" t="s">
        <v>223</v>
      </c>
      <c r="H989" s="16" t="s">
        <v>220</v>
      </c>
    </row>
    <row r="990" ht="330.75" customHeight="1">
      <c r="A990" s="32" t="str">
        <f>IMAGE("https://gymvisual.com/7111-catalog_default/cable-overhead-curl-on-exercise-ball.jpg",4,500,500)</f>
        <v/>
      </c>
      <c r="B990" s="30">
        <v>1017.0</v>
      </c>
      <c r="C990" s="16" t="s">
        <v>1519</v>
      </c>
      <c r="D990" s="16" t="s">
        <v>184</v>
      </c>
      <c r="E990" s="16" t="s">
        <v>219</v>
      </c>
      <c r="F990" s="16" t="s">
        <v>215</v>
      </c>
      <c r="G990" s="16" t="s">
        <v>220</v>
      </c>
      <c r="H990" s="16" t="s">
        <v>220</v>
      </c>
    </row>
    <row r="991" ht="330.75" customHeight="1">
      <c r="A991" s="32" t="str">
        <f>IMAGE("https://gymvisual.com/7110-catalog_default/cable-overhead-curl.jpg",4,500,500)</f>
        <v/>
      </c>
      <c r="B991" s="30">
        <v>1016.0</v>
      </c>
      <c r="C991" s="16" t="s">
        <v>1518</v>
      </c>
      <c r="D991" s="16" t="s">
        <v>184</v>
      </c>
      <c r="E991" s="16" t="s">
        <v>219</v>
      </c>
      <c r="F991" s="16" t="s">
        <v>215</v>
      </c>
      <c r="G991" s="16" t="s">
        <v>241</v>
      </c>
      <c r="H991" s="16" t="s">
        <v>292</v>
      </c>
    </row>
    <row r="992" ht="330.75" customHeight="1">
      <c r="A992" s="32" t="str">
        <f>IMAGE("https://gymvisual.com/17587-catalog_default/cable-one-arm-wrist-curl.jpg",4,500,500)</f>
        <v/>
      </c>
      <c r="B992" s="30">
        <v>1015.0</v>
      </c>
      <c r="C992" s="16" t="s">
        <v>1517</v>
      </c>
      <c r="D992" s="16" t="s">
        <v>184</v>
      </c>
      <c r="E992" s="16" t="s">
        <v>214</v>
      </c>
      <c r="F992" s="16" t="s">
        <v>215</v>
      </c>
      <c r="G992" s="16" t="s">
        <v>720</v>
      </c>
      <c r="H992" s="16" t="s">
        <v>220</v>
      </c>
    </row>
    <row r="993" ht="330.75" customHeight="1">
      <c r="A993" s="32" t="str">
        <f>IMAGE("https://gymvisual.com/14258-catalog_default/cable-one-arm-twisting-seated-row-female.jpg",4,500,500)</f>
        <v/>
      </c>
      <c r="B993" s="30">
        <v>1014.0</v>
      </c>
      <c r="C993" s="16" t="s">
        <v>1515</v>
      </c>
      <c r="D993" s="16" t="s">
        <v>184</v>
      </c>
      <c r="E993" s="16" t="s">
        <v>192</v>
      </c>
      <c r="F993" s="16" t="s">
        <v>215</v>
      </c>
      <c r="G993" s="16" t="s">
        <v>300</v>
      </c>
      <c r="H993" s="16" t="s">
        <v>1516</v>
      </c>
    </row>
    <row r="994" ht="330.75" customHeight="1">
      <c r="A994" s="32" t="str">
        <f>IMAGE("https://gymvisual.com/4573-catalog_default/cable-one-arm-twisting-seated-row.jpg",4,500,500)</f>
        <v/>
      </c>
      <c r="B994" s="30">
        <v>1013.0</v>
      </c>
      <c r="C994" s="16" t="s">
        <v>1513</v>
      </c>
      <c r="D994" s="16" t="s">
        <v>184</v>
      </c>
      <c r="E994" s="16" t="s">
        <v>192</v>
      </c>
      <c r="F994" s="16" t="s">
        <v>215</v>
      </c>
      <c r="G994" s="16" t="s">
        <v>329</v>
      </c>
      <c r="H994" s="16" t="s">
        <v>1514</v>
      </c>
    </row>
    <row r="995" ht="330.75" customHeight="1">
      <c r="A995" s="32" t="str">
        <f>IMAGE("https://gymvisual.com/7442-catalog_default/cable-one-arm-tricep-pushdown.jpg",4,500,500)</f>
        <v/>
      </c>
      <c r="B995" s="30">
        <v>1012.0</v>
      </c>
      <c r="C995" s="16" t="s">
        <v>1512</v>
      </c>
      <c r="D995" s="16" t="s">
        <v>184</v>
      </c>
      <c r="E995" s="16" t="s">
        <v>219</v>
      </c>
      <c r="F995" s="16" t="s">
        <v>215</v>
      </c>
      <c r="G995" s="16" t="s">
        <v>223</v>
      </c>
      <c r="H995" s="16" t="s">
        <v>220</v>
      </c>
    </row>
    <row r="996" ht="330.75" customHeight="1">
      <c r="A996" s="32" t="str">
        <f>IMAGE("https://gymvisual.com/601-catalog_default/cable-one-arm-straight-back-high-row-kneeling.jpg",4,500,500)</f>
        <v/>
      </c>
      <c r="B996" s="30">
        <v>1011.0</v>
      </c>
      <c r="C996" s="16" t="s">
        <v>1511</v>
      </c>
      <c r="D996" s="16" t="s">
        <v>184</v>
      </c>
      <c r="E996" s="16" t="s">
        <v>192</v>
      </c>
      <c r="F996" s="16" t="s">
        <v>215</v>
      </c>
      <c r="G996" s="16" t="s">
        <v>329</v>
      </c>
      <c r="H996" s="16" t="s">
        <v>457</v>
      </c>
    </row>
    <row r="997" ht="330.75" customHeight="1">
      <c r="A997" s="32" t="str">
        <f>IMAGE("https://gymvisual.com/6954-catalog_default/cable-one-arm-side-triceps-pushdown.jpg",4,500,500)</f>
        <v/>
      </c>
      <c r="B997" s="30">
        <v>1010.0</v>
      </c>
      <c r="C997" s="16" t="s">
        <v>1510</v>
      </c>
      <c r="D997" s="16" t="s">
        <v>184</v>
      </c>
      <c r="E997" s="16" t="s">
        <v>219</v>
      </c>
      <c r="F997" s="16" t="s">
        <v>215</v>
      </c>
      <c r="G997" s="16" t="s">
        <v>223</v>
      </c>
      <c r="H997" s="16" t="s">
        <v>220</v>
      </c>
    </row>
    <row r="998" ht="330.75" customHeight="1">
      <c r="A998" s="32" t="str">
        <f>IMAGE("https://gymvisual.com/7109-catalog_default/cable-one-arm-reverse-preacher-curl.jpg",4,500,500)</f>
        <v/>
      </c>
      <c r="B998" s="30">
        <v>1009.0</v>
      </c>
      <c r="C998" s="16" t="s">
        <v>1509</v>
      </c>
      <c r="D998" s="16" t="s">
        <v>184</v>
      </c>
      <c r="E998" s="16" t="s">
        <v>219</v>
      </c>
      <c r="F998" s="16" t="s">
        <v>215</v>
      </c>
      <c r="G998" s="16" t="s">
        <v>220</v>
      </c>
      <c r="H998" s="16" t="s">
        <v>220</v>
      </c>
    </row>
    <row r="999" ht="330.75" customHeight="1">
      <c r="A999" s="32" t="str">
        <f>IMAGE("https://gymvisual.com/17945-catalog_default/cable-one-arm-reverse-fly-male.jpg",4,500,500)</f>
        <v/>
      </c>
      <c r="B999" s="30">
        <v>1008.0</v>
      </c>
      <c r="C999" s="16" t="s">
        <v>1508</v>
      </c>
      <c r="D999" s="16" t="s">
        <v>184</v>
      </c>
      <c r="E999" s="16" t="s">
        <v>228</v>
      </c>
      <c r="F999" s="16" t="s">
        <v>215</v>
      </c>
      <c r="G999" s="16" t="s">
        <v>220</v>
      </c>
      <c r="H999" s="16" t="s">
        <v>220</v>
      </c>
    </row>
    <row r="1000" ht="330.75" customHeight="1">
      <c r="A1000" s="32" t="str">
        <f>IMAGE("https://gymvisual.com/14153-catalog_default/cable-one-arm-pulldown.jpg",4,500,500)</f>
        <v/>
      </c>
      <c r="B1000" s="30">
        <v>1007.0</v>
      </c>
      <c r="C1000" s="16" t="s">
        <v>1506</v>
      </c>
      <c r="D1000" s="16" t="s">
        <v>184</v>
      </c>
      <c r="E1000" s="16" t="s">
        <v>192</v>
      </c>
      <c r="F1000" s="16" t="s">
        <v>215</v>
      </c>
      <c r="G1000" s="16" t="s">
        <v>300</v>
      </c>
      <c r="H1000" s="16" t="s">
        <v>1507</v>
      </c>
    </row>
    <row r="1001" ht="330.75" customHeight="1">
      <c r="A1001" s="32" t="str">
        <f>IMAGE("https://gymvisual.com/5956-catalog_default/cable-one-arm-press-on-exercise-ball.jpg",4,500,500)</f>
        <v/>
      </c>
      <c r="B1001" s="30">
        <v>1006.0</v>
      </c>
      <c r="C1001" s="16" t="s">
        <v>823</v>
      </c>
      <c r="D1001" s="16" t="s">
        <v>184</v>
      </c>
      <c r="E1001" s="16" t="s">
        <v>234</v>
      </c>
      <c r="F1001" s="16" t="s">
        <v>215</v>
      </c>
      <c r="G1001" s="16" t="s">
        <v>347</v>
      </c>
      <c r="H1001" s="16" t="s">
        <v>382</v>
      </c>
    </row>
    <row r="1002" ht="330.75" customHeight="1">
      <c r="A1002" s="32" t="str">
        <f>IMAGE("https://gymvisual.com/7107-catalog_default/cable-one-arm-preacher-curl.jpg",4,500,500)</f>
        <v/>
      </c>
      <c r="B1002" s="30">
        <v>1005.0</v>
      </c>
      <c r="C1002" s="16" t="s">
        <v>1505</v>
      </c>
      <c r="D1002" s="16" t="s">
        <v>184</v>
      </c>
      <c r="E1002" s="16" t="s">
        <v>219</v>
      </c>
      <c r="F1002" s="16" t="s">
        <v>215</v>
      </c>
      <c r="G1002" s="16" t="s">
        <v>220</v>
      </c>
      <c r="H1002" s="16" t="s">
        <v>220</v>
      </c>
    </row>
    <row r="1003" ht="330.75" customHeight="1">
      <c r="A1003" s="32" t="str">
        <f>IMAGE("https://gymvisual.com/9607-catalog_default/cable-one-arm-lateral-raise-female.jpg",4,500,500)</f>
        <v/>
      </c>
      <c r="B1003" s="30">
        <v>1004.0</v>
      </c>
      <c r="C1003" s="16" t="s">
        <v>1504</v>
      </c>
      <c r="D1003" s="16" t="s">
        <v>184</v>
      </c>
      <c r="E1003" s="16" t="s">
        <v>228</v>
      </c>
      <c r="F1003" s="16" t="s">
        <v>215</v>
      </c>
      <c r="G1003" s="16" t="s">
        <v>544</v>
      </c>
      <c r="H1003" s="16" t="s">
        <v>545</v>
      </c>
    </row>
    <row r="1004" ht="330.75" customHeight="1">
      <c r="A1004" s="32" t="str">
        <f>IMAGE("https://gymvisual.com/598-catalog_default/cable-one-arm-lateral-raise.jpg",4,500,500)</f>
        <v/>
      </c>
      <c r="B1004" s="30">
        <v>1003.0</v>
      </c>
      <c r="C1004" s="16" t="s">
        <v>1503</v>
      </c>
      <c r="D1004" s="16" t="s">
        <v>184</v>
      </c>
      <c r="E1004" s="16" t="s">
        <v>228</v>
      </c>
      <c r="F1004" s="16" t="s">
        <v>215</v>
      </c>
      <c r="G1004" s="16" t="s">
        <v>544</v>
      </c>
      <c r="H1004" s="16" t="s">
        <v>545</v>
      </c>
    </row>
    <row r="1005" ht="330.75" customHeight="1">
      <c r="A1005" s="32" t="str">
        <f>IMAGE("https://gymvisual.com/595-catalog_default/cable-one-arm-lateral-bent-over.jpg",4,500,500)</f>
        <v/>
      </c>
      <c r="B1005" s="30">
        <v>1002.0</v>
      </c>
      <c r="C1005" s="16" t="s">
        <v>1502</v>
      </c>
      <c r="D1005" s="16" t="s">
        <v>184</v>
      </c>
      <c r="E1005" s="16" t="s">
        <v>234</v>
      </c>
      <c r="F1005" s="16" t="s">
        <v>215</v>
      </c>
      <c r="G1005" s="16" t="s">
        <v>347</v>
      </c>
      <c r="H1005" s="16" t="s">
        <v>505</v>
      </c>
    </row>
    <row r="1006" ht="330.75" customHeight="1">
      <c r="A1006" s="32" t="str">
        <f>IMAGE("https://gymvisual.com/11110-catalog_default/cable-one-arm-lateral-bent-over-female.jpg",4,500,500)</f>
        <v/>
      </c>
      <c r="B1006" s="30">
        <v>1001.0</v>
      </c>
      <c r="C1006" s="16" t="s">
        <v>1501</v>
      </c>
      <c r="D1006" s="16" t="s">
        <v>184</v>
      </c>
      <c r="E1006" s="16" t="s">
        <v>234</v>
      </c>
      <c r="F1006" s="16" t="s">
        <v>215</v>
      </c>
      <c r="G1006" s="16" t="s">
        <v>220</v>
      </c>
      <c r="H1006" s="16" t="s">
        <v>220</v>
      </c>
    </row>
    <row r="1007" ht="330.75" customHeight="1">
      <c r="A1007" s="32" t="str">
        <f>IMAGE("https://gymvisual.com/14256-catalog_default/cable-one-arm-lat-pulldown-female.jpg",4,500,500)</f>
        <v/>
      </c>
      <c r="B1007" s="30">
        <v>1000.0</v>
      </c>
      <c r="C1007" s="16" t="s">
        <v>1499</v>
      </c>
      <c r="D1007" s="16" t="s">
        <v>184</v>
      </c>
      <c r="E1007" s="16" t="s">
        <v>192</v>
      </c>
      <c r="F1007" s="16" t="s">
        <v>215</v>
      </c>
      <c r="G1007" s="16" t="s">
        <v>300</v>
      </c>
      <c r="H1007" s="16" t="s">
        <v>1500</v>
      </c>
    </row>
    <row r="1008" ht="330.75" customHeight="1">
      <c r="A1008" s="32" t="str">
        <f>IMAGE("https://gymvisual.com/4572-catalog_default/cable-one-arm-lat-pulldown.jpg",4,500,500)</f>
        <v/>
      </c>
      <c r="B1008" s="30">
        <v>999.0</v>
      </c>
      <c r="C1008" s="16" t="s">
        <v>1497</v>
      </c>
      <c r="D1008" s="16" t="s">
        <v>184</v>
      </c>
      <c r="E1008" s="16" t="s">
        <v>192</v>
      </c>
      <c r="F1008" s="16" t="s">
        <v>215</v>
      </c>
      <c r="G1008" s="16" t="s">
        <v>300</v>
      </c>
      <c r="H1008" s="16" t="s">
        <v>1498</v>
      </c>
    </row>
    <row r="1009" ht="330.75" customHeight="1">
      <c r="A1009" s="32" t="str">
        <f>IMAGE("https://gymvisual.com/4571-catalog_default/cable-one-arm-inner-biceps-curl.jpg",4,500,500)</f>
        <v/>
      </c>
      <c r="B1009" s="30">
        <v>998.0</v>
      </c>
      <c r="C1009" s="16" t="s">
        <v>1496</v>
      </c>
      <c r="D1009" s="16" t="s">
        <v>184</v>
      </c>
      <c r="E1009" s="16" t="s">
        <v>219</v>
      </c>
      <c r="F1009" s="16" t="s">
        <v>215</v>
      </c>
      <c r="G1009" s="16" t="s">
        <v>232</v>
      </c>
      <c r="H1009" s="16" t="s">
        <v>233</v>
      </c>
    </row>
    <row r="1010" ht="330.75" customHeight="1">
      <c r="A1010" s="32" t="str">
        <f>IMAGE("https://gymvisual.com/5955-catalog_default/cable-one-arm-incline-press-on-exercise-ball.jpg",4,500,500)</f>
        <v/>
      </c>
      <c r="B1010" s="30">
        <v>997.0</v>
      </c>
      <c r="C1010" s="16" t="s">
        <v>823</v>
      </c>
      <c r="D1010" s="16" t="s">
        <v>184</v>
      </c>
      <c r="E1010" s="16" t="s">
        <v>234</v>
      </c>
      <c r="F1010" s="16" t="s">
        <v>215</v>
      </c>
      <c r="G1010" s="16" t="s">
        <v>415</v>
      </c>
      <c r="H1010" s="16" t="s">
        <v>243</v>
      </c>
    </row>
    <row r="1011" ht="330.75" customHeight="1">
      <c r="A1011" s="32" t="str">
        <f>IMAGE("https://gymvisual.com/5954-catalog_default/cable-one-arm-incline-press.jpg",4,500,500)</f>
        <v/>
      </c>
      <c r="B1011" s="30">
        <v>996.0</v>
      </c>
      <c r="C1011" s="16" t="s">
        <v>823</v>
      </c>
      <c r="D1011" s="16" t="s">
        <v>184</v>
      </c>
      <c r="E1011" s="16" t="s">
        <v>234</v>
      </c>
      <c r="F1011" s="16" t="s">
        <v>215</v>
      </c>
      <c r="G1011" s="16" t="s">
        <v>415</v>
      </c>
      <c r="H1011" s="16" t="s">
        <v>243</v>
      </c>
    </row>
    <row r="1012" ht="330.75" customHeight="1">
      <c r="A1012" s="32" t="str">
        <f>IMAGE("https://gymvisual.com/5953-catalog_default/cable-one-arm-incline-fly-on-exercise-ball.jpg",4,500,500)</f>
        <v/>
      </c>
      <c r="B1012" s="30">
        <v>995.0</v>
      </c>
      <c r="C1012" s="16" t="s">
        <v>823</v>
      </c>
      <c r="D1012" s="16" t="s">
        <v>184</v>
      </c>
      <c r="E1012" s="16" t="s">
        <v>234</v>
      </c>
      <c r="F1012" s="16" t="s">
        <v>215</v>
      </c>
      <c r="G1012" s="16" t="s">
        <v>415</v>
      </c>
      <c r="H1012" s="16" t="s">
        <v>236</v>
      </c>
    </row>
    <row r="1013" ht="330.75" customHeight="1">
      <c r="A1013" s="32" t="str">
        <f>IMAGE("https://gymvisual.com/13658-catalog_default/cable-one-arm-high-pulley-overhead-tricep-extension.jpg",4,500,500)</f>
        <v/>
      </c>
      <c r="B1013" s="30">
        <v>994.0</v>
      </c>
      <c r="C1013" s="16" t="s">
        <v>1495</v>
      </c>
      <c r="D1013" s="16" t="s">
        <v>184</v>
      </c>
      <c r="E1013" s="16" t="s">
        <v>219</v>
      </c>
      <c r="F1013" s="16" t="s">
        <v>215</v>
      </c>
      <c r="G1013" s="16" t="s">
        <v>223</v>
      </c>
      <c r="H1013" s="16" t="s">
        <v>220</v>
      </c>
    </row>
    <row r="1014" ht="330.75" customHeight="1">
      <c r="A1014" s="32" t="str">
        <f>IMAGE("https://gymvisual.com/11564-catalog_default/cable-one-arm-front-raise-female.jpg",4,500,500)</f>
        <v/>
      </c>
      <c r="B1014" s="30">
        <v>993.0</v>
      </c>
      <c r="C1014" s="16" t="s">
        <v>1494</v>
      </c>
      <c r="D1014" s="16" t="s">
        <v>184</v>
      </c>
      <c r="E1014" s="16" t="s">
        <v>228</v>
      </c>
      <c r="F1014" s="16" t="s">
        <v>215</v>
      </c>
      <c r="G1014" s="16" t="s">
        <v>229</v>
      </c>
      <c r="H1014" s="16" t="s">
        <v>244</v>
      </c>
    </row>
    <row r="1015" ht="330.75" customHeight="1">
      <c r="A1015" s="32" t="str">
        <f>IMAGE("https://gymvisual.com/5952-catalog_default/cable-one-arm-fly-on-exercise-ball.jpg",4,500,500)</f>
        <v/>
      </c>
      <c r="B1015" s="30">
        <v>992.0</v>
      </c>
      <c r="C1015" s="16" t="s">
        <v>823</v>
      </c>
      <c r="D1015" s="16" t="s">
        <v>184</v>
      </c>
      <c r="E1015" s="16" t="s">
        <v>234</v>
      </c>
      <c r="F1015" s="16" t="s">
        <v>215</v>
      </c>
      <c r="G1015" s="16" t="s">
        <v>347</v>
      </c>
      <c r="H1015" s="16" t="s">
        <v>420</v>
      </c>
    </row>
    <row r="1016" ht="330.75" customHeight="1">
      <c r="A1016" s="32" t="str">
        <f>IMAGE("https://gymvisual.com/5951-catalog_default/cable-one-arm-decline-chest-fly.jpg",4,500,500)</f>
        <v/>
      </c>
      <c r="B1016" s="30">
        <v>991.0</v>
      </c>
      <c r="C1016" s="16" t="s">
        <v>823</v>
      </c>
      <c r="D1016" s="16" t="s">
        <v>184</v>
      </c>
      <c r="E1016" s="16" t="s">
        <v>234</v>
      </c>
      <c r="F1016" s="16" t="s">
        <v>215</v>
      </c>
      <c r="G1016" s="16" t="s">
        <v>347</v>
      </c>
      <c r="H1016" s="16" t="s">
        <v>420</v>
      </c>
    </row>
    <row r="1017" ht="330.75" customHeight="1">
      <c r="A1017" s="32" t="str">
        <f>IMAGE("https://gymvisual.com/11297-catalog_default/cable-one-arm-curl-female.jpg",4,500,500)</f>
        <v/>
      </c>
      <c r="B1017" s="30">
        <v>990.0</v>
      </c>
      <c r="C1017" s="16" t="s">
        <v>1493</v>
      </c>
      <c r="D1017" s="16" t="s">
        <v>184</v>
      </c>
      <c r="E1017" s="16" t="s">
        <v>219</v>
      </c>
      <c r="F1017" s="16" t="s">
        <v>215</v>
      </c>
      <c r="G1017" s="16" t="s">
        <v>241</v>
      </c>
      <c r="H1017" s="16" t="s">
        <v>292</v>
      </c>
    </row>
    <row r="1018" ht="330.75" customHeight="1">
      <c r="A1018" s="32" t="str">
        <f>IMAGE("https://gymvisual.com/592-catalog_default/cable-one-arm-curl.jpg",4,500,500)</f>
        <v/>
      </c>
      <c r="B1018" s="30">
        <v>989.0</v>
      </c>
      <c r="C1018" s="16" t="s">
        <v>1492</v>
      </c>
      <c r="D1018" s="16" t="s">
        <v>184</v>
      </c>
      <c r="E1018" s="16" t="s">
        <v>219</v>
      </c>
      <c r="F1018" s="16" t="s">
        <v>215</v>
      </c>
      <c r="G1018" s="16" t="s">
        <v>241</v>
      </c>
      <c r="H1018" s="16" t="s">
        <v>292</v>
      </c>
    </row>
    <row r="1019" ht="330.75" customHeight="1">
      <c r="A1019" s="32" t="str">
        <f>IMAGE("https://gymvisual.com/10784-catalog_default/cable-one-arm-biceps-curl-version-2-female.jpg",4,500,500)</f>
        <v/>
      </c>
      <c r="B1019" s="30">
        <v>988.0</v>
      </c>
      <c r="C1019" s="16" t="s">
        <v>1491</v>
      </c>
      <c r="D1019" s="16" t="s">
        <v>184</v>
      </c>
      <c r="E1019" s="16" t="s">
        <v>219</v>
      </c>
      <c r="F1019" s="16" t="s">
        <v>215</v>
      </c>
      <c r="G1019" s="16" t="s">
        <v>241</v>
      </c>
      <c r="H1019" s="16" t="s">
        <v>292</v>
      </c>
    </row>
    <row r="1020" ht="330.75" customHeight="1">
      <c r="A1020" s="32" t="str">
        <f>IMAGE("https://gymvisual.com/10781-catalog_default/cable-one-arm-biceps-curl-version-2.jpg",4,500,500)</f>
        <v/>
      </c>
      <c r="B1020" s="30">
        <v>987.0</v>
      </c>
      <c r="C1020" s="16" t="s">
        <v>1490</v>
      </c>
      <c r="D1020" s="16" t="s">
        <v>184</v>
      </c>
      <c r="E1020" s="16" t="s">
        <v>219</v>
      </c>
      <c r="F1020" s="16" t="s">
        <v>215</v>
      </c>
      <c r="G1020" s="16" t="s">
        <v>241</v>
      </c>
      <c r="H1020" s="16" t="s">
        <v>292</v>
      </c>
    </row>
    <row r="1021" ht="330.75" customHeight="1">
      <c r="A1021" s="32" t="str">
        <f>IMAGE("https://gymvisual.com/13656-catalog_default/cable-one-arm-bent-over-row.jpg",4,500,500)</f>
        <v/>
      </c>
      <c r="B1021" s="30">
        <v>986.0</v>
      </c>
      <c r="C1021" s="16" t="s">
        <v>1489</v>
      </c>
      <c r="D1021" s="16" t="s">
        <v>184</v>
      </c>
      <c r="E1021" s="16" t="s">
        <v>192</v>
      </c>
      <c r="F1021" s="16" t="s">
        <v>215</v>
      </c>
      <c r="G1021" s="16" t="s">
        <v>329</v>
      </c>
      <c r="H1021" s="16" t="s">
        <v>457</v>
      </c>
    </row>
    <row r="1022" ht="330.75" customHeight="1">
      <c r="A1022" s="32" t="str">
        <f>IMAGE("https://gymvisual.com/22163-catalog_default/cable-neutral-grip-kickback.jpg",4,500,500)</f>
        <v/>
      </c>
      <c r="B1022" s="30">
        <v>985.0</v>
      </c>
      <c r="C1022" s="16" t="s">
        <v>1488</v>
      </c>
      <c r="D1022" s="16" t="s">
        <v>184</v>
      </c>
      <c r="E1022" s="16" t="s">
        <v>219</v>
      </c>
      <c r="F1022" s="16" t="s">
        <v>215</v>
      </c>
      <c r="G1022" s="16" t="s">
        <v>223</v>
      </c>
      <c r="H1022" s="16" t="s">
        <v>220</v>
      </c>
    </row>
    <row r="1023" ht="330.75" customHeight="1">
      <c r="A1023" s="32" t="str">
        <f>IMAGE("https://gymvisual.com/11996-catalog_default/cable-narrow-chair-stand-up.jpg",4,500,500)</f>
        <v/>
      </c>
      <c r="B1023" s="30">
        <v>984.0</v>
      </c>
      <c r="C1023" s="16" t="s">
        <v>1487</v>
      </c>
      <c r="D1023" s="16" t="s">
        <v>184</v>
      </c>
      <c r="E1023" s="16" t="s">
        <v>185</v>
      </c>
      <c r="F1023" s="16" t="s">
        <v>215</v>
      </c>
      <c r="G1023" s="16" t="s">
        <v>189</v>
      </c>
      <c r="H1023" s="16" t="s">
        <v>190</v>
      </c>
    </row>
    <row r="1024" ht="330.75" customHeight="1">
      <c r="A1024" s="32" t="str">
        <f>IMAGE("https://gymvisual.com/10942-catalog_default/cable-middle-fly-female.jpg",4,500,500)</f>
        <v/>
      </c>
      <c r="B1024" s="30">
        <v>983.0</v>
      </c>
      <c r="C1024" s="16" t="s">
        <v>1486</v>
      </c>
      <c r="D1024" s="16" t="s">
        <v>184</v>
      </c>
      <c r="E1024" s="16" t="s">
        <v>234</v>
      </c>
      <c r="F1024" s="16" t="s">
        <v>215</v>
      </c>
      <c r="G1024" s="16" t="s">
        <v>220</v>
      </c>
      <c r="H1024" s="16" t="s">
        <v>220</v>
      </c>
    </row>
    <row r="1025" ht="330.75" customHeight="1">
      <c r="A1025" s="32" t="str">
        <f>IMAGE("https://gymvisual.com/19323-catalog_default/cable-middle-fly.jpg",4,500,500)</f>
        <v/>
      </c>
      <c r="B1025" s="30">
        <v>982.0</v>
      </c>
      <c r="C1025" s="16" t="s">
        <v>1485</v>
      </c>
      <c r="D1025" s="16" t="s">
        <v>184</v>
      </c>
      <c r="E1025" s="16" t="s">
        <v>234</v>
      </c>
      <c r="F1025" s="16" t="s">
        <v>215</v>
      </c>
      <c r="G1025" s="16" t="s">
        <v>347</v>
      </c>
      <c r="H1025" s="16" t="s">
        <v>568</v>
      </c>
    </row>
    <row r="1026" ht="330.75" customHeight="1">
      <c r="A1026" s="32" t="str">
        <f>IMAGE("https://gymvisual.com/23849-catalog_default/cable-medius-kickback.jpg",4,500,500)</f>
        <v/>
      </c>
      <c r="B1026" s="30">
        <v>981.0</v>
      </c>
      <c r="C1026" s="16" t="s">
        <v>1484</v>
      </c>
      <c r="D1026" s="16" t="s">
        <v>184</v>
      </c>
      <c r="E1026" s="16" t="s">
        <v>185</v>
      </c>
      <c r="F1026" s="16" t="s">
        <v>215</v>
      </c>
      <c r="G1026" s="16" t="s">
        <v>220</v>
      </c>
      <c r="H1026" s="16" t="s">
        <v>220</v>
      </c>
    </row>
    <row r="1027" ht="330.75" customHeight="1">
      <c r="A1027" s="32" t="str">
        <f>IMAGE("https://gymvisual.com/18083-catalog_default/cable-lying-upright-row.jpg",4,500,500)</f>
        <v/>
      </c>
      <c r="B1027" s="30">
        <v>980.0</v>
      </c>
      <c r="C1027" s="16" t="s">
        <v>1483</v>
      </c>
      <c r="D1027" s="16" t="s">
        <v>184</v>
      </c>
      <c r="E1027" s="16" t="s">
        <v>228</v>
      </c>
      <c r="F1027" s="16" t="s">
        <v>215</v>
      </c>
      <c r="G1027" s="16" t="s">
        <v>220</v>
      </c>
      <c r="H1027" s="16" t="s">
        <v>220</v>
      </c>
    </row>
    <row r="1028" ht="330.75" customHeight="1">
      <c r="A1028" s="32" t="str">
        <f>IMAGE("https://gymvisual.com/18871-catalog_default/cable-lying-triceps-extension-with-rope.jpg",4,500,500)</f>
        <v/>
      </c>
      <c r="B1028" s="30">
        <v>979.0</v>
      </c>
      <c r="C1028" s="16" t="s">
        <v>1482</v>
      </c>
      <c r="D1028" s="16" t="s">
        <v>184</v>
      </c>
      <c r="E1028" s="16" t="s">
        <v>219</v>
      </c>
      <c r="F1028" s="16" t="s">
        <v>215</v>
      </c>
      <c r="G1028" s="16" t="s">
        <v>223</v>
      </c>
      <c r="H1028" s="16" t="s">
        <v>220</v>
      </c>
    </row>
    <row r="1029" ht="330.75" customHeight="1">
      <c r="A1029" s="32" t="str">
        <f>IMAGE("https://gymvisual.com/580-catalog_default/cable-lying-triceps-extension-version-2.jpg",4,500,500)</f>
        <v/>
      </c>
      <c r="B1029" s="30">
        <v>978.0</v>
      </c>
      <c r="C1029" s="16" t="s">
        <v>1481</v>
      </c>
      <c r="D1029" s="16" t="s">
        <v>184</v>
      </c>
      <c r="E1029" s="16" t="s">
        <v>219</v>
      </c>
      <c r="F1029" s="16" t="s">
        <v>215</v>
      </c>
      <c r="G1029" s="16" t="s">
        <v>223</v>
      </c>
      <c r="H1029" s="16" t="s">
        <v>220</v>
      </c>
    </row>
    <row r="1030" ht="330.75" customHeight="1">
      <c r="A1030" s="32" t="str">
        <f>IMAGE("https://gymvisual.com/20537-catalog_default/cable-lying-triceps-extension-low-female.jpg",4,500,500)</f>
        <v/>
      </c>
      <c r="B1030" s="30">
        <v>977.0</v>
      </c>
      <c r="C1030" s="16" t="s">
        <v>1480</v>
      </c>
      <c r="D1030" s="16" t="s">
        <v>184</v>
      </c>
      <c r="E1030" s="16" t="s">
        <v>219</v>
      </c>
      <c r="F1030" s="16" t="s">
        <v>215</v>
      </c>
      <c r="G1030" s="16" t="s">
        <v>223</v>
      </c>
      <c r="H1030" s="16" t="s">
        <v>220</v>
      </c>
    </row>
    <row r="1031" ht="330.75" customHeight="1">
      <c r="A1031" s="32" t="str">
        <f>IMAGE("https://gymvisual.com/20481-catalog_default/cable-lying-triceps-extension-low.jpg",4,500,500)</f>
        <v/>
      </c>
      <c r="B1031" s="30">
        <v>976.0</v>
      </c>
      <c r="C1031" s="16" t="s">
        <v>1479</v>
      </c>
      <c r="D1031" s="16" t="s">
        <v>184</v>
      </c>
      <c r="E1031" s="16" t="s">
        <v>219</v>
      </c>
      <c r="F1031" s="16" t="s">
        <v>215</v>
      </c>
      <c r="G1031" s="16" t="s">
        <v>223</v>
      </c>
      <c r="H1031" s="16" t="s">
        <v>220</v>
      </c>
    </row>
    <row r="1032" ht="330.75" customHeight="1">
      <c r="A1032" s="32" t="str">
        <f>IMAGE("https://gymvisual.com/20463-catalog_default/cable-lying-triceps-extension.jpg",4,500,500)</f>
        <v/>
      </c>
      <c r="B1032" s="30">
        <v>975.0</v>
      </c>
      <c r="C1032" s="16" t="s">
        <v>1478</v>
      </c>
      <c r="D1032" s="16" t="s">
        <v>184</v>
      </c>
      <c r="E1032" s="16" t="s">
        <v>219</v>
      </c>
      <c r="F1032" s="16" t="s">
        <v>215</v>
      </c>
      <c r="G1032" s="16" t="s">
        <v>223</v>
      </c>
      <c r="H1032" s="16" t="s">
        <v>220</v>
      </c>
    </row>
    <row r="1033" ht="330.75" customHeight="1">
      <c r="A1033" s="32" t="str">
        <f>IMAGE("https://gymvisual.com/18085-catalog_default/cable-lying-shrug.jpg",4,500,500)</f>
        <v/>
      </c>
      <c r="B1033" s="30">
        <v>974.0</v>
      </c>
      <c r="C1033" s="16" t="s">
        <v>1477</v>
      </c>
      <c r="D1033" s="16" t="s">
        <v>184</v>
      </c>
      <c r="E1033" s="16" t="s">
        <v>192</v>
      </c>
      <c r="F1033" s="16" t="s">
        <v>215</v>
      </c>
      <c r="G1033" s="16" t="s">
        <v>220</v>
      </c>
      <c r="H1033" s="16" t="s">
        <v>220</v>
      </c>
    </row>
    <row r="1034" ht="330.75" customHeight="1">
      <c r="A1034" s="32" t="str">
        <f>IMAGE("https://gymvisual.com/18772-catalog_default/cable-lying-regular-grip-curl-female.jpg",4,500,500)</f>
        <v/>
      </c>
      <c r="B1034" s="30">
        <v>973.0</v>
      </c>
      <c r="C1034" s="16" t="s">
        <v>1476</v>
      </c>
      <c r="D1034" s="16" t="s">
        <v>184</v>
      </c>
      <c r="E1034" s="16" t="s">
        <v>219</v>
      </c>
      <c r="F1034" s="16" t="s">
        <v>215</v>
      </c>
      <c r="G1034" s="16" t="s">
        <v>220</v>
      </c>
      <c r="H1034" s="16" t="s">
        <v>220</v>
      </c>
    </row>
    <row r="1035" ht="330.75" customHeight="1">
      <c r="A1035" s="32" t="str">
        <f>IMAGE("https://gymvisual.com/18081-catalog_default/cable-lying-pallof-press.jpg",4,500,500)</f>
        <v/>
      </c>
      <c r="B1035" s="30">
        <v>972.0</v>
      </c>
      <c r="C1035" s="16" t="s">
        <v>1475</v>
      </c>
      <c r="D1035" s="16" t="s">
        <v>184</v>
      </c>
      <c r="E1035" s="16" t="s">
        <v>254</v>
      </c>
      <c r="F1035" s="16" t="s">
        <v>215</v>
      </c>
      <c r="G1035" s="16" t="s">
        <v>220</v>
      </c>
      <c r="H1035" s="16" t="s">
        <v>220</v>
      </c>
    </row>
    <row r="1036" ht="330.75" customHeight="1">
      <c r="A1036" s="32" t="str">
        <f>IMAGE("https://gymvisual.com/18087-catalog_default/cable-lying-front-raise.jpg",4,500,500)</f>
        <v/>
      </c>
      <c r="B1036" s="30">
        <v>971.0</v>
      </c>
      <c r="C1036" s="16" t="s">
        <v>1474</v>
      </c>
      <c r="D1036" s="16" t="s">
        <v>184</v>
      </c>
      <c r="E1036" s="16" t="s">
        <v>228</v>
      </c>
      <c r="F1036" s="16" t="s">
        <v>215</v>
      </c>
      <c r="G1036" s="16" t="s">
        <v>220</v>
      </c>
      <c r="H1036" s="16" t="s">
        <v>220</v>
      </c>
    </row>
    <row r="1037" ht="330.75" customHeight="1">
      <c r="A1037" s="32" t="str">
        <f>IMAGE("https://gymvisual.com/10519-catalog_default/cable-lying-fly-female.jpg",4,500,500)</f>
        <v/>
      </c>
      <c r="B1037" s="30">
        <v>970.0</v>
      </c>
      <c r="C1037" s="16" t="s">
        <v>1473</v>
      </c>
      <c r="D1037" s="16" t="s">
        <v>184</v>
      </c>
      <c r="E1037" s="16" t="s">
        <v>234</v>
      </c>
      <c r="F1037" s="16" t="s">
        <v>215</v>
      </c>
      <c r="G1037" s="16" t="s">
        <v>235</v>
      </c>
      <c r="H1037" s="16" t="s">
        <v>236</v>
      </c>
    </row>
    <row r="1038" ht="330.75" customHeight="1">
      <c r="A1038" s="32" t="str">
        <f>IMAGE("https://gymvisual.com/577-catalog_default/cable-lying-fly.jpg",4,500,500)</f>
        <v/>
      </c>
      <c r="B1038" s="30">
        <v>969.0</v>
      </c>
      <c r="C1038" s="16" t="s">
        <v>1472</v>
      </c>
      <c r="D1038" s="16" t="s">
        <v>184</v>
      </c>
      <c r="E1038" s="16" t="s">
        <v>234</v>
      </c>
      <c r="F1038" s="16" t="s">
        <v>215</v>
      </c>
      <c r="G1038" s="16" t="s">
        <v>235</v>
      </c>
      <c r="H1038" s="16" t="s">
        <v>236</v>
      </c>
    </row>
    <row r="1039" ht="330.75" customHeight="1">
      <c r="A1039" s="32" t="str">
        <f>IMAGE("https://gymvisual.com/13381-catalog_default/cable-lying-extension-pullover-with-rope-attachment-female.jpg",4,500,500)</f>
        <v/>
      </c>
      <c r="B1039" s="30">
        <v>968.0</v>
      </c>
      <c r="C1039" s="16" t="s">
        <v>1471</v>
      </c>
      <c r="D1039" s="16" t="s">
        <v>184</v>
      </c>
      <c r="E1039" s="16" t="s">
        <v>192</v>
      </c>
      <c r="F1039" s="16" t="s">
        <v>215</v>
      </c>
      <c r="G1039" s="16" t="s">
        <v>220</v>
      </c>
      <c r="H1039" s="16" t="s">
        <v>220</v>
      </c>
    </row>
    <row r="1040" ht="330.75" customHeight="1">
      <c r="A1040" s="32" t="str">
        <f>IMAGE("https://gymvisual.com/6002-catalog_default/cable-lying-extension-pullover-with-rope-attachment.jpg",4,500,500)</f>
        <v/>
      </c>
      <c r="B1040" s="30">
        <v>967.0</v>
      </c>
      <c r="C1040" s="16" t="s">
        <v>1470</v>
      </c>
      <c r="D1040" s="16" t="s">
        <v>184</v>
      </c>
      <c r="E1040" s="16" t="s">
        <v>192</v>
      </c>
      <c r="F1040" s="16" t="s">
        <v>215</v>
      </c>
      <c r="G1040" s="16" t="s">
        <v>300</v>
      </c>
      <c r="H1040" s="16" t="s">
        <v>781</v>
      </c>
    </row>
    <row r="1041" ht="330.75" customHeight="1">
      <c r="A1041" s="32" t="str">
        <f>IMAGE("https://gymvisual.com/571-catalog_default/cable-lying-curl.jpg",4,500,500)</f>
        <v/>
      </c>
      <c r="B1041" s="30">
        <v>966.0</v>
      </c>
      <c r="C1041" s="16" t="s">
        <v>1469</v>
      </c>
      <c r="D1041" s="16" t="s">
        <v>184</v>
      </c>
      <c r="E1041" s="16" t="s">
        <v>219</v>
      </c>
      <c r="F1041" s="16" t="s">
        <v>215</v>
      </c>
      <c r="G1041" s="16" t="s">
        <v>241</v>
      </c>
      <c r="H1041" s="16" t="s">
        <v>292</v>
      </c>
    </row>
    <row r="1042" ht="330.75" customHeight="1">
      <c r="A1042" s="32" t="str">
        <f>IMAGE("https://gymvisual.com/17458-catalog_default/cable-lying-cross-lateral-raise.jpg",4,500,500)</f>
        <v/>
      </c>
      <c r="B1042" s="30">
        <v>965.0</v>
      </c>
      <c r="C1042" s="16" t="s">
        <v>1468</v>
      </c>
      <c r="D1042" s="16" t="s">
        <v>184</v>
      </c>
      <c r="E1042" s="16" t="s">
        <v>228</v>
      </c>
      <c r="F1042" s="16" t="s">
        <v>215</v>
      </c>
      <c r="G1042" s="16" t="s">
        <v>544</v>
      </c>
      <c r="H1042" s="16" t="s">
        <v>545</v>
      </c>
    </row>
    <row r="1043" ht="330.75" customHeight="1">
      <c r="A1043" s="32" t="str">
        <f>IMAGE("https://gymvisual.com/568-catalog_default/cable-lying-close-grip-curl.jpg",4,500,500)</f>
        <v/>
      </c>
      <c r="B1043" s="30">
        <v>964.0</v>
      </c>
      <c r="C1043" s="16" t="s">
        <v>1467</v>
      </c>
      <c r="D1043" s="16" t="s">
        <v>184</v>
      </c>
      <c r="E1043" s="16" t="s">
        <v>219</v>
      </c>
      <c r="F1043" s="16" t="s">
        <v>215</v>
      </c>
      <c r="G1043" s="16" t="s">
        <v>241</v>
      </c>
      <c r="H1043" s="16" t="s">
        <v>292</v>
      </c>
    </row>
    <row r="1044" ht="330.75" customHeight="1">
      <c r="A1044" s="32" t="str">
        <f>IMAGE("https://gymvisual.com/19321-catalog_default/cable-lying-close-grip-curl.jpg",4,500,500)</f>
        <v/>
      </c>
      <c r="B1044" s="30">
        <v>963.0</v>
      </c>
      <c r="C1044" s="16" t="s">
        <v>1467</v>
      </c>
      <c r="D1044" s="16" t="s">
        <v>184</v>
      </c>
      <c r="E1044" s="16" t="s">
        <v>219</v>
      </c>
      <c r="F1044" s="16" t="s">
        <v>215</v>
      </c>
      <c r="G1044" s="16" t="s">
        <v>241</v>
      </c>
      <c r="H1044" s="16" t="s">
        <v>292</v>
      </c>
    </row>
    <row r="1045" ht="330.75" customHeight="1">
      <c r="A1045" s="32" t="str">
        <f>IMAGE("https://gymvisual.com/13680-catalog_default/cable-lying-close-press.jpg",4,500,500)</f>
        <v/>
      </c>
      <c r="B1045" s="30">
        <v>962.0</v>
      </c>
      <c r="C1045" s="16" t="s">
        <v>1466</v>
      </c>
      <c r="D1045" s="16" t="s">
        <v>184</v>
      </c>
      <c r="E1045" s="16" t="s">
        <v>219</v>
      </c>
      <c r="F1045" s="16" t="s">
        <v>215</v>
      </c>
      <c r="G1045" s="16" t="s">
        <v>223</v>
      </c>
      <c r="H1045" s="16" t="s">
        <v>472</v>
      </c>
    </row>
    <row r="1046" ht="330.75" customHeight="1">
      <c r="A1046" s="32" t="str">
        <f>IMAGE("https://gymvisual.com/10374-catalog_default/cable-lying-biceps-curl-version-2.jpg",4,500,500)</f>
        <v/>
      </c>
      <c r="B1046" s="30">
        <v>961.0</v>
      </c>
      <c r="C1046" s="16" t="s">
        <v>1465</v>
      </c>
      <c r="D1046" s="16" t="s">
        <v>184</v>
      </c>
      <c r="E1046" s="16" t="s">
        <v>219</v>
      </c>
      <c r="F1046" s="16" t="s">
        <v>215</v>
      </c>
      <c r="G1046" s="16" t="s">
        <v>241</v>
      </c>
      <c r="H1046" s="16" t="s">
        <v>292</v>
      </c>
    </row>
    <row r="1047" ht="330.75" customHeight="1">
      <c r="A1047" s="32" t="str">
        <f>IMAGE("https://gymvisual.com/13379-catalog_default/cable-lying-bicep-curl-female.jpg",4,500,500)</f>
        <v/>
      </c>
      <c r="B1047" s="30">
        <v>960.0</v>
      </c>
      <c r="C1047" s="16" t="s">
        <v>1464</v>
      </c>
      <c r="D1047" s="16" t="s">
        <v>184</v>
      </c>
      <c r="E1047" s="16" t="s">
        <v>219</v>
      </c>
      <c r="F1047" s="16" t="s">
        <v>215</v>
      </c>
      <c r="G1047" s="16" t="s">
        <v>220</v>
      </c>
      <c r="H1047" s="16" t="s">
        <v>220</v>
      </c>
    </row>
    <row r="1048" ht="330.75" customHeight="1">
      <c r="A1048" s="32" t="str">
        <f>IMAGE("https://gymvisual.com/20467-catalog_default/cable-lying-bicep-curl.jpg",4,500,500)</f>
        <v/>
      </c>
      <c r="B1048" s="30">
        <v>959.0</v>
      </c>
      <c r="C1048" s="16" t="s">
        <v>1463</v>
      </c>
      <c r="D1048" s="16" t="s">
        <v>184</v>
      </c>
      <c r="E1048" s="16" t="s">
        <v>219</v>
      </c>
      <c r="F1048" s="16" t="s">
        <v>215</v>
      </c>
      <c r="G1048" s="16" t="s">
        <v>241</v>
      </c>
      <c r="H1048" s="16" t="s">
        <v>292</v>
      </c>
    </row>
    <row r="1049" ht="330.75" customHeight="1">
      <c r="A1049" s="32" t="str">
        <f>IMAGE("https://gymvisual.com/13654-catalog_default/cable-lunge.jpg",4,500,500)</f>
        <v/>
      </c>
      <c r="B1049" s="30">
        <v>958.0</v>
      </c>
      <c r="C1049" s="16" t="s">
        <v>1462</v>
      </c>
      <c r="D1049" s="16" t="s">
        <v>184</v>
      </c>
      <c r="E1049" s="16" t="s">
        <v>285</v>
      </c>
      <c r="F1049" s="16" t="s">
        <v>215</v>
      </c>
      <c r="G1049" s="16" t="s">
        <v>189</v>
      </c>
      <c r="H1049" s="16" t="s">
        <v>220</v>
      </c>
    </row>
    <row r="1050" ht="330.75" customHeight="1">
      <c r="A1050" s="32" t="str">
        <f>IMAGE("https://gymvisual.com/26458-catalog_default/cable-low-seated-row-female.jpg",4,500,500)</f>
        <v/>
      </c>
      <c r="B1050" s="30">
        <v>957.0</v>
      </c>
      <c r="C1050" s="16" t="s">
        <v>1461</v>
      </c>
      <c r="D1050" s="16" t="s">
        <v>184</v>
      </c>
      <c r="E1050" s="16" t="s">
        <v>192</v>
      </c>
      <c r="F1050" s="16" t="s">
        <v>215</v>
      </c>
      <c r="G1050" s="16" t="s">
        <v>329</v>
      </c>
      <c r="H1050" s="16" t="s">
        <v>447</v>
      </c>
    </row>
    <row r="1051" ht="330.75" customHeight="1">
      <c r="A1051" s="32" t="str">
        <f>IMAGE("https://gymvisual.com/562-catalog_default/cable-low-seated-row.jpg",4,500,500)</f>
        <v/>
      </c>
      <c r="B1051" s="30">
        <v>956.0</v>
      </c>
      <c r="C1051" s="16" t="s">
        <v>1460</v>
      </c>
      <c r="D1051" s="16" t="s">
        <v>184</v>
      </c>
      <c r="E1051" s="16" t="s">
        <v>192</v>
      </c>
      <c r="F1051" s="16" t="s">
        <v>215</v>
      </c>
      <c r="G1051" s="16" t="s">
        <v>329</v>
      </c>
      <c r="H1051" s="16" t="s">
        <v>457</v>
      </c>
    </row>
    <row r="1052" ht="330.75" customHeight="1">
      <c r="A1052" s="32" t="str">
        <f>IMAGE("https://gymvisual.com/19451-catalog_default/cable-low-row-with-rope-attachment.jpg",4,500,500)</f>
        <v/>
      </c>
      <c r="B1052" s="30">
        <v>955.0</v>
      </c>
      <c r="C1052" s="16" t="s">
        <v>1459</v>
      </c>
      <c r="D1052" s="16" t="s">
        <v>184</v>
      </c>
      <c r="E1052" s="16" t="s">
        <v>192</v>
      </c>
      <c r="F1052" s="16" t="s">
        <v>215</v>
      </c>
      <c r="G1052" s="16" t="s">
        <v>220</v>
      </c>
      <c r="H1052" s="16" t="s">
        <v>220</v>
      </c>
    </row>
    <row r="1053" ht="330.75" customHeight="1">
      <c r="A1053" s="32" t="str">
        <f>IMAGE("https://gymvisual.com/9670-catalog_default/cable-low-fly-female.jpg",4,500,500)</f>
        <v/>
      </c>
      <c r="B1053" s="30">
        <v>954.0</v>
      </c>
      <c r="C1053" s="16" t="s">
        <v>1458</v>
      </c>
      <c r="D1053" s="16" t="s">
        <v>184</v>
      </c>
      <c r="E1053" s="16" t="s">
        <v>234</v>
      </c>
      <c r="F1053" s="16" t="s">
        <v>215</v>
      </c>
      <c r="G1053" s="16" t="s">
        <v>347</v>
      </c>
      <c r="H1053" s="16" t="s">
        <v>420</v>
      </c>
    </row>
    <row r="1054" ht="330.75" customHeight="1">
      <c r="A1054" s="32" t="str">
        <f>IMAGE("https://gymvisual.com/19319-catalog_default/cable-low-fly.jpg",4,500,500)</f>
        <v/>
      </c>
      <c r="B1054" s="30">
        <v>953.0</v>
      </c>
      <c r="C1054" s="16" t="s">
        <v>1457</v>
      </c>
      <c r="D1054" s="16" t="s">
        <v>184</v>
      </c>
      <c r="E1054" s="16" t="s">
        <v>234</v>
      </c>
      <c r="F1054" s="16" t="s">
        <v>215</v>
      </c>
      <c r="G1054" s="16" t="s">
        <v>415</v>
      </c>
      <c r="H1054" s="16" t="s">
        <v>236</v>
      </c>
    </row>
    <row r="1055" ht="330.75" customHeight="1">
      <c r="A1055" s="32" t="str">
        <f>IMAGE("https://gymvisual.com/25655-catalog_default/cable-low-chest-press-male.jpg",4,500,500)</f>
        <v/>
      </c>
      <c r="B1055" s="30">
        <v>952.0</v>
      </c>
      <c r="C1055" s="16" t="s">
        <v>1456</v>
      </c>
      <c r="D1055" s="16" t="s">
        <v>184</v>
      </c>
      <c r="E1055" s="16" t="s">
        <v>234</v>
      </c>
      <c r="F1055" s="16" t="s">
        <v>215</v>
      </c>
      <c r="G1055" s="16" t="s">
        <v>220</v>
      </c>
      <c r="H1055" s="16" t="s">
        <v>220</v>
      </c>
    </row>
    <row r="1056" ht="330.75" customHeight="1">
      <c r="A1056" s="32" t="str">
        <f>IMAGE("https://gymvisual.com/17759-catalog_default/cable-leaning-lateral-raise.jpg",4,500,500)</f>
        <v/>
      </c>
      <c r="B1056" s="30">
        <v>951.0</v>
      </c>
      <c r="C1056" s="16" t="s">
        <v>1455</v>
      </c>
      <c r="D1056" s="16" t="s">
        <v>184</v>
      </c>
      <c r="E1056" s="16" t="s">
        <v>228</v>
      </c>
      <c r="F1056" s="16" t="s">
        <v>215</v>
      </c>
      <c r="G1056" s="16" t="s">
        <v>220</v>
      </c>
      <c r="H1056" s="16" t="s">
        <v>220</v>
      </c>
    </row>
    <row r="1057" ht="330.75" customHeight="1">
      <c r="A1057" s="32" t="str">
        <f>IMAGE("https://gymvisual.com/13377-catalog_default/cable-lateral-raise-female.jpg",4,500,500)</f>
        <v/>
      </c>
      <c r="B1057" s="30">
        <v>950.0</v>
      </c>
      <c r="C1057" s="16" t="s">
        <v>1454</v>
      </c>
      <c r="D1057" s="16" t="s">
        <v>184</v>
      </c>
      <c r="E1057" s="16" t="s">
        <v>228</v>
      </c>
      <c r="F1057" s="16" t="s">
        <v>215</v>
      </c>
      <c r="G1057" s="16" t="s">
        <v>544</v>
      </c>
      <c r="H1057" s="16" t="s">
        <v>545</v>
      </c>
    </row>
    <row r="1058" ht="330.75" customHeight="1">
      <c r="A1058" s="32" t="str">
        <f>IMAGE("https://gymvisual.com/556-catalog_default/cable-lateral-raise.jpg",4,500,500)</f>
        <v/>
      </c>
      <c r="B1058" s="30">
        <v>949.0</v>
      </c>
      <c r="C1058" s="16" t="s">
        <v>54</v>
      </c>
      <c r="D1058" s="16" t="s">
        <v>184</v>
      </c>
      <c r="E1058" s="16" t="s">
        <v>228</v>
      </c>
      <c r="F1058" s="16" t="s">
        <v>215</v>
      </c>
      <c r="G1058" s="16" t="s">
        <v>544</v>
      </c>
      <c r="H1058" s="16" t="s">
        <v>545</v>
      </c>
    </row>
    <row r="1059" ht="330.75" customHeight="1">
      <c r="A1059" s="32" t="str">
        <f>IMAGE("https://gymvisual.com/10798-catalog_default/cable-lateral-pulldown-with-v-bar.jpg",4,500,500)</f>
        <v/>
      </c>
      <c r="B1059" s="30">
        <v>948.0</v>
      </c>
      <c r="C1059" s="16" t="s">
        <v>1453</v>
      </c>
      <c r="D1059" s="16" t="s">
        <v>184</v>
      </c>
      <c r="E1059" s="16" t="s">
        <v>192</v>
      </c>
      <c r="F1059" s="16" t="s">
        <v>215</v>
      </c>
      <c r="G1059" s="16" t="s">
        <v>300</v>
      </c>
      <c r="H1059" s="16" t="s">
        <v>1357</v>
      </c>
    </row>
    <row r="1060" ht="330.75" customHeight="1">
      <c r="A1060" s="32" t="str">
        <f>IMAGE("https://gymvisual.com/553-catalog_default/cable-lateral-pulldown-with-rope-attachment.jpg",4,500,500)</f>
        <v/>
      </c>
      <c r="B1060" s="30">
        <v>947.0</v>
      </c>
      <c r="C1060" s="16" t="s">
        <v>1452</v>
      </c>
      <c r="D1060" s="16" t="s">
        <v>184</v>
      </c>
      <c r="E1060" s="16" t="s">
        <v>192</v>
      </c>
      <c r="F1060" s="16" t="s">
        <v>215</v>
      </c>
      <c r="G1060" s="16" t="s">
        <v>300</v>
      </c>
      <c r="H1060" s="16" t="s">
        <v>1357</v>
      </c>
    </row>
    <row r="1061" ht="330.75" customHeight="1">
      <c r="A1061" s="32" t="str">
        <f>IMAGE("https://gymvisual.com/13660-catalog_default/cable-lateral-lunge-version-2.jpg",4,500,500)</f>
        <v/>
      </c>
      <c r="B1061" s="30">
        <v>946.0</v>
      </c>
      <c r="C1061" s="16" t="s">
        <v>1451</v>
      </c>
      <c r="D1061" s="16" t="s">
        <v>184</v>
      </c>
      <c r="E1061" s="16" t="s">
        <v>285</v>
      </c>
      <c r="F1061" s="16" t="s">
        <v>215</v>
      </c>
      <c r="G1061" s="16" t="s">
        <v>295</v>
      </c>
      <c r="H1061" s="16" t="s">
        <v>220</v>
      </c>
    </row>
    <row r="1062" ht="330.75" customHeight="1">
      <c r="A1062" s="32" t="str">
        <f>IMAGE("https://gymvisual.com/13653-catalog_default/cable-lateral-lunge.jpg",4,500,500)</f>
        <v/>
      </c>
      <c r="B1062" s="30">
        <v>945.0</v>
      </c>
      <c r="C1062" s="16" t="s">
        <v>1450</v>
      </c>
      <c r="D1062" s="16" t="s">
        <v>184</v>
      </c>
      <c r="E1062" s="16" t="s">
        <v>285</v>
      </c>
      <c r="F1062" s="16" t="s">
        <v>215</v>
      </c>
      <c r="G1062" s="16" t="s">
        <v>295</v>
      </c>
      <c r="H1062" s="16" t="s">
        <v>220</v>
      </c>
    </row>
    <row r="1063" ht="330.75" customHeight="1">
      <c r="A1063" s="32" t="str">
        <f>IMAGE("https://gymvisual.com/10037-catalog_default/cable-lat-pulldown-full-range-of-motion.jpg",4,500,500)</f>
        <v/>
      </c>
      <c r="B1063" s="30">
        <v>944.0</v>
      </c>
      <c r="C1063" s="16" t="s">
        <v>1448</v>
      </c>
      <c r="D1063" s="16" t="s">
        <v>184</v>
      </c>
      <c r="E1063" s="16" t="s">
        <v>192</v>
      </c>
      <c r="F1063" s="16" t="s">
        <v>215</v>
      </c>
      <c r="G1063" s="16" t="s">
        <v>300</v>
      </c>
      <c r="H1063" s="16" t="s">
        <v>1449</v>
      </c>
    </row>
    <row r="1064" ht="330.75" customHeight="1">
      <c r="A1064" s="32" t="str">
        <f>IMAGE("https://gymvisual.com/7711-catalog_default/cable-kneeling-triceps-extension-version-2.jpg",4,500,500)</f>
        <v/>
      </c>
      <c r="B1064" s="30">
        <v>943.0</v>
      </c>
      <c r="C1064" s="16" t="s">
        <v>1447</v>
      </c>
      <c r="D1064" s="16" t="s">
        <v>184</v>
      </c>
      <c r="E1064" s="16" t="s">
        <v>219</v>
      </c>
      <c r="F1064" s="16" t="s">
        <v>215</v>
      </c>
      <c r="G1064" s="16" t="s">
        <v>223</v>
      </c>
      <c r="H1064" s="16" t="s">
        <v>220</v>
      </c>
    </row>
    <row r="1065" ht="330.75" customHeight="1">
      <c r="A1065" s="32" t="str">
        <f>IMAGE("https://gymvisual.com/550-catalog_default/cable-kneeling-triceps-extension.jpg",4,500,500)</f>
        <v/>
      </c>
      <c r="B1065" s="30">
        <v>942.0</v>
      </c>
      <c r="C1065" s="16" t="s">
        <v>1446</v>
      </c>
      <c r="D1065" s="16" t="s">
        <v>184</v>
      </c>
      <c r="E1065" s="16" t="s">
        <v>219</v>
      </c>
      <c r="F1065" s="16" t="s">
        <v>215</v>
      </c>
      <c r="G1065" s="16" t="s">
        <v>223</v>
      </c>
      <c r="H1065" s="16" t="s">
        <v>220</v>
      </c>
    </row>
    <row r="1066" ht="330.75" customHeight="1">
      <c r="A1066" s="32" t="str">
        <f>IMAGE("https://gymvisual.com/24768-catalog_default/cable-kneeling-single-lat-pulldown.jpg",4,500,500)</f>
        <v/>
      </c>
      <c r="B1066" s="30">
        <v>941.0</v>
      </c>
      <c r="C1066" s="16" t="s">
        <v>1445</v>
      </c>
      <c r="D1066" s="16" t="s">
        <v>184</v>
      </c>
      <c r="E1066" s="16" t="s">
        <v>192</v>
      </c>
      <c r="F1066" s="16" t="s">
        <v>215</v>
      </c>
      <c r="G1066" s="16" t="s">
        <v>220</v>
      </c>
      <c r="H1066" s="16" t="s">
        <v>220</v>
      </c>
    </row>
    <row r="1067" ht="330.75" customHeight="1">
      <c r="A1067" s="32" t="str">
        <f>IMAGE("https://gymvisual.com/17452-catalog_default/cable-kneeling-shoulder-press.jpg",4,500,500)</f>
        <v/>
      </c>
      <c r="B1067" s="30">
        <v>940.0</v>
      </c>
      <c r="C1067" s="16" t="s">
        <v>1443</v>
      </c>
      <c r="D1067" s="16" t="s">
        <v>184</v>
      </c>
      <c r="E1067" s="16" t="s">
        <v>228</v>
      </c>
      <c r="F1067" s="16" t="s">
        <v>215</v>
      </c>
      <c r="G1067" s="16" t="s">
        <v>243</v>
      </c>
      <c r="H1067" s="16" t="s">
        <v>1444</v>
      </c>
    </row>
    <row r="1068" ht="330.75" customHeight="1">
      <c r="A1068" s="32" t="str">
        <f>IMAGE("https://gymvisual.com/25669-catalog_default/cable-kneeling-shoulder-90-degrees-external-rotation-press.jpg",4,500,500)</f>
        <v/>
      </c>
      <c r="B1068" s="30">
        <v>939.0</v>
      </c>
      <c r="C1068" s="16" t="s">
        <v>1442</v>
      </c>
      <c r="D1068" s="16" t="s">
        <v>184</v>
      </c>
      <c r="E1068" s="16" t="s">
        <v>192</v>
      </c>
      <c r="F1068" s="16" t="s">
        <v>215</v>
      </c>
      <c r="G1068" s="16" t="s">
        <v>220</v>
      </c>
      <c r="H1068" s="16" t="s">
        <v>220</v>
      </c>
    </row>
    <row r="1069" ht="330.75" customHeight="1">
      <c r="A1069" s="32" t="str">
        <f>IMAGE("https://gymvisual.com/14695-catalog_default/cable-kneeling-rear-delt-row-with-rope-male.jpg",4,500,500)</f>
        <v/>
      </c>
      <c r="B1069" s="30">
        <v>938.0</v>
      </c>
      <c r="C1069" s="16" t="s">
        <v>1441</v>
      </c>
      <c r="D1069" s="16" t="s">
        <v>184</v>
      </c>
      <c r="E1069" s="16" t="s">
        <v>228</v>
      </c>
      <c r="F1069" s="16" t="s">
        <v>215</v>
      </c>
      <c r="G1069" s="16" t="s">
        <v>408</v>
      </c>
      <c r="H1069" s="16" t="s">
        <v>490</v>
      </c>
    </row>
    <row r="1070" ht="330.75" customHeight="1">
      <c r="A1070" s="32" t="str">
        <f>IMAGE("https://gymvisual.com/13655-catalog_default/cable-kneeling-pull-through.jpg",4,500,500)</f>
        <v/>
      </c>
      <c r="B1070" s="30">
        <v>937.0</v>
      </c>
      <c r="C1070" s="16" t="s">
        <v>1440</v>
      </c>
      <c r="D1070" s="16" t="s">
        <v>184</v>
      </c>
      <c r="E1070" s="16" t="s">
        <v>185</v>
      </c>
      <c r="F1070" s="16" t="s">
        <v>215</v>
      </c>
      <c r="G1070" s="16" t="s">
        <v>187</v>
      </c>
      <c r="H1070" s="16" t="s">
        <v>188</v>
      </c>
    </row>
    <row r="1071" ht="330.75" customHeight="1">
      <c r="A1071" s="32" t="str">
        <f>IMAGE("https://gymvisual.com/20590-catalog_default/cable-kneeling-preacher-curl-male.jpg",4,500,500)</f>
        <v/>
      </c>
      <c r="B1071" s="30">
        <v>936.0</v>
      </c>
      <c r="C1071" s="16" t="s">
        <v>1439</v>
      </c>
      <c r="D1071" s="16" t="s">
        <v>184</v>
      </c>
      <c r="E1071" s="16" t="s">
        <v>219</v>
      </c>
      <c r="F1071" s="16" t="s">
        <v>215</v>
      </c>
      <c r="G1071" s="16" t="s">
        <v>241</v>
      </c>
      <c r="H1071" s="16" t="s">
        <v>292</v>
      </c>
    </row>
    <row r="1072" ht="330.75" customHeight="1">
      <c r="A1072" s="32" t="str">
        <f>IMAGE("https://gymvisual.com/23044-catalog_default/cable-kneeling-one-arm-row.jpg",4,500,500)</f>
        <v/>
      </c>
      <c r="B1072" s="30">
        <v>935.0</v>
      </c>
      <c r="C1072" s="16" t="s">
        <v>1438</v>
      </c>
      <c r="D1072" s="16" t="s">
        <v>184</v>
      </c>
      <c r="E1072" s="16" t="s">
        <v>192</v>
      </c>
      <c r="F1072" s="16" t="s">
        <v>215</v>
      </c>
      <c r="G1072" s="16" t="s">
        <v>220</v>
      </c>
      <c r="H1072" s="16" t="s">
        <v>220</v>
      </c>
    </row>
    <row r="1073" ht="330.75" customHeight="1">
      <c r="A1073" s="32" t="str">
        <f>IMAGE("https://gymvisual.com/20027-catalog_default/cable-kneeling-one-arm-lat-pulldown.jpg",4,500,500)</f>
        <v/>
      </c>
      <c r="B1073" s="30">
        <v>934.0</v>
      </c>
      <c r="C1073" s="16" t="s">
        <v>1437</v>
      </c>
      <c r="D1073" s="16" t="s">
        <v>184</v>
      </c>
      <c r="E1073" s="16" t="s">
        <v>192</v>
      </c>
      <c r="F1073" s="16" t="s">
        <v>215</v>
      </c>
      <c r="G1073" s="16" t="s">
        <v>300</v>
      </c>
      <c r="H1073" s="16" t="s">
        <v>535</v>
      </c>
    </row>
    <row r="1074" ht="330.75" customHeight="1">
      <c r="A1074" s="32" t="str">
        <f>IMAGE("https://gymvisual.com/24338-catalog_default/cable-kneeling-leaning-forward-one-arm-row.jpg",4,500,500)</f>
        <v/>
      </c>
      <c r="B1074" s="30">
        <v>933.0</v>
      </c>
      <c r="C1074" s="16" t="s">
        <v>1436</v>
      </c>
      <c r="D1074" s="16" t="s">
        <v>184</v>
      </c>
      <c r="E1074" s="16" t="s">
        <v>192</v>
      </c>
      <c r="F1074" s="16" t="s">
        <v>215</v>
      </c>
      <c r="G1074" s="16" t="s">
        <v>220</v>
      </c>
      <c r="H1074" s="16" t="s">
        <v>220</v>
      </c>
    </row>
    <row r="1075" ht="330.75" customHeight="1">
      <c r="A1075" s="32" t="str">
        <f>IMAGE("https://gymvisual.com/25210-catalog_default/cable-kneeling-crunch-version-2.jpg",4,500,500)</f>
        <v/>
      </c>
      <c r="B1075" s="30">
        <v>932.0</v>
      </c>
      <c r="C1075" s="16" t="s">
        <v>1435</v>
      </c>
      <c r="D1075" s="16" t="s">
        <v>184</v>
      </c>
      <c r="E1075" s="16" t="s">
        <v>254</v>
      </c>
      <c r="F1075" s="16" t="s">
        <v>215</v>
      </c>
      <c r="G1075" s="16" t="s">
        <v>305</v>
      </c>
      <c r="H1075" s="16" t="s">
        <v>257</v>
      </c>
    </row>
    <row r="1076" ht="330.75" customHeight="1">
      <c r="A1076" s="32" t="str">
        <f>IMAGE("https://gymvisual.com/10258-catalog_default/cable-kneeling-crunch-female.jpg",4,500,500)</f>
        <v/>
      </c>
      <c r="B1076" s="30">
        <v>931.0</v>
      </c>
      <c r="C1076" s="16" t="s">
        <v>1434</v>
      </c>
      <c r="D1076" s="16" t="s">
        <v>184</v>
      </c>
      <c r="E1076" s="16" t="s">
        <v>254</v>
      </c>
      <c r="F1076" s="16" t="s">
        <v>215</v>
      </c>
      <c r="G1076" s="16" t="s">
        <v>256</v>
      </c>
      <c r="H1076" s="16" t="s">
        <v>257</v>
      </c>
    </row>
    <row r="1077" ht="330.75" customHeight="1">
      <c r="A1077" s="32" t="str">
        <f>IMAGE("https://gymvisual.com/25212-catalog_default/cable-kneeling-crunch.jpg",4,500,500)</f>
        <v/>
      </c>
      <c r="B1077" s="30">
        <v>930.0</v>
      </c>
      <c r="C1077" s="16" t="s">
        <v>1279</v>
      </c>
      <c r="D1077" s="16" t="s">
        <v>184</v>
      </c>
      <c r="E1077" s="16" t="s">
        <v>254</v>
      </c>
      <c r="F1077" s="16" t="s">
        <v>215</v>
      </c>
      <c r="G1077" s="16" t="s">
        <v>256</v>
      </c>
      <c r="H1077" s="16" t="s">
        <v>257</v>
      </c>
    </row>
    <row r="1078" ht="330.75" customHeight="1">
      <c r="A1078" s="32" t="str">
        <f>IMAGE("https://gymvisual.com/4097-catalog_default/cable-kickback-version-2.jpg",4,500,500)</f>
        <v/>
      </c>
      <c r="B1078" s="30">
        <v>929.0</v>
      </c>
      <c r="C1078" s="16" t="s">
        <v>1433</v>
      </c>
      <c r="D1078" s="16" t="s">
        <v>184</v>
      </c>
      <c r="E1078" s="16" t="s">
        <v>219</v>
      </c>
      <c r="F1078" s="16" t="s">
        <v>215</v>
      </c>
      <c r="G1078" s="16" t="s">
        <v>223</v>
      </c>
      <c r="H1078" s="16" t="s">
        <v>220</v>
      </c>
    </row>
    <row r="1079" ht="330.75" customHeight="1">
      <c r="A1079" s="32" t="str">
        <f>IMAGE("https://gymvisual.com/21115-catalog_default/cable-kickback-male.jpg",4,500,500)</f>
        <v/>
      </c>
      <c r="B1079" s="30">
        <v>928.0</v>
      </c>
      <c r="C1079" s="16" t="s">
        <v>1432</v>
      </c>
      <c r="D1079" s="16" t="s">
        <v>184</v>
      </c>
      <c r="E1079" s="16" t="s">
        <v>185</v>
      </c>
      <c r="F1079" s="16" t="s">
        <v>215</v>
      </c>
      <c r="G1079" s="16" t="s">
        <v>220</v>
      </c>
      <c r="H1079" s="16" t="s">
        <v>220</v>
      </c>
    </row>
    <row r="1080" ht="330.75" customHeight="1">
      <c r="A1080" s="32" t="str">
        <f>IMAGE("https://gymvisual.com/11450-catalog_default/cable-kickback-female.jpg",4,500,500)</f>
        <v/>
      </c>
      <c r="B1080" s="30">
        <v>927.0</v>
      </c>
      <c r="C1080" s="16" t="s">
        <v>1431</v>
      </c>
      <c r="D1080" s="16" t="s">
        <v>184</v>
      </c>
      <c r="E1080" s="16" t="s">
        <v>219</v>
      </c>
      <c r="F1080" s="16" t="s">
        <v>215</v>
      </c>
      <c r="G1080" s="16" t="s">
        <v>220</v>
      </c>
      <c r="H1080" s="16" t="s">
        <v>220</v>
      </c>
    </row>
    <row r="1081" ht="330.75" customHeight="1">
      <c r="A1081" s="32" t="str">
        <f>IMAGE("https://gymvisual.com/17179-catalog_default/cable-kickback.jpg",4,500,500)</f>
        <v/>
      </c>
      <c r="B1081" s="30">
        <v>926.0</v>
      </c>
      <c r="C1081" s="16" t="s">
        <v>1430</v>
      </c>
      <c r="D1081" s="16" t="s">
        <v>184</v>
      </c>
      <c r="E1081" s="16" t="s">
        <v>219</v>
      </c>
      <c r="F1081" s="16" t="s">
        <v>215</v>
      </c>
      <c r="G1081" s="16" t="s">
        <v>223</v>
      </c>
      <c r="H1081" s="16" t="s">
        <v>220</v>
      </c>
    </row>
    <row r="1082" ht="330.75" customHeight="1">
      <c r="A1082" s="32" t="str">
        <f>IMAGE("https://gymvisual.com/13375-catalog_default/cable-judo-flip-female.jpg",4,500,500)</f>
        <v/>
      </c>
      <c r="B1082" s="30">
        <v>925.0</v>
      </c>
      <c r="C1082" s="16" t="s">
        <v>1429</v>
      </c>
      <c r="D1082" s="16" t="s">
        <v>184</v>
      </c>
      <c r="E1082" s="16" t="s">
        <v>254</v>
      </c>
      <c r="F1082" s="16" t="s">
        <v>215</v>
      </c>
      <c r="G1082" s="16" t="s">
        <v>220</v>
      </c>
      <c r="H1082" s="16" t="s">
        <v>220</v>
      </c>
    </row>
    <row r="1083" ht="330.75" customHeight="1">
      <c r="A1083" s="32" t="str">
        <f>IMAGE("https://gymvisual.com/544-catalog_default/cable-judo-flip.jpg",4,500,500)</f>
        <v/>
      </c>
      <c r="B1083" s="30">
        <v>924.0</v>
      </c>
      <c r="C1083" s="16" t="s">
        <v>1428</v>
      </c>
      <c r="D1083" s="16" t="s">
        <v>184</v>
      </c>
      <c r="E1083" s="16" t="s">
        <v>254</v>
      </c>
      <c r="F1083" s="16" t="s">
        <v>215</v>
      </c>
      <c r="G1083" s="16" t="s">
        <v>257</v>
      </c>
      <c r="H1083" s="16" t="s">
        <v>256</v>
      </c>
    </row>
    <row r="1084" ht="330.75" customHeight="1">
      <c r="A1084" s="32" t="str">
        <f>IMAGE("https://gymvisual.com/13373-catalog_default/cable-incline-triceps-extension-female.jpg",4,500,500)</f>
        <v/>
      </c>
      <c r="B1084" s="30">
        <v>923.0</v>
      </c>
      <c r="C1084" s="16" t="s">
        <v>1427</v>
      </c>
      <c r="D1084" s="16" t="s">
        <v>184</v>
      </c>
      <c r="E1084" s="16" t="s">
        <v>219</v>
      </c>
      <c r="F1084" s="16" t="s">
        <v>215</v>
      </c>
      <c r="G1084" s="16" t="s">
        <v>223</v>
      </c>
      <c r="H1084" s="16" t="s">
        <v>220</v>
      </c>
    </row>
    <row r="1085" ht="330.75" customHeight="1">
      <c r="A1085" s="32" t="str">
        <f>IMAGE("https://gymvisual.com/541-catalog_default/cable-incline-triceps-extension.jpg",4,500,500)</f>
        <v/>
      </c>
      <c r="B1085" s="30">
        <v>922.0</v>
      </c>
      <c r="C1085" s="16" t="s">
        <v>1426</v>
      </c>
      <c r="D1085" s="16" t="s">
        <v>184</v>
      </c>
      <c r="E1085" s="16" t="s">
        <v>219</v>
      </c>
      <c r="F1085" s="16" t="s">
        <v>215</v>
      </c>
      <c r="G1085" s="16" t="s">
        <v>223</v>
      </c>
      <c r="H1085" s="16" t="s">
        <v>220</v>
      </c>
    </row>
    <row r="1086" ht="330.75" customHeight="1">
      <c r="A1086" s="32" t="str">
        <f>IMAGE("https://gymvisual.com/18777-catalog_default/cable-incline-skull-crusher.jpg",4,500,500)</f>
        <v/>
      </c>
      <c r="B1086" s="30">
        <v>921.0</v>
      </c>
      <c r="C1086" s="16" t="s">
        <v>1425</v>
      </c>
      <c r="D1086" s="16" t="s">
        <v>184</v>
      </c>
      <c r="E1086" s="16" t="s">
        <v>219</v>
      </c>
      <c r="F1086" s="16" t="s">
        <v>215</v>
      </c>
      <c r="G1086" s="16" t="s">
        <v>220</v>
      </c>
      <c r="H1086" s="16" t="s">
        <v>220</v>
      </c>
    </row>
    <row r="1087" ht="330.75" customHeight="1">
      <c r="A1087" s="32" t="str">
        <f>IMAGE("https://gymvisual.com/13371-catalog_default/cable-incline-pushdown-female.jpg",4,500,500)</f>
        <v/>
      </c>
      <c r="B1087" s="30">
        <v>920.0</v>
      </c>
      <c r="C1087" s="16" t="s">
        <v>1424</v>
      </c>
      <c r="D1087" s="16" t="s">
        <v>184</v>
      </c>
      <c r="E1087" s="16" t="s">
        <v>192</v>
      </c>
      <c r="F1087" s="16" t="s">
        <v>215</v>
      </c>
      <c r="G1087" s="16" t="s">
        <v>300</v>
      </c>
      <c r="H1087" s="16" t="s">
        <v>1423</v>
      </c>
    </row>
    <row r="1088" ht="330.75" customHeight="1">
      <c r="A1088" s="32" t="str">
        <f>IMAGE("https://gymvisual.com/538-catalog_default/cable-incline-pushdown.jpg",4,500,500)</f>
        <v/>
      </c>
      <c r="B1088" s="30">
        <v>919.0</v>
      </c>
      <c r="C1088" s="16" t="s">
        <v>1422</v>
      </c>
      <c r="D1088" s="16" t="s">
        <v>184</v>
      </c>
      <c r="E1088" s="16" t="s">
        <v>192</v>
      </c>
      <c r="F1088" s="16" t="s">
        <v>215</v>
      </c>
      <c r="G1088" s="16" t="s">
        <v>300</v>
      </c>
      <c r="H1088" s="16" t="s">
        <v>1423</v>
      </c>
    </row>
    <row r="1089" ht="330.75" customHeight="1">
      <c r="A1089" s="32" t="str">
        <f>IMAGE("https://gymvisual.com/2580-catalog_default/cable-incline-fly-on-stability-ball.jpg",4,500,500)</f>
        <v/>
      </c>
      <c r="B1089" s="30">
        <v>918.0</v>
      </c>
      <c r="C1089" s="16" t="s">
        <v>1421</v>
      </c>
      <c r="D1089" s="16" t="s">
        <v>184</v>
      </c>
      <c r="E1089" s="16" t="s">
        <v>234</v>
      </c>
      <c r="F1089" s="16" t="s">
        <v>215</v>
      </c>
      <c r="G1089" s="16" t="s">
        <v>415</v>
      </c>
      <c r="H1089" s="16" t="s">
        <v>236</v>
      </c>
    </row>
    <row r="1090" ht="330.75" customHeight="1">
      <c r="A1090" s="32" t="str">
        <f>IMAGE("https://gymvisual.com/13369-catalog_default/cable-incline-fly-female.jpg",4,500,500)</f>
        <v/>
      </c>
      <c r="B1090" s="30">
        <v>917.0</v>
      </c>
      <c r="C1090" s="16" t="s">
        <v>1420</v>
      </c>
      <c r="D1090" s="16" t="s">
        <v>184</v>
      </c>
      <c r="E1090" s="16" t="s">
        <v>234</v>
      </c>
      <c r="F1090" s="16" t="s">
        <v>215</v>
      </c>
      <c r="G1090" s="16" t="s">
        <v>415</v>
      </c>
      <c r="H1090" s="16" t="s">
        <v>236</v>
      </c>
    </row>
    <row r="1091" ht="330.75" customHeight="1">
      <c r="A1091" s="32" t="str">
        <f>IMAGE("https://gymvisual.com/535-catalog_default/cable-incline-fly.jpg",4,500,500)</f>
        <v/>
      </c>
      <c r="B1091" s="30">
        <v>916.0</v>
      </c>
      <c r="C1091" s="16" t="s">
        <v>1419</v>
      </c>
      <c r="D1091" s="16" t="s">
        <v>184</v>
      </c>
      <c r="E1091" s="16" t="s">
        <v>234</v>
      </c>
      <c r="F1091" s="16" t="s">
        <v>215</v>
      </c>
      <c r="G1091" s="16" t="s">
        <v>415</v>
      </c>
      <c r="H1091" s="16" t="s">
        <v>236</v>
      </c>
    </row>
    <row r="1092" ht="330.75" customHeight="1">
      <c r="A1092" s="32" t="str">
        <f>IMAGE("https://gymvisual.com/17456-catalog_default/cable-incline-cross-rear-fly.jpg",4,500,500)</f>
        <v/>
      </c>
      <c r="B1092" s="30">
        <v>915.0</v>
      </c>
      <c r="C1092" s="16" t="s">
        <v>1418</v>
      </c>
      <c r="D1092" s="16" t="s">
        <v>184</v>
      </c>
      <c r="E1092" s="16" t="s">
        <v>228</v>
      </c>
      <c r="F1092" s="16" t="s">
        <v>215</v>
      </c>
      <c r="G1092" s="16" t="s">
        <v>408</v>
      </c>
      <c r="H1092" s="16" t="s">
        <v>731</v>
      </c>
    </row>
    <row r="1093" ht="330.75" customHeight="1">
      <c r="A1093" s="32" t="str">
        <f>IMAGE("https://gymvisual.com/18762-catalog_default/cable-incline-close-grip-curl.jpg",4,500,500)</f>
        <v/>
      </c>
      <c r="B1093" s="30">
        <v>914.0</v>
      </c>
      <c r="C1093" s="16" t="s">
        <v>1417</v>
      </c>
      <c r="D1093" s="16" t="s">
        <v>184</v>
      </c>
      <c r="E1093" s="16" t="s">
        <v>219</v>
      </c>
      <c r="F1093" s="16" t="s">
        <v>215</v>
      </c>
      <c r="G1093" s="16" t="s">
        <v>220</v>
      </c>
      <c r="H1093" s="16" t="s">
        <v>220</v>
      </c>
    </row>
    <row r="1094" ht="330.75" customHeight="1">
      <c r="A1094" s="32" t="str">
        <f>IMAGE("https://gymvisual.com/25125-catalog_default/cable-incline-biceps-curl.jpg",4,500,500)</f>
        <v/>
      </c>
      <c r="B1094" s="30">
        <v>913.0</v>
      </c>
      <c r="C1094" s="16" t="s">
        <v>1416</v>
      </c>
      <c r="D1094" s="16" t="s">
        <v>184</v>
      </c>
      <c r="E1094" s="16" t="s">
        <v>219</v>
      </c>
      <c r="F1094" s="16" t="s">
        <v>215</v>
      </c>
      <c r="G1094" s="16" t="s">
        <v>220</v>
      </c>
      <c r="H1094" s="16" t="s">
        <v>220</v>
      </c>
    </row>
    <row r="1095" ht="330.75" customHeight="1">
      <c r="A1095" s="32" t="str">
        <f>IMAGE("https://gymvisual.com/6009-catalog_default/cable-incline-bench-row.jpg",4,500,500)</f>
        <v/>
      </c>
      <c r="B1095" s="30">
        <v>912.0</v>
      </c>
      <c r="C1095" s="16" t="s">
        <v>1415</v>
      </c>
      <c r="D1095" s="16" t="s">
        <v>184</v>
      </c>
      <c r="E1095" s="16" t="s">
        <v>192</v>
      </c>
      <c r="F1095" s="16" t="s">
        <v>215</v>
      </c>
      <c r="G1095" s="16" t="s">
        <v>329</v>
      </c>
      <c r="H1095" s="16" t="s">
        <v>457</v>
      </c>
    </row>
    <row r="1096" ht="330.75" customHeight="1">
      <c r="A1096" s="32" t="str">
        <f>IMAGE("https://gymvisual.com/13367-catalog_default/cable-incline-bench-press-female.jpg",4,500,500)</f>
        <v/>
      </c>
      <c r="B1096" s="30">
        <v>911.0</v>
      </c>
      <c r="C1096" s="16" t="s">
        <v>1414</v>
      </c>
      <c r="D1096" s="16" t="s">
        <v>184</v>
      </c>
      <c r="E1096" s="16" t="s">
        <v>234</v>
      </c>
      <c r="F1096" s="16" t="s">
        <v>215</v>
      </c>
      <c r="G1096" s="16" t="s">
        <v>415</v>
      </c>
      <c r="H1096" s="16" t="s">
        <v>243</v>
      </c>
    </row>
    <row r="1097" ht="330.75" customHeight="1">
      <c r="A1097" s="32" t="str">
        <f>IMAGE("https://gymvisual.com/529-catalog_default/cable-incline-bench-press.jpg",4,500,500)</f>
        <v/>
      </c>
      <c r="B1097" s="30">
        <v>910.0</v>
      </c>
      <c r="C1097" s="16" t="s">
        <v>1413</v>
      </c>
      <c r="D1097" s="16" t="s">
        <v>184</v>
      </c>
      <c r="E1097" s="16" t="s">
        <v>234</v>
      </c>
      <c r="F1097" s="16" t="s">
        <v>215</v>
      </c>
      <c r="G1097" s="16" t="s">
        <v>415</v>
      </c>
      <c r="H1097" s="16" t="s">
        <v>243</v>
      </c>
    </row>
    <row r="1098" ht="330.75" customHeight="1">
      <c r="A1098" s="32" t="str">
        <f>IMAGE("https://gymvisual.com/19397-catalog_default/cable-horizontal-pallof-press-version-2.jpg",4,500,500)</f>
        <v/>
      </c>
      <c r="B1098" s="30">
        <v>909.0</v>
      </c>
      <c r="C1098" s="16" t="s">
        <v>1412</v>
      </c>
      <c r="D1098" s="16" t="s">
        <v>184</v>
      </c>
      <c r="E1098" s="16" t="s">
        <v>254</v>
      </c>
      <c r="F1098" s="16" t="s">
        <v>215</v>
      </c>
      <c r="G1098" s="16" t="s">
        <v>220</v>
      </c>
      <c r="H1098" s="16" t="s">
        <v>220</v>
      </c>
    </row>
    <row r="1099" ht="330.75" customHeight="1">
      <c r="A1099" s="32" t="str">
        <f>IMAGE("https://gymvisual.com/4570-catalog_default/cable-horizontal-pallof-press.jpg",4,500,500)</f>
        <v/>
      </c>
      <c r="B1099" s="30">
        <v>908.0</v>
      </c>
      <c r="C1099" s="16" t="s">
        <v>1411</v>
      </c>
      <c r="D1099" s="16" t="s">
        <v>184</v>
      </c>
      <c r="E1099" s="16" t="s">
        <v>254</v>
      </c>
      <c r="F1099" s="16" t="s">
        <v>215</v>
      </c>
      <c r="G1099" s="16" t="s">
        <v>257</v>
      </c>
      <c r="H1099" s="16" t="s">
        <v>220</v>
      </c>
    </row>
    <row r="1100" ht="330.75" customHeight="1">
      <c r="A1100" s="32" t="str">
        <f>IMAGE("https://gymvisual.com/10135-catalog_default/cable-hip-adduction-female.jpg",4,500,500)</f>
        <v/>
      </c>
      <c r="B1100" s="30">
        <v>907.0</v>
      </c>
      <c r="C1100" s="16" t="s">
        <v>1409</v>
      </c>
      <c r="D1100" s="16" t="s">
        <v>184</v>
      </c>
      <c r="E1100" s="16" t="s">
        <v>185</v>
      </c>
      <c r="F1100" s="16" t="s">
        <v>215</v>
      </c>
      <c r="G1100" s="16" t="s">
        <v>1410</v>
      </c>
      <c r="H1100" s="16" t="s">
        <v>515</v>
      </c>
    </row>
    <row r="1101" ht="330.75" customHeight="1">
      <c r="A1101" s="32" t="str">
        <f>IMAGE("https://gymvisual.com/526-catalog_default/cable-hip-adduction.jpg",4,500,500)</f>
        <v/>
      </c>
      <c r="B1101" s="30">
        <v>906.0</v>
      </c>
      <c r="C1101" s="16" t="s">
        <v>1406</v>
      </c>
      <c r="D1101" s="16" t="s">
        <v>184</v>
      </c>
      <c r="E1101" s="16" t="s">
        <v>285</v>
      </c>
      <c r="F1101" s="16" t="s">
        <v>215</v>
      </c>
      <c r="G1101" s="16" t="s">
        <v>1407</v>
      </c>
      <c r="H1101" s="16" t="s">
        <v>1408</v>
      </c>
    </row>
    <row r="1102" ht="330.75" customHeight="1">
      <c r="A1102" s="32" t="str">
        <f>IMAGE("https://gymvisual.com/13365-catalog_default/cable-hip-abduction-version-2-male.jpg",4,500,500)</f>
        <v/>
      </c>
      <c r="B1102" s="30">
        <v>905.0</v>
      </c>
      <c r="C1102" s="16" t="s">
        <v>1405</v>
      </c>
      <c r="D1102" s="16" t="s">
        <v>184</v>
      </c>
      <c r="E1102" s="16" t="s">
        <v>185</v>
      </c>
      <c r="F1102" s="16" t="s">
        <v>215</v>
      </c>
      <c r="G1102" s="16" t="s">
        <v>475</v>
      </c>
      <c r="H1102" s="16" t="s">
        <v>476</v>
      </c>
    </row>
    <row r="1103" ht="330.75" customHeight="1">
      <c r="A1103" s="32" t="str">
        <f>IMAGE("https://gymvisual.com/2769-catalog_default/cable-hip-abduction-version-2.jpg",4,500,500)</f>
        <v/>
      </c>
      <c r="B1103" s="30">
        <v>904.0</v>
      </c>
      <c r="C1103" s="16" t="s">
        <v>1404</v>
      </c>
      <c r="D1103" s="16" t="s">
        <v>184</v>
      </c>
      <c r="E1103" s="16" t="s">
        <v>185</v>
      </c>
      <c r="F1103" s="16" t="s">
        <v>215</v>
      </c>
      <c r="G1103" s="16" t="s">
        <v>508</v>
      </c>
      <c r="H1103" s="16" t="s">
        <v>220</v>
      </c>
    </row>
    <row r="1104" ht="330.75" customHeight="1">
      <c r="A1104" s="32" t="str">
        <f>IMAGE("https://gymvisual.com/11832-catalog_default/cable-hip-abduction-toe-out-female.jpg",4,500,500)</f>
        <v/>
      </c>
      <c r="B1104" s="30">
        <v>903.0</v>
      </c>
      <c r="C1104" s="16" t="s">
        <v>1403</v>
      </c>
      <c r="D1104" s="16" t="s">
        <v>184</v>
      </c>
      <c r="E1104" s="16" t="s">
        <v>185</v>
      </c>
      <c r="F1104" s="16" t="s">
        <v>215</v>
      </c>
      <c r="G1104" s="16" t="s">
        <v>220</v>
      </c>
      <c r="H1104" s="16" t="s">
        <v>220</v>
      </c>
    </row>
    <row r="1105" ht="330.75" customHeight="1">
      <c r="A1105" s="32" t="str">
        <f>IMAGE("https://gymvisual.com/11833-catalog_default/cable-hip-abduction-toe-in-female.jpg",4,500,500)</f>
        <v/>
      </c>
      <c r="B1105" s="30">
        <v>902.0</v>
      </c>
      <c r="C1105" s="16" t="s">
        <v>1402</v>
      </c>
      <c r="D1105" s="16" t="s">
        <v>184</v>
      </c>
      <c r="E1105" s="16" t="s">
        <v>185</v>
      </c>
      <c r="F1105" s="16" t="s">
        <v>215</v>
      </c>
      <c r="G1105" s="16" t="s">
        <v>220</v>
      </c>
      <c r="H1105" s="16" t="s">
        <v>220</v>
      </c>
    </row>
    <row r="1106" ht="330.75" customHeight="1">
      <c r="A1106" s="32" t="str">
        <f>IMAGE("https://gymvisual.com/20056-catalog_default/cable-high-triceps-extension.jpg",4,500,500)</f>
        <v/>
      </c>
      <c r="B1106" s="30">
        <v>901.0</v>
      </c>
      <c r="C1106" s="16" t="s">
        <v>1401</v>
      </c>
      <c r="D1106" s="16" t="s">
        <v>184</v>
      </c>
      <c r="E1106" s="16" t="s">
        <v>219</v>
      </c>
      <c r="F1106" s="16" t="s">
        <v>215</v>
      </c>
      <c r="G1106" s="16" t="s">
        <v>223</v>
      </c>
      <c r="H1106" s="16" t="s">
        <v>220</v>
      </c>
    </row>
    <row r="1107" ht="330.75" customHeight="1">
      <c r="A1107" s="32" t="str">
        <f>IMAGE("https://gymvisual.com/523-catalog_default/cable-high-row-kneeling.jpg",4,500,500)</f>
        <v/>
      </c>
      <c r="B1107" s="30">
        <v>900.0</v>
      </c>
      <c r="C1107" s="16" t="s">
        <v>1400</v>
      </c>
      <c r="D1107" s="16" t="s">
        <v>184</v>
      </c>
      <c r="E1107" s="16" t="s">
        <v>192</v>
      </c>
      <c r="F1107" s="16" t="s">
        <v>215</v>
      </c>
      <c r="G1107" s="16" t="s">
        <v>329</v>
      </c>
      <c r="H1107" s="16" t="s">
        <v>447</v>
      </c>
    </row>
    <row r="1108" ht="330.75" customHeight="1">
      <c r="A1108" s="32" t="str">
        <f>IMAGE("https://gymvisual.com/9646-catalog_default/cable-high-row-kneeling-rope-attachment-female.jpg",4,500,500)</f>
        <v/>
      </c>
      <c r="B1108" s="30">
        <v>899.0</v>
      </c>
      <c r="C1108" s="16" t="s">
        <v>1399</v>
      </c>
      <c r="D1108" s="16" t="s">
        <v>184</v>
      </c>
      <c r="E1108" s="16" t="s">
        <v>228</v>
      </c>
      <c r="F1108" s="16" t="s">
        <v>215</v>
      </c>
      <c r="G1108" s="16" t="s">
        <v>220</v>
      </c>
      <c r="H1108" s="16" t="s">
        <v>220</v>
      </c>
    </row>
    <row r="1109" ht="330.75" customHeight="1">
      <c r="A1109" s="32" t="str">
        <f>IMAGE("https://gymvisual.com/13363-catalog_default/cable-high-pulley-overhead-tricep-extension-female.jpg",4,500,500)</f>
        <v/>
      </c>
      <c r="B1109" s="30">
        <v>898.0</v>
      </c>
      <c r="C1109" s="16" t="s">
        <v>1398</v>
      </c>
      <c r="D1109" s="16" t="s">
        <v>184</v>
      </c>
      <c r="E1109" s="16" t="s">
        <v>219</v>
      </c>
      <c r="F1109" s="16" t="s">
        <v>215</v>
      </c>
      <c r="G1109" s="16" t="s">
        <v>223</v>
      </c>
      <c r="H1109" s="16" t="s">
        <v>220</v>
      </c>
    </row>
    <row r="1110" ht="330.75" customHeight="1">
      <c r="A1110" s="32" t="str">
        <f>IMAGE("https://gymvisual.com/9727-catalog_default/cable-high-pulley-overhead-tricep-extension.jpg",4,500,500)</f>
        <v/>
      </c>
      <c r="B1110" s="30">
        <v>897.0</v>
      </c>
      <c r="C1110" s="16" t="s">
        <v>1397</v>
      </c>
      <c r="D1110" s="16" t="s">
        <v>184</v>
      </c>
      <c r="E1110" s="16" t="s">
        <v>219</v>
      </c>
      <c r="F1110" s="16" t="s">
        <v>215</v>
      </c>
      <c r="G1110" s="16" t="s">
        <v>223</v>
      </c>
      <c r="H1110" s="16" t="s">
        <v>220</v>
      </c>
    </row>
    <row r="1111" ht="330.75" customHeight="1">
      <c r="A1111" s="32" t="str">
        <f>IMAGE("https://gymvisual.com/12068-catalog_default/cable-hanging-leg-raise-female.jpg",4,500,500)</f>
        <v/>
      </c>
      <c r="B1111" s="30">
        <v>896.0</v>
      </c>
      <c r="C1111" s="16" t="s">
        <v>1396</v>
      </c>
      <c r="D1111" s="16" t="s">
        <v>184</v>
      </c>
      <c r="E1111" s="16" t="s">
        <v>254</v>
      </c>
      <c r="F1111" s="16" t="s">
        <v>215</v>
      </c>
      <c r="G1111" s="16" t="s">
        <v>305</v>
      </c>
      <c r="H1111" s="16" t="s">
        <v>600</v>
      </c>
    </row>
    <row r="1112" ht="330.75" customHeight="1">
      <c r="A1112" s="32" t="str">
        <f>IMAGE("https://gymvisual.com/12069-catalog_default/cable-hanging-leg-raise.jpg",4,500,500)</f>
        <v/>
      </c>
      <c r="B1112" s="30">
        <v>895.0</v>
      </c>
      <c r="C1112" s="16" t="s">
        <v>1395</v>
      </c>
      <c r="D1112" s="16" t="s">
        <v>184</v>
      </c>
      <c r="E1112" s="16" t="s">
        <v>254</v>
      </c>
      <c r="F1112" s="16" t="s">
        <v>215</v>
      </c>
      <c r="G1112" s="16" t="s">
        <v>305</v>
      </c>
      <c r="H1112" s="16" t="s">
        <v>600</v>
      </c>
    </row>
    <row r="1113" ht="330.75" customHeight="1">
      <c r="A1113" s="32" t="str">
        <f>IMAGE("https://gymvisual.com/20978-catalog_default/cable-hammer-curl-with-rope.jpg",4,500,500)</f>
        <v/>
      </c>
      <c r="B1113" s="30">
        <v>894.0</v>
      </c>
      <c r="C1113" s="16" t="s">
        <v>213</v>
      </c>
      <c r="D1113" s="16" t="s">
        <v>184</v>
      </c>
      <c r="E1113" s="16" t="s">
        <v>214</v>
      </c>
      <c r="F1113" s="16" t="s">
        <v>215</v>
      </c>
      <c r="G1113" s="16" t="s">
        <v>216</v>
      </c>
      <c r="H1113" s="16" t="s">
        <v>217</v>
      </c>
    </row>
    <row r="1114" ht="330.75" customHeight="1">
      <c r="A1114" s="32" t="str">
        <f>IMAGE("https://gymvisual.com/520-catalog_default/cable-hammer-curl.jpg",4,500,500)</f>
        <v/>
      </c>
      <c r="B1114" s="30">
        <v>893.0</v>
      </c>
      <c r="C1114" s="16" t="s">
        <v>1394</v>
      </c>
      <c r="D1114" s="16" t="s">
        <v>184</v>
      </c>
      <c r="E1114" s="16" t="s">
        <v>214</v>
      </c>
      <c r="F1114" s="16" t="s">
        <v>215</v>
      </c>
      <c r="G1114" s="16" t="s">
        <v>216</v>
      </c>
      <c r="H1114" s="16" t="s">
        <v>217</v>
      </c>
    </row>
    <row r="1115" ht="330.75" customHeight="1">
      <c r="A1115" s="32" t="str">
        <f>IMAGE("https://gymvisual.com/18089-catalog_default/cable-half-kneeling-push-pull.jpg",4,500,500)</f>
        <v/>
      </c>
      <c r="B1115" s="30">
        <v>892.0</v>
      </c>
      <c r="C1115" s="16" t="s">
        <v>1393</v>
      </c>
      <c r="D1115" s="16" t="s">
        <v>184</v>
      </c>
      <c r="E1115" s="16" t="s">
        <v>192</v>
      </c>
      <c r="F1115" s="16" t="s">
        <v>215</v>
      </c>
      <c r="G1115" s="16" t="s">
        <v>220</v>
      </c>
      <c r="H1115" s="16" t="s">
        <v>220</v>
      </c>
    </row>
    <row r="1116" ht="330.75" customHeight="1">
      <c r="A1116" s="32" t="str">
        <f>IMAGE("https://gymvisual.com/18021-catalog_default/cable-half-kneeling-pallof-press.jpg",4,500,500)</f>
        <v/>
      </c>
      <c r="B1116" s="30">
        <v>891.0</v>
      </c>
      <c r="C1116" s="16" t="s">
        <v>1392</v>
      </c>
      <c r="D1116" s="16" t="s">
        <v>184</v>
      </c>
      <c r="E1116" s="16" t="s">
        <v>254</v>
      </c>
      <c r="F1116" s="16" t="s">
        <v>215</v>
      </c>
      <c r="G1116" s="16" t="s">
        <v>220</v>
      </c>
      <c r="H1116" s="16" t="s">
        <v>220</v>
      </c>
    </row>
    <row r="1117" ht="330.75" customHeight="1">
      <c r="A1117" s="32" t="str">
        <f>IMAGE("https://gymvisual.com/18023-catalog_default/cable-half-kneeling-external-rotation.jpg",4,500,500)</f>
        <v/>
      </c>
      <c r="B1117" s="30">
        <v>890.0</v>
      </c>
      <c r="C1117" s="16" t="s">
        <v>1391</v>
      </c>
      <c r="D1117" s="16" t="s">
        <v>184</v>
      </c>
      <c r="E1117" s="16" t="s">
        <v>192</v>
      </c>
      <c r="F1117" s="16" t="s">
        <v>215</v>
      </c>
      <c r="G1117" s="16" t="s">
        <v>220</v>
      </c>
      <c r="H1117" s="16" t="s">
        <v>220</v>
      </c>
    </row>
    <row r="1118" ht="330.75" customHeight="1">
      <c r="A1118" s="32" t="str">
        <f>IMAGE("https://gymvisual.com/18027-catalog_default/cable-half-kneeling-adductor-pallof-press.jpg",4,500,500)</f>
        <v/>
      </c>
      <c r="B1118" s="30">
        <v>889.0</v>
      </c>
      <c r="C1118" s="16" t="s">
        <v>1390</v>
      </c>
      <c r="D1118" s="16" t="s">
        <v>184</v>
      </c>
      <c r="E1118" s="16" t="s">
        <v>254</v>
      </c>
      <c r="F1118" s="16" t="s">
        <v>215</v>
      </c>
      <c r="G1118" s="16" t="s">
        <v>220</v>
      </c>
      <c r="H1118" s="16" t="s">
        <v>220</v>
      </c>
    </row>
    <row r="1119" ht="330.75" customHeight="1">
      <c r="A1119" s="32" t="str">
        <f>IMAGE("https://gymvisual.com/20992-catalog_default/cable-glute-dominant-step-up-female.jpg",4,500,500)</f>
        <v/>
      </c>
      <c r="B1119" s="30">
        <v>888.0</v>
      </c>
      <c r="C1119" s="16" t="s">
        <v>1389</v>
      </c>
      <c r="D1119" s="16" t="s">
        <v>184</v>
      </c>
      <c r="E1119" s="16" t="s">
        <v>294</v>
      </c>
      <c r="F1119" s="16" t="s">
        <v>215</v>
      </c>
      <c r="G1119" s="16" t="s">
        <v>189</v>
      </c>
      <c r="H1119" s="16" t="s">
        <v>190</v>
      </c>
    </row>
    <row r="1120" ht="330.75" customHeight="1">
      <c r="A1120" s="32" t="str">
        <f>IMAGE("https://gymvisual.com/13659-catalog_default/cable-front-squat-version-2.jpg",4,500,500)</f>
        <v/>
      </c>
      <c r="B1120" s="30">
        <v>887.0</v>
      </c>
      <c r="C1120" s="16" t="s">
        <v>1388</v>
      </c>
      <c r="D1120" s="16" t="s">
        <v>184</v>
      </c>
      <c r="E1120" s="16" t="s">
        <v>285</v>
      </c>
      <c r="F1120" s="16" t="s">
        <v>215</v>
      </c>
      <c r="G1120" s="16" t="s">
        <v>189</v>
      </c>
      <c r="H1120" s="16" t="s">
        <v>220</v>
      </c>
    </row>
    <row r="1121" ht="330.75" customHeight="1">
      <c r="A1121" s="32" t="str">
        <f>IMAGE("https://gymvisual.com/13652-catalog_default/cable-front-squat.jpg",4,500,500)</f>
        <v/>
      </c>
      <c r="B1121" s="30">
        <v>886.0</v>
      </c>
      <c r="C1121" s="16" t="s">
        <v>1387</v>
      </c>
      <c r="D1121" s="16" t="s">
        <v>184</v>
      </c>
      <c r="E1121" s="16" t="s">
        <v>285</v>
      </c>
      <c r="F1121" s="16" t="s">
        <v>215</v>
      </c>
      <c r="G1121" s="16" t="s">
        <v>189</v>
      </c>
      <c r="H1121" s="16" t="s">
        <v>190</v>
      </c>
    </row>
    <row r="1122" ht="330.75" customHeight="1">
      <c r="A1122" s="32" t="str">
        <f>IMAGE("https://gymvisual.com/514-catalog_default/cable-front-shoulder-raise.jpg",4,500,500)</f>
        <v/>
      </c>
      <c r="B1122" s="30">
        <v>885.0</v>
      </c>
      <c r="C1122" s="16" t="s">
        <v>1386</v>
      </c>
      <c r="D1122" s="16" t="s">
        <v>184</v>
      </c>
      <c r="E1122" s="16" t="s">
        <v>228</v>
      </c>
      <c r="F1122" s="16" t="s">
        <v>215</v>
      </c>
      <c r="G1122" s="16" t="s">
        <v>229</v>
      </c>
      <c r="H1122" s="16" t="s">
        <v>244</v>
      </c>
    </row>
    <row r="1123" ht="330.75" customHeight="1">
      <c r="A1123" s="32" t="str">
        <f>IMAGE("https://gymvisual.com/511-catalog_default/cable-front-seated-row.jpg",4,500,500)</f>
        <v/>
      </c>
      <c r="B1123" s="30">
        <v>884.0</v>
      </c>
      <c r="C1123" s="16" t="s">
        <v>1385</v>
      </c>
      <c r="D1123" s="16" t="s">
        <v>184</v>
      </c>
      <c r="E1123" s="16" t="s">
        <v>192</v>
      </c>
      <c r="F1123" s="16" t="s">
        <v>215</v>
      </c>
      <c r="G1123" s="16" t="s">
        <v>329</v>
      </c>
      <c r="H1123" s="16" t="s">
        <v>357</v>
      </c>
    </row>
    <row r="1124" ht="330.75" customHeight="1">
      <c r="A1124" s="32" t="str">
        <f>IMAGE("https://gymvisual.com/11116-catalog_default/cable-front-raise-female.jpg",4,500,500)</f>
        <v/>
      </c>
      <c r="B1124" s="30">
        <v>883.0</v>
      </c>
      <c r="C1124" s="16" t="s">
        <v>1384</v>
      </c>
      <c r="D1124" s="16" t="s">
        <v>184</v>
      </c>
      <c r="E1124" s="16" t="s">
        <v>234</v>
      </c>
      <c r="F1124" s="16" t="s">
        <v>215</v>
      </c>
      <c r="G1124" s="16" t="s">
        <v>220</v>
      </c>
      <c r="H1124" s="16" t="s">
        <v>220</v>
      </c>
    </row>
    <row r="1125" ht="330.75" customHeight="1">
      <c r="A1125" s="32" t="str">
        <f>IMAGE("https://gymvisual.com/9604-catalog_default/cable-front-raise-female.jpg",4,500,500)</f>
        <v/>
      </c>
      <c r="B1125" s="30">
        <v>882.0</v>
      </c>
      <c r="C1125" s="16" t="s">
        <v>1384</v>
      </c>
      <c r="D1125" s="16" t="s">
        <v>184</v>
      </c>
      <c r="E1125" s="16" t="s">
        <v>228</v>
      </c>
      <c r="F1125" s="16" t="s">
        <v>215</v>
      </c>
      <c r="G1125" s="16" t="s">
        <v>229</v>
      </c>
      <c r="H1125" s="16" t="s">
        <v>244</v>
      </c>
    </row>
    <row r="1126" ht="330.75" customHeight="1">
      <c r="A1126" s="32" t="str">
        <f>IMAGE("https://gymvisual.com/508-catalog_default/cable-front-raise.jpg",4,500,500)</f>
        <v/>
      </c>
      <c r="B1126" s="30">
        <v>881.0</v>
      </c>
      <c r="C1126" s="16" t="s">
        <v>57</v>
      </c>
      <c r="D1126" s="16" t="s">
        <v>184</v>
      </c>
      <c r="E1126" s="16" t="s">
        <v>228</v>
      </c>
      <c r="F1126" s="16" t="s">
        <v>215</v>
      </c>
      <c r="G1126" s="16" t="s">
        <v>229</v>
      </c>
      <c r="H1126" s="16" t="s">
        <v>244</v>
      </c>
    </row>
    <row r="1127" ht="330.75" customHeight="1">
      <c r="A1127" s="32" t="str">
        <f>IMAGE("https://gymvisual.com/505-catalog_default/cable-forward-raise.jpg",4,500,500)</f>
        <v/>
      </c>
      <c r="B1127" s="30">
        <v>880.0</v>
      </c>
      <c r="C1127" s="16" t="s">
        <v>1383</v>
      </c>
      <c r="D1127" s="16" t="s">
        <v>184</v>
      </c>
      <c r="E1127" s="16" t="s">
        <v>228</v>
      </c>
      <c r="F1127" s="16" t="s">
        <v>215</v>
      </c>
      <c r="G1127" s="16" t="s">
        <v>229</v>
      </c>
      <c r="H1127" s="16" t="s">
        <v>244</v>
      </c>
    </row>
    <row r="1128" ht="330.75" customHeight="1">
      <c r="A1128" s="32" t="str">
        <f>IMAGE("https://gymvisual.com/13661-catalog_default/cable-forward-lunge.jpg",4,500,500)</f>
        <v/>
      </c>
      <c r="B1128" s="30">
        <v>879.0</v>
      </c>
      <c r="C1128" s="16" t="s">
        <v>1382</v>
      </c>
      <c r="D1128" s="16" t="s">
        <v>184</v>
      </c>
      <c r="E1128" s="16" t="s">
        <v>285</v>
      </c>
      <c r="F1128" s="16" t="s">
        <v>215</v>
      </c>
      <c r="G1128" s="16" t="s">
        <v>189</v>
      </c>
      <c r="H1128" s="16" t="s">
        <v>220</v>
      </c>
    </row>
    <row r="1129" ht="330.75" customHeight="1">
      <c r="A1129" s="32" t="str">
        <f>IMAGE("https://gymvisual.com/17735-catalog_default/cable-fly-with-chest-supported.jpg",4,500,500)</f>
        <v/>
      </c>
      <c r="B1129" s="30">
        <v>878.0</v>
      </c>
      <c r="C1129" s="16" t="s">
        <v>1381</v>
      </c>
      <c r="D1129" s="16" t="s">
        <v>184</v>
      </c>
      <c r="E1129" s="16" t="s">
        <v>234</v>
      </c>
      <c r="F1129" s="16" t="s">
        <v>215</v>
      </c>
      <c r="G1129" s="16" t="s">
        <v>220</v>
      </c>
      <c r="H1129" s="16" t="s">
        <v>220</v>
      </c>
    </row>
    <row r="1130" ht="330.75" customHeight="1">
      <c r="A1130" s="32" t="str">
        <f>IMAGE("https://gymvisual.com/502-catalog_default/cable-floor-seated-wide-grip-row.jpg",4,500,500)</f>
        <v/>
      </c>
      <c r="B1130" s="30">
        <v>877.0</v>
      </c>
      <c r="C1130" s="16" t="s">
        <v>1380</v>
      </c>
      <c r="D1130" s="16" t="s">
        <v>184</v>
      </c>
      <c r="E1130" s="16" t="s">
        <v>192</v>
      </c>
      <c r="F1130" s="16" t="s">
        <v>215</v>
      </c>
      <c r="G1130" s="16" t="s">
        <v>329</v>
      </c>
      <c r="H1130" s="16" t="s">
        <v>447</v>
      </c>
    </row>
    <row r="1131" ht="330.75" customHeight="1">
      <c r="A1131" s="32" t="str">
        <f>IMAGE("https://gymvisual.com/2957-catalog_default/cable-elevated-row.jpg",4,500,500)</f>
        <v/>
      </c>
      <c r="B1131" s="30">
        <v>876.0</v>
      </c>
      <c r="C1131" s="16" t="s">
        <v>1378</v>
      </c>
      <c r="D1131" s="16" t="s">
        <v>184</v>
      </c>
      <c r="E1131" s="16" t="s">
        <v>192</v>
      </c>
      <c r="F1131" s="16" t="s">
        <v>215</v>
      </c>
      <c r="G1131" s="16" t="s">
        <v>300</v>
      </c>
      <c r="H1131" s="16" t="s">
        <v>1379</v>
      </c>
    </row>
    <row r="1132" ht="330.75" customHeight="1">
      <c r="A1132" s="32" t="str">
        <f>IMAGE("https://gymvisual.com/7106-catalog_default/cable-drag-curl.jpg",4,500,500)</f>
        <v/>
      </c>
      <c r="B1132" s="30">
        <v>875.0</v>
      </c>
      <c r="C1132" s="16" t="s">
        <v>1377</v>
      </c>
      <c r="D1132" s="16" t="s">
        <v>184</v>
      </c>
      <c r="E1132" s="16" t="s">
        <v>219</v>
      </c>
      <c r="F1132" s="16" t="s">
        <v>215</v>
      </c>
      <c r="G1132" s="16" t="s">
        <v>220</v>
      </c>
      <c r="H1132" s="16" t="s">
        <v>220</v>
      </c>
    </row>
    <row r="1133" ht="330.75" customHeight="1">
      <c r="A1133" s="32" t="str">
        <f>IMAGE("https://gymvisual.com/18949-catalog_default/cable-donkey-kickback-female.jpg",4,500,500)</f>
        <v/>
      </c>
      <c r="B1133" s="30">
        <v>874.0</v>
      </c>
      <c r="C1133" s="16" t="s">
        <v>1376</v>
      </c>
      <c r="D1133" s="16" t="s">
        <v>184</v>
      </c>
      <c r="E1133" s="16" t="s">
        <v>185</v>
      </c>
      <c r="F1133" s="16" t="s">
        <v>215</v>
      </c>
      <c r="G1133" s="16" t="s">
        <v>187</v>
      </c>
      <c r="H1133" s="16" t="s">
        <v>188</v>
      </c>
    </row>
    <row r="1134" ht="330.75" customHeight="1">
      <c r="A1134" s="32" t="str">
        <f>IMAGE("https://gymvisual.com/499-catalog_default/cable-decline-seated-wide-grip-row.jpg",4,500,500)</f>
        <v/>
      </c>
      <c r="B1134" s="30">
        <v>873.0</v>
      </c>
      <c r="C1134" s="16" t="s">
        <v>1375</v>
      </c>
      <c r="D1134" s="16" t="s">
        <v>184</v>
      </c>
      <c r="E1134" s="16" t="s">
        <v>192</v>
      </c>
      <c r="F1134" s="16" t="s">
        <v>215</v>
      </c>
      <c r="G1134" s="16" t="s">
        <v>329</v>
      </c>
      <c r="H1134" s="16" t="s">
        <v>447</v>
      </c>
    </row>
    <row r="1135" ht="330.75" customHeight="1">
      <c r="A1135" s="32" t="str">
        <f>IMAGE("https://gymvisual.com/13361-catalog_default/cable-decline-press-female.jpg",4,500,500)</f>
        <v/>
      </c>
      <c r="B1135" s="30">
        <v>872.0</v>
      </c>
      <c r="C1135" s="16" t="s">
        <v>1374</v>
      </c>
      <c r="D1135" s="16" t="s">
        <v>184</v>
      </c>
      <c r="E1135" s="16" t="s">
        <v>234</v>
      </c>
      <c r="F1135" s="16" t="s">
        <v>215</v>
      </c>
      <c r="G1135" s="16" t="s">
        <v>220</v>
      </c>
      <c r="H1135" s="16" t="s">
        <v>220</v>
      </c>
    </row>
    <row r="1136" ht="330.75" customHeight="1">
      <c r="A1136" s="32" t="str">
        <f>IMAGE("https://gymvisual.com/5950-catalog_default/cable-decline-press.jpg",4,500,500)</f>
        <v/>
      </c>
      <c r="B1136" s="30">
        <v>871.0</v>
      </c>
      <c r="C1136" s="16" t="s">
        <v>823</v>
      </c>
      <c r="D1136" s="16" t="s">
        <v>184</v>
      </c>
      <c r="E1136" s="16" t="s">
        <v>234</v>
      </c>
      <c r="F1136" s="16" t="s">
        <v>215</v>
      </c>
      <c r="G1136" s="16" t="s">
        <v>347</v>
      </c>
      <c r="H1136" s="16" t="s">
        <v>382</v>
      </c>
    </row>
    <row r="1137" ht="330.75" customHeight="1">
      <c r="A1137" s="32" t="str">
        <f>IMAGE("https://gymvisual.com/5949-catalog_default/cable-decline-one-arm-press.jpg",4,500,500)</f>
        <v/>
      </c>
      <c r="B1137" s="30">
        <v>870.0</v>
      </c>
      <c r="C1137" s="16" t="s">
        <v>823</v>
      </c>
      <c r="D1137" s="16" t="s">
        <v>184</v>
      </c>
      <c r="E1137" s="16" t="s">
        <v>234</v>
      </c>
      <c r="F1137" s="16" t="s">
        <v>215</v>
      </c>
      <c r="G1137" s="16" t="s">
        <v>347</v>
      </c>
      <c r="H1137" s="16" t="s">
        <v>382</v>
      </c>
    </row>
    <row r="1138" ht="330.75" customHeight="1">
      <c r="A1138" s="32" t="str">
        <f>IMAGE("https://gymvisual.com/11107-catalog_default/cable-decline-fly-female.jpg",4,500,500)</f>
        <v/>
      </c>
      <c r="B1138" s="30">
        <v>869.0</v>
      </c>
      <c r="C1138" s="16" t="s">
        <v>1373</v>
      </c>
      <c r="D1138" s="16" t="s">
        <v>184</v>
      </c>
      <c r="E1138" s="16" t="s">
        <v>234</v>
      </c>
      <c r="F1138" s="16" t="s">
        <v>215</v>
      </c>
      <c r="G1138" s="16" t="s">
        <v>347</v>
      </c>
      <c r="H1138" s="16" t="s">
        <v>420</v>
      </c>
    </row>
    <row r="1139" ht="330.75" customHeight="1">
      <c r="A1139" s="32" t="str">
        <f>IMAGE("https://gymvisual.com/19317-catalog_default/cable-decline-fly.jpg",4,500,500)</f>
        <v/>
      </c>
      <c r="B1139" s="30">
        <v>868.0</v>
      </c>
      <c r="C1139" s="16" t="s">
        <v>1372</v>
      </c>
      <c r="D1139" s="16" t="s">
        <v>184</v>
      </c>
      <c r="E1139" s="16" t="s">
        <v>234</v>
      </c>
      <c r="F1139" s="16" t="s">
        <v>215</v>
      </c>
      <c r="G1139" s="16" t="s">
        <v>347</v>
      </c>
      <c r="H1139" s="16" t="s">
        <v>420</v>
      </c>
    </row>
    <row r="1140" ht="330.75" customHeight="1">
      <c r="A1140" s="32" t="str">
        <f>IMAGE("https://gymvisual.com/13359-catalog_default/cable-deadlift-female.jpg",4,500,500)</f>
        <v/>
      </c>
      <c r="B1140" s="30">
        <v>867.0</v>
      </c>
      <c r="C1140" s="16" t="s">
        <v>1371</v>
      </c>
      <c r="D1140" s="16" t="s">
        <v>184</v>
      </c>
      <c r="E1140" s="16" t="s">
        <v>294</v>
      </c>
      <c r="F1140" s="16" t="s">
        <v>215</v>
      </c>
      <c r="G1140" s="16" t="s">
        <v>220</v>
      </c>
      <c r="H1140" s="16" t="s">
        <v>220</v>
      </c>
    </row>
    <row r="1141" ht="330.75" customHeight="1">
      <c r="A1141" s="32" t="str">
        <f>IMAGE("https://gymvisual.com/493-catalog_default/cable-deadlift.jpg",4,500,500)</f>
        <v/>
      </c>
      <c r="B1141" s="30">
        <v>866.0</v>
      </c>
      <c r="C1141" s="16" t="s">
        <v>1370</v>
      </c>
      <c r="D1141" s="16" t="s">
        <v>184</v>
      </c>
      <c r="E1141" s="16" t="s">
        <v>285</v>
      </c>
      <c r="F1141" s="16" t="s">
        <v>215</v>
      </c>
      <c r="G1141" s="16" t="s">
        <v>189</v>
      </c>
      <c r="H1141" s="16" t="s">
        <v>190</v>
      </c>
    </row>
    <row r="1142" ht="330.75" customHeight="1">
      <c r="A1142" s="32" t="str">
        <f>IMAGE("https://gymvisual.com/7713-catalog_default/cable-curl-with-multipurpose-v-bar.jpg",4,500,500)</f>
        <v/>
      </c>
      <c r="B1142" s="30">
        <v>865.0</v>
      </c>
      <c r="C1142" s="16" t="s">
        <v>1369</v>
      </c>
      <c r="D1142" s="16" t="s">
        <v>184</v>
      </c>
      <c r="E1142" s="16" t="s">
        <v>214</v>
      </c>
      <c r="F1142" s="16" t="s">
        <v>215</v>
      </c>
      <c r="G1142" s="16" t="s">
        <v>220</v>
      </c>
      <c r="H1142" s="16" t="s">
        <v>220</v>
      </c>
    </row>
    <row r="1143" ht="330.75" customHeight="1">
      <c r="A1143" s="32" t="str">
        <f>IMAGE("https://gymvisual.com/18896-catalog_default/cable-curl.jpg",4,500,500)</f>
        <v/>
      </c>
      <c r="B1143" s="30">
        <v>864.0</v>
      </c>
      <c r="C1143" s="16" t="s">
        <v>1368</v>
      </c>
      <c r="D1143" s="16" t="s">
        <v>184</v>
      </c>
      <c r="E1143" s="16" t="s">
        <v>219</v>
      </c>
      <c r="F1143" s="16" t="s">
        <v>215</v>
      </c>
      <c r="G1143" s="16" t="s">
        <v>241</v>
      </c>
      <c r="H1143" s="16" t="s">
        <v>292</v>
      </c>
    </row>
    <row r="1144" ht="330.75" customHeight="1">
      <c r="A1144" s="32" t="str">
        <f>IMAGE("https://gymvisual.com/490-catalog_default/cable-curl.jpg",4,500,500)</f>
        <v/>
      </c>
      <c r="B1144" s="30">
        <v>863.0</v>
      </c>
      <c r="C1144" s="16" t="s">
        <v>1368</v>
      </c>
      <c r="D1144" s="16" t="s">
        <v>184</v>
      </c>
      <c r="E1144" s="16" t="s">
        <v>219</v>
      </c>
      <c r="F1144" s="16" t="s">
        <v>215</v>
      </c>
      <c r="G1144" s="16" t="s">
        <v>241</v>
      </c>
      <c r="H1144" s="16" t="s">
        <v>292</v>
      </c>
    </row>
    <row r="1145" ht="330.75" customHeight="1">
      <c r="A1145" s="32" t="str">
        <f>IMAGE("https://gymvisual.com/487-catalog_default/cable-cross-over-variation.jpg",4,500,500)</f>
        <v/>
      </c>
      <c r="B1145" s="30">
        <v>862.0</v>
      </c>
      <c r="C1145" s="16" t="s">
        <v>1367</v>
      </c>
      <c r="D1145" s="16" t="s">
        <v>184</v>
      </c>
      <c r="E1145" s="16" t="s">
        <v>234</v>
      </c>
      <c r="F1145" s="16" t="s">
        <v>215</v>
      </c>
      <c r="G1145" s="16" t="s">
        <v>235</v>
      </c>
      <c r="H1145" s="16" t="s">
        <v>229</v>
      </c>
    </row>
    <row r="1146" ht="330.75" customHeight="1">
      <c r="A1146" s="32" t="str">
        <f>IMAGE("https://gymvisual.com/484-catalog_default/cable-cross-over-revers-fly.jpg",4,500,500)</f>
        <v/>
      </c>
      <c r="B1146" s="30">
        <v>861.0</v>
      </c>
      <c r="C1146" s="16" t="s">
        <v>1366</v>
      </c>
      <c r="D1146" s="16" t="s">
        <v>184</v>
      </c>
      <c r="E1146" s="16" t="s">
        <v>228</v>
      </c>
      <c r="F1146" s="16" t="s">
        <v>215</v>
      </c>
      <c r="G1146" s="16" t="s">
        <v>408</v>
      </c>
      <c r="H1146" s="16" t="s">
        <v>452</v>
      </c>
    </row>
    <row r="1147" ht="330.75" customHeight="1">
      <c r="A1147" s="32" t="str">
        <f>IMAGE("https://gymvisual.com/481-catalog_default/cable-cross-over-lateral-pulldown.jpg",4,500,500)</f>
        <v/>
      </c>
      <c r="B1147" s="30">
        <v>860.0</v>
      </c>
      <c r="C1147" s="16" t="s">
        <v>1365</v>
      </c>
      <c r="D1147" s="16" t="s">
        <v>184</v>
      </c>
      <c r="E1147" s="16" t="s">
        <v>192</v>
      </c>
      <c r="F1147" s="16" t="s">
        <v>215</v>
      </c>
      <c r="G1147" s="16" t="s">
        <v>300</v>
      </c>
      <c r="H1147" s="16" t="s">
        <v>535</v>
      </c>
    </row>
    <row r="1148" ht="330.75" customHeight="1">
      <c r="A1148" s="32" t="str">
        <f>IMAGE("https://gymvisual.com/11050-catalog_default/cable-cross-over-revers-fly-female.jpg",4,500,500)</f>
        <v/>
      </c>
      <c r="B1148" s="30">
        <v>859.0</v>
      </c>
      <c r="C1148" s="16" t="s">
        <v>1364</v>
      </c>
      <c r="D1148" s="16" t="s">
        <v>184</v>
      </c>
      <c r="E1148" s="16" t="s">
        <v>228</v>
      </c>
      <c r="F1148" s="16" t="s">
        <v>215</v>
      </c>
      <c r="G1148" s="16" t="s">
        <v>408</v>
      </c>
      <c r="H1148" s="16" t="s">
        <v>452</v>
      </c>
    </row>
    <row r="1149" ht="330.75" customHeight="1">
      <c r="A1149" s="32" t="str">
        <f>IMAGE("https://gymvisual.com/13357-catalog_default/cable-cross-over-lateral-pulldown-female.jpg",4,500,500)</f>
        <v/>
      </c>
      <c r="B1149" s="30">
        <v>858.0</v>
      </c>
      <c r="C1149" s="16" t="s">
        <v>1363</v>
      </c>
      <c r="D1149" s="16" t="s">
        <v>184</v>
      </c>
      <c r="E1149" s="16" t="s">
        <v>192</v>
      </c>
      <c r="F1149" s="16" t="s">
        <v>215</v>
      </c>
      <c r="G1149" s="16" t="s">
        <v>220</v>
      </c>
      <c r="H1149" s="16" t="s">
        <v>220</v>
      </c>
    </row>
    <row r="1150" ht="330.75" customHeight="1">
      <c r="A1150" s="32" t="str">
        <f>IMAGE("https://gymvisual.com/13355-catalog_default/cable-concentration-extension-on-knee-female.jpg",4,500,500)</f>
        <v/>
      </c>
      <c r="B1150" s="30">
        <v>857.0</v>
      </c>
      <c r="C1150" s="16" t="s">
        <v>1362</v>
      </c>
      <c r="D1150" s="16" t="s">
        <v>184</v>
      </c>
      <c r="E1150" s="16" t="s">
        <v>219</v>
      </c>
      <c r="F1150" s="16" t="s">
        <v>215</v>
      </c>
      <c r="G1150" s="16" t="s">
        <v>220</v>
      </c>
      <c r="H1150" s="16" t="s">
        <v>220</v>
      </c>
    </row>
    <row r="1151" ht="330.75" customHeight="1">
      <c r="A1151" s="32" t="str">
        <f>IMAGE("https://gymvisual.com/478-catalog_default/cable-concentration-extension-on-knee.jpg",4,500,500)</f>
        <v/>
      </c>
      <c r="B1151" s="30">
        <v>856.0</v>
      </c>
      <c r="C1151" s="16" t="s">
        <v>1361</v>
      </c>
      <c r="D1151" s="16" t="s">
        <v>184</v>
      </c>
      <c r="E1151" s="16" t="s">
        <v>219</v>
      </c>
      <c r="F1151" s="16" t="s">
        <v>215</v>
      </c>
      <c r="G1151" s="16" t="s">
        <v>223</v>
      </c>
      <c r="H1151" s="16" t="s">
        <v>220</v>
      </c>
    </row>
    <row r="1152" ht="330.75" customHeight="1">
      <c r="A1152" s="32" t="str">
        <f>IMAGE("https://gymvisual.com/13353-catalog_default/cable-concentration-curl-female.jpg",4,500,500)</f>
        <v/>
      </c>
      <c r="B1152" s="30">
        <v>855.0</v>
      </c>
      <c r="C1152" s="16" t="s">
        <v>1360</v>
      </c>
      <c r="D1152" s="16" t="s">
        <v>184</v>
      </c>
      <c r="E1152" s="16" t="s">
        <v>219</v>
      </c>
      <c r="F1152" s="16" t="s">
        <v>215</v>
      </c>
      <c r="G1152" s="16" t="s">
        <v>220</v>
      </c>
      <c r="H1152" s="16" t="s">
        <v>220</v>
      </c>
    </row>
    <row r="1153" ht="330.75" customHeight="1">
      <c r="A1153" s="32" t="str">
        <f>IMAGE("https://gymvisual.com/7105-catalog_default/cable-concentration-curl.jpg",4,500,500)</f>
        <v/>
      </c>
      <c r="B1153" s="30">
        <v>854.0</v>
      </c>
      <c r="C1153" s="16" t="s">
        <v>1359</v>
      </c>
      <c r="D1153" s="16" t="s">
        <v>184</v>
      </c>
      <c r="E1153" s="16" t="s">
        <v>219</v>
      </c>
      <c r="F1153" s="16" t="s">
        <v>215</v>
      </c>
      <c r="G1153" s="16" t="s">
        <v>220</v>
      </c>
      <c r="H1153" s="16" t="s">
        <v>220</v>
      </c>
    </row>
    <row r="1154" ht="330.75" customHeight="1">
      <c r="A1154" s="32" t="str">
        <f>IMAGE("https://gymvisual.com/16618-catalog_default/cable-close-grip-front-lat-pulldown-female.jpg",4,500,500)</f>
        <v/>
      </c>
      <c r="B1154" s="30">
        <v>853.0</v>
      </c>
      <c r="C1154" s="16" t="s">
        <v>1358</v>
      </c>
      <c r="D1154" s="16" t="s">
        <v>184</v>
      </c>
      <c r="E1154" s="16" t="s">
        <v>192</v>
      </c>
      <c r="F1154" s="16" t="s">
        <v>215</v>
      </c>
      <c r="G1154" s="16" t="s">
        <v>300</v>
      </c>
      <c r="H1154" s="16" t="s">
        <v>445</v>
      </c>
    </row>
    <row r="1155" ht="330.75" customHeight="1">
      <c r="A1155" s="32" t="str">
        <f>IMAGE("https://gymvisual.com/2958-catalog_default/cable-close-grip-front-lat-pulldown.jpg",4,500,500)</f>
        <v/>
      </c>
      <c r="B1155" s="30">
        <v>852.0</v>
      </c>
      <c r="C1155" s="16" t="s">
        <v>1356</v>
      </c>
      <c r="D1155" s="16" t="s">
        <v>184</v>
      </c>
      <c r="E1155" s="16" t="s">
        <v>192</v>
      </c>
      <c r="F1155" s="16" t="s">
        <v>215</v>
      </c>
      <c r="G1155" s="16" t="s">
        <v>300</v>
      </c>
      <c r="H1155" s="16" t="s">
        <v>1357</v>
      </c>
    </row>
    <row r="1156" ht="330.75" customHeight="1">
      <c r="A1156" s="32" t="str">
        <f>IMAGE("https://gymvisual.com/13351-catalog_default/cable-close-grip-curl-female.jpg",4,500,500)</f>
        <v/>
      </c>
      <c r="B1156" s="30">
        <v>851.0</v>
      </c>
      <c r="C1156" s="16" t="s">
        <v>1355</v>
      </c>
      <c r="D1156" s="16" t="s">
        <v>184</v>
      </c>
      <c r="E1156" s="16" t="s">
        <v>219</v>
      </c>
      <c r="F1156" s="16" t="s">
        <v>215</v>
      </c>
      <c r="G1156" s="16" t="s">
        <v>220</v>
      </c>
      <c r="H1156" s="16" t="s">
        <v>220</v>
      </c>
    </row>
    <row r="1157" ht="330.75" customHeight="1">
      <c r="A1157" s="32" t="str">
        <f>IMAGE("https://gymvisual.com/7104-catalog_default/cable-close-grip-curl.jpg",4,500,500)</f>
        <v/>
      </c>
      <c r="B1157" s="30">
        <v>850.0</v>
      </c>
      <c r="C1157" s="16" t="s">
        <v>1354</v>
      </c>
      <c r="D1157" s="16" t="s">
        <v>184</v>
      </c>
      <c r="E1157" s="16" t="s">
        <v>219</v>
      </c>
      <c r="F1157" s="16" t="s">
        <v>215</v>
      </c>
      <c r="G1157" s="16" t="s">
        <v>220</v>
      </c>
      <c r="H1157" s="16" t="s">
        <v>220</v>
      </c>
    </row>
    <row r="1158" ht="330.75" customHeight="1">
      <c r="A1158" s="32" t="str">
        <f>IMAGE("https://gymvisual.com/6950-catalog_default/cable-biceps-curl-sz-bar.jpg",4,500,500)</f>
        <v/>
      </c>
      <c r="B1158" s="30">
        <v>849.0</v>
      </c>
      <c r="C1158" s="16" t="s">
        <v>1353</v>
      </c>
      <c r="D1158" s="16" t="s">
        <v>184</v>
      </c>
      <c r="E1158" s="16" t="s">
        <v>219</v>
      </c>
      <c r="F1158" s="16" t="s">
        <v>215</v>
      </c>
      <c r="G1158" s="16" t="s">
        <v>241</v>
      </c>
      <c r="H1158" s="16" t="s">
        <v>292</v>
      </c>
    </row>
    <row r="1159" ht="330.75" customHeight="1">
      <c r="A1159" s="32" t="str">
        <f>IMAGE("https://gymvisual.com/19571-catalog_default/cable-bent-over-single-arm-neutral-grip-kickback-with-rope-attachment.jpg",4,500,500)</f>
        <v/>
      </c>
      <c r="B1159" s="30">
        <v>848.0</v>
      </c>
      <c r="C1159" s="16" t="s">
        <v>1352</v>
      </c>
      <c r="D1159" s="16" t="s">
        <v>184</v>
      </c>
      <c r="E1159" s="16" t="s">
        <v>219</v>
      </c>
      <c r="F1159" s="16" t="s">
        <v>215</v>
      </c>
      <c r="G1159" s="16" t="s">
        <v>220</v>
      </c>
      <c r="H1159" s="16" t="s">
        <v>220</v>
      </c>
    </row>
    <row r="1160" ht="330.75" customHeight="1">
      <c r="A1160" s="32" t="str">
        <f>IMAGE("https://gymvisual.com/19567-catalog_default/cable-bent-over-single-arm-kickback.jpg",4,500,500)</f>
        <v/>
      </c>
      <c r="B1160" s="30">
        <v>847.0</v>
      </c>
      <c r="C1160" s="16" t="s">
        <v>1351</v>
      </c>
      <c r="D1160" s="16" t="s">
        <v>184</v>
      </c>
      <c r="E1160" s="16" t="s">
        <v>219</v>
      </c>
      <c r="F1160" s="16" t="s">
        <v>215</v>
      </c>
      <c r="G1160" s="16" t="s">
        <v>220</v>
      </c>
      <c r="H1160" s="16" t="s">
        <v>220</v>
      </c>
    </row>
    <row r="1161" ht="330.75" customHeight="1">
      <c r="A1161" s="32" t="str">
        <f>IMAGE("https://gymvisual.com/19405-catalog_default/cable-bent-over-row-with-rope-attachment.jpg",4,500,500)</f>
        <v/>
      </c>
      <c r="B1161" s="30">
        <v>846.0</v>
      </c>
      <c r="C1161" s="16" t="s">
        <v>1350</v>
      </c>
      <c r="D1161" s="16" t="s">
        <v>184</v>
      </c>
      <c r="E1161" s="16" t="s">
        <v>192</v>
      </c>
      <c r="F1161" s="16" t="s">
        <v>215</v>
      </c>
      <c r="G1161" s="16" t="s">
        <v>220</v>
      </c>
      <c r="H1161" s="16" t="s">
        <v>220</v>
      </c>
    </row>
    <row r="1162" ht="330.75" customHeight="1">
      <c r="A1162" s="32" t="str">
        <f>IMAGE("https://gymvisual.com/19403-catalog_default/cable-bent-over-reverse-grip-row.jpg",4,500,500)</f>
        <v/>
      </c>
      <c r="B1162" s="30">
        <v>845.0</v>
      </c>
      <c r="C1162" s="16" t="s">
        <v>1349</v>
      </c>
      <c r="D1162" s="16" t="s">
        <v>184</v>
      </c>
      <c r="E1162" s="16" t="s">
        <v>192</v>
      </c>
      <c r="F1162" s="16" t="s">
        <v>215</v>
      </c>
      <c r="G1162" s="16" t="s">
        <v>570</v>
      </c>
      <c r="H1162" s="16" t="s">
        <v>447</v>
      </c>
    </row>
    <row r="1163" ht="330.75" customHeight="1">
      <c r="A1163" s="32" t="str">
        <f>IMAGE("https://gymvisual.com/17175-catalog_default/cable-bent-over-one-arm-lateral-raise.jpg",4,500,500)</f>
        <v/>
      </c>
      <c r="B1163" s="30">
        <v>844.0</v>
      </c>
      <c r="C1163" s="16" t="s">
        <v>1347</v>
      </c>
      <c r="D1163" s="16" t="s">
        <v>184</v>
      </c>
      <c r="E1163" s="16" t="s">
        <v>228</v>
      </c>
      <c r="F1163" s="16" t="s">
        <v>215</v>
      </c>
      <c r="G1163" s="16" t="s">
        <v>408</v>
      </c>
      <c r="H1163" s="16" t="s">
        <v>1348</v>
      </c>
    </row>
    <row r="1164" ht="330.75" customHeight="1">
      <c r="A1164" s="32" t="str">
        <f>IMAGE("https://gymvisual.com/19573-catalog_default/cable-bent-over-neutral-grip-kickback-with-rope-attachment.jpg",4,500,500)</f>
        <v/>
      </c>
      <c r="B1164" s="30">
        <v>843.0</v>
      </c>
      <c r="C1164" s="16" t="s">
        <v>1346</v>
      </c>
      <c r="D1164" s="16" t="s">
        <v>184</v>
      </c>
      <c r="E1164" s="16" t="s">
        <v>219</v>
      </c>
      <c r="F1164" s="16" t="s">
        <v>215</v>
      </c>
      <c r="G1164" s="16" t="s">
        <v>220</v>
      </c>
      <c r="H1164" s="16" t="s">
        <v>220</v>
      </c>
    </row>
    <row r="1165" ht="330.75" customHeight="1">
      <c r="A1165" s="32" t="str">
        <f>IMAGE("https://gymvisual.com/17454-catalog_default/cable-bent-over-row-with-bar.jpg",4,500,500)</f>
        <v/>
      </c>
      <c r="B1165" s="30">
        <v>842.0</v>
      </c>
      <c r="C1165" s="16" t="s">
        <v>1345</v>
      </c>
      <c r="D1165" s="16" t="s">
        <v>184</v>
      </c>
      <c r="E1165" s="16" t="s">
        <v>192</v>
      </c>
      <c r="F1165" s="16" t="s">
        <v>215</v>
      </c>
      <c r="G1165" s="16" t="s">
        <v>329</v>
      </c>
      <c r="H1165" s="16" t="s">
        <v>447</v>
      </c>
    </row>
    <row r="1166" ht="330.75" customHeight="1">
      <c r="A1166" s="32" t="str">
        <f>IMAGE("https://gymvisual.com/17717-catalog_default/cable-bent-over-row.jpg",4,500,500)</f>
        <v/>
      </c>
      <c r="B1166" s="30">
        <v>841.0</v>
      </c>
      <c r="C1166" s="16" t="s">
        <v>1344</v>
      </c>
      <c r="D1166" s="16" t="s">
        <v>184</v>
      </c>
      <c r="E1166" s="16" t="s">
        <v>192</v>
      </c>
      <c r="F1166" s="16" t="s">
        <v>215</v>
      </c>
      <c r="G1166" s="16" t="s">
        <v>220</v>
      </c>
      <c r="H1166" s="16" t="s">
        <v>220</v>
      </c>
    </row>
    <row r="1167" ht="330.75" customHeight="1">
      <c r="A1167" s="32" t="str">
        <f>IMAGE("https://gymvisual.com/11531-catalog_default/cable-bench-press-female.jpg",4,500,500)</f>
        <v/>
      </c>
      <c r="B1167" s="30">
        <v>840.0</v>
      </c>
      <c r="C1167" s="16" t="s">
        <v>1343</v>
      </c>
      <c r="D1167" s="16" t="s">
        <v>184</v>
      </c>
      <c r="E1167" s="16" t="s">
        <v>234</v>
      </c>
      <c r="F1167" s="16" t="s">
        <v>215</v>
      </c>
      <c r="G1167" s="16" t="s">
        <v>220</v>
      </c>
      <c r="H1167" s="16" t="s">
        <v>220</v>
      </c>
    </row>
    <row r="1168" ht="330.75" customHeight="1">
      <c r="A1168" s="32" t="str">
        <f>IMAGE("https://gymvisual.com/475-catalog_default/cable-bench-press.jpg",4,500,500)</f>
        <v/>
      </c>
      <c r="B1168" s="30">
        <v>839.0</v>
      </c>
      <c r="C1168" s="16" t="s">
        <v>113</v>
      </c>
      <c r="D1168" s="16" t="s">
        <v>184</v>
      </c>
      <c r="E1168" s="16" t="s">
        <v>234</v>
      </c>
      <c r="F1168" s="16" t="s">
        <v>215</v>
      </c>
      <c r="G1168" s="16" t="s">
        <v>235</v>
      </c>
      <c r="H1168" s="16" t="s">
        <v>243</v>
      </c>
    </row>
    <row r="1169" ht="330.75" customHeight="1">
      <c r="A1169" s="32" t="str">
        <f>IMAGE("https://gymvisual.com/9655-catalog_default/cable-bar-lateral-pulldown-female.jpg",4,500,500)</f>
        <v/>
      </c>
      <c r="B1169" s="30">
        <v>838.0</v>
      </c>
      <c r="C1169" s="16" t="s">
        <v>1342</v>
      </c>
      <c r="D1169" s="16" t="s">
        <v>184</v>
      </c>
      <c r="E1169" s="16" t="s">
        <v>192</v>
      </c>
      <c r="F1169" s="16" t="s">
        <v>215</v>
      </c>
      <c r="G1169" s="16" t="s">
        <v>220</v>
      </c>
      <c r="H1169" s="16" t="s">
        <v>220</v>
      </c>
    </row>
    <row r="1170" ht="330.75" customHeight="1">
      <c r="A1170" s="32" t="str">
        <f>IMAGE("https://gymvisual.com/472-catalog_default/cable-bar-lateral-pulldown.jpg",4,500,500)</f>
        <v/>
      </c>
      <c r="B1170" s="30">
        <v>837.0</v>
      </c>
      <c r="C1170" s="16" t="s">
        <v>1341</v>
      </c>
      <c r="D1170" s="16" t="s">
        <v>184</v>
      </c>
      <c r="E1170" s="16" t="s">
        <v>192</v>
      </c>
      <c r="F1170" s="16" t="s">
        <v>215</v>
      </c>
      <c r="G1170" s="16" t="s">
        <v>300</v>
      </c>
      <c r="H1170" s="16" t="s">
        <v>387</v>
      </c>
    </row>
    <row r="1171" ht="330.75" customHeight="1">
      <c r="A1171" s="32" t="str">
        <f>IMAGE("https://gymvisual.com/13349-catalog_default/cable-bar-high-pulley-overhead-tricep-extension-female.jpg",4,500,500)</f>
        <v/>
      </c>
      <c r="B1171" s="30">
        <v>836.0</v>
      </c>
      <c r="C1171" s="16" t="s">
        <v>1340</v>
      </c>
      <c r="D1171" s="16" t="s">
        <v>184</v>
      </c>
      <c r="E1171" s="16" t="s">
        <v>219</v>
      </c>
      <c r="F1171" s="16" t="s">
        <v>215</v>
      </c>
      <c r="G1171" s="16" t="s">
        <v>220</v>
      </c>
      <c r="H1171" s="16" t="s">
        <v>220</v>
      </c>
    </row>
    <row r="1172" ht="330.75" customHeight="1">
      <c r="A1172" s="32" t="str">
        <f>IMAGE("https://gymvisual.com/12982-catalog_default/cable-assisted-inverse-leg-curl.jpg",4,500,500)</f>
        <v/>
      </c>
      <c r="B1172" s="30">
        <v>835.0</v>
      </c>
      <c r="C1172" s="16" t="s">
        <v>1338</v>
      </c>
      <c r="D1172" s="16" t="s">
        <v>184</v>
      </c>
      <c r="E1172" s="16" t="s">
        <v>285</v>
      </c>
      <c r="F1172" s="16" t="s">
        <v>215</v>
      </c>
      <c r="G1172" s="16" t="s">
        <v>854</v>
      </c>
      <c r="H1172" s="16" t="s">
        <v>1339</v>
      </c>
    </row>
    <row r="1173" ht="330.75" customHeight="1">
      <c r="A1173" s="32" t="str">
        <f>IMAGE("https://gymvisual.com/13347-catalog_default/cable-alternate-triceps-extension-female.jpg",4,500,500)</f>
        <v/>
      </c>
      <c r="B1173" s="30">
        <v>834.0</v>
      </c>
      <c r="C1173" s="16" t="s">
        <v>1337</v>
      </c>
      <c r="D1173" s="16" t="s">
        <v>184</v>
      </c>
      <c r="E1173" s="16" t="s">
        <v>219</v>
      </c>
      <c r="F1173" s="16" t="s">
        <v>215</v>
      </c>
      <c r="G1173" s="16" t="s">
        <v>220</v>
      </c>
      <c r="H1173" s="16" t="s">
        <v>220</v>
      </c>
    </row>
    <row r="1174" ht="330.75" customHeight="1">
      <c r="A1174" s="32" t="str">
        <f>IMAGE("https://gymvisual.com/469-catalog_default/cable-alternate-triceps-extension.jpg",4,500,500)</f>
        <v/>
      </c>
      <c r="B1174" s="30">
        <v>833.0</v>
      </c>
      <c r="C1174" s="16" t="s">
        <v>1336</v>
      </c>
      <c r="D1174" s="16" t="s">
        <v>184</v>
      </c>
      <c r="E1174" s="16" t="s">
        <v>219</v>
      </c>
      <c r="F1174" s="16" t="s">
        <v>215</v>
      </c>
      <c r="G1174" s="16" t="s">
        <v>223</v>
      </c>
      <c r="H1174" s="16" t="s">
        <v>220</v>
      </c>
    </row>
    <row r="1175" ht="330.75" customHeight="1">
      <c r="A1175" s="32" t="str">
        <f>IMAGE("https://gymvisual.com/13345-catalog_default/cable-alternate-shoulder-press-female.jpg",4,500,500)</f>
        <v/>
      </c>
      <c r="B1175" s="30">
        <v>832.0</v>
      </c>
      <c r="C1175" s="16" t="s">
        <v>1335</v>
      </c>
      <c r="D1175" s="16" t="s">
        <v>184</v>
      </c>
      <c r="E1175" s="16" t="s">
        <v>228</v>
      </c>
      <c r="F1175" s="16" t="s">
        <v>215</v>
      </c>
      <c r="G1175" s="16" t="s">
        <v>220</v>
      </c>
      <c r="H1175" s="16" t="s">
        <v>220</v>
      </c>
    </row>
    <row r="1176" ht="330.75" customHeight="1">
      <c r="A1176" s="32" t="str">
        <f>IMAGE("https://gymvisual.com/466-catalog_default/cable-alternate-shoulder-press.jpg",4,500,500)</f>
        <v/>
      </c>
      <c r="B1176" s="30">
        <v>831.0</v>
      </c>
      <c r="C1176" s="16" t="s">
        <v>1333</v>
      </c>
      <c r="D1176" s="16" t="s">
        <v>184</v>
      </c>
      <c r="E1176" s="16" t="s">
        <v>228</v>
      </c>
      <c r="F1176" s="16" t="s">
        <v>215</v>
      </c>
      <c r="G1176" s="16" t="s">
        <v>229</v>
      </c>
      <c r="H1176" s="16" t="s">
        <v>1334</v>
      </c>
    </row>
    <row r="1177" ht="330.75" customHeight="1">
      <c r="A1177" s="32" t="str">
        <f>IMAGE("https://gymvisual.com/463-catalog_default/bycicle-twisting-crunch.jpg",4,500,500)</f>
        <v/>
      </c>
      <c r="B1177" s="30">
        <v>830.0</v>
      </c>
      <c r="C1177" s="16" t="s">
        <v>1331</v>
      </c>
      <c r="D1177" s="16" t="s">
        <v>184</v>
      </c>
      <c r="E1177" s="16" t="s">
        <v>254</v>
      </c>
      <c r="F1177" s="16" t="s">
        <v>255</v>
      </c>
      <c r="G1177" s="16" t="s">
        <v>260</v>
      </c>
      <c r="H1177" s="16" t="s">
        <v>1332</v>
      </c>
    </row>
    <row r="1178" ht="330.75" customHeight="1">
      <c r="A1178" s="32" t="str">
        <f>IMAGE("https://gymvisual.com/2648-catalog_default/butt-ups.jpg",4,500,500)</f>
        <v/>
      </c>
      <c r="B1178" s="30">
        <v>829.0</v>
      </c>
      <c r="C1178" s="16" t="s">
        <v>1329</v>
      </c>
      <c r="D1178" s="16" t="s">
        <v>184</v>
      </c>
      <c r="E1178" s="16" t="s">
        <v>254</v>
      </c>
      <c r="F1178" s="16" t="s">
        <v>255</v>
      </c>
      <c r="G1178" s="16" t="s">
        <v>305</v>
      </c>
      <c r="H1178" s="16" t="s">
        <v>1330</v>
      </c>
    </row>
    <row r="1179" ht="330.75" customHeight="1">
      <c r="A1179" s="32" t="str">
        <f>IMAGE("https://gymvisual.com/457-catalog_default/butt-bridge.jpg",4,500,500)</f>
        <v/>
      </c>
      <c r="B1179" s="30">
        <v>828.0</v>
      </c>
      <c r="C1179" s="16" t="s">
        <v>1326</v>
      </c>
      <c r="D1179" s="16" t="s">
        <v>184</v>
      </c>
      <c r="E1179" s="16" t="s">
        <v>254</v>
      </c>
      <c r="F1179" s="16" t="s">
        <v>255</v>
      </c>
      <c r="G1179" s="16" t="s">
        <v>1327</v>
      </c>
      <c r="H1179" s="16" t="s">
        <v>1328</v>
      </c>
    </row>
    <row r="1180" ht="330.75" customHeight="1">
      <c r="A1180" s="32" t="str">
        <f>IMAGE("https://gymvisual.com/16524-catalog_default/bulgarian-split-squat-with-chair.jpg",4,500,500)</f>
        <v/>
      </c>
      <c r="B1180" s="30">
        <v>827.0</v>
      </c>
      <c r="C1180" s="16" t="s">
        <v>1325</v>
      </c>
      <c r="D1180" s="16" t="s">
        <v>184</v>
      </c>
      <c r="E1180" s="16" t="s">
        <v>285</v>
      </c>
      <c r="F1180" s="16" t="s">
        <v>255</v>
      </c>
      <c r="G1180" s="16" t="s">
        <v>189</v>
      </c>
      <c r="H1180" s="16" t="s">
        <v>190</v>
      </c>
    </row>
    <row r="1181" ht="330.75" customHeight="1">
      <c r="A1181" s="32" t="str">
        <f>IMAGE("https://gymvisual.com/14078-catalog_default/bulgarian-split-squat.jpg",4,500,500)</f>
        <v/>
      </c>
      <c r="B1181" s="30">
        <v>826.0</v>
      </c>
      <c r="C1181" s="16" t="s">
        <v>1324</v>
      </c>
      <c r="D1181" s="16" t="s">
        <v>184</v>
      </c>
      <c r="E1181" s="16" t="s">
        <v>294</v>
      </c>
      <c r="F1181" s="16" t="s">
        <v>255</v>
      </c>
      <c r="G1181" s="16" t="s">
        <v>189</v>
      </c>
      <c r="H1181" s="16" t="s">
        <v>190</v>
      </c>
    </row>
    <row r="1182" ht="330.75" customHeight="1">
      <c r="A1182" s="32" t="str">
        <f>IMAGE("https://gymvisual.com/22805-catalog_default/bridge-hip-abduction-male.jpg",4,500,500)</f>
        <v/>
      </c>
      <c r="B1182" s="30">
        <v>825.0</v>
      </c>
      <c r="C1182" s="16" t="s">
        <v>1321</v>
      </c>
      <c r="D1182" s="16" t="s">
        <v>184</v>
      </c>
      <c r="E1182" s="16" t="s">
        <v>185</v>
      </c>
      <c r="F1182" s="16" t="s">
        <v>255</v>
      </c>
      <c r="G1182" s="16" t="s">
        <v>1322</v>
      </c>
      <c r="H1182" s="16" t="s">
        <v>1323</v>
      </c>
    </row>
    <row r="1183" ht="330.75" customHeight="1">
      <c r="A1183" s="32" t="str">
        <f>IMAGE("https://gymvisual.com/454-catalog_default/bridge-hip-abduction.jpg",4,500,500)</f>
        <v/>
      </c>
      <c r="B1183" s="30">
        <v>824.0</v>
      </c>
      <c r="C1183" s="16" t="s">
        <v>1320</v>
      </c>
      <c r="D1183" s="16" t="s">
        <v>184</v>
      </c>
      <c r="E1183" s="16" t="s">
        <v>185</v>
      </c>
      <c r="F1183" s="16" t="s">
        <v>255</v>
      </c>
      <c r="G1183" s="16" t="s">
        <v>508</v>
      </c>
      <c r="H1183" s="16" t="s">
        <v>220</v>
      </c>
    </row>
    <row r="1184" ht="330.75" customHeight="1">
      <c r="A1184" s="32" t="str">
        <f>IMAGE("https://gymvisual.com/10576-catalog_default/bridge-mountain-climber-cross-body-female.jpg",4,500,500)</f>
        <v/>
      </c>
      <c r="B1184" s="30">
        <v>823.0</v>
      </c>
      <c r="C1184" s="16" t="s">
        <v>1318</v>
      </c>
      <c r="D1184" s="16" t="s">
        <v>184</v>
      </c>
      <c r="E1184" s="16" t="s">
        <v>254</v>
      </c>
      <c r="F1184" s="16" t="s">
        <v>255</v>
      </c>
      <c r="G1184" s="16" t="s">
        <v>257</v>
      </c>
      <c r="H1184" s="16" t="s">
        <v>1319</v>
      </c>
    </row>
    <row r="1185" ht="330.75" customHeight="1">
      <c r="A1185" s="32" t="str">
        <f>IMAGE("https://gymvisual.com/10577-catalog_default/bridge-mountain-climber-cross-body.jpg",4,500,500)</f>
        <v/>
      </c>
      <c r="B1185" s="30">
        <v>822.0</v>
      </c>
      <c r="C1185" s="16" t="s">
        <v>1317</v>
      </c>
      <c r="D1185" s="16" t="s">
        <v>184</v>
      </c>
      <c r="E1185" s="16" t="s">
        <v>254</v>
      </c>
      <c r="F1185" s="16" t="s">
        <v>255</v>
      </c>
      <c r="G1185" s="16" t="s">
        <v>260</v>
      </c>
      <c r="H1185" s="16" t="s">
        <v>220</v>
      </c>
    </row>
    <row r="1186" ht="330.75" customHeight="1">
      <c r="A1186" s="32" t="str">
        <f>IMAGE("https://gymvisual.com/452-catalog_default/bridge-straight-arm.jpg",4,500,500)</f>
        <v/>
      </c>
      <c r="B1186" s="30">
        <v>821.0</v>
      </c>
      <c r="C1186" s="16" t="s">
        <v>1315</v>
      </c>
      <c r="D1186" s="16" t="s">
        <v>184</v>
      </c>
      <c r="E1186" s="16" t="s">
        <v>254</v>
      </c>
      <c r="F1186" s="16" t="s">
        <v>255</v>
      </c>
      <c r="G1186" s="16" t="s">
        <v>256</v>
      </c>
      <c r="H1186" s="16" t="s">
        <v>1316</v>
      </c>
    </row>
    <row r="1187" ht="330.75" customHeight="1">
      <c r="A1187" s="32" t="str">
        <f>IMAGE("https://gymvisual.com/450-catalog_default/bridge-on-knees.jpg",4,500,500)</f>
        <v/>
      </c>
      <c r="B1187" s="30">
        <v>820.0</v>
      </c>
      <c r="C1187" s="16" t="s">
        <v>1313</v>
      </c>
      <c r="D1187" s="16" t="s">
        <v>184</v>
      </c>
      <c r="E1187" s="16" t="s">
        <v>254</v>
      </c>
      <c r="F1187" s="16" t="s">
        <v>255</v>
      </c>
      <c r="G1187" s="16" t="s">
        <v>256</v>
      </c>
      <c r="H1187" s="16" t="s">
        <v>1314</v>
      </c>
    </row>
    <row r="1188" ht="330.75" customHeight="1">
      <c r="A1188" s="32" t="str">
        <f>IMAGE("https://gymvisual.com/444-catalog_default/brachialis-pull-up.jpg",4,500,500)</f>
        <v/>
      </c>
      <c r="B1188" s="30">
        <v>819.0</v>
      </c>
      <c r="C1188" s="16" t="s">
        <v>1311</v>
      </c>
      <c r="D1188" s="16" t="s">
        <v>184</v>
      </c>
      <c r="E1188" s="16" t="s">
        <v>214</v>
      </c>
      <c r="F1188" s="16" t="s">
        <v>255</v>
      </c>
      <c r="G1188" s="16" t="s">
        <v>292</v>
      </c>
      <c r="H1188" s="16" t="s">
        <v>1312</v>
      </c>
    </row>
    <row r="1189" ht="330.75" customHeight="1">
      <c r="A1189" s="32" t="str">
        <f>IMAGE("https://gymvisual.com/441-catalog_default/brachialis-narrow-pull-ups.jpg",4,500,500)</f>
        <v/>
      </c>
      <c r="B1189" s="30">
        <v>818.0</v>
      </c>
      <c r="C1189" s="16" t="s">
        <v>1310</v>
      </c>
      <c r="D1189" s="16" t="s">
        <v>184</v>
      </c>
      <c r="E1189" s="16" t="s">
        <v>219</v>
      </c>
      <c r="F1189" s="16" t="s">
        <v>255</v>
      </c>
      <c r="G1189" s="16" t="s">
        <v>216</v>
      </c>
      <c r="H1189" s="16" t="s">
        <v>217</v>
      </c>
    </row>
    <row r="1190" ht="330.75" customHeight="1">
      <c r="A1190" s="32" t="str">
        <f>IMAGE("https://gymvisual.com/11579-catalog_default/brachialis-narrow-pull-ups-female.jpg",4,500,500)</f>
        <v/>
      </c>
      <c r="B1190" s="30">
        <v>817.0</v>
      </c>
      <c r="C1190" s="16" t="s">
        <v>1309</v>
      </c>
      <c r="D1190" s="16" t="s">
        <v>184</v>
      </c>
      <c r="E1190" s="16" t="s">
        <v>192</v>
      </c>
      <c r="F1190" s="16" t="s">
        <v>255</v>
      </c>
      <c r="G1190" s="16" t="s">
        <v>220</v>
      </c>
      <c r="H1190" s="16" t="s">
        <v>220</v>
      </c>
    </row>
    <row r="1191" ht="330.75" customHeight="1">
      <c r="A1191" s="32" t="str">
        <f>IMAGE("https://gymvisual.com/438-catalog_default/bottoms-up.jpg",4,500,500)</f>
        <v/>
      </c>
      <c r="B1191" s="30">
        <v>816.0</v>
      </c>
      <c r="C1191" s="16" t="s">
        <v>1307</v>
      </c>
      <c r="D1191" s="16" t="s">
        <v>184</v>
      </c>
      <c r="E1191" s="16" t="s">
        <v>254</v>
      </c>
      <c r="F1191" s="16" t="s">
        <v>255</v>
      </c>
      <c r="G1191" s="16" t="s">
        <v>256</v>
      </c>
      <c r="H1191" s="16" t="s">
        <v>1308</v>
      </c>
    </row>
    <row r="1192" ht="330.75" customHeight="1">
      <c r="A1192" s="32" t="str">
        <f>IMAGE("https://gymvisual.com/10933-catalog_default/bottoms-up-female.jpg",4,500,500)</f>
        <v/>
      </c>
      <c r="B1192" s="30">
        <v>815.0</v>
      </c>
      <c r="C1192" s="16" t="s">
        <v>1305</v>
      </c>
      <c r="D1192" s="16" t="s">
        <v>184</v>
      </c>
      <c r="E1192" s="16" t="s">
        <v>310</v>
      </c>
      <c r="F1192" s="16" t="s">
        <v>255</v>
      </c>
      <c r="G1192" s="16" t="s">
        <v>305</v>
      </c>
      <c r="H1192" s="16" t="s">
        <v>1306</v>
      </c>
    </row>
    <row r="1193" ht="330.75" customHeight="1">
      <c r="A1193" s="32" t="str">
        <f>IMAGE("https://gymvisual.com/14135-catalog_default/bottle-hammer-curl.jpg",4,500,500)</f>
        <v/>
      </c>
      <c r="B1193" s="30">
        <v>814.0</v>
      </c>
      <c r="C1193" s="16" t="s">
        <v>1304</v>
      </c>
      <c r="D1193" s="16" t="s">
        <v>184</v>
      </c>
      <c r="E1193" s="16" t="s">
        <v>219</v>
      </c>
      <c r="F1193" s="16" t="s">
        <v>396</v>
      </c>
      <c r="G1193" s="16" t="s">
        <v>232</v>
      </c>
      <c r="H1193" s="16" t="s">
        <v>233</v>
      </c>
    </row>
    <row r="1194" ht="330.75" customHeight="1">
      <c r="A1194" s="32" t="str">
        <f>IMAGE("https://gymvisual.com/26114-catalog_default/bodyweight-wood-chop-squat.jpg",4,500,500)</f>
        <v/>
      </c>
      <c r="B1194" s="30">
        <v>813.0</v>
      </c>
      <c r="C1194" s="16" t="s">
        <v>1303</v>
      </c>
      <c r="D1194" s="16" t="s">
        <v>184</v>
      </c>
      <c r="E1194" s="16" t="s">
        <v>254</v>
      </c>
      <c r="F1194" s="16" t="s">
        <v>255</v>
      </c>
      <c r="G1194" s="16" t="s">
        <v>220</v>
      </c>
      <c r="H1194" s="16" t="s">
        <v>220</v>
      </c>
    </row>
    <row r="1195" ht="330.75" customHeight="1">
      <c r="A1195" s="32" t="str">
        <f>IMAGE("https://gymvisual.com/17787-catalog_default/bodyweight-windmill-female.jpg",4,500,500)</f>
        <v/>
      </c>
      <c r="B1195" s="30">
        <v>812.0</v>
      </c>
      <c r="C1195" s="16" t="s">
        <v>1301</v>
      </c>
      <c r="D1195" s="16" t="s">
        <v>184</v>
      </c>
      <c r="E1195" s="16" t="s">
        <v>254</v>
      </c>
      <c r="F1195" s="16" t="s">
        <v>255</v>
      </c>
      <c r="G1195" s="16" t="s">
        <v>424</v>
      </c>
      <c r="H1195" s="16" t="s">
        <v>1302</v>
      </c>
    </row>
    <row r="1196" ht="330.75" customHeight="1">
      <c r="A1196" s="32" t="str">
        <f>IMAGE("https://gymvisual.com/22718-catalog_default/bodyweight-windmill.jpg",4,500,500)</f>
        <v/>
      </c>
      <c r="B1196" s="30">
        <v>811.0</v>
      </c>
      <c r="C1196" s="16" t="s">
        <v>1300</v>
      </c>
      <c r="D1196" s="16" t="s">
        <v>184</v>
      </c>
      <c r="E1196" s="16" t="s">
        <v>254</v>
      </c>
      <c r="F1196" s="16" t="s">
        <v>255</v>
      </c>
      <c r="G1196" s="16" t="s">
        <v>260</v>
      </c>
      <c r="H1196" s="16" t="s">
        <v>271</v>
      </c>
    </row>
    <row r="1197" ht="330.75" customHeight="1">
      <c r="A1197" s="32" t="str">
        <f>IMAGE("https://gymvisual.com/6793-catalog_default/bodyweight-wall-squat.jpg",4,500,500)</f>
        <v/>
      </c>
      <c r="B1197" s="30">
        <v>810.0</v>
      </c>
      <c r="C1197" s="16" t="s">
        <v>1299</v>
      </c>
      <c r="D1197" s="16" t="s">
        <v>184</v>
      </c>
      <c r="E1197" s="16" t="s">
        <v>285</v>
      </c>
      <c r="F1197" s="16" t="s">
        <v>255</v>
      </c>
      <c r="G1197" s="16" t="s">
        <v>189</v>
      </c>
      <c r="H1197" s="16" t="s">
        <v>190</v>
      </c>
    </row>
    <row r="1198" ht="330.75" customHeight="1">
      <c r="A1198" s="32" t="str">
        <f>IMAGE("https://gymvisual.com/25071-catalog_default/bodyweight-walking-calf-raise.jpg",4,500,500)</f>
        <v/>
      </c>
      <c r="B1198" s="30">
        <v>809.0</v>
      </c>
      <c r="C1198" s="16" t="s">
        <v>1298</v>
      </c>
      <c r="D1198" s="16" t="s">
        <v>184</v>
      </c>
      <c r="E1198" s="16" t="s">
        <v>325</v>
      </c>
      <c r="F1198" s="16" t="s">
        <v>255</v>
      </c>
      <c r="G1198" s="16" t="s">
        <v>220</v>
      </c>
      <c r="H1198" s="16" t="s">
        <v>220</v>
      </c>
    </row>
    <row r="1199" ht="330.75" customHeight="1">
      <c r="A1199" s="32" t="str">
        <f>IMAGE("https://gymvisual.com/26102-catalog_default/bodyweight-swing.jpg",4,500,500)</f>
        <v/>
      </c>
      <c r="B1199" s="30">
        <v>808.0</v>
      </c>
      <c r="C1199" s="16" t="s">
        <v>1297</v>
      </c>
      <c r="D1199" s="16" t="s">
        <v>184</v>
      </c>
      <c r="E1199" s="16" t="s">
        <v>185</v>
      </c>
      <c r="F1199" s="16" t="s">
        <v>255</v>
      </c>
      <c r="G1199" s="16" t="s">
        <v>220</v>
      </c>
      <c r="H1199" s="16" t="s">
        <v>220</v>
      </c>
    </row>
    <row r="1200" ht="330.75" customHeight="1">
      <c r="A1200" s="32" t="str">
        <f>IMAGE("https://gymvisual.com/24117-catalog_default/bodyweight-svend-press.jpg",4,500,500)</f>
        <v/>
      </c>
      <c r="B1200" s="30">
        <v>807.0</v>
      </c>
      <c r="C1200" s="16" t="s">
        <v>1296</v>
      </c>
      <c r="D1200" s="16" t="s">
        <v>184</v>
      </c>
      <c r="E1200" s="16" t="s">
        <v>234</v>
      </c>
      <c r="F1200" s="16" t="s">
        <v>255</v>
      </c>
      <c r="G1200" s="16" t="s">
        <v>220</v>
      </c>
      <c r="H1200" s="16" t="s">
        <v>220</v>
      </c>
    </row>
    <row r="1201" ht="330.75" customHeight="1">
      <c r="A1201" s="32" t="str">
        <f>IMAGE("https://gymvisual.com/22165-catalog_default/bodyweight-step-up-on-stepbox.jpg",4,500,500)</f>
        <v/>
      </c>
      <c r="B1201" s="30">
        <v>806.0</v>
      </c>
      <c r="C1201" s="16" t="s">
        <v>1295</v>
      </c>
      <c r="D1201" s="16" t="s">
        <v>184</v>
      </c>
      <c r="E1201" s="16" t="s">
        <v>285</v>
      </c>
      <c r="F1201" s="16" t="s">
        <v>255</v>
      </c>
      <c r="G1201" s="16" t="s">
        <v>189</v>
      </c>
      <c r="H1201" s="16" t="s">
        <v>190</v>
      </c>
    </row>
    <row r="1202" ht="330.75" customHeight="1">
      <c r="A1202" s="32" t="str">
        <f>IMAGE("https://gymvisual.com/22197-catalog_default/bodyweight-standing-sissy-squat.jpg",4,500,500)</f>
        <v/>
      </c>
      <c r="B1202" s="30">
        <v>805.0</v>
      </c>
      <c r="C1202" s="16" t="s">
        <v>1294</v>
      </c>
      <c r="D1202" s="16" t="s">
        <v>184</v>
      </c>
      <c r="E1202" s="16" t="s">
        <v>285</v>
      </c>
      <c r="F1202" s="16" t="s">
        <v>255</v>
      </c>
      <c r="G1202" s="16" t="s">
        <v>220</v>
      </c>
      <c r="H1202" s="16" t="s">
        <v>220</v>
      </c>
    </row>
    <row r="1203" ht="330.75" customHeight="1">
      <c r="A1203" s="32" t="str">
        <f>IMAGE("https://gymvisual.com/12693-catalog_default/bodyweight-standing-row-with-towel-female.jpg",4,500,500)</f>
        <v/>
      </c>
      <c r="B1203" s="30">
        <v>804.0</v>
      </c>
      <c r="C1203" s="16" t="s">
        <v>1293</v>
      </c>
      <c r="D1203" s="16" t="s">
        <v>184</v>
      </c>
      <c r="E1203" s="16" t="s">
        <v>192</v>
      </c>
      <c r="F1203" s="16" t="s">
        <v>255</v>
      </c>
      <c r="G1203" s="16" t="s">
        <v>329</v>
      </c>
      <c r="H1203" s="16" t="s">
        <v>447</v>
      </c>
    </row>
    <row r="1204" ht="330.75" customHeight="1">
      <c r="A1204" s="32" t="str">
        <f>IMAGE("https://gymvisual.com/12694-catalog_default/bodyweight-standing-row-with-towel.jpg",4,500,500)</f>
        <v/>
      </c>
      <c r="B1204" s="30">
        <v>803.0</v>
      </c>
      <c r="C1204" s="16" t="s">
        <v>1292</v>
      </c>
      <c r="D1204" s="16" t="s">
        <v>184</v>
      </c>
      <c r="E1204" s="16" t="s">
        <v>192</v>
      </c>
      <c r="F1204" s="16" t="s">
        <v>255</v>
      </c>
      <c r="G1204" s="16" t="s">
        <v>329</v>
      </c>
      <c r="H1204" s="16" t="s">
        <v>447</v>
      </c>
    </row>
    <row r="1205" ht="330.75" customHeight="1">
      <c r="A1205" s="32" t="str">
        <f>IMAGE("https://gymvisual.com/12691-catalog_default/bodyweight-standing-row-female.jpg",4,500,500)</f>
        <v/>
      </c>
      <c r="B1205" s="30">
        <v>802.0</v>
      </c>
      <c r="C1205" s="16" t="s">
        <v>1291</v>
      </c>
      <c r="D1205" s="16" t="s">
        <v>184</v>
      </c>
      <c r="E1205" s="16" t="s">
        <v>192</v>
      </c>
      <c r="F1205" s="16" t="s">
        <v>255</v>
      </c>
      <c r="G1205" s="16" t="s">
        <v>329</v>
      </c>
      <c r="H1205" s="16" t="s">
        <v>447</v>
      </c>
    </row>
    <row r="1206" ht="330.75" customHeight="1">
      <c r="A1206" s="32" t="str">
        <f>IMAGE("https://gymvisual.com/12692-catalog_default/bodyweight-standing-row.jpg",4,500,500)</f>
        <v/>
      </c>
      <c r="B1206" s="30">
        <v>801.0</v>
      </c>
      <c r="C1206" s="16" t="s">
        <v>1290</v>
      </c>
      <c r="D1206" s="16" t="s">
        <v>184</v>
      </c>
      <c r="E1206" s="16" t="s">
        <v>192</v>
      </c>
      <c r="F1206" s="16" t="s">
        <v>255</v>
      </c>
      <c r="G1206" s="16" t="s">
        <v>329</v>
      </c>
      <c r="H1206" s="16" t="s">
        <v>447</v>
      </c>
    </row>
    <row r="1207" ht="330.75" customHeight="1">
      <c r="A1207" s="32" t="str">
        <f>IMAGE("https://gymvisual.com/14080-catalog_default/bodyweight-standing-pulse-calf-raise.jpg",4,500,500)</f>
        <v/>
      </c>
      <c r="B1207" s="30">
        <v>800.0</v>
      </c>
      <c r="C1207" s="16" t="s">
        <v>1289</v>
      </c>
      <c r="D1207" s="16" t="s">
        <v>184</v>
      </c>
      <c r="E1207" s="16" t="s">
        <v>325</v>
      </c>
      <c r="F1207" s="16" t="s">
        <v>255</v>
      </c>
      <c r="G1207" s="16" t="s">
        <v>561</v>
      </c>
      <c r="H1207" s="16" t="s">
        <v>220</v>
      </c>
    </row>
    <row r="1208" ht="330.75" customHeight="1">
      <c r="A1208" s="32" t="str">
        <f>IMAGE("https://gymvisual.com/12689-catalog_default/bodyweight-standing-one-arm-row-with-towel-female.jpg",4,500,500)</f>
        <v/>
      </c>
      <c r="B1208" s="30">
        <v>799.0</v>
      </c>
      <c r="C1208" s="16" t="s">
        <v>1288</v>
      </c>
      <c r="D1208" s="16" t="s">
        <v>184</v>
      </c>
      <c r="E1208" s="16" t="s">
        <v>192</v>
      </c>
      <c r="F1208" s="16" t="s">
        <v>255</v>
      </c>
      <c r="G1208" s="16" t="s">
        <v>329</v>
      </c>
      <c r="H1208" s="16" t="s">
        <v>447</v>
      </c>
    </row>
    <row r="1209" ht="330.75" customHeight="1">
      <c r="A1209" s="32" t="str">
        <f>IMAGE("https://gymvisual.com/12690-catalog_default/bodyweight-standing-one-arm-row-with-towel.jpg",4,500,500)</f>
        <v/>
      </c>
      <c r="B1209" s="30">
        <v>798.0</v>
      </c>
      <c r="C1209" s="16" t="s">
        <v>1287</v>
      </c>
      <c r="D1209" s="16" t="s">
        <v>184</v>
      </c>
      <c r="E1209" s="16" t="s">
        <v>192</v>
      </c>
      <c r="F1209" s="16" t="s">
        <v>255</v>
      </c>
      <c r="G1209" s="16" t="s">
        <v>329</v>
      </c>
      <c r="H1209" s="16" t="s">
        <v>447</v>
      </c>
    </row>
    <row r="1210" ht="330.75" customHeight="1">
      <c r="A1210" s="32" t="str">
        <f>IMAGE("https://gymvisual.com/12687-catalog_default/bodyweight-standing-one-arm-row-female.jpg",4,500,500)</f>
        <v/>
      </c>
      <c r="B1210" s="30">
        <v>797.0</v>
      </c>
      <c r="C1210" s="16" t="s">
        <v>1286</v>
      </c>
      <c r="D1210" s="16" t="s">
        <v>184</v>
      </c>
      <c r="E1210" s="16" t="s">
        <v>192</v>
      </c>
      <c r="F1210" s="16" t="s">
        <v>255</v>
      </c>
      <c r="G1210" s="16" t="s">
        <v>329</v>
      </c>
      <c r="H1210" s="16" t="s">
        <v>447</v>
      </c>
    </row>
    <row r="1211" ht="330.75" customHeight="1">
      <c r="A1211" s="32" t="str">
        <f>IMAGE("https://gymvisual.com/12688-catalog_default/bodyweight-standing-one-arm-row.jpg",4,500,500)</f>
        <v/>
      </c>
      <c r="B1211" s="30">
        <v>796.0</v>
      </c>
      <c r="C1211" s="16" t="s">
        <v>1285</v>
      </c>
      <c r="D1211" s="16" t="s">
        <v>184</v>
      </c>
      <c r="E1211" s="16" t="s">
        <v>192</v>
      </c>
      <c r="F1211" s="16" t="s">
        <v>255</v>
      </c>
      <c r="G1211" s="16" t="s">
        <v>329</v>
      </c>
      <c r="H1211" s="16" t="s">
        <v>447</v>
      </c>
    </row>
    <row r="1212" ht="330.75" customHeight="1">
      <c r="A1212" s="32" t="str">
        <f>IMAGE("https://gymvisual.com/22395-catalog_default/bodyweight-standing-oblique-twist.jpg",4,500,500)</f>
        <v/>
      </c>
      <c r="B1212" s="30">
        <v>795.0</v>
      </c>
      <c r="C1212" s="16" t="s">
        <v>1284</v>
      </c>
      <c r="D1212" s="16" t="s">
        <v>184</v>
      </c>
      <c r="E1212" s="16" t="s">
        <v>254</v>
      </c>
      <c r="F1212" s="16" t="s">
        <v>255</v>
      </c>
      <c r="G1212" s="16" t="s">
        <v>220</v>
      </c>
      <c r="H1212" s="16" t="s">
        <v>220</v>
      </c>
    </row>
    <row r="1213" ht="330.75" customHeight="1">
      <c r="A1213" s="32" t="str">
        <f>IMAGE("https://gymvisual.com/22616-catalog_default/bodyweight-standing-military-press-wall-supported.jpg",4,500,500)</f>
        <v/>
      </c>
      <c r="B1213" s="30">
        <v>794.0</v>
      </c>
      <c r="C1213" s="16" t="s">
        <v>1283</v>
      </c>
      <c r="D1213" s="16" t="s">
        <v>184</v>
      </c>
      <c r="E1213" s="16" t="s">
        <v>228</v>
      </c>
      <c r="F1213" s="16" t="s">
        <v>255</v>
      </c>
      <c r="G1213" s="16" t="s">
        <v>229</v>
      </c>
      <c r="H1213" s="16" t="s">
        <v>230</v>
      </c>
    </row>
    <row r="1214" ht="330.75" customHeight="1">
      <c r="A1214" s="32" t="str">
        <f>IMAGE("https://gymvisual.com/18764-catalog_default/bodyweight-standing-military-press.jpg",4,500,500)</f>
        <v/>
      </c>
      <c r="B1214" s="30">
        <v>793.0</v>
      </c>
      <c r="C1214" s="16" t="s">
        <v>1282</v>
      </c>
      <c r="D1214" s="16" t="s">
        <v>184</v>
      </c>
      <c r="E1214" s="16" t="s">
        <v>228</v>
      </c>
      <c r="F1214" s="16" t="s">
        <v>255</v>
      </c>
      <c r="G1214" s="16" t="s">
        <v>220</v>
      </c>
      <c r="H1214" s="16" t="s">
        <v>220</v>
      </c>
    </row>
    <row r="1215" ht="330.75" customHeight="1">
      <c r="A1215" s="32" t="str">
        <f>IMAGE("https://gymvisual.com/23941-catalog_default/bodyweight-standing-fly-male.jpg",4,500,500)</f>
        <v/>
      </c>
      <c r="B1215" s="30">
        <v>792.0</v>
      </c>
      <c r="C1215" s="16" t="s">
        <v>1281</v>
      </c>
      <c r="D1215" s="16" t="s">
        <v>184</v>
      </c>
      <c r="E1215" s="16" t="s">
        <v>234</v>
      </c>
      <c r="F1215" s="16" t="s">
        <v>255</v>
      </c>
      <c r="G1215" s="16" t="s">
        <v>235</v>
      </c>
      <c r="H1215" s="16" t="s">
        <v>236</v>
      </c>
    </row>
    <row r="1216" ht="330.75" customHeight="1">
      <c r="A1216" s="32" t="str">
        <f>IMAGE("https://gymvisual.com/12685-catalog_default/bodyweight-standing-close-grip-row-female.jpg",4,500,500)</f>
        <v/>
      </c>
      <c r="B1216" s="30">
        <v>791.0</v>
      </c>
      <c r="C1216" s="16" t="s">
        <v>1280</v>
      </c>
      <c r="D1216" s="16" t="s">
        <v>184</v>
      </c>
      <c r="E1216" s="16" t="s">
        <v>192</v>
      </c>
      <c r="F1216" s="16" t="s">
        <v>255</v>
      </c>
      <c r="G1216" s="16" t="s">
        <v>329</v>
      </c>
      <c r="H1216" s="16" t="s">
        <v>447</v>
      </c>
    </row>
    <row r="1217" ht="330.75" customHeight="1">
      <c r="A1217" s="32" t="str">
        <f>IMAGE("https://gymvisual.com/25212-catalog_default/cable-kneeling-crunch.jpg",4,500,500)</f>
        <v/>
      </c>
      <c r="B1217" s="30">
        <v>790.0</v>
      </c>
      <c r="C1217" s="16" t="s">
        <v>1279</v>
      </c>
      <c r="D1217" s="16" t="s">
        <v>184</v>
      </c>
      <c r="E1217" s="16" t="s">
        <v>254</v>
      </c>
      <c r="F1217" s="16" t="s">
        <v>215</v>
      </c>
      <c r="G1217" s="16" t="s">
        <v>256</v>
      </c>
      <c r="H1217" s="16" t="s">
        <v>257</v>
      </c>
    </row>
    <row r="1218" ht="330.75" customHeight="1">
      <c r="A1218" s="32" t="str">
        <f>IMAGE("https://gymvisual.com/12683-catalog_default/bodyweight-standing-close-grip-one-arm-row-female.jpg",4,500,500)</f>
        <v/>
      </c>
      <c r="B1218" s="30">
        <v>789.0</v>
      </c>
      <c r="C1218" s="16" t="s">
        <v>1278</v>
      </c>
      <c r="D1218" s="16" t="s">
        <v>184</v>
      </c>
      <c r="E1218" s="16" t="s">
        <v>192</v>
      </c>
      <c r="F1218" s="16" t="s">
        <v>255</v>
      </c>
      <c r="G1218" s="16" t="s">
        <v>329</v>
      </c>
      <c r="H1218" s="16" t="s">
        <v>447</v>
      </c>
    </row>
    <row r="1219" ht="330.75" customHeight="1">
      <c r="A1219" s="32" t="str">
        <f>IMAGE("https://gymvisual.com/12684-catalog_default/bodyweight-standing-close-grip-one-arm-row.jpg",4,500,500)</f>
        <v/>
      </c>
      <c r="B1219" s="30">
        <v>788.0</v>
      </c>
      <c r="C1219" s="16" t="s">
        <v>1277</v>
      </c>
      <c r="D1219" s="16" t="s">
        <v>184</v>
      </c>
      <c r="E1219" s="16" t="s">
        <v>192</v>
      </c>
      <c r="F1219" s="16" t="s">
        <v>255</v>
      </c>
      <c r="G1219" s="16" t="s">
        <v>329</v>
      </c>
      <c r="H1219" s="16" t="s">
        <v>447</v>
      </c>
    </row>
    <row r="1220" ht="330.75" customHeight="1">
      <c r="A1220" s="32" t="str">
        <f>IMAGE("https://gymvisual.com/6068-catalog_default/bodyweight-standing-calf-raise.jpg",4,500,500)</f>
        <v/>
      </c>
      <c r="B1220" s="30">
        <v>787.0</v>
      </c>
      <c r="C1220" s="16" t="s">
        <v>1276</v>
      </c>
      <c r="D1220" s="16" t="s">
        <v>184</v>
      </c>
      <c r="E1220" s="16" t="s">
        <v>325</v>
      </c>
      <c r="F1220" s="16" t="s">
        <v>255</v>
      </c>
      <c r="G1220" s="16" t="s">
        <v>368</v>
      </c>
      <c r="H1220" s="16" t="s">
        <v>463</v>
      </c>
    </row>
    <row r="1221" ht="330.75" customHeight="1">
      <c r="A1221" s="32" t="str">
        <f>IMAGE("https://gymvisual.com/19407-catalog_default/bodyweight-standing-biceps-curl-version-2.jpg",4,500,500)</f>
        <v/>
      </c>
      <c r="B1221" s="30">
        <v>786.0</v>
      </c>
      <c r="C1221" s="16" t="s">
        <v>1275</v>
      </c>
      <c r="D1221" s="16" t="s">
        <v>184</v>
      </c>
      <c r="E1221" s="16" t="s">
        <v>219</v>
      </c>
      <c r="F1221" s="16" t="s">
        <v>255</v>
      </c>
      <c r="G1221" s="16" t="s">
        <v>220</v>
      </c>
      <c r="H1221" s="16" t="s">
        <v>220</v>
      </c>
    </row>
    <row r="1222" ht="330.75" customHeight="1">
      <c r="A1222" s="32" t="str">
        <f>IMAGE("https://gymvisual.com/12187-catalog_default/bodyweight-standing-biceps-curl.jpg",4,500,500)</f>
        <v/>
      </c>
      <c r="B1222" s="30">
        <v>785.0</v>
      </c>
      <c r="C1222" s="16" t="s">
        <v>1274</v>
      </c>
      <c r="D1222" s="16" t="s">
        <v>184</v>
      </c>
      <c r="E1222" s="16" t="s">
        <v>219</v>
      </c>
      <c r="F1222" s="16" t="s">
        <v>255</v>
      </c>
      <c r="G1222" s="16" t="s">
        <v>220</v>
      </c>
      <c r="H1222" s="16" t="s">
        <v>220</v>
      </c>
    </row>
    <row r="1223" ht="330.75" customHeight="1">
      <c r="A1223" s="32" t="str">
        <f>IMAGE("https://gymvisual.com/23627-catalog_default/bodyweight-standing-around-world-wall-supported.jpg",4,500,500)</f>
        <v/>
      </c>
      <c r="B1223" s="30">
        <v>784.0</v>
      </c>
      <c r="C1223" s="16" t="s">
        <v>1272</v>
      </c>
      <c r="D1223" s="16" t="s">
        <v>184</v>
      </c>
      <c r="E1223" s="16" t="s">
        <v>228</v>
      </c>
      <c r="F1223" s="16" t="s">
        <v>255</v>
      </c>
      <c r="G1223" s="16" t="s">
        <v>333</v>
      </c>
      <c r="H1223" s="16" t="s">
        <v>1273</v>
      </c>
    </row>
    <row r="1224" ht="330.75" customHeight="1">
      <c r="A1224" s="32" t="str">
        <f>IMAGE("https://gymvisual.com/12724-catalog_default/bodyweight-squatting-row-with-towel-female.jpg",4,500,500)</f>
        <v/>
      </c>
      <c r="B1224" s="30">
        <v>783.0</v>
      </c>
      <c r="C1224" s="16" t="s">
        <v>1271</v>
      </c>
      <c r="D1224" s="16" t="s">
        <v>184</v>
      </c>
      <c r="E1224" s="16" t="s">
        <v>192</v>
      </c>
      <c r="F1224" s="16" t="s">
        <v>255</v>
      </c>
      <c r="G1224" s="16" t="s">
        <v>329</v>
      </c>
      <c r="H1224" s="16" t="s">
        <v>447</v>
      </c>
    </row>
    <row r="1225" ht="330.75" customHeight="1">
      <c r="A1225" s="32" t="str">
        <f>IMAGE("https://gymvisual.com/12722-catalog_default/bodyweight-squatting-row-with-towel.jpg",4,500,500)</f>
        <v/>
      </c>
      <c r="B1225" s="30">
        <v>782.0</v>
      </c>
      <c r="C1225" s="16" t="s">
        <v>1270</v>
      </c>
      <c r="D1225" s="16" t="s">
        <v>184</v>
      </c>
      <c r="E1225" s="16" t="s">
        <v>192</v>
      </c>
      <c r="F1225" s="16" t="s">
        <v>255</v>
      </c>
      <c r="G1225" s="16" t="s">
        <v>329</v>
      </c>
      <c r="H1225" s="16" t="s">
        <v>447</v>
      </c>
    </row>
    <row r="1226" ht="330.75" customHeight="1">
      <c r="A1226" s="32" t="str">
        <f>IMAGE("https://gymvisual.com/12725-catalog_default/bodyweight-squatting-row-female.jpg",4,500,500)</f>
        <v/>
      </c>
      <c r="B1226" s="30">
        <v>781.0</v>
      </c>
      <c r="C1226" s="16" t="s">
        <v>1269</v>
      </c>
      <c r="D1226" s="16" t="s">
        <v>184</v>
      </c>
      <c r="E1226" s="16" t="s">
        <v>192</v>
      </c>
      <c r="F1226" s="16" t="s">
        <v>255</v>
      </c>
      <c r="G1226" s="16" t="s">
        <v>329</v>
      </c>
      <c r="H1226" s="16" t="s">
        <v>447</v>
      </c>
    </row>
    <row r="1227" ht="330.75" customHeight="1">
      <c r="A1227" s="32" t="str">
        <f>IMAGE("https://gymvisual.com/12723-catalog_default/bodyweight-squatting-row.jpg",4,500,500)</f>
        <v/>
      </c>
      <c r="B1227" s="30">
        <v>780.0</v>
      </c>
      <c r="C1227" s="16" t="s">
        <v>1268</v>
      </c>
      <c r="D1227" s="16" t="s">
        <v>184</v>
      </c>
      <c r="E1227" s="16" t="s">
        <v>192</v>
      </c>
      <c r="F1227" s="16" t="s">
        <v>255</v>
      </c>
      <c r="G1227" s="16" t="s">
        <v>329</v>
      </c>
      <c r="H1227" s="16" t="s">
        <v>447</v>
      </c>
    </row>
    <row r="1228" ht="330.75" customHeight="1">
      <c r="A1228" s="32" t="str">
        <f>IMAGE("https://gymvisual.com/17877-catalog_default/bodyweight-single-leg-wall-squat.jpg",4,500,500)</f>
        <v/>
      </c>
      <c r="B1228" s="30">
        <v>779.0</v>
      </c>
      <c r="C1228" s="16" t="s">
        <v>1267</v>
      </c>
      <c r="D1228" s="16" t="s">
        <v>184</v>
      </c>
      <c r="E1228" s="16" t="s">
        <v>285</v>
      </c>
      <c r="F1228" s="16" t="s">
        <v>255</v>
      </c>
      <c r="G1228" s="16" t="s">
        <v>220</v>
      </c>
      <c r="H1228" s="16" t="s">
        <v>220</v>
      </c>
    </row>
    <row r="1229" ht="330.75" customHeight="1">
      <c r="A1229" s="32" t="str">
        <f>IMAGE("https://gymvisual.com/22496-catalog_default/bodyweight-single-leg-rdl.jpg",4,500,500)</f>
        <v/>
      </c>
      <c r="B1229" s="30">
        <v>778.0</v>
      </c>
      <c r="C1229" s="16" t="s">
        <v>1266</v>
      </c>
      <c r="D1229" s="16" t="s">
        <v>184</v>
      </c>
      <c r="E1229" s="16" t="s">
        <v>185</v>
      </c>
      <c r="F1229" s="16" t="s">
        <v>255</v>
      </c>
      <c r="G1229" s="16" t="s">
        <v>220</v>
      </c>
      <c r="H1229" s="16" t="s">
        <v>220</v>
      </c>
    </row>
    <row r="1230" ht="330.75" customHeight="1">
      <c r="A1230" s="32" t="str">
        <f>IMAGE("https://gymvisual.com/25059-catalog_default/bodyweight-single-leg-kas-glute-bridge.jpg",4,500,500)</f>
        <v/>
      </c>
      <c r="B1230" s="30">
        <v>777.0</v>
      </c>
      <c r="C1230" s="16" t="s">
        <v>1265</v>
      </c>
      <c r="D1230" s="16" t="s">
        <v>184</v>
      </c>
      <c r="E1230" s="16" t="s">
        <v>185</v>
      </c>
      <c r="F1230" s="16" t="s">
        <v>255</v>
      </c>
      <c r="G1230" s="16" t="s">
        <v>220</v>
      </c>
      <c r="H1230" s="16" t="s">
        <v>220</v>
      </c>
    </row>
    <row r="1231" ht="330.75" customHeight="1">
      <c r="A1231" s="32" t="str">
        <f>IMAGE("https://gymvisual.com/22722-catalog_default/bodyweight-single-leg-deadlift.jpg",4,500,500)</f>
        <v/>
      </c>
      <c r="B1231" s="30">
        <v>776.0</v>
      </c>
      <c r="C1231" s="16" t="s">
        <v>1264</v>
      </c>
      <c r="D1231" s="16" t="s">
        <v>184</v>
      </c>
      <c r="E1231" s="16" t="s">
        <v>285</v>
      </c>
      <c r="F1231" s="16" t="s">
        <v>255</v>
      </c>
      <c r="G1231" s="16" t="s">
        <v>187</v>
      </c>
      <c r="H1231" s="16" t="s">
        <v>482</v>
      </c>
    </row>
    <row r="1232" ht="330.75" customHeight="1">
      <c r="A1232" s="32" t="str">
        <f>IMAGE("https://gymvisual.com/7621-catalog_default/bodyweight-side-lying-biceps-curl.jpg",4,500,500)</f>
        <v/>
      </c>
      <c r="B1232" s="30">
        <v>775.0</v>
      </c>
      <c r="C1232" s="16" t="s">
        <v>1263</v>
      </c>
      <c r="D1232" s="16" t="s">
        <v>184</v>
      </c>
      <c r="E1232" s="16" t="s">
        <v>219</v>
      </c>
      <c r="F1232" s="16" t="s">
        <v>255</v>
      </c>
      <c r="G1232" s="16" t="s">
        <v>220</v>
      </c>
      <c r="H1232" s="16" t="s">
        <v>220</v>
      </c>
    </row>
    <row r="1233" ht="330.75" customHeight="1">
      <c r="A1233" s="32" t="str">
        <f>IMAGE("https://gymvisual.com/18927-catalog_default/bodyweight-shrug.jpg",4,500,500)</f>
        <v/>
      </c>
      <c r="B1233" s="30">
        <v>774.0</v>
      </c>
      <c r="C1233" s="16" t="s">
        <v>1262</v>
      </c>
      <c r="D1233" s="16" t="s">
        <v>184</v>
      </c>
      <c r="E1233" s="16" t="s">
        <v>192</v>
      </c>
      <c r="F1233" s="16" t="s">
        <v>255</v>
      </c>
      <c r="G1233" s="16" t="s">
        <v>238</v>
      </c>
      <c r="H1233" s="16" t="s">
        <v>239</v>
      </c>
    </row>
    <row r="1234" ht="330.75" customHeight="1">
      <c r="A1234" s="32" t="str">
        <f>IMAGE("https://gymvisual.com/13791-catalog_default/bodyweight-row-in-doorway.jpg",4,500,500)</f>
        <v/>
      </c>
      <c r="B1234" s="30">
        <v>773.0</v>
      </c>
      <c r="C1234" s="16" t="s">
        <v>1261</v>
      </c>
      <c r="D1234" s="16" t="s">
        <v>184</v>
      </c>
      <c r="E1234" s="16" t="s">
        <v>192</v>
      </c>
      <c r="F1234" s="16" t="s">
        <v>255</v>
      </c>
      <c r="G1234" s="16" t="s">
        <v>329</v>
      </c>
      <c r="H1234" s="16" t="s">
        <v>447</v>
      </c>
    </row>
    <row r="1235" ht="330.75" customHeight="1">
      <c r="A1235" s="32" t="str">
        <f>IMAGE("https://gymvisual.com/14060-catalog_default/bodyweight-rear-lunge.jpg",4,500,500)</f>
        <v/>
      </c>
      <c r="B1235" s="30">
        <v>772.0</v>
      </c>
      <c r="C1235" s="16" t="s">
        <v>1260</v>
      </c>
      <c r="D1235" s="16" t="s">
        <v>184</v>
      </c>
      <c r="E1235" s="16" t="s">
        <v>285</v>
      </c>
      <c r="F1235" s="16" t="s">
        <v>255</v>
      </c>
      <c r="G1235" s="16" t="s">
        <v>189</v>
      </c>
      <c r="H1235" s="16" t="s">
        <v>190</v>
      </c>
    </row>
    <row r="1236" ht="330.75" customHeight="1">
      <c r="A1236" s="32" t="str">
        <f>IMAGE("https://gymvisual.com/22704-catalog_default/bodyweight-pulse-squat-female.jpg",4,500,500)</f>
        <v/>
      </c>
      <c r="B1236" s="30">
        <v>771.0</v>
      </c>
      <c r="C1236" s="16" t="s">
        <v>1259</v>
      </c>
      <c r="D1236" s="16" t="s">
        <v>184</v>
      </c>
      <c r="E1236" s="16" t="s">
        <v>285</v>
      </c>
      <c r="F1236" s="16" t="s">
        <v>255</v>
      </c>
      <c r="G1236" s="16" t="s">
        <v>189</v>
      </c>
      <c r="H1236" s="16" t="s">
        <v>190</v>
      </c>
    </row>
    <row r="1237" ht="330.75" customHeight="1">
      <c r="A1237" s="32" t="str">
        <f>IMAGE("https://gymvisual.com/14082-catalog_default/bodyweight-pulse-squat.jpg",4,500,500)</f>
        <v/>
      </c>
      <c r="B1237" s="30">
        <v>770.0</v>
      </c>
      <c r="C1237" s="16" t="s">
        <v>1258</v>
      </c>
      <c r="D1237" s="16" t="s">
        <v>184</v>
      </c>
      <c r="E1237" s="16" t="s">
        <v>294</v>
      </c>
      <c r="F1237" s="16" t="s">
        <v>255</v>
      </c>
      <c r="G1237" s="16" t="s">
        <v>189</v>
      </c>
      <c r="H1237" s="16" t="s">
        <v>190</v>
      </c>
    </row>
    <row r="1238" ht="330.75" customHeight="1">
      <c r="A1238" s="32" t="str">
        <f>IMAGE("https://gymvisual.com/23651-catalog_default/bodyweight-overhead-triceps-extension-female.jpg",4,500,500)</f>
        <v/>
      </c>
      <c r="B1238" s="30">
        <v>769.0</v>
      </c>
      <c r="C1238" s="16" t="s">
        <v>1257</v>
      </c>
      <c r="D1238" s="16" t="s">
        <v>184</v>
      </c>
      <c r="E1238" s="16" t="s">
        <v>219</v>
      </c>
      <c r="F1238" s="16" t="s">
        <v>255</v>
      </c>
      <c r="G1238" s="16" t="s">
        <v>223</v>
      </c>
      <c r="H1238" s="16" t="s">
        <v>220</v>
      </c>
    </row>
    <row r="1239" ht="330.75" customHeight="1">
      <c r="A1239" s="32" t="str">
        <f>IMAGE("https://gymvisual.com/22762-catalog_default/bodyweight-overhead-squat.jpg",4,500,500)</f>
        <v/>
      </c>
      <c r="B1239" s="30">
        <v>768.0</v>
      </c>
      <c r="C1239" s="16" t="s">
        <v>1256</v>
      </c>
      <c r="D1239" s="16" t="s">
        <v>184</v>
      </c>
      <c r="E1239" s="16" t="s">
        <v>285</v>
      </c>
      <c r="F1239" s="16" t="s">
        <v>255</v>
      </c>
      <c r="G1239" s="16" t="s">
        <v>189</v>
      </c>
      <c r="H1239" s="16" t="s">
        <v>190</v>
      </c>
    </row>
    <row r="1240" ht="330.75" customHeight="1">
      <c r="A1240" s="32" t="str">
        <f>IMAGE("https://gymvisual.com/24808-catalog_default/bodyweight-narrow-stance-squat-male.jpg",4,500,500)</f>
        <v/>
      </c>
      <c r="B1240" s="30">
        <v>767.0</v>
      </c>
      <c r="C1240" s="16" t="s">
        <v>1255</v>
      </c>
      <c r="D1240" s="16" t="s">
        <v>184</v>
      </c>
      <c r="E1240" s="16" t="s">
        <v>285</v>
      </c>
      <c r="F1240" s="16" t="s">
        <v>255</v>
      </c>
      <c r="G1240" s="16" t="s">
        <v>189</v>
      </c>
      <c r="H1240" s="16" t="s">
        <v>190</v>
      </c>
    </row>
    <row r="1241" ht="330.75" customHeight="1">
      <c r="A1241" s="32" t="str">
        <f>IMAGE("https://gymvisual.com/25651-catalog_default/bodyweight-lying-prone-ys.jpg",4,500,500)</f>
        <v/>
      </c>
      <c r="B1241" s="30">
        <v>766.0</v>
      </c>
      <c r="C1241" s="16" t="s">
        <v>1254</v>
      </c>
      <c r="D1241" s="16" t="s">
        <v>184</v>
      </c>
      <c r="E1241" s="16" t="s">
        <v>192</v>
      </c>
      <c r="F1241" s="16" t="s">
        <v>255</v>
      </c>
      <c r="G1241" s="16" t="s">
        <v>220</v>
      </c>
      <c r="H1241" s="16" t="s">
        <v>220</v>
      </c>
    </row>
    <row r="1242" ht="330.75" customHeight="1">
      <c r="A1242" s="32" t="str">
        <f>IMAGE("https://gymvisual.com/13341-catalog_default/bodyweight-kneeling-triceps-extension-female.jpg",4,500,500)</f>
        <v/>
      </c>
      <c r="B1242" s="30">
        <v>765.0</v>
      </c>
      <c r="C1242" s="16" t="s">
        <v>1253</v>
      </c>
      <c r="D1242" s="16" t="s">
        <v>184</v>
      </c>
      <c r="E1242" s="16" t="s">
        <v>219</v>
      </c>
      <c r="F1242" s="16" t="s">
        <v>255</v>
      </c>
      <c r="G1242" s="16" t="s">
        <v>223</v>
      </c>
      <c r="H1242" s="16" t="s">
        <v>220</v>
      </c>
    </row>
    <row r="1243" ht="330.75" customHeight="1">
      <c r="A1243" s="32" t="str">
        <f>IMAGE("https://gymvisual.com/7617-catalog_default/bodyweight-kneeling-triceps-extension.jpg",4,500,500)</f>
        <v/>
      </c>
      <c r="B1243" s="30">
        <v>764.0</v>
      </c>
      <c r="C1243" s="16" t="s">
        <v>1252</v>
      </c>
      <c r="D1243" s="16" t="s">
        <v>184</v>
      </c>
      <c r="E1243" s="16" t="s">
        <v>219</v>
      </c>
      <c r="F1243" s="16" t="s">
        <v>255</v>
      </c>
      <c r="G1243" s="16" t="s">
        <v>223</v>
      </c>
      <c r="H1243" s="16" t="s">
        <v>220</v>
      </c>
    </row>
    <row r="1244" ht="330.75" customHeight="1">
      <c r="A1244" s="32" t="str">
        <f>IMAGE("https://gymvisual.com/20698-catalog_default/bodyweight-kneeling-sissy-squat.jpg",4,500,500)</f>
        <v/>
      </c>
      <c r="B1244" s="30">
        <v>763.0</v>
      </c>
      <c r="C1244" s="16" t="s">
        <v>1251</v>
      </c>
      <c r="D1244" s="16" t="s">
        <v>184</v>
      </c>
      <c r="E1244" s="16" t="s">
        <v>285</v>
      </c>
      <c r="F1244" s="16" t="s">
        <v>255</v>
      </c>
      <c r="G1244" s="16" t="s">
        <v>552</v>
      </c>
      <c r="H1244" s="16" t="s">
        <v>220</v>
      </c>
    </row>
    <row r="1245" ht="330.75" customHeight="1">
      <c r="A1245" s="32" t="str">
        <f>IMAGE("https://gymvisual.com/22716-catalog_default/bodyweight-kneeling-push-up-row.jpg",4,500,500)</f>
        <v/>
      </c>
      <c r="B1245" s="30">
        <v>762.0</v>
      </c>
      <c r="C1245" s="16" t="s">
        <v>1248</v>
      </c>
      <c r="D1245" s="16" t="s">
        <v>184</v>
      </c>
      <c r="E1245" s="16" t="s">
        <v>234</v>
      </c>
      <c r="F1245" s="16" t="s">
        <v>255</v>
      </c>
      <c r="G1245" s="16" t="s">
        <v>1249</v>
      </c>
      <c r="H1245" s="16" t="s">
        <v>1250</v>
      </c>
    </row>
    <row r="1246" ht="330.75" customHeight="1">
      <c r="A1246" s="32" t="str">
        <f>IMAGE("https://gymvisual.com/23919-catalog_default/bodyweight-kneeling-hold-to-stand.jpg",4,500,500)</f>
        <v/>
      </c>
      <c r="B1246" s="30">
        <v>761.0</v>
      </c>
      <c r="C1246" s="16" t="s">
        <v>1247</v>
      </c>
      <c r="D1246" s="16" t="s">
        <v>184</v>
      </c>
      <c r="E1246" s="16" t="s">
        <v>285</v>
      </c>
      <c r="F1246" s="16" t="s">
        <v>255</v>
      </c>
      <c r="G1246" s="16" t="s">
        <v>189</v>
      </c>
      <c r="H1246" s="16" t="s">
        <v>190</v>
      </c>
    </row>
    <row r="1247" ht="330.75" customHeight="1">
      <c r="A1247" s="32" t="str">
        <f>IMAGE("https://gymvisual.com/14100-catalog_default/bodyweight-incline-side-plank.jpg",4,500,500)</f>
        <v/>
      </c>
      <c r="B1247" s="30">
        <v>760.0</v>
      </c>
      <c r="C1247" s="16" t="s">
        <v>1245</v>
      </c>
      <c r="D1247" s="16" t="s">
        <v>184</v>
      </c>
      <c r="E1247" s="16" t="s">
        <v>254</v>
      </c>
      <c r="F1247" s="16" t="s">
        <v>255</v>
      </c>
      <c r="G1247" s="16" t="s">
        <v>257</v>
      </c>
      <c r="H1247" s="16" t="s">
        <v>1246</v>
      </c>
    </row>
    <row r="1248" ht="330.75" customHeight="1">
      <c r="A1248" s="32" t="str">
        <f>IMAGE("https://gymvisual.com/24689-catalog_default/bodyweight-good-morning.jpg",4,500,500)</f>
        <v/>
      </c>
      <c r="B1248" s="30">
        <v>759.0</v>
      </c>
      <c r="C1248" s="16" t="s">
        <v>1244</v>
      </c>
      <c r="D1248" s="16" t="s">
        <v>184</v>
      </c>
      <c r="E1248" s="16" t="s">
        <v>185</v>
      </c>
      <c r="F1248" s="16" t="s">
        <v>255</v>
      </c>
      <c r="G1248" s="16" t="s">
        <v>220</v>
      </c>
      <c r="H1248" s="16" t="s">
        <v>220</v>
      </c>
    </row>
    <row r="1249" ht="330.75" customHeight="1">
      <c r="A1249" s="32" t="str">
        <f>IMAGE("https://gymvisual.com/20547-catalog_default/bodyweight-glute-dominant-step-up.jpg",4,500,500)</f>
        <v/>
      </c>
      <c r="B1249" s="30">
        <v>758.0</v>
      </c>
      <c r="C1249" s="16" t="s">
        <v>1243</v>
      </c>
      <c r="D1249" s="16" t="s">
        <v>184</v>
      </c>
      <c r="E1249" s="16" t="s">
        <v>294</v>
      </c>
      <c r="F1249" s="16" t="s">
        <v>255</v>
      </c>
      <c r="G1249" s="16" t="s">
        <v>189</v>
      </c>
      <c r="H1249" s="16" t="s">
        <v>190</v>
      </c>
    </row>
    <row r="1250" ht="330.75" customHeight="1">
      <c r="A1250" s="32" t="str">
        <f>IMAGE("https://gymvisual.com/23611-catalog_default/bodyweight-full-squat-with-overhead-press.jpg",4,500,500)</f>
        <v/>
      </c>
      <c r="B1250" s="30">
        <v>757.0</v>
      </c>
      <c r="C1250" s="16" t="s">
        <v>1242</v>
      </c>
      <c r="D1250" s="16" t="s">
        <v>184</v>
      </c>
      <c r="E1250" s="16" t="s">
        <v>321</v>
      </c>
      <c r="F1250" s="16" t="s">
        <v>255</v>
      </c>
      <c r="G1250" s="16" t="s">
        <v>220</v>
      </c>
      <c r="H1250" s="16" t="s">
        <v>220</v>
      </c>
    </row>
    <row r="1251" ht="330.75" customHeight="1">
      <c r="A1251" s="32" t="str">
        <f>IMAGE("https://gymvisual.com/12754-catalog_default/bodyweight-frog-pump.jpg",4,500,500)</f>
        <v/>
      </c>
      <c r="B1251" s="30">
        <v>756.0</v>
      </c>
      <c r="C1251" s="16" t="s">
        <v>1239</v>
      </c>
      <c r="D1251" s="16" t="s">
        <v>184</v>
      </c>
      <c r="E1251" s="16" t="s">
        <v>185</v>
      </c>
      <c r="F1251" s="16" t="s">
        <v>255</v>
      </c>
      <c r="G1251" s="16" t="s">
        <v>1240</v>
      </c>
      <c r="H1251" s="16" t="s">
        <v>1241</v>
      </c>
    </row>
    <row r="1252" ht="330.75" customHeight="1">
      <c r="A1252" s="32" t="str">
        <f>IMAGE("https://gymvisual.com/20031-catalog_default/bodyweight-forward-lunge-smaller-stance-upright-torso.jpg",4,500,500)</f>
        <v/>
      </c>
      <c r="B1252" s="30">
        <v>755.0</v>
      </c>
      <c r="C1252" s="16" t="s">
        <v>1238</v>
      </c>
      <c r="D1252" s="16" t="s">
        <v>184</v>
      </c>
      <c r="E1252" s="16" t="s">
        <v>285</v>
      </c>
      <c r="F1252" s="16" t="s">
        <v>255</v>
      </c>
      <c r="G1252" s="16" t="s">
        <v>552</v>
      </c>
      <c r="H1252" s="16" t="s">
        <v>553</v>
      </c>
    </row>
    <row r="1253" ht="330.75" customHeight="1">
      <c r="A1253" s="32" t="str">
        <f>IMAGE("https://gymvisual.com/20029-catalog_default/bodyweight-forward-lunge-hinge-at-hips.jpg",4,500,500)</f>
        <v/>
      </c>
      <c r="B1253" s="30">
        <v>754.0</v>
      </c>
      <c r="C1253" s="16" t="s">
        <v>1237</v>
      </c>
      <c r="D1253" s="16" t="s">
        <v>184</v>
      </c>
      <c r="E1253" s="16" t="s">
        <v>294</v>
      </c>
      <c r="F1253" s="16" t="s">
        <v>255</v>
      </c>
      <c r="G1253" s="16" t="s">
        <v>189</v>
      </c>
      <c r="H1253" s="16" t="s">
        <v>190</v>
      </c>
    </row>
    <row r="1254" ht="330.75" customHeight="1">
      <c r="A1254" s="32" t="str">
        <f>IMAGE("https://gymvisual.com/19215-catalog_default/bodyweight-elevanted-heel-squat.jpg",4,500,500)</f>
        <v/>
      </c>
      <c r="B1254" s="30">
        <v>753.0</v>
      </c>
      <c r="C1254" s="16" t="s">
        <v>1235</v>
      </c>
      <c r="D1254" s="16" t="s">
        <v>184</v>
      </c>
      <c r="E1254" s="16" t="s">
        <v>1236</v>
      </c>
      <c r="F1254" s="16" t="s">
        <v>255</v>
      </c>
      <c r="G1254" s="16" t="s">
        <v>220</v>
      </c>
      <c r="H1254" s="16" t="s">
        <v>220</v>
      </c>
    </row>
    <row r="1255" ht="330.75" customHeight="1">
      <c r="A1255" s="32" t="str">
        <f>IMAGE("https://gymvisual.com/17987-catalog_default/bodyweight-bent-over-rear-delt-fly.jpg",4,500,500)</f>
        <v/>
      </c>
      <c r="B1255" s="30">
        <v>752.0</v>
      </c>
      <c r="C1255" s="16" t="s">
        <v>1234</v>
      </c>
      <c r="D1255" s="16" t="s">
        <v>184</v>
      </c>
      <c r="E1255" s="16" t="s">
        <v>228</v>
      </c>
      <c r="F1255" s="16" t="s">
        <v>255</v>
      </c>
      <c r="G1255" s="16" t="s">
        <v>220</v>
      </c>
      <c r="H1255" s="16" t="s">
        <v>220</v>
      </c>
    </row>
    <row r="1256" ht="330.75" customHeight="1">
      <c r="A1256" s="32" t="str">
        <f>IMAGE("https://gymvisual.com/25061-catalog_default/bodyweight-b-stance-good-morning.jpg",4,500,500)</f>
        <v/>
      </c>
      <c r="B1256" s="30">
        <v>751.0</v>
      </c>
      <c r="C1256" s="16" t="s">
        <v>1233</v>
      </c>
      <c r="D1256" s="16" t="s">
        <v>184</v>
      </c>
      <c r="E1256" s="16" t="s">
        <v>185</v>
      </c>
      <c r="F1256" s="16" t="s">
        <v>255</v>
      </c>
      <c r="G1256" s="16" t="s">
        <v>220</v>
      </c>
      <c r="H1256" s="16" t="s">
        <v>220</v>
      </c>
    </row>
    <row r="1257" ht="330.75" customHeight="1">
      <c r="A1257" s="32" t="str">
        <f>IMAGE("https://gymvisual.com/20610-catalog_default/body-up.jpg",4,500,500)</f>
        <v/>
      </c>
      <c r="B1257" s="30">
        <v>750.0</v>
      </c>
      <c r="C1257" s="16" t="s">
        <v>1232</v>
      </c>
      <c r="D1257" s="16" t="s">
        <v>184</v>
      </c>
      <c r="E1257" s="16" t="s">
        <v>228</v>
      </c>
      <c r="F1257" s="16" t="s">
        <v>255</v>
      </c>
      <c r="G1257" s="16" t="s">
        <v>223</v>
      </c>
      <c r="H1257" s="16" t="s">
        <v>472</v>
      </c>
    </row>
    <row r="1258" ht="330.75" customHeight="1">
      <c r="A1258" s="32" t="str">
        <f>IMAGE("https://gymvisual.com/19437-catalog_default/body-saw-plank.jpg",4,500,500)</f>
        <v/>
      </c>
      <c r="B1258" s="30">
        <v>749.0</v>
      </c>
      <c r="C1258" s="16" t="s">
        <v>1229</v>
      </c>
      <c r="D1258" s="16" t="s">
        <v>184</v>
      </c>
      <c r="E1258" s="16" t="s">
        <v>228</v>
      </c>
      <c r="F1258" s="16" t="s">
        <v>255</v>
      </c>
      <c r="G1258" s="16" t="s">
        <v>1230</v>
      </c>
      <c r="H1258" s="16" t="s">
        <v>1231</v>
      </c>
    </row>
    <row r="1259" ht="330.75" customHeight="1">
      <c r="A1259" s="32" t="str">
        <f>IMAGE("https://gymvisual.com/17853-catalog_default/bird-dog-push-up.jpg",4,500,500)</f>
        <v/>
      </c>
      <c r="B1259" s="30">
        <v>748.0</v>
      </c>
      <c r="C1259" s="16" t="s">
        <v>1228</v>
      </c>
      <c r="D1259" s="16" t="s">
        <v>184</v>
      </c>
      <c r="E1259" s="16" t="s">
        <v>234</v>
      </c>
      <c r="F1259" s="16" t="s">
        <v>255</v>
      </c>
      <c r="G1259" s="16" t="s">
        <v>220</v>
      </c>
      <c r="H1259" s="16" t="s">
        <v>220</v>
      </c>
    </row>
    <row r="1260" ht="330.75" customHeight="1">
      <c r="A1260" s="32" t="str">
        <f>IMAGE("https://gymvisual.com/18921-catalog_default/bird-dog-male.jpg",4,500,500)</f>
        <v/>
      </c>
      <c r="B1260" s="30">
        <v>747.0</v>
      </c>
      <c r="C1260" s="16" t="s">
        <v>1226</v>
      </c>
      <c r="D1260" s="16" t="s">
        <v>184</v>
      </c>
      <c r="E1260" s="16" t="s">
        <v>192</v>
      </c>
      <c r="F1260" s="16" t="s">
        <v>255</v>
      </c>
      <c r="G1260" s="16" t="s">
        <v>267</v>
      </c>
      <c r="H1260" s="16" t="s">
        <v>1227</v>
      </c>
    </row>
    <row r="1261" ht="330.75" customHeight="1">
      <c r="A1261" s="32" t="str">
        <f>IMAGE("https://gymvisual.com/14187-catalog_default/bird-dog-female.jpg",4,500,500)</f>
        <v/>
      </c>
      <c r="B1261" s="30">
        <v>746.0</v>
      </c>
      <c r="C1261" s="16" t="s">
        <v>1225</v>
      </c>
      <c r="D1261" s="16" t="s">
        <v>184</v>
      </c>
      <c r="E1261" s="16" t="s">
        <v>185</v>
      </c>
      <c r="F1261" s="16" t="s">
        <v>255</v>
      </c>
      <c r="G1261" s="16" t="s">
        <v>220</v>
      </c>
      <c r="H1261" s="16" t="s">
        <v>220</v>
      </c>
    </row>
    <row r="1262" ht="330.75" customHeight="1">
      <c r="A1262" s="32" t="str">
        <f>IMAGE("https://gymvisual.com/430-catalog_default/bird-dog.jpg",4,500,500)</f>
        <v/>
      </c>
      <c r="B1262" s="30">
        <v>745.0</v>
      </c>
      <c r="C1262" s="16" t="s">
        <v>1223</v>
      </c>
      <c r="D1262" s="16" t="s">
        <v>184</v>
      </c>
      <c r="E1262" s="16" t="s">
        <v>254</v>
      </c>
      <c r="F1262" s="16" t="s">
        <v>255</v>
      </c>
      <c r="G1262" s="16" t="s">
        <v>275</v>
      </c>
      <c r="H1262" s="16" t="s">
        <v>1224</v>
      </c>
    </row>
    <row r="1263" ht="330.75" customHeight="1">
      <c r="A1263" s="32" t="str">
        <f>IMAGE("https://gymvisual.com/7619-catalog_default/biceps-leg-concentration-curl.jpg",4,500,500)</f>
        <v/>
      </c>
      <c r="B1263" s="30">
        <v>744.0</v>
      </c>
      <c r="C1263" s="16" t="s">
        <v>1222</v>
      </c>
      <c r="D1263" s="16" t="s">
        <v>184</v>
      </c>
      <c r="E1263" s="16" t="s">
        <v>219</v>
      </c>
      <c r="F1263" s="16" t="s">
        <v>255</v>
      </c>
      <c r="G1263" s="16" t="s">
        <v>241</v>
      </c>
      <c r="H1263" s="16" t="s">
        <v>292</v>
      </c>
    </row>
    <row r="1264" ht="330.75" customHeight="1">
      <c r="A1264" s="32" t="str">
        <f>IMAGE("https://gymvisual.com/16538-catalog_default/biceps-curl-with-bed-sheet.jpg",4,500,500)</f>
        <v/>
      </c>
      <c r="B1264" s="30">
        <v>743.0</v>
      </c>
      <c r="C1264" s="16" t="s">
        <v>1221</v>
      </c>
      <c r="D1264" s="16" t="s">
        <v>184</v>
      </c>
      <c r="E1264" s="16" t="s">
        <v>219</v>
      </c>
      <c r="F1264" s="16" t="s">
        <v>255</v>
      </c>
      <c r="G1264" s="16" t="s">
        <v>241</v>
      </c>
      <c r="H1264" s="16" t="s">
        <v>292</v>
      </c>
    </row>
    <row r="1265" ht="330.75" customHeight="1">
      <c r="A1265" s="32" t="str">
        <f>IMAGE("https://gymvisual.com/10207-catalog_default/biceps-curl-arms-body-wrong-right.jpg",4,500,500)</f>
        <v/>
      </c>
      <c r="B1265" s="30">
        <v>742.0</v>
      </c>
      <c r="C1265" s="16" t="s">
        <v>1220</v>
      </c>
      <c r="D1265" s="16" t="s">
        <v>184</v>
      </c>
      <c r="E1265" s="16" t="s">
        <v>219</v>
      </c>
      <c r="F1265" s="16" t="s">
        <v>222</v>
      </c>
      <c r="G1265" s="16" t="s">
        <v>220</v>
      </c>
      <c r="H1265" s="16" t="s">
        <v>220</v>
      </c>
    </row>
    <row r="1266" ht="330.75" customHeight="1">
      <c r="A1266" s="32" t="str">
        <f>IMAGE("https://gymvisual.com/19387-catalog_default/bent-over-row-with-towel.jpg",4,500,500)</f>
        <v/>
      </c>
      <c r="B1266" s="30">
        <v>741.0</v>
      </c>
      <c r="C1266" s="16" t="s">
        <v>1219</v>
      </c>
      <c r="D1266" s="16" t="s">
        <v>184</v>
      </c>
      <c r="E1266" s="16" t="s">
        <v>192</v>
      </c>
      <c r="F1266" s="16" t="s">
        <v>255</v>
      </c>
      <c r="G1266" s="16" t="s">
        <v>570</v>
      </c>
      <c r="H1266" s="16" t="s">
        <v>447</v>
      </c>
    </row>
    <row r="1267" ht="330.75" customHeight="1">
      <c r="A1267" s="32" t="str">
        <f>IMAGE("https://gymvisual.com/10186-catalog_default/bent-over-row-back-wrong-right.jpg",4,500,500)</f>
        <v/>
      </c>
      <c r="B1267" s="30">
        <v>740.0</v>
      </c>
      <c r="C1267" s="16" t="s">
        <v>1218</v>
      </c>
      <c r="D1267" s="16" t="s">
        <v>184</v>
      </c>
      <c r="E1267" s="16" t="s">
        <v>192</v>
      </c>
      <c r="F1267" s="16" t="s">
        <v>222</v>
      </c>
      <c r="G1267" s="16" t="s">
        <v>220</v>
      </c>
      <c r="H1267" s="16" t="s">
        <v>220</v>
      </c>
    </row>
    <row r="1268" ht="330.75" customHeight="1">
      <c r="A1268" s="32" t="str">
        <f>IMAGE("https://gymvisual.com/424-catalog_default/bent-knee-side-plank.jpg",4,500,500)</f>
        <v/>
      </c>
      <c r="B1268" s="30">
        <v>739.0</v>
      </c>
      <c r="C1268" s="16" t="s">
        <v>1217</v>
      </c>
      <c r="D1268" s="16" t="s">
        <v>184</v>
      </c>
      <c r="E1268" s="16" t="s">
        <v>254</v>
      </c>
      <c r="F1268" s="16" t="s">
        <v>255</v>
      </c>
      <c r="G1268" s="16" t="s">
        <v>257</v>
      </c>
      <c r="H1268" s="16" t="s">
        <v>220</v>
      </c>
    </row>
    <row r="1269" ht="330.75" customHeight="1">
      <c r="A1269" s="32" t="str">
        <f>IMAGE("https://gymvisual.com/418-catalog_default/bent-knee-lying-twist-on-stability-ball.jpg",4,500,500)</f>
        <v/>
      </c>
      <c r="B1269" s="30">
        <v>738.0</v>
      </c>
      <c r="C1269" s="16" t="s">
        <v>1216</v>
      </c>
      <c r="D1269" s="16" t="s">
        <v>184</v>
      </c>
      <c r="E1269" s="16" t="s">
        <v>254</v>
      </c>
      <c r="F1269" s="16" t="s">
        <v>399</v>
      </c>
      <c r="G1269" s="16" t="s">
        <v>257</v>
      </c>
      <c r="H1269" s="16" t="s">
        <v>220</v>
      </c>
    </row>
    <row r="1270" ht="330.75" customHeight="1">
      <c r="A1270" s="32" t="str">
        <f>IMAGE("https://gymvisual.com/13109-catalog_default/bent-knee-lying-twist.jpg",4,500,500)</f>
        <v/>
      </c>
      <c r="B1270" s="30">
        <v>737.0</v>
      </c>
      <c r="C1270" s="16" t="s">
        <v>1215</v>
      </c>
      <c r="D1270" s="16" t="s">
        <v>184</v>
      </c>
      <c r="E1270" s="16" t="s">
        <v>254</v>
      </c>
      <c r="F1270" s="16" t="s">
        <v>255</v>
      </c>
      <c r="G1270" s="16" t="s">
        <v>257</v>
      </c>
      <c r="H1270" s="16" t="s">
        <v>220</v>
      </c>
    </row>
    <row r="1271" ht="330.75" customHeight="1">
      <c r="A1271" s="32" t="str">
        <f>IMAGE("https://gymvisual.com/427-catalog_default/bent-side-knee-push-up.jpg",4,500,500)</f>
        <v/>
      </c>
      <c r="B1271" s="30">
        <v>736.0</v>
      </c>
      <c r="C1271" s="16" t="s">
        <v>1212</v>
      </c>
      <c r="D1271" s="16" t="s">
        <v>184</v>
      </c>
      <c r="E1271" s="16" t="s">
        <v>185</v>
      </c>
      <c r="F1271" s="16" t="s">
        <v>255</v>
      </c>
      <c r="G1271" s="16" t="s">
        <v>1213</v>
      </c>
      <c r="H1271" s="16" t="s">
        <v>1214</v>
      </c>
    </row>
    <row r="1272" ht="330.75" customHeight="1">
      <c r="A1272" s="32" t="str">
        <f>IMAGE("https://gymvisual.com/13339-catalog_default/bent-leg-side-kick-kneeling-male.jpg",4,500,500)</f>
        <v/>
      </c>
      <c r="B1272" s="30">
        <v>735.0</v>
      </c>
      <c r="C1272" s="16" t="s">
        <v>1211</v>
      </c>
      <c r="D1272" s="16" t="s">
        <v>184</v>
      </c>
      <c r="E1272" s="16" t="s">
        <v>185</v>
      </c>
      <c r="F1272" s="16" t="s">
        <v>255</v>
      </c>
      <c r="G1272" s="16" t="s">
        <v>475</v>
      </c>
      <c r="H1272" s="16" t="s">
        <v>476</v>
      </c>
    </row>
    <row r="1273" ht="330.75" customHeight="1">
      <c r="A1273" s="32" t="str">
        <f>IMAGE("https://gymvisual.com/6417-catalog_default/bent-leg-side-kick-kneeling.jpg",4,500,500)</f>
        <v/>
      </c>
      <c r="B1273" s="30">
        <v>734.0</v>
      </c>
      <c r="C1273" s="16" t="s">
        <v>1210</v>
      </c>
      <c r="D1273" s="16" t="s">
        <v>184</v>
      </c>
      <c r="E1273" s="16" t="s">
        <v>185</v>
      </c>
      <c r="F1273" s="16" t="s">
        <v>255</v>
      </c>
      <c r="G1273" s="16" t="s">
        <v>475</v>
      </c>
      <c r="H1273" s="16" t="s">
        <v>476</v>
      </c>
    </row>
    <row r="1274" ht="330.75" customHeight="1">
      <c r="A1274" s="32" t="str">
        <f>IMAGE("https://gymvisual.com/13337-catalog_default/bent-leg-kickback-kneeling-male.jpg",4,500,500)</f>
        <v/>
      </c>
      <c r="B1274" s="30">
        <v>733.0</v>
      </c>
      <c r="C1274" s="16" t="s">
        <v>1209</v>
      </c>
      <c r="D1274" s="16" t="s">
        <v>184</v>
      </c>
      <c r="E1274" s="16" t="s">
        <v>185</v>
      </c>
      <c r="F1274" s="16" t="s">
        <v>255</v>
      </c>
      <c r="G1274" s="16" t="s">
        <v>187</v>
      </c>
      <c r="H1274" s="16" t="s">
        <v>220</v>
      </c>
    </row>
    <row r="1275" ht="330.75" customHeight="1">
      <c r="A1275" s="32" t="str">
        <f>IMAGE("https://gymvisual.com/6415-catalog_default/bent-leg-kickback-kneeling.jpg",4,500,500)</f>
        <v/>
      </c>
      <c r="B1275" s="30">
        <v>732.0</v>
      </c>
      <c r="C1275" s="16" t="s">
        <v>1208</v>
      </c>
      <c r="D1275" s="16" t="s">
        <v>184</v>
      </c>
      <c r="E1275" s="16" t="s">
        <v>185</v>
      </c>
      <c r="F1275" s="16" t="s">
        <v>255</v>
      </c>
      <c r="G1275" s="16" t="s">
        <v>187</v>
      </c>
      <c r="H1275" s="16" t="s">
        <v>220</v>
      </c>
    </row>
    <row r="1276" ht="330.75" customHeight="1">
      <c r="A1276" s="32" t="str">
        <f>IMAGE("https://gymvisual.com/11265-catalog_default/bent-leg-circle-kick-kneeling-female.jpg",4,500,500)</f>
        <v/>
      </c>
      <c r="B1276" s="30">
        <v>731.0</v>
      </c>
      <c r="C1276" s="16" t="s">
        <v>1207</v>
      </c>
      <c r="D1276" s="16" t="s">
        <v>184</v>
      </c>
      <c r="E1276" s="16" t="s">
        <v>185</v>
      </c>
      <c r="F1276" s="16" t="s">
        <v>255</v>
      </c>
      <c r="G1276" s="16" t="s">
        <v>220</v>
      </c>
      <c r="H1276" s="16" t="s">
        <v>220</v>
      </c>
    </row>
    <row r="1277" ht="330.75" customHeight="1">
      <c r="A1277" s="32" t="str">
        <f>IMAGE("https://gymvisual.com/14368-catalog_default/bent-knee-lying-twist-male.jpg",4,500,500)</f>
        <v/>
      </c>
      <c r="B1277" s="30">
        <v>730.0</v>
      </c>
      <c r="C1277" s="16" t="s">
        <v>1205</v>
      </c>
      <c r="D1277" s="16" t="s">
        <v>184</v>
      </c>
      <c r="E1277" s="16" t="s">
        <v>185</v>
      </c>
      <c r="F1277" s="16" t="s">
        <v>255</v>
      </c>
      <c r="G1277" s="16" t="s">
        <v>475</v>
      </c>
      <c r="H1277" s="16" t="s">
        <v>1206</v>
      </c>
    </row>
    <row r="1278" ht="330.75" customHeight="1">
      <c r="A1278" s="32" t="str">
        <f>IMAGE("https://gymvisual.com/23659-catalog_default/bent-knee-back-to-side-kick-male.jpg",4,500,500)</f>
        <v/>
      </c>
      <c r="B1278" s="30">
        <v>729.0</v>
      </c>
      <c r="C1278" s="16" t="s">
        <v>1203</v>
      </c>
      <c r="D1278" s="16" t="s">
        <v>184</v>
      </c>
      <c r="E1278" s="16" t="s">
        <v>185</v>
      </c>
      <c r="F1278" s="16" t="s">
        <v>255</v>
      </c>
      <c r="G1278" s="16" t="s">
        <v>1201</v>
      </c>
      <c r="H1278" s="16" t="s">
        <v>1204</v>
      </c>
    </row>
    <row r="1279" ht="330.75" customHeight="1">
      <c r="A1279" s="32" t="str">
        <f>IMAGE("https://gymvisual.com/23653-catalog_default/bent-knee-back-to-side-kick-female.jpg",4,500,500)</f>
        <v/>
      </c>
      <c r="B1279" s="30">
        <v>728.0</v>
      </c>
      <c r="C1279" s="16" t="s">
        <v>1200</v>
      </c>
      <c r="D1279" s="16" t="s">
        <v>184</v>
      </c>
      <c r="E1279" s="16" t="s">
        <v>185</v>
      </c>
      <c r="F1279" s="16" t="s">
        <v>255</v>
      </c>
      <c r="G1279" s="16" t="s">
        <v>1201</v>
      </c>
      <c r="H1279" s="16" t="s">
        <v>1202</v>
      </c>
    </row>
    <row r="1280" ht="330.75" customHeight="1">
      <c r="A1280" s="32" t="str">
        <f>IMAGE("https://gymvisual.com/23949-catalog_default/bent-arms-chin-up.jpg",4,500,500)</f>
        <v/>
      </c>
      <c r="B1280" s="30">
        <v>727.0</v>
      </c>
      <c r="C1280" s="16" t="s">
        <v>1199</v>
      </c>
      <c r="D1280" s="16" t="s">
        <v>184</v>
      </c>
      <c r="E1280" s="16" t="s">
        <v>192</v>
      </c>
      <c r="F1280" s="16" t="s">
        <v>255</v>
      </c>
      <c r="G1280" s="16" t="s">
        <v>220</v>
      </c>
      <c r="H1280" s="16" t="s">
        <v>220</v>
      </c>
    </row>
    <row r="1281" ht="330.75" customHeight="1">
      <c r="A1281" s="32" t="str">
        <f>IMAGE("https://gymvisual.com/18256-catalog_default/bench-reverse-crunch-circle.jpg",4,500,500)</f>
        <v/>
      </c>
      <c r="B1281" s="30">
        <v>726.0</v>
      </c>
      <c r="C1281" s="16" t="s">
        <v>1196</v>
      </c>
      <c r="D1281" s="16" t="s">
        <v>184</v>
      </c>
      <c r="E1281" s="16" t="s">
        <v>310</v>
      </c>
      <c r="F1281" s="16" t="s">
        <v>255</v>
      </c>
      <c r="G1281" s="16" t="s">
        <v>1197</v>
      </c>
      <c r="H1281" s="16" t="s">
        <v>1198</v>
      </c>
    </row>
    <row r="1282" ht="330.75" customHeight="1">
      <c r="A1282" s="32" t="str">
        <f>IMAGE("https://gymvisual.com/12427-catalog_default/bench-pull-ups-female.jpg",4,500,500)</f>
        <v/>
      </c>
      <c r="B1282" s="30">
        <v>725.0</v>
      </c>
      <c r="C1282" s="16" t="s">
        <v>1195</v>
      </c>
      <c r="D1282" s="16" t="s">
        <v>184</v>
      </c>
      <c r="E1282" s="16" t="s">
        <v>192</v>
      </c>
      <c r="F1282" s="16" t="s">
        <v>255</v>
      </c>
      <c r="G1282" s="16" t="s">
        <v>300</v>
      </c>
      <c r="H1282" s="16" t="s">
        <v>387</v>
      </c>
    </row>
    <row r="1283" ht="330.75" customHeight="1">
      <c r="A1283" s="32" t="str">
        <f>IMAGE("https://gymvisual.com/12424-catalog_default/bench-pull-ups.jpg",4,500,500)</f>
        <v/>
      </c>
      <c r="B1283" s="30">
        <v>724.0</v>
      </c>
      <c r="C1283" s="16" t="s">
        <v>1194</v>
      </c>
      <c r="D1283" s="16" t="s">
        <v>184</v>
      </c>
      <c r="E1283" s="16" t="s">
        <v>192</v>
      </c>
      <c r="F1283" s="16" t="s">
        <v>255</v>
      </c>
      <c r="G1283" s="16" t="s">
        <v>300</v>
      </c>
      <c r="H1283" s="16" t="s">
        <v>387</v>
      </c>
    </row>
    <row r="1284" ht="330.75" customHeight="1">
      <c r="A1284" s="32" t="str">
        <f>IMAGE("https://gymvisual.com/415-catalog_default/bench-hip-extension.jpg",4,500,500)</f>
        <v/>
      </c>
      <c r="B1284" s="30">
        <v>723.0</v>
      </c>
      <c r="C1284" s="16" t="s">
        <v>1193</v>
      </c>
      <c r="D1284" s="16" t="s">
        <v>184</v>
      </c>
      <c r="E1284" s="16" t="s">
        <v>185</v>
      </c>
      <c r="F1284" s="16" t="s">
        <v>255</v>
      </c>
      <c r="G1284" s="16" t="s">
        <v>187</v>
      </c>
      <c r="H1284" s="16" t="s">
        <v>188</v>
      </c>
    </row>
    <row r="1285" ht="330.75" customHeight="1">
      <c r="A1285" s="32" t="str">
        <f>IMAGE("https://gymvisual.com/11239-catalog_default/bench-full-squat-female.jpg",4,500,500)</f>
        <v/>
      </c>
      <c r="B1285" s="30">
        <v>722.0</v>
      </c>
      <c r="C1285" s="16" t="s">
        <v>1192</v>
      </c>
      <c r="D1285" s="16" t="s">
        <v>184</v>
      </c>
      <c r="E1285" s="16" t="s">
        <v>294</v>
      </c>
      <c r="F1285" s="16" t="s">
        <v>255</v>
      </c>
      <c r="G1285" s="16" t="s">
        <v>220</v>
      </c>
      <c r="H1285" s="16" t="s">
        <v>220</v>
      </c>
    </row>
    <row r="1286" ht="330.75" customHeight="1">
      <c r="A1286" s="32" t="str">
        <f>IMAGE("https://gymvisual.com/18925-catalog_default/bench-dip-with-legs-on-bench.jpg",4,500,500)</f>
        <v/>
      </c>
      <c r="B1286" s="30">
        <v>721.0</v>
      </c>
      <c r="C1286" s="16" t="s">
        <v>1191</v>
      </c>
      <c r="D1286" s="16" t="s">
        <v>184</v>
      </c>
      <c r="E1286" s="16" t="s">
        <v>219</v>
      </c>
      <c r="F1286" s="16" t="s">
        <v>255</v>
      </c>
      <c r="G1286" s="16" t="s">
        <v>223</v>
      </c>
      <c r="H1286" s="16" t="s">
        <v>1188</v>
      </c>
    </row>
    <row r="1287" ht="330.75" customHeight="1">
      <c r="A1287" s="32" t="str">
        <f>IMAGE("https://gymvisual.com/24286-catalog_default/bench-dip-on-stability-ball.jpg",4,500,500)</f>
        <v/>
      </c>
      <c r="B1287" s="30">
        <v>720.0</v>
      </c>
      <c r="C1287" s="16" t="s">
        <v>1189</v>
      </c>
      <c r="D1287" s="16" t="s">
        <v>184</v>
      </c>
      <c r="E1287" s="16" t="s">
        <v>219</v>
      </c>
      <c r="F1287" s="16" t="s">
        <v>255</v>
      </c>
      <c r="G1287" s="16" t="s">
        <v>223</v>
      </c>
      <c r="H1287" s="16" t="s">
        <v>1190</v>
      </c>
    </row>
    <row r="1288" ht="330.75" customHeight="1">
      <c r="A1288" s="32" t="str">
        <f>IMAGE("https://gymvisual.com/18779-catalog_default/bench-dip-on-floor-version-2.jpg",4,500,500)</f>
        <v/>
      </c>
      <c r="B1288" s="30">
        <v>719.0</v>
      </c>
      <c r="C1288" s="16" t="s">
        <v>1187</v>
      </c>
      <c r="D1288" s="16" t="s">
        <v>184</v>
      </c>
      <c r="E1288" s="16" t="s">
        <v>219</v>
      </c>
      <c r="F1288" s="16" t="s">
        <v>255</v>
      </c>
      <c r="G1288" s="16" t="s">
        <v>223</v>
      </c>
      <c r="H1288" s="16" t="s">
        <v>1188</v>
      </c>
    </row>
    <row r="1289" ht="330.75" customHeight="1">
      <c r="A1289" s="32" t="str">
        <f>IMAGE("https://gymvisual.com/20672-catalog_default/bench-dip-on-floor-female.jpg",4,500,500)</f>
        <v/>
      </c>
      <c r="B1289" s="30">
        <v>718.0</v>
      </c>
      <c r="C1289" s="16" t="s">
        <v>1186</v>
      </c>
      <c r="D1289" s="16" t="s">
        <v>184</v>
      </c>
      <c r="E1289" s="16" t="s">
        <v>219</v>
      </c>
      <c r="F1289" s="16" t="s">
        <v>255</v>
      </c>
      <c r="G1289" s="16" t="s">
        <v>223</v>
      </c>
      <c r="H1289" s="16" t="s">
        <v>394</v>
      </c>
    </row>
    <row r="1290" ht="330.75" customHeight="1">
      <c r="A1290" s="32" t="str">
        <f>IMAGE("https://gymvisual.com/6240-catalog_default/bench-dip-on-floor.jpg",4,500,500)</f>
        <v/>
      </c>
      <c r="B1290" s="30">
        <v>717.0</v>
      </c>
      <c r="C1290" s="16" t="s">
        <v>1185</v>
      </c>
      <c r="D1290" s="16" t="s">
        <v>184</v>
      </c>
      <c r="E1290" s="16" t="s">
        <v>219</v>
      </c>
      <c r="F1290" s="16" t="s">
        <v>255</v>
      </c>
      <c r="G1290" s="16" t="s">
        <v>223</v>
      </c>
      <c r="H1290" s="16" t="s">
        <v>394</v>
      </c>
    </row>
    <row r="1291" ht="330.75" customHeight="1">
      <c r="A1291" s="32" t="str">
        <f>IMAGE("https://gymvisual.com/10192-catalog_default/bench-dip-back-arms-wrong-right.jpg",4,500,500)</f>
        <v/>
      </c>
      <c r="B1291" s="30">
        <v>716.0</v>
      </c>
      <c r="C1291" s="16" t="s">
        <v>1184</v>
      </c>
      <c r="D1291" s="16" t="s">
        <v>184</v>
      </c>
      <c r="E1291" s="16" t="s">
        <v>219</v>
      </c>
      <c r="F1291" s="16" t="s">
        <v>255</v>
      </c>
      <c r="G1291" s="16" t="s">
        <v>220</v>
      </c>
      <c r="H1291" s="16" t="s">
        <v>220</v>
      </c>
    </row>
    <row r="1292" ht="330.75" customHeight="1">
      <c r="A1292" s="32" t="str">
        <f>IMAGE("https://gymvisual.com/10303-catalog_default/bench-dip-knees-bent-female.jpg",4,500,500)</f>
        <v/>
      </c>
      <c r="B1292" s="30">
        <v>715.0</v>
      </c>
      <c r="C1292" s="16" t="s">
        <v>1182</v>
      </c>
      <c r="D1292" s="16" t="s">
        <v>184</v>
      </c>
      <c r="E1292" s="16" t="s">
        <v>219</v>
      </c>
      <c r="F1292" s="16" t="s">
        <v>255</v>
      </c>
      <c r="G1292" s="16" t="s">
        <v>223</v>
      </c>
      <c r="H1292" s="16" t="s">
        <v>1183</v>
      </c>
    </row>
    <row r="1293" ht="330.75" customHeight="1">
      <c r="A1293" s="32" t="str">
        <f>IMAGE("https://gymvisual.com/412-catalog_default/bench-dip-knees-bent.jpg",4,500,500)</f>
        <v/>
      </c>
      <c r="B1293" s="30">
        <v>714.0</v>
      </c>
      <c r="C1293" s="16" t="s">
        <v>1180</v>
      </c>
      <c r="D1293" s="16" t="s">
        <v>184</v>
      </c>
      <c r="E1293" s="16" t="s">
        <v>219</v>
      </c>
      <c r="F1293" s="16" t="s">
        <v>255</v>
      </c>
      <c r="G1293" s="16" t="s">
        <v>223</v>
      </c>
      <c r="H1293" s="16" t="s">
        <v>1181</v>
      </c>
    </row>
    <row r="1294" ht="330.75" customHeight="1">
      <c r="A1294" s="32" t="str">
        <f>IMAGE("https://gymvisual.com/13705-catalog_default/battling-ropes-side-to-side-arms.jpg",4,500,500)</f>
        <v/>
      </c>
      <c r="B1294" s="30">
        <v>713.0</v>
      </c>
      <c r="C1294" s="16" t="s">
        <v>1179</v>
      </c>
      <c r="D1294" s="16" t="s">
        <v>184</v>
      </c>
      <c r="E1294" s="16" t="s">
        <v>1177</v>
      </c>
      <c r="F1294" s="16" t="s">
        <v>1163</v>
      </c>
      <c r="G1294" s="16" t="s">
        <v>220</v>
      </c>
      <c r="H1294" s="16" t="s">
        <v>220</v>
      </c>
    </row>
    <row r="1295" ht="330.75" customHeight="1">
      <c r="A1295" s="32" t="str">
        <f>IMAGE("https://gymvisual.com/13717-catalog_default/battling-ropes-russian-twist.jpg",4,500,500)</f>
        <v/>
      </c>
      <c r="B1295" s="30">
        <v>712.0</v>
      </c>
      <c r="C1295" s="16" t="s">
        <v>1178</v>
      </c>
      <c r="D1295" s="16" t="s">
        <v>184</v>
      </c>
      <c r="E1295" s="16" t="s">
        <v>254</v>
      </c>
      <c r="F1295" s="16" t="s">
        <v>1163</v>
      </c>
      <c r="G1295" s="16" t="s">
        <v>220</v>
      </c>
      <c r="H1295" s="16" t="s">
        <v>220</v>
      </c>
    </row>
    <row r="1296" ht="330.75" customHeight="1">
      <c r="A1296" s="32" t="str">
        <f>IMAGE("https://gymvisual.com/13731-catalog_default/battling-ropes-power-slam.jpg",4,500,500)</f>
        <v/>
      </c>
      <c r="B1296" s="30">
        <v>711.0</v>
      </c>
      <c r="C1296" s="16" t="s">
        <v>1176</v>
      </c>
      <c r="D1296" s="16" t="s">
        <v>184</v>
      </c>
      <c r="E1296" s="16" t="s">
        <v>1177</v>
      </c>
      <c r="F1296" s="16" t="s">
        <v>1163</v>
      </c>
      <c r="G1296" s="16" t="s">
        <v>220</v>
      </c>
      <c r="H1296" s="16" t="s">
        <v>220</v>
      </c>
    </row>
    <row r="1297" ht="330.75" customHeight="1">
      <c r="A1297" s="32" t="str">
        <f>IMAGE("https://gymvisual.com/13711-catalog_default/battling-ropes-outside-circle.jpg",4,500,500)</f>
        <v/>
      </c>
      <c r="B1297" s="30">
        <v>710.0</v>
      </c>
      <c r="C1297" s="16" t="s">
        <v>1175</v>
      </c>
      <c r="D1297" s="16" t="s">
        <v>184</v>
      </c>
      <c r="E1297" s="16" t="s">
        <v>1172</v>
      </c>
      <c r="F1297" s="16" t="s">
        <v>1163</v>
      </c>
      <c r="G1297" s="16" t="s">
        <v>220</v>
      </c>
      <c r="H1297" s="16" t="s">
        <v>220</v>
      </c>
    </row>
    <row r="1298" ht="330.75" customHeight="1">
      <c r="A1298" s="32" t="str">
        <f>IMAGE("https://gymvisual.com/13723-catalog_default/battling-ropes-low-waves.jpg",4,500,500)</f>
        <v/>
      </c>
      <c r="B1298" s="30">
        <v>709.0</v>
      </c>
      <c r="C1298" s="16" t="s">
        <v>1173</v>
      </c>
      <c r="D1298" s="16" t="s">
        <v>184</v>
      </c>
      <c r="E1298" s="16" t="s">
        <v>1174</v>
      </c>
      <c r="F1298" s="16" t="s">
        <v>1163</v>
      </c>
      <c r="G1298" s="16" t="s">
        <v>220</v>
      </c>
      <c r="H1298" s="16" t="s">
        <v>220</v>
      </c>
    </row>
    <row r="1299" ht="330.75" customHeight="1">
      <c r="A1299" s="32" t="str">
        <f>IMAGE("https://gymvisual.com/13709-catalog_default/battling-ropes-inside-circle.jpg",4,500,500)</f>
        <v/>
      </c>
      <c r="B1299" s="30">
        <v>708.0</v>
      </c>
      <c r="C1299" s="16" t="s">
        <v>1171</v>
      </c>
      <c r="D1299" s="16" t="s">
        <v>184</v>
      </c>
      <c r="E1299" s="16" t="s">
        <v>1172</v>
      </c>
      <c r="F1299" s="16" t="s">
        <v>1163</v>
      </c>
      <c r="G1299" s="16" t="s">
        <v>220</v>
      </c>
      <c r="H1299" s="16" t="s">
        <v>220</v>
      </c>
    </row>
    <row r="1300" ht="330.75" customHeight="1">
      <c r="A1300" s="32" t="str">
        <f>IMAGE("https://gymvisual.com/13721-catalog_default/battling-ropes-high-waves.jpg",4,500,500)</f>
        <v/>
      </c>
      <c r="B1300" s="30">
        <v>707.0</v>
      </c>
      <c r="C1300" s="16" t="s">
        <v>1169</v>
      </c>
      <c r="D1300" s="16" t="s">
        <v>184</v>
      </c>
      <c r="E1300" s="16" t="s">
        <v>1170</v>
      </c>
      <c r="F1300" s="16" t="s">
        <v>1163</v>
      </c>
      <c r="G1300" s="16" t="s">
        <v>220</v>
      </c>
      <c r="H1300" s="16" t="s">
        <v>220</v>
      </c>
    </row>
    <row r="1301" ht="330.75" customHeight="1">
      <c r="A1301" s="32" t="str">
        <f>IMAGE("https://gymvisual.com/13713-catalog_default/battling-ropes-fly.jpg",4,500,500)</f>
        <v/>
      </c>
      <c r="B1301" s="30">
        <v>706.0</v>
      </c>
      <c r="C1301" s="16" t="s">
        <v>1167</v>
      </c>
      <c r="D1301" s="16" t="s">
        <v>184</v>
      </c>
      <c r="E1301" s="16" t="s">
        <v>1168</v>
      </c>
      <c r="F1301" s="16" t="s">
        <v>1163</v>
      </c>
      <c r="G1301" s="16" t="s">
        <v>220</v>
      </c>
      <c r="H1301" s="16" t="s">
        <v>220</v>
      </c>
    </row>
    <row r="1302" ht="330.75" customHeight="1">
      <c r="A1302" s="32" t="str">
        <f>IMAGE("https://gymvisual.com/13701-catalog_default/battling-ropes-alternate-arms-squat.jpg",4,500,500)</f>
        <v/>
      </c>
      <c r="B1302" s="30">
        <v>705.0</v>
      </c>
      <c r="C1302" s="16" t="s">
        <v>1166</v>
      </c>
      <c r="D1302" s="16" t="s">
        <v>184</v>
      </c>
      <c r="E1302" s="16" t="s">
        <v>1165</v>
      </c>
      <c r="F1302" s="16" t="s">
        <v>1163</v>
      </c>
      <c r="G1302" s="16" t="s">
        <v>220</v>
      </c>
      <c r="H1302" s="16" t="s">
        <v>220</v>
      </c>
    </row>
    <row r="1303" ht="330.75" customHeight="1">
      <c r="A1303" s="32" t="str">
        <f>IMAGE("https://gymvisual.com/13707-catalog_default/battling-ropes-alternate-arms-side-lunge.jpg",4,500,500)</f>
        <v/>
      </c>
      <c r="B1303" s="30">
        <v>704.0</v>
      </c>
      <c r="C1303" s="16" t="s">
        <v>1164</v>
      </c>
      <c r="D1303" s="16" t="s">
        <v>184</v>
      </c>
      <c r="E1303" s="16" t="s">
        <v>1165</v>
      </c>
      <c r="F1303" s="16" t="s">
        <v>1163</v>
      </c>
      <c r="G1303" s="16" t="s">
        <v>220</v>
      </c>
      <c r="H1303" s="16" t="s">
        <v>220</v>
      </c>
    </row>
    <row r="1304" ht="330.75" customHeight="1">
      <c r="A1304" s="32" t="str">
        <f>IMAGE("https://gymvisual.com/11254-catalog_default/battling-ropes-female.jpg",4,500,500)</f>
        <v/>
      </c>
      <c r="B1304" s="30">
        <v>703.0</v>
      </c>
      <c r="C1304" s="16" t="s">
        <v>1161</v>
      </c>
      <c r="D1304" s="16" t="s">
        <v>184</v>
      </c>
      <c r="E1304" s="16" t="s">
        <v>1162</v>
      </c>
      <c r="F1304" s="16" t="s">
        <v>1163</v>
      </c>
      <c r="G1304" s="16" t="s">
        <v>220</v>
      </c>
      <c r="H1304" s="16" t="s">
        <v>220</v>
      </c>
    </row>
    <row r="1305" ht="330.75" customHeight="1">
      <c r="A1305" s="32" t="str">
        <f>IMAGE("https://gymvisual.com/9415-catalog_default/battling-ropes.jpg",4,500,500)</f>
        <v/>
      </c>
      <c r="B1305" s="30">
        <v>702.0</v>
      </c>
      <c r="C1305" s="16" t="s">
        <v>1159</v>
      </c>
      <c r="D1305" s="16" t="s">
        <v>184</v>
      </c>
      <c r="E1305" s="16" t="s">
        <v>228</v>
      </c>
      <c r="F1305" s="16" t="s">
        <v>1160</v>
      </c>
      <c r="G1305" s="16" t="s">
        <v>408</v>
      </c>
      <c r="H1305" s="16" t="s">
        <v>490</v>
      </c>
    </row>
    <row r="1306" ht="330.75" customHeight="1">
      <c r="A1306" s="32" t="str">
        <f>IMAGE("https://gymvisual.com/406-catalog_default/barbell-zercher-squat.jpg",4,500,500)</f>
        <v/>
      </c>
      <c r="B1306" s="30">
        <v>701.0</v>
      </c>
      <c r="C1306" s="16" t="s">
        <v>1158</v>
      </c>
      <c r="D1306" s="16" t="s">
        <v>184</v>
      </c>
      <c r="E1306" s="16" t="s">
        <v>185</v>
      </c>
      <c r="F1306" s="16" t="s">
        <v>186</v>
      </c>
      <c r="G1306" s="16" t="s">
        <v>189</v>
      </c>
      <c r="H1306" s="16" t="s">
        <v>190</v>
      </c>
    </row>
    <row r="1307" ht="330.75" customHeight="1">
      <c r="A1307" s="32" t="str">
        <f>IMAGE("https://gymvisual.com/25019-catalog_default/barbell-zercher-deadlift.jpg",4,500,500)</f>
        <v/>
      </c>
      <c r="B1307" s="30">
        <v>700.0</v>
      </c>
      <c r="C1307" s="16" t="s">
        <v>1157</v>
      </c>
      <c r="D1307" s="16" t="s">
        <v>184</v>
      </c>
      <c r="E1307" s="16" t="s">
        <v>185</v>
      </c>
      <c r="F1307" s="16" t="s">
        <v>186</v>
      </c>
      <c r="G1307" s="16" t="s">
        <v>220</v>
      </c>
      <c r="H1307" s="16" t="s">
        <v>220</v>
      </c>
    </row>
    <row r="1308" ht="330.75" customHeight="1">
      <c r="A1308" s="32" t="str">
        <f>IMAGE("https://gymvisual.com/12177-catalog_default/barbell-zercher-carry.jpg",4,500,500)</f>
        <v/>
      </c>
      <c r="B1308" s="30">
        <v>699.0</v>
      </c>
      <c r="C1308" s="16" t="s">
        <v>1156</v>
      </c>
      <c r="D1308" s="16" t="s">
        <v>184</v>
      </c>
      <c r="E1308" s="16" t="s">
        <v>285</v>
      </c>
      <c r="F1308" s="16" t="s">
        <v>186</v>
      </c>
      <c r="G1308" s="16" t="s">
        <v>220</v>
      </c>
      <c r="H1308" s="16" t="s">
        <v>220</v>
      </c>
    </row>
    <row r="1309" ht="330.75" customHeight="1">
      <c r="A1309" s="32" t="str">
        <f>IMAGE("https://gymvisual.com/22416-catalog_default/barbell-z-press.jpg",4,500,500)</f>
        <v/>
      </c>
      <c r="B1309" s="30">
        <v>698.0</v>
      </c>
      <c r="C1309" s="16" t="s">
        <v>1155</v>
      </c>
      <c r="D1309" s="16" t="s">
        <v>184</v>
      </c>
      <c r="E1309" s="16" t="s">
        <v>228</v>
      </c>
      <c r="F1309" s="16" t="s">
        <v>186</v>
      </c>
      <c r="G1309" s="16" t="s">
        <v>220</v>
      </c>
      <c r="H1309" s="16" t="s">
        <v>220</v>
      </c>
    </row>
    <row r="1310" ht="330.75" customHeight="1">
      <c r="A1310" s="32" t="str">
        <f>IMAGE("https://gymvisual.com/400-catalog_default/barbell-wrist-curl-version-2.jpg",4,500,500)</f>
        <v/>
      </c>
      <c r="B1310" s="30">
        <v>697.0</v>
      </c>
      <c r="C1310" s="16" t="s">
        <v>1154</v>
      </c>
      <c r="D1310" s="16" t="s">
        <v>184</v>
      </c>
      <c r="E1310" s="16" t="s">
        <v>214</v>
      </c>
      <c r="F1310" s="16" t="s">
        <v>186</v>
      </c>
      <c r="G1310" s="16" t="s">
        <v>720</v>
      </c>
      <c r="H1310" s="16" t="s">
        <v>220</v>
      </c>
    </row>
    <row r="1311" ht="330.75" customHeight="1">
      <c r="A1311" s="32" t="str">
        <f>IMAGE("https://gymvisual.com/13335-catalog_default/barbell-wrist-curl-female.jpg",4,500,500)</f>
        <v/>
      </c>
      <c r="B1311" s="30">
        <v>696.0</v>
      </c>
      <c r="C1311" s="16" t="s">
        <v>1153</v>
      </c>
      <c r="D1311" s="16" t="s">
        <v>184</v>
      </c>
      <c r="E1311" s="16" t="s">
        <v>214</v>
      </c>
      <c r="F1311" s="16" t="s">
        <v>186</v>
      </c>
      <c r="G1311" s="16" t="s">
        <v>720</v>
      </c>
      <c r="H1311" s="16" t="s">
        <v>220</v>
      </c>
    </row>
    <row r="1312" ht="330.75" customHeight="1">
      <c r="A1312" s="32" t="str">
        <f>IMAGE("https://gymvisual.com/403-catalog_default/barbell-wrist-curl.jpg",4,500,500)</f>
        <v/>
      </c>
      <c r="B1312" s="30">
        <v>695.0</v>
      </c>
      <c r="C1312" s="16" t="s">
        <v>1152</v>
      </c>
      <c r="D1312" s="16" t="s">
        <v>184</v>
      </c>
      <c r="E1312" s="16" t="s">
        <v>214</v>
      </c>
      <c r="F1312" s="16" t="s">
        <v>186</v>
      </c>
      <c r="G1312" s="16" t="s">
        <v>720</v>
      </c>
      <c r="H1312" s="16" t="s">
        <v>220</v>
      </c>
    </row>
    <row r="1313" ht="330.75" customHeight="1">
      <c r="A1313" s="32" t="str">
        <f>IMAGE("https://gymvisual.com/394-catalog_default/barbell-wide-grip-upright-row.jpg",4,500,500)</f>
        <v/>
      </c>
      <c r="B1313" s="30">
        <v>694.0</v>
      </c>
      <c r="C1313" s="16" t="s">
        <v>1150</v>
      </c>
      <c r="D1313" s="16" t="s">
        <v>184</v>
      </c>
      <c r="E1313" s="16" t="s">
        <v>228</v>
      </c>
      <c r="F1313" s="16" t="s">
        <v>186</v>
      </c>
      <c r="G1313" s="16" t="s">
        <v>544</v>
      </c>
      <c r="H1313" s="16" t="s">
        <v>1151</v>
      </c>
    </row>
    <row r="1314" ht="330.75" customHeight="1">
      <c r="A1314" s="32" t="str">
        <f>IMAGE("https://gymvisual.com/10533-catalog_default/barbell-wide-grip-drag-curl.jpg",4,500,500)</f>
        <v/>
      </c>
      <c r="B1314" s="30">
        <v>693.0</v>
      </c>
      <c r="C1314" s="16" t="s">
        <v>1149</v>
      </c>
      <c r="D1314" s="16" t="s">
        <v>184</v>
      </c>
      <c r="E1314" s="16" t="s">
        <v>219</v>
      </c>
      <c r="F1314" s="16" t="s">
        <v>186</v>
      </c>
      <c r="G1314" s="16" t="s">
        <v>241</v>
      </c>
      <c r="H1314" s="16" t="s">
        <v>242</v>
      </c>
    </row>
    <row r="1315" ht="330.75" customHeight="1">
      <c r="A1315" s="32" t="str">
        <f>IMAGE("https://gymvisual.com/6792-catalog_default/barbell-wide-stance-stiff-leg-deadlift.jpg",4,500,500)</f>
        <v/>
      </c>
      <c r="B1315" s="30">
        <v>692.0</v>
      </c>
      <c r="C1315" s="16" t="s">
        <v>1148</v>
      </c>
      <c r="D1315" s="16" t="s">
        <v>184</v>
      </c>
      <c r="E1315" s="16" t="s">
        <v>185</v>
      </c>
      <c r="F1315" s="16" t="s">
        <v>186</v>
      </c>
      <c r="G1315" s="16" t="s">
        <v>220</v>
      </c>
      <c r="H1315" s="16" t="s">
        <v>220</v>
      </c>
    </row>
    <row r="1316" ht="330.75" customHeight="1">
      <c r="A1316" s="32" t="str">
        <f>IMAGE("https://gymvisual.com/11125-catalog_default/barbell-wide-squat-female.jpg",4,500,500)</f>
        <v/>
      </c>
      <c r="B1316" s="30">
        <v>691.0</v>
      </c>
      <c r="C1316" s="16" t="s">
        <v>1147</v>
      </c>
      <c r="D1316" s="16" t="s">
        <v>184</v>
      </c>
      <c r="E1316" s="16" t="s">
        <v>294</v>
      </c>
      <c r="F1316" s="16" t="s">
        <v>186</v>
      </c>
      <c r="G1316" s="16" t="s">
        <v>220</v>
      </c>
      <c r="H1316" s="16" t="s">
        <v>220</v>
      </c>
    </row>
    <row r="1317" ht="330.75" customHeight="1">
      <c r="A1317" s="32" t="str">
        <f>IMAGE("https://gymvisual.com/24918-catalog_default/barbell-wide-squat.jpg",4,500,500)</f>
        <v/>
      </c>
      <c r="B1317" s="30">
        <v>690.0</v>
      </c>
      <c r="C1317" s="16" t="s">
        <v>1146</v>
      </c>
      <c r="D1317" s="16" t="s">
        <v>184</v>
      </c>
      <c r="E1317" s="16" t="s">
        <v>285</v>
      </c>
      <c r="F1317" s="16" t="s">
        <v>186</v>
      </c>
      <c r="G1317" s="16" t="s">
        <v>552</v>
      </c>
      <c r="H1317" s="16" t="s">
        <v>553</v>
      </c>
    </row>
    <row r="1318" ht="330.75" customHeight="1">
      <c r="A1318" s="32" t="str">
        <f>IMAGE("https://gymvisual.com/20413-catalog_default/barbell-wide-shrug.jpg",4,500,500)</f>
        <v/>
      </c>
      <c r="B1318" s="30">
        <v>689.0</v>
      </c>
      <c r="C1318" s="16" t="s">
        <v>1145</v>
      </c>
      <c r="D1318" s="16" t="s">
        <v>184</v>
      </c>
      <c r="E1318" s="16" t="s">
        <v>192</v>
      </c>
      <c r="F1318" s="16" t="s">
        <v>186</v>
      </c>
      <c r="G1318" s="16" t="s">
        <v>238</v>
      </c>
      <c r="H1318" s="16" t="s">
        <v>239</v>
      </c>
    </row>
    <row r="1319" ht="330.75" customHeight="1">
      <c r="A1319" s="32" t="str">
        <f>IMAGE("https://gymvisual.com/5947-catalog_default/barbell-wide-reverse-grip-bench-press.jpg",4,500,500)</f>
        <v/>
      </c>
      <c r="B1319" s="30">
        <v>688.0</v>
      </c>
      <c r="C1319" s="16" t="s">
        <v>823</v>
      </c>
      <c r="D1319" s="16" t="s">
        <v>184</v>
      </c>
      <c r="E1319" s="16" t="s">
        <v>234</v>
      </c>
      <c r="F1319" s="16" t="s">
        <v>186</v>
      </c>
      <c r="G1319" s="16" t="s">
        <v>347</v>
      </c>
      <c r="H1319" s="16" t="s">
        <v>382</v>
      </c>
    </row>
    <row r="1320" ht="330.75" customHeight="1">
      <c r="A1320" s="32" t="str">
        <f>IMAGE("https://gymvisual.com/18752-catalog_default/barbell-wide-pullover.jpg",4,500,500)</f>
        <v/>
      </c>
      <c r="B1320" s="30">
        <v>687.0</v>
      </c>
      <c r="C1320" s="16" t="s">
        <v>1144</v>
      </c>
      <c r="D1320" s="16" t="s">
        <v>184</v>
      </c>
      <c r="E1320" s="16" t="s">
        <v>192</v>
      </c>
      <c r="F1320" s="16" t="s">
        <v>186</v>
      </c>
      <c r="G1320" s="16" t="s">
        <v>220</v>
      </c>
      <c r="H1320" s="16" t="s">
        <v>220</v>
      </c>
    </row>
    <row r="1321" ht="330.75" customHeight="1">
      <c r="A1321" s="32" t="str">
        <f>IMAGE("https://gymvisual.com/14254-catalog_default/barbell-wide-grip-upright-row-female.jpg",4,500,500)</f>
        <v/>
      </c>
      <c r="B1321" s="30">
        <v>686.0</v>
      </c>
      <c r="C1321" s="16" t="s">
        <v>1142</v>
      </c>
      <c r="D1321" s="16" t="s">
        <v>184</v>
      </c>
      <c r="E1321" s="16" t="s">
        <v>228</v>
      </c>
      <c r="F1321" s="16" t="s">
        <v>186</v>
      </c>
      <c r="G1321" s="16" t="s">
        <v>544</v>
      </c>
      <c r="H1321" s="16" t="s">
        <v>1143</v>
      </c>
    </row>
    <row r="1322" ht="330.75" customHeight="1">
      <c r="A1322" s="32" t="str">
        <f>IMAGE("https://gymvisual.com/391-catalog_default/barbell-wide-bench-press.jpg",4,500,500)</f>
        <v/>
      </c>
      <c r="B1322" s="30">
        <v>685.0</v>
      </c>
      <c r="C1322" s="16" t="s">
        <v>1141</v>
      </c>
      <c r="D1322" s="16" t="s">
        <v>184</v>
      </c>
      <c r="E1322" s="16" t="s">
        <v>234</v>
      </c>
      <c r="F1322" s="16" t="s">
        <v>186</v>
      </c>
      <c r="G1322" s="16" t="s">
        <v>347</v>
      </c>
      <c r="H1322" s="16" t="s">
        <v>382</v>
      </c>
    </row>
    <row r="1323" ht="330.75" customHeight="1">
      <c r="A1323" s="32" t="str">
        <f>IMAGE("https://gymvisual.com/13561-catalog_default/barbell-weightlifting-complex.jpg",4,500,500)</f>
        <v/>
      </c>
      <c r="B1323" s="30">
        <v>684.0</v>
      </c>
      <c r="C1323" s="16" t="s">
        <v>1139</v>
      </c>
      <c r="D1323" s="16" t="s">
        <v>184</v>
      </c>
      <c r="E1323" s="16" t="s">
        <v>691</v>
      </c>
      <c r="F1323" s="16" t="s">
        <v>186</v>
      </c>
      <c r="G1323" s="16" t="s">
        <v>793</v>
      </c>
      <c r="H1323" s="16" t="s">
        <v>1140</v>
      </c>
    </row>
    <row r="1324" ht="330.75" customHeight="1">
      <c r="A1324" s="32" t="str">
        <f>IMAGE("https://gymvisual.com/13159-catalog_default/barbell-weighted-front-chest-squat.jpg",4,500,500)</f>
        <v/>
      </c>
      <c r="B1324" s="30">
        <v>683.0</v>
      </c>
      <c r="C1324" s="16" t="s">
        <v>1138</v>
      </c>
      <c r="D1324" s="16" t="s">
        <v>184</v>
      </c>
      <c r="E1324" s="16" t="s">
        <v>285</v>
      </c>
      <c r="F1324" s="16" t="s">
        <v>186</v>
      </c>
      <c r="G1324" s="16" t="s">
        <v>189</v>
      </c>
      <c r="H1324" s="16" t="s">
        <v>314</v>
      </c>
    </row>
    <row r="1325" ht="330.75" customHeight="1">
      <c r="A1325" s="32" t="str">
        <f>IMAGE("https://gymvisual.com/13157-catalog_default/barbell-weighted-deadlift.jpg",4,500,500)</f>
        <v/>
      </c>
      <c r="B1325" s="30">
        <v>682.0</v>
      </c>
      <c r="C1325" s="16" t="s">
        <v>1137</v>
      </c>
      <c r="D1325" s="16" t="s">
        <v>184</v>
      </c>
      <c r="E1325" s="16" t="s">
        <v>185</v>
      </c>
      <c r="F1325" s="16" t="s">
        <v>186</v>
      </c>
      <c r="G1325" s="16" t="s">
        <v>189</v>
      </c>
      <c r="H1325" s="16" t="s">
        <v>314</v>
      </c>
    </row>
    <row r="1326" ht="330.75" customHeight="1">
      <c r="A1326" s="32" t="str">
        <f>IMAGE("https://gymvisual.com/26128-catalog_default/barbell-weighted-chains-sumo-deadlift.jpg",4,500,500)</f>
        <v/>
      </c>
      <c r="B1326" s="30">
        <v>681.0</v>
      </c>
      <c r="C1326" s="16" t="s">
        <v>1136</v>
      </c>
      <c r="D1326" s="16" t="s">
        <v>184</v>
      </c>
      <c r="E1326" s="16" t="s">
        <v>185</v>
      </c>
      <c r="F1326" s="16" t="s">
        <v>186</v>
      </c>
      <c r="G1326" s="16" t="s">
        <v>220</v>
      </c>
      <c r="H1326" s="16" t="s">
        <v>220</v>
      </c>
    </row>
    <row r="1327" ht="330.75" customHeight="1">
      <c r="A1327" s="32" t="str">
        <f>IMAGE("https://gymvisual.com/13161-catalog_default/barbell-weighted-bench-press.jpg",4,500,500)</f>
        <v/>
      </c>
      <c r="B1327" s="30">
        <v>680.0</v>
      </c>
      <c r="C1327" s="16" t="s">
        <v>1135</v>
      </c>
      <c r="D1327" s="16" t="s">
        <v>184</v>
      </c>
      <c r="E1327" s="16" t="s">
        <v>234</v>
      </c>
      <c r="F1327" s="16" t="s">
        <v>186</v>
      </c>
      <c r="G1327" s="16" t="s">
        <v>235</v>
      </c>
      <c r="H1327" s="16" t="s">
        <v>243</v>
      </c>
    </row>
    <row r="1328" ht="330.75" customHeight="1">
      <c r="A1328" s="32" t="str">
        <f>IMAGE("https://gymvisual.com/24788-catalog_default/barbell-upright-row-version-3.jpg",4,500,500)</f>
        <v/>
      </c>
      <c r="B1328" s="30">
        <v>679.0</v>
      </c>
      <c r="C1328" s="16" t="s">
        <v>1134</v>
      </c>
      <c r="D1328" s="16" t="s">
        <v>184</v>
      </c>
      <c r="E1328" s="16" t="s">
        <v>228</v>
      </c>
      <c r="F1328" s="16" t="s">
        <v>186</v>
      </c>
      <c r="G1328" s="16" t="s">
        <v>544</v>
      </c>
      <c r="H1328" s="16" t="s">
        <v>713</v>
      </c>
    </row>
    <row r="1329" ht="330.75" customHeight="1">
      <c r="A1329" s="32" t="str">
        <f>IMAGE("https://gymvisual.com/382-catalog_default/barbell-upright-row-version-2.jpg",4,500,500)</f>
        <v/>
      </c>
      <c r="B1329" s="30">
        <v>678.0</v>
      </c>
      <c r="C1329" s="16" t="s">
        <v>1132</v>
      </c>
      <c r="D1329" s="16" t="s">
        <v>184</v>
      </c>
      <c r="E1329" s="16" t="s">
        <v>228</v>
      </c>
      <c r="F1329" s="16" t="s">
        <v>186</v>
      </c>
      <c r="G1329" s="16" t="s">
        <v>544</v>
      </c>
      <c r="H1329" s="16" t="s">
        <v>1133</v>
      </c>
    </row>
    <row r="1330" ht="330.75" customHeight="1">
      <c r="A1330" s="32" t="str">
        <f>IMAGE("https://gymvisual.com/9601-catalog_default/barbell-upright-row-female.jpg",4,500,500)</f>
        <v/>
      </c>
      <c r="B1330" s="30">
        <v>677.0</v>
      </c>
      <c r="C1330" s="16" t="s">
        <v>1131</v>
      </c>
      <c r="D1330" s="16" t="s">
        <v>184</v>
      </c>
      <c r="E1330" s="16" t="s">
        <v>228</v>
      </c>
      <c r="F1330" s="16" t="s">
        <v>186</v>
      </c>
      <c r="G1330" s="16" t="s">
        <v>220</v>
      </c>
      <c r="H1330" s="16" t="s">
        <v>220</v>
      </c>
    </row>
    <row r="1331" ht="330.75" customHeight="1">
      <c r="A1331" s="32" t="str">
        <f>IMAGE("https://gymvisual.com/385-catalog_default/barbell-upright-row.jpg",4,500,500)</f>
        <v/>
      </c>
      <c r="B1331" s="30">
        <v>676.0</v>
      </c>
      <c r="C1331" s="16" t="s">
        <v>50</v>
      </c>
      <c r="D1331" s="16" t="s">
        <v>184</v>
      </c>
      <c r="E1331" s="16" t="s">
        <v>228</v>
      </c>
      <c r="F1331" s="16" t="s">
        <v>186</v>
      </c>
      <c r="G1331" s="16" t="s">
        <v>544</v>
      </c>
      <c r="H1331" s="16" t="s">
        <v>713</v>
      </c>
    </row>
    <row r="1332" ht="330.75" customHeight="1">
      <c r="A1332" s="32" t="str">
        <f>IMAGE("https://gymvisual.com/13547-catalog_default/barbell-thruster.jpg",4,500,500)</f>
        <v/>
      </c>
      <c r="B1332" s="30">
        <v>675.0</v>
      </c>
      <c r="C1332" s="16" t="s">
        <v>1128</v>
      </c>
      <c r="D1332" s="16" t="s">
        <v>184</v>
      </c>
      <c r="E1332" s="16" t="s">
        <v>1129</v>
      </c>
      <c r="F1332" s="16" t="s">
        <v>186</v>
      </c>
      <c r="G1332" s="16" t="s">
        <v>793</v>
      </c>
      <c r="H1332" s="16" t="s">
        <v>1130</v>
      </c>
    </row>
    <row r="1333" ht="330.75" customHeight="1">
      <c r="A1333" s="32" t="str">
        <f>IMAGE("https://gymvisual.com/15659-catalog_default/barbell-sumo-squat.jpg",4,500,500)</f>
        <v/>
      </c>
      <c r="B1333" s="30">
        <v>674.0</v>
      </c>
      <c r="C1333" s="16" t="s">
        <v>1126</v>
      </c>
      <c r="D1333" s="16" t="s">
        <v>184</v>
      </c>
      <c r="E1333" s="16" t="s">
        <v>285</v>
      </c>
      <c r="F1333" s="16" t="s">
        <v>186</v>
      </c>
      <c r="G1333" s="16" t="s">
        <v>189</v>
      </c>
      <c r="H1333" s="16" t="s">
        <v>1127</v>
      </c>
    </row>
    <row r="1334" ht="330.75" customHeight="1">
      <c r="A1334" s="32" t="str">
        <f>IMAGE("https://gymvisual.com/16394-catalog_default/barbell-sumo-romanian-deadlift.jpg",4,500,500)</f>
        <v/>
      </c>
      <c r="B1334" s="30">
        <v>673.0</v>
      </c>
      <c r="C1334" s="16" t="s">
        <v>1125</v>
      </c>
      <c r="D1334" s="16" t="s">
        <v>184</v>
      </c>
      <c r="E1334" s="16" t="s">
        <v>185</v>
      </c>
      <c r="F1334" s="16" t="s">
        <v>186</v>
      </c>
      <c r="G1334" s="16" t="s">
        <v>267</v>
      </c>
      <c r="H1334" s="16" t="s">
        <v>975</v>
      </c>
    </row>
    <row r="1335" ht="330.75" customHeight="1">
      <c r="A1335" s="32" t="str">
        <f>IMAGE("https://gymvisual.com/22412-catalog_default/barbell-sumo-deadlift-from-deficit.jpg",4,500,500)</f>
        <v/>
      </c>
      <c r="B1335" s="30">
        <v>672.0</v>
      </c>
      <c r="C1335" s="16" t="s">
        <v>1124</v>
      </c>
      <c r="D1335" s="16" t="s">
        <v>184</v>
      </c>
      <c r="E1335" s="16" t="s">
        <v>185</v>
      </c>
      <c r="F1335" s="16" t="s">
        <v>186</v>
      </c>
      <c r="G1335" s="16" t="s">
        <v>220</v>
      </c>
      <c r="H1335" s="16" t="s">
        <v>220</v>
      </c>
    </row>
    <row r="1336" ht="330.75" customHeight="1">
      <c r="A1336" s="32" t="str">
        <f>IMAGE("https://gymvisual.com/17915-catalog_default/barbell-sumo-deadlift-from-blocks-male.jpg",4,500,500)</f>
        <v/>
      </c>
      <c r="B1336" s="30">
        <v>671.0</v>
      </c>
      <c r="C1336" s="16" t="s">
        <v>1123</v>
      </c>
      <c r="D1336" s="16" t="s">
        <v>184</v>
      </c>
      <c r="E1336" s="16" t="s">
        <v>185</v>
      </c>
      <c r="F1336" s="16" t="s">
        <v>186</v>
      </c>
      <c r="G1336" s="16" t="s">
        <v>220</v>
      </c>
      <c r="H1336" s="16" t="s">
        <v>220</v>
      </c>
    </row>
    <row r="1337" ht="330.75" customHeight="1">
      <c r="A1337" s="32" t="str">
        <f>IMAGE("https://gymvisual.com/11122-catalog_default/barbell-sumo-deadlift-female.jpg",4,500,500)</f>
        <v/>
      </c>
      <c r="B1337" s="30">
        <v>670.0</v>
      </c>
      <c r="C1337" s="16" t="s">
        <v>1122</v>
      </c>
      <c r="D1337" s="16" t="s">
        <v>184</v>
      </c>
      <c r="E1337" s="16" t="s">
        <v>294</v>
      </c>
      <c r="F1337" s="16" t="s">
        <v>186</v>
      </c>
      <c r="G1337" s="16" t="s">
        <v>189</v>
      </c>
      <c r="H1337" s="16" t="s">
        <v>1121</v>
      </c>
    </row>
    <row r="1338" ht="330.75" customHeight="1">
      <c r="A1338" s="32" t="str">
        <f>IMAGE("https://gymvisual.com/24726-catalog_default/barbell-sumo-deadlift.jpg",4,500,500)</f>
        <v/>
      </c>
      <c r="B1338" s="30">
        <v>669.0</v>
      </c>
      <c r="C1338" s="16" t="s">
        <v>1120</v>
      </c>
      <c r="D1338" s="16" t="s">
        <v>184</v>
      </c>
      <c r="E1338" s="16" t="s">
        <v>185</v>
      </c>
      <c r="F1338" s="16" t="s">
        <v>186</v>
      </c>
      <c r="G1338" s="16" t="s">
        <v>189</v>
      </c>
      <c r="H1338" s="16" t="s">
        <v>1121</v>
      </c>
    </row>
    <row r="1339" ht="330.75" customHeight="1">
      <c r="A1339" s="32" t="str">
        <f>IMAGE("https://gymvisual.com/12180-catalog_default/barbell-suitcase-carry.jpg",4,500,500)</f>
        <v/>
      </c>
      <c r="B1339" s="30">
        <v>668.0</v>
      </c>
      <c r="C1339" s="16" t="s">
        <v>1119</v>
      </c>
      <c r="D1339" s="16" t="s">
        <v>184</v>
      </c>
      <c r="E1339" s="16" t="s">
        <v>285</v>
      </c>
      <c r="F1339" s="16" t="s">
        <v>186</v>
      </c>
      <c r="G1339" s="16" t="s">
        <v>220</v>
      </c>
      <c r="H1339" s="16" t="s">
        <v>220</v>
      </c>
    </row>
    <row r="1340" ht="330.75" customHeight="1">
      <c r="A1340" s="32" t="str">
        <f>IMAGE("https://gymvisual.com/14252-catalog_default/barbell-straight-leg-deadlift-female.jpg",4,500,500)</f>
        <v/>
      </c>
      <c r="B1340" s="30">
        <v>667.0</v>
      </c>
      <c r="C1340" s="16" t="s">
        <v>1118</v>
      </c>
      <c r="D1340" s="16" t="s">
        <v>184</v>
      </c>
      <c r="E1340" s="16" t="s">
        <v>185</v>
      </c>
      <c r="F1340" s="16" t="s">
        <v>186</v>
      </c>
      <c r="G1340" s="16" t="s">
        <v>267</v>
      </c>
      <c r="H1340" s="16" t="s">
        <v>188</v>
      </c>
    </row>
    <row r="1341" ht="330.75" customHeight="1">
      <c r="A1341" s="32" t="str">
        <f>IMAGE("https://gymvisual.com/15635-catalog_default/barbell-straight-leg-deadlift.jpg",4,500,500)</f>
        <v/>
      </c>
      <c r="B1341" s="30">
        <v>666.0</v>
      </c>
      <c r="C1341" s="16" t="s">
        <v>1117</v>
      </c>
      <c r="D1341" s="16" t="s">
        <v>184</v>
      </c>
      <c r="E1341" s="16" t="s">
        <v>285</v>
      </c>
      <c r="F1341" s="16" t="s">
        <v>186</v>
      </c>
      <c r="G1341" s="16" t="s">
        <v>227</v>
      </c>
      <c r="H1341" s="16" t="s">
        <v>857</v>
      </c>
    </row>
    <row r="1342" ht="330.75" customHeight="1">
      <c r="A1342" s="32" t="str">
        <f>IMAGE("https://gymvisual.com/6791-catalog_default/barbell-stiff-legged-deadlift.jpg",4,500,500)</f>
        <v/>
      </c>
      <c r="B1342" s="30">
        <v>665.0</v>
      </c>
      <c r="C1342" s="16" t="s">
        <v>1116</v>
      </c>
      <c r="D1342" s="16" t="s">
        <v>184</v>
      </c>
      <c r="E1342" s="16" t="s">
        <v>185</v>
      </c>
      <c r="F1342" s="16" t="s">
        <v>186</v>
      </c>
      <c r="G1342" s="16" t="s">
        <v>267</v>
      </c>
      <c r="H1342" s="16" t="s">
        <v>188</v>
      </c>
    </row>
    <row r="1343" ht="330.75" customHeight="1">
      <c r="A1343" s="32" t="str">
        <f>IMAGE("https://gymvisual.com/370-catalog_default/barbell-stiff-leg-good-morning.jpg",4,500,500)</f>
        <v/>
      </c>
      <c r="B1343" s="30">
        <v>664.0</v>
      </c>
      <c r="C1343" s="16" t="s">
        <v>1113</v>
      </c>
      <c r="D1343" s="16" t="s">
        <v>184</v>
      </c>
      <c r="E1343" s="16" t="s">
        <v>285</v>
      </c>
      <c r="F1343" s="16" t="s">
        <v>186</v>
      </c>
      <c r="G1343" s="16" t="s">
        <v>1114</v>
      </c>
      <c r="H1343" s="16" t="s">
        <v>1115</v>
      </c>
    </row>
    <row r="1344" ht="330.75" customHeight="1">
      <c r="A1344" s="32" t="str">
        <f>IMAGE("https://gymvisual.com/6790-catalog_default/barbell-stiff-leg-deadlift-on-bench.jpg",4,500,500)</f>
        <v/>
      </c>
      <c r="B1344" s="30">
        <v>663.0</v>
      </c>
      <c r="C1344" s="16" t="s">
        <v>1112</v>
      </c>
      <c r="D1344" s="16" t="s">
        <v>184</v>
      </c>
      <c r="E1344" s="16" t="s">
        <v>185</v>
      </c>
      <c r="F1344" s="16" t="s">
        <v>186</v>
      </c>
      <c r="G1344" s="16" t="s">
        <v>220</v>
      </c>
      <c r="H1344" s="16" t="s">
        <v>220</v>
      </c>
    </row>
    <row r="1345" ht="330.75" customHeight="1">
      <c r="A1345" s="32" t="str">
        <f>IMAGE("https://gymvisual.com/367-catalog_default/barbell-step-up.jpg",4,500,500)</f>
        <v/>
      </c>
      <c r="B1345" s="30">
        <v>662.0</v>
      </c>
      <c r="C1345" s="16" t="s">
        <v>1111</v>
      </c>
      <c r="D1345" s="16" t="s">
        <v>184</v>
      </c>
      <c r="E1345" s="16" t="s">
        <v>285</v>
      </c>
      <c r="F1345" s="16" t="s">
        <v>186</v>
      </c>
      <c r="G1345" s="16" t="s">
        <v>189</v>
      </c>
      <c r="H1345" s="16" t="s">
        <v>190</v>
      </c>
    </row>
    <row r="1346" ht="330.75" customHeight="1">
      <c r="A1346" s="32" t="str">
        <f>IMAGE("https://gymvisual.com/11074-catalog_default/barbell-step-up-female.jpg",4,500,500)</f>
        <v/>
      </c>
      <c r="B1346" s="30">
        <v>661.0</v>
      </c>
      <c r="C1346" s="16" t="s">
        <v>1110</v>
      </c>
      <c r="D1346" s="16" t="s">
        <v>184</v>
      </c>
      <c r="E1346" s="16" t="s">
        <v>294</v>
      </c>
      <c r="F1346" s="16" t="s">
        <v>186</v>
      </c>
      <c r="G1346" s="16" t="s">
        <v>220</v>
      </c>
      <c r="H1346" s="16" t="s">
        <v>220</v>
      </c>
    </row>
    <row r="1347" ht="330.75" customHeight="1">
      <c r="A1347" s="32" t="str">
        <f>IMAGE("https://gymvisual.com/364-catalog_default/barbell-standing-wide-grip-curl.jpg",4,500,500)</f>
        <v/>
      </c>
      <c r="B1347" s="30">
        <v>660.0</v>
      </c>
      <c r="C1347" s="16" t="s">
        <v>1109</v>
      </c>
      <c r="D1347" s="16" t="s">
        <v>184</v>
      </c>
      <c r="E1347" s="16" t="s">
        <v>219</v>
      </c>
      <c r="F1347" s="16" t="s">
        <v>186</v>
      </c>
      <c r="G1347" s="16" t="s">
        <v>217</v>
      </c>
      <c r="H1347" s="16" t="s">
        <v>216</v>
      </c>
    </row>
    <row r="1348" ht="330.75" customHeight="1">
      <c r="A1348" s="32" t="str">
        <f>IMAGE("https://gymvisual.com/13333-catalog_default/barbell-standing-wide-military-press-female.jpg",4,500,500)</f>
        <v/>
      </c>
      <c r="B1348" s="30">
        <v>659.0</v>
      </c>
      <c r="C1348" s="16" t="s">
        <v>1108</v>
      </c>
      <c r="D1348" s="16" t="s">
        <v>184</v>
      </c>
      <c r="E1348" s="16" t="s">
        <v>228</v>
      </c>
      <c r="F1348" s="16" t="s">
        <v>186</v>
      </c>
      <c r="G1348" s="16" t="s">
        <v>220</v>
      </c>
      <c r="H1348" s="16" t="s">
        <v>220</v>
      </c>
    </row>
    <row r="1349" ht="330.75" customHeight="1">
      <c r="A1349" s="32" t="str">
        <f>IMAGE("https://gymvisual.com/6488-catalog_default/barbell-standing-wide-military-press.jpg",4,500,500)</f>
        <v/>
      </c>
      <c r="B1349" s="30">
        <v>658.0</v>
      </c>
      <c r="C1349" s="16" t="s">
        <v>1107</v>
      </c>
      <c r="D1349" s="16" t="s">
        <v>184</v>
      </c>
      <c r="E1349" s="16" t="s">
        <v>228</v>
      </c>
      <c r="F1349" s="16" t="s">
        <v>186</v>
      </c>
      <c r="G1349" s="16" t="s">
        <v>229</v>
      </c>
      <c r="H1349" s="16" t="s">
        <v>230</v>
      </c>
    </row>
    <row r="1350" ht="330.75" customHeight="1">
      <c r="A1350" s="32" t="str">
        <f>IMAGE("https://gymvisual.com/10025-catalog_default/barbell-standing-wide-grip-biceps-curl.jpg",4,500,500)</f>
        <v/>
      </c>
      <c r="B1350" s="30">
        <v>657.0</v>
      </c>
      <c r="C1350" s="16" t="s">
        <v>1106</v>
      </c>
      <c r="D1350" s="16" t="s">
        <v>184</v>
      </c>
      <c r="E1350" s="16" t="s">
        <v>219</v>
      </c>
      <c r="F1350" s="16" t="s">
        <v>186</v>
      </c>
      <c r="G1350" s="16" t="s">
        <v>241</v>
      </c>
      <c r="H1350" s="16" t="s">
        <v>232</v>
      </c>
    </row>
    <row r="1351" ht="330.75" customHeight="1">
      <c r="A1351" s="32" t="str">
        <f>IMAGE("https://gymvisual.com/9820-catalog_default/barbell-standing-twist-female.jpg",4,500,500)</f>
        <v/>
      </c>
      <c r="B1351" s="30">
        <v>656.0</v>
      </c>
      <c r="C1351" s="16" t="s">
        <v>1105</v>
      </c>
      <c r="D1351" s="16" t="s">
        <v>184</v>
      </c>
      <c r="E1351" s="16" t="s">
        <v>254</v>
      </c>
      <c r="F1351" s="16" t="s">
        <v>186</v>
      </c>
      <c r="G1351" s="16" t="s">
        <v>257</v>
      </c>
      <c r="H1351" s="16" t="s">
        <v>271</v>
      </c>
    </row>
    <row r="1352" ht="330.75" customHeight="1">
      <c r="A1352" s="32" t="str">
        <f>IMAGE("https://gymvisual.com/361-catalog_default/barbell-standing-twist.jpg",4,500,500)</f>
        <v/>
      </c>
      <c r="B1352" s="30">
        <v>655.0</v>
      </c>
      <c r="C1352" s="16" t="s">
        <v>1104</v>
      </c>
      <c r="D1352" s="16" t="s">
        <v>184</v>
      </c>
      <c r="E1352" s="16" t="s">
        <v>254</v>
      </c>
      <c r="F1352" s="16" t="s">
        <v>186</v>
      </c>
      <c r="G1352" s="16" t="s">
        <v>257</v>
      </c>
      <c r="H1352" s="16" t="s">
        <v>271</v>
      </c>
    </row>
    <row r="1353" ht="330.75" customHeight="1">
      <c r="A1353" s="32" t="str">
        <f>IMAGE("https://gymvisual.com/22408-catalog_default/barbell-standing-snatch-grip-shrug.jpg",4,500,500)</f>
        <v/>
      </c>
      <c r="B1353" s="30">
        <v>654.0</v>
      </c>
      <c r="C1353" s="16" t="s">
        <v>1103</v>
      </c>
      <c r="D1353" s="16" t="s">
        <v>184</v>
      </c>
      <c r="E1353" s="16" t="s">
        <v>192</v>
      </c>
      <c r="F1353" s="16" t="s">
        <v>186</v>
      </c>
      <c r="G1353" s="16" t="s">
        <v>220</v>
      </c>
      <c r="H1353" s="16" t="s">
        <v>220</v>
      </c>
    </row>
    <row r="1354" ht="330.75" customHeight="1">
      <c r="A1354" s="32" t="str">
        <f>IMAGE("https://gymvisual.com/24926-catalog_default/barbell-standing-shoulders-press.jpg",4,500,500)</f>
        <v/>
      </c>
      <c r="B1354" s="30">
        <v>653.0</v>
      </c>
      <c r="C1354" s="16" t="s">
        <v>1102</v>
      </c>
      <c r="D1354" s="16" t="s">
        <v>184</v>
      </c>
      <c r="E1354" s="16" t="s">
        <v>228</v>
      </c>
      <c r="F1354" s="16" t="s">
        <v>186</v>
      </c>
      <c r="G1354" s="16" t="s">
        <v>229</v>
      </c>
      <c r="H1354" s="16" t="s">
        <v>230</v>
      </c>
    </row>
    <row r="1355" ht="330.75" customHeight="1">
      <c r="A1355" s="32" t="str">
        <f>IMAGE("https://gymvisual.com/25015-catalog_default/barbell-standing-shoulder-pin-press.jpg",4,500,500)</f>
        <v/>
      </c>
      <c r="B1355" s="30">
        <v>652.0</v>
      </c>
      <c r="C1355" s="16" t="s">
        <v>1101</v>
      </c>
      <c r="D1355" s="16" t="s">
        <v>184</v>
      </c>
      <c r="E1355" s="16" t="s">
        <v>228</v>
      </c>
      <c r="F1355" s="16" t="s">
        <v>186</v>
      </c>
      <c r="G1355" s="16" t="s">
        <v>220</v>
      </c>
      <c r="H1355" s="16" t="s">
        <v>220</v>
      </c>
    </row>
    <row r="1356" ht="330.75" customHeight="1">
      <c r="A1356" s="32" t="str">
        <f>IMAGE("https://gymvisual.com/358-catalog_default/barbell-standing-rocking-leg-calf-raise.jpg",4,500,500)</f>
        <v/>
      </c>
      <c r="B1356" s="30">
        <v>651.0</v>
      </c>
      <c r="C1356" s="16" t="s">
        <v>1099</v>
      </c>
      <c r="D1356" s="16" t="s">
        <v>184</v>
      </c>
      <c r="E1356" s="16" t="s">
        <v>325</v>
      </c>
      <c r="F1356" s="16" t="s">
        <v>186</v>
      </c>
      <c r="G1356" s="16" t="s">
        <v>1100</v>
      </c>
      <c r="H1356" s="16" t="s">
        <v>463</v>
      </c>
    </row>
    <row r="1357" ht="330.75" customHeight="1">
      <c r="A1357" s="32" t="str">
        <f>IMAGE("https://gymvisual.com/355-catalog_default/barbell-standing-reverse-grip-curl.jpg",4,500,500)</f>
        <v/>
      </c>
      <c r="B1357" s="30">
        <v>650.0</v>
      </c>
      <c r="C1357" s="16" t="s">
        <v>1098</v>
      </c>
      <c r="D1357" s="16" t="s">
        <v>184</v>
      </c>
      <c r="E1357" s="16" t="s">
        <v>214</v>
      </c>
      <c r="F1357" s="16" t="s">
        <v>186</v>
      </c>
      <c r="G1357" s="16" t="s">
        <v>216</v>
      </c>
      <c r="H1357" s="16" t="s">
        <v>217</v>
      </c>
    </row>
    <row r="1358" ht="330.75" customHeight="1">
      <c r="A1358" s="32" t="str">
        <f>IMAGE("https://gymvisual.com/11363-catalog_default/barbell-standing-overhead-triceps-extension-female.jpg",4,500,500)</f>
        <v/>
      </c>
      <c r="B1358" s="30">
        <v>649.0</v>
      </c>
      <c r="C1358" s="16" t="s">
        <v>1097</v>
      </c>
      <c r="D1358" s="16" t="s">
        <v>184</v>
      </c>
      <c r="E1358" s="16" t="s">
        <v>219</v>
      </c>
      <c r="F1358" s="16" t="s">
        <v>186</v>
      </c>
      <c r="G1358" s="16" t="s">
        <v>223</v>
      </c>
      <c r="H1358" s="16" t="s">
        <v>220</v>
      </c>
    </row>
    <row r="1359" ht="330.75" customHeight="1">
      <c r="A1359" s="32" t="str">
        <f>IMAGE("https://gymvisual.com/352-catalog_default/barbell-standing-overhead-triceps-extension.jpg",4,500,500)</f>
        <v/>
      </c>
      <c r="B1359" s="30">
        <v>648.0</v>
      </c>
      <c r="C1359" s="16" t="s">
        <v>1096</v>
      </c>
      <c r="D1359" s="16" t="s">
        <v>184</v>
      </c>
      <c r="E1359" s="16" t="s">
        <v>219</v>
      </c>
      <c r="F1359" s="16" t="s">
        <v>186</v>
      </c>
      <c r="G1359" s="16" t="s">
        <v>223</v>
      </c>
      <c r="H1359" s="16" t="s">
        <v>220</v>
      </c>
    </row>
    <row r="1360" ht="330.75" customHeight="1">
      <c r="A1360" s="32" t="str">
        <f>IMAGE("https://gymvisual.com/20646-catalog_default/barbell-standing-military-press-without-rack.jpg",4,500,500)</f>
        <v/>
      </c>
      <c r="B1360" s="30">
        <v>647.0</v>
      </c>
      <c r="C1360" s="16" t="s">
        <v>1095</v>
      </c>
      <c r="D1360" s="16" t="s">
        <v>184</v>
      </c>
      <c r="E1360" s="16" t="s">
        <v>228</v>
      </c>
      <c r="F1360" s="16" t="s">
        <v>186</v>
      </c>
      <c r="G1360" s="16" t="s">
        <v>229</v>
      </c>
      <c r="H1360" s="16" t="s">
        <v>626</v>
      </c>
    </row>
    <row r="1361" ht="330.75" customHeight="1">
      <c r="A1361" s="32" t="str">
        <f>IMAGE("https://gymvisual.com/4375-catalog_default/barbell-standing-military-press.jpg",4,500,500)</f>
        <v/>
      </c>
      <c r="B1361" s="30">
        <v>646.0</v>
      </c>
      <c r="C1361" s="16" t="s">
        <v>1094</v>
      </c>
      <c r="D1361" s="16" t="s">
        <v>184</v>
      </c>
      <c r="E1361" s="16" t="s">
        <v>228</v>
      </c>
      <c r="F1361" s="16" t="s">
        <v>186</v>
      </c>
      <c r="G1361" s="16" t="s">
        <v>229</v>
      </c>
      <c r="H1361" s="16" t="s">
        <v>626</v>
      </c>
    </row>
    <row r="1362" ht="330.75" customHeight="1">
      <c r="A1362" s="32" t="str">
        <f>IMAGE("https://gymvisual.com/349-catalog_default/barbell-standing-leg-calf-raise.jpg",4,500,500)</f>
        <v/>
      </c>
      <c r="B1362" s="30">
        <v>645.0</v>
      </c>
      <c r="C1362" s="16" t="s">
        <v>1093</v>
      </c>
      <c r="D1362" s="16" t="s">
        <v>184</v>
      </c>
      <c r="E1362" s="16" t="s">
        <v>325</v>
      </c>
      <c r="F1362" s="16" t="s">
        <v>186</v>
      </c>
      <c r="G1362" s="16" t="s">
        <v>368</v>
      </c>
      <c r="H1362" s="16" t="s">
        <v>463</v>
      </c>
    </row>
    <row r="1363" ht="330.75" customHeight="1">
      <c r="A1363" s="32" t="str">
        <f>IMAGE("https://gymvisual.com/11561-catalog_default/barbell-standing-front-raise-over-head-female.jpg",4,500,500)</f>
        <v/>
      </c>
      <c r="B1363" s="30">
        <v>644.0</v>
      </c>
      <c r="C1363" s="16" t="s">
        <v>1092</v>
      </c>
      <c r="D1363" s="16" t="s">
        <v>184</v>
      </c>
      <c r="E1363" s="16" t="s">
        <v>228</v>
      </c>
      <c r="F1363" s="16" t="s">
        <v>186</v>
      </c>
      <c r="G1363" s="16" t="s">
        <v>220</v>
      </c>
      <c r="H1363" s="16" t="s">
        <v>220</v>
      </c>
    </row>
    <row r="1364" ht="330.75" customHeight="1">
      <c r="A1364" s="32" t="str">
        <f>IMAGE("https://gymvisual.com/346-catalog_default/barbell-standing-front-raise-over-head.jpg",4,500,500)</f>
        <v/>
      </c>
      <c r="B1364" s="30">
        <v>643.0</v>
      </c>
      <c r="C1364" s="16" t="s">
        <v>1091</v>
      </c>
      <c r="D1364" s="16" t="s">
        <v>184</v>
      </c>
      <c r="E1364" s="16" t="s">
        <v>228</v>
      </c>
      <c r="F1364" s="16" t="s">
        <v>186</v>
      </c>
      <c r="G1364" s="16" t="s">
        <v>229</v>
      </c>
      <c r="H1364" s="16" t="s">
        <v>626</v>
      </c>
    </row>
    <row r="1365" ht="330.75" customHeight="1">
      <c r="A1365" s="32" t="str">
        <f>IMAGE("https://gymvisual.com/10488-catalog_default/barbell-standing-concentration-curl.jpg",4,500,500)</f>
        <v/>
      </c>
      <c r="B1365" s="30">
        <v>642.0</v>
      </c>
      <c r="C1365" s="16" t="s">
        <v>1090</v>
      </c>
      <c r="D1365" s="16" t="s">
        <v>184</v>
      </c>
      <c r="E1365" s="16" t="s">
        <v>219</v>
      </c>
      <c r="F1365" s="16" t="s">
        <v>186</v>
      </c>
      <c r="G1365" s="16" t="s">
        <v>232</v>
      </c>
      <c r="H1365" s="16" t="s">
        <v>233</v>
      </c>
    </row>
    <row r="1366" ht="330.75" customHeight="1">
      <c r="A1366" s="32" t="str">
        <f>IMAGE("https://gymvisual.com/13331-catalog_default/barbell-standing-close-grip-military-press-female.jpg",4,500,500)</f>
        <v/>
      </c>
      <c r="B1366" s="30">
        <v>641.0</v>
      </c>
      <c r="C1366" s="16" t="s">
        <v>1089</v>
      </c>
      <c r="D1366" s="16" t="s">
        <v>184</v>
      </c>
      <c r="E1366" s="16" t="s">
        <v>228</v>
      </c>
      <c r="F1366" s="16" t="s">
        <v>186</v>
      </c>
      <c r="G1366" s="16" t="s">
        <v>220</v>
      </c>
      <c r="H1366" s="16" t="s">
        <v>220</v>
      </c>
    </row>
    <row r="1367" ht="330.75" customHeight="1">
      <c r="A1367" s="32" t="str">
        <f>IMAGE("https://gymvisual.com/6470-catalog_default/barbell-standing-close-grip-military-press.jpg",4,500,500)</f>
        <v/>
      </c>
      <c r="B1367" s="30">
        <v>640.0</v>
      </c>
      <c r="C1367" s="16" t="s">
        <v>1088</v>
      </c>
      <c r="D1367" s="16" t="s">
        <v>184</v>
      </c>
      <c r="E1367" s="16" t="s">
        <v>228</v>
      </c>
      <c r="F1367" s="16" t="s">
        <v>186</v>
      </c>
      <c r="G1367" s="16" t="s">
        <v>243</v>
      </c>
      <c r="H1367" s="16" t="s">
        <v>244</v>
      </c>
    </row>
    <row r="1368" ht="330.75" customHeight="1">
      <c r="A1368" s="32" t="str">
        <f>IMAGE("https://gymvisual.com/11576-catalog_default/barbell-standing-close-grip-curl-female.jpg",4,500,500)</f>
        <v/>
      </c>
      <c r="B1368" s="30">
        <v>639.0</v>
      </c>
      <c r="C1368" s="16" t="s">
        <v>1087</v>
      </c>
      <c r="D1368" s="16" t="s">
        <v>184</v>
      </c>
      <c r="E1368" s="16" t="s">
        <v>219</v>
      </c>
      <c r="F1368" s="16" t="s">
        <v>186</v>
      </c>
      <c r="G1368" s="16" t="s">
        <v>220</v>
      </c>
      <c r="H1368" s="16" t="s">
        <v>220</v>
      </c>
    </row>
    <row r="1369" ht="330.75" customHeight="1">
      <c r="A1369" s="32" t="str">
        <f>IMAGE("https://gymvisual.com/2943-catalog_default/barbell-standing-close-grip-curl.jpg",4,500,500)</f>
        <v/>
      </c>
      <c r="B1369" s="30">
        <v>638.0</v>
      </c>
      <c r="C1369" s="16" t="s">
        <v>1086</v>
      </c>
      <c r="D1369" s="16" t="s">
        <v>184</v>
      </c>
      <c r="E1369" s="16" t="s">
        <v>219</v>
      </c>
      <c r="F1369" s="16" t="s">
        <v>186</v>
      </c>
      <c r="G1369" s="16" t="s">
        <v>241</v>
      </c>
      <c r="H1369" s="16" t="s">
        <v>292</v>
      </c>
    </row>
    <row r="1370" ht="330.75" customHeight="1">
      <c r="A1370" s="32" t="str">
        <f>IMAGE("https://gymvisual.com/11501-catalog_default/barbell-standing-calf-raise-female.jpg",4,500,500)</f>
        <v/>
      </c>
      <c r="B1370" s="30">
        <v>637.0</v>
      </c>
      <c r="C1370" s="16" t="s">
        <v>1085</v>
      </c>
      <c r="D1370" s="16" t="s">
        <v>184</v>
      </c>
      <c r="E1370" s="16" t="s">
        <v>325</v>
      </c>
      <c r="F1370" s="16" t="s">
        <v>186</v>
      </c>
      <c r="G1370" s="16" t="s">
        <v>220</v>
      </c>
      <c r="H1370" s="16" t="s">
        <v>220</v>
      </c>
    </row>
    <row r="1371" ht="330.75" customHeight="1">
      <c r="A1371" s="32" t="str">
        <f>IMAGE("https://gymvisual.com/6067-catalog_default/barbell-standing-calf-raise.jpg",4,500,500)</f>
        <v/>
      </c>
      <c r="B1371" s="30">
        <v>636.0</v>
      </c>
      <c r="C1371" s="16" t="s">
        <v>1084</v>
      </c>
      <c r="D1371" s="16" t="s">
        <v>184</v>
      </c>
      <c r="E1371" s="16" t="s">
        <v>325</v>
      </c>
      <c r="F1371" s="16" t="s">
        <v>186</v>
      </c>
      <c r="G1371" s="16" t="s">
        <v>368</v>
      </c>
      <c r="H1371" s="16" t="s">
        <v>463</v>
      </c>
    </row>
    <row r="1372" ht="330.75" customHeight="1">
      <c r="A1372" s="32" t="str">
        <f>IMAGE("https://gymvisual.com/341-catalog_default/barbell-standing-bradford-press.jpg",4,500,500)</f>
        <v/>
      </c>
      <c r="B1372" s="30">
        <v>635.0</v>
      </c>
      <c r="C1372" s="16" t="s">
        <v>1083</v>
      </c>
      <c r="D1372" s="16" t="s">
        <v>184</v>
      </c>
      <c r="E1372" s="16" t="s">
        <v>228</v>
      </c>
      <c r="F1372" s="16" t="s">
        <v>186</v>
      </c>
      <c r="G1372" s="16" t="s">
        <v>229</v>
      </c>
      <c r="H1372" s="16" t="s">
        <v>230</v>
      </c>
    </row>
    <row r="1373" ht="330.75" customHeight="1">
      <c r="A1373" s="32" t="str">
        <f>IMAGE("https://gymvisual.com/11014-catalog_default/barbell-standing-back-wrist-curl-female.jpg",4,500,500)</f>
        <v/>
      </c>
      <c r="B1373" s="30">
        <v>634.0</v>
      </c>
      <c r="C1373" s="16" t="s">
        <v>1082</v>
      </c>
      <c r="D1373" s="16" t="s">
        <v>184</v>
      </c>
      <c r="E1373" s="16" t="s">
        <v>214</v>
      </c>
      <c r="F1373" s="16" t="s">
        <v>186</v>
      </c>
      <c r="G1373" s="16" t="s">
        <v>720</v>
      </c>
      <c r="H1373" s="16" t="s">
        <v>220</v>
      </c>
    </row>
    <row r="1374" ht="330.75" customHeight="1">
      <c r="A1374" s="32" t="str">
        <f>IMAGE("https://gymvisual.com/338-catalog_default/barbell-standing-back-wrist-curl.jpg",4,500,500)</f>
        <v/>
      </c>
      <c r="B1374" s="30">
        <v>633.0</v>
      </c>
      <c r="C1374" s="16" t="s">
        <v>1081</v>
      </c>
      <c r="D1374" s="16" t="s">
        <v>184</v>
      </c>
      <c r="E1374" s="16" t="s">
        <v>214</v>
      </c>
      <c r="F1374" s="16" t="s">
        <v>186</v>
      </c>
      <c r="G1374" s="16" t="s">
        <v>720</v>
      </c>
      <c r="H1374" s="16" t="s">
        <v>220</v>
      </c>
    </row>
    <row r="1375" ht="330.75" customHeight="1">
      <c r="A1375" s="32" t="str">
        <f>IMAGE("https://gymvisual.com/12065-catalog_default/barbell-standing-ab-rollout-female.jpg",4,500,500)</f>
        <v/>
      </c>
      <c r="B1375" s="30">
        <v>632.0</v>
      </c>
      <c r="C1375" s="16" t="s">
        <v>1080</v>
      </c>
      <c r="D1375" s="16" t="s">
        <v>184</v>
      </c>
      <c r="E1375" s="16" t="s">
        <v>254</v>
      </c>
      <c r="F1375" s="16" t="s">
        <v>186</v>
      </c>
      <c r="G1375" s="16" t="s">
        <v>220</v>
      </c>
      <c r="H1375" s="16" t="s">
        <v>220</v>
      </c>
    </row>
    <row r="1376" ht="330.75" customHeight="1">
      <c r="A1376" s="32" t="str">
        <f>IMAGE("https://gymvisual.com/335-catalog_default/barbell-standing-ab-rollout.jpg",4,500,500)</f>
        <v/>
      </c>
      <c r="B1376" s="30">
        <v>631.0</v>
      </c>
      <c r="C1376" s="16" t="s">
        <v>1078</v>
      </c>
      <c r="D1376" s="16" t="s">
        <v>184</v>
      </c>
      <c r="E1376" s="16" t="s">
        <v>254</v>
      </c>
      <c r="F1376" s="16" t="s">
        <v>186</v>
      </c>
      <c r="G1376" s="16" t="s">
        <v>305</v>
      </c>
      <c r="H1376" s="16" t="s">
        <v>1079</v>
      </c>
    </row>
    <row r="1377" ht="330.75" customHeight="1">
      <c r="A1377" s="32" t="str">
        <f>IMAGE("https://gymvisual.com/23857-catalog_default/barbell-staggered-stance-hip-thrust.jpg",4,500,500)</f>
        <v/>
      </c>
      <c r="B1377" s="30">
        <v>630.0</v>
      </c>
      <c r="C1377" s="16" t="s">
        <v>1077</v>
      </c>
      <c r="D1377" s="16" t="s">
        <v>184</v>
      </c>
      <c r="E1377" s="16" t="s">
        <v>185</v>
      </c>
      <c r="F1377" s="16" t="s">
        <v>186</v>
      </c>
      <c r="G1377" s="16" t="s">
        <v>220</v>
      </c>
      <c r="H1377" s="16" t="s">
        <v>220</v>
      </c>
    </row>
    <row r="1378" ht="330.75" customHeight="1">
      <c r="A1378" s="32" t="str">
        <f>IMAGE("https://gymvisual.com/25017-catalog_default/barbell-srtict-curl.jpg",4,500,500)</f>
        <v/>
      </c>
      <c r="B1378" s="30">
        <v>629.0</v>
      </c>
      <c r="C1378" s="16" t="s">
        <v>1076</v>
      </c>
      <c r="D1378" s="16" t="s">
        <v>184</v>
      </c>
      <c r="E1378" s="16" t="s">
        <v>219</v>
      </c>
      <c r="F1378" s="16" t="s">
        <v>186</v>
      </c>
      <c r="G1378" s="16" t="s">
        <v>220</v>
      </c>
      <c r="H1378" s="16" t="s">
        <v>220</v>
      </c>
    </row>
    <row r="1379" ht="330.75" customHeight="1">
      <c r="A1379" s="32" t="str">
        <f>IMAGE("https://gymvisual.com/17861-catalog_default/barbell-squat-with-chains.jpg",4,500,500)</f>
        <v/>
      </c>
      <c r="B1379" s="30">
        <v>628.0</v>
      </c>
      <c r="C1379" s="16" t="s">
        <v>1075</v>
      </c>
      <c r="D1379" s="16" t="s">
        <v>184</v>
      </c>
      <c r="E1379" s="16" t="s">
        <v>285</v>
      </c>
      <c r="F1379" s="16" t="s">
        <v>186</v>
      </c>
      <c r="G1379" s="16" t="s">
        <v>220</v>
      </c>
      <c r="H1379" s="16" t="s">
        <v>220</v>
      </c>
    </row>
    <row r="1380" ht="330.75" customHeight="1">
      <c r="A1380" s="32" t="str">
        <f>IMAGE("https://gymvisual.com/6789-catalog_default/barbell-squat-to-upright-row.jpg",4,500,500)</f>
        <v/>
      </c>
      <c r="B1380" s="30">
        <v>627.0</v>
      </c>
      <c r="C1380" s="16" t="s">
        <v>1074</v>
      </c>
      <c r="D1380" s="16" t="s">
        <v>184</v>
      </c>
      <c r="E1380" s="16" t="s">
        <v>285</v>
      </c>
      <c r="F1380" s="16" t="s">
        <v>186</v>
      </c>
      <c r="G1380" s="16" t="s">
        <v>220</v>
      </c>
      <c r="H1380" s="16" t="s">
        <v>220</v>
      </c>
    </row>
    <row r="1381" ht="330.75" customHeight="1">
      <c r="A1381" s="32" t="str">
        <f>IMAGE("https://gymvisual.com/6788-catalog_default/barbell-squat-to-shoulder-press.jpg",4,500,500)</f>
        <v/>
      </c>
      <c r="B1381" s="30">
        <v>626.0</v>
      </c>
      <c r="C1381" s="16" t="s">
        <v>1073</v>
      </c>
      <c r="D1381" s="16" t="s">
        <v>184</v>
      </c>
      <c r="E1381" s="16" t="s">
        <v>285</v>
      </c>
      <c r="F1381" s="16" t="s">
        <v>186</v>
      </c>
      <c r="G1381" s="16" t="s">
        <v>220</v>
      </c>
      <c r="H1381" s="16" t="s">
        <v>220</v>
      </c>
    </row>
    <row r="1382" ht="330.75" customHeight="1">
      <c r="A1382" s="32" t="str">
        <f>IMAGE("https://gymvisual.com/19778-catalog_default/barbell-squat-2-sec-hold.jpg",4,500,500)</f>
        <v/>
      </c>
      <c r="B1382" s="30">
        <v>625.0</v>
      </c>
      <c r="C1382" s="16" t="s">
        <v>1072</v>
      </c>
      <c r="D1382" s="16" t="s">
        <v>184</v>
      </c>
      <c r="E1382" s="16" t="s">
        <v>285</v>
      </c>
      <c r="F1382" s="16" t="s">
        <v>186</v>
      </c>
      <c r="G1382" s="16" t="s">
        <v>189</v>
      </c>
      <c r="H1382" s="16" t="s">
        <v>190</v>
      </c>
    </row>
    <row r="1383" ht="330.75" customHeight="1">
      <c r="A1383" s="32" t="str">
        <f>IMAGE("https://gymvisual.com/10231-catalog_default/barbell-squat-knees-middle-position-wrong-right.jpg",4,500,500)</f>
        <v/>
      </c>
      <c r="B1383" s="30">
        <v>624.0</v>
      </c>
      <c r="C1383" s="16" t="s">
        <v>1071</v>
      </c>
      <c r="D1383" s="16" t="s">
        <v>184</v>
      </c>
      <c r="E1383" s="16" t="s">
        <v>294</v>
      </c>
      <c r="F1383" s="16" t="s">
        <v>186</v>
      </c>
      <c r="G1383" s="16" t="s">
        <v>220</v>
      </c>
      <c r="H1383" s="16" t="s">
        <v>220</v>
      </c>
    </row>
    <row r="1384" ht="330.75" customHeight="1">
      <c r="A1384" s="32" t="str">
        <f>IMAGE("https://gymvisual.com/10229-catalog_default/barbell-squat-knees-end-position-wrong-right.jpg",4,500,500)</f>
        <v/>
      </c>
      <c r="B1384" s="30">
        <v>623.0</v>
      </c>
      <c r="C1384" s="16" t="s">
        <v>1070</v>
      </c>
      <c r="D1384" s="16" t="s">
        <v>184</v>
      </c>
      <c r="E1384" s="16" t="s">
        <v>285</v>
      </c>
      <c r="F1384" s="16" t="s">
        <v>186</v>
      </c>
      <c r="G1384" s="16" t="s">
        <v>220</v>
      </c>
      <c r="H1384" s="16" t="s">
        <v>220</v>
      </c>
    </row>
    <row r="1385" ht="330.75" customHeight="1">
      <c r="A1385" s="32" t="str">
        <f>IMAGE("https://gymvisual.com/10233-catalog_default/barbell-squat-hips-wrong-right.jpg",4,500,500)</f>
        <v/>
      </c>
      <c r="B1385" s="30">
        <v>622.0</v>
      </c>
      <c r="C1385" s="16" t="s">
        <v>1069</v>
      </c>
      <c r="D1385" s="16" t="s">
        <v>184</v>
      </c>
      <c r="E1385" s="16" t="s">
        <v>294</v>
      </c>
      <c r="F1385" s="16" t="s">
        <v>186</v>
      </c>
      <c r="G1385" s="16" t="s">
        <v>220</v>
      </c>
      <c r="H1385" s="16" t="s">
        <v>220</v>
      </c>
    </row>
    <row r="1386" ht="330.75" customHeight="1">
      <c r="A1386" s="32" t="str">
        <f>IMAGE("https://gymvisual.com/12830-catalog_default/barbell-squat-with-hanging-band-technique.jpg",4,500,500)</f>
        <v/>
      </c>
      <c r="B1386" s="30">
        <v>621.0</v>
      </c>
      <c r="C1386" s="16" t="s">
        <v>1068</v>
      </c>
      <c r="D1386" s="16" t="s">
        <v>184</v>
      </c>
      <c r="E1386" s="16" t="s">
        <v>285</v>
      </c>
      <c r="F1386" s="16" t="s">
        <v>186</v>
      </c>
      <c r="G1386" s="16" t="s">
        <v>189</v>
      </c>
      <c r="H1386" s="16" t="s">
        <v>190</v>
      </c>
    </row>
    <row r="1387" ht="330.75" customHeight="1">
      <c r="A1387" s="32" t="str">
        <f>IMAGE("https://gymvisual.com/332-catalog_default/barbell-squat-on-knees.jpg",4,500,500)</f>
        <v/>
      </c>
      <c r="B1387" s="30">
        <v>620.0</v>
      </c>
      <c r="C1387" s="16" t="s">
        <v>1067</v>
      </c>
      <c r="D1387" s="16" t="s">
        <v>184</v>
      </c>
      <c r="E1387" s="16" t="s">
        <v>285</v>
      </c>
      <c r="F1387" s="16" t="s">
        <v>186</v>
      </c>
      <c r="G1387" s="16" t="s">
        <v>552</v>
      </c>
      <c r="H1387" s="16" t="s">
        <v>683</v>
      </c>
    </row>
    <row r="1388" ht="330.75" customHeight="1">
      <c r="A1388" s="32" t="str">
        <f>IMAGE("https://gymvisual.com/14250-catalog_default/barbell-squat-female.jpg",4,500,500)</f>
        <v/>
      </c>
      <c r="B1388" s="30">
        <v>619.0</v>
      </c>
      <c r="C1388" s="16" t="s">
        <v>1066</v>
      </c>
      <c r="D1388" s="16" t="s">
        <v>184</v>
      </c>
      <c r="E1388" s="16" t="s">
        <v>294</v>
      </c>
      <c r="F1388" s="16" t="s">
        <v>186</v>
      </c>
      <c r="G1388" s="16" t="s">
        <v>189</v>
      </c>
      <c r="H1388" s="16" t="s">
        <v>190</v>
      </c>
    </row>
    <row r="1389" ht="330.75" customHeight="1">
      <c r="A1389" s="32" t="str">
        <f>IMAGE("https://gymvisual.com/11973-catalog_default/barbell-split-squat-version-2-female.jpg",4,500,500)</f>
        <v/>
      </c>
      <c r="B1389" s="30">
        <v>618.0</v>
      </c>
      <c r="C1389" s="16" t="s">
        <v>1065</v>
      </c>
      <c r="D1389" s="16" t="s">
        <v>184</v>
      </c>
      <c r="E1389" s="16" t="s">
        <v>185</v>
      </c>
      <c r="F1389" s="16" t="s">
        <v>186</v>
      </c>
      <c r="G1389" s="16" t="s">
        <v>220</v>
      </c>
      <c r="H1389" s="16" t="s">
        <v>220</v>
      </c>
    </row>
    <row r="1390" ht="330.75" customHeight="1">
      <c r="A1390" s="32" t="str">
        <f>IMAGE("https://gymvisual.com/11972-catalog_default/barbell-split-squat-version-2.jpg",4,500,500)</f>
        <v/>
      </c>
      <c r="B1390" s="30">
        <v>617.0</v>
      </c>
      <c r="C1390" s="16" t="s">
        <v>1064</v>
      </c>
      <c r="D1390" s="16" t="s">
        <v>184</v>
      </c>
      <c r="E1390" s="16" t="s">
        <v>185</v>
      </c>
      <c r="F1390" s="16" t="s">
        <v>186</v>
      </c>
      <c r="G1390" s="16" t="s">
        <v>189</v>
      </c>
      <c r="H1390" s="16" t="s">
        <v>190</v>
      </c>
    </row>
    <row r="1391" ht="330.75" customHeight="1">
      <c r="A1391" s="32" t="str">
        <f>IMAGE("https://gymvisual.com/10259-catalog_default/barbell-split-squat-female.jpg",4,500,500)</f>
        <v/>
      </c>
      <c r="B1391" s="30">
        <v>616.0</v>
      </c>
      <c r="C1391" s="16" t="s">
        <v>1063</v>
      </c>
      <c r="D1391" s="16" t="s">
        <v>184</v>
      </c>
      <c r="E1391" s="16" t="s">
        <v>294</v>
      </c>
      <c r="F1391" s="16" t="s">
        <v>186</v>
      </c>
      <c r="G1391" s="16" t="s">
        <v>189</v>
      </c>
      <c r="H1391" s="16" t="s">
        <v>190</v>
      </c>
    </row>
    <row r="1392" ht="330.75" customHeight="1">
      <c r="A1392" s="32" t="str">
        <f>IMAGE("https://gymvisual.com/13329-catalog_default/barbell-split-squat.jpg",4,500,500)</f>
        <v/>
      </c>
      <c r="B1392" s="30">
        <v>615.0</v>
      </c>
      <c r="C1392" s="16" t="s">
        <v>1062</v>
      </c>
      <c r="D1392" s="16" t="s">
        <v>184</v>
      </c>
      <c r="E1392" s="16" t="s">
        <v>294</v>
      </c>
      <c r="F1392" s="16" t="s">
        <v>186</v>
      </c>
      <c r="G1392" s="16" t="s">
        <v>189</v>
      </c>
      <c r="H1392" s="16" t="s">
        <v>190</v>
      </c>
    </row>
    <row r="1393" ht="330.75" customHeight="1">
      <c r="A1393" s="32" t="str">
        <f>IMAGE("https://gymvisual.com/6786-catalog_default/barbell-split-jerk.jpg",4,500,500)</f>
        <v/>
      </c>
      <c r="B1393" s="30">
        <v>614.0</v>
      </c>
      <c r="C1393" s="16" t="s">
        <v>1060</v>
      </c>
      <c r="D1393" s="16" t="s">
        <v>184</v>
      </c>
      <c r="E1393" s="16" t="s">
        <v>764</v>
      </c>
      <c r="F1393" s="16" t="s">
        <v>186</v>
      </c>
      <c r="G1393" s="16" t="s">
        <v>1061</v>
      </c>
      <c r="H1393" s="16" t="s">
        <v>220</v>
      </c>
    </row>
    <row r="1394" ht="330.75" customHeight="1">
      <c r="A1394" s="32" t="str">
        <f>IMAGE("https://gymvisual.com/6785-catalog_default/barbell-split-clean.jpg",4,500,500)</f>
        <v/>
      </c>
      <c r="B1394" s="30">
        <v>613.0</v>
      </c>
      <c r="C1394" s="16" t="s">
        <v>1058</v>
      </c>
      <c r="D1394" s="16" t="s">
        <v>184</v>
      </c>
      <c r="E1394" s="16" t="s">
        <v>764</v>
      </c>
      <c r="F1394" s="16" t="s">
        <v>186</v>
      </c>
      <c r="G1394" s="16" t="s">
        <v>1059</v>
      </c>
      <c r="H1394" s="16" t="s">
        <v>220</v>
      </c>
    </row>
    <row r="1395" ht="330.75" customHeight="1">
      <c r="A1395" s="32" t="str">
        <f>IMAGE("https://gymvisual.com/18748-catalog_default/barbell-spider-curl.jpg",4,500,500)</f>
        <v/>
      </c>
      <c r="B1395" s="30">
        <v>612.0</v>
      </c>
      <c r="C1395" s="16" t="s">
        <v>1057</v>
      </c>
      <c r="D1395" s="16" t="s">
        <v>184</v>
      </c>
      <c r="E1395" s="16" t="s">
        <v>219</v>
      </c>
      <c r="F1395" s="16" t="s">
        <v>186</v>
      </c>
      <c r="G1395" s="16" t="s">
        <v>220</v>
      </c>
      <c r="H1395" s="16" t="s">
        <v>220</v>
      </c>
    </row>
    <row r="1396" ht="330.75" customHeight="1">
      <c r="A1396" s="32" t="str">
        <f>IMAGE("https://gymvisual.com/329-catalog_default/barbell-speed-squat.jpg",4,500,500)</f>
        <v/>
      </c>
      <c r="B1396" s="30">
        <v>611.0</v>
      </c>
      <c r="C1396" s="16" t="s">
        <v>1056</v>
      </c>
      <c r="D1396" s="16" t="s">
        <v>184</v>
      </c>
      <c r="E1396" s="16" t="s">
        <v>285</v>
      </c>
      <c r="F1396" s="16" t="s">
        <v>186</v>
      </c>
      <c r="G1396" s="16" t="s">
        <v>189</v>
      </c>
      <c r="H1396" s="16" t="s">
        <v>190</v>
      </c>
    </row>
    <row r="1397" ht="330.75" customHeight="1">
      <c r="A1397" s="32" t="str">
        <f>IMAGE("https://gymvisual.com/6784-catalog_default/barbell-snatch-from-blocks.jpg",4,500,500)</f>
        <v/>
      </c>
      <c r="B1397" s="30">
        <v>610.0</v>
      </c>
      <c r="C1397" s="16" t="s">
        <v>1054</v>
      </c>
      <c r="D1397" s="16" t="s">
        <v>184</v>
      </c>
      <c r="E1397" s="16" t="s">
        <v>764</v>
      </c>
      <c r="F1397" s="16" t="s">
        <v>186</v>
      </c>
      <c r="G1397" s="16" t="s">
        <v>1055</v>
      </c>
      <c r="H1397" s="16" t="s">
        <v>220</v>
      </c>
    </row>
    <row r="1398" ht="330.75" customHeight="1">
      <c r="A1398" s="32" t="str">
        <f>IMAGE("https://gymvisual.com/6783-catalog_default/barbell-snatch-deadlift.jpg",4,500,500)</f>
        <v/>
      </c>
      <c r="B1398" s="30">
        <v>609.0</v>
      </c>
      <c r="C1398" s="16" t="s">
        <v>1052</v>
      </c>
      <c r="D1398" s="16" t="s">
        <v>184</v>
      </c>
      <c r="E1398" s="16" t="s">
        <v>285</v>
      </c>
      <c r="F1398" s="16" t="s">
        <v>186</v>
      </c>
      <c r="G1398" s="16" t="s">
        <v>1053</v>
      </c>
      <c r="H1398" s="16" t="s">
        <v>220</v>
      </c>
    </row>
    <row r="1399" ht="330.75" customHeight="1">
      <c r="A1399" s="32" t="str">
        <f>IMAGE("https://gymvisual.com/6782-catalog_default/barbell-snatch-balance.jpg",4,500,500)</f>
        <v/>
      </c>
      <c r="B1399" s="30">
        <v>608.0</v>
      </c>
      <c r="C1399" s="16" t="s">
        <v>1050</v>
      </c>
      <c r="D1399" s="16" t="s">
        <v>184</v>
      </c>
      <c r="E1399" s="16" t="s">
        <v>764</v>
      </c>
      <c r="F1399" s="16" t="s">
        <v>186</v>
      </c>
      <c r="G1399" s="16" t="s">
        <v>1051</v>
      </c>
      <c r="H1399" s="16" t="s">
        <v>220</v>
      </c>
    </row>
    <row r="1400" ht="330.75" customHeight="1">
      <c r="A1400" s="32" t="str">
        <f>IMAGE("https://gymvisual.com/20436-catalog_default/barbell-snatch.jpg",4,500,500)</f>
        <v/>
      </c>
      <c r="B1400" s="30">
        <v>607.0</v>
      </c>
      <c r="C1400" s="16" t="s">
        <v>1048</v>
      </c>
      <c r="D1400" s="16" t="s">
        <v>184</v>
      </c>
      <c r="E1400" s="16" t="s">
        <v>764</v>
      </c>
      <c r="F1400" s="16" t="s">
        <v>186</v>
      </c>
      <c r="G1400" s="16" t="s">
        <v>1049</v>
      </c>
      <c r="H1400" s="16" t="s">
        <v>220</v>
      </c>
    </row>
    <row r="1401" ht="330.75" customHeight="1">
      <c r="A1401" s="32" t="str">
        <f>IMAGE("https://gymvisual.com/12056-catalog_default/barbell-skier-female.jpg",4,500,500)</f>
        <v/>
      </c>
      <c r="B1401" s="30">
        <v>606.0</v>
      </c>
      <c r="C1401" s="16" t="s">
        <v>1047</v>
      </c>
      <c r="D1401" s="16" t="s">
        <v>184</v>
      </c>
      <c r="E1401" s="16" t="s">
        <v>228</v>
      </c>
      <c r="F1401" s="16" t="s">
        <v>186</v>
      </c>
      <c r="G1401" s="16" t="s">
        <v>220</v>
      </c>
      <c r="H1401" s="16" t="s">
        <v>220</v>
      </c>
    </row>
    <row r="1402" ht="330.75" customHeight="1">
      <c r="A1402" s="32" t="str">
        <f>IMAGE("https://gymvisual.com/326-catalog_default/barbell-skier.jpg",4,500,500)</f>
        <v/>
      </c>
      <c r="B1402" s="30">
        <v>605.0</v>
      </c>
      <c r="C1402" s="16" t="s">
        <v>1045</v>
      </c>
      <c r="D1402" s="16" t="s">
        <v>184</v>
      </c>
      <c r="E1402" s="16" t="s">
        <v>228</v>
      </c>
      <c r="F1402" s="16" t="s">
        <v>186</v>
      </c>
      <c r="G1402" s="16" t="s">
        <v>408</v>
      </c>
      <c r="H1402" s="16" t="s">
        <v>1046</v>
      </c>
    </row>
    <row r="1403" ht="330.75" customHeight="1">
      <c r="A1403" s="32" t="str">
        <f>IMAGE("https://gymvisual.com/22393-catalog_default/barbell-sitting-on-floor-oblique-twist.jpg",4,500,500)</f>
        <v/>
      </c>
      <c r="B1403" s="30">
        <v>604.0</v>
      </c>
      <c r="C1403" s="16" t="s">
        <v>1044</v>
      </c>
      <c r="D1403" s="16" t="s">
        <v>184</v>
      </c>
      <c r="E1403" s="16" t="s">
        <v>254</v>
      </c>
      <c r="F1403" s="16" t="s">
        <v>186</v>
      </c>
      <c r="G1403" s="16" t="s">
        <v>220</v>
      </c>
      <c r="H1403" s="16" t="s">
        <v>220</v>
      </c>
    </row>
    <row r="1404" ht="330.75" customHeight="1">
      <c r="A1404" s="32" t="str">
        <f>IMAGE("https://gymvisual.com/11963-catalog_default/barbell-sitted-alternate-leg-raise-female.jpg",4,500,500)</f>
        <v/>
      </c>
      <c r="B1404" s="30">
        <v>603.0</v>
      </c>
      <c r="C1404" s="16" t="s">
        <v>1043</v>
      </c>
      <c r="D1404" s="16" t="s">
        <v>184</v>
      </c>
      <c r="E1404" s="16" t="s">
        <v>254</v>
      </c>
      <c r="F1404" s="16" t="s">
        <v>186</v>
      </c>
      <c r="G1404" s="16" t="s">
        <v>220</v>
      </c>
      <c r="H1404" s="16" t="s">
        <v>220</v>
      </c>
    </row>
    <row r="1405" ht="330.75" customHeight="1">
      <c r="A1405" s="32" t="str">
        <f>IMAGE("https://gymvisual.com/11962-catalog_default/barbell-sitted-alternate-leg-raise.jpg",4,500,500)</f>
        <v/>
      </c>
      <c r="B1405" s="30">
        <v>602.0</v>
      </c>
      <c r="C1405" s="16" t="s">
        <v>1042</v>
      </c>
      <c r="D1405" s="16" t="s">
        <v>184</v>
      </c>
      <c r="E1405" s="16" t="s">
        <v>254</v>
      </c>
      <c r="F1405" s="16" t="s">
        <v>186</v>
      </c>
      <c r="G1405" s="16" t="s">
        <v>220</v>
      </c>
      <c r="H1405" s="16" t="s">
        <v>220</v>
      </c>
    </row>
    <row r="1406" ht="330.75" customHeight="1">
      <c r="A1406" s="32" t="str">
        <f>IMAGE("https://gymvisual.com/18770-catalog_default/barbell-single-leg-squat.jpg",4,500,500)</f>
        <v/>
      </c>
      <c r="B1406" s="30">
        <v>601.0</v>
      </c>
      <c r="C1406" s="16" t="s">
        <v>1041</v>
      </c>
      <c r="D1406" s="16" t="s">
        <v>184</v>
      </c>
      <c r="E1406" s="16" t="s">
        <v>285</v>
      </c>
      <c r="F1406" s="16" t="s">
        <v>186</v>
      </c>
      <c r="G1406" s="16" t="s">
        <v>220</v>
      </c>
      <c r="H1406" s="16" t="s">
        <v>220</v>
      </c>
    </row>
    <row r="1407" ht="330.75" customHeight="1">
      <c r="A1407" s="32" t="str">
        <f>IMAGE("https://gymvisual.com/9595-catalog_default/barbell-single-leg-split-squat-female.jpg",4,500,500)</f>
        <v/>
      </c>
      <c r="B1407" s="30">
        <v>600.0</v>
      </c>
      <c r="C1407" s="16" t="s">
        <v>1040</v>
      </c>
      <c r="D1407" s="16" t="s">
        <v>184</v>
      </c>
      <c r="E1407" s="16" t="s">
        <v>294</v>
      </c>
      <c r="F1407" s="16" t="s">
        <v>186</v>
      </c>
      <c r="G1407" s="16" t="s">
        <v>189</v>
      </c>
      <c r="H1407" s="16" t="s">
        <v>190</v>
      </c>
    </row>
    <row r="1408" ht="330.75" customHeight="1">
      <c r="A1408" s="32" t="str">
        <f>IMAGE("https://gymvisual.com/24721-catalog_default/barbell-single-leg-split-squat.jpg",4,500,500)</f>
        <v/>
      </c>
      <c r="B1408" s="30">
        <v>599.0</v>
      </c>
      <c r="C1408" s="16" t="s">
        <v>1039</v>
      </c>
      <c r="D1408" s="16" t="s">
        <v>184</v>
      </c>
      <c r="E1408" s="16" t="s">
        <v>185</v>
      </c>
      <c r="F1408" s="16" t="s">
        <v>186</v>
      </c>
      <c r="G1408" s="16" t="s">
        <v>189</v>
      </c>
      <c r="H1408" s="16" t="s">
        <v>190</v>
      </c>
    </row>
    <row r="1409" ht="330.75" customHeight="1">
      <c r="A1409" s="32" t="str">
        <f>IMAGE("https://gymvisual.com/22385-catalog_default/barbell-single-leg-good-morning.jpg",4,500,500)</f>
        <v/>
      </c>
      <c r="B1409" s="30">
        <v>598.0</v>
      </c>
      <c r="C1409" s="16" t="s">
        <v>1038</v>
      </c>
      <c r="D1409" s="16" t="s">
        <v>184</v>
      </c>
      <c r="E1409" s="16" t="s">
        <v>285</v>
      </c>
      <c r="F1409" s="16" t="s">
        <v>186</v>
      </c>
      <c r="G1409" s="16" t="s">
        <v>220</v>
      </c>
      <c r="H1409" s="16" t="s">
        <v>220</v>
      </c>
    </row>
    <row r="1410" ht="330.75" customHeight="1">
      <c r="A1410" s="32" t="str">
        <f>IMAGE("https://gymvisual.com/11432-catalog_default/barbell-single-leg-deadlift-female.jpg",4,500,500)</f>
        <v/>
      </c>
      <c r="B1410" s="30">
        <v>597.0</v>
      </c>
      <c r="C1410" s="16" t="s">
        <v>1037</v>
      </c>
      <c r="D1410" s="16" t="s">
        <v>184</v>
      </c>
      <c r="E1410" s="16" t="s">
        <v>185</v>
      </c>
      <c r="F1410" s="16" t="s">
        <v>186</v>
      </c>
      <c r="G1410" s="16" t="s">
        <v>220</v>
      </c>
      <c r="H1410" s="16" t="s">
        <v>220</v>
      </c>
    </row>
    <row r="1411" ht="330.75" customHeight="1">
      <c r="A1411" s="32" t="str">
        <f>IMAGE("https://gymvisual.com/7516-catalog_default/barbell-single-leg-deadlift.jpg",4,500,500)</f>
        <v/>
      </c>
      <c r="B1411" s="30">
        <v>596.0</v>
      </c>
      <c r="C1411" s="16" t="s">
        <v>1036</v>
      </c>
      <c r="D1411" s="16" t="s">
        <v>184</v>
      </c>
      <c r="E1411" s="16" t="s">
        <v>185</v>
      </c>
      <c r="F1411" s="16" t="s">
        <v>186</v>
      </c>
      <c r="G1411" s="16" t="s">
        <v>187</v>
      </c>
      <c r="H1411" s="16" t="s">
        <v>482</v>
      </c>
    </row>
    <row r="1412" ht="330.75" customHeight="1">
      <c r="A1412" s="32" t="str">
        <f>IMAGE("https://gymvisual.com/317-catalog_default/barbell-side-split-squat-version-2.jpg",4,500,500)</f>
        <v/>
      </c>
      <c r="B1412" s="30">
        <v>595.0</v>
      </c>
      <c r="C1412" s="16" t="s">
        <v>1035</v>
      </c>
      <c r="D1412" s="16" t="s">
        <v>184</v>
      </c>
      <c r="E1412" s="16" t="s">
        <v>285</v>
      </c>
      <c r="F1412" s="16" t="s">
        <v>186</v>
      </c>
      <c r="G1412" s="16" t="s">
        <v>189</v>
      </c>
      <c r="H1412" s="16" t="s">
        <v>190</v>
      </c>
    </row>
    <row r="1413" ht="330.75" customHeight="1">
      <c r="A1413" s="32" t="str">
        <f>IMAGE("https://gymvisual.com/320-catalog_default/barbell-side-split-squat.jpg",4,500,500)</f>
        <v/>
      </c>
      <c r="B1413" s="30">
        <v>594.0</v>
      </c>
      <c r="C1413" s="16" t="s">
        <v>1033</v>
      </c>
      <c r="D1413" s="16" t="s">
        <v>184</v>
      </c>
      <c r="E1413" s="16" t="s">
        <v>285</v>
      </c>
      <c r="F1413" s="16" t="s">
        <v>186</v>
      </c>
      <c r="G1413" s="16" t="s">
        <v>189</v>
      </c>
      <c r="H1413" s="16" t="s">
        <v>1034</v>
      </c>
    </row>
    <row r="1414" ht="330.75" customHeight="1">
      <c r="A1414" s="32" t="str">
        <f>IMAGE("https://gymvisual.com/314-catalog_default/barbell-side-bent-version-2.jpg",4,500,500)</f>
        <v/>
      </c>
      <c r="B1414" s="30">
        <v>593.0</v>
      </c>
      <c r="C1414" s="16" t="s">
        <v>1032</v>
      </c>
      <c r="D1414" s="16" t="s">
        <v>184</v>
      </c>
      <c r="E1414" s="16" t="s">
        <v>254</v>
      </c>
      <c r="F1414" s="16" t="s">
        <v>186</v>
      </c>
      <c r="G1414" s="16" t="s">
        <v>257</v>
      </c>
      <c r="H1414" s="16" t="s">
        <v>271</v>
      </c>
    </row>
    <row r="1415" ht="330.75" customHeight="1">
      <c r="A1415" s="32" t="str">
        <f>IMAGE("https://gymvisual.com/11011-catalog_default/barbell-shrug-female.jpg",4,500,500)</f>
        <v/>
      </c>
      <c r="B1415" s="30">
        <v>592.0</v>
      </c>
      <c r="C1415" s="16" t="s">
        <v>1031</v>
      </c>
      <c r="D1415" s="16" t="s">
        <v>184</v>
      </c>
      <c r="E1415" s="16" t="s">
        <v>192</v>
      </c>
      <c r="F1415" s="16" t="s">
        <v>186</v>
      </c>
      <c r="G1415" s="16" t="s">
        <v>238</v>
      </c>
      <c r="H1415" s="16" t="s">
        <v>618</v>
      </c>
    </row>
    <row r="1416" ht="330.75" customHeight="1">
      <c r="A1416" s="32" t="str">
        <f>IMAGE("https://gymvisual.com/311-catalog_default/barbell-shrug.jpg",4,500,500)</f>
        <v/>
      </c>
      <c r="B1416" s="30">
        <v>591.0</v>
      </c>
      <c r="C1416" s="16" t="s">
        <v>1030</v>
      </c>
      <c r="D1416" s="16" t="s">
        <v>184</v>
      </c>
      <c r="E1416" s="16" t="s">
        <v>192</v>
      </c>
      <c r="F1416" s="16" t="s">
        <v>186</v>
      </c>
      <c r="G1416" s="16" t="s">
        <v>238</v>
      </c>
      <c r="H1416" s="16" t="s">
        <v>618</v>
      </c>
    </row>
    <row r="1417" ht="330.75" customHeight="1">
      <c r="A1417" s="32" t="str">
        <f>IMAGE("https://gymvisual.com/24812-catalog_default/barbell-shoulder-grip-upright-row-male.jpg",4,500,500)</f>
        <v/>
      </c>
      <c r="B1417" s="30">
        <v>590.0</v>
      </c>
      <c r="C1417" s="16" t="s">
        <v>1029</v>
      </c>
      <c r="D1417" s="16" t="s">
        <v>184</v>
      </c>
      <c r="E1417" s="16" t="s">
        <v>228</v>
      </c>
      <c r="F1417" s="16" t="s">
        <v>186</v>
      </c>
      <c r="G1417" s="16" t="s">
        <v>544</v>
      </c>
      <c r="H1417" s="16" t="s">
        <v>715</v>
      </c>
    </row>
    <row r="1418" ht="330.75" customHeight="1">
      <c r="A1418" s="32" t="str">
        <f>IMAGE("https://gymvisual.com/10255-catalog_default/barbell-shoulder-grip-upright-row-female.jpg",4,500,500)</f>
        <v/>
      </c>
      <c r="B1418" s="30">
        <v>589.0</v>
      </c>
      <c r="C1418" s="16" t="s">
        <v>1028</v>
      </c>
      <c r="D1418" s="16" t="s">
        <v>184</v>
      </c>
      <c r="E1418" s="16" t="s">
        <v>228</v>
      </c>
      <c r="F1418" s="16" t="s">
        <v>186</v>
      </c>
      <c r="G1418" s="16" t="s">
        <v>544</v>
      </c>
      <c r="H1418" s="16" t="s">
        <v>713</v>
      </c>
    </row>
    <row r="1419" ht="330.75" customHeight="1">
      <c r="A1419" s="32" t="str">
        <f>IMAGE("https://gymvisual.com/305-catalog_default/barbell-seated-twist-on-stability-ball.jpg",4,500,500)</f>
        <v/>
      </c>
      <c r="B1419" s="30">
        <v>588.0</v>
      </c>
      <c r="C1419" s="16" t="s">
        <v>1027</v>
      </c>
      <c r="D1419" s="16" t="s">
        <v>184</v>
      </c>
      <c r="E1419" s="16" t="s">
        <v>254</v>
      </c>
      <c r="F1419" s="16" t="s">
        <v>186</v>
      </c>
      <c r="G1419" s="16" t="s">
        <v>257</v>
      </c>
      <c r="H1419" s="16" t="s">
        <v>271</v>
      </c>
    </row>
    <row r="1420" ht="330.75" customHeight="1">
      <c r="A1420" s="32" t="str">
        <f>IMAGE("https://gymvisual.com/308-catalog_default/barbell-seated-twist.jpg",4,500,500)</f>
        <v/>
      </c>
      <c r="B1420" s="30">
        <v>587.0</v>
      </c>
      <c r="C1420" s="16" t="s">
        <v>1026</v>
      </c>
      <c r="D1420" s="16" t="s">
        <v>184</v>
      </c>
      <c r="E1420" s="16" t="s">
        <v>254</v>
      </c>
      <c r="F1420" s="16" t="s">
        <v>186</v>
      </c>
      <c r="G1420" s="16" t="s">
        <v>257</v>
      </c>
      <c r="H1420" s="16" t="s">
        <v>271</v>
      </c>
    </row>
    <row r="1421" ht="330.75" customHeight="1">
      <c r="A1421" s="32" t="str">
        <f>IMAGE("https://gymvisual.com/17464-catalog_default/barbell-seated-shrug.jpg",4,500,500)</f>
        <v/>
      </c>
      <c r="B1421" s="30">
        <v>586.0</v>
      </c>
      <c r="C1421" s="16" t="s">
        <v>1025</v>
      </c>
      <c r="D1421" s="16" t="s">
        <v>184</v>
      </c>
      <c r="E1421" s="16" t="s">
        <v>192</v>
      </c>
      <c r="F1421" s="16" t="s">
        <v>186</v>
      </c>
      <c r="G1421" s="16" t="s">
        <v>238</v>
      </c>
      <c r="H1421" s="16" t="s">
        <v>239</v>
      </c>
    </row>
    <row r="1422" ht="330.75" customHeight="1">
      <c r="A1422" s="32" t="str">
        <f>IMAGE("https://gymvisual.com/11366-catalog_default/barbell-seated-overhead-triceps-extension-female.jpg",4,500,500)</f>
        <v/>
      </c>
      <c r="B1422" s="30">
        <v>585.0</v>
      </c>
      <c r="C1422" s="16" t="s">
        <v>1024</v>
      </c>
      <c r="D1422" s="16" t="s">
        <v>184</v>
      </c>
      <c r="E1422" s="16" t="s">
        <v>219</v>
      </c>
      <c r="F1422" s="16" t="s">
        <v>186</v>
      </c>
      <c r="G1422" s="16" t="s">
        <v>223</v>
      </c>
      <c r="H1422" s="16" t="s">
        <v>220</v>
      </c>
    </row>
    <row r="1423" ht="330.75" customHeight="1">
      <c r="A1423" s="32" t="str">
        <f>IMAGE("https://gymvisual.com/302-catalog_default/barbell-seated-overhead-triceps-extension.jpg",4,500,500)</f>
        <v/>
      </c>
      <c r="B1423" s="30">
        <v>584.0</v>
      </c>
      <c r="C1423" s="16" t="s">
        <v>1023</v>
      </c>
      <c r="D1423" s="16" t="s">
        <v>184</v>
      </c>
      <c r="E1423" s="16" t="s">
        <v>219</v>
      </c>
      <c r="F1423" s="16" t="s">
        <v>186</v>
      </c>
      <c r="G1423" s="16" t="s">
        <v>223</v>
      </c>
      <c r="H1423" s="16" t="s">
        <v>220</v>
      </c>
    </row>
    <row r="1424" ht="330.75" customHeight="1">
      <c r="A1424" s="32" t="str">
        <f>IMAGE("https://gymvisual.com/11360-catalog_default/barbell-seated-overhead-press-female.jpg",4,500,500)</f>
        <v/>
      </c>
      <c r="B1424" s="30">
        <v>583.0</v>
      </c>
      <c r="C1424" s="16" t="s">
        <v>1022</v>
      </c>
      <c r="D1424" s="16" t="s">
        <v>184</v>
      </c>
      <c r="E1424" s="16" t="s">
        <v>228</v>
      </c>
      <c r="F1424" s="16" t="s">
        <v>186</v>
      </c>
      <c r="G1424" s="16" t="s">
        <v>229</v>
      </c>
      <c r="H1424" s="16" t="s">
        <v>230</v>
      </c>
    </row>
    <row r="1425" ht="330.75" customHeight="1">
      <c r="A1425" s="32" t="str">
        <f>IMAGE("https://gymvisual.com/299-catalog_default/barbell-seated-overhead-press.jpg",4,500,500)</f>
        <v/>
      </c>
      <c r="B1425" s="30">
        <v>582.0</v>
      </c>
      <c r="C1425" s="16" t="s">
        <v>1021</v>
      </c>
      <c r="D1425" s="16" t="s">
        <v>184</v>
      </c>
      <c r="E1425" s="16" t="s">
        <v>228</v>
      </c>
      <c r="F1425" s="16" t="s">
        <v>186</v>
      </c>
      <c r="G1425" s="16" t="s">
        <v>229</v>
      </c>
      <c r="H1425" s="16" t="s">
        <v>230</v>
      </c>
    </row>
    <row r="1426" ht="330.75" customHeight="1">
      <c r="A1426" s="32" t="str">
        <f>IMAGE("https://gymvisual.com/2956-catalog_default/barbell-seated-military-press-inside-squat-cage.jpg",4,500,500)</f>
        <v/>
      </c>
      <c r="B1426" s="30">
        <v>581.0</v>
      </c>
      <c r="C1426" s="16" t="s">
        <v>1020</v>
      </c>
      <c r="D1426" s="16" t="s">
        <v>184</v>
      </c>
      <c r="E1426" s="16" t="s">
        <v>228</v>
      </c>
      <c r="F1426" s="16" t="s">
        <v>186</v>
      </c>
      <c r="G1426" s="16" t="s">
        <v>229</v>
      </c>
      <c r="H1426" s="16" t="s">
        <v>626</v>
      </c>
    </row>
    <row r="1427" ht="330.75" customHeight="1">
      <c r="A1427" s="32" t="str">
        <f>IMAGE("https://gymvisual.com/19491-catalog_default/barbell-seated-high-front-raise.jpg",4,500,500)</f>
        <v/>
      </c>
      <c r="B1427" s="30">
        <v>580.0</v>
      </c>
      <c r="C1427" s="16" t="s">
        <v>1019</v>
      </c>
      <c r="D1427" s="16" t="s">
        <v>184</v>
      </c>
      <c r="E1427" s="16" t="s">
        <v>228</v>
      </c>
      <c r="F1427" s="16" t="s">
        <v>186</v>
      </c>
      <c r="G1427" s="16" t="s">
        <v>220</v>
      </c>
      <c r="H1427" s="16" t="s">
        <v>220</v>
      </c>
    </row>
    <row r="1428" ht="330.75" customHeight="1">
      <c r="A1428" s="32" t="str">
        <f>IMAGE("https://gymvisual.com/11354-catalog_default/barbell-seated-good-morning-female.jpg",4,500,500)</f>
        <v/>
      </c>
      <c r="B1428" s="30">
        <v>579.0</v>
      </c>
      <c r="C1428" s="16" t="s">
        <v>1018</v>
      </c>
      <c r="D1428" s="16" t="s">
        <v>184</v>
      </c>
      <c r="E1428" s="16" t="s">
        <v>185</v>
      </c>
      <c r="F1428" s="16" t="s">
        <v>186</v>
      </c>
      <c r="G1428" s="16" t="s">
        <v>220</v>
      </c>
      <c r="H1428" s="16" t="s">
        <v>220</v>
      </c>
    </row>
    <row r="1429" ht="330.75" customHeight="1">
      <c r="A1429" s="32" t="str">
        <f>IMAGE("https://gymvisual.com/296-catalog_default/barbell-seated-good-morning.jpg",4,500,500)</f>
        <v/>
      </c>
      <c r="B1429" s="30">
        <v>578.0</v>
      </c>
      <c r="C1429" s="16" t="s">
        <v>1017</v>
      </c>
      <c r="D1429" s="16" t="s">
        <v>184</v>
      </c>
      <c r="E1429" s="16" t="s">
        <v>185</v>
      </c>
      <c r="F1429" s="16" t="s">
        <v>186</v>
      </c>
      <c r="G1429" s="16" t="s">
        <v>187</v>
      </c>
      <c r="H1429" s="16" t="s">
        <v>188</v>
      </c>
    </row>
    <row r="1430" ht="330.75" customHeight="1">
      <c r="A1430" s="32" t="str">
        <f>IMAGE("https://gymvisual.com/16384-catalog_default/barbell-seated-front-raise.jpg",4,500,500)</f>
        <v/>
      </c>
      <c r="B1430" s="30">
        <v>577.0</v>
      </c>
      <c r="C1430" s="16" t="s">
        <v>1016</v>
      </c>
      <c r="D1430" s="16" t="s">
        <v>184</v>
      </c>
      <c r="E1430" s="16" t="s">
        <v>228</v>
      </c>
      <c r="F1430" s="16" t="s">
        <v>186</v>
      </c>
      <c r="G1430" s="16" t="s">
        <v>229</v>
      </c>
      <c r="H1430" s="16" t="s">
        <v>244</v>
      </c>
    </row>
    <row r="1431" ht="330.75" customHeight="1">
      <c r="A1431" s="32" t="str">
        <f>IMAGE("https://gymvisual.com/7158-catalog_default/barbell-seated-close-grip-concentration-curl.jpg",4,500,500)</f>
        <v/>
      </c>
      <c r="B1431" s="30">
        <v>576.0</v>
      </c>
      <c r="C1431" s="16" t="s">
        <v>1015</v>
      </c>
      <c r="D1431" s="16" t="s">
        <v>184</v>
      </c>
      <c r="E1431" s="16" t="s">
        <v>219</v>
      </c>
      <c r="F1431" s="16" t="s">
        <v>186</v>
      </c>
      <c r="G1431" s="16" t="s">
        <v>232</v>
      </c>
      <c r="H1431" s="16" t="s">
        <v>233</v>
      </c>
    </row>
    <row r="1432" ht="330.75" customHeight="1">
      <c r="A1432" s="32" t="str">
        <f>IMAGE("https://gymvisual.com/7436-catalog_default/barbell-seated-close-grip-behind-neck-triceps-extension.jpg",4,500,500)</f>
        <v/>
      </c>
      <c r="B1432" s="30">
        <v>575.0</v>
      </c>
      <c r="C1432" s="16" t="s">
        <v>1014</v>
      </c>
      <c r="D1432" s="16" t="s">
        <v>184</v>
      </c>
      <c r="E1432" s="16" t="s">
        <v>219</v>
      </c>
      <c r="F1432" s="16" t="s">
        <v>186</v>
      </c>
      <c r="G1432" s="16" t="s">
        <v>220</v>
      </c>
      <c r="H1432" s="16" t="s">
        <v>220</v>
      </c>
    </row>
    <row r="1433" ht="330.75" customHeight="1">
      <c r="A1433" s="32" t="str">
        <f>IMAGE("https://gymvisual.com/11525-catalog_default/barbell-seated-calf-raise-female.jpg",4,500,500)</f>
        <v/>
      </c>
      <c r="B1433" s="30">
        <v>574.0</v>
      </c>
      <c r="C1433" s="16" t="s">
        <v>1013</v>
      </c>
      <c r="D1433" s="16" t="s">
        <v>184</v>
      </c>
      <c r="E1433" s="16" t="s">
        <v>325</v>
      </c>
      <c r="F1433" s="16" t="s">
        <v>186</v>
      </c>
      <c r="G1433" s="16" t="s">
        <v>220</v>
      </c>
      <c r="H1433" s="16" t="s">
        <v>220</v>
      </c>
    </row>
    <row r="1434" ht="330.75" customHeight="1">
      <c r="A1434" s="32" t="str">
        <f>IMAGE("https://gymvisual.com/6066-catalog_default/barbell-seated-calf-raise.jpg",4,500,500)</f>
        <v/>
      </c>
      <c r="B1434" s="30">
        <v>573.0</v>
      </c>
      <c r="C1434" s="16" t="s">
        <v>1012</v>
      </c>
      <c r="D1434" s="16" t="s">
        <v>184</v>
      </c>
      <c r="E1434" s="16" t="s">
        <v>325</v>
      </c>
      <c r="F1434" s="16" t="s">
        <v>186</v>
      </c>
      <c r="G1434" s="16" t="s">
        <v>368</v>
      </c>
      <c r="H1434" s="16" t="s">
        <v>463</v>
      </c>
    </row>
    <row r="1435" ht="330.75" customHeight="1">
      <c r="A1435" s="32" t="str">
        <f>IMAGE("https://gymvisual.com/290-catalog_default/barbell-seated-calf-raise.jpg",4,500,500)</f>
        <v/>
      </c>
      <c r="B1435" s="30">
        <v>572.0</v>
      </c>
      <c r="C1435" s="16" t="s">
        <v>1012</v>
      </c>
      <c r="D1435" s="16" t="s">
        <v>184</v>
      </c>
      <c r="E1435" s="16" t="s">
        <v>325</v>
      </c>
      <c r="F1435" s="16" t="s">
        <v>186</v>
      </c>
      <c r="G1435" s="16" t="s">
        <v>368</v>
      </c>
      <c r="H1435" s="16" t="s">
        <v>463</v>
      </c>
    </row>
    <row r="1436" ht="330.75" customHeight="1">
      <c r="A1436" s="32" t="str">
        <f>IMAGE("https://gymvisual.com/288-catalog_default/barbell-seated-bradford-rocky-press.jpg",4,500,500)</f>
        <v/>
      </c>
      <c r="B1436" s="30">
        <v>571.0</v>
      </c>
      <c r="C1436" s="16" t="s">
        <v>1011</v>
      </c>
      <c r="D1436" s="16" t="s">
        <v>184</v>
      </c>
      <c r="E1436" s="16" t="s">
        <v>228</v>
      </c>
      <c r="F1436" s="16" t="s">
        <v>186</v>
      </c>
      <c r="G1436" s="16" t="s">
        <v>229</v>
      </c>
      <c r="H1436" s="16" t="s">
        <v>230</v>
      </c>
    </row>
    <row r="1437" ht="330.75" customHeight="1">
      <c r="A1437" s="32" t="str">
        <f>IMAGE("https://gymvisual.com/11357-catalog_default/barbell-seated-behind-head-military-press-female.jpg",4,500,500)</f>
        <v/>
      </c>
      <c r="B1437" s="30">
        <v>570.0</v>
      </c>
      <c r="C1437" s="16" t="s">
        <v>1010</v>
      </c>
      <c r="D1437" s="16" t="s">
        <v>184</v>
      </c>
      <c r="E1437" s="16" t="s">
        <v>228</v>
      </c>
      <c r="F1437" s="16" t="s">
        <v>186</v>
      </c>
      <c r="G1437" s="16" t="s">
        <v>229</v>
      </c>
      <c r="H1437" s="16" t="s">
        <v>230</v>
      </c>
    </row>
    <row r="1438" ht="330.75" customHeight="1">
      <c r="A1438" s="32" t="str">
        <f>IMAGE("https://gymvisual.com/285-catalog_default/barbell-seated-behind-head-military-press.jpg",4,500,500)</f>
        <v/>
      </c>
      <c r="B1438" s="30">
        <v>569.0</v>
      </c>
      <c r="C1438" s="16" t="s">
        <v>1009</v>
      </c>
      <c r="D1438" s="16" t="s">
        <v>184</v>
      </c>
      <c r="E1438" s="16" t="s">
        <v>228</v>
      </c>
      <c r="F1438" s="16" t="s">
        <v>186</v>
      </c>
      <c r="G1438" s="16" t="s">
        <v>229</v>
      </c>
      <c r="H1438" s="16" t="s">
        <v>230</v>
      </c>
    </row>
    <row r="1439" ht="330.75" customHeight="1">
      <c r="A1439" s="32" t="str">
        <f>IMAGE("https://gymvisual.com/6780-catalog_default/barbell-romanian-deadlift-from-deficit.jpg",4,500,500)</f>
        <v/>
      </c>
      <c r="B1439" s="30">
        <v>568.0</v>
      </c>
      <c r="C1439" s="16" t="s">
        <v>1008</v>
      </c>
      <c r="D1439" s="16" t="s">
        <v>184</v>
      </c>
      <c r="E1439" s="16" t="s">
        <v>185</v>
      </c>
      <c r="F1439" s="16" t="s">
        <v>186</v>
      </c>
      <c r="G1439" s="16" t="s">
        <v>220</v>
      </c>
      <c r="H1439" s="16" t="s">
        <v>220</v>
      </c>
    </row>
    <row r="1440" ht="330.75" customHeight="1">
      <c r="A1440" s="32" t="str">
        <f>IMAGE("https://gymvisual.com/13267-catalog_default/barbell-romanian-deadlift-female.jpg",4,500,500)</f>
        <v/>
      </c>
      <c r="B1440" s="30">
        <v>567.0</v>
      </c>
      <c r="C1440" s="16" t="s">
        <v>1007</v>
      </c>
      <c r="D1440" s="16" t="s">
        <v>184</v>
      </c>
      <c r="E1440" s="16" t="s">
        <v>294</v>
      </c>
      <c r="F1440" s="16" t="s">
        <v>186</v>
      </c>
      <c r="G1440" s="16" t="s">
        <v>267</v>
      </c>
      <c r="H1440" s="16" t="s">
        <v>975</v>
      </c>
    </row>
    <row r="1441" ht="330.75" customHeight="1">
      <c r="A1441" s="32" t="str">
        <f>IMAGE("https://gymvisual.com/2574-catalog_default/barbell-romanian-deadlift.jpg",4,500,500)</f>
        <v/>
      </c>
      <c r="B1441" s="30">
        <v>566.0</v>
      </c>
      <c r="C1441" s="16" t="s">
        <v>1006</v>
      </c>
      <c r="D1441" s="16" t="s">
        <v>184</v>
      </c>
      <c r="E1441" s="16" t="s">
        <v>185</v>
      </c>
      <c r="F1441" s="16" t="s">
        <v>186</v>
      </c>
      <c r="G1441" s="16" t="s">
        <v>267</v>
      </c>
      <c r="H1441" s="16" t="s">
        <v>975</v>
      </c>
    </row>
    <row r="1442" ht="330.75" customHeight="1">
      <c r="A1442" s="32" t="str">
        <f>IMAGE("https://gymvisual.com/276-catalog_default/barbell-rollout-from-bench.jpg",4,500,500)</f>
        <v/>
      </c>
      <c r="B1442" s="30">
        <v>565.0</v>
      </c>
      <c r="C1442" s="16" t="s">
        <v>1004</v>
      </c>
      <c r="D1442" s="16" t="s">
        <v>184</v>
      </c>
      <c r="E1442" s="16" t="s">
        <v>254</v>
      </c>
      <c r="F1442" s="16" t="s">
        <v>186</v>
      </c>
      <c r="G1442" s="16" t="s">
        <v>305</v>
      </c>
      <c r="H1442" s="16" t="s">
        <v>1005</v>
      </c>
    </row>
    <row r="1443" ht="330.75" customHeight="1">
      <c r="A1443" s="32" t="str">
        <f>IMAGE("https://gymvisual.com/11594-catalog_default/barbell-rollout-female.jpg",4,500,500)</f>
        <v/>
      </c>
      <c r="B1443" s="30">
        <v>564.0</v>
      </c>
      <c r="C1443" s="16" t="s">
        <v>1003</v>
      </c>
      <c r="D1443" s="16" t="s">
        <v>184</v>
      </c>
      <c r="E1443" s="16" t="s">
        <v>254</v>
      </c>
      <c r="F1443" s="16" t="s">
        <v>186</v>
      </c>
      <c r="G1443" s="16" t="s">
        <v>220</v>
      </c>
      <c r="H1443" s="16" t="s">
        <v>220</v>
      </c>
    </row>
    <row r="1444" ht="330.75" customHeight="1">
      <c r="A1444" s="32" t="str">
        <f>IMAGE("https://gymvisual.com/279-catalog_default/barbell-rollout.jpg",4,500,500)</f>
        <v/>
      </c>
      <c r="B1444" s="30">
        <v>563.0</v>
      </c>
      <c r="C1444" s="16" t="s">
        <v>1001</v>
      </c>
      <c r="D1444" s="16" t="s">
        <v>184</v>
      </c>
      <c r="E1444" s="16" t="s">
        <v>185</v>
      </c>
      <c r="F1444" s="16" t="s">
        <v>186</v>
      </c>
      <c r="G1444" s="16" t="s">
        <v>305</v>
      </c>
      <c r="H1444" s="16" t="s">
        <v>1002</v>
      </c>
    </row>
    <row r="1445" ht="330.75" customHeight="1">
      <c r="A1445" s="32" t="str">
        <f>IMAGE("https://gymvisual.com/17181-catalog_default/barbell-reverse-grip-floor-press.jpg",4,500,500)</f>
        <v/>
      </c>
      <c r="B1445" s="30">
        <v>562.0</v>
      </c>
      <c r="C1445" s="16" t="s">
        <v>1000</v>
      </c>
      <c r="D1445" s="16" t="s">
        <v>184</v>
      </c>
      <c r="E1445" s="16" t="s">
        <v>219</v>
      </c>
      <c r="F1445" s="16" t="s">
        <v>186</v>
      </c>
      <c r="G1445" s="16" t="s">
        <v>223</v>
      </c>
      <c r="H1445" s="16" t="s">
        <v>472</v>
      </c>
    </row>
    <row r="1446" ht="330.75" customHeight="1">
      <c r="A1446" s="32" t="str">
        <f>IMAGE("https://gymvisual.com/13327-catalog_default/barbell-reverse-wrist-curl-female.jpg",4,500,500)</f>
        <v/>
      </c>
      <c r="B1446" s="30">
        <v>561.0</v>
      </c>
      <c r="C1446" s="16" t="s">
        <v>999</v>
      </c>
      <c r="D1446" s="16" t="s">
        <v>184</v>
      </c>
      <c r="E1446" s="16" t="s">
        <v>214</v>
      </c>
      <c r="F1446" s="16" t="s">
        <v>186</v>
      </c>
      <c r="G1446" s="16" t="s">
        <v>604</v>
      </c>
      <c r="H1446" s="16" t="s">
        <v>220</v>
      </c>
    </row>
    <row r="1447" ht="330.75" customHeight="1">
      <c r="A1447" s="32" t="str">
        <f>IMAGE("https://gymvisual.com/273-catalog_default/barbell-reverse-wrist-curl.jpg",4,500,500)</f>
        <v/>
      </c>
      <c r="B1447" s="30">
        <v>560.0</v>
      </c>
      <c r="C1447" s="16" t="s">
        <v>125</v>
      </c>
      <c r="D1447" s="16" t="s">
        <v>184</v>
      </c>
      <c r="E1447" s="16" t="s">
        <v>214</v>
      </c>
      <c r="F1447" s="16" t="s">
        <v>186</v>
      </c>
      <c r="G1447" s="16" t="s">
        <v>604</v>
      </c>
      <c r="H1447" s="16" t="s">
        <v>220</v>
      </c>
    </row>
    <row r="1448" ht="330.75" customHeight="1">
      <c r="A1448" s="32" t="str">
        <f>IMAGE("https://gymvisual.com/11095-catalog_default/barbell-reverse-preacher-curl-femaleforearm.jpg",4,500,500)</f>
        <v/>
      </c>
      <c r="B1448" s="30">
        <v>559.0</v>
      </c>
      <c r="C1448" s="16" t="s">
        <v>998</v>
      </c>
      <c r="D1448" s="16" t="s">
        <v>184</v>
      </c>
      <c r="E1448" s="16" t="s">
        <v>214</v>
      </c>
      <c r="F1448" s="16" t="s">
        <v>186</v>
      </c>
      <c r="G1448" s="16" t="s">
        <v>220</v>
      </c>
      <c r="H1448" s="16" t="s">
        <v>220</v>
      </c>
    </row>
    <row r="1449" ht="330.75" customHeight="1">
      <c r="A1449" s="32" t="str">
        <f>IMAGE("https://gymvisual.com/25851-catalog_default/barbell-reverse-preacher-curl.jpg",4,500,500)</f>
        <v/>
      </c>
      <c r="B1449" s="30">
        <v>558.0</v>
      </c>
      <c r="C1449" s="16" t="s">
        <v>997</v>
      </c>
      <c r="D1449" s="16" t="s">
        <v>184</v>
      </c>
      <c r="E1449" s="16" t="s">
        <v>214</v>
      </c>
      <c r="F1449" s="16" t="s">
        <v>186</v>
      </c>
      <c r="G1449" s="16" t="s">
        <v>216</v>
      </c>
      <c r="H1449" s="16" t="s">
        <v>217</v>
      </c>
    </row>
    <row r="1450" ht="330.75" customHeight="1">
      <c r="A1450" s="32" t="str">
        <f>IMAGE("https://gymvisual.com/7440-catalog_default/barbell-reverse-grip-skullcrusher.jpg",4,500,500)</f>
        <v/>
      </c>
      <c r="B1450" s="30">
        <v>557.0</v>
      </c>
      <c r="C1450" s="16" t="s">
        <v>996</v>
      </c>
      <c r="D1450" s="16" t="s">
        <v>184</v>
      </c>
      <c r="E1450" s="16" t="s">
        <v>219</v>
      </c>
      <c r="F1450" s="16" t="s">
        <v>186</v>
      </c>
      <c r="G1450" s="16" t="s">
        <v>220</v>
      </c>
      <c r="H1450" s="16" t="s">
        <v>220</v>
      </c>
    </row>
    <row r="1451" ht="330.75" customHeight="1">
      <c r="A1451" s="32" t="str">
        <f>IMAGE("https://gymvisual.com/11098-catalog_default/barbell-reverse-grip-incline-row-female.jpg",4,500,500)</f>
        <v/>
      </c>
      <c r="B1451" s="30">
        <v>556.0</v>
      </c>
      <c r="C1451" s="16" t="s">
        <v>995</v>
      </c>
      <c r="D1451" s="16" t="s">
        <v>184</v>
      </c>
      <c r="E1451" s="16" t="s">
        <v>192</v>
      </c>
      <c r="F1451" s="16" t="s">
        <v>186</v>
      </c>
      <c r="G1451" s="16" t="s">
        <v>220</v>
      </c>
      <c r="H1451" s="16" t="s">
        <v>220</v>
      </c>
    </row>
    <row r="1452" ht="330.75" customHeight="1">
      <c r="A1452" s="32" t="str">
        <f>IMAGE("https://gymvisual.com/6008-catalog_default/barbell-reverse-grip-incline-bench-row.jpg",4,500,500)</f>
        <v/>
      </c>
      <c r="B1452" s="30">
        <v>555.0</v>
      </c>
      <c r="C1452" s="16" t="s">
        <v>994</v>
      </c>
      <c r="D1452" s="16" t="s">
        <v>184</v>
      </c>
      <c r="E1452" s="16" t="s">
        <v>192</v>
      </c>
      <c r="F1452" s="16" t="s">
        <v>186</v>
      </c>
      <c r="G1452" s="16" t="s">
        <v>329</v>
      </c>
      <c r="H1452" s="16" t="s">
        <v>447</v>
      </c>
    </row>
    <row r="1453" ht="330.75" customHeight="1">
      <c r="A1453" s="32" t="str">
        <f>IMAGE("https://gymvisual.com/5946-catalog_default/barbell-reverse-grip-incline-bench-press.jpg",4,500,500)</f>
        <v/>
      </c>
      <c r="B1453" s="30">
        <v>554.0</v>
      </c>
      <c r="C1453" s="16" t="s">
        <v>823</v>
      </c>
      <c r="D1453" s="16" t="s">
        <v>184</v>
      </c>
      <c r="E1453" s="16" t="s">
        <v>234</v>
      </c>
      <c r="F1453" s="16" t="s">
        <v>186</v>
      </c>
      <c r="G1453" s="16" t="s">
        <v>415</v>
      </c>
      <c r="H1453" s="16" t="s">
        <v>243</v>
      </c>
    </row>
    <row r="1454" ht="330.75" customHeight="1">
      <c r="A1454" s="32" t="str">
        <f>IMAGE("https://gymvisual.com/5945-catalog_default/barbell-reverse-grip-decline-bench-press.jpg",4,500,500)</f>
        <v/>
      </c>
      <c r="B1454" s="30">
        <v>553.0</v>
      </c>
      <c r="C1454" s="16" t="s">
        <v>823</v>
      </c>
      <c r="D1454" s="16" t="s">
        <v>184</v>
      </c>
      <c r="E1454" s="16" t="s">
        <v>234</v>
      </c>
      <c r="F1454" s="16" t="s">
        <v>186</v>
      </c>
      <c r="G1454" s="16" t="s">
        <v>347</v>
      </c>
      <c r="H1454" s="16" t="s">
        <v>382</v>
      </c>
    </row>
    <row r="1455" ht="330.75" customHeight="1">
      <c r="A1455" s="32" t="str">
        <f>IMAGE("https://gymvisual.com/19369-catalog_default/barbell-reverse-grip-bent-over-row-female.jpg",4,500,500)</f>
        <v/>
      </c>
      <c r="B1455" s="30">
        <v>552.0</v>
      </c>
      <c r="C1455" s="16" t="s">
        <v>993</v>
      </c>
      <c r="D1455" s="16" t="s">
        <v>184</v>
      </c>
      <c r="E1455" s="16" t="s">
        <v>192</v>
      </c>
      <c r="F1455" s="16" t="s">
        <v>186</v>
      </c>
      <c r="G1455" s="16" t="s">
        <v>329</v>
      </c>
      <c r="H1455" s="16" t="s">
        <v>457</v>
      </c>
    </row>
    <row r="1456" ht="330.75" customHeight="1">
      <c r="A1456" s="32" t="str">
        <f>IMAGE("https://gymvisual.com/10575-catalog_default/barbell-reverse-grip-bent-over-row.jpg",4,500,500)</f>
        <v/>
      </c>
      <c r="B1456" s="30">
        <v>551.0</v>
      </c>
      <c r="C1456" s="16" t="s">
        <v>992</v>
      </c>
      <c r="D1456" s="16" t="s">
        <v>184</v>
      </c>
      <c r="E1456" s="16" t="s">
        <v>192</v>
      </c>
      <c r="F1456" s="16" t="s">
        <v>186</v>
      </c>
      <c r="G1456" s="16" t="s">
        <v>329</v>
      </c>
      <c r="H1456" s="16" t="s">
        <v>330</v>
      </c>
    </row>
    <row r="1457" ht="330.75" customHeight="1">
      <c r="A1457" s="32" t="str">
        <f>IMAGE("https://gymvisual.com/23891-catalog_default/barbell-reverse-grip-bench-press.jpg",4,500,500)</f>
        <v/>
      </c>
      <c r="B1457" s="30">
        <v>550.0</v>
      </c>
      <c r="C1457" s="16" t="s">
        <v>991</v>
      </c>
      <c r="D1457" s="16" t="s">
        <v>184</v>
      </c>
      <c r="E1457" s="16" t="s">
        <v>234</v>
      </c>
      <c r="F1457" s="16" t="s">
        <v>186</v>
      </c>
      <c r="G1457" s="16" t="s">
        <v>347</v>
      </c>
      <c r="H1457" s="16" t="s">
        <v>382</v>
      </c>
    </row>
    <row r="1458" ht="330.75" customHeight="1">
      <c r="A1458" s="32" t="str">
        <f>IMAGE("https://gymvisual.com/11008-catalog_default/barbell-reverse-curl-female.jpg",4,500,500)</f>
        <v/>
      </c>
      <c r="B1458" s="30">
        <v>549.0</v>
      </c>
      <c r="C1458" s="16" t="s">
        <v>990</v>
      </c>
      <c r="D1458" s="16" t="s">
        <v>184</v>
      </c>
      <c r="E1458" s="16" t="s">
        <v>214</v>
      </c>
      <c r="F1458" s="16" t="s">
        <v>186</v>
      </c>
      <c r="G1458" s="16" t="s">
        <v>216</v>
      </c>
      <c r="H1458" s="16" t="s">
        <v>217</v>
      </c>
    </row>
    <row r="1459" ht="330.75" customHeight="1">
      <c r="A1459" s="32" t="str">
        <f>IMAGE("https://gymvisual.com/24756-catalog_default/barbell-reverse-curl.jpg",4,500,500)</f>
        <v/>
      </c>
      <c r="B1459" s="30">
        <v>548.0</v>
      </c>
      <c r="C1459" s="16" t="s">
        <v>989</v>
      </c>
      <c r="D1459" s="16" t="s">
        <v>184</v>
      </c>
      <c r="E1459" s="16" t="s">
        <v>214</v>
      </c>
      <c r="F1459" s="16" t="s">
        <v>186</v>
      </c>
      <c r="G1459" s="16" t="s">
        <v>216</v>
      </c>
      <c r="H1459" s="16" t="s">
        <v>217</v>
      </c>
    </row>
    <row r="1460" ht="330.75" customHeight="1">
      <c r="A1460" s="32" t="str">
        <f>IMAGE("https://gymvisual.com/8824-catalog_default/barbell-reverse-close-grip-bench-press.jpg",4,500,500)</f>
        <v/>
      </c>
      <c r="B1460" s="30">
        <v>547.0</v>
      </c>
      <c r="C1460" s="16" t="s">
        <v>988</v>
      </c>
      <c r="D1460" s="16" t="s">
        <v>184</v>
      </c>
      <c r="E1460" s="16" t="s">
        <v>219</v>
      </c>
      <c r="F1460" s="16" t="s">
        <v>186</v>
      </c>
      <c r="G1460" s="16" t="s">
        <v>223</v>
      </c>
      <c r="H1460" s="16" t="s">
        <v>472</v>
      </c>
    </row>
    <row r="1461" ht="330.75" customHeight="1">
      <c r="A1461" s="32" t="str">
        <f>IMAGE("https://gymvisual.com/6725-catalog_default/barbell-reverse-band-bench-press.jpg",4,500,500)</f>
        <v/>
      </c>
      <c r="B1461" s="30">
        <v>546.0</v>
      </c>
      <c r="C1461" s="16" t="s">
        <v>987</v>
      </c>
      <c r="D1461" s="16" t="s">
        <v>184</v>
      </c>
      <c r="E1461" s="16" t="s">
        <v>219</v>
      </c>
      <c r="F1461" s="16" t="s">
        <v>291</v>
      </c>
      <c r="G1461" s="16" t="s">
        <v>223</v>
      </c>
      <c r="H1461" s="16" t="s">
        <v>472</v>
      </c>
    </row>
    <row r="1462" ht="330.75" customHeight="1">
      <c r="A1462" s="32" t="str">
        <f>IMAGE("https://gymvisual.com/11546-catalog_default/barbell-revers-wrist-curl-version-2-female.jpg",4,500,500)</f>
        <v/>
      </c>
      <c r="B1462" s="30">
        <v>545.0</v>
      </c>
      <c r="C1462" s="16" t="s">
        <v>986</v>
      </c>
      <c r="D1462" s="16" t="s">
        <v>184</v>
      </c>
      <c r="E1462" s="16" t="s">
        <v>214</v>
      </c>
      <c r="F1462" s="16" t="s">
        <v>186</v>
      </c>
      <c r="G1462" s="16" t="s">
        <v>220</v>
      </c>
      <c r="H1462" s="16" t="s">
        <v>220</v>
      </c>
    </row>
    <row r="1463" ht="330.75" customHeight="1">
      <c r="A1463" s="32" t="str">
        <f>IMAGE("https://gymvisual.com/264-catalog_default/barbell-revers-wrist-curl-version-2.jpg",4,500,500)</f>
        <v/>
      </c>
      <c r="B1463" s="30">
        <v>544.0</v>
      </c>
      <c r="C1463" s="16" t="s">
        <v>985</v>
      </c>
      <c r="D1463" s="16" t="s">
        <v>184</v>
      </c>
      <c r="E1463" s="16" t="s">
        <v>214</v>
      </c>
      <c r="F1463" s="16" t="s">
        <v>186</v>
      </c>
      <c r="G1463" s="16" t="s">
        <v>604</v>
      </c>
      <c r="H1463" s="16" t="s">
        <v>220</v>
      </c>
    </row>
    <row r="1464" ht="330.75" customHeight="1">
      <c r="A1464" s="32" t="str">
        <f>IMAGE("https://gymvisual.com/19517-catalog_default/barbell-resistance-band-hip-thrust.jpg",4,500,500)</f>
        <v/>
      </c>
      <c r="B1464" s="30">
        <v>543.0</v>
      </c>
      <c r="C1464" s="16" t="s">
        <v>984</v>
      </c>
      <c r="D1464" s="16" t="s">
        <v>184</v>
      </c>
      <c r="E1464" s="16" t="s">
        <v>185</v>
      </c>
      <c r="F1464" s="16" t="s">
        <v>186</v>
      </c>
      <c r="G1464" s="16" t="s">
        <v>220</v>
      </c>
      <c r="H1464" s="16" t="s">
        <v>220</v>
      </c>
    </row>
    <row r="1465" ht="330.75" customHeight="1">
      <c r="A1465" s="32" t="str">
        <f>IMAGE("https://gymvisual.com/17933-catalog_default/barbell-reeves-deadlift-male.jpg",4,500,500)</f>
        <v/>
      </c>
      <c r="B1465" s="30">
        <v>542.0</v>
      </c>
      <c r="C1465" s="16" t="s">
        <v>983</v>
      </c>
      <c r="D1465" s="16" t="s">
        <v>184</v>
      </c>
      <c r="E1465" s="16" t="s">
        <v>185</v>
      </c>
      <c r="F1465" s="16" t="s">
        <v>186</v>
      </c>
      <c r="G1465" s="16" t="s">
        <v>220</v>
      </c>
      <c r="H1465" s="16" t="s">
        <v>220</v>
      </c>
    </row>
    <row r="1466" ht="330.75" customHeight="1">
      <c r="A1466" s="32" t="str">
        <f>IMAGE("https://gymvisual.com/258-catalog_default/barbell-rear-lunge-version-2.jpg",4,500,500)</f>
        <v/>
      </c>
      <c r="B1466" s="30">
        <v>541.0</v>
      </c>
      <c r="C1466" s="16" t="s">
        <v>982</v>
      </c>
      <c r="D1466" s="16" t="s">
        <v>184</v>
      </c>
      <c r="E1466" s="16" t="s">
        <v>285</v>
      </c>
      <c r="F1466" s="16" t="s">
        <v>186</v>
      </c>
      <c r="G1466" s="16" t="s">
        <v>189</v>
      </c>
      <c r="H1466" s="16" t="s">
        <v>190</v>
      </c>
    </row>
    <row r="1467" ht="330.75" customHeight="1">
      <c r="A1467" s="32" t="str">
        <f>IMAGE("https://gymvisual.com/9592-catalog_default/barbell-rear-lunge-female.jpg",4,500,500)</f>
        <v/>
      </c>
      <c r="B1467" s="30">
        <v>540.0</v>
      </c>
      <c r="C1467" s="16" t="s">
        <v>981</v>
      </c>
      <c r="D1467" s="16" t="s">
        <v>184</v>
      </c>
      <c r="E1467" s="16" t="s">
        <v>294</v>
      </c>
      <c r="F1467" s="16" t="s">
        <v>186</v>
      </c>
      <c r="G1467" s="16" t="s">
        <v>189</v>
      </c>
      <c r="H1467" s="16" t="s">
        <v>190</v>
      </c>
    </row>
    <row r="1468" ht="330.75" customHeight="1">
      <c r="A1468" s="32" t="str">
        <f>IMAGE("https://gymvisual.com/261-catalog_default/barbell-rear-lunge.jpg",4,500,500)</f>
        <v/>
      </c>
      <c r="B1468" s="30">
        <v>539.0</v>
      </c>
      <c r="C1468" s="16" t="s">
        <v>97</v>
      </c>
      <c r="D1468" s="16" t="s">
        <v>184</v>
      </c>
      <c r="E1468" s="16" t="s">
        <v>285</v>
      </c>
      <c r="F1468" s="16" t="s">
        <v>186</v>
      </c>
      <c r="G1468" s="16" t="s">
        <v>189</v>
      </c>
      <c r="H1468" s="16" t="s">
        <v>190</v>
      </c>
    </row>
    <row r="1469" ht="330.75" customHeight="1">
      <c r="A1469" s="32" t="str">
        <f>IMAGE("https://gymvisual.com/19315-catalog_default/barbell-rear-delt-row.jpg",4,500,500)</f>
        <v/>
      </c>
      <c r="B1469" s="30">
        <v>538.0</v>
      </c>
      <c r="C1469" s="16" t="s">
        <v>979</v>
      </c>
      <c r="D1469" s="16" t="s">
        <v>184</v>
      </c>
      <c r="E1469" s="16" t="s">
        <v>228</v>
      </c>
      <c r="F1469" s="16" t="s">
        <v>186</v>
      </c>
      <c r="G1469" s="16" t="s">
        <v>408</v>
      </c>
      <c r="H1469" s="16" t="s">
        <v>980</v>
      </c>
    </row>
    <row r="1470" ht="330.75" customHeight="1">
      <c r="A1470" s="32" t="str">
        <f>IMAGE("https://gymvisual.com/11441-catalog_default/barbell-rear-delt-raise-femaleshoulder.jpg",4,500,500)</f>
        <v/>
      </c>
      <c r="B1470" s="30">
        <v>537.0</v>
      </c>
      <c r="C1470" s="16" t="s">
        <v>978</v>
      </c>
      <c r="D1470" s="16" t="s">
        <v>184</v>
      </c>
      <c r="E1470" s="16" t="s">
        <v>228</v>
      </c>
      <c r="F1470" s="16" t="s">
        <v>186</v>
      </c>
      <c r="G1470" s="16" t="s">
        <v>408</v>
      </c>
      <c r="H1470" s="16" t="s">
        <v>452</v>
      </c>
    </row>
    <row r="1471" ht="330.75" customHeight="1">
      <c r="A1471" s="32" t="str">
        <f>IMAGE("https://gymvisual.com/252-catalog_default/barbell-rear-delt-raise.jpg",4,500,500)</f>
        <v/>
      </c>
      <c r="B1471" s="30">
        <v>536.0</v>
      </c>
      <c r="C1471" s="16" t="s">
        <v>976</v>
      </c>
      <c r="D1471" s="16" t="s">
        <v>184</v>
      </c>
      <c r="E1471" s="16" t="s">
        <v>228</v>
      </c>
      <c r="F1471" s="16" t="s">
        <v>186</v>
      </c>
      <c r="G1471" s="16" t="s">
        <v>408</v>
      </c>
      <c r="H1471" s="16" t="s">
        <v>977</v>
      </c>
    </row>
    <row r="1472" ht="330.75" customHeight="1">
      <c r="A1472" s="32" t="str">
        <f>IMAGE("https://gymvisual.com/13132-catalog_default/barbell-rack-pull.jpg",4,500,500)</f>
        <v/>
      </c>
      <c r="B1472" s="30">
        <v>535.0</v>
      </c>
      <c r="C1472" s="16" t="s">
        <v>974</v>
      </c>
      <c r="D1472" s="16" t="s">
        <v>184</v>
      </c>
      <c r="E1472" s="16" t="s">
        <v>185</v>
      </c>
      <c r="F1472" s="16" t="s">
        <v>186</v>
      </c>
      <c r="G1472" s="16" t="s">
        <v>267</v>
      </c>
      <c r="H1472" s="16" t="s">
        <v>975</v>
      </c>
    </row>
    <row r="1473" ht="330.75" customHeight="1">
      <c r="A1473" s="32" t="str">
        <f>IMAGE("https://gymvisual.com/6762-catalog_default/barbell-quarter-squat.jpg",4,500,500)</f>
        <v/>
      </c>
      <c r="B1473" s="30">
        <v>534.0</v>
      </c>
      <c r="C1473" s="16" t="s">
        <v>973</v>
      </c>
      <c r="D1473" s="16" t="s">
        <v>184</v>
      </c>
      <c r="E1473" s="16" t="s">
        <v>285</v>
      </c>
      <c r="F1473" s="16" t="s">
        <v>186</v>
      </c>
      <c r="G1473" s="16" t="s">
        <v>189</v>
      </c>
      <c r="H1473" s="16" t="s">
        <v>190</v>
      </c>
    </row>
    <row r="1474" ht="330.75" customHeight="1">
      <c r="A1474" s="32" t="str">
        <f>IMAGE("https://gymvisual.com/23542-catalog_default/barbell-pullover-to-press.jpg",4,500,500)</f>
        <v/>
      </c>
      <c r="B1474" s="30">
        <v>533.0</v>
      </c>
      <c r="C1474" s="16" t="s">
        <v>971</v>
      </c>
      <c r="D1474" s="16" t="s">
        <v>184</v>
      </c>
      <c r="E1474" s="16" t="s">
        <v>192</v>
      </c>
      <c r="F1474" s="16" t="s">
        <v>186</v>
      </c>
      <c r="G1474" s="16" t="s">
        <v>300</v>
      </c>
      <c r="H1474" s="16" t="s">
        <v>972</v>
      </c>
    </row>
    <row r="1475" ht="330.75" customHeight="1">
      <c r="A1475" s="32" t="str">
        <f>IMAGE("https://gymvisual.com/18750-catalog_default/barbell-pullover.jpg",4,500,500)</f>
        <v/>
      </c>
      <c r="B1475" s="30">
        <v>532.0</v>
      </c>
      <c r="C1475" s="16" t="s">
        <v>969</v>
      </c>
      <c r="D1475" s="16" t="s">
        <v>184</v>
      </c>
      <c r="E1475" s="16" t="s">
        <v>192</v>
      </c>
      <c r="F1475" s="16" t="s">
        <v>186</v>
      </c>
      <c r="G1475" s="16" t="s">
        <v>220</v>
      </c>
      <c r="H1475" s="16" t="s">
        <v>220</v>
      </c>
    </row>
    <row r="1476" ht="330.75" customHeight="1">
      <c r="A1476" s="32" t="str">
        <f>IMAGE("https://gymvisual.com/246-catalog_default/barbell-pullover.jpg",4,500,500)</f>
        <v/>
      </c>
      <c r="B1476" s="30">
        <v>531.0</v>
      </c>
      <c r="C1476" s="16" t="s">
        <v>969</v>
      </c>
      <c r="D1476" s="16" t="s">
        <v>184</v>
      </c>
      <c r="E1476" s="16" t="s">
        <v>192</v>
      </c>
      <c r="F1476" s="16" t="s">
        <v>186</v>
      </c>
      <c r="G1476" s="16" t="s">
        <v>300</v>
      </c>
      <c r="H1476" s="16" t="s">
        <v>970</v>
      </c>
    </row>
    <row r="1477" ht="330.75" customHeight="1">
      <c r="A1477" s="32" t="str">
        <f>IMAGE("https://gymvisual.com/11089-catalog_default/barbell-prone-incline-curl-female.jpg",4,500,500)</f>
        <v/>
      </c>
      <c r="B1477" s="30">
        <v>530.0</v>
      </c>
      <c r="C1477" s="16" t="s">
        <v>968</v>
      </c>
      <c r="D1477" s="16" t="s">
        <v>184</v>
      </c>
      <c r="E1477" s="16" t="s">
        <v>219</v>
      </c>
      <c r="F1477" s="16" t="s">
        <v>186</v>
      </c>
      <c r="G1477" s="16" t="s">
        <v>241</v>
      </c>
      <c r="H1477" s="16" t="s">
        <v>292</v>
      </c>
    </row>
    <row r="1478" ht="330.75" customHeight="1">
      <c r="A1478" s="32" t="str">
        <f>IMAGE("https://gymvisual.com/243-catalog_default/barbell-prone-incline-curl.jpg",4,500,500)</f>
        <v/>
      </c>
      <c r="B1478" s="30">
        <v>529.0</v>
      </c>
      <c r="C1478" s="16" t="s">
        <v>967</v>
      </c>
      <c r="D1478" s="16" t="s">
        <v>184</v>
      </c>
      <c r="E1478" s="16" t="s">
        <v>219</v>
      </c>
      <c r="F1478" s="16" t="s">
        <v>186</v>
      </c>
      <c r="G1478" s="16" t="s">
        <v>232</v>
      </c>
      <c r="H1478" s="16" t="s">
        <v>233</v>
      </c>
    </row>
    <row r="1479" ht="330.75" customHeight="1">
      <c r="A1479" s="32" t="str">
        <f>IMAGE("https://gymvisual.com/240-catalog_default/barbell-press-sit-up.jpg",4,500,500)</f>
        <v/>
      </c>
      <c r="B1479" s="30">
        <v>528.0</v>
      </c>
      <c r="C1479" s="16" t="s">
        <v>964</v>
      </c>
      <c r="D1479" s="16" t="s">
        <v>184</v>
      </c>
      <c r="E1479" s="16" t="s">
        <v>254</v>
      </c>
      <c r="F1479" s="16" t="s">
        <v>186</v>
      </c>
      <c r="G1479" s="16" t="s">
        <v>965</v>
      </c>
      <c r="H1479" s="16" t="s">
        <v>966</v>
      </c>
    </row>
    <row r="1480" ht="330.75" customHeight="1">
      <c r="A1480" s="32" t="str">
        <f>IMAGE("https://gymvisual.com/11062-catalog_default/barbell-preacher-curl-female.jpg",4,500,500)</f>
        <v/>
      </c>
      <c r="B1480" s="30">
        <v>527.0</v>
      </c>
      <c r="C1480" s="16" t="s">
        <v>963</v>
      </c>
      <c r="D1480" s="16" t="s">
        <v>184</v>
      </c>
      <c r="E1480" s="16" t="s">
        <v>219</v>
      </c>
      <c r="F1480" s="16" t="s">
        <v>186</v>
      </c>
      <c r="G1480" s="16" t="s">
        <v>232</v>
      </c>
      <c r="H1480" s="16" t="s">
        <v>233</v>
      </c>
    </row>
    <row r="1481" ht="330.75" customHeight="1">
      <c r="A1481" s="32" t="str">
        <f>IMAGE("https://gymvisual.com/15632-catalog_default/barbell-preacher-curl.jpg",4,500,500)</f>
        <v/>
      </c>
      <c r="B1481" s="30">
        <v>526.0</v>
      </c>
      <c r="C1481" s="16" t="s">
        <v>962</v>
      </c>
      <c r="D1481" s="16" t="s">
        <v>184</v>
      </c>
      <c r="E1481" s="16" t="s">
        <v>219</v>
      </c>
      <c r="F1481" s="16" t="s">
        <v>186</v>
      </c>
      <c r="G1481" s="16" t="s">
        <v>232</v>
      </c>
      <c r="H1481" s="16" t="s">
        <v>233</v>
      </c>
    </row>
    <row r="1482" ht="330.75" customHeight="1">
      <c r="A1482" s="32" t="str">
        <f>IMAGE("https://gymvisual.com/6779-catalog_default/barbell-power-snatch-from-blocks.jpg",4,500,500)</f>
        <v/>
      </c>
      <c r="B1482" s="30">
        <v>525.0</v>
      </c>
      <c r="C1482" s="16" t="s">
        <v>960</v>
      </c>
      <c r="D1482" s="16" t="s">
        <v>184</v>
      </c>
      <c r="E1482" s="16" t="s">
        <v>764</v>
      </c>
      <c r="F1482" s="16" t="s">
        <v>186</v>
      </c>
      <c r="G1482" s="16" t="s">
        <v>961</v>
      </c>
      <c r="H1482" s="16" t="s">
        <v>220</v>
      </c>
    </row>
    <row r="1483" ht="330.75" customHeight="1">
      <c r="A1483" s="32" t="str">
        <f>IMAGE("https://gymvisual.com/20434-catalog_default/barbell-power-snatch.jpg",4,500,500)</f>
        <v/>
      </c>
      <c r="B1483" s="30">
        <v>524.0</v>
      </c>
      <c r="C1483" s="16" t="s">
        <v>959</v>
      </c>
      <c r="D1483" s="16" t="s">
        <v>184</v>
      </c>
      <c r="E1483" s="16" t="s">
        <v>764</v>
      </c>
      <c r="F1483" s="16" t="s">
        <v>186</v>
      </c>
      <c r="G1483" s="16" t="s">
        <v>954</v>
      </c>
      <c r="H1483" s="16" t="s">
        <v>220</v>
      </c>
    </row>
    <row r="1484" ht="330.75" customHeight="1">
      <c r="A1484" s="32" t="str">
        <f>IMAGE("https://gymvisual.com/25003-catalog_default/barbell-power-shrug.jpg",4,500,500)</f>
        <v/>
      </c>
      <c r="B1484" s="30">
        <v>523.0</v>
      </c>
      <c r="C1484" s="16" t="s">
        <v>958</v>
      </c>
      <c r="D1484" s="16" t="s">
        <v>184</v>
      </c>
      <c r="E1484" s="16" t="s">
        <v>192</v>
      </c>
      <c r="F1484" s="16" t="s">
        <v>186</v>
      </c>
      <c r="G1484" s="16" t="s">
        <v>220</v>
      </c>
      <c r="H1484" s="16" t="s">
        <v>220</v>
      </c>
    </row>
    <row r="1485" ht="330.75" customHeight="1">
      <c r="A1485" s="32" t="str">
        <f>IMAGE("https://gymvisual.com/11200-catalog_default/barbell-power-jerk-female.jpg",4,500,500)</f>
        <v/>
      </c>
      <c r="B1485" s="30">
        <v>522.0</v>
      </c>
      <c r="C1485" s="16" t="s">
        <v>957</v>
      </c>
      <c r="D1485" s="16" t="s">
        <v>184</v>
      </c>
      <c r="E1485" s="16" t="s">
        <v>691</v>
      </c>
      <c r="F1485" s="16" t="s">
        <v>186</v>
      </c>
      <c r="G1485" s="16" t="s">
        <v>220</v>
      </c>
      <c r="H1485" s="16" t="s">
        <v>220</v>
      </c>
    </row>
    <row r="1486" ht="330.75" customHeight="1">
      <c r="A1486" s="32" t="str">
        <f>IMAGE("https://gymvisual.com/6777-catalog_default/barbell-power-jerk.jpg",4,500,500)</f>
        <v/>
      </c>
      <c r="B1486" s="30">
        <v>521.0</v>
      </c>
      <c r="C1486" s="16" t="s">
        <v>955</v>
      </c>
      <c r="D1486" s="16" t="s">
        <v>184</v>
      </c>
      <c r="E1486" s="16" t="s">
        <v>764</v>
      </c>
      <c r="F1486" s="16" t="s">
        <v>186</v>
      </c>
      <c r="G1486" s="16" t="s">
        <v>956</v>
      </c>
      <c r="H1486" s="16" t="s">
        <v>220</v>
      </c>
    </row>
    <row r="1487" ht="330.75" customHeight="1">
      <c r="A1487" s="32" t="str">
        <f>IMAGE("https://gymvisual.com/6776-catalog_default/barbell-power-clean-from-blocks.jpg",4,500,500)</f>
        <v/>
      </c>
      <c r="B1487" s="30">
        <v>520.0</v>
      </c>
      <c r="C1487" s="16" t="s">
        <v>953</v>
      </c>
      <c r="D1487" s="16" t="s">
        <v>184</v>
      </c>
      <c r="E1487" s="16" t="s">
        <v>764</v>
      </c>
      <c r="F1487" s="16" t="s">
        <v>186</v>
      </c>
      <c r="G1487" s="16" t="s">
        <v>954</v>
      </c>
      <c r="H1487" s="16" t="s">
        <v>220</v>
      </c>
    </row>
    <row r="1488" ht="330.75" customHeight="1">
      <c r="A1488" s="32" t="str">
        <f>IMAGE("https://gymvisual.com/25123-catalog_default/barbell-pin-squat.jpg",4,500,500)</f>
        <v/>
      </c>
      <c r="B1488" s="30">
        <v>519.0</v>
      </c>
      <c r="C1488" s="16" t="s">
        <v>952</v>
      </c>
      <c r="D1488" s="16" t="s">
        <v>184</v>
      </c>
      <c r="E1488" s="16" t="s">
        <v>285</v>
      </c>
      <c r="F1488" s="16" t="s">
        <v>186</v>
      </c>
      <c r="G1488" s="16" t="s">
        <v>220</v>
      </c>
      <c r="H1488" s="16" t="s">
        <v>220</v>
      </c>
    </row>
    <row r="1489" ht="330.75" customHeight="1">
      <c r="A1489" s="32" t="str">
        <f>IMAGE("https://gymvisual.com/7470-catalog_default/barbell-pin-presses.jpg",4,500,500)</f>
        <v/>
      </c>
      <c r="B1489" s="30">
        <v>518.0</v>
      </c>
      <c r="C1489" s="16" t="s">
        <v>951</v>
      </c>
      <c r="D1489" s="16" t="s">
        <v>184</v>
      </c>
      <c r="E1489" s="16" t="s">
        <v>219</v>
      </c>
      <c r="F1489" s="16" t="s">
        <v>186</v>
      </c>
      <c r="G1489" s="16" t="s">
        <v>220</v>
      </c>
      <c r="H1489" s="16" t="s">
        <v>220</v>
      </c>
    </row>
    <row r="1490" ht="330.75" customHeight="1">
      <c r="A1490" s="32" t="str">
        <f>IMAGE("https://gymvisual.com/22387-catalog_default/barbell-pin-good-morning.jpg",4,500,500)</f>
        <v/>
      </c>
      <c r="B1490" s="30">
        <v>517.0</v>
      </c>
      <c r="C1490" s="16" t="s">
        <v>950</v>
      </c>
      <c r="D1490" s="16" t="s">
        <v>184</v>
      </c>
      <c r="E1490" s="16" t="s">
        <v>285</v>
      </c>
      <c r="F1490" s="16" t="s">
        <v>186</v>
      </c>
      <c r="G1490" s="16" t="s">
        <v>220</v>
      </c>
      <c r="H1490" s="16" t="s">
        <v>220</v>
      </c>
    </row>
    <row r="1491" ht="330.75" customHeight="1">
      <c r="A1491" s="32" t="str">
        <f>IMAGE("https://gymvisual.com/22381-catalog_default/barbell-pin-front-squat.jpg",4,500,500)</f>
        <v/>
      </c>
      <c r="B1491" s="30">
        <v>516.0</v>
      </c>
      <c r="C1491" s="16" t="s">
        <v>949</v>
      </c>
      <c r="D1491" s="16" t="s">
        <v>184</v>
      </c>
      <c r="E1491" s="16" t="s">
        <v>285</v>
      </c>
      <c r="F1491" s="16" t="s">
        <v>186</v>
      </c>
      <c r="G1491" s="16" t="s">
        <v>220</v>
      </c>
      <c r="H1491" s="16" t="s">
        <v>220</v>
      </c>
    </row>
    <row r="1492" ht="330.75" customHeight="1">
      <c r="A1492" s="32" t="str">
        <f>IMAGE("https://gymvisual.com/22397-catalog_default/barbell-pin-close-grip-bench-press.jpg",4,500,500)</f>
        <v/>
      </c>
      <c r="B1492" s="30">
        <v>515.0</v>
      </c>
      <c r="C1492" s="16" t="s">
        <v>948</v>
      </c>
      <c r="D1492" s="16" t="s">
        <v>184</v>
      </c>
      <c r="E1492" s="16" t="s">
        <v>219</v>
      </c>
      <c r="F1492" s="16" t="s">
        <v>186</v>
      </c>
      <c r="G1492" s="16" t="s">
        <v>220</v>
      </c>
      <c r="H1492" s="16" t="s">
        <v>220</v>
      </c>
    </row>
    <row r="1493" ht="330.75" customHeight="1">
      <c r="A1493" s="32" t="str">
        <f>IMAGE("https://gymvisual.com/24999-catalog_default/barbell-pin-chest-press.jpg",4,500,500)</f>
        <v/>
      </c>
      <c r="B1493" s="30">
        <v>514.0</v>
      </c>
      <c r="C1493" s="16" t="s">
        <v>947</v>
      </c>
      <c r="D1493" s="16" t="s">
        <v>184</v>
      </c>
      <c r="E1493" s="16" t="s">
        <v>234</v>
      </c>
      <c r="F1493" s="16" t="s">
        <v>186</v>
      </c>
      <c r="G1493" s="16" t="s">
        <v>220</v>
      </c>
      <c r="H1493" s="16" t="s">
        <v>220</v>
      </c>
    </row>
    <row r="1494" ht="330.75" customHeight="1">
      <c r="A1494" s="32" t="str">
        <f>IMAGE("https://gymvisual.com/12418-catalog_default/barbell-pendlay-row.jpg",4,500,500)</f>
        <v/>
      </c>
      <c r="B1494" s="30">
        <v>513.0</v>
      </c>
      <c r="C1494" s="16" t="s">
        <v>946</v>
      </c>
      <c r="D1494" s="16" t="s">
        <v>184</v>
      </c>
      <c r="E1494" s="16" t="s">
        <v>192</v>
      </c>
      <c r="F1494" s="16" t="s">
        <v>186</v>
      </c>
      <c r="G1494" s="16" t="s">
        <v>329</v>
      </c>
      <c r="H1494" s="16" t="s">
        <v>447</v>
      </c>
    </row>
    <row r="1495" ht="330.75" customHeight="1">
      <c r="A1495" s="32" t="str">
        <f>IMAGE("https://gymvisual.com/26078-catalog_default/barbell-paused-sumo-deadlift.jpg",4,500,500)</f>
        <v/>
      </c>
      <c r="B1495" s="30">
        <v>512.0</v>
      </c>
      <c r="C1495" s="16" t="s">
        <v>945</v>
      </c>
      <c r="D1495" s="16" t="s">
        <v>184</v>
      </c>
      <c r="E1495" s="16" t="s">
        <v>185</v>
      </c>
      <c r="F1495" s="16" t="s">
        <v>186</v>
      </c>
      <c r="G1495" s="16" t="s">
        <v>220</v>
      </c>
      <c r="H1495" s="16" t="s">
        <v>220</v>
      </c>
    </row>
    <row r="1496" ht="330.75" customHeight="1">
      <c r="A1496" s="32" t="str">
        <f>IMAGE("https://gymvisual.com/22530-catalog_default/barbell-pause-incline-bench-press.jpg",4,500,500)</f>
        <v/>
      </c>
      <c r="B1496" s="30">
        <v>511.0</v>
      </c>
      <c r="C1496" s="16" t="s">
        <v>944</v>
      </c>
      <c r="D1496" s="16" t="s">
        <v>184</v>
      </c>
      <c r="E1496" s="16" t="s">
        <v>234</v>
      </c>
      <c r="F1496" s="16" t="s">
        <v>186</v>
      </c>
      <c r="G1496" s="16" t="s">
        <v>415</v>
      </c>
      <c r="H1496" s="16" t="s">
        <v>243</v>
      </c>
    </row>
    <row r="1497" ht="330.75" customHeight="1">
      <c r="A1497" s="32" t="str">
        <f>IMAGE("https://gymvisual.com/22528-catalog_default/barbell-pause-decline-bench-press.jpg",4,500,500)</f>
        <v/>
      </c>
      <c r="B1497" s="30">
        <v>510.0</v>
      </c>
      <c r="C1497" s="16" t="s">
        <v>943</v>
      </c>
      <c r="D1497" s="16" t="s">
        <v>184</v>
      </c>
      <c r="E1497" s="16" t="s">
        <v>234</v>
      </c>
      <c r="F1497" s="16" t="s">
        <v>186</v>
      </c>
      <c r="G1497" s="16" t="s">
        <v>347</v>
      </c>
      <c r="H1497" s="16" t="s">
        <v>382</v>
      </c>
    </row>
    <row r="1498" ht="330.75" customHeight="1">
      <c r="A1498" s="32" t="str">
        <f>IMAGE("https://gymvisual.com/25122-catalog_default/barbell-pause-deadlift.jpg",4,500,500)</f>
        <v/>
      </c>
      <c r="B1498" s="30">
        <v>509.0</v>
      </c>
      <c r="C1498" s="16" t="s">
        <v>942</v>
      </c>
      <c r="D1498" s="16" t="s">
        <v>184</v>
      </c>
      <c r="E1498" s="16" t="s">
        <v>185</v>
      </c>
      <c r="F1498" s="16" t="s">
        <v>186</v>
      </c>
      <c r="G1498" s="16" t="s">
        <v>220</v>
      </c>
      <c r="H1498" s="16" t="s">
        <v>220</v>
      </c>
    </row>
    <row r="1499" ht="330.75" customHeight="1">
      <c r="A1499" s="32" t="str">
        <f>IMAGE("https://gymvisual.com/22532-catalog_default/barbell-pause-bench-press.jpg",4,500,500)</f>
        <v/>
      </c>
      <c r="B1499" s="30">
        <v>508.0</v>
      </c>
      <c r="C1499" s="16" t="s">
        <v>941</v>
      </c>
      <c r="D1499" s="16" t="s">
        <v>184</v>
      </c>
      <c r="E1499" s="16" t="s">
        <v>234</v>
      </c>
      <c r="F1499" s="16" t="s">
        <v>186</v>
      </c>
      <c r="G1499" s="16" t="s">
        <v>347</v>
      </c>
      <c r="H1499" s="16" t="s">
        <v>382</v>
      </c>
    </row>
    <row r="1500" ht="330.75" customHeight="1">
      <c r="A1500" s="32" t="str">
        <f>IMAGE("https://gymvisual.com/11543-catalog_default/barbell-palms-up-wrist-curl-over-a-bench-female.jpg",4,500,500)</f>
        <v/>
      </c>
      <c r="B1500" s="30">
        <v>507.0</v>
      </c>
      <c r="C1500" s="16" t="s">
        <v>940</v>
      </c>
      <c r="D1500" s="16" t="s">
        <v>184</v>
      </c>
      <c r="E1500" s="16" t="s">
        <v>214</v>
      </c>
      <c r="F1500" s="16" t="s">
        <v>186</v>
      </c>
      <c r="G1500" s="16" t="s">
        <v>220</v>
      </c>
      <c r="H1500" s="16" t="s">
        <v>220</v>
      </c>
    </row>
    <row r="1501" ht="330.75" customHeight="1">
      <c r="A1501" s="32" t="str">
        <f>IMAGE("https://gymvisual.com/6264-catalog_default/barbell-palms-up-wrist-curl-over-a-bench.jpg",4,500,500)</f>
        <v/>
      </c>
      <c r="B1501" s="30">
        <v>506.0</v>
      </c>
      <c r="C1501" s="16" t="s">
        <v>939</v>
      </c>
      <c r="D1501" s="16" t="s">
        <v>184</v>
      </c>
      <c r="E1501" s="16" t="s">
        <v>214</v>
      </c>
      <c r="F1501" s="16" t="s">
        <v>186</v>
      </c>
      <c r="G1501" s="16" t="s">
        <v>720</v>
      </c>
      <c r="H1501" s="16" t="s">
        <v>220</v>
      </c>
    </row>
    <row r="1502" ht="330.75" customHeight="1">
      <c r="A1502" s="32" t="str">
        <f>IMAGE("https://gymvisual.com/11540-catalog_default/barbell-palms-down-wrist-curl-over-a-bench-female.jpg",4,500,500)</f>
        <v/>
      </c>
      <c r="B1502" s="30">
        <v>505.0</v>
      </c>
      <c r="C1502" s="16" t="s">
        <v>938</v>
      </c>
      <c r="D1502" s="16" t="s">
        <v>184</v>
      </c>
      <c r="E1502" s="16" t="s">
        <v>214</v>
      </c>
      <c r="F1502" s="16" t="s">
        <v>186</v>
      </c>
      <c r="G1502" s="16" t="s">
        <v>220</v>
      </c>
      <c r="H1502" s="16" t="s">
        <v>220</v>
      </c>
    </row>
    <row r="1503" ht="330.75" customHeight="1">
      <c r="A1503" s="32" t="str">
        <f>IMAGE("https://gymvisual.com/6263-catalog_default/barbell-palms-down-wrist-curl-over-a-bench.jpg",4,500,500)</f>
        <v/>
      </c>
      <c r="B1503" s="30">
        <v>504.0</v>
      </c>
      <c r="C1503" s="16" t="s">
        <v>937</v>
      </c>
      <c r="D1503" s="16" t="s">
        <v>184</v>
      </c>
      <c r="E1503" s="16" t="s">
        <v>214</v>
      </c>
      <c r="F1503" s="16" t="s">
        <v>186</v>
      </c>
      <c r="G1503" s="16" t="s">
        <v>604</v>
      </c>
      <c r="H1503" s="16" t="s">
        <v>220</v>
      </c>
    </row>
    <row r="1504" ht="330.75" customHeight="1">
      <c r="A1504" s="32" t="str">
        <f>IMAGE("https://gymvisual.com/234-catalog_default/barbell-overhead-squat.jpg",4,500,500)</f>
        <v/>
      </c>
      <c r="B1504" s="30">
        <v>503.0</v>
      </c>
      <c r="C1504" s="16" t="s">
        <v>936</v>
      </c>
      <c r="D1504" s="16" t="s">
        <v>184</v>
      </c>
      <c r="E1504" s="16" t="s">
        <v>285</v>
      </c>
      <c r="F1504" s="16" t="s">
        <v>186</v>
      </c>
      <c r="G1504" s="16" t="s">
        <v>552</v>
      </c>
      <c r="H1504" s="16" t="s">
        <v>553</v>
      </c>
    </row>
    <row r="1505" ht="330.75" customHeight="1">
      <c r="A1505" s="32" t="str">
        <f>IMAGE("https://gymvisual.com/12193-catalog_default/barbell-overhead-shrug.jpg",4,500,500)</f>
        <v/>
      </c>
      <c r="B1505" s="30">
        <v>502.0</v>
      </c>
      <c r="C1505" s="16" t="s">
        <v>935</v>
      </c>
      <c r="D1505" s="16" t="s">
        <v>184</v>
      </c>
      <c r="E1505" s="16" t="s">
        <v>192</v>
      </c>
      <c r="F1505" s="16" t="s">
        <v>186</v>
      </c>
      <c r="G1505" s="16" t="s">
        <v>238</v>
      </c>
      <c r="H1505" s="16" t="s">
        <v>618</v>
      </c>
    </row>
    <row r="1506" ht="330.75" customHeight="1">
      <c r="A1506" s="32" t="str">
        <f>IMAGE("https://gymvisual.com/16382-catalog_default/barbell-overhead-lunge.jpg",4,500,500)</f>
        <v/>
      </c>
      <c r="B1506" s="30">
        <v>501.0</v>
      </c>
      <c r="C1506" s="16" t="s">
        <v>934</v>
      </c>
      <c r="D1506" s="16" t="s">
        <v>184</v>
      </c>
      <c r="E1506" s="16" t="s">
        <v>285</v>
      </c>
      <c r="F1506" s="16" t="s">
        <v>186</v>
      </c>
      <c r="G1506" s="16" t="s">
        <v>189</v>
      </c>
      <c r="H1506" s="16" t="s">
        <v>190</v>
      </c>
    </row>
    <row r="1507" ht="330.75" customHeight="1">
      <c r="A1507" s="32" t="str">
        <f>IMAGE("https://gymvisual.com/12176-catalog_default/barbell-overhead-carry.jpg",4,500,500)</f>
        <v/>
      </c>
      <c r="B1507" s="30">
        <v>500.0</v>
      </c>
      <c r="C1507" s="16" t="s">
        <v>933</v>
      </c>
      <c r="D1507" s="16" t="s">
        <v>184</v>
      </c>
      <c r="E1507" s="16" t="s">
        <v>285</v>
      </c>
      <c r="F1507" s="16" t="s">
        <v>186</v>
      </c>
      <c r="G1507" s="16" t="s">
        <v>220</v>
      </c>
      <c r="H1507" s="16" t="s">
        <v>220</v>
      </c>
    </row>
    <row r="1508" ht="330.75" customHeight="1">
      <c r="A1508" s="32" t="str">
        <f>IMAGE("https://gymvisual.com/231-catalog_default/barbell-one-leg-squat.jpg",4,500,500)</f>
        <v/>
      </c>
      <c r="B1508" s="30">
        <v>499.0</v>
      </c>
      <c r="C1508" s="16" t="s">
        <v>932</v>
      </c>
      <c r="D1508" s="16" t="s">
        <v>184</v>
      </c>
      <c r="E1508" s="16" t="s">
        <v>285</v>
      </c>
      <c r="F1508" s="16" t="s">
        <v>186</v>
      </c>
      <c r="G1508" s="16" t="s">
        <v>552</v>
      </c>
      <c r="H1508" s="16" t="s">
        <v>553</v>
      </c>
    </row>
    <row r="1509" ht="330.75" customHeight="1">
      <c r="A1509" s="32" t="str">
        <f>IMAGE("https://gymvisual.com/4076-catalog_default/barbell-one-leg-hip-thrust.jpg",4,500,500)</f>
        <v/>
      </c>
      <c r="B1509" s="30">
        <v>498.0</v>
      </c>
      <c r="C1509" s="16" t="s">
        <v>931</v>
      </c>
      <c r="D1509" s="16" t="s">
        <v>184</v>
      </c>
      <c r="E1509" s="16" t="s">
        <v>185</v>
      </c>
      <c r="F1509" s="16" t="s">
        <v>186</v>
      </c>
      <c r="G1509" s="16" t="s">
        <v>187</v>
      </c>
      <c r="H1509" s="16" t="s">
        <v>854</v>
      </c>
    </row>
    <row r="1510" ht="330.75" customHeight="1">
      <c r="A1510" s="32" t="str">
        <f>IMAGE("https://gymvisual.com/229-catalog_default/barbell-one-arm-snatch.jpg",4,500,500)</f>
        <v/>
      </c>
      <c r="B1510" s="30">
        <v>497.0</v>
      </c>
      <c r="C1510" s="16" t="s">
        <v>930</v>
      </c>
      <c r="D1510" s="16" t="s">
        <v>184</v>
      </c>
      <c r="E1510" s="16" t="s">
        <v>228</v>
      </c>
      <c r="F1510" s="16" t="s">
        <v>186</v>
      </c>
      <c r="G1510" s="16" t="s">
        <v>220</v>
      </c>
      <c r="H1510" s="16" t="s">
        <v>220</v>
      </c>
    </row>
    <row r="1511" ht="330.75" customHeight="1">
      <c r="A1511" s="32" t="str">
        <f>IMAGE("https://gymvisual.com/20459-catalog_default/barbell-one-arm-side-deadlift.jpg",4,500,500)</f>
        <v/>
      </c>
      <c r="B1511" s="30">
        <v>496.0</v>
      </c>
      <c r="C1511" s="16" t="s">
        <v>929</v>
      </c>
      <c r="D1511" s="16" t="s">
        <v>184</v>
      </c>
      <c r="E1511" s="16" t="s">
        <v>285</v>
      </c>
      <c r="F1511" s="16" t="s">
        <v>186</v>
      </c>
      <c r="G1511" s="16" t="s">
        <v>189</v>
      </c>
      <c r="H1511" s="16" t="s">
        <v>190</v>
      </c>
    </row>
    <row r="1512" ht="330.75" customHeight="1">
      <c r="A1512" s="32" t="str">
        <f>IMAGE("https://gymvisual.com/223-catalog_default/barbell-one-arm-floor-press.jpg",4,500,500)</f>
        <v/>
      </c>
      <c r="B1512" s="30">
        <v>495.0</v>
      </c>
      <c r="C1512" s="16" t="s">
        <v>928</v>
      </c>
      <c r="D1512" s="16" t="s">
        <v>184</v>
      </c>
      <c r="E1512" s="16" t="s">
        <v>219</v>
      </c>
      <c r="F1512" s="16" t="s">
        <v>186</v>
      </c>
      <c r="G1512" s="16" t="s">
        <v>223</v>
      </c>
      <c r="H1512" s="16" t="s">
        <v>408</v>
      </c>
    </row>
    <row r="1513" ht="330.75" customHeight="1">
      <c r="A1513" s="32" t="str">
        <f>IMAGE("https://gymvisual.com/220-catalog_default/barbell-one-arm-bent-over-row.jpg",4,500,500)</f>
        <v/>
      </c>
      <c r="B1513" s="30">
        <v>494.0</v>
      </c>
      <c r="C1513" s="16" t="s">
        <v>927</v>
      </c>
      <c r="D1513" s="16" t="s">
        <v>184</v>
      </c>
      <c r="E1513" s="16" t="s">
        <v>192</v>
      </c>
      <c r="F1513" s="16" t="s">
        <v>186</v>
      </c>
      <c r="G1513" s="16" t="s">
        <v>329</v>
      </c>
      <c r="H1513" s="16" t="s">
        <v>330</v>
      </c>
    </row>
    <row r="1514" ht="330.75" customHeight="1">
      <c r="A1514" s="32" t="str">
        <f>IMAGE("https://gymvisual.com/6775-catalog_default/barbell-olympic-squat.jpg",4,500,500)</f>
        <v/>
      </c>
      <c r="B1514" s="30">
        <v>493.0</v>
      </c>
      <c r="C1514" s="16" t="s">
        <v>926</v>
      </c>
      <c r="D1514" s="16" t="s">
        <v>184</v>
      </c>
      <c r="E1514" s="16" t="s">
        <v>285</v>
      </c>
      <c r="F1514" s="16" t="s">
        <v>186</v>
      </c>
      <c r="G1514" s="16" t="s">
        <v>220</v>
      </c>
      <c r="H1514" s="16" t="s">
        <v>220</v>
      </c>
    </row>
    <row r="1515" ht="330.75" customHeight="1">
      <c r="A1515" s="32" t="str">
        <f>IMAGE("https://gymvisual.com/24828-catalog_default/barbell-narrow-stance-squat-male.jpg",4,500,500)</f>
        <v/>
      </c>
      <c r="B1515" s="30">
        <v>492.0</v>
      </c>
      <c r="C1515" s="16" t="s">
        <v>925</v>
      </c>
      <c r="D1515" s="16" t="s">
        <v>184</v>
      </c>
      <c r="E1515" s="16" t="s">
        <v>285</v>
      </c>
      <c r="F1515" s="16" t="s">
        <v>186</v>
      </c>
      <c r="G1515" s="16" t="s">
        <v>552</v>
      </c>
      <c r="H1515" s="16" t="s">
        <v>553</v>
      </c>
    </row>
    <row r="1516" ht="330.75" customHeight="1">
      <c r="A1516" s="32" t="str">
        <f>IMAGE("https://gymvisual.com/10367-catalog_default/barbell-narrow-stance-squat-female.jpg",4,500,500)</f>
        <v/>
      </c>
      <c r="B1516" s="30">
        <v>491.0</v>
      </c>
      <c r="C1516" s="16" t="s">
        <v>924</v>
      </c>
      <c r="D1516" s="16" t="s">
        <v>184</v>
      </c>
      <c r="E1516" s="16" t="s">
        <v>285</v>
      </c>
      <c r="F1516" s="16" t="s">
        <v>186</v>
      </c>
      <c r="G1516" s="16" t="s">
        <v>189</v>
      </c>
      <c r="H1516" s="16" t="s">
        <v>190</v>
      </c>
    </row>
    <row r="1517" ht="330.75" customHeight="1">
      <c r="A1517" s="32" t="str">
        <f>IMAGE("https://gymvisual.com/217-catalog_default/barbell-narrow-stance-squat.jpg",4,500,500)</f>
        <v/>
      </c>
      <c r="B1517" s="30">
        <v>490.0</v>
      </c>
      <c r="C1517" s="16" t="s">
        <v>923</v>
      </c>
      <c r="D1517" s="16" t="s">
        <v>184</v>
      </c>
      <c r="E1517" s="16" t="s">
        <v>285</v>
      </c>
      <c r="F1517" s="16" t="s">
        <v>186</v>
      </c>
      <c r="G1517" s="16" t="s">
        <v>189</v>
      </c>
      <c r="H1517" s="16" t="s">
        <v>190</v>
      </c>
    </row>
    <row r="1518" ht="330.75" customHeight="1">
      <c r="A1518" s="32" t="str">
        <f>IMAGE("https://gymvisual.com/214-catalog_default/barbell-narrow-row.jpg",4,500,500)</f>
        <v/>
      </c>
      <c r="B1518" s="30">
        <v>489.0</v>
      </c>
      <c r="C1518" s="16" t="s">
        <v>922</v>
      </c>
      <c r="D1518" s="16" t="s">
        <v>184</v>
      </c>
      <c r="E1518" s="16" t="s">
        <v>192</v>
      </c>
      <c r="F1518" s="16" t="s">
        <v>186</v>
      </c>
      <c r="G1518" s="16" t="s">
        <v>570</v>
      </c>
      <c r="H1518" s="16" t="s">
        <v>447</v>
      </c>
    </row>
    <row r="1519" ht="330.75" customHeight="1">
      <c r="A1519" s="32" t="str">
        <f>IMAGE("https://gymvisual.com/20432-catalog_default/barbell-muscle-snatch.jpg",4,500,500)</f>
        <v/>
      </c>
      <c r="B1519" s="30">
        <v>488.0</v>
      </c>
      <c r="C1519" s="16" t="s">
        <v>921</v>
      </c>
      <c r="D1519" s="16" t="s">
        <v>184</v>
      </c>
      <c r="E1519" s="16" t="s">
        <v>764</v>
      </c>
      <c r="F1519" s="16" t="s">
        <v>186</v>
      </c>
      <c r="G1519" s="16" t="s">
        <v>220</v>
      </c>
      <c r="H1519" s="16" t="s">
        <v>220</v>
      </c>
    </row>
    <row r="1520" ht="330.75" customHeight="1">
      <c r="A1520" s="32" t="str">
        <f>IMAGE("https://gymvisual.com/12834-catalog_default/barbell-military-press-with-hanging-band-technique.jpg",4,500,500)</f>
        <v/>
      </c>
      <c r="B1520" s="30">
        <v>487.0</v>
      </c>
      <c r="C1520" s="16" t="s">
        <v>920</v>
      </c>
      <c r="D1520" s="16" t="s">
        <v>184</v>
      </c>
      <c r="E1520" s="16" t="s">
        <v>228</v>
      </c>
      <c r="F1520" s="16" t="s">
        <v>186</v>
      </c>
      <c r="G1520" s="16" t="s">
        <v>229</v>
      </c>
      <c r="H1520" s="16" t="s">
        <v>626</v>
      </c>
    </row>
    <row r="1521" ht="330.75" customHeight="1">
      <c r="A1521" s="32" t="str">
        <f>IMAGE("https://gymvisual.com/18241-catalog_default/barbell-lying-triceps-extension-skull-crusher.jpg",4,500,500)</f>
        <v/>
      </c>
      <c r="B1521" s="30">
        <v>486.0</v>
      </c>
      <c r="C1521" s="16" t="s">
        <v>919</v>
      </c>
      <c r="D1521" s="16" t="s">
        <v>184</v>
      </c>
      <c r="E1521" s="16" t="s">
        <v>219</v>
      </c>
      <c r="F1521" s="16" t="s">
        <v>186</v>
      </c>
      <c r="G1521" s="16" t="s">
        <v>223</v>
      </c>
      <c r="H1521" s="16" t="s">
        <v>472</v>
      </c>
    </row>
    <row r="1522" ht="330.75" customHeight="1">
      <c r="A1522" s="32" t="str">
        <f>IMAGE("https://gymvisual.com/11573-catalog_default/barbell-lying-triceps-extension-female.jpg",4,500,500)</f>
        <v/>
      </c>
      <c r="B1522" s="30">
        <v>485.0</v>
      </c>
      <c r="C1522" s="16" t="s">
        <v>918</v>
      </c>
      <c r="D1522" s="16" t="s">
        <v>184</v>
      </c>
      <c r="E1522" s="16" t="s">
        <v>219</v>
      </c>
      <c r="F1522" s="16" t="s">
        <v>186</v>
      </c>
      <c r="G1522" s="16" t="s">
        <v>223</v>
      </c>
      <c r="H1522" s="16" t="s">
        <v>220</v>
      </c>
    </row>
    <row r="1523" ht="330.75" customHeight="1">
      <c r="A1523" s="32" t="str">
        <f>IMAGE("https://gymvisual.com/211-catalog_default/barbell-lying-triceps-extension.jpg",4,500,500)</f>
        <v/>
      </c>
      <c r="B1523" s="30">
        <v>484.0</v>
      </c>
      <c r="C1523" s="16" t="s">
        <v>917</v>
      </c>
      <c r="D1523" s="16" t="s">
        <v>184</v>
      </c>
      <c r="E1523" s="16" t="s">
        <v>219</v>
      </c>
      <c r="F1523" s="16" t="s">
        <v>186</v>
      </c>
      <c r="G1523" s="16" t="s">
        <v>223</v>
      </c>
      <c r="H1523" s="16" t="s">
        <v>220</v>
      </c>
    </row>
    <row r="1524" ht="330.75" customHeight="1">
      <c r="A1524" s="32" t="str">
        <f>IMAGE("https://gymvisual.com/14420-catalog_default/barbell-lying-row-on-rack.jpg",4,500,500)</f>
        <v/>
      </c>
      <c r="B1524" s="30">
        <v>483.0</v>
      </c>
      <c r="C1524" s="16" t="s">
        <v>916</v>
      </c>
      <c r="D1524" s="16" t="s">
        <v>184</v>
      </c>
      <c r="E1524" s="16" t="s">
        <v>192</v>
      </c>
      <c r="F1524" s="16" t="s">
        <v>186</v>
      </c>
      <c r="G1524" s="16" t="s">
        <v>329</v>
      </c>
      <c r="H1524" s="16" t="s">
        <v>447</v>
      </c>
    </row>
    <row r="1525" ht="330.75" customHeight="1">
      <c r="A1525" s="32" t="str">
        <f>IMAGE("https://gymvisual.com/205-catalog_default/barbell-lying-preacher-curl.jpg",4,500,500)</f>
        <v/>
      </c>
      <c r="B1525" s="30">
        <v>482.0</v>
      </c>
      <c r="C1525" s="16" t="s">
        <v>915</v>
      </c>
      <c r="D1525" s="16" t="s">
        <v>184</v>
      </c>
      <c r="E1525" s="16" t="s">
        <v>219</v>
      </c>
      <c r="F1525" s="16" t="s">
        <v>186</v>
      </c>
      <c r="G1525" s="16" t="s">
        <v>232</v>
      </c>
      <c r="H1525" s="16" t="s">
        <v>233</v>
      </c>
    </row>
    <row r="1526" ht="330.75" customHeight="1">
      <c r="A1526" s="32" t="str">
        <f>IMAGE("https://gymvisual.com/202-catalog_default/barbell-lying-lifting-on-hip.jpg",4,500,500)</f>
        <v/>
      </c>
      <c r="B1526" s="30">
        <v>481.0</v>
      </c>
      <c r="C1526" s="16" t="s">
        <v>914</v>
      </c>
      <c r="D1526" s="16" t="s">
        <v>184</v>
      </c>
      <c r="E1526" s="16" t="s">
        <v>185</v>
      </c>
      <c r="F1526" s="16" t="s">
        <v>186</v>
      </c>
      <c r="G1526" s="16" t="s">
        <v>187</v>
      </c>
      <c r="H1526" s="16" t="s">
        <v>665</v>
      </c>
    </row>
    <row r="1527" ht="330.75" customHeight="1">
      <c r="A1527" s="32" t="str">
        <f>IMAGE("https://gymvisual.com/2940-catalog_default/barbell-lying-extension.jpg",4,500,500)</f>
        <v/>
      </c>
      <c r="B1527" s="30">
        <v>480.0</v>
      </c>
      <c r="C1527" s="16" t="s">
        <v>913</v>
      </c>
      <c r="D1527" s="16" t="s">
        <v>184</v>
      </c>
      <c r="E1527" s="16" t="s">
        <v>219</v>
      </c>
      <c r="F1527" s="16" t="s">
        <v>186</v>
      </c>
      <c r="G1527" s="16" t="s">
        <v>223</v>
      </c>
      <c r="H1527" s="16" t="s">
        <v>220</v>
      </c>
    </row>
    <row r="1528" ht="330.75" customHeight="1">
      <c r="A1528" s="32" t="str">
        <f>IMAGE("https://gymvisual.com/18969-catalog_default/barbell-lying-close-grip-underhand-row-on-rack.jpg",4,500,500)</f>
        <v/>
      </c>
      <c r="B1528" s="30">
        <v>479.0</v>
      </c>
      <c r="C1528" s="16" t="s">
        <v>912</v>
      </c>
      <c r="D1528" s="16" t="s">
        <v>184</v>
      </c>
      <c r="E1528" s="16" t="s">
        <v>192</v>
      </c>
      <c r="F1528" s="16" t="s">
        <v>186</v>
      </c>
      <c r="G1528" s="16" t="s">
        <v>329</v>
      </c>
      <c r="H1528" s="16" t="s">
        <v>357</v>
      </c>
    </row>
    <row r="1529" ht="330.75" customHeight="1">
      <c r="A1529" s="32" t="str">
        <f>IMAGE("https://gymvisual.com/196-catalog_default/barbell-lying-close-grip-triceps-extension.jpg",4,500,500)</f>
        <v/>
      </c>
      <c r="B1529" s="30">
        <v>478.0</v>
      </c>
      <c r="C1529" s="16" t="s">
        <v>911</v>
      </c>
      <c r="D1529" s="16" t="s">
        <v>184</v>
      </c>
      <c r="E1529" s="16" t="s">
        <v>219</v>
      </c>
      <c r="F1529" s="16" t="s">
        <v>186</v>
      </c>
      <c r="G1529" s="16" t="s">
        <v>223</v>
      </c>
      <c r="H1529" s="16" t="s">
        <v>220</v>
      </c>
    </row>
    <row r="1530" ht="330.75" customHeight="1">
      <c r="A1530" s="32" t="str">
        <f>IMAGE("https://gymvisual.com/193-catalog_default/barbell-lying-close-grip-press.jpg",4,500,500)</f>
        <v/>
      </c>
      <c r="B1530" s="30">
        <v>477.0</v>
      </c>
      <c r="C1530" s="16" t="s">
        <v>910</v>
      </c>
      <c r="D1530" s="16" t="s">
        <v>184</v>
      </c>
      <c r="E1530" s="16" t="s">
        <v>219</v>
      </c>
      <c r="F1530" s="16" t="s">
        <v>186</v>
      </c>
      <c r="G1530" s="16" t="s">
        <v>223</v>
      </c>
      <c r="H1530" s="16" t="s">
        <v>896</v>
      </c>
    </row>
    <row r="1531" ht="330.75" customHeight="1">
      <c r="A1531" s="32" t="str">
        <f>IMAGE("https://gymvisual.com/18971-catalog_default/barbell-lying-close-grip-overhand-row-on-rack.jpg",4,500,500)</f>
        <v/>
      </c>
      <c r="B1531" s="30">
        <v>476.0</v>
      </c>
      <c r="C1531" s="16" t="s">
        <v>909</v>
      </c>
      <c r="D1531" s="16" t="s">
        <v>184</v>
      </c>
      <c r="E1531" s="16" t="s">
        <v>192</v>
      </c>
      <c r="F1531" s="16" t="s">
        <v>186</v>
      </c>
      <c r="G1531" s="16" t="s">
        <v>329</v>
      </c>
      <c r="H1531" s="16" t="s">
        <v>447</v>
      </c>
    </row>
    <row r="1532" ht="330.75" customHeight="1">
      <c r="A1532" s="32" t="str">
        <f>IMAGE("https://gymvisual.com/11369-catalog_default/barbell-lying-close-grip-triceps-extension-female.jpg",4,500,500)</f>
        <v/>
      </c>
      <c r="B1532" s="30">
        <v>475.0</v>
      </c>
      <c r="C1532" s="16" t="s">
        <v>908</v>
      </c>
      <c r="D1532" s="16" t="s">
        <v>184</v>
      </c>
      <c r="E1532" s="16" t="s">
        <v>219</v>
      </c>
      <c r="F1532" s="16" t="s">
        <v>186</v>
      </c>
      <c r="G1532" s="16" t="s">
        <v>220</v>
      </c>
      <c r="H1532" s="16" t="s">
        <v>220</v>
      </c>
    </row>
    <row r="1533" ht="330.75" customHeight="1">
      <c r="A1533" s="32" t="str">
        <f>IMAGE("https://gymvisual.com/7439-catalog_default/barbell-lying-back-of-the-head-tricep-extension.jpg",4,500,500)</f>
        <v/>
      </c>
      <c r="B1533" s="30">
        <v>474.0</v>
      </c>
      <c r="C1533" s="16" t="s">
        <v>218</v>
      </c>
      <c r="D1533" s="16" t="s">
        <v>184</v>
      </c>
      <c r="E1533" s="16" t="s">
        <v>219</v>
      </c>
      <c r="F1533" s="16" t="s">
        <v>186</v>
      </c>
      <c r="G1533" s="16" t="s">
        <v>220</v>
      </c>
      <c r="H1533" s="16" t="s">
        <v>220</v>
      </c>
    </row>
    <row r="1534" ht="330.75" customHeight="1">
      <c r="A1534" s="32" t="str">
        <f>IMAGE("https://gymvisual.com/11005-catalog_default/barbell-lunge-female.jpg",4,500,500)</f>
        <v/>
      </c>
      <c r="B1534" s="30">
        <v>473.0</v>
      </c>
      <c r="C1534" s="16" t="s">
        <v>907</v>
      </c>
      <c r="D1534" s="16" t="s">
        <v>184</v>
      </c>
      <c r="E1534" s="16" t="s">
        <v>294</v>
      </c>
      <c r="F1534" s="16" t="s">
        <v>186</v>
      </c>
      <c r="G1534" s="16" t="s">
        <v>189</v>
      </c>
      <c r="H1534" s="16" t="s">
        <v>190</v>
      </c>
    </row>
    <row r="1535" ht="330.75" customHeight="1">
      <c r="A1535" s="32" t="str">
        <f>IMAGE("https://gymvisual.com/190-catalog_default/barbell-lunge.jpg",4,500,500)</f>
        <v/>
      </c>
      <c r="B1535" s="30">
        <v>472.0</v>
      </c>
      <c r="C1535" s="16" t="s">
        <v>906</v>
      </c>
      <c r="D1535" s="16" t="s">
        <v>184</v>
      </c>
      <c r="E1535" s="16" t="s">
        <v>285</v>
      </c>
      <c r="F1535" s="16" t="s">
        <v>186</v>
      </c>
      <c r="G1535" s="16" t="s">
        <v>189</v>
      </c>
      <c r="H1535" s="16" t="s">
        <v>190</v>
      </c>
    </row>
    <row r="1536" ht="330.75" customHeight="1">
      <c r="A1536" s="32" t="str">
        <f>IMAGE("https://gymvisual.com/7720-catalog_default/barbell-low-bar-squat-with-rack.jpg",4,500,500)</f>
        <v/>
      </c>
      <c r="B1536" s="30">
        <v>471.0</v>
      </c>
      <c r="C1536" s="16" t="s">
        <v>905</v>
      </c>
      <c r="D1536" s="16" t="s">
        <v>184</v>
      </c>
      <c r="E1536" s="16" t="s">
        <v>285</v>
      </c>
      <c r="F1536" s="16" t="s">
        <v>186</v>
      </c>
      <c r="G1536" s="16" t="s">
        <v>220</v>
      </c>
      <c r="H1536" s="16" t="s">
        <v>220</v>
      </c>
    </row>
    <row r="1537" ht="330.75" customHeight="1">
      <c r="A1537" s="32" t="str">
        <f>IMAGE("https://gymvisual.com/6446-catalog_default/barbell-low-bar-squat.jpg",4,500,500)</f>
        <v/>
      </c>
      <c r="B1537" s="30">
        <v>470.0</v>
      </c>
      <c r="C1537" s="16" t="s">
        <v>904</v>
      </c>
      <c r="D1537" s="16" t="s">
        <v>184</v>
      </c>
      <c r="E1537" s="16" t="s">
        <v>285</v>
      </c>
      <c r="F1537" s="16" t="s">
        <v>186</v>
      </c>
      <c r="G1537" s="16" t="s">
        <v>189</v>
      </c>
      <c r="H1537" s="16" t="s">
        <v>190</v>
      </c>
    </row>
    <row r="1538" ht="330.75" customHeight="1">
      <c r="A1538" s="32" t="str">
        <f>IMAGE("https://gymvisual.com/11974-catalog_default/barbell-leg-twist-press.jpg",4,500,500)</f>
        <v/>
      </c>
      <c r="B1538" s="30">
        <v>469.0</v>
      </c>
      <c r="C1538" s="16" t="s">
        <v>903</v>
      </c>
      <c r="D1538" s="16" t="s">
        <v>184</v>
      </c>
      <c r="E1538" s="16" t="s">
        <v>254</v>
      </c>
      <c r="F1538" s="16" t="s">
        <v>186</v>
      </c>
      <c r="G1538" s="16" t="s">
        <v>220</v>
      </c>
      <c r="H1538" s="16" t="s">
        <v>220</v>
      </c>
    </row>
    <row r="1539" ht="330.75" customHeight="1">
      <c r="A1539" s="32" t="str">
        <f>IMAGE("https://gymvisual.com/9598-catalog_default/barbell-lateral-lunge-female.jpg",4,500,500)</f>
        <v/>
      </c>
      <c r="B1539" s="30">
        <v>468.0</v>
      </c>
      <c r="C1539" s="16" t="s">
        <v>901</v>
      </c>
      <c r="D1539" s="16" t="s">
        <v>184</v>
      </c>
      <c r="E1539" s="16" t="s">
        <v>294</v>
      </c>
      <c r="F1539" s="16" t="s">
        <v>186</v>
      </c>
      <c r="G1539" s="16" t="s">
        <v>189</v>
      </c>
      <c r="H1539" s="16" t="s">
        <v>902</v>
      </c>
    </row>
    <row r="1540" ht="330.75" customHeight="1">
      <c r="A1540" s="32" t="str">
        <f>IMAGE("https://gymvisual.com/6262-catalog_default/barbell-lateral-lunge.jpg",4,500,500)</f>
        <v/>
      </c>
      <c r="B1540" s="30">
        <v>467.0</v>
      </c>
      <c r="C1540" s="16" t="s">
        <v>900</v>
      </c>
      <c r="D1540" s="16" t="s">
        <v>184</v>
      </c>
      <c r="E1540" s="16" t="s">
        <v>185</v>
      </c>
      <c r="F1540" s="16" t="s">
        <v>186</v>
      </c>
      <c r="G1540" s="16" t="s">
        <v>189</v>
      </c>
      <c r="H1540" s="16" t="s">
        <v>190</v>
      </c>
    </row>
    <row r="1541" ht="330.75" customHeight="1">
      <c r="A1541" s="32" t="str">
        <f>IMAGE("https://gymvisual.com/19471-catalog_default/barbell-knee-raise-step-up.jpg",4,500,500)</f>
        <v/>
      </c>
      <c r="B1541" s="30">
        <v>466.0</v>
      </c>
      <c r="C1541" s="16" t="s">
        <v>899</v>
      </c>
      <c r="D1541" s="16" t="s">
        <v>184</v>
      </c>
      <c r="E1541" s="16" t="s">
        <v>285</v>
      </c>
      <c r="F1541" s="16" t="s">
        <v>186</v>
      </c>
      <c r="G1541" s="16" t="s">
        <v>220</v>
      </c>
      <c r="H1541" s="16" t="s">
        <v>220</v>
      </c>
    </row>
    <row r="1542" ht="330.75" customHeight="1">
      <c r="A1542" s="32" t="str">
        <f>IMAGE("https://gymvisual.com/23467-catalog_default/barbell-kas-glute-bridge-female.jpg",4,500,500)</f>
        <v/>
      </c>
      <c r="B1542" s="30">
        <v>465.0</v>
      </c>
      <c r="C1542" s="16" t="s">
        <v>898</v>
      </c>
      <c r="D1542" s="16" t="s">
        <v>184</v>
      </c>
      <c r="E1542" s="16" t="s">
        <v>185</v>
      </c>
      <c r="F1542" s="16" t="s">
        <v>186</v>
      </c>
      <c r="G1542" s="16" t="s">
        <v>187</v>
      </c>
      <c r="H1542" s="16" t="s">
        <v>854</v>
      </c>
    </row>
    <row r="1543" ht="330.75" customHeight="1">
      <c r="A1543" s="32" t="str">
        <f>IMAGE("https://gymvisual.com/13325-catalog_default/barbell-jm-bench-press-female.jpg",4,500,500)</f>
        <v/>
      </c>
      <c r="B1543" s="30">
        <v>464.0</v>
      </c>
      <c r="C1543" s="16" t="s">
        <v>897</v>
      </c>
      <c r="D1543" s="16" t="s">
        <v>184</v>
      </c>
      <c r="E1543" s="16" t="s">
        <v>219</v>
      </c>
      <c r="F1543" s="16" t="s">
        <v>186</v>
      </c>
      <c r="G1543" s="16" t="s">
        <v>220</v>
      </c>
      <c r="H1543" s="16" t="s">
        <v>220</v>
      </c>
    </row>
    <row r="1544" ht="330.75" customHeight="1">
      <c r="A1544" s="32" t="str">
        <f>IMAGE("https://gymvisual.com/25132-catalog_default/barbell-jm-bench-press.jpg",4,500,500)</f>
        <v/>
      </c>
      <c r="B1544" s="30">
        <v>463.0</v>
      </c>
      <c r="C1544" s="16" t="s">
        <v>895</v>
      </c>
      <c r="D1544" s="16" t="s">
        <v>184</v>
      </c>
      <c r="E1544" s="16" t="s">
        <v>219</v>
      </c>
      <c r="F1544" s="16" t="s">
        <v>186</v>
      </c>
      <c r="G1544" s="16" t="s">
        <v>223</v>
      </c>
      <c r="H1544" s="16" t="s">
        <v>896</v>
      </c>
    </row>
    <row r="1545" ht="330.75" customHeight="1">
      <c r="A1545" s="32" t="str">
        <f>IMAGE("https://gymvisual.com/6773-catalog_default/barbell-jerk-dip-squat.jpg",4,500,500)</f>
        <v/>
      </c>
      <c r="B1545" s="30">
        <v>462.0</v>
      </c>
      <c r="C1545" s="16" t="s">
        <v>894</v>
      </c>
      <c r="D1545" s="16" t="s">
        <v>184</v>
      </c>
      <c r="E1545" s="16" t="s">
        <v>285</v>
      </c>
      <c r="F1545" s="16" t="s">
        <v>186</v>
      </c>
      <c r="G1545" s="16" t="s">
        <v>220</v>
      </c>
      <c r="H1545" s="16" t="s">
        <v>220</v>
      </c>
    </row>
    <row r="1546" ht="330.75" customHeight="1">
      <c r="A1546" s="32" t="str">
        <f>IMAGE("https://gymvisual.com/14728-catalog_default/barbell-jefferson-squat.jpg",4,500,500)</f>
        <v/>
      </c>
      <c r="B1546" s="30">
        <v>461.0</v>
      </c>
      <c r="C1546" s="16" t="s">
        <v>893</v>
      </c>
      <c r="D1546" s="16" t="s">
        <v>184</v>
      </c>
      <c r="E1546" s="16" t="s">
        <v>285</v>
      </c>
      <c r="F1546" s="16" t="s">
        <v>186</v>
      </c>
      <c r="G1546" s="16" t="s">
        <v>189</v>
      </c>
      <c r="H1546" s="16" t="s">
        <v>190</v>
      </c>
    </row>
    <row r="1547" ht="330.75" customHeight="1">
      <c r="A1547" s="32" t="str">
        <f>IMAGE("https://gymvisual.com/25140-catalog_default/barbell-jefferson-deadlift.jpg",4,500,500)</f>
        <v/>
      </c>
      <c r="B1547" s="30">
        <v>460.0</v>
      </c>
      <c r="C1547" s="16" t="s">
        <v>890</v>
      </c>
      <c r="D1547" s="16" t="s">
        <v>184</v>
      </c>
      <c r="E1547" s="16" t="s">
        <v>185</v>
      </c>
      <c r="F1547" s="16" t="s">
        <v>186</v>
      </c>
      <c r="G1547" s="16" t="s">
        <v>891</v>
      </c>
      <c r="H1547" s="16" t="s">
        <v>892</v>
      </c>
    </row>
    <row r="1548" ht="330.75" customHeight="1">
      <c r="A1548" s="32" t="str">
        <f>IMAGE("https://gymvisual.com/17397-catalog_default/barbell-incline-wrist-curl-with-chest-support.jpg",4,500,500)</f>
        <v/>
      </c>
      <c r="B1548" s="30">
        <v>459.0</v>
      </c>
      <c r="C1548" s="16" t="s">
        <v>889</v>
      </c>
      <c r="D1548" s="16" t="s">
        <v>184</v>
      </c>
      <c r="E1548" s="16" t="s">
        <v>214</v>
      </c>
      <c r="F1548" s="16" t="s">
        <v>186</v>
      </c>
      <c r="G1548" s="16" t="s">
        <v>720</v>
      </c>
      <c r="H1548" s="16" t="s">
        <v>220</v>
      </c>
    </row>
    <row r="1549" ht="330.75" customHeight="1">
      <c r="A1549" s="32" t="str">
        <f>IMAGE("https://gymvisual.com/4419-catalog_default/barbell-incline-wide-reverse-grip-bench-press.jpg",4,500,500)</f>
        <v/>
      </c>
      <c r="B1549" s="30">
        <v>458.0</v>
      </c>
      <c r="C1549" s="16" t="s">
        <v>887</v>
      </c>
      <c r="D1549" s="16" t="s">
        <v>184</v>
      </c>
      <c r="E1549" s="16" t="s">
        <v>234</v>
      </c>
      <c r="F1549" s="16" t="s">
        <v>186</v>
      </c>
      <c r="G1549" s="16" t="s">
        <v>415</v>
      </c>
      <c r="H1549" s="16" t="s">
        <v>888</v>
      </c>
    </row>
    <row r="1550" ht="330.75" customHeight="1">
      <c r="A1550" s="32" t="str">
        <f>IMAGE("https://gymvisual.com/18760-catalog_default/barbell-incline-triceps-extension-skull-crusher.jpg",4,500,500)</f>
        <v/>
      </c>
      <c r="B1550" s="30">
        <v>457.0</v>
      </c>
      <c r="C1550" s="16" t="s">
        <v>886</v>
      </c>
      <c r="D1550" s="16" t="s">
        <v>184</v>
      </c>
      <c r="E1550" s="16" t="s">
        <v>219</v>
      </c>
      <c r="F1550" s="16" t="s">
        <v>186</v>
      </c>
      <c r="G1550" s="16" t="s">
        <v>223</v>
      </c>
      <c r="H1550" s="16" t="s">
        <v>220</v>
      </c>
    </row>
    <row r="1551" ht="330.75" customHeight="1">
      <c r="A1551" s="32" t="str">
        <f>IMAGE("https://gymvisual.com/179-catalog_default/barbell-incline-shoulder-raise.jpg",4,500,500)</f>
        <v/>
      </c>
      <c r="B1551" s="30">
        <v>456.0</v>
      </c>
      <c r="C1551" s="16" t="s">
        <v>884</v>
      </c>
      <c r="D1551" s="16" t="s">
        <v>184</v>
      </c>
      <c r="E1551" s="16" t="s">
        <v>234</v>
      </c>
      <c r="F1551" s="16" t="s">
        <v>186</v>
      </c>
      <c r="G1551" s="16" t="s">
        <v>885</v>
      </c>
      <c r="H1551" s="16" t="s">
        <v>415</v>
      </c>
    </row>
    <row r="1552" ht="330.75" customHeight="1">
      <c r="A1552" s="32" t="str">
        <f>IMAGE("https://gymvisual.com/11080-catalog_default/barbell-incline-row-female.jpg",4,500,500)</f>
        <v/>
      </c>
      <c r="B1552" s="30">
        <v>455.0</v>
      </c>
      <c r="C1552" s="16" t="s">
        <v>883</v>
      </c>
      <c r="D1552" s="16" t="s">
        <v>184</v>
      </c>
      <c r="E1552" s="16" t="s">
        <v>192</v>
      </c>
      <c r="F1552" s="16" t="s">
        <v>186</v>
      </c>
      <c r="G1552" s="16" t="s">
        <v>220</v>
      </c>
      <c r="H1552" s="16" t="s">
        <v>220</v>
      </c>
    </row>
    <row r="1553" ht="330.75" customHeight="1">
      <c r="A1553" s="32" t="str">
        <f>IMAGE("https://gymvisual.com/23495-catalog_default/barbell-incline-row.jpg",4,500,500)</f>
        <v/>
      </c>
      <c r="B1553" s="30">
        <v>454.0</v>
      </c>
      <c r="C1553" s="16" t="s">
        <v>191</v>
      </c>
      <c r="D1553" s="16" t="s">
        <v>184</v>
      </c>
      <c r="E1553" s="16" t="s">
        <v>192</v>
      </c>
      <c r="F1553" s="16" t="s">
        <v>186</v>
      </c>
      <c r="G1553" s="16" t="s">
        <v>193</v>
      </c>
      <c r="H1553" s="16" t="s">
        <v>194</v>
      </c>
    </row>
    <row r="1554" ht="330.75" customHeight="1">
      <c r="A1554" s="32" t="str">
        <f>IMAGE("https://gymvisual.com/173-catalog_default/barbell-incline-reverse-grip-press.jpg",4,500,500)</f>
        <v/>
      </c>
      <c r="B1554" s="30">
        <v>453.0</v>
      </c>
      <c r="C1554" s="16" t="s">
        <v>881</v>
      </c>
      <c r="D1554" s="16" t="s">
        <v>184</v>
      </c>
      <c r="E1554" s="16" t="s">
        <v>219</v>
      </c>
      <c r="F1554" s="16" t="s">
        <v>186</v>
      </c>
      <c r="G1554" s="16" t="s">
        <v>223</v>
      </c>
      <c r="H1554" s="16" t="s">
        <v>882</v>
      </c>
    </row>
    <row r="1555" ht="330.75" customHeight="1">
      <c r="A1555" s="32" t="str">
        <f>IMAGE("https://gymvisual.com/17399-catalog_default/barbell-incline-reverse-grip-spider-curl-with-chest-support.jpg",4,500,500)</f>
        <v/>
      </c>
      <c r="B1555" s="30">
        <v>452.0</v>
      </c>
      <c r="C1555" s="16" t="s">
        <v>880</v>
      </c>
      <c r="D1555" s="16" t="s">
        <v>184</v>
      </c>
      <c r="E1555" s="16" t="s">
        <v>214</v>
      </c>
      <c r="F1555" s="16" t="s">
        <v>186</v>
      </c>
      <c r="G1555" s="16" t="s">
        <v>216</v>
      </c>
      <c r="H1555" s="16" t="s">
        <v>217</v>
      </c>
    </row>
    <row r="1556" ht="330.75" customHeight="1">
      <c r="A1556" s="32" t="str">
        <f>IMAGE("https://gymvisual.com/26080-catalog_default/barbell-incline-rear-delt-row.jpg",4,500,500)</f>
        <v/>
      </c>
      <c r="B1556" s="30">
        <v>451.0</v>
      </c>
      <c r="C1556" s="16" t="s">
        <v>879</v>
      </c>
      <c r="D1556" s="16" t="s">
        <v>184</v>
      </c>
      <c r="E1556" s="16" t="s">
        <v>192</v>
      </c>
      <c r="F1556" s="16" t="s">
        <v>186</v>
      </c>
      <c r="G1556" s="16" t="s">
        <v>220</v>
      </c>
      <c r="H1556" s="16" t="s">
        <v>220</v>
      </c>
    </row>
    <row r="1557" ht="330.75" customHeight="1">
      <c r="A1557" s="32" t="str">
        <f>IMAGE("https://gymvisual.com/16376-catalog_default/barbell-incline-lying-rear-delt-raise.jpg",4,500,500)</f>
        <v/>
      </c>
      <c r="B1557" s="30">
        <v>450.0</v>
      </c>
      <c r="C1557" s="16" t="s">
        <v>877</v>
      </c>
      <c r="D1557" s="16" t="s">
        <v>184</v>
      </c>
      <c r="E1557" s="16" t="s">
        <v>228</v>
      </c>
      <c r="F1557" s="16" t="s">
        <v>186</v>
      </c>
      <c r="G1557" s="16" t="s">
        <v>229</v>
      </c>
      <c r="H1557" s="16" t="s">
        <v>878</v>
      </c>
    </row>
    <row r="1558" ht="330.75" customHeight="1">
      <c r="A1558" s="32" t="str">
        <f>IMAGE("https://gymvisual.com/11128-catalog_default/barbell-incline-close-grip-bench-press-female.jpg",4,500,500)</f>
        <v/>
      </c>
      <c r="B1558" s="30">
        <v>449.0</v>
      </c>
      <c r="C1558" s="16" t="s">
        <v>876</v>
      </c>
      <c r="D1558" s="16" t="s">
        <v>184</v>
      </c>
      <c r="E1558" s="16" t="s">
        <v>234</v>
      </c>
      <c r="F1558" s="16" t="s">
        <v>186</v>
      </c>
      <c r="G1558" s="16" t="s">
        <v>220</v>
      </c>
      <c r="H1558" s="16" t="s">
        <v>220</v>
      </c>
    </row>
    <row r="1559" ht="330.75" customHeight="1">
      <c r="A1559" s="32" t="str">
        <f>IMAGE("https://gymvisual.com/7438-catalog_default/barbell-incline-close-grip-bench-press.jpg",4,500,500)</f>
        <v/>
      </c>
      <c r="B1559" s="30">
        <v>448.0</v>
      </c>
      <c r="C1559" s="16" t="s">
        <v>875</v>
      </c>
      <c r="D1559" s="16" t="s">
        <v>184</v>
      </c>
      <c r="E1559" s="16" t="s">
        <v>219</v>
      </c>
      <c r="F1559" s="16" t="s">
        <v>186</v>
      </c>
      <c r="G1559" s="16" t="s">
        <v>223</v>
      </c>
      <c r="H1559" s="16" t="s">
        <v>472</v>
      </c>
    </row>
    <row r="1560" ht="330.75" customHeight="1">
      <c r="A1560" s="32" t="str">
        <f>IMAGE("https://gymvisual.com/10366-catalog_default/barbell-incline-bench-press-female.jpg",4,500,500)</f>
        <v/>
      </c>
      <c r="B1560" s="30">
        <v>447.0</v>
      </c>
      <c r="C1560" s="16" t="s">
        <v>874</v>
      </c>
      <c r="D1560" s="16" t="s">
        <v>184</v>
      </c>
      <c r="E1560" s="16" t="s">
        <v>234</v>
      </c>
      <c r="F1560" s="16" t="s">
        <v>186</v>
      </c>
      <c r="G1560" s="16" t="s">
        <v>415</v>
      </c>
      <c r="H1560" s="16" t="s">
        <v>243</v>
      </c>
    </row>
    <row r="1561" ht="330.75" customHeight="1">
      <c r="A1561" s="32" t="str">
        <f>IMAGE("https://gymvisual.com/19313-catalog_default/barbell-incline-bench-press.jpg",4,500,500)</f>
        <v/>
      </c>
      <c r="B1561" s="30">
        <v>446.0</v>
      </c>
      <c r="C1561" s="16" t="s">
        <v>873</v>
      </c>
      <c r="D1561" s="16" t="s">
        <v>184</v>
      </c>
      <c r="E1561" s="16" t="s">
        <v>234</v>
      </c>
      <c r="F1561" s="16" t="s">
        <v>186</v>
      </c>
      <c r="G1561" s="16" t="s">
        <v>415</v>
      </c>
      <c r="H1561" s="16" t="s">
        <v>243</v>
      </c>
    </row>
    <row r="1562" ht="330.75" customHeight="1">
      <c r="A1562" s="32" t="str">
        <f>IMAGE("https://gymvisual.com/17745-catalog_default/barbell-hip-thrust-with-resistance-band.jpg",4,500,500)</f>
        <v/>
      </c>
      <c r="B1562" s="30">
        <v>445.0</v>
      </c>
      <c r="C1562" s="16" t="s">
        <v>872</v>
      </c>
      <c r="D1562" s="16" t="s">
        <v>184</v>
      </c>
      <c r="E1562" s="16" t="s">
        <v>185</v>
      </c>
      <c r="F1562" s="16" t="s">
        <v>186</v>
      </c>
      <c r="G1562" s="16" t="s">
        <v>220</v>
      </c>
      <c r="H1562" s="16" t="s">
        <v>220</v>
      </c>
    </row>
    <row r="1563" ht="330.75" customHeight="1">
      <c r="A1563" s="32" t="str">
        <f>IMAGE("https://gymvisual.com/9562-catalog_default/barbell-hip-thrust-female.jpg",4,500,500)</f>
        <v/>
      </c>
      <c r="B1563" s="30">
        <v>444.0</v>
      </c>
      <c r="C1563" s="16" t="s">
        <v>871</v>
      </c>
      <c r="D1563" s="16" t="s">
        <v>184</v>
      </c>
      <c r="E1563" s="16" t="s">
        <v>185</v>
      </c>
      <c r="F1563" s="16" t="s">
        <v>186</v>
      </c>
      <c r="G1563" s="16" t="s">
        <v>187</v>
      </c>
      <c r="H1563" s="16" t="s">
        <v>188</v>
      </c>
    </row>
    <row r="1564" ht="330.75" customHeight="1">
      <c r="A1564" s="32" t="str">
        <f>IMAGE("https://gymvisual.com/4073-catalog_default/barbell-hip-thrust.jpg",4,500,500)</f>
        <v/>
      </c>
      <c r="B1564" s="30">
        <v>443.0</v>
      </c>
      <c r="C1564" s="16" t="s">
        <v>870</v>
      </c>
      <c r="D1564" s="16" t="s">
        <v>184</v>
      </c>
      <c r="E1564" s="16" t="s">
        <v>185</v>
      </c>
      <c r="F1564" s="16" t="s">
        <v>186</v>
      </c>
      <c r="G1564" s="16" t="s">
        <v>187</v>
      </c>
      <c r="H1564" s="16" t="s">
        <v>854</v>
      </c>
    </row>
    <row r="1565" ht="330.75" customHeight="1">
      <c r="A1565" s="32" t="str">
        <f>IMAGE("https://gymvisual.com/6448-catalog_default/barbell-high-bar-squat.jpg",4,500,500)</f>
        <v/>
      </c>
      <c r="B1565" s="30">
        <v>442.0</v>
      </c>
      <c r="C1565" s="16" t="s">
        <v>869</v>
      </c>
      <c r="D1565" s="16" t="s">
        <v>184</v>
      </c>
      <c r="E1565" s="16" t="s">
        <v>285</v>
      </c>
      <c r="F1565" s="16" t="s">
        <v>186</v>
      </c>
      <c r="G1565" s="16" t="s">
        <v>189</v>
      </c>
      <c r="H1565" s="16" t="s">
        <v>190</v>
      </c>
    </row>
    <row r="1566" ht="330.75" customHeight="1">
      <c r="A1566" s="32" t="str">
        <f>IMAGE("https://gymvisual.com/6772-catalog_default/barbell-heaving-snatch-balance.jpg",4,500,500)</f>
        <v/>
      </c>
      <c r="B1566" s="30">
        <v>441.0</v>
      </c>
      <c r="C1566" s="16" t="s">
        <v>868</v>
      </c>
      <c r="D1566" s="16" t="s">
        <v>184</v>
      </c>
      <c r="E1566" s="16" t="s">
        <v>764</v>
      </c>
      <c r="F1566" s="16" t="s">
        <v>186</v>
      </c>
      <c r="G1566" s="16" t="s">
        <v>220</v>
      </c>
      <c r="H1566" s="16" t="s">
        <v>220</v>
      </c>
    </row>
    <row r="1567" ht="330.75" customHeight="1">
      <c r="A1567" s="32" t="str">
        <f>IMAGE("https://gymvisual.com/20652-catalog_default/barbell-hang-snatch-below-the-knees.jpg",4,500,500)</f>
        <v/>
      </c>
      <c r="B1567" s="30">
        <v>440.0</v>
      </c>
      <c r="C1567" s="16" t="s">
        <v>867</v>
      </c>
      <c r="D1567" s="16" t="s">
        <v>184</v>
      </c>
      <c r="E1567" s="16" t="s">
        <v>764</v>
      </c>
      <c r="F1567" s="16" t="s">
        <v>186</v>
      </c>
      <c r="G1567" s="16" t="s">
        <v>220</v>
      </c>
      <c r="H1567" s="16" t="s">
        <v>220</v>
      </c>
    </row>
    <row r="1568" ht="330.75" customHeight="1">
      <c r="A1568" s="32" t="str">
        <f>IMAGE("https://gymvisual.com/6770-catalog_default/barbell-hang-snatch.jpg",4,500,500)</f>
        <v/>
      </c>
      <c r="B1568" s="30">
        <v>439.0</v>
      </c>
      <c r="C1568" s="16" t="s">
        <v>865</v>
      </c>
      <c r="D1568" s="16" t="s">
        <v>184</v>
      </c>
      <c r="E1568" s="16" t="s">
        <v>764</v>
      </c>
      <c r="F1568" s="16" t="s">
        <v>186</v>
      </c>
      <c r="G1568" s="16" t="s">
        <v>866</v>
      </c>
      <c r="H1568" s="16" t="s">
        <v>220</v>
      </c>
    </row>
    <row r="1569" ht="330.75" customHeight="1">
      <c r="A1569" s="32" t="str">
        <f>IMAGE("https://gymvisual.com/25136-catalog_default/barbell-hang-power-clean.jpg",4,500,500)</f>
        <v/>
      </c>
      <c r="B1569" s="30">
        <v>438.0</v>
      </c>
      <c r="C1569" s="16" t="s">
        <v>864</v>
      </c>
      <c r="D1569" s="16" t="s">
        <v>184</v>
      </c>
      <c r="E1569" s="16" t="s">
        <v>764</v>
      </c>
      <c r="F1569" s="16" t="s">
        <v>186</v>
      </c>
      <c r="G1569" s="16" t="s">
        <v>220</v>
      </c>
      <c r="H1569" s="16" t="s">
        <v>220</v>
      </c>
    </row>
    <row r="1570" ht="330.75" customHeight="1">
      <c r="A1570" s="32" t="str">
        <f>IMAGE("https://gymvisual.com/12828-catalog_default/barbell-hang-clean-below-the-knees-version-2.jpg",4,500,500)</f>
        <v/>
      </c>
      <c r="B1570" s="30">
        <v>437.0</v>
      </c>
      <c r="C1570" s="16" t="s">
        <v>863</v>
      </c>
      <c r="D1570" s="16" t="s">
        <v>184</v>
      </c>
      <c r="E1570" s="16" t="s">
        <v>764</v>
      </c>
      <c r="F1570" s="16" t="s">
        <v>186</v>
      </c>
      <c r="G1570" s="16" t="s">
        <v>220</v>
      </c>
      <c r="H1570" s="16" t="s">
        <v>220</v>
      </c>
    </row>
    <row r="1571" ht="330.75" customHeight="1">
      <c r="A1571" s="32" t="str">
        <f>IMAGE("https://gymvisual.com/20430-catalog_default/barbell-hang-clean-below-the-knees.jpg",4,500,500)</f>
        <v/>
      </c>
      <c r="B1571" s="30">
        <v>436.0</v>
      </c>
      <c r="C1571" s="16" t="s">
        <v>862</v>
      </c>
      <c r="D1571" s="16" t="s">
        <v>184</v>
      </c>
      <c r="E1571" s="16" t="s">
        <v>764</v>
      </c>
      <c r="F1571" s="16" t="s">
        <v>186</v>
      </c>
      <c r="G1571" s="16" t="s">
        <v>220</v>
      </c>
      <c r="H1571" s="16" t="s">
        <v>220</v>
      </c>
    </row>
    <row r="1572" ht="330.75" customHeight="1">
      <c r="A1572" s="32" t="str">
        <f>IMAGE("https://gymvisual.com/6768-catalog_default/barbell-hang-clean.jpg",4,500,500)</f>
        <v/>
      </c>
      <c r="B1572" s="30">
        <v>435.0</v>
      </c>
      <c r="C1572" s="16" t="s">
        <v>861</v>
      </c>
      <c r="D1572" s="16" t="s">
        <v>184</v>
      </c>
      <c r="E1572" s="16" t="s">
        <v>764</v>
      </c>
      <c r="F1572" s="16" t="s">
        <v>186</v>
      </c>
      <c r="G1572" s="16" t="s">
        <v>220</v>
      </c>
      <c r="H1572" s="16" t="s">
        <v>220</v>
      </c>
    </row>
    <row r="1573" ht="330.75" customHeight="1">
      <c r="A1573" s="32" t="str">
        <f>IMAGE("https://gymvisual.com/11444-catalog_default/barbell-hack-squat-female.jpg",4,500,500)</f>
        <v/>
      </c>
      <c r="B1573" s="30">
        <v>434.0</v>
      </c>
      <c r="C1573" s="16" t="s">
        <v>860</v>
      </c>
      <c r="D1573" s="16" t="s">
        <v>184</v>
      </c>
      <c r="E1573" s="16" t="s">
        <v>294</v>
      </c>
      <c r="F1573" s="16" t="s">
        <v>186</v>
      </c>
      <c r="G1573" s="16" t="s">
        <v>220</v>
      </c>
      <c r="H1573" s="16" t="s">
        <v>220</v>
      </c>
    </row>
    <row r="1574" ht="330.75" customHeight="1">
      <c r="A1574" s="32" t="str">
        <f>IMAGE("https://gymvisual.com/167-catalog_default/barbell-hack-squat.jpg",4,500,500)</f>
        <v/>
      </c>
      <c r="B1574" s="30">
        <v>433.0</v>
      </c>
      <c r="C1574" s="16" t="s">
        <v>175</v>
      </c>
      <c r="D1574" s="16" t="s">
        <v>184</v>
      </c>
      <c r="E1574" s="16" t="s">
        <v>185</v>
      </c>
      <c r="F1574" s="16" t="s">
        <v>186</v>
      </c>
      <c r="G1574" s="16" t="s">
        <v>189</v>
      </c>
      <c r="H1574" s="16" t="s">
        <v>190</v>
      </c>
    </row>
    <row r="1575" ht="330.75" customHeight="1">
      <c r="A1575" s="32" t="str">
        <f>IMAGE("https://gymvisual.com/164-catalog_default/barbell-guillotine-bench-press.jpg",4,500,500)</f>
        <v/>
      </c>
      <c r="B1575" s="30">
        <v>432.0</v>
      </c>
      <c r="C1575" s="16" t="s">
        <v>859</v>
      </c>
      <c r="D1575" s="16" t="s">
        <v>184</v>
      </c>
      <c r="E1575" s="16" t="s">
        <v>234</v>
      </c>
      <c r="F1575" s="16" t="s">
        <v>186</v>
      </c>
      <c r="G1575" s="16" t="s">
        <v>347</v>
      </c>
      <c r="H1575" s="16" t="s">
        <v>382</v>
      </c>
    </row>
    <row r="1576" ht="330.75" customHeight="1">
      <c r="A1576" s="32" t="str">
        <f>IMAGE("https://gymvisual.com/9559-catalog_default/barbell-good-morning-female.jpg",4,500,500)</f>
        <v/>
      </c>
      <c r="B1576" s="30">
        <v>431.0</v>
      </c>
      <c r="C1576" s="16" t="s">
        <v>858</v>
      </c>
      <c r="D1576" s="16" t="s">
        <v>184</v>
      </c>
      <c r="E1576" s="16" t="s">
        <v>185</v>
      </c>
      <c r="F1576" s="16" t="s">
        <v>186</v>
      </c>
      <c r="G1576" s="16" t="s">
        <v>188</v>
      </c>
      <c r="H1576" s="16" t="s">
        <v>857</v>
      </c>
    </row>
    <row r="1577" ht="330.75" customHeight="1">
      <c r="A1577" s="32" t="str">
        <f>IMAGE("https://gymvisual.com/19311-catalog_default/barbell-good-morning.jpg",4,500,500)</f>
        <v/>
      </c>
      <c r="B1577" s="30">
        <v>430.0</v>
      </c>
      <c r="C1577" s="16" t="s">
        <v>856</v>
      </c>
      <c r="D1577" s="16" t="s">
        <v>184</v>
      </c>
      <c r="E1577" s="16" t="s">
        <v>285</v>
      </c>
      <c r="F1577" s="16" t="s">
        <v>186</v>
      </c>
      <c r="G1577" s="16" t="s">
        <v>188</v>
      </c>
      <c r="H1577" s="16" t="s">
        <v>857</v>
      </c>
    </row>
    <row r="1578" ht="330.75" customHeight="1">
      <c r="A1578" s="32" t="str">
        <f>IMAGE("https://gymvisual.com/14151-catalog_default/barbell-glute-bridge-two-legs-on-bench-male.jpg",4,500,500)</f>
        <v/>
      </c>
      <c r="B1578" s="30">
        <v>429.0</v>
      </c>
      <c r="C1578" s="16" t="s">
        <v>855</v>
      </c>
      <c r="D1578" s="16" t="s">
        <v>184</v>
      </c>
      <c r="E1578" s="16" t="s">
        <v>185</v>
      </c>
      <c r="F1578" s="16" t="s">
        <v>186</v>
      </c>
      <c r="G1578" s="16" t="s">
        <v>187</v>
      </c>
      <c r="H1578" s="16" t="s">
        <v>188</v>
      </c>
    </row>
    <row r="1579" ht="330.75" customHeight="1">
      <c r="A1579" s="32" t="str">
        <f>IMAGE("https://gymvisual.com/13275-catalog_default/barbell-glute-bridge-hands-on-bar-female.jpg",4,500,500)</f>
        <v/>
      </c>
      <c r="B1579" s="30">
        <v>428.0</v>
      </c>
      <c r="C1579" s="16" t="s">
        <v>853</v>
      </c>
      <c r="D1579" s="16" t="s">
        <v>184</v>
      </c>
      <c r="E1579" s="16" t="s">
        <v>185</v>
      </c>
      <c r="F1579" s="16" t="s">
        <v>186</v>
      </c>
      <c r="G1579" s="16" t="s">
        <v>187</v>
      </c>
      <c r="H1579" s="16" t="s">
        <v>854</v>
      </c>
    </row>
    <row r="1580" ht="330.75" customHeight="1">
      <c r="A1580" s="32" t="str">
        <f>IMAGE("https://gymvisual.com/13273-catalog_default/barbell-glute-bridge-hands-on-bar.jpg",4,500,500)</f>
        <v/>
      </c>
      <c r="B1580" s="30">
        <v>427.0</v>
      </c>
      <c r="C1580" s="16" t="s">
        <v>852</v>
      </c>
      <c r="D1580" s="16" t="s">
        <v>184</v>
      </c>
      <c r="E1580" s="16" t="s">
        <v>185</v>
      </c>
      <c r="F1580" s="16" t="s">
        <v>186</v>
      </c>
      <c r="G1580" s="16" t="s">
        <v>220</v>
      </c>
      <c r="H1580" s="16" t="s">
        <v>220</v>
      </c>
    </row>
    <row r="1581" ht="330.75" customHeight="1">
      <c r="A1581" s="32" t="str">
        <f>IMAGE("https://gymvisual.com/6261-catalog_default/barbell-glute-bridge.jpg",4,500,500)</f>
        <v/>
      </c>
      <c r="B1581" s="30">
        <v>426.0</v>
      </c>
      <c r="C1581" s="16" t="s">
        <v>172</v>
      </c>
      <c r="D1581" s="16" t="s">
        <v>184</v>
      </c>
      <c r="E1581" s="16" t="s">
        <v>185</v>
      </c>
      <c r="F1581" s="16" t="s">
        <v>186</v>
      </c>
      <c r="G1581" s="16" t="s">
        <v>187</v>
      </c>
      <c r="H1581" s="16" t="s">
        <v>188</v>
      </c>
    </row>
    <row r="1582" ht="330.75" customHeight="1">
      <c r="A1582" s="32" t="str">
        <f>IMAGE("https://gymvisual.com/10022-catalog_default/barbell-full-zercher-squat.jpg",4,500,500)</f>
        <v/>
      </c>
      <c r="B1582" s="30">
        <v>425.0</v>
      </c>
      <c r="C1582" s="16" t="s">
        <v>851</v>
      </c>
      <c r="D1582" s="16" t="s">
        <v>184</v>
      </c>
      <c r="E1582" s="16" t="s">
        <v>285</v>
      </c>
      <c r="F1582" s="16" t="s">
        <v>186</v>
      </c>
      <c r="G1582" s="16" t="s">
        <v>189</v>
      </c>
      <c r="H1582" s="16" t="s">
        <v>190</v>
      </c>
    </row>
    <row r="1583" ht="330.75" customHeight="1">
      <c r="A1583" s="32" t="str">
        <f>IMAGE("https://gymvisual.com/2768-catalog_default/barbell-full-squat-with-rack.jpg",4,500,500)</f>
        <v/>
      </c>
      <c r="B1583" s="30">
        <v>424.0</v>
      </c>
      <c r="C1583" s="16" t="s">
        <v>850</v>
      </c>
      <c r="D1583" s="16" t="s">
        <v>184</v>
      </c>
      <c r="E1583" s="16" t="s">
        <v>285</v>
      </c>
      <c r="F1583" s="16" t="s">
        <v>186</v>
      </c>
      <c r="G1583" s="16" t="s">
        <v>189</v>
      </c>
      <c r="H1583" s="16" t="s">
        <v>190</v>
      </c>
    </row>
    <row r="1584" ht="330.75" customHeight="1">
      <c r="A1584" s="32" t="str">
        <f>IMAGE("https://gymvisual.com/6478-catalog_default/barbell-full-squat-side-pov.jpg",4,500,500)</f>
        <v/>
      </c>
      <c r="B1584" s="30">
        <v>423.0</v>
      </c>
      <c r="C1584" s="16" t="s">
        <v>849</v>
      </c>
      <c r="D1584" s="16" t="s">
        <v>184</v>
      </c>
      <c r="E1584" s="16" t="s">
        <v>285</v>
      </c>
      <c r="F1584" s="16" t="s">
        <v>186</v>
      </c>
      <c r="G1584" s="16" t="s">
        <v>189</v>
      </c>
      <c r="H1584" s="16" t="s">
        <v>190</v>
      </c>
    </row>
    <row r="1585" ht="330.75" customHeight="1">
      <c r="A1585" s="32" t="str">
        <f>IMAGE("https://gymvisual.com/6480-catalog_default/barbell-full-squat-back-pov.jpg",4,500,500)</f>
        <v/>
      </c>
      <c r="B1585" s="30">
        <v>422.0</v>
      </c>
      <c r="C1585" s="16" t="s">
        <v>848</v>
      </c>
      <c r="D1585" s="16" t="s">
        <v>184</v>
      </c>
      <c r="E1585" s="16" t="s">
        <v>285</v>
      </c>
      <c r="F1585" s="16" t="s">
        <v>186</v>
      </c>
      <c r="G1585" s="16" t="s">
        <v>189</v>
      </c>
      <c r="H1585" s="16" t="s">
        <v>190</v>
      </c>
    </row>
    <row r="1586" ht="330.75" customHeight="1">
      <c r="A1586" s="32" t="str">
        <f>IMAGE("https://gymvisual.com/158-catalog_default/barbell-full-squat.jpg",4,500,500)</f>
        <v/>
      </c>
      <c r="B1586" s="30">
        <v>421.0</v>
      </c>
      <c r="C1586" s="16" t="s">
        <v>847</v>
      </c>
      <c r="D1586" s="16" t="s">
        <v>184</v>
      </c>
      <c r="E1586" s="16" t="s">
        <v>285</v>
      </c>
      <c r="F1586" s="16" t="s">
        <v>186</v>
      </c>
      <c r="G1586" s="16" t="s">
        <v>189</v>
      </c>
      <c r="H1586" s="16" t="s">
        <v>190</v>
      </c>
    </row>
    <row r="1587" ht="330.75" customHeight="1">
      <c r="A1587" s="32" t="str">
        <f>IMAGE("https://gymvisual.com/20586-catalog_default/barbell-full-clean.jpg",4,500,500)</f>
        <v/>
      </c>
      <c r="B1587" s="30">
        <v>420.0</v>
      </c>
      <c r="C1587" s="16" t="s">
        <v>846</v>
      </c>
      <c r="D1587" s="16" t="s">
        <v>184</v>
      </c>
      <c r="E1587" s="16" t="s">
        <v>764</v>
      </c>
      <c r="F1587" s="16" t="s">
        <v>186</v>
      </c>
      <c r="G1587" s="16" t="s">
        <v>220</v>
      </c>
      <c r="H1587" s="16" t="s">
        <v>220</v>
      </c>
    </row>
    <row r="1588" ht="330.75" customHeight="1">
      <c r="A1588" s="32" t="str">
        <f>IMAGE("https://gymvisual.com/16388-catalog_default/barbell-front-step-up.jpg",4,500,500)</f>
        <v/>
      </c>
      <c r="B1588" s="30">
        <v>419.0</v>
      </c>
      <c r="C1588" s="16" t="s">
        <v>845</v>
      </c>
      <c r="D1588" s="16" t="s">
        <v>184</v>
      </c>
      <c r="E1588" s="16" t="s">
        <v>285</v>
      </c>
      <c r="F1588" s="16" t="s">
        <v>186</v>
      </c>
      <c r="G1588" s="16" t="s">
        <v>189</v>
      </c>
      <c r="H1588" s="16" t="s">
        <v>190</v>
      </c>
    </row>
    <row r="1589" ht="330.75" customHeight="1">
      <c r="A1589" s="32" t="str">
        <f>IMAGE("https://gymvisual.com/13163-catalog_default/barbell-front-squat-from-blocks.jpg",4,500,500)</f>
        <v/>
      </c>
      <c r="B1589" s="30">
        <v>418.0</v>
      </c>
      <c r="C1589" s="16" t="s">
        <v>844</v>
      </c>
      <c r="D1589" s="16" t="s">
        <v>184</v>
      </c>
      <c r="E1589" s="16" t="s">
        <v>285</v>
      </c>
      <c r="F1589" s="16" t="s">
        <v>186</v>
      </c>
      <c r="G1589" s="16" t="s">
        <v>189</v>
      </c>
      <c r="H1589" s="16" t="s">
        <v>314</v>
      </c>
    </row>
    <row r="1590" ht="330.75" customHeight="1">
      <c r="A1590" s="32" t="str">
        <f>IMAGE("https://gymvisual.com/11077-catalog_default/barbell-front-squat-female.jpg",4,500,500)</f>
        <v/>
      </c>
      <c r="B1590" s="30">
        <v>417.0</v>
      </c>
      <c r="C1590" s="16" t="s">
        <v>843</v>
      </c>
      <c r="D1590" s="16" t="s">
        <v>184</v>
      </c>
      <c r="E1590" s="16" t="s">
        <v>294</v>
      </c>
      <c r="F1590" s="16" t="s">
        <v>186</v>
      </c>
      <c r="G1590" s="16" t="s">
        <v>189</v>
      </c>
      <c r="H1590" s="16" t="s">
        <v>190</v>
      </c>
    </row>
    <row r="1591" ht="330.75" customHeight="1">
      <c r="A1591" s="32" t="str">
        <f>IMAGE("https://gymvisual.com/10574-catalog_default/barbell-front-squat.jpg",4,500,500)</f>
        <v/>
      </c>
      <c r="B1591" s="30">
        <v>416.0</v>
      </c>
      <c r="C1591" s="16" t="s">
        <v>842</v>
      </c>
      <c r="D1591" s="16" t="s">
        <v>184</v>
      </c>
      <c r="E1591" s="16" t="s">
        <v>185</v>
      </c>
      <c r="F1591" s="16" t="s">
        <v>186</v>
      </c>
      <c r="G1591" s="16" t="s">
        <v>189</v>
      </c>
      <c r="H1591" s="16" t="s">
        <v>190</v>
      </c>
    </row>
    <row r="1592" ht="330.75" customHeight="1">
      <c r="A1592" s="32" t="str">
        <f>IMAGE("https://gymvisual.com/149-catalog_default/barbell-front-raise-and-pullover.jpg",4,500,500)</f>
        <v/>
      </c>
      <c r="B1592" s="30">
        <v>415.0</v>
      </c>
      <c r="C1592" s="16" t="s">
        <v>840</v>
      </c>
      <c r="D1592" s="16" t="s">
        <v>184</v>
      </c>
      <c r="E1592" s="16" t="s">
        <v>234</v>
      </c>
      <c r="F1592" s="16" t="s">
        <v>186</v>
      </c>
      <c r="G1592" s="16" t="s">
        <v>235</v>
      </c>
      <c r="H1592" s="16" t="s">
        <v>841</v>
      </c>
    </row>
    <row r="1593" ht="330.75" customHeight="1">
      <c r="A1593" s="32" t="str">
        <f>IMAGE("https://gymvisual.com/11002-catalog_default/barbell-front-raise-female.jpg",4,500,500)</f>
        <v/>
      </c>
      <c r="B1593" s="30">
        <v>414.0</v>
      </c>
      <c r="C1593" s="16" t="s">
        <v>839</v>
      </c>
      <c r="D1593" s="16" t="s">
        <v>184</v>
      </c>
      <c r="E1593" s="16" t="s">
        <v>228</v>
      </c>
      <c r="F1593" s="16" t="s">
        <v>186</v>
      </c>
      <c r="G1593" s="16" t="s">
        <v>229</v>
      </c>
      <c r="H1593" s="16" t="s">
        <v>244</v>
      </c>
    </row>
    <row r="1594" ht="330.75" customHeight="1">
      <c r="A1594" s="32" t="str">
        <f>IMAGE("https://gymvisual.com/152-catalog_default/barbell-front-raise.jpg",4,500,500)</f>
        <v/>
      </c>
      <c r="B1594" s="30">
        <v>413.0</v>
      </c>
      <c r="C1594" s="16" t="s">
        <v>166</v>
      </c>
      <c r="D1594" s="16" t="s">
        <v>184</v>
      </c>
      <c r="E1594" s="16" t="s">
        <v>228</v>
      </c>
      <c r="F1594" s="16" t="s">
        <v>186</v>
      </c>
      <c r="G1594" s="16" t="s">
        <v>229</v>
      </c>
      <c r="H1594" s="16" t="s">
        <v>244</v>
      </c>
    </row>
    <row r="1595" ht="330.75" customHeight="1">
      <c r="A1595" s="32" t="str">
        <f>IMAGE("https://gymvisual.com/19463-catalog_default/barbell-front-rack-split-squat.jpg",4,500,500)</f>
        <v/>
      </c>
      <c r="B1595" s="30">
        <v>412.0</v>
      </c>
      <c r="C1595" s="16" t="s">
        <v>838</v>
      </c>
      <c r="D1595" s="16" t="s">
        <v>184</v>
      </c>
      <c r="E1595" s="16" t="s">
        <v>285</v>
      </c>
      <c r="F1595" s="16" t="s">
        <v>186</v>
      </c>
      <c r="G1595" s="16" t="s">
        <v>220</v>
      </c>
      <c r="H1595" s="16" t="s">
        <v>220</v>
      </c>
    </row>
    <row r="1596" ht="330.75" customHeight="1">
      <c r="A1596" s="32" t="str">
        <f>IMAGE("https://gymvisual.com/19449-catalog_default/barbell-front-rack-rear-lunge.jpg",4,500,500)</f>
        <v/>
      </c>
      <c r="B1596" s="30">
        <v>411.0</v>
      </c>
      <c r="C1596" s="16" t="s">
        <v>837</v>
      </c>
      <c r="D1596" s="16" t="s">
        <v>184</v>
      </c>
      <c r="E1596" s="16" t="s">
        <v>285</v>
      </c>
      <c r="F1596" s="16" t="s">
        <v>186</v>
      </c>
      <c r="G1596" s="16" t="s">
        <v>220</v>
      </c>
      <c r="H1596" s="16" t="s">
        <v>220</v>
      </c>
    </row>
    <row r="1597" ht="330.75" customHeight="1">
      <c r="A1597" s="32" t="str">
        <f>IMAGE("https://gymvisual.com/22093-catalog_default/barbell-front-rack-lunge.jpg",4,500,500)</f>
        <v/>
      </c>
      <c r="B1597" s="30">
        <v>410.0</v>
      </c>
      <c r="C1597" s="16" t="s">
        <v>836</v>
      </c>
      <c r="D1597" s="16" t="s">
        <v>184</v>
      </c>
      <c r="E1597" s="16" t="s">
        <v>285</v>
      </c>
      <c r="F1597" s="16" t="s">
        <v>186</v>
      </c>
      <c r="G1597" s="16" t="s">
        <v>189</v>
      </c>
      <c r="H1597" s="16" t="s">
        <v>190</v>
      </c>
    </row>
    <row r="1598" ht="330.75" customHeight="1">
      <c r="A1598" s="32" t="str">
        <f>IMAGE("https://gymvisual.com/19433-catalog_default/barbell-front-rack-lunge.jpg",4,500,500)</f>
        <v/>
      </c>
      <c r="B1598" s="30">
        <v>409.0</v>
      </c>
      <c r="C1598" s="16" t="s">
        <v>836</v>
      </c>
      <c r="D1598" s="16" t="s">
        <v>184</v>
      </c>
      <c r="E1598" s="16" t="s">
        <v>285</v>
      </c>
      <c r="F1598" s="16" t="s">
        <v>186</v>
      </c>
      <c r="G1598" s="16" t="s">
        <v>220</v>
      </c>
      <c r="H1598" s="16" t="s">
        <v>220</v>
      </c>
    </row>
    <row r="1599" ht="330.75" customHeight="1">
      <c r="A1599" s="32" t="str">
        <f>IMAGE("https://gymvisual.com/17741-catalog_default/barbell-front-chest-squat-with-resistance-band.jpg",4,500,500)</f>
        <v/>
      </c>
      <c r="B1599" s="30">
        <v>408.0</v>
      </c>
      <c r="C1599" s="16" t="s">
        <v>835</v>
      </c>
      <c r="D1599" s="16" t="s">
        <v>184</v>
      </c>
      <c r="E1599" s="16" t="s">
        <v>285</v>
      </c>
      <c r="F1599" s="16" t="s">
        <v>186</v>
      </c>
      <c r="G1599" s="16" t="s">
        <v>220</v>
      </c>
      <c r="H1599" s="16" t="s">
        <v>220</v>
      </c>
    </row>
    <row r="1600" ht="330.75" customHeight="1">
      <c r="A1600" s="32" t="str">
        <f>IMAGE("https://gymvisual.com/146-catalog_default/barbell-front-chest-squat.jpg",4,500,500)</f>
        <v/>
      </c>
      <c r="B1600" s="30">
        <v>407.0</v>
      </c>
      <c r="C1600" s="16" t="s">
        <v>834</v>
      </c>
      <c r="D1600" s="16" t="s">
        <v>184</v>
      </c>
      <c r="E1600" s="16" t="s">
        <v>285</v>
      </c>
      <c r="F1600" s="16" t="s">
        <v>186</v>
      </c>
      <c r="G1600" s="16" t="s">
        <v>189</v>
      </c>
      <c r="H1600" s="16" t="s">
        <v>190</v>
      </c>
    </row>
    <row r="1601" ht="330.75" customHeight="1">
      <c r="A1601" s="32" t="str">
        <f>IMAGE("https://gymvisual.com/16386-catalog_default/barbell-front-bench-squat.jpg",4,500,500)</f>
        <v/>
      </c>
      <c r="B1601" s="30">
        <v>406.0</v>
      </c>
      <c r="C1601" s="16" t="s">
        <v>833</v>
      </c>
      <c r="D1601" s="16" t="s">
        <v>184</v>
      </c>
      <c r="E1601" s="16" t="s">
        <v>285</v>
      </c>
      <c r="F1601" s="16" t="s">
        <v>186</v>
      </c>
      <c r="G1601" s="16" t="s">
        <v>189</v>
      </c>
      <c r="H1601" s="16" t="s">
        <v>190</v>
      </c>
    </row>
    <row r="1602" ht="330.75" customHeight="1">
      <c r="A1602" s="32" t="str">
        <f>IMAGE("https://gymvisual.com/16380-catalog_default/barbell-floor-chest-press.jpg",4,500,500)</f>
        <v/>
      </c>
      <c r="B1602" s="30">
        <v>405.0</v>
      </c>
      <c r="C1602" s="16" t="s">
        <v>181</v>
      </c>
      <c r="D1602" s="16" t="s">
        <v>184</v>
      </c>
      <c r="E1602" s="16" t="s">
        <v>234</v>
      </c>
      <c r="F1602" s="16" t="s">
        <v>186</v>
      </c>
      <c r="G1602" s="16" t="s">
        <v>235</v>
      </c>
      <c r="H1602" s="16" t="s">
        <v>243</v>
      </c>
    </row>
    <row r="1603" ht="330.75" customHeight="1">
      <c r="A1603" s="32" t="str">
        <f>IMAGE("https://gymvisual.com/6065-catalog_default/barbell-floor-calf-raise.jpg",4,500,500)</f>
        <v/>
      </c>
      <c r="B1603" s="30">
        <v>404.0</v>
      </c>
      <c r="C1603" s="16" t="s">
        <v>832</v>
      </c>
      <c r="D1603" s="16" t="s">
        <v>184</v>
      </c>
      <c r="E1603" s="16" t="s">
        <v>325</v>
      </c>
      <c r="F1603" s="16" t="s">
        <v>186</v>
      </c>
      <c r="G1603" s="16" t="s">
        <v>368</v>
      </c>
      <c r="H1603" s="16" t="s">
        <v>463</v>
      </c>
    </row>
    <row r="1604" ht="330.75" customHeight="1">
      <c r="A1604" s="32" t="str">
        <f>IMAGE("https://gymvisual.com/22633-catalog_default/barbell-elevated-split-squat-female.jpg",4,500,500)</f>
        <v/>
      </c>
      <c r="B1604" s="30">
        <v>403.0</v>
      </c>
      <c r="C1604" s="16" t="s">
        <v>831</v>
      </c>
      <c r="D1604" s="16" t="s">
        <v>184</v>
      </c>
      <c r="E1604" s="16" t="s">
        <v>285</v>
      </c>
      <c r="F1604" s="16" t="s">
        <v>186</v>
      </c>
      <c r="G1604" s="16" t="s">
        <v>220</v>
      </c>
      <c r="H1604" s="16" t="s">
        <v>220</v>
      </c>
    </row>
    <row r="1605" ht="330.75" customHeight="1">
      <c r="A1605" s="32" t="str">
        <f>IMAGE("https://gymvisual.com/17999-catalog_default/barbell-elevated-heel-squat.jpg",4,500,500)</f>
        <v/>
      </c>
      <c r="B1605" s="30">
        <v>402.0</v>
      </c>
      <c r="C1605" s="16" t="s">
        <v>830</v>
      </c>
      <c r="D1605" s="16" t="s">
        <v>184</v>
      </c>
      <c r="E1605" s="16" t="s">
        <v>285</v>
      </c>
      <c r="F1605" s="16" t="s">
        <v>186</v>
      </c>
      <c r="G1605" s="16" t="s">
        <v>220</v>
      </c>
      <c r="H1605" s="16" t="s">
        <v>220</v>
      </c>
    </row>
    <row r="1606" ht="330.75" customHeight="1">
      <c r="A1606" s="32" t="str">
        <f>IMAGE("https://gymvisual.com/13323-catalog_default/barbell-drag-curl-female.jpg",4,500,500)</f>
        <v/>
      </c>
      <c r="B1606" s="30">
        <v>401.0</v>
      </c>
      <c r="C1606" s="16" t="s">
        <v>828</v>
      </c>
      <c r="D1606" s="16" t="s">
        <v>184</v>
      </c>
      <c r="E1606" s="16" t="s">
        <v>829</v>
      </c>
      <c r="F1606" s="16" t="s">
        <v>186</v>
      </c>
      <c r="G1606" s="16" t="s">
        <v>236</v>
      </c>
      <c r="H1606" s="16" t="s">
        <v>292</v>
      </c>
    </row>
    <row r="1607" ht="330.75" customHeight="1">
      <c r="A1607" s="32" t="str">
        <f>IMAGE("https://gymvisual.com/143-catalog_default/barbell-drag-curl.jpg",4,500,500)</f>
        <v/>
      </c>
      <c r="B1607" s="30">
        <v>400.0</v>
      </c>
      <c r="C1607" s="16" t="s">
        <v>145</v>
      </c>
      <c r="D1607" s="16" t="s">
        <v>184</v>
      </c>
      <c r="E1607" s="16" t="s">
        <v>219</v>
      </c>
      <c r="F1607" s="16" t="s">
        <v>186</v>
      </c>
      <c r="G1607" s="16" t="s">
        <v>241</v>
      </c>
      <c r="H1607" s="16" t="s">
        <v>242</v>
      </c>
    </row>
    <row r="1608" ht="330.75" customHeight="1">
      <c r="A1608" s="32" t="str">
        <f>IMAGE("https://gymvisual.com/140-catalog_default/barbell-decline-wide-grip-pullover.jpg",4,500,500)</f>
        <v/>
      </c>
      <c r="B1608" s="30">
        <v>399.0</v>
      </c>
      <c r="C1608" s="16" t="s">
        <v>826</v>
      </c>
      <c r="D1608" s="16" t="s">
        <v>184</v>
      </c>
      <c r="E1608" s="16" t="s">
        <v>192</v>
      </c>
      <c r="F1608" s="16" t="s">
        <v>186</v>
      </c>
      <c r="G1608" s="16" t="s">
        <v>300</v>
      </c>
      <c r="H1608" s="16" t="s">
        <v>827</v>
      </c>
    </row>
    <row r="1609" ht="330.75" customHeight="1">
      <c r="A1609" s="32" t="str">
        <f>IMAGE("https://gymvisual.com/137-catalog_default/barbell-decline-wide-grip-press.jpg",4,500,500)</f>
        <v/>
      </c>
      <c r="B1609" s="30">
        <v>398.0</v>
      </c>
      <c r="C1609" s="16" t="s">
        <v>825</v>
      </c>
      <c r="D1609" s="16" t="s">
        <v>184</v>
      </c>
      <c r="E1609" s="16" t="s">
        <v>234</v>
      </c>
      <c r="F1609" s="16" t="s">
        <v>186</v>
      </c>
      <c r="G1609" s="16" t="s">
        <v>347</v>
      </c>
      <c r="H1609" s="16" t="s">
        <v>382</v>
      </c>
    </row>
    <row r="1610" ht="330.75" customHeight="1">
      <c r="A1610" s="32" t="str">
        <f>IMAGE("https://gymvisual.com/5944-catalog_default/barbell-decline-pullover.jpg",4,500,500)</f>
        <v/>
      </c>
      <c r="B1610" s="30">
        <v>397.0</v>
      </c>
      <c r="C1610" s="16" t="s">
        <v>823</v>
      </c>
      <c r="D1610" s="16" t="s">
        <v>184</v>
      </c>
      <c r="E1610" s="16" t="s">
        <v>234</v>
      </c>
      <c r="F1610" s="16" t="s">
        <v>186</v>
      </c>
      <c r="G1610" s="16" t="s">
        <v>347</v>
      </c>
      <c r="H1610" s="16" t="s">
        <v>824</v>
      </c>
    </row>
    <row r="1611" ht="330.75" customHeight="1">
      <c r="A1611" s="32" t="str">
        <f>IMAGE("https://gymvisual.com/13321-catalog_default/barbell-decline-close-grip-to-skull-press-female.jpg",4,500,500)</f>
        <v/>
      </c>
      <c r="B1611" s="30">
        <v>396.0</v>
      </c>
      <c r="C1611" s="16" t="s">
        <v>822</v>
      </c>
      <c r="D1611" s="16" t="s">
        <v>184</v>
      </c>
      <c r="E1611" s="16" t="s">
        <v>219</v>
      </c>
      <c r="F1611" s="16" t="s">
        <v>186</v>
      </c>
      <c r="G1611" s="16" t="s">
        <v>220</v>
      </c>
      <c r="H1611" s="16" t="s">
        <v>220</v>
      </c>
    </row>
    <row r="1612" ht="330.75" customHeight="1">
      <c r="A1612" s="32" t="str">
        <f>IMAGE("https://gymvisual.com/134-catalog_default/barbell-decline-close-grip-to-skull-press.jpg",4,500,500)</f>
        <v/>
      </c>
      <c r="B1612" s="30">
        <v>395.0</v>
      </c>
      <c r="C1612" s="16" t="s">
        <v>821</v>
      </c>
      <c r="D1612" s="16" t="s">
        <v>184</v>
      </c>
      <c r="E1612" s="16" t="s">
        <v>219</v>
      </c>
      <c r="F1612" s="16" t="s">
        <v>186</v>
      </c>
      <c r="G1612" s="16" t="s">
        <v>223</v>
      </c>
      <c r="H1612" s="16" t="s">
        <v>220</v>
      </c>
    </row>
    <row r="1613" ht="330.75" customHeight="1">
      <c r="A1613" s="32" t="str">
        <f>IMAGE("https://gymvisual.com/131-catalog_default/barbell-decline-bent-arm-pullover.jpg",4,500,500)</f>
        <v/>
      </c>
      <c r="B1613" s="30">
        <v>394.0</v>
      </c>
      <c r="C1613" s="16" t="s">
        <v>819</v>
      </c>
      <c r="D1613" s="16" t="s">
        <v>184</v>
      </c>
      <c r="E1613" s="16" t="s">
        <v>192</v>
      </c>
      <c r="F1613" s="16" t="s">
        <v>186</v>
      </c>
      <c r="G1613" s="16" t="s">
        <v>300</v>
      </c>
      <c r="H1613" s="16" t="s">
        <v>820</v>
      </c>
    </row>
    <row r="1614" ht="330.75" customHeight="1">
      <c r="A1614" s="32" t="str">
        <f>IMAGE("https://gymvisual.com/10984-catalog_default/barbell-decline-bench-press-female.jpg",4,500,500)</f>
        <v/>
      </c>
      <c r="B1614" s="30">
        <v>393.0</v>
      </c>
      <c r="C1614" s="16" t="s">
        <v>818</v>
      </c>
      <c r="D1614" s="16" t="s">
        <v>184</v>
      </c>
      <c r="E1614" s="16" t="s">
        <v>234</v>
      </c>
      <c r="F1614" s="16" t="s">
        <v>186</v>
      </c>
      <c r="G1614" s="16" t="s">
        <v>347</v>
      </c>
      <c r="H1614" s="16" t="s">
        <v>382</v>
      </c>
    </row>
    <row r="1615" ht="330.75" customHeight="1">
      <c r="A1615" s="32" t="str">
        <f>IMAGE("https://gymvisual.com/19000-catalog_default/barbell-decline-bench-press.jpg",4,500,500)</f>
        <v/>
      </c>
      <c r="B1615" s="30">
        <v>392.0</v>
      </c>
      <c r="C1615" s="16" t="s">
        <v>817</v>
      </c>
      <c r="D1615" s="16" t="s">
        <v>184</v>
      </c>
      <c r="E1615" s="16" t="s">
        <v>234</v>
      </c>
      <c r="F1615" s="16" t="s">
        <v>186</v>
      </c>
      <c r="G1615" s="16" t="s">
        <v>347</v>
      </c>
      <c r="H1615" s="16" t="s">
        <v>382</v>
      </c>
    </row>
    <row r="1616" ht="330.75" customHeight="1">
      <c r="A1616" s="32" t="str">
        <f>IMAGE("https://gymvisual.com/6766-catalog_default/barbell-decline-bench-lunge.jpg",4,500,500)</f>
        <v/>
      </c>
      <c r="B1616" s="30">
        <v>391.0</v>
      </c>
      <c r="C1616" s="16" t="s">
        <v>816</v>
      </c>
      <c r="D1616" s="16" t="s">
        <v>184</v>
      </c>
      <c r="E1616" s="16" t="s">
        <v>285</v>
      </c>
      <c r="F1616" s="16" t="s">
        <v>186</v>
      </c>
      <c r="G1616" s="16" t="s">
        <v>220</v>
      </c>
      <c r="H1616" s="16" t="s">
        <v>220</v>
      </c>
    </row>
    <row r="1617" ht="330.75" customHeight="1">
      <c r="A1617" s="32" t="str">
        <f>IMAGE("https://gymvisual.com/17953-catalog_default/barbell-deadstop-row-with-rack-male.jpg",4,500,500)</f>
        <v/>
      </c>
      <c r="B1617" s="30">
        <v>390.0</v>
      </c>
      <c r="C1617" s="16" t="s">
        <v>815</v>
      </c>
      <c r="D1617" s="16" t="s">
        <v>184</v>
      </c>
      <c r="E1617" s="16" t="s">
        <v>192</v>
      </c>
      <c r="F1617" s="16" t="s">
        <v>186</v>
      </c>
      <c r="G1617" s="16" t="s">
        <v>220</v>
      </c>
      <c r="H1617" s="16" t="s">
        <v>220</v>
      </c>
    </row>
    <row r="1618" ht="330.75" customHeight="1">
      <c r="A1618" s="32" t="str">
        <f>IMAGE("https://gymvisual.com/25124-catalog_default/barbell-deadlift-from-deficit.jpg",4,500,500)</f>
        <v/>
      </c>
      <c r="B1618" s="30">
        <v>389.0</v>
      </c>
      <c r="C1618" s="16" t="s">
        <v>814</v>
      </c>
      <c r="D1618" s="16" t="s">
        <v>184</v>
      </c>
      <c r="E1618" s="16" t="s">
        <v>185</v>
      </c>
      <c r="F1618" s="16" t="s">
        <v>186</v>
      </c>
      <c r="G1618" s="16" t="s">
        <v>220</v>
      </c>
      <c r="H1618" s="16" t="s">
        <v>220</v>
      </c>
    </row>
    <row r="1619" ht="330.75" customHeight="1">
      <c r="A1619" s="32" t="str">
        <f>IMAGE("https://gymvisual.com/18033-catalog_default/barbell-deadlift-against-chains.jpg",4,500,500)</f>
        <v/>
      </c>
      <c r="B1619" s="30">
        <v>388.0</v>
      </c>
      <c r="C1619" s="16" t="s">
        <v>813</v>
      </c>
      <c r="D1619" s="16" t="s">
        <v>184</v>
      </c>
      <c r="E1619" s="16" t="s">
        <v>185</v>
      </c>
      <c r="F1619" s="16" t="s">
        <v>186</v>
      </c>
      <c r="G1619" s="16" t="s">
        <v>220</v>
      </c>
      <c r="H1619" s="16" t="s">
        <v>220</v>
      </c>
    </row>
    <row r="1620" ht="330.75" customHeight="1">
      <c r="A1620" s="32" t="str">
        <f>IMAGE("https://gymvisual.com/9556-catalog_default/barbell-deadlift-female.jpg",4,500,500)</f>
        <v/>
      </c>
      <c r="B1620" s="30">
        <v>387.0</v>
      </c>
      <c r="C1620" s="16" t="s">
        <v>812</v>
      </c>
      <c r="D1620" s="16" t="s">
        <v>184</v>
      </c>
      <c r="E1620" s="16" t="s">
        <v>294</v>
      </c>
      <c r="F1620" s="16" t="s">
        <v>186</v>
      </c>
      <c r="G1620" s="16" t="s">
        <v>187</v>
      </c>
      <c r="H1620" s="16" t="s">
        <v>482</v>
      </c>
    </row>
    <row r="1621" ht="330.75" customHeight="1">
      <c r="A1621" s="32" t="str">
        <f>IMAGE("https://gymvisual.com/20608-catalog_default/barbell-deadlift.jpg",4,500,500)</f>
        <v/>
      </c>
      <c r="B1621" s="30">
        <v>386.0</v>
      </c>
      <c r="C1621" s="16" t="s">
        <v>811</v>
      </c>
      <c r="D1621" s="16" t="s">
        <v>184</v>
      </c>
      <c r="E1621" s="16" t="s">
        <v>185</v>
      </c>
      <c r="F1621" s="16" t="s">
        <v>186</v>
      </c>
      <c r="G1621" s="16" t="s">
        <v>187</v>
      </c>
      <c r="H1621" s="16" t="s">
        <v>482</v>
      </c>
    </row>
    <row r="1622" ht="330.75" customHeight="1">
      <c r="A1622" s="32" t="str">
        <f>IMAGE("https://gymvisual.com/16378-catalog_default/barbell-curtsey-lunge.jpg",4,500,500)</f>
        <v/>
      </c>
      <c r="B1622" s="30">
        <v>385.0</v>
      </c>
      <c r="C1622" s="16" t="s">
        <v>809</v>
      </c>
      <c r="D1622" s="16" t="s">
        <v>184</v>
      </c>
      <c r="E1622" s="16" t="s">
        <v>294</v>
      </c>
      <c r="F1622" s="16" t="s">
        <v>186</v>
      </c>
      <c r="G1622" s="16" t="s">
        <v>295</v>
      </c>
      <c r="H1622" s="16" t="s">
        <v>810</v>
      </c>
    </row>
    <row r="1623" ht="330.75" customHeight="1">
      <c r="A1623" s="32" t="str">
        <f>IMAGE("https://gymvisual.com/26116-catalog_default/barbell-curl-press-extension-male.jpg",4,500,500)</f>
        <v/>
      </c>
      <c r="B1623" s="30">
        <v>384.0</v>
      </c>
      <c r="C1623" s="16" t="s">
        <v>808</v>
      </c>
      <c r="D1623" s="16" t="s">
        <v>184</v>
      </c>
      <c r="E1623" s="16" t="s">
        <v>219</v>
      </c>
      <c r="F1623" s="16" t="s">
        <v>186</v>
      </c>
      <c r="G1623" s="16" t="s">
        <v>220</v>
      </c>
      <c r="H1623" s="16" t="s">
        <v>220</v>
      </c>
    </row>
    <row r="1624" ht="330.75" customHeight="1">
      <c r="A1624" s="32" t="str">
        <f>IMAGE("https://gymvisual.com/14248-catalog_default/barbell-curl-female.jpg",4,500,500)</f>
        <v/>
      </c>
      <c r="B1624" s="30">
        <v>383.0</v>
      </c>
      <c r="C1624" s="16" t="s">
        <v>807</v>
      </c>
      <c r="D1624" s="16" t="s">
        <v>184</v>
      </c>
      <c r="E1624" s="16" t="s">
        <v>219</v>
      </c>
      <c r="F1624" s="16" t="s">
        <v>186</v>
      </c>
      <c r="G1624" s="16" t="s">
        <v>217</v>
      </c>
      <c r="H1624" s="16" t="s">
        <v>216</v>
      </c>
    </row>
    <row r="1625" ht="330.75" customHeight="1">
      <c r="A1625" s="32" t="str">
        <f>IMAGE("https://gymvisual.com/18998-catalog_default/barbell-curl.jpg",4,500,500)</f>
        <v/>
      </c>
      <c r="B1625" s="30">
        <v>382.0</v>
      </c>
      <c r="C1625" s="16" t="s">
        <v>13</v>
      </c>
      <c r="D1625" s="16" t="s">
        <v>184</v>
      </c>
      <c r="E1625" s="16" t="s">
        <v>219</v>
      </c>
      <c r="F1625" s="16" t="s">
        <v>186</v>
      </c>
      <c r="G1625" s="16" t="s">
        <v>241</v>
      </c>
      <c r="H1625" s="16" t="s">
        <v>292</v>
      </c>
    </row>
    <row r="1626" ht="330.75" customHeight="1">
      <c r="A1626" s="32" t="str">
        <f>IMAGE("https://gymvisual.com/13582-catalog_default/illustration.jpg",4,500,500)</f>
        <v/>
      </c>
      <c r="B1626" s="30">
        <v>381.0</v>
      </c>
      <c r="C1626" s="16" t="s">
        <v>806</v>
      </c>
      <c r="D1626" s="16" t="s">
        <v>184</v>
      </c>
      <c r="E1626" s="16" t="s">
        <v>691</v>
      </c>
      <c r="F1626" s="16" t="s">
        <v>186</v>
      </c>
      <c r="G1626" s="16" t="s">
        <v>220</v>
      </c>
      <c r="H1626" s="16" t="s">
        <v>220</v>
      </c>
    </row>
    <row r="1627" ht="330.75" customHeight="1">
      <c r="A1627" s="32" t="str">
        <f>IMAGE("https://gymvisual.com/20048-catalog_default/barbell-close-grip-bench-press.jpg",4,500,500)</f>
        <v/>
      </c>
      <c r="B1627" s="30">
        <v>380.0</v>
      </c>
      <c r="C1627" s="16" t="s">
        <v>805</v>
      </c>
      <c r="D1627" s="16" t="s">
        <v>184</v>
      </c>
      <c r="E1627" s="16" t="s">
        <v>219</v>
      </c>
      <c r="F1627" s="16" t="s">
        <v>186</v>
      </c>
      <c r="G1627" s="16" t="s">
        <v>223</v>
      </c>
      <c r="H1627" s="16" t="s">
        <v>472</v>
      </c>
    </row>
    <row r="1628" ht="330.75" customHeight="1">
      <c r="A1628" s="32" t="str">
        <f>IMAGE("https://gymvisual.com/10369-catalog_default/barbell-close-grip-bench-press-female.jpg",4,500,500)</f>
        <v/>
      </c>
      <c r="B1628" s="30">
        <v>379.0</v>
      </c>
      <c r="C1628" s="16" t="s">
        <v>803</v>
      </c>
      <c r="D1628" s="16" t="s">
        <v>184</v>
      </c>
      <c r="E1628" s="16" t="s">
        <v>219</v>
      </c>
      <c r="F1628" s="16" t="s">
        <v>186</v>
      </c>
      <c r="G1628" s="16" t="s">
        <v>223</v>
      </c>
      <c r="H1628" s="16" t="s">
        <v>804</v>
      </c>
    </row>
    <row r="1629" ht="330.75" customHeight="1">
      <c r="A1629" s="32" t="str">
        <f>IMAGE("https://gymvisual.com/24450-catalog_default/barbell-clean-grip-front-squat.jpg",4,500,500)</f>
        <v/>
      </c>
      <c r="B1629" s="30">
        <v>378.0</v>
      </c>
      <c r="C1629" s="16" t="s">
        <v>802</v>
      </c>
      <c r="D1629" s="16" t="s">
        <v>184</v>
      </c>
      <c r="E1629" s="16" t="s">
        <v>285</v>
      </c>
      <c r="F1629" s="16" t="s">
        <v>186</v>
      </c>
      <c r="G1629" s="16" t="s">
        <v>189</v>
      </c>
      <c r="H1629" s="16" t="s">
        <v>190</v>
      </c>
    </row>
    <row r="1630" ht="330.75" customHeight="1">
      <c r="A1630" s="32" t="str">
        <f>IMAGE("https://gymvisual.com/25134-catalog_default/barbell-clean-pull.jpg",4,500,500)</f>
        <v/>
      </c>
      <c r="B1630" s="30">
        <v>377.0</v>
      </c>
      <c r="C1630" s="16" t="s">
        <v>801</v>
      </c>
      <c r="D1630" s="16" t="s">
        <v>184</v>
      </c>
      <c r="E1630" s="16" t="s">
        <v>764</v>
      </c>
      <c r="F1630" s="16" t="s">
        <v>186</v>
      </c>
      <c r="G1630" s="16" t="s">
        <v>220</v>
      </c>
      <c r="H1630" s="16" t="s">
        <v>220</v>
      </c>
    </row>
    <row r="1631" ht="330.75" customHeight="1">
      <c r="A1631" s="32" t="str">
        <f>IMAGE("https://gymvisual.com/25138-catalog_default/barbell-clean-high-pull.jpg",4,500,500)</f>
        <v/>
      </c>
      <c r="B1631" s="30">
        <v>376.0</v>
      </c>
      <c r="C1631" s="16" t="s">
        <v>798</v>
      </c>
      <c r="D1631" s="16" t="s">
        <v>184</v>
      </c>
      <c r="E1631" s="16" t="s">
        <v>764</v>
      </c>
      <c r="F1631" s="16" t="s">
        <v>186</v>
      </c>
      <c r="G1631" s="16" t="s">
        <v>799</v>
      </c>
      <c r="H1631" s="16" t="s">
        <v>800</v>
      </c>
    </row>
    <row r="1632" ht="330.75" customHeight="1">
      <c r="A1632" s="32" t="str">
        <f>IMAGE("https://gymvisual.com/6764-catalog_default/barbell-clean-from-blocks.jpg",4,500,500)</f>
        <v/>
      </c>
      <c r="B1632" s="30">
        <v>375.0</v>
      </c>
      <c r="C1632" s="16" t="s">
        <v>797</v>
      </c>
      <c r="D1632" s="16" t="s">
        <v>184</v>
      </c>
      <c r="E1632" s="16" t="s">
        <v>764</v>
      </c>
      <c r="F1632" s="16" t="s">
        <v>186</v>
      </c>
      <c r="G1632" s="16" t="s">
        <v>220</v>
      </c>
      <c r="H1632" s="16" t="s">
        <v>220</v>
      </c>
    </row>
    <row r="1633" ht="330.75" customHeight="1">
      <c r="A1633" s="32" t="str">
        <f>IMAGE("https://gymvisual.com/6763-catalog_default/barbell-clean-deadlift.jpg",4,500,500)</f>
        <v/>
      </c>
      <c r="B1633" s="30">
        <v>374.0</v>
      </c>
      <c r="C1633" s="16" t="s">
        <v>796</v>
      </c>
      <c r="D1633" s="16" t="s">
        <v>184</v>
      </c>
      <c r="E1633" s="16" t="s">
        <v>285</v>
      </c>
      <c r="F1633" s="16" t="s">
        <v>186</v>
      </c>
      <c r="G1633" s="16" t="s">
        <v>220</v>
      </c>
      <c r="H1633" s="16" t="s">
        <v>220</v>
      </c>
    </row>
    <row r="1634" ht="330.75" customHeight="1">
      <c r="A1634" s="32" t="str">
        <f>IMAGE("https://gymvisual.com/14386-catalog_default/barbell-clean-and-press-female.jpg",4,500,500)</f>
        <v/>
      </c>
      <c r="B1634" s="30">
        <v>373.0</v>
      </c>
      <c r="C1634" s="16" t="s">
        <v>794</v>
      </c>
      <c r="D1634" s="16" t="s">
        <v>184</v>
      </c>
      <c r="E1634" s="16" t="s">
        <v>691</v>
      </c>
      <c r="F1634" s="16" t="s">
        <v>186</v>
      </c>
      <c r="G1634" s="16" t="s">
        <v>795</v>
      </c>
      <c r="H1634" s="16" t="s">
        <v>220</v>
      </c>
    </row>
    <row r="1635" ht="330.75" customHeight="1">
      <c r="A1635" s="32" t="str">
        <f>IMAGE("https://gymvisual.com/114-catalog_default/barbell-clean-and-press.jpg",4,500,500)</f>
        <v/>
      </c>
      <c r="B1635" s="30">
        <v>372.0</v>
      </c>
      <c r="C1635" s="16" t="s">
        <v>792</v>
      </c>
      <c r="D1635" s="16" t="s">
        <v>184</v>
      </c>
      <c r="E1635" s="16" t="s">
        <v>228</v>
      </c>
      <c r="F1635" s="16" t="s">
        <v>186</v>
      </c>
      <c r="G1635" s="16" t="s">
        <v>793</v>
      </c>
      <c r="H1635" s="16" t="s">
        <v>220</v>
      </c>
    </row>
    <row r="1636" ht="330.75" customHeight="1">
      <c r="A1636" s="32" t="str">
        <f>IMAGE("https://gymvisual.com/22540-catalog_default/barbell-clean-and-jerk.jpg",4,500,500)</f>
        <v/>
      </c>
      <c r="B1636" s="30">
        <v>371.0</v>
      </c>
      <c r="C1636" s="16" t="s">
        <v>791</v>
      </c>
      <c r="D1636" s="16" t="s">
        <v>184</v>
      </c>
      <c r="E1636" s="16" t="s">
        <v>764</v>
      </c>
      <c r="F1636" s="16" t="s">
        <v>186</v>
      </c>
      <c r="G1636" s="16" t="s">
        <v>220</v>
      </c>
      <c r="H1636" s="16" t="s">
        <v>220</v>
      </c>
    </row>
    <row r="1637" ht="330.75" customHeight="1">
      <c r="A1637" s="32" t="str">
        <f>IMAGE("https://gymvisual.com/16390-catalog_default/barbell-chest-press-on-stability-ball.jpg",4,500,500)</f>
        <v/>
      </c>
      <c r="B1637" s="30">
        <v>370.0</v>
      </c>
      <c r="C1637" s="16" t="s">
        <v>789</v>
      </c>
      <c r="D1637" s="16" t="s">
        <v>184</v>
      </c>
      <c r="E1637" s="16" t="s">
        <v>234</v>
      </c>
      <c r="F1637" s="16" t="s">
        <v>790</v>
      </c>
      <c r="G1637" s="16" t="s">
        <v>235</v>
      </c>
      <c r="H1637" s="16" t="s">
        <v>243</v>
      </c>
    </row>
    <row r="1638" ht="330.75" customHeight="1">
      <c r="A1638" s="32" t="str">
        <f>IMAGE("https://gymvisual.com/22492-catalog_default/barbell-box-squat.jpg",4,500,500)</f>
        <v/>
      </c>
      <c r="B1638" s="30">
        <v>369.0</v>
      </c>
      <c r="C1638" s="16" t="s">
        <v>788</v>
      </c>
      <c r="D1638" s="16" t="s">
        <v>184</v>
      </c>
      <c r="E1638" s="16" t="s">
        <v>185</v>
      </c>
      <c r="F1638" s="16" t="s">
        <v>186</v>
      </c>
      <c r="G1638" s="16" t="s">
        <v>189</v>
      </c>
      <c r="H1638" s="16" t="s">
        <v>190</v>
      </c>
    </row>
    <row r="1639" ht="330.75" customHeight="1">
      <c r="A1639" s="32" t="str">
        <f>IMAGE("https://gymvisual.com/10460-catalog_default/barbell-biceps-curl-with-arm-blaster.jpg",4,500,500)</f>
        <v/>
      </c>
      <c r="B1639" s="30">
        <v>368.0</v>
      </c>
      <c r="C1639" s="16" t="s">
        <v>787</v>
      </c>
      <c r="D1639" s="16" t="s">
        <v>184</v>
      </c>
      <c r="E1639" s="16" t="s">
        <v>219</v>
      </c>
      <c r="F1639" s="16" t="s">
        <v>186</v>
      </c>
      <c r="G1639" s="16" t="s">
        <v>241</v>
      </c>
      <c r="H1639" s="16" t="s">
        <v>292</v>
      </c>
    </row>
    <row r="1640" ht="330.75" customHeight="1">
      <c r="A1640" s="32" t="str">
        <f>IMAGE("https://gymvisual.com/17407-catalog_default/barbell-bent-over-wide-row-plus.jpg",4,500,500)</f>
        <v/>
      </c>
      <c r="B1640" s="30">
        <v>367.0</v>
      </c>
      <c r="C1640" s="16" t="s">
        <v>786</v>
      </c>
      <c r="D1640" s="16" t="s">
        <v>184</v>
      </c>
      <c r="E1640" s="16" t="s">
        <v>192</v>
      </c>
      <c r="F1640" s="16" t="s">
        <v>186</v>
      </c>
      <c r="G1640" s="16" t="s">
        <v>329</v>
      </c>
      <c r="H1640" s="16" t="s">
        <v>447</v>
      </c>
    </row>
    <row r="1641" ht="330.75" customHeight="1">
      <c r="A1641" s="32" t="str">
        <f>IMAGE("https://gymvisual.com/16374-catalog_default/barbell-bent-over-wide-grip-row.jpg",4,500,500)</f>
        <v/>
      </c>
      <c r="B1641" s="30">
        <v>366.0</v>
      </c>
      <c r="C1641" s="16" t="s">
        <v>785</v>
      </c>
      <c r="D1641" s="16" t="s">
        <v>184</v>
      </c>
      <c r="E1641" s="16" t="s">
        <v>192</v>
      </c>
      <c r="F1641" s="16" t="s">
        <v>186</v>
      </c>
      <c r="G1641" s="16" t="s">
        <v>329</v>
      </c>
      <c r="H1641" s="16" t="s">
        <v>447</v>
      </c>
    </row>
    <row r="1642" ht="330.75" customHeight="1">
      <c r="A1642" s="32" t="str">
        <f>IMAGE("https://gymvisual.com/17405-catalog_default/barbell-bent-over-wide-alternate-row-plus.jpg",4,500,500)</f>
        <v/>
      </c>
      <c r="B1642" s="30">
        <v>365.0</v>
      </c>
      <c r="C1642" s="16" t="s">
        <v>784</v>
      </c>
      <c r="D1642" s="16" t="s">
        <v>184</v>
      </c>
      <c r="E1642" s="16" t="s">
        <v>192</v>
      </c>
      <c r="F1642" s="16" t="s">
        <v>186</v>
      </c>
      <c r="G1642" s="16" t="s">
        <v>329</v>
      </c>
      <c r="H1642" s="16" t="s">
        <v>447</v>
      </c>
    </row>
    <row r="1643" ht="330.75" customHeight="1">
      <c r="A1643" s="32" t="str">
        <f>IMAGE("https://gymvisual.com/9640-catalog_default/barbell-bent-over-row-female.jpg",4,500,500)</f>
        <v/>
      </c>
      <c r="B1643" s="30">
        <v>364.0</v>
      </c>
      <c r="C1643" s="16" t="s">
        <v>783</v>
      </c>
      <c r="D1643" s="16" t="s">
        <v>184</v>
      </c>
      <c r="E1643" s="16" t="s">
        <v>192</v>
      </c>
      <c r="F1643" s="16" t="s">
        <v>186</v>
      </c>
      <c r="G1643" s="16" t="s">
        <v>570</v>
      </c>
      <c r="H1643" s="16" t="s">
        <v>447</v>
      </c>
    </row>
    <row r="1644" ht="330.75" customHeight="1">
      <c r="A1644" s="32" t="str">
        <f>IMAGE("https://gymvisual.com/19309-catalog_default/barbell-bent-over-row.jpg",4,500,500)</f>
        <v/>
      </c>
      <c r="B1644" s="30">
        <v>363.0</v>
      </c>
      <c r="C1644" s="16" t="s">
        <v>782</v>
      </c>
      <c r="D1644" s="16" t="s">
        <v>184</v>
      </c>
      <c r="E1644" s="16" t="s">
        <v>192</v>
      </c>
      <c r="F1644" s="16" t="s">
        <v>186</v>
      </c>
      <c r="G1644" s="16" t="s">
        <v>570</v>
      </c>
      <c r="H1644" s="16" t="s">
        <v>447</v>
      </c>
    </row>
    <row r="1645" ht="330.75" customHeight="1">
      <c r="A1645" s="32" t="str">
        <f>IMAGE("https://gymvisual.com/6007-catalog_default/barbell-bent-arm-pullover.jpg",4,500,500)</f>
        <v/>
      </c>
      <c r="B1645" s="30">
        <v>362.0</v>
      </c>
      <c r="C1645" s="16" t="s">
        <v>780</v>
      </c>
      <c r="D1645" s="16" t="s">
        <v>184</v>
      </c>
      <c r="E1645" s="16" t="s">
        <v>192</v>
      </c>
      <c r="F1645" s="16" t="s">
        <v>186</v>
      </c>
      <c r="G1645" s="16" t="s">
        <v>300</v>
      </c>
      <c r="H1645" s="16" t="s">
        <v>781</v>
      </c>
    </row>
    <row r="1646" ht="330.75" customHeight="1">
      <c r="A1646" s="32" t="str">
        <f>IMAGE("https://gymvisual.com/6751-catalog_default/barbell-bench-squat-with-chains.jpg",4,500,500)</f>
        <v/>
      </c>
      <c r="B1646" s="30">
        <v>361.0</v>
      </c>
      <c r="C1646" s="16" t="s">
        <v>779</v>
      </c>
      <c r="D1646" s="16" t="s">
        <v>184</v>
      </c>
      <c r="E1646" s="16" t="s">
        <v>285</v>
      </c>
      <c r="F1646" s="16" t="s">
        <v>186</v>
      </c>
      <c r="G1646" s="16" t="s">
        <v>220</v>
      </c>
      <c r="H1646" s="16" t="s">
        <v>220</v>
      </c>
    </row>
    <row r="1647" ht="330.75" customHeight="1">
      <c r="A1647" s="32" t="str">
        <f>IMAGE("https://gymvisual.com/9589-catalog_default/barbell-bench-squat-female.jpg",4,500,500)</f>
        <v/>
      </c>
      <c r="B1647" s="30">
        <v>360.0</v>
      </c>
      <c r="C1647" s="16" t="s">
        <v>778</v>
      </c>
      <c r="D1647" s="16" t="s">
        <v>184</v>
      </c>
      <c r="E1647" s="16" t="s">
        <v>294</v>
      </c>
      <c r="F1647" s="16" t="s">
        <v>186</v>
      </c>
      <c r="G1647" s="16" t="s">
        <v>189</v>
      </c>
      <c r="H1647" s="16" t="s">
        <v>190</v>
      </c>
    </row>
    <row r="1648" ht="330.75" customHeight="1">
      <c r="A1648" s="32" t="str">
        <f>IMAGE("https://gymvisual.com/108-catalog_default/barbell-bench-squat.jpg",4,500,500)</f>
        <v/>
      </c>
      <c r="B1648" s="30">
        <v>359.0</v>
      </c>
      <c r="C1648" s="16" t="s">
        <v>777</v>
      </c>
      <c r="D1648" s="16" t="s">
        <v>184</v>
      </c>
      <c r="E1648" s="16" t="s">
        <v>185</v>
      </c>
      <c r="F1648" s="16" t="s">
        <v>186</v>
      </c>
      <c r="G1648" s="16" t="s">
        <v>552</v>
      </c>
      <c r="H1648" s="16" t="s">
        <v>190</v>
      </c>
    </row>
    <row r="1649" ht="330.75" customHeight="1">
      <c r="A1649" s="32" t="str">
        <f>IMAGE("https://gymvisual.com/19495-catalog_default/barbell-bench-press-with-band-suspended-kettlebell.jpg",4,500,500)</f>
        <v/>
      </c>
      <c r="B1649" s="30">
        <v>358.0</v>
      </c>
      <c r="C1649" s="16" t="s">
        <v>776</v>
      </c>
      <c r="D1649" s="16" t="s">
        <v>184</v>
      </c>
      <c r="E1649" s="16" t="s">
        <v>234</v>
      </c>
      <c r="F1649" s="16" t="s">
        <v>186</v>
      </c>
      <c r="G1649" s="16" t="s">
        <v>220</v>
      </c>
      <c r="H1649" s="16" t="s">
        <v>220</v>
      </c>
    </row>
    <row r="1650" ht="330.75" customHeight="1">
      <c r="A1650" s="32" t="str">
        <f>IMAGE("https://gymvisual.com/17869-catalog_default/barbell-bench-press-with-3-board.jpg",4,500,500)</f>
        <v/>
      </c>
      <c r="B1650" s="30">
        <v>357.0</v>
      </c>
      <c r="C1650" s="16" t="s">
        <v>775</v>
      </c>
      <c r="D1650" s="16" t="s">
        <v>184</v>
      </c>
      <c r="E1650" s="16" t="s">
        <v>234</v>
      </c>
      <c r="F1650" s="16" t="s">
        <v>186</v>
      </c>
      <c r="G1650" s="16" t="s">
        <v>220</v>
      </c>
      <c r="H1650" s="16" t="s">
        <v>220</v>
      </c>
    </row>
    <row r="1651" ht="330.75" customHeight="1">
      <c r="A1651" s="32" t="str">
        <f>IMAGE("https://gymvisual.com/17871-catalog_default/barbell-bench-press-with-2-board.jpg",4,500,500)</f>
        <v/>
      </c>
      <c r="B1651" s="30">
        <v>356.0</v>
      </c>
      <c r="C1651" s="16" t="s">
        <v>774</v>
      </c>
      <c r="D1651" s="16" t="s">
        <v>184</v>
      </c>
      <c r="E1651" s="16" t="s">
        <v>234</v>
      </c>
      <c r="F1651" s="16" t="s">
        <v>186</v>
      </c>
      <c r="G1651" s="16" t="s">
        <v>220</v>
      </c>
      <c r="H1651" s="16" t="s">
        <v>220</v>
      </c>
    </row>
    <row r="1652" ht="330.75" customHeight="1">
      <c r="A1652" s="32" t="str">
        <f>IMAGE("https://gymvisual.com/17873-catalog_default/barbell-bench-press-with-1-board.jpg",4,500,500)</f>
        <v/>
      </c>
      <c r="B1652" s="30">
        <v>355.0</v>
      </c>
      <c r="C1652" s="16" t="s">
        <v>773</v>
      </c>
      <c r="D1652" s="16" t="s">
        <v>184</v>
      </c>
      <c r="E1652" s="16" t="s">
        <v>234</v>
      </c>
      <c r="F1652" s="16" t="s">
        <v>186</v>
      </c>
      <c r="G1652" s="16" t="s">
        <v>220</v>
      </c>
      <c r="H1652" s="16" t="s">
        <v>220</v>
      </c>
    </row>
    <row r="1653" ht="330.75" customHeight="1">
      <c r="A1653" s="32" t="str">
        <f>IMAGE("https://gymvisual.com/18037-catalog_default/barbell-bench-press-against-chains.jpg",4,500,500)</f>
        <v/>
      </c>
      <c r="B1653" s="30">
        <v>354.0</v>
      </c>
      <c r="C1653" s="16" t="s">
        <v>772</v>
      </c>
      <c r="D1653" s="16" t="s">
        <v>184</v>
      </c>
      <c r="E1653" s="16" t="s">
        <v>234</v>
      </c>
      <c r="F1653" s="16" t="s">
        <v>186</v>
      </c>
      <c r="G1653" s="16" t="s">
        <v>220</v>
      </c>
      <c r="H1653" s="16" t="s">
        <v>220</v>
      </c>
    </row>
    <row r="1654" ht="330.75" customHeight="1">
      <c r="A1654" s="32" t="str">
        <f>IMAGE("https://gymvisual.com/12832-catalog_default/barbell-bench-press-with-hanging-band-technique.jpg",4,500,500)</f>
        <v/>
      </c>
      <c r="B1654" s="30">
        <v>353.0</v>
      </c>
      <c r="C1654" s="16" t="s">
        <v>771</v>
      </c>
      <c r="D1654" s="16" t="s">
        <v>184</v>
      </c>
      <c r="E1654" s="16" t="s">
        <v>234</v>
      </c>
      <c r="F1654" s="16" t="s">
        <v>186</v>
      </c>
      <c r="G1654" s="16" t="s">
        <v>235</v>
      </c>
      <c r="H1654" s="16" t="s">
        <v>243</v>
      </c>
    </row>
    <row r="1655" ht="330.75" customHeight="1">
      <c r="A1655" s="32" t="str">
        <f>IMAGE("https://gymvisual.com/12746-catalog_default/barbell-bench-press-knees-at-90-degrees.jpg",4,500,500)</f>
        <v/>
      </c>
      <c r="B1655" s="30">
        <v>352.0</v>
      </c>
      <c r="C1655" s="16" t="s">
        <v>770</v>
      </c>
      <c r="D1655" s="16" t="s">
        <v>184</v>
      </c>
      <c r="E1655" s="16" t="s">
        <v>234</v>
      </c>
      <c r="F1655" s="16" t="s">
        <v>186</v>
      </c>
      <c r="G1655" s="16" t="s">
        <v>235</v>
      </c>
      <c r="H1655" s="16" t="s">
        <v>243</v>
      </c>
    </row>
    <row r="1656" ht="330.75" customHeight="1">
      <c r="A1656" s="32" t="str">
        <f>IMAGE("https://gymvisual.com/10945-catalog_default/barbell-bench-press-female.jpg",4,500,500)</f>
        <v/>
      </c>
      <c r="B1656" s="30">
        <v>351.0</v>
      </c>
      <c r="C1656" s="16" t="s">
        <v>769</v>
      </c>
      <c r="D1656" s="16" t="s">
        <v>184</v>
      </c>
      <c r="E1656" s="16" t="s">
        <v>234</v>
      </c>
      <c r="F1656" s="16" t="s">
        <v>186</v>
      </c>
      <c r="G1656" s="16" t="s">
        <v>235</v>
      </c>
      <c r="H1656" s="16" t="s">
        <v>243</v>
      </c>
    </row>
    <row r="1657" ht="330.75" customHeight="1">
      <c r="A1657" s="32" t="str">
        <f>IMAGE("https://gymvisual.com/19307-catalog_default/barbell-bench-press.jpg",4,500,500)</f>
        <v/>
      </c>
      <c r="B1657" s="30">
        <v>350.0</v>
      </c>
      <c r="C1657" s="16" t="s">
        <v>768</v>
      </c>
      <c r="D1657" s="16" t="s">
        <v>184</v>
      </c>
      <c r="E1657" s="16" t="s">
        <v>234</v>
      </c>
      <c r="F1657" s="16" t="s">
        <v>186</v>
      </c>
      <c r="G1657" s="16" t="s">
        <v>347</v>
      </c>
      <c r="H1657" s="16" t="s">
        <v>382</v>
      </c>
    </row>
    <row r="1658" ht="330.75" customHeight="1">
      <c r="A1658" s="32" t="str">
        <f>IMAGE("https://gymvisual.com/13319-catalog_default/barbell-bench-front-squat-female.jpg",4,500,500)</f>
        <v/>
      </c>
      <c r="B1658" s="30">
        <v>349.0</v>
      </c>
      <c r="C1658" s="16" t="s">
        <v>767</v>
      </c>
      <c r="D1658" s="16" t="s">
        <v>184</v>
      </c>
      <c r="E1658" s="16" t="s">
        <v>294</v>
      </c>
      <c r="F1658" s="16" t="s">
        <v>186</v>
      </c>
      <c r="G1658" s="16" t="s">
        <v>220</v>
      </c>
      <c r="H1658" s="16" t="s">
        <v>220</v>
      </c>
    </row>
    <row r="1659" ht="330.75" customHeight="1">
      <c r="A1659" s="32" t="str">
        <f>IMAGE("https://gymvisual.com/102-catalog_default/barbell-bench-front-squat.jpg",4,500,500)</f>
        <v/>
      </c>
      <c r="B1659" s="30">
        <v>348.0</v>
      </c>
      <c r="C1659" s="16" t="s">
        <v>766</v>
      </c>
      <c r="D1659" s="16" t="s">
        <v>184</v>
      </c>
      <c r="E1659" s="16" t="s">
        <v>285</v>
      </c>
      <c r="F1659" s="16" t="s">
        <v>186</v>
      </c>
      <c r="G1659" s="16" t="s">
        <v>552</v>
      </c>
      <c r="H1659" s="16" t="s">
        <v>190</v>
      </c>
    </row>
    <row r="1660" ht="330.75" customHeight="1">
      <c r="A1660" s="32" t="str">
        <f>IMAGE("https://gymvisual.com/16392-catalog_default/barbell-behind-the-back-shrug.jpg",4,500,500)</f>
        <v/>
      </c>
      <c r="B1660" s="30">
        <v>347.0</v>
      </c>
      <c r="C1660" s="16" t="s">
        <v>765</v>
      </c>
      <c r="D1660" s="16" t="s">
        <v>184</v>
      </c>
      <c r="E1660" s="16" t="s">
        <v>192</v>
      </c>
      <c r="F1660" s="16" t="s">
        <v>186</v>
      </c>
      <c r="G1660" s="16" t="s">
        <v>238</v>
      </c>
      <c r="H1660" s="16" t="s">
        <v>239</v>
      </c>
    </row>
    <row r="1661" ht="330.75" customHeight="1">
      <c r="A1661" s="32" t="str">
        <f>IMAGE("https://gymvisual.com/22399-catalog_default/barbell-behind-the-back-push-press.jpg",4,500,500)</f>
        <v/>
      </c>
      <c r="B1661" s="30">
        <v>346.0</v>
      </c>
      <c r="C1661" s="16" t="s">
        <v>763</v>
      </c>
      <c r="D1661" s="16" t="s">
        <v>184</v>
      </c>
      <c r="E1661" s="16" t="s">
        <v>764</v>
      </c>
      <c r="F1661" s="16" t="s">
        <v>186</v>
      </c>
      <c r="G1661" s="16" t="s">
        <v>229</v>
      </c>
      <c r="H1661" s="16" t="s">
        <v>230</v>
      </c>
    </row>
    <row r="1662" ht="330.75" customHeight="1">
      <c r="A1662" s="32" t="str">
        <f>IMAGE("https://gymvisual.com/25005-catalog_default/barbell-behind-the-back-deadlift.jpg",4,500,500)</f>
        <v/>
      </c>
      <c r="B1662" s="30">
        <v>345.0</v>
      </c>
      <c r="C1662" s="16" t="s">
        <v>762</v>
      </c>
      <c r="D1662" s="16" t="s">
        <v>184</v>
      </c>
      <c r="E1662" s="16" t="s">
        <v>185</v>
      </c>
      <c r="F1662" s="16" t="s">
        <v>186</v>
      </c>
      <c r="G1662" s="16" t="s">
        <v>220</v>
      </c>
      <c r="H1662" s="16" t="s">
        <v>220</v>
      </c>
    </row>
    <row r="1663" ht="330.75" customHeight="1">
      <c r="A1663" s="32" t="str">
        <f>IMAGE("https://gymvisual.com/6956-catalog_default/barbell-behind-back-finger-curl.jpg",4,500,500)</f>
        <v/>
      </c>
      <c r="B1663" s="30">
        <v>344.0</v>
      </c>
      <c r="C1663" s="16" t="s">
        <v>240</v>
      </c>
      <c r="D1663" s="16" t="s">
        <v>184</v>
      </c>
      <c r="E1663" s="16" t="s">
        <v>214</v>
      </c>
      <c r="F1663" s="16" t="s">
        <v>186</v>
      </c>
      <c r="G1663" s="16" t="s">
        <v>220</v>
      </c>
      <c r="H1663" s="16" t="s">
        <v>220</v>
      </c>
    </row>
    <row r="1664" ht="330.75" customHeight="1">
      <c r="A1664" s="32" t="str">
        <f>IMAGE("https://gymvisual.com/18041-catalog_default/barbell-banded-sumo-deadlift.jpg",4,500,500)</f>
        <v/>
      </c>
      <c r="B1664" s="30">
        <v>343.0</v>
      </c>
      <c r="C1664" s="16" t="s">
        <v>761</v>
      </c>
      <c r="D1664" s="16" t="s">
        <v>184</v>
      </c>
      <c r="E1664" s="16" t="s">
        <v>185</v>
      </c>
      <c r="F1664" s="16" t="s">
        <v>186</v>
      </c>
      <c r="G1664" s="16" t="s">
        <v>220</v>
      </c>
      <c r="H1664" s="16" t="s">
        <v>220</v>
      </c>
    </row>
    <row r="1665" ht="330.75" customHeight="1">
      <c r="A1665" s="32" t="str">
        <f>IMAGE("https://gymvisual.com/14072-catalog_default/barbell-banded-squat.jpg",4,500,500)</f>
        <v/>
      </c>
      <c r="B1665" s="30">
        <v>342.0</v>
      </c>
      <c r="C1665" s="16" t="s">
        <v>760</v>
      </c>
      <c r="D1665" s="16" t="s">
        <v>184</v>
      </c>
      <c r="E1665" s="16" t="s">
        <v>294</v>
      </c>
      <c r="F1665" s="16" t="s">
        <v>186</v>
      </c>
      <c r="G1665" s="16" t="s">
        <v>189</v>
      </c>
      <c r="H1665" s="16" t="s">
        <v>190</v>
      </c>
    </row>
    <row r="1666" ht="330.75" customHeight="1">
      <c r="A1666" s="32" t="str">
        <f>IMAGE("https://gymvisual.com/17989-catalog_default/barbell-banded-romanian-deadlift.jpg",4,500,500)</f>
        <v/>
      </c>
      <c r="B1666" s="30">
        <v>341.0</v>
      </c>
      <c r="C1666" s="16" t="s">
        <v>759</v>
      </c>
      <c r="D1666" s="16" t="s">
        <v>184</v>
      </c>
      <c r="E1666" s="16" t="s">
        <v>185</v>
      </c>
      <c r="F1666" s="16" t="s">
        <v>186</v>
      </c>
      <c r="G1666" s="16" t="s">
        <v>220</v>
      </c>
      <c r="H1666" s="16" t="s">
        <v>220</v>
      </c>
    </row>
    <row r="1667" ht="330.75" customHeight="1">
      <c r="A1667" s="32" t="str">
        <f>IMAGE("https://gymvisual.com/17855-catalog_default/barbell-banded-bench-squat.jpg",4,500,500)</f>
        <v/>
      </c>
      <c r="B1667" s="30">
        <v>340.0</v>
      </c>
      <c r="C1667" s="16" t="s">
        <v>758</v>
      </c>
      <c r="D1667" s="16" t="s">
        <v>184</v>
      </c>
      <c r="E1667" s="16" t="s">
        <v>285</v>
      </c>
      <c r="F1667" s="16" t="s">
        <v>186</v>
      </c>
      <c r="G1667" s="16" t="s">
        <v>220</v>
      </c>
      <c r="H1667" s="16" t="s">
        <v>220</v>
      </c>
    </row>
    <row r="1668" ht="330.75" customHeight="1">
      <c r="A1668" s="32" t="str">
        <f>IMAGE("https://gymvisual.com/22367-catalog_default/barbell-band-assisted-deadlift.jpg",4,500,500)</f>
        <v/>
      </c>
      <c r="B1668" s="30">
        <v>339.0</v>
      </c>
      <c r="C1668" s="16" t="s">
        <v>757</v>
      </c>
      <c r="D1668" s="16" t="s">
        <v>184</v>
      </c>
      <c r="E1668" s="16" t="s">
        <v>185</v>
      </c>
      <c r="F1668" s="16" t="s">
        <v>186</v>
      </c>
      <c r="G1668" s="16" t="s">
        <v>220</v>
      </c>
      <c r="H1668" s="16" t="s">
        <v>220</v>
      </c>
    </row>
    <row r="1669" ht="330.75" customHeight="1">
      <c r="A1669" s="32" t="str">
        <f>IMAGE("https://gymvisual.com/20417-catalog_default/barbell-back-wide-shrug.jpg",4,500,500)</f>
        <v/>
      </c>
      <c r="B1669" s="30">
        <v>338.0</v>
      </c>
      <c r="C1669" s="16" t="s">
        <v>237</v>
      </c>
      <c r="D1669" s="16" t="s">
        <v>184</v>
      </c>
      <c r="E1669" s="16" t="s">
        <v>192</v>
      </c>
      <c r="F1669" s="16" t="s">
        <v>186</v>
      </c>
      <c r="G1669" s="16" t="s">
        <v>238</v>
      </c>
      <c r="H1669" s="16" t="s">
        <v>239</v>
      </c>
    </row>
    <row r="1670" ht="330.75" customHeight="1">
      <c r="A1670" s="32" t="str">
        <f>IMAGE("https://gymvisual.com/24997-catalog_default/barbell-anderson-squat.jpg",4,500,500)</f>
        <v/>
      </c>
      <c r="B1670" s="30">
        <v>337.0</v>
      </c>
      <c r="C1670" s="16" t="s">
        <v>756</v>
      </c>
      <c r="D1670" s="16" t="s">
        <v>184</v>
      </c>
      <c r="E1670" s="16" t="s">
        <v>285</v>
      </c>
      <c r="F1670" s="16" t="s">
        <v>186</v>
      </c>
      <c r="G1670" s="16" t="s">
        <v>220</v>
      </c>
      <c r="H1670" s="16" t="s">
        <v>220</v>
      </c>
    </row>
    <row r="1671" ht="330.75" customHeight="1">
      <c r="A1671" s="32" t="str">
        <f>IMAGE("https://gymvisual.com/99-catalog_default/barbell-alternate-biceps-curl.jpg",4,500,500)</f>
        <v/>
      </c>
      <c r="B1671" s="30">
        <v>336.0</v>
      </c>
      <c r="C1671" s="16" t="s">
        <v>755</v>
      </c>
      <c r="D1671" s="16" t="s">
        <v>184</v>
      </c>
      <c r="E1671" s="16" t="s">
        <v>219</v>
      </c>
      <c r="F1671" s="16" t="s">
        <v>186</v>
      </c>
      <c r="G1671" s="16" t="s">
        <v>241</v>
      </c>
      <c r="H1671" s="16" t="s">
        <v>292</v>
      </c>
    </row>
    <row r="1672" ht="330.75" customHeight="1">
      <c r="A1672" s="32" t="str">
        <f>IMAGE("https://gymvisual.com/22512-catalog_default/bar-close-grip-biceps-curl.jpg",4,500,500)</f>
        <v/>
      </c>
      <c r="B1672" s="30">
        <v>335.0</v>
      </c>
      <c r="C1672" s="16" t="s">
        <v>754</v>
      </c>
      <c r="D1672" s="16" t="s">
        <v>184</v>
      </c>
      <c r="E1672" s="16" t="s">
        <v>219</v>
      </c>
      <c r="F1672" s="16" t="s">
        <v>255</v>
      </c>
      <c r="G1672" s="16" t="s">
        <v>220</v>
      </c>
      <c r="H1672" s="16" t="s">
        <v>220</v>
      </c>
    </row>
    <row r="1673" ht="330.75" customHeight="1">
      <c r="A1673" s="32" t="str">
        <f>IMAGE("https://gymvisual.com/22195-catalog_default/bar-biceps-curl.jpg",4,500,500)</f>
        <v/>
      </c>
      <c r="B1673" s="30">
        <v>334.0</v>
      </c>
      <c r="C1673" s="16" t="s">
        <v>753</v>
      </c>
      <c r="D1673" s="16" t="s">
        <v>184</v>
      </c>
      <c r="E1673" s="16" t="s">
        <v>219</v>
      </c>
      <c r="F1673" s="16" t="s">
        <v>255</v>
      </c>
      <c r="G1673" s="16" t="s">
        <v>220</v>
      </c>
      <c r="H1673" s="16" t="s">
        <v>220</v>
      </c>
    </row>
    <row r="1674" ht="330.75" customHeight="1">
      <c r="A1674" s="32" t="str">
        <f>IMAGE("https://gymvisual.com/19709-catalog_default/bar-band-swing.jpg",4,500,500)</f>
        <v/>
      </c>
      <c r="B1674" s="30">
        <v>333.0</v>
      </c>
      <c r="C1674" s="16" t="s">
        <v>750</v>
      </c>
      <c r="D1674" s="16" t="s">
        <v>184</v>
      </c>
      <c r="E1674" s="16" t="s">
        <v>185</v>
      </c>
      <c r="F1674" s="16" t="s">
        <v>727</v>
      </c>
      <c r="G1674" s="16" t="s">
        <v>751</v>
      </c>
      <c r="H1674" s="16" t="s">
        <v>752</v>
      </c>
    </row>
    <row r="1675" ht="330.75" customHeight="1">
      <c r="A1675" s="32" t="str">
        <f>IMAGE("https://gymvisual.com/19713-catalog_default/bar-band-standing-triceps-extension.jpg",4,500,500)</f>
        <v/>
      </c>
      <c r="B1675" s="30">
        <v>332.0</v>
      </c>
      <c r="C1675" s="16" t="s">
        <v>749</v>
      </c>
      <c r="D1675" s="16" t="s">
        <v>184</v>
      </c>
      <c r="E1675" s="16" t="s">
        <v>219</v>
      </c>
      <c r="F1675" s="16" t="s">
        <v>727</v>
      </c>
      <c r="G1675" s="16" t="s">
        <v>223</v>
      </c>
      <c r="H1675" s="16" t="s">
        <v>220</v>
      </c>
    </row>
    <row r="1676" ht="330.75" customHeight="1">
      <c r="A1676" s="32" t="str">
        <f>IMAGE("https://gymvisual.com/19740-catalog_default/bar-band-standing-single-arm-upright-row.jpg",4,500,500)</f>
        <v/>
      </c>
      <c r="B1676" s="30">
        <v>331.0</v>
      </c>
      <c r="C1676" s="16" t="s">
        <v>748</v>
      </c>
      <c r="D1676" s="16" t="s">
        <v>184</v>
      </c>
      <c r="E1676" s="16" t="s">
        <v>228</v>
      </c>
      <c r="F1676" s="16" t="s">
        <v>727</v>
      </c>
      <c r="G1676" s="16" t="s">
        <v>544</v>
      </c>
      <c r="H1676" s="16" t="s">
        <v>713</v>
      </c>
    </row>
    <row r="1677" ht="330.75" customHeight="1">
      <c r="A1677" s="32" t="str">
        <f>IMAGE("https://gymvisual.com/19723-catalog_default/bar-band-standing-side-bend.jpg",4,500,500)</f>
        <v/>
      </c>
      <c r="B1677" s="30">
        <v>330.0</v>
      </c>
      <c r="C1677" s="16" t="s">
        <v>747</v>
      </c>
      <c r="D1677" s="16" t="s">
        <v>184</v>
      </c>
      <c r="E1677" s="16" t="s">
        <v>254</v>
      </c>
      <c r="F1677" s="16" t="s">
        <v>727</v>
      </c>
      <c r="G1677" s="16" t="s">
        <v>257</v>
      </c>
      <c r="H1677" s="16" t="s">
        <v>220</v>
      </c>
    </row>
    <row r="1678" ht="330.75" customHeight="1">
      <c r="A1678" s="32" t="str">
        <f>IMAGE("https://gymvisual.com/19725-catalog_default/bar-band-standing-behind-head-military-press.jpg",4,500,500)</f>
        <v/>
      </c>
      <c r="B1678" s="30">
        <v>329.0</v>
      </c>
      <c r="C1678" s="16" t="s">
        <v>746</v>
      </c>
      <c r="D1678" s="16" t="s">
        <v>184</v>
      </c>
      <c r="E1678" s="16" t="s">
        <v>228</v>
      </c>
      <c r="F1678" s="16" t="s">
        <v>727</v>
      </c>
      <c r="G1678" s="16" t="s">
        <v>229</v>
      </c>
      <c r="H1678" s="16" t="s">
        <v>230</v>
      </c>
    </row>
    <row r="1679" ht="330.75" customHeight="1">
      <c r="A1679" s="32" t="str">
        <f>IMAGE("https://gymvisual.com/19719-catalog_default/bar-band-squat.jpg",4,500,500)</f>
        <v/>
      </c>
      <c r="B1679" s="30">
        <v>328.0</v>
      </c>
      <c r="C1679" s="16" t="s">
        <v>745</v>
      </c>
      <c r="D1679" s="16" t="s">
        <v>184</v>
      </c>
      <c r="E1679" s="16" t="s">
        <v>285</v>
      </c>
      <c r="F1679" s="16" t="s">
        <v>727</v>
      </c>
      <c r="G1679" s="16" t="s">
        <v>189</v>
      </c>
      <c r="H1679" s="16" t="s">
        <v>190</v>
      </c>
    </row>
    <row r="1680" ht="330.75" customHeight="1">
      <c r="A1680" s="32" t="str">
        <f>IMAGE("https://gymvisual.com/19711-catalog_default/bar-band-split-squat.jpg",4,500,500)</f>
        <v/>
      </c>
      <c r="B1680" s="30">
        <v>327.0</v>
      </c>
      <c r="C1680" s="16" t="s">
        <v>744</v>
      </c>
      <c r="D1680" s="16" t="s">
        <v>184</v>
      </c>
      <c r="E1680" s="16" t="s">
        <v>285</v>
      </c>
      <c r="F1680" s="16" t="s">
        <v>727</v>
      </c>
      <c r="G1680" s="16" t="s">
        <v>189</v>
      </c>
      <c r="H1680" s="16" t="s">
        <v>190</v>
      </c>
    </row>
    <row r="1681" ht="330.75" customHeight="1">
      <c r="A1681" s="32" t="str">
        <f>IMAGE("https://gymvisual.com/19744-catalog_default/bar-band-skier.jpg",4,500,500)</f>
        <v/>
      </c>
      <c r="B1681" s="30">
        <v>326.0</v>
      </c>
      <c r="C1681" s="16" t="s">
        <v>743</v>
      </c>
      <c r="D1681" s="16" t="s">
        <v>184</v>
      </c>
      <c r="E1681" s="16" t="s">
        <v>228</v>
      </c>
      <c r="F1681" s="16" t="s">
        <v>727</v>
      </c>
      <c r="G1681" s="16" t="s">
        <v>408</v>
      </c>
      <c r="H1681" s="16" t="s">
        <v>731</v>
      </c>
    </row>
    <row r="1682" ht="330.75" customHeight="1">
      <c r="A1682" s="32" t="str">
        <f>IMAGE("https://gymvisual.com/19752-catalog_default/bar-band-single-leg-reverse-hyperextension.jpg",4,500,500)</f>
        <v/>
      </c>
      <c r="B1682" s="30">
        <v>325.0</v>
      </c>
      <c r="C1682" s="16" t="s">
        <v>742</v>
      </c>
      <c r="D1682" s="16" t="s">
        <v>184</v>
      </c>
      <c r="E1682" s="16" t="s">
        <v>185</v>
      </c>
      <c r="F1682" s="16" t="s">
        <v>727</v>
      </c>
      <c r="G1682" s="16" t="s">
        <v>267</v>
      </c>
      <c r="H1682" s="16" t="s">
        <v>188</v>
      </c>
    </row>
    <row r="1683" ht="330.75" customHeight="1">
      <c r="A1683" s="32" t="str">
        <f>IMAGE("https://gymvisual.com/19750-catalog_default/bar-band-side-bend-press.jpg",4,500,500)</f>
        <v/>
      </c>
      <c r="B1683" s="30">
        <v>324.0</v>
      </c>
      <c r="C1683" s="16" t="s">
        <v>739</v>
      </c>
      <c r="D1683" s="16" t="s">
        <v>184</v>
      </c>
      <c r="E1683" s="16" t="s">
        <v>740</v>
      </c>
      <c r="F1683" s="16" t="s">
        <v>727</v>
      </c>
      <c r="G1683" s="16" t="s">
        <v>741</v>
      </c>
      <c r="H1683" s="16" t="s">
        <v>626</v>
      </c>
    </row>
    <row r="1684" ht="330.75" customHeight="1">
      <c r="A1684" s="32" t="str">
        <f>IMAGE("https://gymvisual.com/19738-catalog_default/bar-band-overhead-triceps-extension.jpg",4,500,500)</f>
        <v/>
      </c>
      <c r="B1684" s="30">
        <v>323.0</v>
      </c>
      <c r="C1684" s="16" t="s">
        <v>738</v>
      </c>
      <c r="D1684" s="16" t="s">
        <v>184</v>
      </c>
      <c r="E1684" s="16" t="s">
        <v>219</v>
      </c>
      <c r="F1684" s="16" t="s">
        <v>727</v>
      </c>
      <c r="G1684" s="16" t="s">
        <v>223</v>
      </c>
      <c r="H1684" s="16" t="s">
        <v>220</v>
      </c>
    </row>
    <row r="1685" ht="330.75" customHeight="1">
      <c r="A1685" s="32" t="str">
        <f>IMAGE("https://gymvisual.com/19715-catalog_default/bar-band-lying-alternate-leg-press.jpg",4,500,500)</f>
        <v/>
      </c>
      <c r="B1685" s="30">
        <v>322.0</v>
      </c>
      <c r="C1685" s="16" t="s">
        <v>737</v>
      </c>
      <c r="D1685" s="16" t="s">
        <v>184</v>
      </c>
      <c r="E1685" s="16" t="s">
        <v>285</v>
      </c>
      <c r="F1685" s="16" t="s">
        <v>727</v>
      </c>
      <c r="G1685" s="16" t="s">
        <v>189</v>
      </c>
      <c r="H1685" s="16" t="s">
        <v>305</v>
      </c>
    </row>
    <row r="1686" ht="330.75" customHeight="1">
      <c r="A1686" s="32" t="str">
        <f>IMAGE("https://gymvisual.com/19707-catalog_default/bar-band-kneeling-single-leg-kick.jpg",4,500,500)</f>
        <v/>
      </c>
      <c r="B1686" s="30">
        <v>321.0</v>
      </c>
      <c r="C1686" s="16" t="s">
        <v>736</v>
      </c>
      <c r="D1686" s="16" t="s">
        <v>184</v>
      </c>
      <c r="E1686" s="16" t="s">
        <v>185</v>
      </c>
      <c r="F1686" s="16" t="s">
        <v>727</v>
      </c>
      <c r="G1686" s="16" t="s">
        <v>187</v>
      </c>
      <c r="H1686" s="16" t="s">
        <v>188</v>
      </c>
    </row>
    <row r="1687" ht="330.75" customHeight="1">
      <c r="A1687" s="32" t="str">
        <f>IMAGE("https://gymvisual.com/19721-catalog_default/bar-band-kneeling-incline-press.jpg",4,500,500)</f>
        <v/>
      </c>
      <c r="B1687" s="30">
        <v>320.0</v>
      </c>
      <c r="C1687" s="16" t="s">
        <v>735</v>
      </c>
      <c r="D1687" s="16" t="s">
        <v>184</v>
      </c>
      <c r="E1687" s="16" t="s">
        <v>234</v>
      </c>
      <c r="F1687" s="16" t="s">
        <v>727</v>
      </c>
      <c r="G1687" s="16" t="s">
        <v>415</v>
      </c>
      <c r="H1687" s="16" t="s">
        <v>243</v>
      </c>
    </row>
    <row r="1688" ht="330.75" customHeight="1">
      <c r="A1688" s="32" t="str">
        <f>IMAGE("https://gymvisual.com/19742-catalog_default/bar-band-down-to-up-twist.jpg",4,500,500)</f>
        <v/>
      </c>
      <c r="B1688" s="30">
        <v>319.0</v>
      </c>
      <c r="C1688" s="16" t="s">
        <v>733</v>
      </c>
      <c r="D1688" s="16" t="s">
        <v>184</v>
      </c>
      <c r="E1688" s="16" t="s">
        <v>254</v>
      </c>
      <c r="F1688" s="16" t="s">
        <v>727</v>
      </c>
      <c r="G1688" s="16" t="s">
        <v>257</v>
      </c>
      <c r="H1688" s="16" t="s">
        <v>734</v>
      </c>
    </row>
    <row r="1689" ht="330.75" customHeight="1">
      <c r="A1689" s="32" t="str">
        <f>IMAGE("https://gymvisual.com/19746-catalog_default/bar-band-bent-over-row.jpg",4,500,500)</f>
        <v/>
      </c>
      <c r="B1689" s="30">
        <v>318.0</v>
      </c>
      <c r="C1689" s="16" t="s">
        <v>732</v>
      </c>
      <c r="D1689" s="16" t="s">
        <v>184</v>
      </c>
      <c r="E1689" s="16" t="s">
        <v>192</v>
      </c>
      <c r="F1689" s="16" t="s">
        <v>727</v>
      </c>
      <c r="G1689" s="16" t="s">
        <v>329</v>
      </c>
      <c r="H1689" s="16" t="s">
        <v>447</v>
      </c>
    </row>
    <row r="1690" ht="330.75" customHeight="1">
      <c r="A1690" s="32" t="str">
        <f>IMAGE("https://gymvisual.com/19717-catalog_default/bar-band-bent-over-rear-delt-fly.jpg",4,500,500)</f>
        <v/>
      </c>
      <c r="B1690" s="30">
        <v>317.0</v>
      </c>
      <c r="C1690" s="16" t="s">
        <v>730</v>
      </c>
      <c r="D1690" s="16" t="s">
        <v>184</v>
      </c>
      <c r="E1690" s="16" t="s">
        <v>228</v>
      </c>
      <c r="F1690" s="16" t="s">
        <v>727</v>
      </c>
      <c r="G1690" s="16" t="s">
        <v>408</v>
      </c>
      <c r="H1690" s="16" t="s">
        <v>731</v>
      </c>
    </row>
    <row r="1691" ht="330.75" customHeight="1">
      <c r="A1691" s="32" t="str">
        <f>IMAGE("https://gymvisual.com/19748-catalog_default/bar-band-air-bike.jpg",4,500,500)</f>
        <v/>
      </c>
      <c r="B1691" s="30">
        <v>316.0</v>
      </c>
      <c r="C1691" s="16" t="s">
        <v>726</v>
      </c>
      <c r="D1691" s="16" t="s">
        <v>184</v>
      </c>
      <c r="E1691" s="16" t="s">
        <v>254</v>
      </c>
      <c r="F1691" s="16" t="s">
        <v>727</v>
      </c>
      <c r="G1691" s="16" t="s">
        <v>728</v>
      </c>
      <c r="H1691" s="16" t="s">
        <v>729</v>
      </c>
    </row>
    <row r="1692" ht="330.75" customHeight="1">
      <c r="A1692" s="32" t="str">
        <f>IMAGE("https://gymvisual.com/22363-catalog_default/banded-lower-body-dead-bug.jpg",4,500,500)</f>
        <v/>
      </c>
      <c r="B1692" s="30">
        <v>315.0</v>
      </c>
      <c r="C1692" s="16" t="s">
        <v>725</v>
      </c>
      <c r="D1692" s="16" t="s">
        <v>184</v>
      </c>
      <c r="E1692" s="16" t="s">
        <v>254</v>
      </c>
      <c r="F1692" s="16" t="s">
        <v>291</v>
      </c>
      <c r="G1692" s="16" t="s">
        <v>220</v>
      </c>
      <c r="H1692" s="16" t="s">
        <v>220</v>
      </c>
    </row>
    <row r="1693" ht="330.75" customHeight="1">
      <c r="A1693" s="32" t="str">
        <f>IMAGE("https://gymvisual.com/22456-catalog_default/banded-glute-ham-raise-version-3.jpg",4,500,500)</f>
        <v/>
      </c>
      <c r="B1693" s="30">
        <v>314.0</v>
      </c>
      <c r="C1693" s="16" t="s">
        <v>724</v>
      </c>
      <c r="D1693" s="16" t="s">
        <v>184</v>
      </c>
      <c r="E1693" s="16" t="s">
        <v>285</v>
      </c>
      <c r="F1693" s="16" t="s">
        <v>291</v>
      </c>
      <c r="G1693" s="16" t="s">
        <v>220</v>
      </c>
      <c r="H1693" s="16" t="s">
        <v>220</v>
      </c>
    </row>
    <row r="1694" ht="330.75" customHeight="1">
      <c r="A1694" s="32" t="str">
        <f>IMAGE("https://gymvisual.com/22383-catalog_default/banded-glute-ham-raise-version-2.jpg",4,500,500)</f>
        <v/>
      </c>
      <c r="B1694" s="30">
        <v>313.0</v>
      </c>
      <c r="C1694" s="16" t="s">
        <v>723</v>
      </c>
      <c r="D1694" s="16" t="s">
        <v>184</v>
      </c>
      <c r="E1694" s="16" t="s">
        <v>285</v>
      </c>
      <c r="F1694" s="16" t="s">
        <v>291</v>
      </c>
      <c r="G1694" s="16" t="s">
        <v>188</v>
      </c>
      <c r="H1694" s="16" t="s">
        <v>187</v>
      </c>
    </row>
    <row r="1695" ht="330.75" customHeight="1">
      <c r="A1695" s="32" t="str">
        <f>IMAGE("https://gymvisual.com/2914-catalog_default/band-y-raise.jpg",4,500,500)</f>
        <v/>
      </c>
      <c r="B1695" s="30">
        <v>312.0</v>
      </c>
      <c r="C1695" s="16" t="s">
        <v>721</v>
      </c>
      <c r="D1695" s="16" t="s">
        <v>184</v>
      </c>
      <c r="E1695" s="16" t="s">
        <v>228</v>
      </c>
      <c r="F1695" s="16" t="s">
        <v>291</v>
      </c>
      <c r="G1695" s="16" t="s">
        <v>544</v>
      </c>
      <c r="H1695" s="16" t="s">
        <v>722</v>
      </c>
    </row>
    <row r="1696" ht="330.75" customHeight="1">
      <c r="A1696" s="32" t="str">
        <f>IMAGE("https://gymvisual.com/2913-catalog_default/band-wrist-curl.jpg",4,500,500)</f>
        <v/>
      </c>
      <c r="B1696" s="30">
        <v>311.0</v>
      </c>
      <c r="C1696" s="16" t="s">
        <v>719</v>
      </c>
      <c r="D1696" s="16" t="s">
        <v>184</v>
      </c>
      <c r="E1696" s="16" t="s">
        <v>214</v>
      </c>
      <c r="F1696" s="16" t="s">
        <v>291</v>
      </c>
      <c r="G1696" s="16" t="s">
        <v>720</v>
      </c>
      <c r="H1696" s="16" t="s">
        <v>220</v>
      </c>
    </row>
    <row r="1697" ht="330.75" customHeight="1">
      <c r="A1697" s="32" t="str">
        <f>IMAGE("https://gymvisual.com/2912-catalog_default/band-vertical-pallof-press.jpg",4,500,500)</f>
        <v/>
      </c>
      <c r="B1697" s="30">
        <v>310.0</v>
      </c>
      <c r="C1697" s="16" t="s">
        <v>718</v>
      </c>
      <c r="D1697" s="16" t="s">
        <v>184</v>
      </c>
      <c r="E1697" s="16" t="s">
        <v>254</v>
      </c>
      <c r="F1697" s="16" t="s">
        <v>291</v>
      </c>
      <c r="G1697" s="16" t="s">
        <v>257</v>
      </c>
      <c r="H1697" s="16" t="s">
        <v>220</v>
      </c>
    </row>
    <row r="1698" ht="330.75" customHeight="1">
      <c r="A1698" s="32" t="str">
        <f>IMAGE("https://gymvisual.com/2911-catalog_default/band-v-up.jpg",4,500,500)</f>
        <v/>
      </c>
      <c r="B1698" s="30">
        <v>309.0</v>
      </c>
      <c r="C1698" s="16" t="s">
        <v>717</v>
      </c>
      <c r="D1698" s="16" t="s">
        <v>184</v>
      </c>
      <c r="E1698" s="16" t="s">
        <v>254</v>
      </c>
      <c r="F1698" s="16" t="s">
        <v>291</v>
      </c>
      <c r="G1698" s="16" t="s">
        <v>305</v>
      </c>
      <c r="H1698" s="16" t="s">
        <v>317</v>
      </c>
    </row>
    <row r="1699" ht="330.75" customHeight="1">
      <c r="A1699" s="32" t="str">
        <f>IMAGE("https://gymvisual.com/2826-catalog_default/band-upright-shoulder-external-rotation.jpg",4,500,500)</f>
        <v/>
      </c>
      <c r="B1699" s="30">
        <v>308.0</v>
      </c>
      <c r="C1699" s="16" t="s">
        <v>716</v>
      </c>
      <c r="D1699" s="16" t="s">
        <v>184</v>
      </c>
      <c r="E1699" s="16" t="s">
        <v>192</v>
      </c>
      <c r="F1699" s="16" t="s">
        <v>291</v>
      </c>
      <c r="G1699" s="16" t="s">
        <v>661</v>
      </c>
      <c r="H1699" s="16" t="s">
        <v>220</v>
      </c>
    </row>
    <row r="1700" ht="330.75" customHeight="1">
      <c r="A1700" s="32" t="str">
        <f>IMAGE("https://gymvisual.com/6733-catalog_default/band-upright-row-under-two-feet.jpg",4,500,500)</f>
        <v/>
      </c>
      <c r="B1700" s="30">
        <v>307.0</v>
      </c>
      <c r="C1700" s="16" t="s">
        <v>714</v>
      </c>
      <c r="D1700" s="16" t="s">
        <v>184</v>
      </c>
      <c r="E1700" s="16" t="s">
        <v>228</v>
      </c>
      <c r="F1700" s="16" t="s">
        <v>291</v>
      </c>
      <c r="G1700" s="16" t="s">
        <v>544</v>
      </c>
      <c r="H1700" s="16" t="s">
        <v>715</v>
      </c>
    </row>
    <row r="1701" ht="330.75" customHeight="1">
      <c r="A1701" s="32" t="str">
        <f>IMAGE("https://gymvisual.com/2825-catalog_default/band-upright-row.jpg",4,500,500)</f>
        <v/>
      </c>
      <c r="B1701" s="30">
        <v>306.0</v>
      </c>
      <c r="C1701" s="16" t="s">
        <v>712</v>
      </c>
      <c r="D1701" s="16" t="s">
        <v>184</v>
      </c>
      <c r="E1701" s="16" t="s">
        <v>228</v>
      </c>
      <c r="F1701" s="16" t="s">
        <v>291</v>
      </c>
      <c r="G1701" s="16" t="s">
        <v>544</v>
      </c>
      <c r="H1701" s="16" t="s">
        <v>713</v>
      </c>
    </row>
    <row r="1702" ht="330.75" customHeight="1">
      <c r="A1702" s="32" t="str">
        <f>IMAGE("https://gymvisual.com/22117-catalog_default/band-upper-crunch-male.jpg",4,500,500)</f>
        <v/>
      </c>
      <c r="B1702" s="30">
        <v>305.0</v>
      </c>
      <c r="C1702" s="16" t="s">
        <v>711</v>
      </c>
      <c r="D1702" s="16" t="s">
        <v>184</v>
      </c>
      <c r="E1702" s="16" t="s">
        <v>254</v>
      </c>
      <c r="F1702" s="16" t="s">
        <v>291</v>
      </c>
      <c r="G1702" s="16" t="s">
        <v>256</v>
      </c>
      <c r="H1702" s="16" t="s">
        <v>257</v>
      </c>
    </row>
    <row r="1703" ht="330.75" customHeight="1">
      <c r="A1703" s="32" t="str">
        <f>IMAGE("https://gymvisual.com/12203-catalog_default/band-upper-body-resistance-dead-bug.jpg",4,500,500)</f>
        <v/>
      </c>
      <c r="B1703" s="30">
        <v>304.0</v>
      </c>
      <c r="C1703" s="16" t="s">
        <v>710</v>
      </c>
      <c r="D1703" s="16" t="s">
        <v>184</v>
      </c>
      <c r="E1703" s="16" t="s">
        <v>254</v>
      </c>
      <c r="F1703" s="16" t="s">
        <v>291</v>
      </c>
      <c r="G1703" s="16" t="s">
        <v>220</v>
      </c>
      <c r="H1703" s="16" t="s">
        <v>220</v>
      </c>
    </row>
    <row r="1704" ht="330.75" customHeight="1">
      <c r="A1704" s="32" t="str">
        <f>IMAGE("https://gymvisual.com/16761-catalog_default/band-upper-body-lying-air-bike.jpg",4,500,500)</f>
        <v/>
      </c>
      <c r="B1704" s="30">
        <v>303.0</v>
      </c>
      <c r="C1704" s="16" t="s">
        <v>709</v>
      </c>
      <c r="D1704" s="16" t="s">
        <v>184</v>
      </c>
      <c r="E1704" s="16" t="s">
        <v>310</v>
      </c>
      <c r="F1704" s="16" t="s">
        <v>291</v>
      </c>
      <c r="G1704" s="16" t="s">
        <v>220</v>
      </c>
      <c r="H1704" s="16" t="s">
        <v>220</v>
      </c>
    </row>
    <row r="1705" ht="330.75" customHeight="1">
      <c r="A1705" s="32" t="str">
        <f>IMAGE("https://gymvisual.com/2910-catalog_default/band-underhand-pulldown.jpg",4,500,500)</f>
        <v/>
      </c>
      <c r="B1705" s="30">
        <v>302.0</v>
      </c>
      <c r="C1705" s="16" t="s">
        <v>707</v>
      </c>
      <c r="D1705" s="16" t="s">
        <v>184</v>
      </c>
      <c r="E1705" s="16" t="s">
        <v>192</v>
      </c>
      <c r="F1705" s="16" t="s">
        <v>291</v>
      </c>
      <c r="G1705" s="16" t="s">
        <v>300</v>
      </c>
      <c r="H1705" s="16" t="s">
        <v>708</v>
      </c>
    </row>
    <row r="1706" ht="330.75" customHeight="1">
      <c r="A1706" s="32" t="str">
        <f>IMAGE("https://gymvisual.com/17370-catalog_default/band-two-legs-calf-raise-band-under-both-legs-version-2-female.jpg",4,500,500)</f>
        <v/>
      </c>
      <c r="B1706" s="30">
        <v>301.0</v>
      </c>
      <c r="C1706" s="16" t="s">
        <v>706</v>
      </c>
      <c r="D1706" s="16" t="s">
        <v>184</v>
      </c>
      <c r="E1706" s="16" t="s">
        <v>325</v>
      </c>
      <c r="F1706" s="16" t="s">
        <v>291</v>
      </c>
      <c r="G1706" s="16" t="s">
        <v>368</v>
      </c>
      <c r="H1706" s="16" t="s">
        <v>463</v>
      </c>
    </row>
    <row r="1707" ht="330.75" customHeight="1">
      <c r="A1707" s="32" t="str">
        <f>IMAGE("https://gymvisual.com/6064-catalog_default/band-two-legs-calf-raise-band-under-both-legs-version-2.jpg",4,500,500)</f>
        <v/>
      </c>
      <c r="B1707" s="30">
        <v>300.0</v>
      </c>
      <c r="C1707" s="16" t="s">
        <v>705</v>
      </c>
      <c r="D1707" s="16" t="s">
        <v>184</v>
      </c>
      <c r="E1707" s="16" t="s">
        <v>325</v>
      </c>
      <c r="F1707" s="16" t="s">
        <v>291</v>
      </c>
      <c r="G1707" s="16" t="s">
        <v>368</v>
      </c>
      <c r="H1707" s="16" t="s">
        <v>463</v>
      </c>
    </row>
    <row r="1708" ht="330.75" customHeight="1">
      <c r="A1708" s="32" t="str">
        <f>IMAGE("https://gymvisual.com/2909-catalog_default/band-twisting-overhead-press.jpg",4,500,500)</f>
        <v/>
      </c>
      <c r="B1708" s="30">
        <v>299.0</v>
      </c>
      <c r="C1708" s="16" t="s">
        <v>703</v>
      </c>
      <c r="D1708" s="16" t="s">
        <v>184</v>
      </c>
      <c r="E1708" s="16" t="s">
        <v>228</v>
      </c>
      <c r="F1708" s="16" t="s">
        <v>291</v>
      </c>
      <c r="G1708" s="16" t="s">
        <v>229</v>
      </c>
      <c r="H1708" s="16" t="s">
        <v>704</v>
      </c>
    </row>
    <row r="1709" ht="330.75" customHeight="1">
      <c r="A1709" s="32" t="str">
        <f>IMAGE("https://gymvisual.com/2876-catalog_default/band-twist-up-down.jpg",4,500,500)</f>
        <v/>
      </c>
      <c r="B1709" s="30">
        <v>298.0</v>
      </c>
      <c r="C1709" s="16" t="s">
        <v>701</v>
      </c>
      <c r="D1709" s="16" t="s">
        <v>184</v>
      </c>
      <c r="E1709" s="16" t="s">
        <v>254</v>
      </c>
      <c r="F1709" s="16" t="s">
        <v>291</v>
      </c>
      <c r="G1709" s="16" t="s">
        <v>257</v>
      </c>
      <c r="H1709" s="16" t="s">
        <v>702</v>
      </c>
    </row>
    <row r="1710" ht="330.75" customHeight="1">
      <c r="A1710" s="32" t="str">
        <f>IMAGE("https://gymvisual.com/14246-catalog_default/band-twist-male.jpg",4,500,500)</f>
        <v/>
      </c>
      <c r="B1710" s="30">
        <v>297.0</v>
      </c>
      <c r="C1710" s="16" t="s">
        <v>699</v>
      </c>
      <c r="D1710" s="16" t="s">
        <v>184</v>
      </c>
      <c r="E1710" s="16" t="s">
        <v>254</v>
      </c>
      <c r="F1710" s="16" t="s">
        <v>291</v>
      </c>
      <c r="G1710" s="16" t="s">
        <v>257</v>
      </c>
      <c r="H1710" s="16" t="s">
        <v>700</v>
      </c>
    </row>
    <row r="1711" ht="330.75" customHeight="1">
      <c r="A1711" s="32" t="str">
        <f>IMAGE("https://gymvisual.com/2822-catalog_default/band-twist-down-up.jpg",4,500,500)</f>
        <v/>
      </c>
      <c r="B1711" s="30">
        <v>296.0</v>
      </c>
      <c r="C1711" s="16" t="s">
        <v>698</v>
      </c>
      <c r="D1711" s="16" t="s">
        <v>184</v>
      </c>
      <c r="E1711" s="16" t="s">
        <v>254</v>
      </c>
      <c r="F1711" s="16" t="s">
        <v>291</v>
      </c>
      <c r="G1711" s="16" t="s">
        <v>257</v>
      </c>
      <c r="H1711" s="16" t="s">
        <v>695</v>
      </c>
    </row>
    <row r="1712" ht="330.75" customHeight="1">
      <c r="A1712" s="32" t="str">
        <f>IMAGE("https://gymvisual.com/22714-catalog_default/band-twist-up-down-male.jpg",4,500,500)</f>
        <v/>
      </c>
      <c r="B1712" s="30">
        <v>295.0</v>
      </c>
      <c r="C1712" s="16" t="s">
        <v>696</v>
      </c>
      <c r="D1712" s="16" t="s">
        <v>184</v>
      </c>
      <c r="E1712" s="16" t="s">
        <v>254</v>
      </c>
      <c r="F1712" s="16" t="s">
        <v>291</v>
      </c>
      <c r="G1712" s="16" t="s">
        <v>257</v>
      </c>
      <c r="H1712" s="16" t="s">
        <v>697</v>
      </c>
    </row>
    <row r="1713" ht="330.75" customHeight="1">
      <c r="A1713" s="32" t="str">
        <f>IMAGE("https://gymvisual.com/2824-catalog_default/band-twist.jpg",4,500,500)</f>
        <v/>
      </c>
      <c r="B1713" s="30">
        <v>294.0</v>
      </c>
      <c r="C1713" s="16" t="s">
        <v>694</v>
      </c>
      <c r="D1713" s="16" t="s">
        <v>184</v>
      </c>
      <c r="E1713" s="16" t="s">
        <v>254</v>
      </c>
      <c r="F1713" s="16" t="s">
        <v>291</v>
      </c>
      <c r="G1713" s="16" t="s">
        <v>257</v>
      </c>
      <c r="H1713" s="16" t="s">
        <v>695</v>
      </c>
    </row>
    <row r="1714" ht="330.75" customHeight="1">
      <c r="A1714" s="32" t="str">
        <f>IMAGE("https://gymvisual.com/18909-catalog_default/band-triceps-kickback.jpg",4,500,500)</f>
        <v/>
      </c>
      <c r="B1714" s="30">
        <v>293.0</v>
      </c>
      <c r="C1714" s="16" t="s">
        <v>693</v>
      </c>
      <c r="D1714" s="16" t="s">
        <v>184</v>
      </c>
      <c r="E1714" s="16" t="s">
        <v>219</v>
      </c>
      <c r="F1714" s="16" t="s">
        <v>291</v>
      </c>
      <c r="G1714" s="16" t="s">
        <v>223</v>
      </c>
      <c r="H1714" s="16" t="s">
        <v>220</v>
      </c>
    </row>
    <row r="1715" ht="330.75" customHeight="1">
      <c r="A1715" s="32" t="str">
        <f>IMAGE("https://gymvisual.com/13285-catalog_default/band-thruster-female.jpg",4,500,500)</f>
        <v/>
      </c>
      <c r="B1715" s="30">
        <v>292.0</v>
      </c>
      <c r="C1715" s="16" t="s">
        <v>692</v>
      </c>
      <c r="D1715" s="16" t="s">
        <v>184</v>
      </c>
      <c r="E1715" s="16" t="s">
        <v>691</v>
      </c>
      <c r="F1715" s="16" t="s">
        <v>291</v>
      </c>
      <c r="G1715" s="16" t="s">
        <v>220</v>
      </c>
      <c r="H1715" s="16" t="s">
        <v>220</v>
      </c>
    </row>
    <row r="1716" ht="330.75" customHeight="1">
      <c r="A1716" s="32" t="str">
        <f>IMAGE("https://gymvisual.com/13283-catalog_default/band-thruster.jpg",4,500,500)</f>
        <v/>
      </c>
      <c r="B1716" s="30">
        <v>291.0</v>
      </c>
      <c r="C1716" s="16" t="s">
        <v>690</v>
      </c>
      <c r="D1716" s="16" t="s">
        <v>184</v>
      </c>
      <c r="E1716" s="16" t="s">
        <v>691</v>
      </c>
      <c r="F1716" s="16" t="s">
        <v>291</v>
      </c>
      <c r="G1716" s="16" t="s">
        <v>220</v>
      </c>
      <c r="H1716" s="16" t="s">
        <v>220</v>
      </c>
    </row>
    <row r="1717" ht="330.75" customHeight="1">
      <c r="A1717" s="32" t="str">
        <f>IMAGE("https://gymvisual.com/2821-catalog_default/band-straight-back-standing-row.jpg",4,500,500)</f>
        <v/>
      </c>
      <c r="B1717" s="30">
        <v>290.0</v>
      </c>
      <c r="C1717" s="16" t="s">
        <v>689</v>
      </c>
      <c r="D1717" s="16" t="s">
        <v>184</v>
      </c>
      <c r="E1717" s="16" t="s">
        <v>192</v>
      </c>
      <c r="F1717" s="16" t="s">
        <v>291</v>
      </c>
      <c r="G1717" s="16" t="s">
        <v>329</v>
      </c>
      <c r="H1717" s="16" t="s">
        <v>457</v>
      </c>
    </row>
    <row r="1718" ht="330.75" customHeight="1">
      <c r="A1718" s="32" t="str">
        <f>IMAGE("https://gymvisual.com/2820-catalog_default/band-straight-back-seated-row.jpg",4,500,500)</f>
        <v/>
      </c>
      <c r="B1718" s="30">
        <v>289.0</v>
      </c>
      <c r="C1718" s="16" t="s">
        <v>688</v>
      </c>
      <c r="D1718" s="16" t="s">
        <v>184</v>
      </c>
      <c r="E1718" s="16" t="s">
        <v>192</v>
      </c>
      <c r="F1718" s="16" t="s">
        <v>291</v>
      </c>
      <c r="G1718" s="16" t="s">
        <v>329</v>
      </c>
      <c r="H1718" s="16" t="s">
        <v>457</v>
      </c>
    </row>
    <row r="1719" ht="330.75" customHeight="1">
      <c r="A1719" s="32" t="str">
        <f>IMAGE("https://gymvisual.com/2819-catalog_default/band-straight-arm-pulldown.jpg",4,500,500)</f>
        <v/>
      </c>
      <c r="B1719" s="30">
        <v>288.0</v>
      </c>
      <c r="C1719" s="16" t="s">
        <v>686</v>
      </c>
      <c r="D1719" s="16" t="s">
        <v>184</v>
      </c>
      <c r="E1719" s="16" t="s">
        <v>192</v>
      </c>
      <c r="F1719" s="16" t="s">
        <v>291</v>
      </c>
      <c r="G1719" s="16" t="s">
        <v>300</v>
      </c>
      <c r="H1719" s="16" t="s">
        <v>687</v>
      </c>
    </row>
    <row r="1720" ht="330.75" customHeight="1">
      <c r="A1720" s="32" t="str">
        <f>IMAGE("https://gymvisual.com/2907-catalog_default/band-straight-leg-deadlift.jpg",4,500,500)</f>
        <v/>
      </c>
      <c r="B1720" s="30">
        <v>287.0</v>
      </c>
      <c r="C1720" s="16" t="s">
        <v>684</v>
      </c>
      <c r="D1720" s="16" t="s">
        <v>184</v>
      </c>
      <c r="E1720" s="16" t="s">
        <v>192</v>
      </c>
      <c r="F1720" s="16" t="s">
        <v>291</v>
      </c>
      <c r="G1720" s="16" t="s">
        <v>275</v>
      </c>
      <c r="H1720" s="16" t="s">
        <v>685</v>
      </c>
    </row>
    <row r="1721" ht="330.75" customHeight="1">
      <c r="A1721" s="32" t="str">
        <f>IMAGE("https://gymvisual.com/2920-catalog_default/band-straight-back-stiff-leg-deadlift.jpg",4,500,500)</f>
        <v/>
      </c>
      <c r="B1721" s="30">
        <v>286.0</v>
      </c>
      <c r="C1721" s="16" t="s">
        <v>682</v>
      </c>
      <c r="D1721" s="16" t="s">
        <v>184</v>
      </c>
      <c r="E1721" s="16" t="s">
        <v>185</v>
      </c>
      <c r="F1721" s="16" t="s">
        <v>291</v>
      </c>
      <c r="G1721" s="16" t="s">
        <v>187</v>
      </c>
      <c r="H1721" s="16" t="s">
        <v>683</v>
      </c>
    </row>
    <row r="1722" ht="330.75" customHeight="1">
      <c r="A1722" s="32" t="str">
        <f>IMAGE("https://gymvisual.com/17083-catalog_default/band-straight-back-seated-row-male.jpg",4,500,500)</f>
        <v/>
      </c>
      <c r="B1722" s="30">
        <v>285.0</v>
      </c>
      <c r="C1722" s="16" t="s">
        <v>681</v>
      </c>
      <c r="D1722" s="16" t="s">
        <v>184</v>
      </c>
      <c r="E1722" s="16" t="s">
        <v>192</v>
      </c>
      <c r="F1722" s="16" t="s">
        <v>291</v>
      </c>
      <c r="G1722" s="16" t="s">
        <v>329</v>
      </c>
      <c r="H1722" s="16" t="s">
        <v>447</v>
      </c>
    </row>
    <row r="1723" ht="330.75" customHeight="1">
      <c r="A1723" s="32" t="str">
        <f>IMAGE("https://gymvisual.com/2906-catalog_default/band-stiff-leg-deadlift.jpg",4,500,500)</f>
        <v/>
      </c>
      <c r="B1723" s="30">
        <v>284.0</v>
      </c>
      <c r="C1723" s="16" t="s">
        <v>680</v>
      </c>
      <c r="D1723" s="16" t="s">
        <v>184</v>
      </c>
      <c r="E1723" s="16" t="s">
        <v>185</v>
      </c>
      <c r="F1723" s="16" t="s">
        <v>291</v>
      </c>
      <c r="G1723" s="16" t="s">
        <v>187</v>
      </c>
      <c r="H1723" s="16" t="s">
        <v>590</v>
      </c>
    </row>
    <row r="1724" ht="330.75" customHeight="1">
      <c r="A1724" s="32" t="str">
        <f>IMAGE("https://gymvisual.com/2905-catalog_default/band-step-up.jpg",4,500,500)</f>
        <v/>
      </c>
      <c r="B1724" s="30">
        <v>283.0</v>
      </c>
      <c r="C1724" s="16" t="s">
        <v>678</v>
      </c>
      <c r="D1724" s="16" t="s">
        <v>184</v>
      </c>
      <c r="E1724" s="16" t="s">
        <v>185</v>
      </c>
      <c r="F1724" s="16" t="s">
        <v>291</v>
      </c>
      <c r="G1724" s="16" t="s">
        <v>187</v>
      </c>
      <c r="H1724" s="16" t="s">
        <v>679</v>
      </c>
    </row>
    <row r="1725" ht="330.75" customHeight="1">
      <c r="A1725" s="32" t="str">
        <f>IMAGE("https://gymvisual.com/2904-catalog_default/band-standing-twisting-crunch.jpg",4,500,500)</f>
        <v/>
      </c>
      <c r="B1725" s="30">
        <v>282.0</v>
      </c>
      <c r="C1725" s="16" t="s">
        <v>677</v>
      </c>
      <c r="D1725" s="16" t="s">
        <v>184</v>
      </c>
      <c r="E1725" s="16" t="s">
        <v>254</v>
      </c>
      <c r="F1725" s="16" t="s">
        <v>291</v>
      </c>
      <c r="G1725" s="16" t="s">
        <v>257</v>
      </c>
      <c r="H1725" s="16" t="s">
        <v>256</v>
      </c>
    </row>
    <row r="1726" ht="330.75" customHeight="1">
      <c r="A1726" s="32" t="str">
        <f>IMAGE("https://gymvisual.com/2818-catalog_default/band-standing-straight-leg-raise.jpg",4,500,500)</f>
        <v/>
      </c>
      <c r="B1726" s="30">
        <v>281.0</v>
      </c>
      <c r="C1726" s="16" t="s">
        <v>675</v>
      </c>
      <c r="D1726" s="16" t="s">
        <v>184</v>
      </c>
      <c r="E1726" s="16" t="s">
        <v>185</v>
      </c>
      <c r="F1726" s="16" t="s">
        <v>291</v>
      </c>
      <c r="G1726" s="16" t="s">
        <v>271</v>
      </c>
      <c r="H1726" s="16" t="s">
        <v>676</v>
      </c>
    </row>
    <row r="1727" ht="330.75" customHeight="1">
      <c r="A1727" s="32" t="str">
        <f>IMAGE("https://gymvisual.com/19243-catalog_default/band-standing-straight-arm-pulldown.jpg",4,500,500)</f>
        <v/>
      </c>
      <c r="B1727" s="30">
        <v>280.0</v>
      </c>
      <c r="C1727" s="16" t="s">
        <v>674</v>
      </c>
      <c r="D1727" s="16" t="s">
        <v>184</v>
      </c>
      <c r="E1727" s="16" t="s">
        <v>192</v>
      </c>
      <c r="F1727" s="16" t="s">
        <v>291</v>
      </c>
      <c r="G1727" s="16" t="s">
        <v>220</v>
      </c>
      <c r="H1727" s="16" t="s">
        <v>220</v>
      </c>
    </row>
    <row r="1728" ht="330.75" customHeight="1">
      <c r="A1728" s="32" t="str">
        <f>IMAGE("https://gymvisual.com/22750-catalog_default/band-standing-single-arm-twist-row.jpg",4,500,500)</f>
        <v/>
      </c>
      <c r="B1728" s="30">
        <v>279.0</v>
      </c>
      <c r="C1728" s="16" t="s">
        <v>673</v>
      </c>
      <c r="D1728" s="16" t="s">
        <v>184</v>
      </c>
      <c r="E1728" s="16" t="s">
        <v>192</v>
      </c>
      <c r="F1728" s="16" t="s">
        <v>291</v>
      </c>
      <c r="G1728" s="16" t="s">
        <v>570</v>
      </c>
      <c r="H1728" s="16" t="s">
        <v>447</v>
      </c>
    </row>
    <row r="1729" ht="330.75" customHeight="1">
      <c r="A1729" s="32" t="str">
        <f>IMAGE("https://gymvisual.com/19241-catalog_default/band-standing-single-arm-row.jpg",4,500,500)</f>
        <v/>
      </c>
      <c r="B1729" s="30">
        <v>278.0</v>
      </c>
      <c r="C1729" s="16" t="s">
        <v>672</v>
      </c>
      <c r="D1729" s="16" t="s">
        <v>184</v>
      </c>
      <c r="E1729" s="16" t="s">
        <v>192</v>
      </c>
      <c r="F1729" s="16" t="s">
        <v>291</v>
      </c>
      <c r="G1729" s="16" t="s">
        <v>220</v>
      </c>
      <c r="H1729" s="16" t="s">
        <v>220</v>
      </c>
    </row>
    <row r="1730" ht="330.75" customHeight="1">
      <c r="A1730" s="32" t="str">
        <f>IMAGE("https://gymvisual.com/17374-catalog_default/band-standing-rear-delt-row-female.jpg",4,500,500)</f>
        <v/>
      </c>
      <c r="B1730" s="30">
        <v>277.0</v>
      </c>
      <c r="C1730" s="16" t="s">
        <v>670</v>
      </c>
      <c r="D1730" s="16" t="s">
        <v>184</v>
      </c>
      <c r="E1730" s="16" t="s">
        <v>228</v>
      </c>
      <c r="F1730" s="16" t="s">
        <v>291</v>
      </c>
      <c r="G1730" s="16" t="s">
        <v>408</v>
      </c>
      <c r="H1730" s="16" t="s">
        <v>671</v>
      </c>
    </row>
    <row r="1731" ht="330.75" customHeight="1">
      <c r="A1731" s="32" t="str">
        <f>IMAGE("https://gymvisual.com/2919-catalog_default/band-standing-rear-delt-row.jpg",4,500,500)</f>
        <v/>
      </c>
      <c r="B1731" s="30">
        <v>276.0</v>
      </c>
      <c r="C1731" s="16" t="s">
        <v>669</v>
      </c>
      <c r="D1731" s="16" t="s">
        <v>184</v>
      </c>
      <c r="E1731" s="16" t="s">
        <v>228</v>
      </c>
      <c r="F1731" s="16" t="s">
        <v>291</v>
      </c>
      <c r="G1731" s="16" t="s">
        <v>408</v>
      </c>
      <c r="H1731" s="16" t="s">
        <v>490</v>
      </c>
    </row>
    <row r="1732" ht="330.75" customHeight="1">
      <c r="A1732" s="32" t="str">
        <f>IMAGE("https://gymvisual.com/2918-catalog_default/band-standing-leg-raise.jpg",4,500,500)</f>
        <v/>
      </c>
      <c r="B1732" s="30">
        <v>275.0</v>
      </c>
      <c r="C1732" s="16" t="s">
        <v>667</v>
      </c>
      <c r="D1732" s="16" t="s">
        <v>184</v>
      </c>
      <c r="E1732" s="16" t="s">
        <v>185</v>
      </c>
      <c r="F1732" s="16" t="s">
        <v>291</v>
      </c>
      <c r="G1732" s="16" t="s">
        <v>271</v>
      </c>
      <c r="H1732" s="16" t="s">
        <v>668</v>
      </c>
    </row>
    <row r="1733" ht="330.75" customHeight="1">
      <c r="A1733" s="32" t="str">
        <f>IMAGE("https://gymvisual.com/2817-catalog_default/band-standing-leg-extension.jpg",4,500,500)</f>
        <v/>
      </c>
      <c r="B1733" s="30">
        <v>274.0</v>
      </c>
      <c r="C1733" s="16" t="s">
        <v>666</v>
      </c>
      <c r="D1733" s="16" t="s">
        <v>184</v>
      </c>
      <c r="E1733" s="16" t="s">
        <v>285</v>
      </c>
      <c r="F1733" s="16" t="s">
        <v>291</v>
      </c>
      <c r="G1733" s="16" t="s">
        <v>552</v>
      </c>
      <c r="H1733" s="16" t="s">
        <v>476</v>
      </c>
    </row>
    <row r="1734" ht="330.75" customHeight="1">
      <c r="A1734" s="32" t="str">
        <f>IMAGE("https://gymvisual.com/17513-catalog_default/band-standing-leg-curl-male.jpg",4,500,500)</f>
        <v/>
      </c>
      <c r="B1734" s="30">
        <v>273.0</v>
      </c>
      <c r="C1734" s="16" t="s">
        <v>664</v>
      </c>
      <c r="D1734" s="16" t="s">
        <v>184</v>
      </c>
      <c r="E1734" s="16" t="s">
        <v>285</v>
      </c>
      <c r="F1734" s="16" t="s">
        <v>291</v>
      </c>
      <c r="G1734" s="16" t="s">
        <v>188</v>
      </c>
      <c r="H1734" s="16" t="s">
        <v>665</v>
      </c>
    </row>
    <row r="1735" ht="330.75" customHeight="1">
      <c r="A1735" s="32" t="str">
        <f>IMAGE("https://gymvisual.com/2816-catalog_default/band-standing-leg-curl.jpg",4,500,500)</f>
        <v/>
      </c>
      <c r="B1735" s="30">
        <v>272.0</v>
      </c>
      <c r="C1735" s="16" t="s">
        <v>663</v>
      </c>
      <c r="D1735" s="16" t="s">
        <v>184</v>
      </c>
      <c r="E1735" s="16" t="s">
        <v>285</v>
      </c>
      <c r="F1735" s="16" t="s">
        <v>291</v>
      </c>
      <c r="G1735" s="16" t="s">
        <v>188</v>
      </c>
      <c r="H1735" s="16" t="s">
        <v>368</v>
      </c>
    </row>
    <row r="1736" ht="330.75" customHeight="1">
      <c r="A1736" s="32" t="str">
        <f>IMAGE("https://gymvisual.com/2815-catalog_default/band-standing-internal-shoulder-rotation.jpg",4,500,500)</f>
        <v/>
      </c>
      <c r="B1736" s="30">
        <v>271.0</v>
      </c>
      <c r="C1736" s="16" t="s">
        <v>660</v>
      </c>
      <c r="D1736" s="16" t="s">
        <v>184</v>
      </c>
      <c r="E1736" s="16" t="s">
        <v>192</v>
      </c>
      <c r="F1736" s="16" t="s">
        <v>291</v>
      </c>
      <c r="G1736" s="16" t="s">
        <v>661</v>
      </c>
      <c r="H1736" s="16" t="s">
        <v>662</v>
      </c>
    </row>
    <row r="1737" ht="330.75" customHeight="1">
      <c r="A1737" s="32" t="str">
        <f>IMAGE("https://gymvisual.com/2814-catalog_default/band-standing-incline-chest-press.jpg",4,500,500)</f>
        <v/>
      </c>
      <c r="B1737" s="30">
        <v>270.0</v>
      </c>
      <c r="C1737" s="16" t="s">
        <v>658</v>
      </c>
      <c r="D1737" s="16" t="s">
        <v>184</v>
      </c>
      <c r="E1737" s="16" t="s">
        <v>234</v>
      </c>
      <c r="F1737" s="16" t="s">
        <v>291</v>
      </c>
      <c r="G1737" s="16" t="s">
        <v>415</v>
      </c>
      <c r="H1737" s="16" t="s">
        <v>659</v>
      </c>
    </row>
    <row r="1738" ht="330.75" customHeight="1">
      <c r="A1738" s="32" t="str">
        <f>IMAGE("https://gymvisual.com/17515-catalog_default/band-standing-hip-extension-male.jpg",4,500,500)</f>
        <v/>
      </c>
      <c r="B1738" s="30">
        <v>269.0</v>
      </c>
      <c r="C1738" s="16" t="s">
        <v>657</v>
      </c>
      <c r="D1738" s="16" t="s">
        <v>184</v>
      </c>
      <c r="E1738" s="16" t="s">
        <v>185</v>
      </c>
      <c r="F1738" s="16" t="s">
        <v>291</v>
      </c>
      <c r="G1738" s="16" t="s">
        <v>187</v>
      </c>
      <c r="H1738" s="16" t="s">
        <v>188</v>
      </c>
    </row>
    <row r="1739" ht="330.75" customHeight="1">
      <c r="A1739" s="32" t="str">
        <f>IMAGE("https://gymvisual.com/2875-catalog_default/band-standing-hip-extension.jpg",4,500,500)</f>
        <v/>
      </c>
      <c r="B1739" s="30">
        <v>268.0</v>
      </c>
      <c r="C1739" s="16" t="s">
        <v>656</v>
      </c>
      <c r="D1739" s="16" t="s">
        <v>184</v>
      </c>
      <c r="E1739" s="16" t="s">
        <v>185</v>
      </c>
      <c r="F1739" s="16" t="s">
        <v>291</v>
      </c>
      <c r="G1739" s="16" t="s">
        <v>187</v>
      </c>
      <c r="H1739" s="16" t="s">
        <v>188</v>
      </c>
    </row>
    <row r="1740" ht="330.75" customHeight="1">
      <c r="A1740" s="32" t="str">
        <f>IMAGE("https://gymvisual.com/22183-catalog_default/band-standing-hammer-curl.jpg",4,500,500)</f>
        <v/>
      </c>
      <c r="B1740" s="30">
        <v>267.0</v>
      </c>
      <c r="C1740" s="16" t="s">
        <v>655</v>
      </c>
      <c r="D1740" s="16" t="s">
        <v>184</v>
      </c>
      <c r="E1740" s="16" t="s">
        <v>219</v>
      </c>
      <c r="F1740" s="16" t="s">
        <v>291</v>
      </c>
      <c r="G1740" s="16" t="s">
        <v>216</v>
      </c>
      <c r="H1740" s="16" t="s">
        <v>217</v>
      </c>
    </row>
    <row r="1741" ht="330.75" customHeight="1">
      <c r="A1741" s="32" t="str">
        <f>IMAGE("https://gymvisual.com/2812-catalog_default/band-standing-external-shoulder-rotation.jpg",4,500,500)</f>
        <v/>
      </c>
      <c r="B1741" s="30">
        <v>266.0</v>
      </c>
      <c r="C1741" s="16" t="s">
        <v>653</v>
      </c>
      <c r="D1741" s="16" t="s">
        <v>184</v>
      </c>
      <c r="E1741" s="16" t="s">
        <v>192</v>
      </c>
      <c r="F1741" s="16" t="s">
        <v>291</v>
      </c>
      <c r="G1741" s="16" t="s">
        <v>654</v>
      </c>
      <c r="H1741" s="16" t="s">
        <v>220</v>
      </c>
    </row>
    <row r="1742" ht="330.75" customHeight="1">
      <c r="A1742" s="32" t="str">
        <f>IMAGE("https://gymvisual.com/17071-catalog_default/band-standing-crunch-female.jpg",4,500,500)</f>
        <v/>
      </c>
      <c r="B1742" s="30">
        <v>265.0</v>
      </c>
      <c r="C1742" s="16" t="s">
        <v>652</v>
      </c>
      <c r="D1742" s="16" t="s">
        <v>184</v>
      </c>
      <c r="E1742" s="16" t="s">
        <v>254</v>
      </c>
      <c r="F1742" s="16" t="s">
        <v>291</v>
      </c>
      <c r="G1742" s="16" t="s">
        <v>256</v>
      </c>
      <c r="H1742" s="16" t="s">
        <v>257</v>
      </c>
    </row>
    <row r="1743" ht="330.75" customHeight="1">
      <c r="A1743" s="32" t="str">
        <f>IMAGE("https://gymvisual.com/2902-catalog_default/band-standing-crunch.jpg",4,500,500)</f>
        <v/>
      </c>
      <c r="B1743" s="30">
        <v>264.0</v>
      </c>
      <c r="C1743" s="16" t="s">
        <v>651</v>
      </c>
      <c r="D1743" s="16" t="s">
        <v>184</v>
      </c>
      <c r="E1743" s="16" t="s">
        <v>254</v>
      </c>
      <c r="F1743" s="16" t="s">
        <v>291</v>
      </c>
      <c r="G1743" s="16" t="s">
        <v>256</v>
      </c>
      <c r="H1743" s="16" t="s">
        <v>257</v>
      </c>
    </row>
    <row r="1744" ht="330.75" customHeight="1">
      <c r="A1744" s="32" t="str">
        <f>IMAGE("https://gymvisual.com/24799-catalog_default/band-standing-chest-press-version-2-male.jpg",4,500,500)</f>
        <v/>
      </c>
      <c r="B1744" s="30">
        <v>263.0</v>
      </c>
      <c r="C1744" s="16" t="s">
        <v>650</v>
      </c>
      <c r="D1744" s="16" t="s">
        <v>184</v>
      </c>
      <c r="E1744" s="16" t="s">
        <v>234</v>
      </c>
      <c r="F1744" s="16" t="s">
        <v>291</v>
      </c>
      <c r="G1744" s="16" t="s">
        <v>235</v>
      </c>
      <c r="H1744" s="16" t="s">
        <v>243</v>
      </c>
    </row>
    <row r="1745" ht="330.75" customHeight="1">
      <c r="A1745" s="32" t="str">
        <f>IMAGE("https://gymvisual.com/19385-catalog_default/band-standing-chest-press-male.jpg",4,500,500)</f>
        <v/>
      </c>
      <c r="B1745" s="30">
        <v>262.0</v>
      </c>
      <c r="C1745" s="16" t="s">
        <v>649</v>
      </c>
      <c r="D1745" s="16" t="s">
        <v>184</v>
      </c>
      <c r="E1745" s="16" t="s">
        <v>234</v>
      </c>
      <c r="F1745" s="16" t="s">
        <v>291</v>
      </c>
      <c r="G1745" s="16" t="s">
        <v>347</v>
      </c>
      <c r="H1745" s="16" t="s">
        <v>382</v>
      </c>
    </row>
    <row r="1746" ht="330.75" customHeight="1">
      <c r="A1746" s="32" t="str">
        <f>IMAGE("https://gymvisual.com/2811-catalog_default/band-standing-chest-press.jpg",4,500,500)</f>
        <v/>
      </c>
      <c r="B1746" s="30">
        <v>261.0</v>
      </c>
      <c r="C1746" s="16" t="s">
        <v>648</v>
      </c>
      <c r="D1746" s="16" t="s">
        <v>184</v>
      </c>
      <c r="E1746" s="16" t="s">
        <v>234</v>
      </c>
      <c r="F1746" s="16" t="s">
        <v>291</v>
      </c>
      <c r="G1746" s="16" t="s">
        <v>347</v>
      </c>
      <c r="H1746" s="16" t="s">
        <v>382</v>
      </c>
    </row>
    <row r="1747" ht="330.75" customHeight="1">
      <c r="A1747" s="32" t="str">
        <f>IMAGE("https://gymvisual.com/22746-catalog_default/band-standing-alternate-chest-press-male.jpg",4,500,500)</f>
        <v/>
      </c>
      <c r="B1747" s="30">
        <v>260.0</v>
      </c>
      <c r="C1747" s="16" t="s">
        <v>647</v>
      </c>
      <c r="D1747" s="16" t="s">
        <v>184</v>
      </c>
      <c r="E1747" s="16" t="s">
        <v>234</v>
      </c>
      <c r="F1747" s="16" t="s">
        <v>291</v>
      </c>
      <c r="G1747" s="16" t="s">
        <v>347</v>
      </c>
      <c r="H1747" s="16" t="s">
        <v>382</v>
      </c>
    </row>
    <row r="1748" ht="330.75" customHeight="1">
      <c r="A1748" s="32" t="str">
        <f>IMAGE("https://gymvisual.com/22121-catalog_default/band-standard-biceps-curl-male.jpg",4,500,500)</f>
        <v/>
      </c>
      <c r="B1748" s="30">
        <v>259.0</v>
      </c>
      <c r="C1748" s="16" t="s">
        <v>646</v>
      </c>
      <c r="D1748" s="16" t="s">
        <v>184</v>
      </c>
      <c r="E1748" s="16" t="s">
        <v>219</v>
      </c>
      <c r="F1748" s="16" t="s">
        <v>291</v>
      </c>
      <c r="G1748" s="16" t="s">
        <v>241</v>
      </c>
      <c r="H1748" s="16" t="s">
        <v>292</v>
      </c>
    </row>
    <row r="1749" ht="330.75" customHeight="1">
      <c r="A1749" s="32" t="str">
        <f>IMAGE("https://gymvisual.com/16743-catalog_default/band-squat-with-single-arm-row.jpg",4,500,500)</f>
        <v/>
      </c>
      <c r="B1749" s="30">
        <v>258.0</v>
      </c>
      <c r="C1749" s="16" t="s">
        <v>644</v>
      </c>
      <c r="D1749" s="16" t="s">
        <v>184</v>
      </c>
      <c r="E1749" s="16" t="s">
        <v>645</v>
      </c>
      <c r="F1749" s="16" t="s">
        <v>291</v>
      </c>
      <c r="G1749" s="16" t="s">
        <v>220</v>
      </c>
      <c r="H1749" s="16" t="s">
        <v>220</v>
      </c>
    </row>
    <row r="1750" ht="330.75" customHeight="1">
      <c r="A1750" s="32" t="str">
        <f>IMAGE("https://gymvisual.com/16751-catalog_default/band-squat-with-horizontal-pallof-hold.jpg",4,500,500)</f>
        <v/>
      </c>
      <c r="B1750" s="30">
        <v>257.0</v>
      </c>
      <c r="C1750" s="16" t="s">
        <v>643</v>
      </c>
      <c r="D1750" s="16" t="s">
        <v>184</v>
      </c>
      <c r="E1750" s="16" t="s">
        <v>522</v>
      </c>
      <c r="F1750" s="16" t="s">
        <v>291</v>
      </c>
      <c r="G1750" s="16" t="s">
        <v>220</v>
      </c>
      <c r="H1750" s="16" t="s">
        <v>220</v>
      </c>
    </row>
    <row r="1751" ht="330.75" customHeight="1">
      <c r="A1751" s="32" t="str">
        <f>IMAGE("https://gymvisual.com/23585-catalog_default/band-squat-twist.jpg",4,500,500)</f>
        <v/>
      </c>
      <c r="B1751" s="30">
        <v>256.0</v>
      </c>
      <c r="C1751" s="16" t="s">
        <v>642</v>
      </c>
      <c r="D1751" s="16" t="s">
        <v>184</v>
      </c>
      <c r="E1751" s="16" t="s">
        <v>254</v>
      </c>
      <c r="F1751" s="16" t="s">
        <v>291</v>
      </c>
      <c r="G1751" s="16" t="s">
        <v>524</v>
      </c>
      <c r="H1751" s="16" t="s">
        <v>190</v>
      </c>
    </row>
    <row r="1752" ht="330.75" customHeight="1">
      <c r="A1752" s="32" t="str">
        <f>IMAGE("https://gymvisual.com/2900-catalog_default/band-squat-row.jpg",4,500,500)</f>
        <v/>
      </c>
      <c r="B1752" s="30">
        <v>255.0</v>
      </c>
      <c r="C1752" s="16" t="s">
        <v>639</v>
      </c>
      <c r="D1752" s="16" t="s">
        <v>184</v>
      </c>
      <c r="E1752" s="16" t="s">
        <v>192</v>
      </c>
      <c r="F1752" s="16" t="s">
        <v>291</v>
      </c>
      <c r="G1752" s="16" t="s">
        <v>640</v>
      </c>
      <c r="H1752" s="16" t="s">
        <v>641</v>
      </c>
    </row>
    <row r="1753" ht="330.75" customHeight="1">
      <c r="A1753" s="32" t="str">
        <f>IMAGE("https://gymvisual.com/18905-catalog_default/band-squat.jpg",4,500,500)</f>
        <v/>
      </c>
      <c r="B1753" s="30">
        <v>254.0</v>
      </c>
      <c r="C1753" s="16" t="s">
        <v>638</v>
      </c>
      <c r="D1753" s="16" t="s">
        <v>184</v>
      </c>
      <c r="E1753" s="16" t="s">
        <v>185</v>
      </c>
      <c r="F1753" s="16" t="s">
        <v>291</v>
      </c>
      <c r="G1753" s="16" t="s">
        <v>187</v>
      </c>
      <c r="H1753" s="16" t="s">
        <v>480</v>
      </c>
    </row>
    <row r="1754" ht="330.75" customHeight="1">
      <c r="A1754" s="32" t="str">
        <f>IMAGE("https://gymvisual.com/16755-catalog_default/band-split-squat-with-horizontal-pallof-hold.jpg",4,500,500)</f>
        <v/>
      </c>
      <c r="B1754" s="30">
        <v>253.0</v>
      </c>
      <c r="C1754" s="16" t="s">
        <v>637</v>
      </c>
      <c r="D1754" s="16" t="s">
        <v>184</v>
      </c>
      <c r="E1754" s="16" t="s">
        <v>522</v>
      </c>
      <c r="F1754" s="16" t="s">
        <v>291</v>
      </c>
      <c r="G1754" s="16" t="s">
        <v>220</v>
      </c>
      <c r="H1754" s="16" t="s">
        <v>220</v>
      </c>
    </row>
    <row r="1755" ht="330.75" customHeight="1">
      <c r="A1755" s="32" t="str">
        <f>IMAGE("https://gymvisual.com/22592-catalog_default/band-split-squat.jpg",4,500,500)</f>
        <v/>
      </c>
      <c r="B1755" s="30">
        <v>252.0</v>
      </c>
      <c r="C1755" s="16" t="s">
        <v>636</v>
      </c>
      <c r="D1755" s="16" t="s">
        <v>184</v>
      </c>
      <c r="E1755" s="16" t="s">
        <v>285</v>
      </c>
      <c r="F1755" s="16" t="s">
        <v>291</v>
      </c>
      <c r="G1755" s="16" t="s">
        <v>189</v>
      </c>
      <c r="H1755" s="16" t="s">
        <v>190</v>
      </c>
    </row>
    <row r="1756" ht="330.75" customHeight="1">
      <c r="A1756" s="32" t="str">
        <f>IMAGE("https://gymvisual.com/6741-catalog_default/band-skull-crusher.jpg",4,500,500)</f>
        <v/>
      </c>
      <c r="B1756" s="30">
        <v>251.0</v>
      </c>
      <c r="C1756" s="16" t="s">
        <v>635</v>
      </c>
      <c r="D1756" s="16" t="s">
        <v>184</v>
      </c>
      <c r="E1756" s="16" t="s">
        <v>219</v>
      </c>
      <c r="F1756" s="16" t="s">
        <v>291</v>
      </c>
      <c r="G1756" s="16" t="s">
        <v>220</v>
      </c>
      <c r="H1756" s="16" t="s">
        <v>220</v>
      </c>
    </row>
    <row r="1757" ht="330.75" customHeight="1">
      <c r="A1757" s="32" t="str">
        <f>IMAGE("https://gymvisual.com/16763-catalog_default/band-skier.jpg",4,500,500)</f>
        <v/>
      </c>
      <c r="B1757" s="30">
        <v>250.0</v>
      </c>
      <c r="C1757" s="16" t="s">
        <v>634</v>
      </c>
      <c r="D1757" s="16" t="s">
        <v>184</v>
      </c>
      <c r="E1757" s="16" t="s">
        <v>192</v>
      </c>
      <c r="F1757" s="16" t="s">
        <v>291</v>
      </c>
      <c r="G1757" s="16" t="s">
        <v>220</v>
      </c>
      <c r="H1757" s="16" t="s">
        <v>220</v>
      </c>
    </row>
    <row r="1758" ht="330.75" customHeight="1">
      <c r="A1758" s="32" t="str">
        <f>IMAGE("https://gymvisual.com/16749-catalog_default/band-single-stiff-leg-deadlift-with-single-arm-row.jpg",4,500,500)</f>
        <v/>
      </c>
      <c r="B1758" s="30">
        <v>249.0</v>
      </c>
      <c r="C1758" s="16" t="s">
        <v>633</v>
      </c>
      <c r="D1758" s="16" t="s">
        <v>184</v>
      </c>
      <c r="E1758" s="16" t="s">
        <v>484</v>
      </c>
      <c r="F1758" s="16" t="s">
        <v>291</v>
      </c>
      <c r="G1758" s="16" t="s">
        <v>220</v>
      </c>
      <c r="H1758" s="16" t="s">
        <v>220</v>
      </c>
    </row>
    <row r="1759" ht="330.75" customHeight="1">
      <c r="A1759" s="32" t="str">
        <f>IMAGE("https://gymvisual.com/2874-catalog_default/band-single-stiff-leg-deadlift.jpg",4,500,500)</f>
        <v/>
      </c>
      <c r="B1759" s="30">
        <v>248.0</v>
      </c>
      <c r="C1759" s="16" t="s">
        <v>632</v>
      </c>
      <c r="D1759" s="16" t="s">
        <v>184</v>
      </c>
      <c r="E1759" s="16" t="s">
        <v>185</v>
      </c>
      <c r="F1759" s="16" t="s">
        <v>291</v>
      </c>
      <c r="G1759" s="16" t="s">
        <v>187</v>
      </c>
      <c r="H1759" s="16" t="s">
        <v>188</v>
      </c>
    </row>
    <row r="1760" ht="330.75" customHeight="1">
      <c r="A1760" s="32" t="str">
        <f>IMAGE("https://gymvisual.com/2898-catalog_default/band-single-leg-split-squat.jpg",4,500,500)</f>
        <v/>
      </c>
      <c r="B1760" s="30">
        <v>247.0</v>
      </c>
      <c r="C1760" s="16" t="s">
        <v>631</v>
      </c>
      <c r="D1760" s="16" t="s">
        <v>184</v>
      </c>
      <c r="E1760" s="16" t="s">
        <v>185</v>
      </c>
      <c r="F1760" s="16" t="s">
        <v>291</v>
      </c>
      <c r="G1760" s="16" t="s">
        <v>187</v>
      </c>
      <c r="H1760" s="16" t="s">
        <v>480</v>
      </c>
    </row>
    <row r="1761" ht="330.75" customHeight="1">
      <c r="A1761" s="32" t="str">
        <f>IMAGE("https://gymvisual.com/2897-catalog_default/band-single-leg-reverse-calf-raise.jpg",4,500,500)</f>
        <v/>
      </c>
      <c r="B1761" s="30">
        <v>246.0</v>
      </c>
      <c r="C1761" s="16" t="s">
        <v>629</v>
      </c>
      <c r="D1761" s="16" t="s">
        <v>184</v>
      </c>
      <c r="E1761" s="16" t="s">
        <v>325</v>
      </c>
      <c r="F1761" s="16" t="s">
        <v>291</v>
      </c>
      <c r="G1761" s="16" t="s">
        <v>630</v>
      </c>
      <c r="H1761" s="16" t="s">
        <v>220</v>
      </c>
    </row>
    <row r="1762" ht="330.75" customHeight="1">
      <c r="A1762" s="32" t="str">
        <f>IMAGE("https://gymvisual.com/2896-catalog_default/band-single-leg-calf-raise.jpg",4,500,500)</f>
        <v/>
      </c>
      <c r="B1762" s="30">
        <v>245.0</v>
      </c>
      <c r="C1762" s="16" t="s">
        <v>628</v>
      </c>
      <c r="D1762" s="16" t="s">
        <v>184</v>
      </c>
      <c r="E1762" s="16" t="s">
        <v>325</v>
      </c>
      <c r="F1762" s="16" t="s">
        <v>291</v>
      </c>
      <c r="G1762" s="16" t="s">
        <v>368</v>
      </c>
      <c r="H1762" s="16" t="s">
        <v>463</v>
      </c>
    </row>
    <row r="1763" ht="330.75" customHeight="1">
      <c r="A1763" s="32" t="str">
        <f>IMAGE("https://gymvisual.com/12347-catalog_default/band-single-arm-shoulder-press-female.jpg",4,500,500)</f>
        <v/>
      </c>
      <c r="B1763" s="30">
        <v>244.0</v>
      </c>
      <c r="C1763" s="16" t="s">
        <v>627</v>
      </c>
      <c r="D1763" s="16" t="s">
        <v>184</v>
      </c>
      <c r="E1763" s="16" t="s">
        <v>228</v>
      </c>
      <c r="F1763" s="16" t="s">
        <v>291</v>
      </c>
      <c r="G1763" s="16" t="s">
        <v>229</v>
      </c>
      <c r="H1763" s="16" t="s">
        <v>626</v>
      </c>
    </row>
    <row r="1764" ht="330.75" customHeight="1">
      <c r="A1764" s="32" t="str">
        <f>IMAGE("https://gymvisual.com/12350-catalog_default/band-single-arm-shoulder-press.jpg",4,500,500)</f>
        <v/>
      </c>
      <c r="B1764" s="30">
        <v>243.0</v>
      </c>
      <c r="C1764" s="16" t="s">
        <v>625</v>
      </c>
      <c r="D1764" s="16" t="s">
        <v>184</v>
      </c>
      <c r="E1764" s="16" t="s">
        <v>228</v>
      </c>
      <c r="F1764" s="16" t="s">
        <v>291</v>
      </c>
      <c r="G1764" s="16" t="s">
        <v>229</v>
      </c>
      <c r="H1764" s="16" t="s">
        <v>626</v>
      </c>
    </row>
    <row r="1765" ht="330.75" customHeight="1">
      <c r="A1765" s="32" t="str">
        <f>IMAGE("https://gymvisual.com/2895-catalog_default/band-side-triceps-extension.jpg",4,500,500)</f>
        <v/>
      </c>
      <c r="B1765" s="30">
        <v>242.0</v>
      </c>
      <c r="C1765" s="16" t="s">
        <v>624</v>
      </c>
      <c r="D1765" s="16" t="s">
        <v>184</v>
      </c>
      <c r="E1765" s="16" t="s">
        <v>219</v>
      </c>
      <c r="F1765" s="16" t="s">
        <v>291</v>
      </c>
      <c r="G1765" s="16" t="s">
        <v>223</v>
      </c>
      <c r="H1765" s="16" t="s">
        <v>220</v>
      </c>
    </row>
    <row r="1766" ht="330.75" customHeight="1">
      <c r="A1766" s="32" t="str">
        <f>IMAGE("https://gymvisual.com/16757-catalog_default/band-side-step-with-horizontal-pallof-hold.jpg",4,500,500)</f>
        <v/>
      </c>
      <c r="B1766" s="30">
        <v>241.0</v>
      </c>
      <c r="C1766" s="16" t="s">
        <v>623</v>
      </c>
      <c r="D1766" s="16" t="s">
        <v>184</v>
      </c>
      <c r="E1766" s="16" t="s">
        <v>185</v>
      </c>
      <c r="F1766" s="16" t="s">
        <v>291</v>
      </c>
      <c r="G1766" s="16" t="s">
        <v>220</v>
      </c>
      <c r="H1766" s="16" t="s">
        <v>220</v>
      </c>
    </row>
    <row r="1767" ht="330.75" customHeight="1">
      <c r="A1767" s="32" t="str">
        <f>IMAGE("https://gymvisual.com/6735-catalog_default/band-side-plank-row-with-partner.jpg",4,500,500)</f>
        <v/>
      </c>
      <c r="B1767" s="30">
        <v>240.0</v>
      </c>
      <c r="C1767" s="16" t="s">
        <v>622</v>
      </c>
      <c r="D1767" s="16" t="s">
        <v>184</v>
      </c>
      <c r="E1767" s="16" t="s">
        <v>192</v>
      </c>
      <c r="F1767" s="16" t="s">
        <v>291</v>
      </c>
      <c r="G1767" s="16" t="s">
        <v>220</v>
      </c>
      <c r="H1767" s="16" t="s">
        <v>220</v>
      </c>
    </row>
    <row r="1768" ht="330.75" customHeight="1">
      <c r="A1768" s="32" t="str">
        <f>IMAGE("https://gymvisual.com/2917-catalog_default/band-side-crunch.jpg",4,500,500)</f>
        <v/>
      </c>
      <c r="B1768" s="30">
        <v>239.0</v>
      </c>
      <c r="C1768" s="16" t="s">
        <v>621</v>
      </c>
      <c r="D1768" s="16" t="s">
        <v>184</v>
      </c>
      <c r="E1768" s="16" t="s">
        <v>254</v>
      </c>
      <c r="F1768" s="16" t="s">
        <v>291</v>
      </c>
      <c r="G1768" s="16" t="s">
        <v>257</v>
      </c>
      <c r="H1768" s="16" t="s">
        <v>271</v>
      </c>
    </row>
    <row r="1769" ht="330.75" customHeight="1">
      <c r="A1769" s="32" t="str">
        <f>IMAGE("https://gymvisual.com/17075-catalog_default/band-side-bend-male.jpg",4,500,500)</f>
        <v/>
      </c>
      <c r="B1769" s="30">
        <v>238.0</v>
      </c>
      <c r="C1769" s="16" t="s">
        <v>620</v>
      </c>
      <c r="D1769" s="16" t="s">
        <v>184</v>
      </c>
      <c r="E1769" s="16" t="s">
        <v>254</v>
      </c>
      <c r="F1769" s="16" t="s">
        <v>291</v>
      </c>
      <c r="G1769" s="16" t="s">
        <v>257</v>
      </c>
      <c r="H1769" s="16" t="s">
        <v>220</v>
      </c>
    </row>
    <row r="1770" ht="330.75" customHeight="1">
      <c r="A1770" s="32" t="str">
        <f>IMAGE("https://gymvisual.com/2916-catalog_default/band-side-bend.jpg",4,500,500)</f>
        <v/>
      </c>
      <c r="B1770" s="30">
        <v>237.0</v>
      </c>
      <c r="C1770" s="16" t="s">
        <v>619</v>
      </c>
      <c r="D1770" s="16" t="s">
        <v>184</v>
      </c>
      <c r="E1770" s="16" t="s">
        <v>254</v>
      </c>
      <c r="F1770" s="16" t="s">
        <v>291</v>
      </c>
      <c r="G1770" s="16" t="s">
        <v>257</v>
      </c>
      <c r="H1770" s="16" t="s">
        <v>271</v>
      </c>
    </row>
    <row r="1771" ht="330.75" customHeight="1">
      <c r="A1771" s="32" t="str">
        <f>IMAGE("https://gymvisual.com/2915-catalog_default/band-shrug.jpg",4,500,500)</f>
        <v/>
      </c>
      <c r="B1771" s="30">
        <v>236.0</v>
      </c>
      <c r="C1771" s="16" t="s">
        <v>617</v>
      </c>
      <c r="D1771" s="16" t="s">
        <v>184</v>
      </c>
      <c r="E1771" s="16" t="s">
        <v>192</v>
      </c>
      <c r="F1771" s="16" t="s">
        <v>291</v>
      </c>
      <c r="G1771" s="16" t="s">
        <v>238</v>
      </c>
      <c r="H1771" s="16" t="s">
        <v>618</v>
      </c>
    </row>
    <row r="1772" ht="330.75" customHeight="1">
      <c r="A1772" s="32" t="str">
        <f>IMAGE("https://gymvisual.com/2894-catalog_default/band-shoulder-press.jpg",4,500,500)</f>
        <v/>
      </c>
      <c r="B1772" s="30">
        <v>235.0</v>
      </c>
      <c r="C1772" s="16" t="s">
        <v>616</v>
      </c>
      <c r="D1772" s="16" t="s">
        <v>184</v>
      </c>
      <c r="E1772" s="16" t="s">
        <v>228</v>
      </c>
      <c r="F1772" s="16" t="s">
        <v>291</v>
      </c>
      <c r="G1772" s="16" t="s">
        <v>229</v>
      </c>
      <c r="H1772" s="16" t="s">
        <v>230</v>
      </c>
    </row>
    <row r="1773" ht="330.75" customHeight="1">
      <c r="A1773" s="32" t="str">
        <f>IMAGE("https://gymvisual.com/19010-catalog_default/band-seated-wide-grip-row-female.jpg",4,500,500)</f>
        <v/>
      </c>
      <c r="B1773" s="30">
        <v>234.0</v>
      </c>
      <c r="C1773" s="16" t="s">
        <v>615</v>
      </c>
      <c r="D1773" s="16" t="s">
        <v>184</v>
      </c>
      <c r="E1773" s="16" t="s">
        <v>192</v>
      </c>
      <c r="F1773" s="16" t="s">
        <v>291</v>
      </c>
      <c r="G1773" s="16" t="s">
        <v>329</v>
      </c>
      <c r="H1773" s="16" t="s">
        <v>447</v>
      </c>
    </row>
    <row r="1774" ht="330.75" customHeight="1">
      <c r="A1774" s="32" t="str">
        <f>IMAGE("https://gymvisual.com/20094-catalog_default/band-seated-underhand-grip-row.jpg",4,500,500)</f>
        <v/>
      </c>
      <c r="B1774" s="30">
        <v>233.0</v>
      </c>
      <c r="C1774" s="16" t="s">
        <v>614</v>
      </c>
      <c r="D1774" s="16" t="s">
        <v>184</v>
      </c>
      <c r="E1774" s="16" t="s">
        <v>192</v>
      </c>
      <c r="F1774" s="16" t="s">
        <v>291</v>
      </c>
      <c r="G1774" s="16" t="s">
        <v>329</v>
      </c>
      <c r="H1774" s="16" t="s">
        <v>357</v>
      </c>
    </row>
    <row r="1775" ht="330.75" customHeight="1">
      <c r="A1775" s="32" t="str">
        <f>IMAGE("https://gymvisual.com/10963-catalog_default/band-seated-twist-female.jpg",4,500,500)</f>
        <v/>
      </c>
      <c r="B1775" s="30">
        <v>232.0</v>
      </c>
      <c r="C1775" s="16" t="s">
        <v>613</v>
      </c>
      <c r="D1775" s="16" t="s">
        <v>184</v>
      </c>
      <c r="E1775" s="16" t="s">
        <v>254</v>
      </c>
      <c r="F1775" s="16" t="s">
        <v>291</v>
      </c>
      <c r="G1775" s="16" t="s">
        <v>220</v>
      </c>
      <c r="H1775" s="16" t="s">
        <v>220</v>
      </c>
    </row>
    <row r="1776" ht="330.75" customHeight="1">
      <c r="A1776" s="32" t="str">
        <f>IMAGE("https://gymvisual.com/2908-catalog_default/band-seated-twist.jpg",4,500,500)</f>
        <v/>
      </c>
      <c r="B1776" s="30">
        <v>231.0</v>
      </c>
      <c r="C1776" s="16" t="s">
        <v>612</v>
      </c>
      <c r="D1776" s="16" t="s">
        <v>184</v>
      </c>
      <c r="E1776" s="16" t="s">
        <v>254</v>
      </c>
      <c r="F1776" s="16" t="s">
        <v>291</v>
      </c>
      <c r="G1776" s="16" t="s">
        <v>257</v>
      </c>
      <c r="H1776" s="16" t="s">
        <v>271</v>
      </c>
    </row>
    <row r="1777" ht="330.75" customHeight="1">
      <c r="A1777" s="32" t="str">
        <f>IMAGE("https://gymvisual.com/12500-catalog_default/band-seated-straight-back-row.jpg",4,500,500)</f>
        <v/>
      </c>
      <c r="B1777" s="30">
        <v>230.0</v>
      </c>
      <c r="C1777" s="16" t="s">
        <v>611</v>
      </c>
      <c r="D1777" s="16" t="s">
        <v>184</v>
      </c>
      <c r="E1777" s="16" t="s">
        <v>192</v>
      </c>
      <c r="F1777" s="16" t="s">
        <v>291</v>
      </c>
      <c r="G1777" s="16" t="s">
        <v>329</v>
      </c>
      <c r="H1777" s="16" t="s">
        <v>447</v>
      </c>
    </row>
    <row r="1778" ht="330.75" customHeight="1">
      <c r="A1778" s="32" t="str">
        <f>IMAGE("https://gymvisual.com/17136-catalog_default/band-seated-row-male.jpg",4,500,500)</f>
        <v/>
      </c>
      <c r="B1778" s="30">
        <v>229.0</v>
      </c>
      <c r="C1778" s="16" t="s">
        <v>610</v>
      </c>
      <c r="D1778" s="16" t="s">
        <v>184</v>
      </c>
      <c r="E1778" s="16" t="s">
        <v>192</v>
      </c>
      <c r="F1778" s="16" t="s">
        <v>291</v>
      </c>
      <c r="G1778" s="16" t="s">
        <v>329</v>
      </c>
      <c r="H1778" s="16" t="s">
        <v>447</v>
      </c>
    </row>
    <row r="1779" ht="330.75" customHeight="1">
      <c r="A1779" s="32" t="str">
        <f>IMAGE("https://gymvisual.com/2809-catalog_default/band-seated-row.jpg",4,500,500)</f>
        <v/>
      </c>
      <c r="B1779" s="30">
        <v>228.0</v>
      </c>
      <c r="C1779" s="16" t="s">
        <v>609</v>
      </c>
      <c r="D1779" s="16" t="s">
        <v>184</v>
      </c>
      <c r="E1779" s="16" t="s">
        <v>192</v>
      </c>
      <c r="F1779" s="16" t="s">
        <v>291</v>
      </c>
      <c r="G1779" s="16" t="s">
        <v>329</v>
      </c>
      <c r="H1779" s="16" t="s">
        <v>447</v>
      </c>
    </row>
    <row r="1780" ht="330.75" customHeight="1">
      <c r="A1780" s="32" t="str">
        <f>IMAGE("https://gymvisual.com/14046-catalog_default/band-seated-leg-extension-male.jpg",4,500,500)</f>
        <v/>
      </c>
      <c r="B1780" s="30">
        <v>227.0</v>
      </c>
      <c r="C1780" s="16" t="s">
        <v>608</v>
      </c>
      <c r="D1780" s="16" t="s">
        <v>184</v>
      </c>
      <c r="E1780" s="16" t="s">
        <v>285</v>
      </c>
      <c r="F1780" s="16" t="s">
        <v>291</v>
      </c>
      <c r="G1780" s="16" t="s">
        <v>552</v>
      </c>
      <c r="H1780" s="16" t="s">
        <v>220</v>
      </c>
    </row>
    <row r="1781" ht="330.75" customHeight="1">
      <c r="A1781" s="32" t="str">
        <f>IMAGE("https://gymvisual.com/14048-catalog_default/band-seated-leg-extension-female.jpg",4,500,500)</f>
        <v/>
      </c>
      <c r="B1781" s="30">
        <v>226.0</v>
      </c>
      <c r="C1781" s="16" t="s">
        <v>607</v>
      </c>
      <c r="D1781" s="16" t="s">
        <v>184</v>
      </c>
      <c r="E1781" s="16" t="s">
        <v>285</v>
      </c>
      <c r="F1781" s="16" t="s">
        <v>291</v>
      </c>
      <c r="G1781" s="16" t="s">
        <v>552</v>
      </c>
      <c r="H1781" s="16" t="s">
        <v>220</v>
      </c>
    </row>
    <row r="1782" ht="330.75" customHeight="1">
      <c r="A1782" s="32" t="str">
        <f>IMAGE("https://gymvisual.com/2893-catalog_default/band-seated-hip-internal-rotation.jpg",4,500,500)</f>
        <v/>
      </c>
      <c r="B1782" s="30">
        <v>225.0</v>
      </c>
      <c r="C1782" s="16" t="s">
        <v>606</v>
      </c>
      <c r="D1782" s="16" t="s">
        <v>184</v>
      </c>
      <c r="E1782" s="16" t="s">
        <v>185</v>
      </c>
      <c r="F1782" s="16" t="s">
        <v>291</v>
      </c>
      <c r="G1782" s="16" t="s">
        <v>508</v>
      </c>
      <c r="H1782" s="16" t="s">
        <v>220</v>
      </c>
    </row>
    <row r="1783" ht="330.75" customHeight="1">
      <c r="A1783" s="32" t="str">
        <f>IMAGE("https://gymvisual.com/2892-catalog_default/band-seated-hip-external-rotation.jpg",4,500,500)</f>
        <v/>
      </c>
      <c r="B1783" s="30">
        <v>224.0</v>
      </c>
      <c r="C1783" s="16" t="s">
        <v>605</v>
      </c>
      <c r="D1783" s="16" t="s">
        <v>184</v>
      </c>
      <c r="E1783" s="16" t="s">
        <v>185</v>
      </c>
      <c r="F1783" s="16" t="s">
        <v>291</v>
      </c>
      <c r="G1783" s="16" t="s">
        <v>555</v>
      </c>
      <c r="H1783" s="16" t="s">
        <v>220</v>
      </c>
    </row>
    <row r="1784" ht="330.75" customHeight="1">
      <c r="A1784" s="32" t="str">
        <f>IMAGE("https://gymvisual.com/2891-catalog_default/band-reverse-wrist-curl.jpg",4,500,500)</f>
        <v/>
      </c>
      <c r="B1784" s="30">
        <v>223.0</v>
      </c>
      <c r="C1784" s="16" t="s">
        <v>603</v>
      </c>
      <c r="D1784" s="16" t="s">
        <v>184</v>
      </c>
      <c r="E1784" s="16" t="s">
        <v>214</v>
      </c>
      <c r="F1784" s="16" t="s">
        <v>291</v>
      </c>
      <c r="G1784" s="16" t="s">
        <v>604</v>
      </c>
      <c r="H1784" s="16" t="s">
        <v>220</v>
      </c>
    </row>
    <row r="1785" ht="330.75" customHeight="1">
      <c r="A1785" s="32" t="str">
        <f>IMAGE("https://gymvisual.com/2890-catalog_default/band-reverse-fly.jpg",4,500,500)</f>
        <v/>
      </c>
      <c r="B1785" s="30">
        <v>222.0</v>
      </c>
      <c r="C1785" s="16" t="s">
        <v>602</v>
      </c>
      <c r="D1785" s="16" t="s">
        <v>184</v>
      </c>
      <c r="E1785" s="16" t="s">
        <v>228</v>
      </c>
      <c r="F1785" s="16" t="s">
        <v>291</v>
      </c>
      <c r="G1785" s="16" t="s">
        <v>408</v>
      </c>
      <c r="H1785" s="16" t="s">
        <v>452</v>
      </c>
    </row>
    <row r="1786" ht="330.75" customHeight="1">
      <c r="A1786" s="32" t="str">
        <f>IMAGE("https://gymvisual.com/2808-catalog_default/band-reverse-curl.jpg",4,500,500)</f>
        <v/>
      </c>
      <c r="B1786" s="30">
        <v>221.0</v>
      </c>
      <c r="C1786" s="16" t="s">
        <v>601</v>
      </c>
      <c r="D1786" s="16" t="s">
        <v>184</v>
      </c>
      <c r="E1786" s="16" t="s">
        <v>214</v>
      </c>
      <c r="F1786" s="16" t="s">
        <v>291</v>
      </c>
      <c r="G1786" s="16" t="s">
        <v>216</v>
      </c>
      <c r="H1786" s="16" t="s">
        <v>217</v>
      </c>
    </row>
    <row r="1787" ht="330.75" customHeight="1">
      <c r="A1787" s="32" t="str">
        <f>IMAGE("https://gymvisual.com/22748-catalog_default/band-reverse-crunch-male.jpg",4,500,500)</f>
        <v/>
      </c>
      <c r="B1787" s="30">
        <v>220.0</v>
      </c>
      <c r="C1787" s="16" t="s">
        <v>599</v>
      </c>
      <c r="D1787" s="16" t="s">
        <v>184</v>
      </c>
      <c r="E1787" s="16" t="s">
        <v>254</v>
      </c>
      <c r="F1787" s="16" t="s">
        <v>291</v>
      </c>
      <c r="G1787" s="16" t="s">
        <v>305</v>
      </c>
      <c r="H1787" s="16" t="s">
        <v>600</v>
      </c>
    </row>
    <row r="1788" ht="330.75" customHeight="1">
      <c r="A1788" s="32" t="str">
        <f>IMAGE("https://gymvisual.com/19497-catalog_default/band-resisted-chin-up.jpg",4,500,500)</f>
        <v/>
      </c>
      <c r="B1788" s="30">
        <v>219.0</v>
      </c>
      <c r="C1788" s="16" t="s">
        <v>598</v>
      </c>
      <c r="D1788" s="16" t="s">
        <v>184</v>
      </c>
      <c r="E1788" s="16" t="s">
        <v>192</v>
      </c>
      <c r="F1788" s="16" t="s">
        <v>291</v>
      </c>
      <c r="G1788" s="16" t="s">
        <v>220</v>
      </c>
      <c r="H1788" s="16" t="s">
        <v>220</v>
      </c>
    </row>
    <row r="1789" ht="330.75" customHeight="1">
      <c r="A1789" s="32" t="str">
        <f>IMAGE("https://gymvisual.com/2903-catalog_default/band-rear-delt-row.jpg",4,500,500)</f>
        <v/>
      </c>
      <c r="B1789" s="30">
        <v>218.0</v>
      </c>
      <c r="C1789" s="16" t="s">
        <v>597</v>
      </c>
      <c r="D1789" s="16" t="s">
        <v>184</v>
      </c>
      <c r="E1789" s="16" t="s">
        <v>228</v>
      </c>
      <c r="F1789" s="16" t="s">
        <v>291</v>
      </c>
      <c r="G1789" s="16" t="s">
        <v>408</v>
      </c>
      <c r="H1789" s="16" t="s">
        <v>490</v>
      </c>
    </row>
    <row r="1790" ht="330.75" customHeight="1">
      <c r="A1790" s="32" t="str">
        <f>IMAGE("https://gymvisual.com/6737-catalog_default/band-pushdown.jpg",4,500,500)</f>
        <v/>
      </c>
      <c r="B1790" s="30">
        <v>217.0</v>
      </c>
      <c r="C1790" s="16" t="s">
        <v>596</v>
      </c>
      <c r="D1790" s="16" t="s">
        <v>184</v>
      </c>
      <c r="E1790" s="16" t="s">
        <v>219</v>
      </c>
      <c r="F1790" s="16" t="s">
        <v>291</v>
      </c>
      <c r="G1790" s="16" t="s">
        <v>223</v>
      </c>
      <c r="H1790" s="16" t="s">
        <v>220</v>
      </c>
    </row>
    <row r="1791" ht="330.75" customHeight="1">
      <c r="A1791" s="32" t="str">
        <f>IMAGE("https://gymvisual.com/2807-catalog_default/band-pushdown.jpg",4,500,500)</f>
        <v/>
      </c>
      <c r="B1791" s="30">
        <v>216.0</v>
      </c>
      <c r="C1791" s="16" t="s">
        <v>595</v>
      </c>
      <c r="D1791" s="16" t="s">
        <v>184</v>
      </c>
      <c r="E1791" s="16" t="s">
        <v>219</v>
      </c>
      <c r="F1791" s="16" t="s">
        <v>291</v>
      </c>
      <c r="G1791" s="16" t="s">
        <v>223</v>
      </c>
      <c r="H1791" s="16" t="s">
        <v>220</v>
      </c>
    </row>
    <row r="1792" ht="330.75" customHeight="1">
      <c r="A1792" s="32" t="str">
        <f>IMAGE("https://gymvisual.com/2806-catalog_default/band-push-up.jpg",4,500,500)</f>
        <v/>
      </c>
      <c r="B1792" s="30">
        <v>215.0</v>
      </c>
      <c r="C1792" s="16" t="s">
        <v>594</v>
      </c>
      <c r="D1792" s="16" t="s">
        <v>184</v>
      </c>
      <c r="E1792" s="16" t="s">
        <v>234</v>
      </c>
      <c r="F1792" s="16" t="s">
        <v>291</v>
      </c>
      <c r="G1792" s="16" t="s">
        <v>347</v>
      </c>
      <c r="H1792" s="16" t="s">
        <v>382</v>
      </c>
    </row>
    <row r="1793" ht="330.75" customHeight="1">
      <c r="A1793" s="32" t="str">
        <f>IMAGE("https://gymvisual.com/2889-catalog_default/band-push-sit-up.jpg",4,500,500)</f>
        <v/>
      </c>
      <c r="B1793" s="30">
        <v>214.0</v>
      </c>
      <c r="C1793" s="16" t="s">
        <v>592</v>
      </c>
      <c r="D1793" s="16" t="s">
        <v>184</v>
      </c>
      <c r="E1793" s="16" t="s">
        <v>254</v>
      </c>
      <c r="F1793" s="16" t="s">
        <v>291</v>
      </c>
      <c r="G1793" s="16" t="s">
        <v>305</v>
      </c>
      <c r="H1793" s="16" t="s">
        <v>593</v>
      </c>
    </row>
    <row r="1794" ht="330.75" customHeight="1">
      <c r="A1794" s="32" t="str">
        <f>IMAGE("https://gymvisual.com/13317-catalog_default/band-pull-through-female.jpg",4,500,500)</f>
        <v/>
      </c>
      <c r="B1794" s="30">
        <v>213.0</v>
      </c>
      <c r="C1794" s="16" t="s">
        <v>591</v>
      </c>
      <c r="D1794" s="16" t="s">
        <v>184</v>
      </c>
      <c r="E1794" s="16" t="s">
        <v>185</v>
      </c>
      <c r="F1794" s="16" t="s">
        <v>291</v>
      </c>
      <c r="G1794" s="16" t="s">
        <v>187</v>
      </c>
      <c r="H1794" s="16" t="s">
        <v>188</v>
      </c>
    </row>
    <row r="1795" ht="330.75" customHeight="1">
      <c r="A1795" s="32" t="str">
        <f>IMAGE("https://gymvisual.com/2888-catalog_default/band-pull-through.jpg",4,500,500)</f>
        <v/>
      </c>
      <c r="B1795" s="30">
        <v>212.0</v>
      </c>
      <c r="C1795" s="16" t="s">
        <v>589</v>
      </c>
      <c r="D1795" s="16" t="s">
        <v>184</v>
      </c>
      <c r="E1795" s="16" t="s">
        <v>185</v>
      </c>
      <c r="F1795" s="16" t="s">
        <v>291</v>
      </c>
      <c r="G1795" s="16" t="s">
        <v>187</v>
      </c>
      <c r="H1795" s="16" t="s">
        <v>590</v>
      </c>
    </row>
    <row r="1796" ht="330.75" customHeight="1">
      <c r="A1796" s="32" t="str">
        <f>IMAGE("https://gymvisual.com/6739-catalog_default/band-pull-apart.jpg",4,500,500)</f>
        <v/>
      </c>
      <c r="B1796" s="30">
        <v>211.0</v>
      </c>
      <c r="C1796" s="16" t="s">
        <v>588</v>
      </c>
      <c r="D1796" s="16" t="s">
        <v>184</v>
      </c>
      <c r="E1796" s="16" t="s">
        <v>228</v>
      </c>
      <c r="F1796" s="16" t="s">
        <v>291</v>
      </c>
      <c r="G1796" s="16" t="s">
        <v>220</v>
      </c>
      <c r="H1796" s="16" t="s">
        <v>220</v>
      </c>
    </row>
    <row r="1797" ht="330.75" customHeight="1">
      <c r="A1797" s="32" t="str">
        <f>IMAGE("https://gymvisual.com/18915-catalog_default/band-overhead-triceps-extension-version-2-male.jpg",4,500,500)</f>
        <v/>
      </c>
      <c r="B1797" s="30">
        <v>210.0</v>
      </c>
      <c r="C1797" s="16" t="s">
        <v>587</v>
      </c>
      <c r="D1797" s="16" t="s">
        <v>184</v>
      </c>
      <c r="E1797" s="16" t="s">
        <v>219</v>
      </c>
      <c r="F1797" s="16" t="s">
        <v>291</v>
      </c>
      <c r="G1797" s="16" t="s">
        <v>223</v>
      </c>
      <c r="H1797" s="16" t="s">
        <v>220</v>
      </c>
    </row>
    <row r="1798" ht="330.75" customHeight="1">
      <c r="A1798" s="32" t="str">
        <f>IMAGE("https://gymvisual.com/22131-catalog_default/band-overhead-triceps-extension-version-2.jpg",4,500,500)</f>
        <v/>
      </c>
      <c r="B1798" s="30">
        <v>209.0</v>
      </c>
      <c r="C1798" s="16" t="s">
        <v>586</v>
      </c>
      <c r="D1798" s="16" t="s">
        <v>184</v>
      </c>
      <c r="E1798" s="16" t="s">
        <v>219</v>
      </c>
      <c r="F1798" s="16" t="s">
        <v>291</v>
      </c>
      <c r="G1798" s="16" t="s">
        <v>223</v>
      </c>
      <c r="H1798" s="16" t="s">
        <v>220</v>
      </c>
    </row>
    <row r="1799" ht="330.75" customHeight="1">
      <c r="A1799" s="32" t="str">
        <f>IMAGE("https://gymvisual.com/17278-catalog_default/band-overhead-triceps-extension-male.jpg",4,500,500)</f>
        <v/>
      </c>
      <c r="B1799" s="30">
        <v>208.0</v>
      </c>
      <c r="C1799" s="16" t="s">
        <v>585</v>
      </c>
      <c r="D1799" s="16" t="s">
        <v>184</v>
      </c>
      <c r="E1799" s="16" t="s">
        <v>219</v>
      </c>
      <c r="F1799" s="16" t="s">
        <v>291</v>
      </c>
      <c r="G1799" s="16" t="s">
        <v>223</v>
      </c>
      <c r="H1799" s="16" t="s">
        <v>220</v>
      </c>
    </row>
    <row r="1800" ht="330.75" customHeight="1">
      <c r="A1800" s="32" t="str">
        <f>IMAGE("https://gymvisual.com/2805-catalog_default/band-overhead-triceps-extension.jpg",4,500,500)</f>
        <v/>
      </c>
      <c r="B1800" s="30">
        <v>207.0</v>
      </c>
      <c r="C1800" s="16" t="s">
        <v>584</v>
      </c>
      <c r="D1800" s="16" t="s">
        <v>184</v>
      </c>
      <c r="E1800" s="16" t="s">
        <v>219</v>
      </c>
      <c r="F1800" s="16" t="s">
        <v>291</v>
      </c>
      <c r="G1800" s="16" t="s">
        <v>223</v>
      </c>
      <c r="H1800" s="16" t="s">
        <v>220</v>
      </c>
    </row>
    <row r="1801" ht="330.75" customHeight="1">
      <c r="A1801" s="32" t="str">
        <f>IMAGE("https://gymvisual.com/19691-catalog_default/band-overhead-single-arm-triceps-extension-version-2.jpg",4,500,500)</f>
        <v/>
      </c>
      <c r="B1801" s="30">
        <v>206.0</v>
      </c>
      <c r="C1801" s="16" t="s">
        <v>583</v>
      </c>
      <c r="D1801" s="16" t="s">
        <v>184</v>
      </c>
      <c r="E1801" s="16" t="s">
        <v>219</v>
      </c>
      <c r="F1801" s="16" t="s">
        <v>291</v>
      </c>
      <c r="G1801" s="16" t="s">
        <v>223</v>
      </c>
      <c r="H1801" s="16" t="s">
        <v>220</v>
      </c>
    </row>
    <row r="1802" ht="330.75" customHeight="1">
      <c r="A1802" s="32" t="str">
        <f>IMAGE("https://gymvisual.com/22133-catalog_default/band-overhead-single-arm-triceps-extension.jpg",4,500,500)</f>
        <v/>
      </c>
      <c r="B1802" s="30">
        <v>205.0</v>
      </c>
      <c r="C1802" s="16" t="s">
        <v>582</v>
      </c>
      <c r="D1802" s="16" t="s">
        <v>184</v>
      </c>
      <c r="E1802" s="16" t="s">
        <v>219</v>
      </c>
      <c r="F1802" s="16" t="s">
        <v>291</v>
      </c>
      <c r="G1802" s="16" t="s">
        <v>223</v>
      </c>
      <c r="H1802" s="16" t="s">
        <v>220</v>
      </c>
    </row>
    <row r="1803" ht="330.75" customHeight="1">
      <c r="A1803" s="32" t="str">
        <f>IMAGE("https://gymvisual.com/22115-catalog_default/band-overhead-side-bend-male.jpg",4,500,500)</f>
        <v/>
      </c>
      <c r="B1803" s="30">
        <v>204.0</v>
      </c>
      <c r="C1803" s="16" t="s">
        <v>581</v>
      </c>
      <c r="D1803" s="16" t="s">
        <v>184</v>
      </c>
      <c r="E1803" s="16" t="s">
        <v>254</v>
      </c>
      <c r="F1803" s="16" t="s">
        <v>291</v>
      </c>
      <c r="G1803" s="16" t="s">
        <v>257</v>
      </c>
      <c r="H1803" s="16" t="s">
        <v>271</v>
      </c>
    </row>
    <row r="1804" ht="330.75" customHeight="1">
      <c r="A1804" s="32" t="str">
        <f>IMAGE("https://gymvisual.com/17079-catalog_default/band-one-arm-twisting-seated-row-female.jpg",4,500,500)</f>
        <v/>
      </c>
      <c r="B1804" s="30">
        <v>203.0</v>
      </c>
      <c r="C1804" s="16" t="s">
        <v>580</v>
      </c>
      <c r="D1804" s="16" t="s">
        <v>184</v>
      </c>
      <c r="E1804" s="16" t="s">
        <v>361</v>
      </c>
      <c r="F1804" s="16" t="s">
        <v>291</v>
      </c>
      <c r="G1804" s="16" t="s">
        <v>362</v>
      </c>
      <c r="H1804" s="16" t="s">
        <v>447</v>
      </c>
    </row>
    <row r="1805" ht="330.75" customHeight="1">
      <c r="A1805" s="32" t="str">
        <f>IMAGE("https://gymvisual.com/2887-catalog_default/band-one-arm-twisting-seated-row.jpg",4,500,500)</f>
        <v/>
      </c>
      <c r="B1805" s="30">
        <v>202.0</v>
      </c>
      <c r="C1805" s="16" t="s">
        <v>578</v>
      </c>
      <c r="D1805" s="16" t="s">
        <v>184</v>
      </c>
      <c r="E1805" s="16" t="s">
        <v>192</v>
      </c>
      <c r="F1805" s="16" t="s">
        <v>291</v>
      </c>
      <c r="G1805" s="16" t="s">
        <v>329</v>
      </c>
      <c r="H1805" s="16" t="s">
        <v>579</v>
      </c>
    </row>
    <row r="1806" ht="330.75" customHeight="1">
      <c r="A1806" s="32" t="str">
        <f>IMAGE("https://gymvisual.com/2886-catalog_default/band-one-arm-twisting-chest-press.jpg",4,500,500)</f>
        <v/>
      </c>
      <c r="B1806" s="30">
        <v>201.0</v>
      </c>
      <c r="C1806" s="16" t="s">
        <v>576</v>
      </c>
      <c r="D1806" s="16" t="s">
        <v>184</v>
      </c>
      <c r="E1806" s="16" t="s">
        <v>234</v>
      </c>
      <c r="F1806" s="16" t="s">
        <v>291</v>
      </c>
      <c r="G1806" s="16" t="s">
        <v>347</v>
      </c>
      <c r="H1806" s="16" t="s">
        <v>577</v>
      </c>
    </row>
    <row r="1807" ht="330.75" customHeight="1">
      <c r="A1807" s="32" t="str">
        <f>IMAGE("https://gymvisual.com/19008-catalog_default/band-one-arm-standing-wide-grip-low-row.jpg",4,500,500)</f>
        <v/>
      </c>
      <c r="B1807" s="30">
        <v>200.0</v>
      </c>
      <c r="C1807" s="16" t="s">
        <v>575</v>
      </c>
      <c r="D1807" s="16" t="s">
        <v>184</v>
      </c>
      <c r="E1807" s="16" t="s">
        <v>192</v>
      </c>
      <c r="F1807" s="16" t="s">
        <v>291</v>
      </c>
      <c r="G1807" s="16" t="s">
        <v>329</v>
      </c>
      <c r="H1807" s="16" t="s">
        <v>447</v>
      </c>
    </row>
    <row r="1808" ht="330.75" customHeight="1">
      <c r="A1808" s="32" t="str">
        <f>IMAGE("https://gymvisual.com/2885-catalog_default/band-one-arm-standing-low-row.jpg",4,500,500)</f>
        <v/>
      </c>
      <c r="B1808" s="30">
        <v>199.0</v>
      </c>
      <c r="C1808" s="16" t="s">
        <v>574</v>
      </c>
      <c r="D1808" s="16" t="s">
        <v>184</v>
      </c>
      <c r="E1808" s="16" t="s">
        <v>192</v>
      </c>
      <c r="F1808" s="16" t="s">
        <v>291</v>
      </c>
      <c r="G1808" s="16" t="s">
        <v>329</v>
      </c>
      <c r="H1808" s="16" t="s">
        <v>457</v>
      </c>
    </row>
    <row r="1809" ht="330.75" customHeight="1">
      <c r="A1809" s="32" t="str">
        <f>IMAGE("https://gymvisual.com/2884-catalog_default/band-one-arm-single-leg-split-squat.jpg",4,500,500)</f>
        <v/>
      </c>
      <c r="B1809" s="30">
        <v>198.0</v>
      </c>
      <c r="C1809" s="16" t="s">
        <v>573</v>
      </c>
      <c r="D1809" s="16" t="s">
        <v>184</v>
      </c>
      <c r="E1809" s="16" t="s">
        <v>185</v>
      </c>
      <c r="F1809" s="16" t="s">
        <v>291</v>
      </c>
      <c r="G1809" s="16" t="s">
        <v>187</v>
      </c>
      <c r="H1809" s="16" t="s">
        <v>480</v>
      </c>
    </row>
    <row r="1810" ht="330.75" customHeight="1">
      <c r="A1810" s="32" t="str">
        <f>IMAGE("https://gymvisual.com/2883-catalog_default/band-one-arm-overhead-biceps-cur.jpg",4,500,500)</f>
        <v/>
      </c>
      <c r="B1810" s="30">
        <v>197.0</v>
      </c>
      <c r="C1810" s="16" t="s">
        <v>572</v>
      </c>
      <c r="D1810" s="16" t="s">
        <v>184</v>
      </c>
      <c r="E1810" s="16" t="s">
        <v>219</v>
      </c>
      <c r="F1810" s="16" t="s">
        <v>291</v>
      </c>
      <c r="G1810" s="16" t="s">
        <v>232</v>
      </c>
      <c r="H1810" s="16" t="s">
        <v>233</v>
      </c>
    </row>
    <row r="1811" ht="330.75" customHeight="1">
      <c r="A1811" s="32" t="str">
        <f>IMAGE("https://gymvisual.com/22752-catalog_default/band-narrow-grip-high-row-version-2.jpg",4,500,500)</f>
        <v/>
      </c>
      <c r="B1811" s="30">
        <v>196.0</v>
      </c>
      <c r="C1811" s="16" t="s">
        <v>571</v>
      </c>
      <c r="D1811" s="16" t="s">
        <v>184</v>
      </c>
      <c r="E1811" s="16" t="s">
        <v>192</v>
      </c>
      <c r="F1811" s="16" t="s">
        <v>291</v>
      </c>
      <c r="G1811" s="16" t="s">
        <v>570</v>
      </c>
      <c r="H1811" s="16" t="s">
        <v>447</v>
      </c>
    </row>
    <row r="1812" ht="330.75" customHeight="1">
      <c r="A1812" s="32" t="str">
        <f>IMAGE("https://gymvisual.com/22600-catalog_default/band-narrow-grip-high-row.jpg",4,500,500)</f>
        <v/>
      </c>
      <c r="B1812" s="30">
        <v>195.0</v>
      </c>
      <c r="C1812" s="16" t="s">
        <v>569</v>
      </c>
      <c r="D1812" s="16" t="s">
        <v>184</v>
      </c>
      <c r="E1812" s="16" t="s">
        <v>192</v>
      </c>
      <c r="F1812" s="16" t="s">
        <v>291</v>
      </c>
      <c r="G1812" s="16" t="s">
        <v>570</v>
      </c>
      <c r="H1812" s="16" t="s">
        <v>447</v>
      </c>
    </row>
    <row r="1813" ht="330.75" customHeight="1">
      <c r="A1813" s="32" t="str">
        <f>IMAGE("https://gymvisual.com/2804-catalog_default/band-middle-fly.jpg",4,500,500)</f>
        <v/>
      </c>
      <c r="B1813" s="30">
        <v>194.0</v>
      </c>
      <c r="C1813" s="16" t="s">
        <v>567</v>
      </c>
      <c r="D1813" s="16" t="s">
        <v>184</v>
      </c>
      <c r="E1813" s="16" t="s">
        <v>234</v>
      </c>
      <c r="F1813" s="16" t="s">
        <v>291</v>
      </c>
      <c r="G1813" s="16" t="s">
        <v>347</v>
      </c>
      <c r="H1813" s="16" t="s">
        <v>568</v>
      </c>
    </row>
    <row r="1814" ht="330.75" customHeight="1">
      <c r="A1814" s="32" t="str">
        <f>IMAGE("https://gymvisual.com/2899-catalog_default/band-lying-straight-leg-raise.jpg",4,500,500)</f>
        <v/>
      </c>
      <c r="B1814" s="30">
        <v>193.0</v>
      </c>
      <c r="C1814" s="16" t="s">
        <v>565</v>
      </c>
      <c r="D1814" s="16" t="s">
        <v>184</v>
      </c>
      <c r="E1814" s="16" t="s">
        <v>185</v>
      </c>
      <c r="F1814" s="16" t="s">
        <v>291</v>
      </c>
      <c r="G1814" s="16" t="s">
        <v>271</v>
      </c>
      <c r="H1814" s="16" t="s">
        <v>566</v>
      </c>
    </row>
    <row r="1815" ht="330.75" customHeight="1">
      <c r="A1815" s="32" t="str">
        <f>IMAGE("https://gymvisual.com/22135-catalog_default/band-lying-reverse-grip-pressdown.jpg",4,500,500)</f>
        <v/>
      </c>
      <c r="B1815" s="30">
        <v>192.0</v>
      </c>
      <c r="C1815" s="16" t="s">
        <v>564</v>
      </c>
      <c r="D1815" s="16" t="s">
        <v>184</v>
      </c>
      <c r="E1815" s="16" t="s">
        <v>219</v>
      </c>
      <c r="F1815" s="16" t="s">
        <v>291</v>
      </c>
      <c r="G1815" s="16" t="s">
        <v>220</v>
      </c>
      <c r="H1815" s="16" t="s">
        <v>220</v>
      </c>
    </row>
    <row r="1816" ht="330.75" customHeight="1">
      <c r="A1816" s="32" t="str">
        <f>IMAGE("https://gymvisual.com/2803-catalog_default/band-lying-leg-raise.jpg",4,500,500)</f>
        <v/>
      </c>
      <c r="B1816" s="30">
        <v>191.0</v>
      </c>
      <c r="C1816" s="16" t="s">
        <v>562</v>
      </c>
      <c r="D1816" s="16" t="s">
        <v>184</v>
      </c>
      <c r="E1816" s="16" t="s">
        <v>185</v>
      </c>
      <c r="F1816" s="16" t="s">
        <v>291</v>
      </c>
      <c r="G1816" s="16" t="s">
        <v>271</v>
      </c>
      <c r="H1816" s="16" t="s">
        <v>563</v>
      </c>
    </row>
    <row r="1817" ht="330.75" customHeight="1">
      <c r="A1817" s="32" t="str">
        <f>IMAGE("https://gymvisual.com/2802-catalog_default/band-lying-leg-curl.jpg",4,500,500)</f>
        <v/>
      </c>
      <c r="B1817" s="30">
        <v>190.0</v>
      </c>
      <c r="C1817" s="16" t="s">
        <v>560</v>
      </c>
      <c r="D1817" s="16" t="s">
        <v>184</v>
      </c>
      <c r="E1817" s="16" t="s">
        <v>285</v>
      </c>
      <c r="F1817" s="16" t="s">
        <v>291</v>
      </c>
      <c r="G1817" s="16" t="s">
        <v>188</v>
      </c>
      <c r="H1817" s="16" t="s">
        <v>561</v>
      </c>
    </row>
    <row r="1818" ht="330.75" customHeight="1">
      <c r="A1818" s="32" t="str">
        <f>IMAGE("https://gymvisual.com/2801-catalog_default/band-lying-leg-and-hip-raise.jpg",4,500,500)</f>
        <v/>
      </c>
      <c r="B1818" s="30">
        <v>189.0</v>
      </c>
      <c r="C1818" s="16" t="s">
        <v>559</v>
      </c>
      <c r="D1818" s="16" t="s">
        <v>184</v>
      </c>
      <c r="E1818" s="16" t="s">
        <v>254</v>
      </c>
      <c r="F1818" s="16" t="s">
        <v>291</v>
      </c>
      <c r="G1818" s="16" t="s">
        <v>305</v>
      </c>
      <c r="H1818" s="16" t="s">
        <v>371</v>
      </c>
    </row>
    <row r="1819" ht="330.75" customHeight="1">
      <c r="A1819" s="32" t="str">
        <f>IMAGE("https://gymvisual.com/13315-catalog_default/band-lying-hip-internal-rotation-female.jpg",4,500,500)</f>
        <v/>
      </c>
      <c r="B1819" s="30">
        <v>188.0</v>
      </c>
      <c r="C1819" s="16" t="s">
        <v>558</v>
      </c>
      <c r="D1819" s="16" t="s">
        <v>184</v>
      </c>
      <c r="E1819" s="16" t="s">
        <v>185</v>
      </c>
      <c r="F1819" s="16" t="s">
        <v>291</v>
      </c>
      <c r="G1819" s="16" t="s">
        <v>220</v>
      </c>
      <c r="H1819" s="16" t="s">
        <v>220</v>
      </c>
    </row>
    <row r="1820" ht="330.75" customHeight="1">
      <c r="A1820" s="32" t="str">
        <f>IMAGE("https://gymvisual.com/2881-catalog_default/band-lying-hip-internal-rotation.jpg",4,500,500)</f>
        <v/>
      </c>
      <c r="B1820" s="30">
        <v>187.0</v>
      </c>
      <c r="C1820" s="16" t="s">
        <v>557</v>
      </c>
      <c r="D1820" s="16" t="s">
        <v>184</v>
      </c>
      <c r="E1820" s="16" t="s">
        <v>185</v>
      </c>
      <c r="F1820" s="16" t="s">
        <v>291</v>
      </c>
      <c r="G1820" s="16" t="s">
        <v>508</v>
      </c>
      <c r="H1820" s="16" t="s">
        <v>220</v>
      </c>
    </row>
    <row r="1821" ht="330.75" customHeight="1">
      <c r="A1821" s="32" t="str">
        <f>IMAGE("https://gymvisual.com/13313-catalog_default/band-lying-hip-external-rotation-female.jpg",4,500,500)</f>
        <v/>
      </c>
      <c r="B1821" s="30">
        <v>186.0</v>
      </c>
      <c r="C1821" s="16" t="s">
        <v>556</v>
      </c>
      <c r="D1821" s="16" t="s">
        <v>184</v>
      </c>
      <c r="E1821" s="16" t="s">
        <v>185</v>
      </c>
      <c r="F1821" s="16" t="s">
        <v>255</v>
      </c>
      <c r="G1821" s="16" t="s">
        <v>220</v>
      </c>
      <c r="H1821" s="16" t="s">
        <v>220</v>
      </c>
    </row>
    <row r="1822" ht="330.75" customHeight="1">
      <c r="A1822" s="32" t="str">
        <f>IMAGE("https://gymvisual.com/2879-catalog_default/band-lying-hip-external-rotation.jpg",4,500,500)</f>
        <v/>
      </c>
      <c r="B1822" s="30">
        <v>185.0</v>
      </c>
      <c r="C1822" s="16" t="s">
        <v>554</v>
      </c>
      <c r="D1822" s="16" t="s">
        <v>184</v>
      </c>
      <c r="E1822" s="16" t="s">
        <v>185</v>
      </c>
      <c r="F1822" s="16" t="s">
        <v>291</v>
      </c>
      <c r="G1822" s="16" t="s">
        <v>555</v>
      </c>
      <c r="H1822" s="16" t="s">
        <v>220</v>
      </c>
    </row>
    <row r="1823" ht="330.75" customHeight="1">
      <c r="A1823" s="32" t="str">
        <f>IMAGE("https://gymvisual.com/2800-catalog_default/band-lunges.jpg",4,500,500)</f>
        <v/>
      </c>
      <c r="B1823" s="30">
        <v>184.0</v>
      </c>
      <c r="C1823" s="16" t="s">
        <v>551</v>
      </c>
      <c r="D1823" s="16" t="s">
        <v>184</v>
      </c>
      <c r="E1823" s="16" t="s">
        <v>285</v>
      </c>
      <c r="F1823" s="16" t="s">
        <v>291</v>
      </c>
      <c r="G1823" s="16" t="s">
        <v>552</v>
      </c>
      <c r="H1823" s="16" t="s">
        <v>553</v>
      </c>
    </row>
    <row r="1824" ht="330.75" customHeight="1">
      <c r="A1824" s="32" t="str">
        <f>IMAGE("https://gymvisual.com/2799-catalog_default/band-low-fly.jpg",4,500,500)</f>
        <v/>
      </c>
      <c r="B1824" s="30">
        <v>183.0</v>
      </c>
      <c r="C1824" s="16" t="s">
        <v>550</v>
      </c>
      <c r="D1824" s="16" t="s">
        <v>184</v>
      </c>
      <c r="E1824" s="16" t="s">
        <v>234</v>
      </c>
      <c r="F1824" s="16" t="s">
        <v>291</v>
      </c>
      <c r="G1824" s="16" t="s">
        <v>415</v>
      </c>
      <c r="H1824" s="16" t="s">
        <v>236</v>
      </c>
    </row>
    <row r="1825" ht="330.75" customHeight="1">
      <c r="A1825" s="32" t="str">
        <f>IMAGE("https://gymvisual.com/18907-catalog_default/band-low-chest-press-male.jpg",4,500,500)</f>
        <v/>
      </c>
      <c r="B1825" s="30">
        <v>182.0</v>
      </c>
      <c r="C1825" s="16" t="s">
        <v>549</v>
      </c>
      <c r="D1825" s="16" t="s">
        <v>184</v>
      </c>
      <c r="E1825" s="16" t="s">
        <v>234</v>
      </c>
      <c r="F1825" s="16" t="s">
        <v>291</v>
      </c>
      <c r="G1825" s="16" t="s">
        <v>235</v>
      </c>
      <c r="H1825" s="16" t="s">
        <v>243</v>
      </c>
    </row>
    <row r="1826" ht="330.75" customHeight="1">
      <c r="A1826" s="32" t="str">
        <f>IMAGE("https://gymvisual.com/18938-catalog_default/band-low-chest-fly-male.jpg",4,500,500)</f>
        <v/>
      </c>
      <c r="B1826" s="30">
        <v>181.0</v>
      </c>
      <c r="C1826" s="16" t="s">
        <v>548</v>
      </c>
      <c r="D1826" s="16" t="s">
        <v>184</v>
      </c>
      <c r="E1826" s="16" t="s">
        <v>234</v>
      </c>
      <c r="F1826" s="16" t="s">
        <v>291</v>
      </c>
      <c r="G1826" s="16" t="s">
        <v>235</v>
      </c>
      <c r="H1826" s="16" t="s">
        <v>236</v>
      </c>
    </row>
    <row r="1827" ht="330.75" customHeight="1">
      <c r="A1827" s="32" t="str">
        <f>IMAGE("https://gymvisual.com/22742-catalog_default/band-low-alternate-chest-press-male.jpg",4,500,500)</f>
        <v/>
      </c>
      <c r="B1827" s="30">
        <v>180.0</v>
      </c>
      <c r="C1827" s="16" t="s">
        <v>547</v>
      </c>
      <c r="D1827" s="16" t="s">
        <v>184</v>
      </c>
      <c r="E1827" s="16" t="s">
        <v>234</v>
      </c>
      <c r="F1827" s="16" t="s">
        <v>291</v>
      </c>
      <c r="G1827" s="16" t="s">
        <v>347</v>
      </c>
      <c r="H1827" s="16" t="s">
        <v>382</v>
      </c>
    </row>
    <row r="1828" ht="330.75" customHeight="1">
      <c r="A1828" s="32" t="str">
        <f>IMAGE("https://gymvisual.com/6749-catalog_default/band-lateral-raise-version-2.jpg",4,500,500)</f>
        <v/>
      </c>
      <c r="B1828" s="30">
        <v>179.0</v>
      </c>
      <c r="C1828" s="16" t="s">
        <v>546</v>
      </c>
      <c r="D1828" s="16" t="s">
        <v>184</v>
      </c>
      <c r="E1828" s="16" t="s">
        <v>228</v>
      </c>
      <c r="F1828" s="16" t="s">
        <v>291</v>
      </c>
      <c r="G1828" s="16" t="s">
        <v>544</v>
      </c>
      <c r="H1828" s="16" t="s">
        <v>545</v>
      </c>
    </row>
    <row r="1829" ht="330.75" customHeight="1">
      <c r="A1829" s="32" t="str">
        <f>IMAGE("https://gymvisual.com/2798-catalog_default/band-lateral-raise.jpg",4,500,500)</f>
        <v/>
      </c>
      <c r="B1829" s="30">
        <v>178.0</v>
      </c>
      <c r="C1829" s="16" t="s">
        <v>543</v>
      </c>
      <c r="D1829" s="16" t="s">
        <v>184</v>
      </c>
      <c r="E1829" s="16" t="s">
        <v>228</v>
      </c>
      <c r="F1829" s="16" t="s">
        <v>291</v>
      </c>
      <c r="G1829" s="16" t="s">
        <v>544</v>
      </c>
      <c r="H1829" s="16" t="s">
        <v>545</v>
      </c>
    </row>
    <row r="1830" ht="330.75" customHeight="1">
      <c r="A1830" s="32" t="str">
        <f>IMAGE("https://gymvisual.com/2882-catalog_default/band-kneeling-twisting-crunch.jpg",4,500,500)</f>
        <v/>
      </c>
      <c r="B1830" s="30">
        <v>177.0</v>
      </c>
      <c r="C1830" s="16" t="s">
        <v>542</v>
      </c>
      <c r="D1830" s="16" t="s">
        <v>184</v>
      </c>
      <c r="E1830" s="16" t="s">
        <v>254</v>
      </c>
      <c r="F1830" s="16" t="s">
        <v>291</v>
      </c>
      <c r="G1830" s="16" t="s">
        <v>257</v>
      </c>
      <c r="H1830" s="16" t="s">
        <v>256</v>
      </c>
    </row>
    <row r="1831" ht="330.75" customHeight="1">
      <c r="A1831" s="32" t="str">
        <f>IMAGE("https://gymvisual.com/2873-catalog_default/band-kneeling-rear-kick.jpg",4,500,500)</f>
        <v/>
      </c>
      <c r="B1831" s="30">
        <v>176.0</v>
      </c>
      <c r="C1831" s="16" t="s">
        <v>541</v>
      </c>
      <c r="D1831" s="16" t="s">
        <v>184</v>
      </c>
      <c r="E1831" s="16" t="s">
        <v>185</v>
      </c>
      <c r="F1831" s="16" t="s">
        <v>291</v>
      </c>
      <c r="G1831" s="16" t="s">
        <v>187</v>
      </c>
      <c r="H1831" s="16" t="s">
        <v>220</v>
      </c>
    </row>
    <row r="1832" ht="330.75" customHeight="1">
      <c r="A1832" s="32" t="str">
        <f>IMAGE("https://gymvisual.com/2796-catalog_default/band-kneeling-pulldown.jpg",4,500,500)</f>
        <v/>
      </c>
      <c r="B1832" s="30">
        <v>175.0</v>
      </c>
      <c r="C1832" s="16" t="s">
        <v>540</v>
      </c>
      <c r="D1832" s="16" t="s">
        <v>184</v>
      </c>
      <c r="E1832" s="16" t="s">
        <v>192</v>
      </c>
      <c r="F1832" s="16" t="s">
        <v>291</v>
      </c>
      <c r="G1832" s="16" t="s">
        <v>300</v>
      </c>
      <c r="H1832" s="16" t="s">
        <v>387</v>
      </c>
    </row>
    <row r="1833" ht="330.75" customHeight="1">
      <c r="A1833" s="32" t="str">
        <f>IMAGE("https://gymvisual.com/20555-catalog_default/band-kneeling-preacher-curl-male.jpg",4,500,500)</f>
        <v/>
      </c>
      <c r="B1833" s="30">
        <v>174.0</v>
      </c>
      <c r="C1833" s="16" t="s">
        <v>539</v>
      </c>
      <c r="D1833" s="16" t="s">
        <v>184</v>
      </c>
      <c r="E1833" s="16" t="s">
        <v>219</v>
      </c>
      <c r="F1833" s="16" t="s">
        <v>291</v>
      </c>
      <c r="G1833" s="16" t="s">
        <v>241</v>
      </c>
      <c r="H1833" s="16" t="s">
        <v>292</v>
      </c>
    </row>
    <row r="1834" ht="330.75" customHeight="1">
      <c r="A1834" s="32" t="str">
        <f>IMAGE("https://gymvisual.com/17077-catalog_default/band-kneeling-one-arm-pulldown-female.jpg",4,500,500)</f>
        <v/>
      </c>
      <c r="B1834" s="30">
        <v>173.0</v>
      </c>
      <c r="C1834" s="16" t="s">
        <v>538</v>
      </c>
      <c r="D1834" s="16" t="s">
        <v>184</v>
      </c>
      <c r="E1834" s="16" t="s">
        <v>192</v>
      </c>
      <c r="F1834" s="16" t="s">
        <v>291</v>
      </c>
      <c r="G1834" s="16" t="s">
        <v>300</v>
      </c>
      <c r="H1834" s="16" t="s">
        <v>387</v>
      </c>
    </row>
    <row r="1835" ht="330.75" customHeight="1">
      <c r="A1835" s="32" t="str">
        <f>IMAGE("https://gymvisual.com/2880-catalog_default/band-kneeling-one-arm-pulldown.jpg",4,500,500)</f>
        <v/>
      </c>
      <c r="B1835" s="30">
        <v>172.0</v>
      </c>
      <c r="C1835" s="16" t="s">
        <v>536</v>
      </c>
      <c r="D1835" s="16" t="s">
        <v>184</v>
      </c>
      <c r="E1835" s="16" t="s">
        <v>192</v>
      </c>
      <c r="F1835" s="16" t="s">
        <v>291</v>
      </c>
      <c r="G1835" s="16" t="s">
        <v>300</v>
      </c>
      <c r="H1835" s="16" t="s">
        <v>537</v>
      </c>
    </row>
    <row r="1836" ht="330.75" customHeight="1">
      <c r="A1836" s="32" t="str">
        <f>IMAGE("https://gymvisual.com/18913-catalog_default/band-kneeling-lat-pulldown.jpg",4,500,500)</f>
        <v/>
      </c>
      <c r="B1836" s="30">
        <v>171.0</v>
      </c>
      <c r="C1836" s="16" t="s">
        <v>534</v>
      </c>
      <c r="D1836" s="16" t="s">
        <v>184</v>
      </c>
      <c r="E1836" s="16" t="s">
        <v>192</v>
      </c>
      <c r="F1836" s="16" t="s">
        <v>291</v>
      </c>
      <c r="G1836" s="16" t="s">
        <v>300</v>
      </c>
      <c r="H1836" s="16" t="s">
        <v>535</v>
      </c>
    </row>
    <row r="1837" ht="330.75" customHeight="1">
      <c r="A1837" s="32" t="str">
        <f>IMAGE("https://gymvisual.com/22193-catalog_default/band-kneeling-crunch-version-2-female.jpg",4,500,500)</f>
        <v/>
      </c>
      <c r="B1837" s="30">
        <v>170.0</v>
      </c>
      <c r="C1837" s="16" t="s">
        <v>533</v>
      </c>
      <c r="D1837" s="16" t="s">
        <v>184</v>
      </c>
      <c r="E1837" s="16" t="s">
        <v>254</v>
      </c>
      <c r="F1837" s="16" t="s">
        <v>291</v>
      </c>
      <c r="G1837" s="16" t="s">
        <v>220</v>
      </c>
      <c r="H1837" s="16" t="s">
        <v>220</v>
      </c>
    </row>
    <row r="1838" ht="330.75" customHeight="1">
      <c r="A1838" s="32" t="str">
        <f>IMAGE("https://gymvisual.com/22113-catalog_default/band-kneeling-crunch-male.jpg",4,500,500)</f>
        <v/>
      </c>
      <c r="B1838" s="30">
        <v>169.0</v>
      </c>
      <c r="C1838" s="16" t="s">
        <v>532</v>
      </c>
      <c r="D1838" s="16" t="s">
        <v>184</v>
      </c>
      <c r="E1838" s="16" t="s">
        <v>254</v>
      </c>
      <c r="F1838" s="16" t="s">
        <v>291</v>
      </c>
      <c r="G1838" s="16" t="s">
        <v>256</v>
      </c>
      <c r="H1838" s="16" t="s">
        <v>257</v>
      </c>
    </row>
    <row r="1839" ht="330.75" customHeight="1">
      <c r="A1839" s="32" t="str">
        <f>IMAGE("https://gymvisual.com/2872-catalog_default/band-kneeling-crunch.jpg",4,500,500)</f>
        <v/>
      </c>
      <c r="B1839" s="30">
        <v>168.0</v>
      </c>
      <c r="C1839" s="16" t="s">
        <v>531</v>
      </c>
      <c r="D1839" s="16" t="s">
        <v>184</v>
      </c>
      <c r="E1839" s="16" t="s">
        <v>254</v>
      </c>
      <c r="F1839" s="16" t="s">
        <v>291</v>
      </c>
      <c r="G1839" s="16" t="s">
        <v>256</v>
      </c>
      <c r="H1839" s="16" t="s">
        <v>257</v>
      </c>
    </row>
    <row r="1840" ht="330.75" customHeight="1">
      <c r="A1840" s="32" t="str">
        <f>IMAGE("https://gymvisual.com/2794-catalog_default/band-kickback.jpg",4,500,500)</f>
        <v/>
      </c>
      <c r="B1840" s="30">
        <v>167.0</v>
      </c>
      <c r="C1840" s="16" t="s">
        <v>530</v>
      </c>
      <c r="D1840" s="16" t="s">
        <v>184</v>
      </c>
      <c r="E1840" s="16" t="s">
        <v>219</v>
      </c>
      <c r="F1840" s="16" t="s">
        <v>291</v>
      </c>
      <c r="G1840" s="16" t="s">
        <v>223</v>
      </c>
      <c r="H1840" s="16" t="s">
        <v>220</v>
      </c>
    </row>
    <row r="1841" ht="330.75" customHeight="1">
      <c r="A1841" s="32" t="str">
        <f>IMAGE("https://gymvisual.com/2878-catalog_default/band-jack-knife-sit-up.jpg",4,500,500)</f>
        <v/>
      </c>
      <c r="B1841" s="30">
        <v>166.0</v>
      </c>
      <c r="C1841" s="16" t="s">
        <v>528</v>
      </c>
      <c r="D1841" s="16" t="s">
        <v>184</v>
      </c>
      <c r="E1841" s="16" t="s">
        <v>254</v>
      </c>
      <c r="F1841" s="16" t="s">
        <v>291</v>
      </c>
      <c r="G1841" s="16" t="s">
        <v>305</v>
      </c>
      <c r="H1841" s="16" t="s">
        <v>529</v>
      </c>
    </row>
    <row r="1842" ht="330.75" customHeight="1">
      <c r="A1842" s="32" t="str">
        <f>IMAGE("https://gymvisual.com/11182-catalog_default/band-jack-knife-sit-up-female.jpg",4,500,500)</f>
        <v/>
      </c>
      <c r="B1842" s="30">
        <v>165.0</v>
      </c>
      <c r="C1842" s="16" t="s">
        <v>527</v>
      </c>
      <c r="D1842" s="16" t="s">
        <v>184</v>
      </c>
      <c r="E1842" s="16" t="s">
        <v>310</v>
      </c>
      <c r="F1842" s="16" t="s">
        <v>291</v>
      </c>
      <c r="G1842" s="16" t="s">
        <v>220</v>
      </c>
      <c r="H1842" s="16" t="s">
        <v>220</v>
      </c>
    </row>
    <row r="1843" ht="330.75" customHeight="1">
      <c r="A1843" s="32" t="str">
        <f>IMAGE("https://gymvisual.com/19565-catalog_default/band-incline-bench-press.jpg",4,500,500)</f>
        <v/>
      </c>
      <c r="B1843" s="30">
        <v>164.0</v>
      </c>
      <c r="C1843" s="16" t="s">
        <v>526</v>
      </c>
      <c r="D1843" s="16" t="s">
        <v>184</v>
      </c>
      <c r="E1843" s="16" t="s">
        <v>234</v>
      </c>
      <c r="F1843" s="16" t="s">
        <v>291</v>
      </c>
      <c r="G1843" s="16" t="s">
        <v>220</v>
      </c>
      <c r="H1843" s="16" t="s">
        <v>220</v>
      </c>
    </row>
    <row r="1844" ht="330.75" customHeight="1">
      <c r="A1844" s="32" t="str">
        <f>IMAGE("https://gymvisual.com/2871-catalog_default/band-hyperextension.jpg",4,500,500)</f>
        <v/>
      </c>
      <c r="B1844" s="30">
        <v>163.0</v>
      </c>
      <c r="C1844" s="16" t="s">
        <v>525</v>
      </c>
      <c r="D1844" s="16" t="s">
        <v>184</v>
      </c>
      <c r="E1844" s="16" t="s">
        <v>192</v>
      </c>
      <c r="F1844" s="16" t="s">
        <v>291</v>
      </c>
      <c r="G1844" s="16" t="s">
        <v>267</v>
      </c>
      <c r="H1844" s="16" t="s">
        <v>220</v>
      </c>
    </row>
    <row r="1845" ht="330.75" customHeight="1">
      <c r="A1845" s="32" t="str">
        <f>IMAGE("https://gymvisual.com/14058-catalog_default/band-horizontal-pallof-press-with-resistance-band-squat.jpg",4,500,500)</f>
        <v/>
      </c>
      <c r="B1845" s="30">
        <v>162.0</v>
      </c>
      <c r="C1845" s="16" t="s">
        <v>521</v>
      </c>
      <c r="D1845" s="16" t="s">
        <v>184</v>
      </c>
      <c r="E1845" s="16" t="s">
        <v>522</v>
      </c>
      <c r="F1845" s="16" t="s">
        <v>523</v>
      </c>
      <c r="G1845" s="16" t="s">
        <v>524</v>
      </c>
      <c r="H1845" s="16" t="s">
        <v>220</v>
      </c>
    </row>
    <row r="1846" ht="330.75" customHeight="1">
      <c r="A1846" s="32" t="str">
        <f>IMAGE("https://gymvisual.com/2870-catalog_default/band-horizontal-pallof-press.jpg",4,500,500)</f>
        <v/>
      </c>
      <c r="B1846" s="30">
        <v>161.0</v>
      </c>
      <c r="C1846" s="16" t="s">
        <v>520</v>
      </c>
      <c r="D1846" s="16" t="s">
        <v>184</v>
      </c>
      <c r="E1846" s="16" t="s">
        <v>254</v>
      </c>
      <c r="F1846" s="16" t="s">
        <v>291</v>
      </c>
      <c r="G1846" s="16" t="s">
        <v>257</v>
      </c>
      <c r="H1846" s="16" t="s">
        <v>220</v>
      </c>
    </row>
    <row r="1847" ht="330.75" customHeight="1">
      <c r="A1847" s="32" t="str">
        <f>IMAGE("https://gymvisual.com/22119-catalog_default/band-horizontal-biceps-curl-male.jpg",4,500,500)</f>
        <v/>
      </c>
      <c r="B1847" s="30">
        <v>160.0</v>
      </c>
      <c r="C1847" s="16" t="s">
        <v>519</v>
      </c>
      <c r="D1847" s="16" t="s">
        <v>184</v>
      </c>
      <c r="E1847" s="16" t="s">
        <v>219</v>
      </c>
      <c r="F1847" s="16" t="s">
        <v>291</v>
      </c>
      <c r="G1847" s="16" t="s">
        <v>241</v>
      </c>
      <c r="H1847" s="16" t="s">
        <v>292</v>
      </c>
    </row>
    <row r="1848" ht="330.75" customHeight="1">
      <c r="A1848" s="32" t="str">
        <f>IMAGE("https://gymvisual.com/6260-catalog_default/band-hip-lift.jpg",4,500,500)</f>
        <v/>
      </c>
      <c r="B1848" s="30">
        <v>159.0</v>
      </c>
      <c r="C1848" s="16" t="s">
        <v>518</v>
      </c>
      <c r="D1848" s="16" t="s">
        <v>184</v>
      </c>
      <c r="E1848" s="16" t="s">
        <v>185</v>
      </c>
      <c r="F1848" s="16" t="s">
        <v>291</v>
      </c>
      <c r="G1848" s="16" t="s">
        <v>187</v>
      </c>
      <c r="H1848" s="16" t="s">
        <v>188</v>
      </c>
    </row>
    <row r="1849" ht="330.75" customHeight="1">
      <c r="A1849" s="32" t="str">
        <f>IMAGE("https://gymvisual.com/6747-catalog_default/band-hip-flexion.jpg",4,500,500)</f>
        <v/>
      </c>
      <c r="B1849" s="30">
        <v>158.0</v>
      </c>
      <c r="C1849" s="16" t="s">
        <v>517</v>
      </c>
      <c r="D1849" s="16" t="s">
        <v>184</v>
      </c>
      <c r="E1849" s="16" t="s">
        <v>185</v>
      </c>
      <c r="F1849" s="16" t="s">
        <v>291</v>
      </c>
      <c r="G1849" s="16" t="s">
        <v>220</v>
      </c>
      <c r="H1849" s="16" t="s">
        <v>220</v>
      </c>
    </row>
    <row r="1850" ht="330.75" customHeight="1">
      <c r="A1850" s="32" t="str">
        <f>IMAGE("https://gymvisual.com/2792-catalog_default/band-hip-extension.jpg",4,500,500)</f>
        <v/>
      </c>
      <c r="B1850" s="30">
        <v>157.0</v>
      </c>
      <c r="C1850" s="16" t="s">
        <v>516</v>
      </c>
      <c r="D1850" s="16" t="s">
        <v>184</v>
      </c>
      <c r="E1850" s="16" t="s">
        <v>185</v>
      </c>
      <c r="F1850" s="16" t="s">
        <v>291</v>
      </c>
      <c r="G1850" s="16" t="s">
        <v>187</v>
      </c>
      <c r="H1850" s="16" t="s">
        <v>275</v>
      </c>
    </row>
    <row r="1851" ht="330.75" customHeight="1">
      <c r="A1851" s="32" t="str">
        <f>IMAGE("https://gymvisual.com/17505-catalog_default/band-hip-adduction-male.jpg",4,500,500)</f>
        <v/>
      </c>
      <c r="B1851" s="30">
        <v>156.0</v>
      </c>
      <c r="C1851" s="16" t="s">
        <v>513</v>
      </c>
      <c r="D1851" s="16" t="s">
        <v>184</v>
      </c>
      <c r="E1851" s="16" t="s">
        <v>185</v>
      </c>
      <c r="F1851" s="16" t="s">
        <v>291</v>
      </c>
      <c r="G1851" s="16" t="s">
        <v>514</v>
      </c>
      <c r="H1851" s="16" t="s">
        <v>515</v>
      </c>
    </row>
    <row r="1852" ht="330.75" customHeight="1">
      <c r="A1852" s="32" t="str">
        <f>IMAGE("https://gymvisual.com/17486-catalog_default/band-hip-adduction.jpg",4,500,500)</f>
        <v/>
      </c>
      <c r="B1852" s="30">
        <v>155.0</v>
      </c>
      <c r="C1852" s="16" t="s">
        <v>510</v>
      </c>
      <c r="D1852" s="16" t="s">
        <v>184</v>
      </c>
      <c r="E1852" s="16" t="s">
        <v>185</v>
      </c>
      <c r="F1852" s="16" t="s">
        <v>291</v>
      </c>
      <c r="G1852" s="16" t="s">
        <v>511</v>
      </c>
      <c r="H1852" s="16" t="s">
        <v>512</v>
      </c>
    </row>
    <row r="1853" ht="330.75" customHeight="1">
      <c r="A1853" s="32" t="str">
        <f>IMAGE("https://gymvisual.com/17509-catalog_default/band-hip-abduction-male.jpg",4,500,500)</f>
        <v/>
      </c>
      <c r="B1853" s="30">
        <v>154.0</v>
      </c>
      <c r="C1853" s="16" t="s">
        <v>509</v>
      </c>
      <c r="D1853" s="16" t="s">
        <v>184</v>
      </c>
      <c r="E1853" s="16" t="s">
        <v>185</v>
      </c>
      <c r="F1853" s="16" t="s">
        <v>291</v>
      </c>
      <c r="G1853" s="16" t="s">
        <v>475</v>
      </c>
      <c r="H1853" s="16" t="s">
        <v>476</v>
      </c>
    </row>
    <row r="1854" ht="330.75" customHeight="1">
      <c r="A1854" s="32" t="str">
        <f>IMAGE("https://gymvisual.com/2790-catalog_default/band-hip-abduction.jpg",4,500,500)</f>
        <v/>
      </c>
      <c r="B1854" s="30">
        <v>153.0</v>
      </c>
      <c r="C1854" s="16" t="s">
        <v>507</v>
      </c>
      <c r="D1854" s="16" t="s">
        <v>184</v>
      </c>
      <c r="E1854" s="16" t="s">
        <v>185</v>
      </c>
      <c r="F1854" s="16" t="s">
        <v>291</v>
      </c>
      <c r="G1854" s="16" t="s">
        <v>508</v>
      </c>
      <c r="H1854" s="16" t="s">
        <v>220</v>
      </c>
    </row>
    <row r="1855" ht="330.75" customHeight="1">
      <c r="A1855" s="32" t="str">
        <f>IMAGE("https://gymvisual.com/16624-catalog_default/band-high-fly-male.jpg",4,500,500)</f>
        <v/>
      </c>
      <c r="B1855" s="30">
        <v>152.0</v>
      </c>
      <c r="C1855" s="16" t="s">
        <v>506</v>
      </c>
      <c r="D1855" s="16" t="s">
        <v>184</v>
      </c>
      <c r="E1855" s="16" t="s">
        <v>234</v>
      </c>
      <c r="F1855" s="16" t="s">
        <v>291</v>
      </c>
      <c r="G1855" s="16" t="s">
        <v>235</v>
      </c>
      <c r="H1855" s="16" t="s">
        <v>236</v>
      </c>
    </row>
    <row r="1856" ht="330.75" customHeight="1">
      <c r="A1856" s="32" t="str">
        <f>IMAGE("https://gymvisual.com/2789-catalog_default/band-high-fly.jpg",4,500,500)</f>
        <v/>
      </c>
      <c r="B1856" s="30">
        <v>151.0</v>
      </c>
      <c r="C1856" s="16" t="s">
        <v>504</v>
      </c>
      <c r="D1856" s="16" t="s">
        <v>184</v>
      </c>
      <c r="E1856" s="16" t="s">
        <v>234</v>
      </c>
      <c r="F1856" s="16" t="s">
        <v>291</v>
      </c>
      <c r="G1856" s="16" t="s">
        <v>347</v>
      </c>
      <c r="H1856" s="16" t="s">
        <v>505</v>
      </c>
    </row>
    <row r="1857" ht="330.75" customHeight="1">
      <c r="A1857" s="32" t="str">
        <f>IMAGE("https://gymvisual.com/2788-catalog_default/band-hammer-curl.jpg",4,500,500)</f>
        <v/>
      </c>
      <c r="B1857" s="30">
        <v>150.0</v>
      </c>
      <c r="C1857" s="16" t="s">
        <v>503</v>
      </c>
      <c r="D1857" s="16" t="s">
        <v>184</v>
      </c>
      <c r="E1857" s="16" t="s">
        <v>214</v>
      </c>
      <c r="F1857" s="16" t="s">
        <v>291</v>
      </c>
      <c r="G1857" s="16" t="s">
        <v>216</v>
      </c>
      <c r="H1857" s="16" t="s">
        <v>217</v>
      </c>
    </row>
    <row r="1858" ht="330.75" customHeight="1">
      <c r="A1858" s="32" t="str">
        <f>IMAGE("https://gymvisual.com/19237-catalog_default/band-half-kneeling-chop.jpg",4,500,500)</f>
        <v/>
      </c>
      <c r="B1858" s="30">
        <v>149.0</v>
      </c>
      <c r="C1858" s="16" t="s">
        <v>501</v>
      </c>
      <c r="D1858" s="16" t="s">
        <v>184</v>
      </c>
      <c r="E1858" s="16" t="s">
        <v>254</v>
      </c>
      <c r="F1858" s="16" t="s">
        <v>291</v>
      </c>
      <c r="G1858" s="16" t="s">
        <v>257</v>
      </c>
      <c r="H1858" s="16" t="s">
        <v>502</v>
      </c>
    </row>
    <row r="1859" ht="330.75" customHeight="1">
      <c r="A1859" s="32" t="str">
        <f>IMAGE("https://gymvisual.com/6761-catalog_default/band-good-morning.jpg",4,500,500)</f>
        <v/>
      </c>
      <c r="B1859" s="30">
        <v>148.0</v>
      </c>
      <c r="C1859" s="16" t="s">
        <v>500</v>
      </c>
      <c r="D1859" s="16" t="s">
        <v>184</v>
      </c>
      <c r="E1859" s="16" t="s">
        <v>185</v>
      </c>
      <c r="F1859" s="16" t="s">
        <v>291</v>
      </c>
      <c r="G1859" s="16" t="s">
        <v>220</v>
      </c>
      <c r="H1859" s="16" t="s">
        <v>220</v>
      </c>
    </row>
    <row r="1860" ht="330.75" customHeight="1">
      <c r="A1860" s="32" t="str">
        <f>IMAGE("https://gymvisual.com/2869-catalog_default/band-front-raise.jpg",4,500,500)</f>
        <v/>
      </c>
      <c r="B1860" s="30">
        <v>147.0</v>
      </c>
      <c r="C1860" s="16" t="s">
        <v>499</v>
      </c>
      <c r="D1860" s="16" t="s">
        <v>184</v>
      </c>
      <c r="E1860" s="16" t="s">
        <v>228</v>
      </c>
      <c r="F1860" s="16" t="s">
        <v>291</v>
      </c>
      <c r="G1860" s="16" t="s">
        <v>229</v>
      </c>
      <c r="H1860" s="16" t="s">
        <v>244</v>
      </c>
    </row>
    <row r="1861" ht="330.75" customHeight="1">
      <c r="A1861" s="32" t="str">
        <f>IMAGE("https://gymvisual.com/16759-catalog_default/band-front-plank-with-single-arm-pulldown.jpg",4,500,500)</f>
        <v/>
      </c>
      <c r="B1861" s="30">
        <v>146.0</v>
      </c>
      <c r="C1861" s="16" t="s">
        <v>498</v>
      </c>
      <c r="D1861" s="16" t="s">
        <v>184</v>
      </c>
      <c r="E1861" s="16" t="s">
        <v>361</v>
      </c>
      <c r="F1861" s="16" t="s">
        <v>291</v>
      </c>
      <c r="G1861" s="16" t="s">
        <v>220</v>
      </c>
      <c r="H1861" s="16" t="s">
        <v>220</v>
      </c>
    </row>
    <row r="1862" ht="330.75" customHeight="1">
      <c r="A1862" s="32" t="str">
        <f>IMAGE("https://gymvisual.com/20052-catalog_default/band-front-lateral-raise-female.jpg",4,500,500)</f>
        <v/>
      </c>
      <c r="B1862" s="30">
        <v>145.0</v>
      </c>
      <c r="C1862" s="16" t="s">
        <v>497</v>
      </c>
      <c r="D1862" s="16" t="s">
        <v>184</v>
      </c>
      <c r="E1862" s="16" t="s">
        <v>228</v>
      </c>
      <c r="F1862" s="16" t="s">
        <v>291</v>
      </c>
      <c r="G1862" s="16" t="s">
        <v>454</v>
      </c>
      <c r="H1862" s="16" t="s">
        <v>455</v>
      </c>
    </row>
    <row r="1863" ht="330.75" customHeight="1">
      <c r="A1863" s="32" t="str">
        <f>IMAGE("https://gymvisual.com/2868-catalog_default/band-front-lateral-raise.jpg",4,500,500)</f>
        <v/>
      </c>
      <c r="B1863" s="30">
        <v>144.0</v>
      </c>
      <c r="C1863" s="16" t="s">
        <v>495</v>
      </c>
      <c r="D1863" s="16" t="s">
        <v>184</v>
      </c>
      <c r="E1863" s="16" t="s">
        <v>228</v>
      </c>
      <c r="F1863" s="16" t="s">
        <v>291</v>
      </c>
      <c r="G1863" s="16" t="s">
        <v>229</v>
      </c>
      <c r="H1863" s="16" t="s">
        <v>496</v>
      </c>
    </row>
    <row r="1864" ht="330.75" customHeight="1">
      <c r="A1864" s="32" t="str">
        <f>IMAGE("https://gymvisual.com/12483-catalog_default/band-fixed-back-underhand-pulldown.jpg",4,500,500)</f>
        <v/>
      </c>
      <c r="B1864" s="30">
        <v>143.0</v>
      </c>
      <c r="C1864" s="16" t="s">
        <v>494</v>
      </c>
      <c r="D1864" s="16" t="s">
        <v>184</v>
      </c>
      <c r="E1864" s="16" t="s">
        <v>192</v>
      </c>
      <c r="F1864" s="16" t="s">
        <v>291</v>
      </c>
      <c r="G1864" s="16" t="s">
        <v>300</v>
      </c>
      <c r="H1864" s="16" t="s">
        <v>434</v>
      </c>
    </row>
    <row r="1865" ht="330.75" customHeight="1">
      <c r="A1865" s="32" t="str">
        <f>IMAGE("https://gymvisual.com/12486-catalog_default/band-fixed-back-close-grip-pulldown.jpg",4,500,500)</f>
        <v/>
      </c>
      <c r="B1865" s="30">
        <v>142.0</v>
      </c>
      <c r="C1865" s="16" t="s">
        <v>492</v>
      </c>
      <c r="D1865" s="16" t="s">
        <v>184</v>
      </c>
      <c r="E1865" s="16" t="s">
        <v>192</v>
      </c>
      <c r="F1865" s="16" t="s">
        <v>291</v>
      </c>
      <c r="G1865" s="16" t="s">
        <v>300</v>
      </c>
      <c r="H1865" s="16" t="s">
        <v>493</v>
      </c>
    </row>
    <row r="1866" ht="330.75" customHeight="1">
      <c r="A1866" s="32" t="str">
        <f>IMAGE("https://gymvisual.com/24796-catalog_default/band-face-pull-male.jpg",4,500,500)</f>
        <v/>
      </c>
      <c r="B1866" s="30">
        <v>141.0</v>
      </c>
      <c r="C1866" s="16" t="s">
        <v>491</v>
      </c>
      <c r="D1866" s="16" t="s">
        <v>184</v>
      </c>
      <c r="E1866" s="16" t="s">
        <v>228</v>
      </c>
      <c r="F1866" s="16" t="s">
        <v>291</v>
      </c>
      <c r="G1866" s="16" t="s">
        <v>408</v>
      </c>
      <c r="H1866" s="16" t="s">
        <v>490</v>
      </c>
    </row>
    <row r="1867" ht="330.75" customHeight="1">
      <c r="A1867" s="32" t="str">
        <f>IMAGE("https://gymvisual.com/2787-catalog_default/band-face-pull.jpg",4,500,500)</f>
        <v/>
      </c>
      <c r="B1867" s="30">
        <v>140.0</v>
      </c>
      <c r="C1867" s="16" t="s">
        <v>489</v>
      </c>
      <c r="D1867" s="16" t="s">
        <v>184</v>
      </c>
      <c r="E1867" s="16" t="s">
        <v>228</v>
      </c>
      <c r="F1867" s="16" t="s">
        <v>291</v>
      </c>
      <c r="G1867" s="16" t="s">
        <v>408</v>
      </c>
      <c r="H1867" s="16" t="s">
        <v>490</v>
      </c>
    </row>
    <row r="1868" ht="330.75" customHeight="1">
      <c r="A1868" s="32" t="str">
        <f>IMAGE("https://gymvisual.com/6745-catalog_default/band-ez-barbell-close-grip-curl.jpg",4,500,500)</f>
        <v/>
      </c>
      <c r="B1868" s="30">
        <v>139.0</v>
      </c>
      <c r="C1868" s="16" t="s">
        <v>488</v>
      </c>
      <c r="D1868" s="16" t="s">
        <v>184</v>
      </c>
      <c r="E1868" s="16" t="s">
        <v>219</v>
      </c>
      <c r="F1868" s="16" t="s">
        <v>291</v>
      </c>
      <c r="G1868" s="16" t="s">
        <v>220</v>
      </c>
      <c r="H1868" s="16" t="s">
        <v>220</v>
      </c>
    </row>
    <row r="1869" ht="330.75" customHeight="1">
      <c r="A1869" s="32" t="str">
        <f>IMAGE("https://gymvisual.com/6727-catalog_default/band-decline-sit-up.jpg",4,500,500)</f>
        <v/>
      </c>
      <c r="B1869" s="30">
        <v>138.0</v>
      </c>
      <c r="C1869" s="16" t="s">
        <v>486</v>
      </c>
      <c r="D1869" s="16" t="s">
        <v>184</v>
      </c>
      <c r="E1869" s="16" t="s">
        <v>185</v>
      </c>
      <c r="F1869" s="16" t="s">
        <v>291</v>
      </c>
      <c r="G1869" s="16" t="s">
        <v>271</v>
      </c>
      <c r="H1869" s="16" t="s">
        <v>487</v>
      </c>
    </row>
    <row r="1870" ht="330.75" customHeight="1">
      <c r="A1870" s="32" t="str">
        <f>IMAGE("https://gymvisual.com/17073-catalog_default/band-decline-sit-up-female.jpg",4,500,500)</f>
        <v/>
      </c>
      <c r="B1870" s="30">
        <v>137.0</v>
      </c>
      <c r="C1870" s="16" t="s">
        <v>485</v>
      </c>
      <c r="D1870" s="16" t="s">
        <v>184</v>
      </c>
      <c r="E1870" s="16" t="s">
        <v>310</v>
      </c>
      <c r="F1870" s="16" t="s">
        <v>291</v>
      </c>
      <c r="G1870" s="16" t="s">
        <v>305</v>
      </c>
      <c r="H1870" s="16" t="s">
        <v>319</v>
      </c>
    </row>
    <row r="1871" ht="330.75" customHeight="1">
      <c r="A1871" s="32" t="str">
        <f>IMAGE("https://gymvisual.com/16745-catalog_default/band-deadlift-with-single-arm-row.jpg",4,500,500)</f>
        <v/>
      </c>
      <c r="B1871" s="30">
        <v>136.0</v>
      </c>
      <c r="C1871" s="16" t="s">
        <v>483</v>
      </c>
      <c r="D1871" s="16" t="s">
        <v>184</v>
      </c>
      <c r="E1871" s="16" t="s">
        <v>484</v>
      </c>
      <c r="F1871" s="16" t="s">
        <v>291</v>
      </c>
      <c r="G1871" s="16" t="s">
        <v>220</v>
      </c>
      <c r="H1871" s="16" t="s">
        <v>220</v>
      </c>
    </row>
    <row r="1872" ht="330.75" customHeight="1">
      <c r="A1872" s="32" t="str">
        <f>IMAGE("https://gymvisual.com/22181-catalog_default/band-deadlift.jpg",4,500,500)</f>
        <v/>
      </c>
      <c r="B1872" s="30">
        <v>135.0</v>
      </c>
      <c r="C1872" s="16" t="s">
        <v>481</v>
      </c>
      <c r="D1872" s="16" t="s">
        <v>184</v>
      </c>
      <c r="E1872" s="16" t="s">
        <v>185</v>
      </c>
      <c r="F1872" s="16" t="s">
        <v>291</v>
      </c>
      <c r="G1872" s="16" t="s">
        <v>187</v>
      </c>
      <c r="H1872" s="16" t="s">
        <v>482</v>
      </c>
    </row>
    <row r="1873" ht="330.75" customHeight="1">
      <c r="A1873" s="32" t="str">
        <f>IMAGE("https://gymvisual.com/2786-catalog_default/band-deadlift.jpg",4,500,500)</f>
        <v/>
      </c>
      <c r="B1873" s="30">
        <v>134.0</v>
      </c>
      <c r="C1873" s="16" t="s">
        <v>479</v>
      </c>
      <c r="D1873" s="16" t="s">
        <v>184</v>
      </c>
      <c r="E1873" s="16" t="s">
        <v>185</v>
      </c>
      <c r="F1873" s="16" t="s">
        <v>291</v>
      </c>
      <c r="G1873" s="16" t="s">
        <v>187</v>
      </c>
      <c r="H1873" s="16" t="s">
        <v>480</v>
      </c>
    </row>
    <row r="1874" ht="330.75" customHeight="1">
      <c r="A1874" s="32" t="str">
        <f>IMAGE("https://gymvisual.com/22125-catalog_default/band-cross-chest-biceps-curl-male.jpg",4,500,500)</f>
        <v/>
      </c>
      <c r="B1874" s="30">
        <v>133.0</v>
      </c>
      <c r="C1874" s="16" t="s">
        <v>478</v>
      </c>
      <c r="D1874" s="16" t="s">
        <v>184</v>
      </c>
      <c r="E1874" s="16" t="s">
        <v>219</v>
      </c>
      <c r="F1874" s="16" t="s">
        <v>291</v>
      </c>
      <c r="G1874" s="16" t="s">
        <v>241</v>
      </c>
      <c r="H1874" s="16" t="s">
        <v>292</v>
      </c>
    </row>
    <row r="1875" ht="330.75" customHeight="1">
      <c r="A1875" s="32" t="str">
        <f>IMAGE("https://gymvisual.com/19391-catalog_default/band-cross-body-one-arm-chest-press-male.jpg",4,500,500)</f>
        <v/>
      </c>
      <c r="B1875" s="30">
        <v>132.0</v>
      </c>
      <c r="C1875" s="16" t="s">
        <v>477</v>
      </c>
      <c r="D1875" s="16" t="s">
        <v>184</v>
      </c>
      <c r="E1875" s="16" t="s">
        <v>234</v>
      </c>
      <c r="F1875" s="16" t="s">
        <v>291</v>
      </c>
      <c r="G1875" s="16" t="s">
        <v>347</v>
      </c>
      <c r="H1875" s="16" t="s">
        <v>382</v>
      </c>
    </row>
    <row r="1876" ht="330.75" customHeight="1">
      <c r="A1876" s="32" t="str">
        <f>IMAGE("https://gymvisual.com/22127-catalog_default/band-cross-abduction.jpg",4,500,500)</f>
        <v/>
      </c>
      <c r="B1876" s="30">
        <v>131.0</v>
      </c>
      <c r="C1876" s="16" t="s">
        <v>474</v>
      </c>
      <c r="D1876" s="16" t="s">
        <v>184</v>
      </c>
      <c r="E1876" s="16" t="s">
        <v>185</v>
      </c>
      <c r="F1876" s="16" t="s">
        <v>291</v>
      </c>
      <c r="G1876" s="16" t="s">
        <v>475</v>
      </c>
      <c r="H1876" s="16" t="s">
        <v>476</v>
      </c>
    </row>
    <row r="1877" ht="330.75" customHeight="1">
      <c r="A1877" s="32" t="str">
        <f>IMAGE("https://gymvisual.com/2867-catalog_default/band-concentration-curl.jpg",4,500,500)</f>
        <v/>
      </c>
      <c r="B1877" s="30">
        <v>130.0</v>
      </c>
      <c r="C1877" s="16" t="s">
        <v>473</v>
      </c>
      <c r="D1877" s="16" t="s">
        <v>184</v>
      </c>
      <c r="E1877" s="16" t="s">
        <v>219</v>
      </c>
      <c r="F1877" s="16" t="s">
        <v>291</v>
      </c>
      <c r="G1877" s="16" t="s">
        <v>232</v>
      </c>
      <c r="H1877" s="16" t="s">
        <v>233</v>
      </c>
    </row>
    <row r="1878" ht="330.75" customHeight="1">
      <c r="A1878" s="32" t="str">
        <f>IMAGE("https://gymvisual.com/2866-catalog_default/band-close-grip-push-up.jpg",4,500,500)</f>
        <v/>
      </c>
      <c r="B1878" s="30">
        <v>129.0</v>
      </c>
      <c r="C1878" s="16" t="s">
        <v>471</v>
      </c>
      <c r="D1878" s="16" t="s">
        <v>184</v>
      </c>
      <c r="E1878" s="16" t="s">
        <v>219</v>
      </c>
      <c r="F1878" s="16" t="s">
        <v>291</v>
      </c>
      <c r="G1878" s="16" t="s">
        <v>223</v>
      </c>
      <c r="H1878" s="16" t="s">
        <v>472</v>
      </c>
    </row>
    <row r="1879" ht="330.75" customHeight="1">
      <c r="A1879" s="32" t="str">
        <f>IMAGE("https://gymvisual.com/2865-catalog_default/band-close-grip-pulldown.jpg",4,500,500)</f>
        <v/>
      </c>
      <c r="B1879" s="30">
        <v>128.0</v>
      </c>
      <c r="C1879" s="16" t="s">
        <v>469</v>
      </c>
      <c r="D1879" s="16" t="s">
        <v>184</v>
      </c>
      <c r="E1879" s="16" t="s">
        <v>192</v>
      </c>
      <c r="F1879" s="16" t="s">
        <v>291</v>
      </c>
      <c r="G1879" s="16" t="s">
        <v>300</v>
      </c>
      <c r="H1879" s="16" t="s">
        <v>470</v>
      </c>
    </row>
    <row r="1880" ht="330.75" customHeight="1">
      <c r="A1880" s="32" t="str">
        <f>IMAGE("https://gymvisual.com/19233-catalog_default/band-close-grip-row.jpg",4,500,500)</f>
        <v/>
      </c>
      <c r="B1880" s="30">
        <v>127.0</v>
      </c>
      <c r="C1880" s="16" t="s">
        <v>468</v>
      </c>
      <c r="D1880" s="16" t="s">
        <v>184</v>
      </c>
      <c r="E1880" s="16" t="s">
        <v>192</v>
      </c>
      <c r="F1880" s="16" t="s">
        <v>291</v>
      </c>
      <c r="G1880" s="16" t="s">
        <v>329</v>
      </c>
      <c r="H1880" s="16" t="s">
        <v>357</v>
      </c>
    </row>
    <row r="1881" ht="330.75" customHeight="1">
      <c r="A1881" s="32" t="str">
        <f>IMAGE("https://gymvisual.com/22129-catalog_default/band-close-grip-biceps-curl.jpg",4,500,500)</f>
        <v/>
      </c>
      <c r="B1881" s="30">
        <v>126.0</v>
      </c>
      <c r="C1881" s="16" t="s">
        <v>467</v>
      </c>
      <c r="D1881" s="16" t="s">
        <v>184</v>
      </c>
      <c r="E1881" s="16" t="s">
        <v>219</v>
      </c>
      <c r="F1881" s="16" t="s">
        <v>291</v>
      </c>
      <c r="G1881" s="16" t="s">
        <v>241</v>
      </c>
      <c r="H1881" s="16" t="s">
        <v>292</v>
      </c>
    </row>
    <row r="1882" ht="330.75" customHeight="1">
      <c r="A1882" s="32" t="str">
        <f>IMAGE("https://gymvisual.com/18940-catalog_default/band-chest-fly-male.jpg",4,500,500)</f>
        <v/>
      </c>
      <c r="B1882" s="30">
        <v>125.0</v>
      </c>
      <c r="C1882" s="16" t="s">
        <v>466</v>
      </c>
      <c r="D1882" s="16" t="s">
        <v>184</v>
      </c>
      <c r="E1882" s="16" t="s">
        <v>234</v>
      </c>
      <c r="F1882" s="16" t="s">
        <v>291</v>
      </c>
      <c r="G1882" s="16" t="s">
        <v>235</v>
      </c>
      <c r="H1882" s="16" t="s">
        <v>236</v>
      </c>
    </row>
    <row r="1883" ht="330.75" customHeight="1">
      <c r="A1883" s="32" t="str">
        <f>IMAGE("https://gymvisual.com/6743-catalog_default/band-calf-raise-version-3.jpg",4,500,500)</f>
        <v/>
      </c>
      <c r="B1883" s="30">
        <v>124.0</v>
      </c>
      <c r="C1883" s="16" t="s">
        <v>465</v>
      </c>
      <c r="D1883" s="16" t="s">
        <v>184</v>
      </c>
      <c r="E1883" s="16" t="s">
        <v>325</v>
      </c>
      <c r="F1883" s="16" t="s">
        <v>291</v>
      </c>
      <c r="G1883" s="16" t="s">
        <v>220</v>
      </c>
      <c r="H1883" s="16" t="s">
        <v>220</v>
      </c>
    </row>
    <row r="1884" ht="330.75" customHeight="1">
      <c r="A1884" s="32" t="str">
        <f>IMAGE("https://gymvisual.com/2864-catalog_default/band-calf-raise-version-2.jpg",4,500,500)</f>
        <v/>
      </c>
      <c r="B1884" s="30">
        <v>123.0</v>
      </c>
      <c r="C1884" s="16" t="s">
        <v>464</v>
      </c>
      <c r="D1884" s="16" t="s">
        <v>184</v>
      </c>
      <c r="E1884" s="16" t="s">
        <v>325</v>
      </c>
      <c r="F1884" s="16" t="s">
        <v>291</v>
      </c>
      <c r="G1884" s="16" t="s">
        <v>368</v>
      </c>
      <c r="H1884" s="16" t="s">
        <v>463</v>
      </c>
    </row>
    <row r="1885" ht="330.75" customHeight="1">
      <c r="A1885" s="32" t="str">
        <f>IMAGE("https://gymvisual.com/2785-catalog_default/band-calf-raise.jpg",4,500,500)</f>
        <v/>
      </c>
      <c r="B1885" s="30">
        <v>122.0</v>
      </c>
      <c r="C1885" s="16" t="s">
        <v>462</v>
      </c>
      <c r="D1885" s="16" t="s">
        <v>184</v>
      </c>
      <c r="E1885" s="16" t="s">
        <v>325</v>
      </c>
      <c r="F1885" s="16" t="s">
        <v>291</v>
      </c>
      <c r="G1885" s="16" t="s">
        <v>368</v>
      </c>
      <c r="H1885" s="16" t="s">
        <v>463</v>
      </c>
    </row>
    <row r="1886" ht="330.75" customHeight="1">
      <c r="A1886" s="32" t="str">
        <f>IMAGE("https://gymvisual.com/2863-catalog_default/band-bicycle-crunch.jpg",4,500,500)</f>
        <v/>
      </c>
      <c r="B1886" s="30">
        <v>121.0</v>
      </c>
      <c r="C1886" s="16" t="s">
        <v>460</v>
      </c>
      <c r="D1886" s="16" t="s">
        <v>184</v>
      </c>
      <c r="E1886" s="16" t="s">
        <v>254</v>
      </c>
      <c r="F1886" s="16" t="s">
        <v>291</v>
      </c>
      <c r="G1886" s="16" t="s">
        <v>424</v>
      </c>
      <c r="H1886" s="16" t="s">
        <v>461</v>
      </c>
    </row>
    <row r="1887" ht="330.75" customHeight="1">
      <c r="A1887" s="32" t="str">
        <f>IMAGE("https://gymvisual.com/18911-catalog_default/band-biceps-curl-version-2.jpg",4,500,500)</f>
        <v/>
      </c>
      <c r="B1887" s="30">
        <v>120.0</v>
      </c>
      <c r="C1887" s="16" t="s">
        <v>459</v>
      </c>
      <c r="D1887" s="16" t="s">
        <v>184</v>
      </c>
      <c r="E1887" s="16" t="s">
        <v>219</v>
      </c>
      <c r="F1887" s="16" t="s">
        <v>291</v>
      </c>
      <c r="G1887" s="16" t="s">
        <v>241</v>
      </c>
      <c r="H1887" s="16" t="s">
        <v>292</v>
      </c>
    </row>
    <row r="1888" ht="330.75" customHeight="1">
      <c r="A1888" s="32" t="str">
        <f>IMAGE("https://gymvisual.com/17859-catalog_default/band-biceps-curl.jpg",4,500,500)</f>
        <v/>
      </c>
      <c r="B1888" s="30">
        <v>119.0</v>
      </c>
      <c r="C1888" s="16" t="s">
        <v>458</v>
      </c>
      <c r="D1888" s="16" t="s">
        <v>184</v>
      </c>
      <c r="E1888" s="16" t="s">
        <v>219</v>
      </c>
      <c r="F1888" s="16" t="s">
        <v>291</v>
      </c>
      <c r="G1888" s="16" t="s">
        <v>220</v>
      </c>
      <c r="H1888" s="16" t="s">
        <v>220</v>
      </c>
    </row>
    <row r="1889" ht="330.75" customHeight="1">
      <c r="A1889" s="32" t="str">
        <f>IMAGE("https://gymvisual.com/2783-catalog_default/band-bent-over-row.jpg",4,500,500)</f>
        <v/>
      </c>
      <c r="B1889" s="30">
        <v>118.0</v>
      </c>
      <c r="C1889" s="16" t="s">
        <v>456</v>
      </c>
      <c r="D1889" s="16" t="s">
        <v>184</v>
      </c>
      <c r="E1889" s="16" t="s">
        <v>192</v>
      </c>
      <c r="F1889" s="16" t="s">
        <v>291</v>
      </c>
      <c r="G1889" s="16" t="s">
        <v>329</v>
      </c>
      <c r="H1889" s="16" t="s">
        <v>457</v>
      </c>
    </row>
    <row r="1890" ht="330.75" customHeight="1">
      <c r="A1890" s="32" t="str">
        <f>IMAGE("https://gymvisual.com/17364-catalog_default/band-bent-over-rear-lateral-raise-male.jpg",4,500,500)</f>
        <v/>
      </c>
      <c r="B1890" s="30">
        <v>117.0</v>
      </c>
      <c r="C1890" s="16" t="s">
        <v>453</v>
      </c>
      <c r="D1890" s="16" t="s">
        <v>184</v>
      </c>
      <c r="E1890" s="16" t="s">
        <v>228</v>
      </c>
      <c r="F1890" s="16" t="s">
        <v>291</v>
      </c>
      <c r="G1890" s="16" t="s">
        <v>454</v>
      </c>
      <c r="H1890" s="16" t="s">
        <v>455</v>
      </c>
    </row>
    <row r="1891" ht="330.75" customHeight="1">
      <c r="A1891" s="32" t="str">
        <f>IMAGE("https://gymvisual.com/2784-catalog_default/band-bent-over-rear-lateral-raise.jpg",4,500,500)</f>
        <v/>
      </c>
      <c r="B1891" s="30">
        <v>116.0</v>
      </c>
      <c r="C1891" s="16" t="s">
        <v>451</v>
      </c>
      <c r="D1891" s="16" t="s">
        <v>184</v>
      </c>
      <c r="E1891" s="16" t="s">
        <v>228</v>
      </c>
      <c r="F1891" s="16" t="s">
        <v>291</v>
      </c>
      <c r="G1891" s="16" t="s">
        <v>408</v>
      </c>
      <c r="H1891" s="16" t="s">
        <v>452</v>
      </c>
    </row>
    <row r="1892" ht="330.75" customHeight="1">
      <c r="A1892" s="32" t="str">
        <f>IMAGE("https://gymvisual.com/17517-catalog_default/band-bent-over-hip-extension-male.jpg",4,500,500)</f>
        <v/>
      </c>
      <c r="B1892" s="30">
        <v>115.0</v>
      </c>
      <c r="C1892" s="16" t="s">
        <v>450</v>
      </c>
      <c r="D1892" s="16" t="s">
        <v>184</v>
      </c>
      <c r="E1892" s="16" t="s">
        <v>185</v>
      </c>
      <c r="F1892" s="16" t="s">
        <v>291</v>
      </c>
      <c r="G1892" s="16" t="s">
        <v>187</v>
      </c>
      <c r="H1892" s="16" t="s">
        <v>188</v>
      </c>
    </row>
    <row r="1893" ht="330.75" customHeight="1">
      <c r="A1893" s="32" t="str">
        <f>IMAGE("https://gymvisual.com/2877-catalog_default/band-bent-over-hip-extension.jpg",4,500,500)</f>
        <v/>
      </c>
      <c r="B1893" s="30">
        <v>114.0</v>
      </c>
      <c r="C1893" s="16" t="s">
        <v>449</v>
      </c>
      <c r="D1893" s="16" t="s">
        <v>184</v>
      </c>
      <c r="E1893" s="16" t="s">
        <v>185</v>
      </c>
      <c r="F1893" s="16" t="s">
        <v>291</v>
      </c>
      <c r="G1893" s="16" t="s">
        <v>187</v>
      </c>
      <c r="H1893" s="16" t="s">
        <v>188</v>
      </c>
    </row>
    <row r="1894" ht="330.75" customHeight="1">
      <c r="A1894" s="32" t="str">
        <f>IMAGE("https://gymvisual.com/19006-catalog_default/band-bent-over-wide-grip-row-male.jpg",4,500,500)</f>
        <v/>
      </c>
      <c r="B1894" s="30">
        <v>113.0</v>
      </c>
      <c r="C1894" s="16" t="s">
        <v>448</v>
      </c>
      <c r="D1894" s="16" t="s">
        <v>184</v>
      </c>
      <c r="E1894" s="16" t="s">
        <v>192</v>
      </c>
      <c r="F1894" s="16" t="s">
        <v>291</v>
      </c>
      <c r="G1894" s="16" t="s">
        <v>329</v>
      </c>
      <c r="H1894" s="16" t="s">
        <v>447</v>
      </c>
    </row>
    <row r="1895" ht="330.75" customHeight="1">
      <c r="A1895" s="32" t="str">
        <f>IMAGE("https://gymvisual.com/17142-catalog_default/band-bent-over-row-male.jpg",4,500,500)</f>
        <v/>
      </c>
      <c r="B1895" s="30">
        <v>112.0</v>
      </c>
      <c r="C1895" s="16" t="s">
        <v>446</v>
      </c>
      <c r="D1895" s="16" t="s">
        <v>184</v>
      </c>
      <c r="E1895" s="16" t="s">
        <v>192</v>
      </c>
      <c r="F1895" s="16" t="s">
        <v>291</v>
      </c>
      <c r="G1895" s="16" t="s">
        <v>329</v>
      </c>
      <c r="H1895" s="16" t="s">
        <v>447</v>
      </c>
    </row>
    <row r="1896" ht="330.75" customHeight="1">
      <c r="A1896" s="32" t="str">
        <f>IMAGE("https://gymvisual.com/22596-catalog_default/band-bent-over-lat-pulldown.jpg",4,500,500)</f>
        <v/>
      </c>
      <c r="B1896" s="30">
        <v>111.0</v>
      </c>
      <c r="C1896" s="16" t="s">
        <v>444</v>
      </c>
      <c r="D1896" s="16" t="s">
        <v>184</v>
      </c>
      <c r="E1896" s="16" t="s">
        <v>192</v>
      </c>
      <c r="F1896" s="16" t="s">
        <v>291</v>
      </c>
      <c r="G1896" s="16" t="s">
        <v>300</v>
      </c>
      <c r="H1896" s="16" t="s">
        <v>445</v>
      </c>
    </row>
    <row r="1897" ht="330.75" customHeight="1">
      <c r="A1897" s="32" t="str">
        <f>IMAGE("https://gymvisual.com/5943-catalog_default/band-bench-press.jpg",4,500,500)</f>
        <v/>
      </c>
      <c r="B1897" s="30">
        <v>110.0</v>
      </c>
      <c r="C1897" s="16" t="s">
        <v>443</v>
      </c>
      <c r="D1897" s="16" t="s">
        <v>184</v>
      </c>
      <c r="E1897" s="16" t="s">
        <v>234</v>
      </c>
      <c r="F1897" s="16" t="s">
        <v>291</v>
      </c>
      <c r="G1897" s="16" t="s">
        <v>235</v>
      </c>
      <c r="H1897" s="16" t="s">
        <v>243</v>
      </c>
    </row>
    <row r="1898" ht="330.75" customHeight="1">
      <c r="A1898" s="32" t="str">
        <f>IMAGE("https://gymvisual.com/6729-catalog_default/band-behind-neck-shoulder-press.jpg",4,500,500)</f>
        <v/>
      </c>
      <c r="B1898" s="30">
        <v>109.0</v>
      </c>
      <c r="C1898" s="16" t="s">
        <v>441</v>
      </c>
      <c r="D1898" s="16" t="s">
        <v>184</v>
      </c>
      <c r="E1898" s="16" t="s">
        <v>228</v>
      </c>
      <c r="F1898" s="16" t="s">
        <v>291</v>
      </c>
      <c r="G1898" s="16" t="s">
        <v>229</v>
      </c>
      <c r="H1898" s="16" t="s">
        <v>442</v>
      </c>
    </row>
    <row r="1899" ht="330.75" customHeight="1">
      <c r="A1899" s="32" t="str">
        <f>IMAGE("https://gymvisual.com/2782-catalog_default/band-back-extension.jpg",4,500,500)</f>
        <v/>
      </c>
      <c r="B1899" s="30">
        <v>108.0</v>
      </c>
      <c r="C1899" s="16" t="s">
        <v>440</v>
      </c>
      <c r="D1899" s="16" t="s">
        <v>184</v>
      </c>
      <c r="E1899" s="16" t="s">
        <v>192</v>
      </c>
      <c r="F1899" s="16" t="s">
        <v>291</v>
      </c>
      <c r="G1899" s="16" t="s">
        <v>275</v>
      </c>
      <c r="H1899" s="16" t="s">
        <v>220</v>
      </c>
    </row>
    <row r="1900" ht="330.75" customHeight="1">
      <c r="A1900" s="32" t="str">
        <f>IMAGE("https://gymvisual.com/11477-catalog_default/band-assisted-wheel-rollout-female.jpg",4,500,500)</f>
        <v/>
      </c>
      <c r="B1900" s="30">
        <v>107.0</v>
      </c>
      <c r="C1900" s="16" t="s">
        <v>438</v>
      </c>
      <c r="D1900" s="16" t="s">
        <v>184</v>
      </c>
      <c r="E1900" s="16" t="s">
        <v>254</v>
      </c>
      <c r="F1900" s="16" t="s">
        <v>439</v>
      </c>
      <c r="G1900" s="16" t="s">
        <v>220</v>
      </c>
      <c r="H1900" s="16" t="s">
        <v>220</v>
      </c>
    </row>
    <row r="1901" ht="330.75" customHeight="1">
      <c r="A1901" s="32" t="str">
        <f>IMAGE("https://gymvisual.com/2862-catalog_default/band-assisted-wheel-rollout.jpg",4,500,500)</f>
        <v/>
      </c>
      <c r="B1901" s="30">
        <v>106.0</v>
      </c>
      <c r="C1901" s="16" t="s">
        <v>436</v>
      </c>
      <c r="D1901" s="16" t="s">
        <v>184</v>
      </c>
      <c r="E1901" s="16" t="s">
        <v>254</v>
      </c>
      <c r="F1901" s="16" t="s">
        <v>291</v>
      </c>
      <c r="G1901" s="16" t="s">
        <v>271</v>
      </c>
      <c r="H1901" s="16" t="s">
        <v>437</v>
      </c>
    </row>
    <row r="1902" ht="330.75" customHeight="1">
      <c r="A1902" s="32" t="str">
        <f>IMAGE("https://gymvisual.com/12351-catalog_default/band-assisted-pull-up-version-3.jpg",4,500,500)</f>
        <v/>
      </c>
      <c r="B1902" s="30">
        <v>105.0</v>
      </c>
      <c r="C1902" s="16" t="s">
        <v>435</v>
      </c>
      <c r="D1902" s="16" t="s">
        <v>184</v>
      </c>
      <c r="E1902" s="16" t="s">
        <v>192</v>
      </c>
      <c r="F1902" s="16" t="s">
        <v>291</v>
      </c>
      <c r="G1902" s="16" t="s">
        <v>300</v>
      </c>
      <c r="H1902" s="16" t="s">
        <v>434</v>
      </c>
    </row>
    <row r="1903" ht="330.75" customHeight="1">
      <c r="A1903" s="32" t="str">
        <f>IMAGE("https://gymvisual.com/2861-catalog_default/band-assisted-pull-up.jpg",4,500,500)</f>
        <v/>
      </c>
      <c r="B1903" s="30">
        <v>104.0</v>
      </c>
      <c r="C1903" s="16" t="s">
        <v>433</v>
      </c>
      <c r="D1903" s="16" t="s">
        <v>184</v>
      </c>
      <c r="E1903" s="16" t="s">
        <v>192</v>
      </c>
      <c r="F1903" s="16" t="s">
        <v>291</v>
      </c>
      <c r="G1903" s="16" t="s">
        <v>300</v>
      </c>
      <c r="H1903" s="16" t="s">
        <v>434</v>
      </c>
    </row>
    <row r="1904" ht="330.75" customHeight="1">
      <c r="A1904" s="32" t="str">
        <f>IMAGE("https://gymvisual.com/17081-catalog_default/band-assisted-pull-up-version-3-female.jpg",4,500,500)</f>
        <v/>
      </c>
      <c r="B1904" s="30">
        <v>103.0</v>
      </c>
      <c r="C1904" s="16" t="s">
        <v>432</v>
      </c>
      <c r="D1904" s="16" t="s">
        <v>184</v>
      </c>
      <c r="E1904" s="16" t="s">
        <v>192</v>
      </c>
      <c r="F1904" s="16" t="s">
        <v>291</v>
      </c>
      <c r="G1904" s="16" t="s">
        <v>329</v>
      </c>
      <c r="H1904" s="16" t="s">
        <v>357</v>
      </c>
    </row>
    <row r="1905" ht="330.75" customHeight="1">
      <c r="A1905" s="32" t="str">
        <f>IMAGE("https://gymvisual.com/25653-catalog_default/band-assisted-muscle-up.jpg",4,500,500)</f>
        <v/>
      </c>
      <c r="B1905" s="30">
        <v>102.0</v>
      </c>
      <c r="C1905" s="16" t="s">
        <v>431</v>
      </c>
      <c r="D1905" s="16" t="s">
        <v>184</v>
      </c>
      <c r="E1905" s="16" t="s">
        <v>192</v>
      </c>
      <c r="F1905" s="16" t="s">
        <v>291</v>
      </c>
      <c r="G1905" s="16" t="s">
        <v>220</v>
      </c>
      <c r="H1905" s="16" t="s">
        <v>220</v>
      </c>
    </row>
    <row r="1906" ht="330.75" customHeight="1">
      <c r="A1906" s="32" t="str">
        <f>IMAGE("https://gymvisual.com/22520-catalog_default/band-assisted-floor-glute-ham-raise.jpg",4,500,500)</f>
        <v/>
      </c>
      <c r="B1906" s="30">
        <v>101.0</v>
      </c>
      <c r="C1906" s="16" t="s">
        <v>430</v>
      </c>
      <c r="D1906" s="16" t="s">
        <v>184</v>
      </c>
      <c r="E1906" s="16" t="s">
        <v>285</v>
      </c>
      <c r="F1906" s="16" t="s">
        <v>291</v>
      </c>
      <c r="G1906" s="16" t="s">
        <v>220</v>
      </c>
      <c r="H1906" s="16" t="s">
        <v>220</v>
      </c>
    </row>
    <row r="1907" ht="330.75" customHeight="1">
      <c r="A1907" s="32" t="str">
        <f>IMAGE("https://gymvisual.com/22191-catalog_default/band-assisted-dip-version-2.jpg",4,500,500)</f>
        <v/>
      </c>
      <c r="B1907" s="30">
        <v>100.0</v>
      </c>
      <c r="C1907" s="16" t="s">
        <v>429</v>
      </c>
      <c r="D1907" s="16" t="s">
        <v>184</v>
      </c>
      <c r="E1907" s="16" t="s">
        <v>219</v>
      </c>
      <c r="F1907" s="16" t="s">
        <v>291</v>
      </c>
      <c r="G1907" s="16" t="s">
        <v>220</v>
      </c>
      <c r="H1907" s="16" t="s">
        <v>220</v>
      </c>
    </row>
    <row r="1908" ht="330.75" customHeight="1">
      <c r="A1908" s="32" t="str">
        <f>IMAGE("https://gymvisual.com/18045-catalog_default/band-assisted-dip.jpg",4,500,500)</f>
        <v/>
      </c>
      <c r="B1908" s="30">
        <v>99.0</v>
      </c>
      <c r="C1908" s="16" t="s">
        <v>428</v>
      </c>
      <c r="D1908" s="16" t="s">
        <v>184</v>
      </c>
      <c r="E1908" s="16" t="s">
        <v>192</v>
      </c>
      <c r="F1908" s="16" t="s">
        <v>291</v>
      </c>
      <c r="G1908" s="16" t="s">
        <v>223</v>
      </c>
      <c r="H1908" s="16" t="s">
        <v>394</v>
      </c>
    </row>
    <row r="1909" ht="330.75" customHeight="1">
      <c r="A1909" s="32" t="str">
        <f>IMAGE("https://gymvisual.com/18047-catalog_default/band-assisted-chin-up-from-knee.jpg",4,500,500)</f>
        <v/>
      </c>
      <c r="B1909" s="30">
        <v>98.0</v>
      </c>
      <c r="C1909" s="16" t="s">
        <v>427</v>
      </c>
      <c r="D1909" s="16" t="s">
        <v>184</v>
      </c>
      <c r="E1909" s="16" t="s">
        <v>192</v>
      </c>
      <c r="F1909" s="16" t="s">
        <v>291</v>
      </c>
      <c r="G1909" s="16" t="s">
        <v>329</v>
      </c>
      <c r="H1909" s="16" t="s">
        <v>357</v>
      </c>
    </row>
    <row r="1910" ht="330.75" customHeight="1">
      <c r="A1910" s="32" t="str">
        <f>IMAGE("https://gymvisual.com/20696-catalog_default/band-assisted-chin-up-female.jpg",4,500,500)</f>
        <v/>
      </c>
      <c r="B1910" s="30">
        <v>97.0</v>
      </c>
      <c r="C1910" s="16" t="s">
        <v>426</v>
      </c>
      <c r="D1910" s="16" t="s">
        <v>184</v>
      </c>
      <c r="E1910" s="16" t="s">
        <v>192</v>
      </c>
      <c r="F1910" s="16" t="s">
        <v>291</v>
      </c>
      <c r="G1910" s="16" t="s">
        <v>329</v>
      </c>
      <c r="H1910" s="16" t="s">
        <v>357</v>
      </c>
    </row>
    <row r="1911" ht="330.75" customHeight="1">
      <c r="A1911" s="32" t="str">
        <f>IMAGE("https://gymvisual.com/2860-catalog_default/band-alternating-v-up.jpg",4,500,500)</f>
        <v/>
      </c>
      <c r="B1911" s="30">
        <v>96.0</v>
      </c>
      <c r="C1911" s="16" t="s">
        <v>423</v>
      </c>
      <c r="D1911" s="16" t="s">
        <v>184</v>
      </c>
      <c r="E1911" s="16" t="s">
        <v>254</v>
      </c>
      <c r="F1911" s="16" t="s">
        <v>291</v>
      </c>
      <c r="G1911" s="16" t="s">
        <v>424</v>
      </c>
      <c r="H1911" s="16" t="s">
        <v>425</v>
      </c>
    </row>
    <row r="1912" ht="330.75" customHeight="1">
      <c r="A1912" s="32" t="str">
        <f>IMAGE("https://gymvisual.com/19351-catalog_default/band-alternating-biceps-curl.jpg",4,500,500)</f>
        <v/>
      </c>
      <c r="B1912" s="30">
        <v>95.0</v>
      </c>
      <c r="C1912" s="16" t="s">
        <v>422</v>
      </c>
      <c r="D1912" s="16" t="s">
        <v>184</v>
      </c>
      <c r="E1912" s="16" t="s">
        <v>219</v>
      </c>
      <c r="F1912" s="16" t="s">
        <v>291</v>
      </c>
      <c r="G1912" s="16" t="s">
        <v>241</v>
      </c>
      <c r="H1912" s="16" t="s">
        <v>292</v>
      </c>
    </row>
    <row r="1913" ht="330.75" customHeight="1">
      <c r="A1913" s="32" t="str">
        <f>IMAGE("https://gymvisual.com/13254-catalog_default/band-alternate-low-row-wtih-twist.jpg",4,500,500)</f>
        <v/>
      </c>
      <c r="B1913" s="30">
        <v>94.0</v>
      </c>
      <c r="C1913" s="16" t="s">
        <v>421</v>
      </c>
      <c r="D1913" s="16" t="s">
        <v>184</v>
      </c>
      <c r="E1913" s="16" t="s">
        <v>192</v>
      </c>
      <c r="F1913" s="16" t="s">
        <v>291</v>
      </c>
      <c r="G1913" s="16" t="s">
        <v>329</v>
      </c>
      <c r="H1913" s="16" t="s">
        <v>330</v>
      </c>
    </row>
    <row r="1914" ht="330.75" customHeight="1">
      <c r="A1914" s="32" t="str">
        <f>IMAGE("https://gymvisual.com/22744-catalog_default/band-alternate-low-chest-fly-male.jpg",4,500,500)</f>
        <v/>
      </c>
      <c r="B1914" s="30">
        <v>93.0</v>
      </c>
      <c r="C1914" s="16" t="s">
        <v>419</v>
      </c>
      <c r="D1914" s="16" t="s">
        <v>184</v>
      </c>
      <c r="E1914" s="16" t="s">
        <v>234</v>
      </c>
      <c r="F1914" s="16" t="s">
        <v>291</v>
      </c>
      <c r="G1914" s="16" t="s">
        <v>347</v>
      </c>
      <c r="H1914" s="16" t="s">
        <v>420</v>
      </c>
    </row>
    <row r="1915" ht="330.75" customHeight="1">
      <c r="A1915" s="32" t="str">
        <f>IMAGE("https://gymvisual.com/13256-catalog_default/band-alternate-lat-pulldown-with-twist.jpg",4,500,500)</f>
        <v/>
      </c>
      <c r="B1915" s="30">
        <v>92.0</v>
      </c>
      <c r="C1915" s="16" t="s">
        <v>417</v>
      </c>
      <c r="D1915" s="16" t="s">
        <v>184</v>
      </c>
      <c r="E1915" s="16" t="s">
        <v>192</v>
      </c>
      <c r="F1915" s="16" t="s">
        <v>291</v>
      </c>
      <c r="G1915" s="16" t="s">
        <v>300</v>
      </c>
      <c r="H1915" s="16" t="s">
        <v>418</v>
      </c>
    </row>
    <row r="1916" ht="330.75" customHeight="1">
      <c r="A1916" s="32" t="str">
        <f>IMAGE("https://gymvisual.com/13252-catalog_default/band-alternate-incline-chest-press-with-twist.jpg",4,500,500)</f>
        <v/>
      </c>
      <c r="B1916" s="30">
        <v>91.0</v>
      </c>
      <c r="C1916" s="16" t="s">
        <v>414</v>
      </c>
      <c r="D1916" s="16" t="s">
        <v>184</v>
      </c>
      <c r="E1916" s="16" t="s">
        <v>234</v>
      </c>
      <c r="F1916" s="16" t="s">
        <v>291</v>
      </c>
      <c r="G1916" s="16" t="s">
        <v>415</v>
      </c>
      <c r="H1916" s="16" t="s">
        <v>416</v>
      </c>
    </row>
    <row r="1917" ht="330.75" customHeight="1">
      <c r="A1917" s="32" t="str">
        <f>IMAGE("https://gymvisual.com/22123-catalog_default/band-45-degrees-biceps-curl-male.jpg",4,500,500)</f>
        <v/>
      </c>
      <c r="B1917" s="30">
        <v>90.0</v>
      </c>
      <c r="C1917" s="16" t="s">
        <v>413</v>
      </c>
      <c r="D1917" s="16" t="s">
        <v>184</v>
      </c>
      <c r="E1917" s="16" t="s">
        <v>219</v>
      </c>
      <c r="F1917" s="16" t="s">
        <v>291</v>
      </c>
      <c r="G1917" s="16" t="s">
        <v>241</v>
      </c>
      <c r="H1917" s="16" t="s">
        <v>292</v>
      </c>
    </row>
    <row r="1918" ht="330.75" customHeight="1">
      <c r="A1918" s="32" t="str">
        <f>IMAGE("https://gymvisual.com/2571-catalog_default/ball-sit-up-on-stability-ball.jpg",4,500,500)</f>
        <v/>
      </c>
      <c r="B1918" s="30">
        <v>89.0</v>
      </c>
      <c r="C1918" s="16" t="s">
        <v>411</v>
      </c>
      <c r="D1918" s="16" t="s">
        <v>184</v>
      </c>
      <c r="E1918" s="16" t="s">
        <v>254</v>
      </c>
      <c r="F1918" s="16" t="s">
        <v>399</v>
      </c>
      <c r="G1918" s="16" t="s">
        <v>256</v>
      </c>
      <c r="H1918" s="16" t="s">
        <v>412</v>
      </c>
    </row>
    <row r="1919" ht="330.75" customHeight="1">
      <c r="A1919" s="32" t="str">
        <f>IMAGE("https://gymvisual.com/90-catalog_default/balance-board.jpg",4,500,500)</f>
        <v/>
      </c>
      <c r="B1919" s="30">
        <v>88.0</v>
      </c>
      <c r="C1919" s="16" t="s">
        <v>409</v>
      </c>
      <c r="D1919" s="16" t="s">
        <v>184</v>
      </c>
      <c r="E1919" s="16" t="s">
        <v>325</v>
      </c>
      <c r="F1919" s="16" t="s">
        <v>255</v>
      </c>
      <c r="G1919" s="16" t="s">
        <v>410</v>
      </c>
      <c r="H1919" s="16" t="s">
        <v>220</v>
      </c>
    </row>
    <row r="1920" ht="330.75" customHeight="1">
      <c r="A1920" s="32" t="str">
        <f>IMAGE("https://gymvisual.com/23643-catalog_default/backhand-raise-female.jpg",4,500,500)</f>
        <v/>
      </c>
      <c r="B1920" s="30">
        <v>87.0</v>
      </c>
      <c r="C1920" s="16" t="s">
        <v>406</v>
      </c>
      <c r="D1920" s="16" t="s">
        <v>184</v>
      </c>
      <c r="E1920" s="16" t="s">
        <v>192</v>
      </c>
      <c r="F1920" s="16" t="s">
        <v>255</v>
      </c>
      <c r="G1920" s="16" t="s">
        <v>407</v>
      </c>
      <c r="H1920" s="16" t="s">
        <v>408</v>
      </c>
    </row>
    <row r="1921" ht="330.75" customHeight="1">
      <c r="A1921" s="32" t="str">
        <f>IMAGE("https://gymvisual.com/13531-catalog_default/back-lever.jpg",4,500,500)</f>
        <v/>
      </c>
      <c r="B1921" s="30">
        <v>86.0</v>
      </c>
      <c r="C1921" s="16" t="s">
        <v>403</v>
      </c>
      <c r="D1921" s="16" t="s">
        <v>184</v>
      </c>
      <c r="E1921" s="16" t="s">
        <v>192</v>
      </c>
      <c r="F1921" s="16" t="s">
        <v>255</v>
      </c>
      <c r="G1921" s="16" t="s">
        <v>404</v>
      </c>
      <c r="H1921" s="16" t="s">
        <v>405</v>
      </c>
    </row>
    <row r="1922" ht="330.75" customHeight="1">
      <c r="A1922" s="32" t="str">
        <f>IMAGE("https://gymvisual.com/14020-catalog_default/back-forward-leg-swings-male.jpg",4,500,500)</f>
        <v/>
      </c>
      <c r="B1922" s="30">
        <v>85.0</v>
      </c>
      <c r="C1922" s="16" t="s">
        <v>402</v>
      </c>
      <c r="D1922" s="16" t="s">
        <v>184</v>
      </c>
      <c r="E1922" s="16" t="s">
        <v>185</v>
      </c>
      <c r="F1922" s="16" t="s">
        <v>255</v>
      </c>
      <c r="G1922" s="16" t="s">
        <v>401</v>
      </c>
      <c r="H1922" s="16" t="s">
        <v>220</v>
      </c>
    </row>
    <row r="1923" ht="330.75" customHeight="1">
      <c r="A1923" s="32" t="str">
        <f>IMAGE("https://gymvisual.com/11273-catalog_default/back-forward-leg-swings-female.jpg",4,500,500)</f>
        <v/>
      </c>
      <c r="B1923" s="30">
        <v>84.0</v>
      </c>
      <c r="C1923" s="16" t="s">
        <v>400</v>
      </c>
      <c r="D1923" s="16" t="s">
        <v>184</v>
      </c>
      <c r="E1923" s="16" t="s">
        <v>185</v>
      </c>
      <c r="F1923" s="16" t="s">
        <v>255</v>
      </c>
      <c r="G1923" s="16" t="s">
        <v>401</v>
      </c>
      <c r="H1923" s="16" t="s">
        <v>188</v>
      </c>
    </row>
    <row r="1924" ht="330.75" customHeight="1">
      <c r="A1924" s="32" t="str">
        <f>IMAGE("https://gymvisual.com/6005-catalog_default/back-extension-on-exercise-ball.jpg",4,500,500)</f>
        <v/>
      </c>
      <c r="B1924" s="30">
        <v>83.0</v>
      </c>
      <c r="C1924" s="16" t="s">
        <v>398</v>
      </c>
      <c r="D1924" s="16" t="s">
        <v>184</v>
      </c>
      <c r="E1924" s="16" t="s">
        <v>192</v>
      </c>
      <c r="F1924" s="16" t="s">
        <v>399</v>
      </c>
      <c r="G1924" s="16" t="s">
        <v>275</v>
      </c>
      <c r="H1924" s="16" t="s">
        <v>220</v>
      </c>
    </row>
    <row r="1925" ht="330.75" customHeight="1">
      <c r="A1925" s="32" t="str">
        <f>IMAGE("https://gymvisual.com/10242-catalog_default/assisted-wide-grip-chest-dip-kneeling.jpg",4,500,500)</f>
        <v/>
      </c>
      <c r="B1925" s="30">
        <v>82.0</v>
      </c>
      <c r="C1925" s="16" t="s">
        <v>397</v>
      </c>
      <c r="D1925" s="16" t="s">
        <v>184</v>
      </c>
      <c r="E1925" s="16" t="s">
        <v>234</v>
      </c>
      <c r="F1925" s="16" t="s">
        <v>346</v>
      </c>
      <c r="G1925" s="16" t="s">
        <v>235</v>
      </c>
      <c r="H1925" s="16" t="s">
        <v>243</v>
      </c>
    </row>
    <row r="1926" ht="330.75" customHeight="1">
      <c r="A1926" s="32" t="str">
        <f>IMAGE("https://gymvisual.com/4416-catalog_default/assisted-weighted-push-up.jpg",4,500,500)</f>
        <v/>
      </c>
      <c r="B1926" s="30">
        <v>81.0</v>
      </c>
      <c r="C1926" s="16" t="s">
        <v>395</v>
      </c>
      <c r="D1926" s="16" t="s">
        <v>184</v>
      </c>
      <c r="E1926" s="16" t="s">
        <v>234</v>
      </c>
      <c r="F1926" s="16" t="s">
        <v>396</v>
      </c>
      <c r="G1926" s="16" t="s">
        <v>347</v>
      </c>
      <c r="H1926" s="16" t="s">
        <v>382</v>
      </c>
    </row>
    <row r="1927" ht="330.75" customHeight="1">
      <c r="A1927" s="32" t="str">
        <f>IMAGE("https://gymvisual.com/11279-catalog_default/assisted-triceps-dip-kneeling-female.jpg",4,500,500)</f>
        <v/>
      </c>
      <c r="B1927" s="30">
        <v>80.0</v>
      </c>
      <c r="C1927" s="16" t="s">
        <v>393</v>
      </c>
      <c r="D1927" s="16" t="s">
        <v>184</v>
      </c>
      <c r="E1927" s="16" t="s">
        <v>219</v>
      </c>
      <c r="F1927" s="16" t="s">
        <v>346</v>
      </c>
      <c r="G1927" s="16" t="s">
        <v>223</v>
      </c>
      <c r="H1927" s="16" t="s">
        <v>394</v>
      </c>
    </row>
    <row r="1928" ht="330.75" customHeight="1">
      <c r="A1928" s="32" t="str">
        <f>IMAGE("https://gymvisual.com/87-catalog_default/assisted-triceps-dip-kneeling.jpg",4,500,500)</f>
        <v/>
      </c>
      <c r="B1928" s="30">
        <v>79.0</v>
      </c>
      <c r="C1928" s="16" t="s">
        <v>391</v>
      </c>
      <c r="D1928" s="16" t="s">
        <v>184</v>
      </c>
      <c r="E1928" s="16" t="s">
        <v>219</v>
      </c>
      <c r="F1928" s="16" t="s">
        <v>346</v>
      </c>
      <c r="G1928" s="16" t="s">
        <v>223</v>
      </c>
      <c r="H1928" s="16" t="s">
        <v>392</v>
      </c>
    </row>
    <row r="1929" ht="330.75" customHeight="1">
      <c r="A1929" s="32" t="str">
        <f>IMAGE("https://gymvisual.com/84-catalog_default/assisted-standing-triceps-extension-with-towel.jpg",4,500,500)</f>
        <v/>
      </c>
      <c r="B1929" s="30">
        <v>78.0</v>
      </c>
      <c r="C1929" s="16" t="s">
        <v>390</v>
      </c>
      <c r="D1929" s="16" t="s">
        <v>184</v>
      </c>
      <c r="E1929" s="16" t="s">
        <v>219</v>
      </c>
      <c r="F1929" s="16" t="s">
        <v>352</v>
      </c>
      <c r="G1929" s="16" t="s">
        <v>223</v>
      </c>
      <c r="H1929" s="16" t="s">
        <v>220</v>
      </c>
    </row>
    <row r="1930" ht="330.75" customHeight="1">
      <c r="A1930" s="32" t="str">
        <f>IMAGE("https://gymvisual.com/2926-catalog_default/assisted-standing-triceps-dip.jpg",4,500,500)</f>
        <v/>
      </c>
      <c r="B1930" s="30">
        <v>77.0</v>
      </c>
      <c r="C1930" s="16" t="s">
        <v>388</v>
      </c>
      <c r="D1930" s="16" t="s">
        <v>184</v>
      </c>
      <c r="E1930" s="16" t="s">
        <v>219</v>
      </c>
      <c r="F1930" s="16" t="s">
        <v>346</v>
      </c>
      <c r="G1930" s="16" t="s">
        <v>347</v>
      </c>
      <c r="H1930" s="16" t="s">
        <v>389</v>
      </c>
    </row>
    <row r="1931" ht="330.75" customHeight="1">
      <c r="A1931" s="32" t="str">
        <f>IMAGE("https://gymvisual.com/6440-catalog_default/assisted-standing-pull-up.jpg",4,500,500)</f>
        <v/>
      </c>
      <c r="B1931" s="30">
        <v>76.0</v>
      </c>
      <c r="C1931" s="16" t="s">
        <v>386</v>
      </c>
      <c r="D1931" s="16" t="s">
        <v>184</v>
      </c>
      <c r="E1931" s="16" t="s">
        <v>192</v>
      </c>
      <c r="F1931" s="16" t="s">
        <v>346</v>
      </c>
      <c r="G1931" s="16" t="s">
        <v>300</v>
      </c>
      <c r="H1931" s="16" t="s">
        <v>387</v>
      </c>
    </row>
    <row r="1932" ht="330.75" customHeight="1">
      <c r="A1932" s="32" t="str">
        <f>IMAGE("https://gymvisual.com/6438-catalog_default/assisted-standing-chin-up.jpg",4,500,500)</f>
        <v/>
      </c>
      <c r="B1932" s="30">
        <v>75.0</v>
      </c>
      <c r="C1932" s="16" t="s">
        <v>384</v>
      </c>
      <c r="D1932" s="16" t="s">
        <v>184</v>
      </c>
      <c r="E1932" s="16" t="s">
        <v>192</v>
      </c>
      <c r="F1932" s="16" t="s">
        <v>346</v>
      </c>
      <c r="G1932" s="16" t="s">
        <v>300</v>
      </c>
      <c r="H1932" s="16" t="s">
        <v>385</v>
      </c>
    </row>
    <row r="1933" ht="330.75" customHeight="1">
      <c r="A1933" s="32" t="str">
        <f>IMAGE("https://gymvisual.com/7562-catalog_default/assisted-sit-up.jpg",4,500,500)</f>
        <v/>
      </c>
      <c r="B1933" s="30">
        <v>74.0</v>
      </c>
      <c r="C1933" s="16" t="s">
        <v>383</v>
      </c>
      <c r="D1933" s="16" t="s">
        <v>184</v>
      </c>
      <c r="E1933" s="16" t="s">
        <v>254</v>
      </c>
      <c r="F1933" s="16" t="s">
        <v>352</v>
      </c>
      <c r="G1933" s="16" t="s">
        <v>256</v>
      </c>
      <c r="H1933" s="16" t="s">
        <v>257</v>
      </c>
    </row>
    <row r="1934" ht="330.75" customHeight="1">
      <c r="A1934" s="32" t="str">
        <f>IMAGE("https://gymvisual.com/23502-catalog_default/assisted-single-leg-press.jpg",4,500,500)</f>
        <v/>
      </c>
      <c r="B1934" s="30">
        <v>73.0</v>
      </c>
      <c r="C1934" s="16" t="s">
        <v>381</v>
      </c>
      <c r="D1934" s="16" t="s">
        <v>184</v>
      </c>
      <c r="E1934" s="16" t="s">
        <v>285</v>
      </c>
      <c r="F1934" s="16" t="s">
        <v>346</v>
      </c>
      <c r="G1934" s="16" t="s">
        <v>347</v>
      </c>
      <c r="H1934" s="16" t="s">
        <v>382</v>
      </c>
    </row>
    <row r="1935" ht="330.75" customHeight="1">
      <c r="A1935" s="32" t="str">
        <f>IMAGE("https://gymvisual.com/81-catalog_default/assisted-pull-up.jpg",4,500,500)</f>
        <v/>
      </c>
      <c r="B1935" s="30">
        <v>72.0</v>
      </c>
      <c r="C1935" s="16" t="s">
        <v>379</v>
      </c>
      <c r="D1935" s="16" t="s">
        <v>184</v>
      </c>
      <c r="E1935" s="16" t="s">
        <v>192</v>
      </c>
      <c r="F1935" s="16" t="s">
        <v>346</v>
      </c>
      <c r="G1935" s="16" t="s">
        <v>300</v>
      </c>
      <c r="H1935" s="16" t="s">
        <v>380</v>
      </c>
    </row>
    <row r="1936" ht="330.75" customHeight="1">
      <c r="A1936" s="32" t="str">
        <f>IMAGE("https://gymvisual.com/11146-catalog_default/assisted-pull-up-female.jpg",4,500,500)</f>
        <v/>
      </c>
      <c r="B1936" s="30">
        <v>71.0</v>
      </c>
      <c r="C1936" s="16" t="s">
        <v>378</v>
      </c>
      <c r="D1936" s="16" t="s">
        <v>184</v>
      </c>
      <c r="E1936" s="16" t="s">
        <v>192</v>
      </c>
      <c r="F1936" s="16" t="s">
        <v>346</v>
      </c>
      <c r="G1936" s="16" t="s">
        <v>220</v>
      </c>
      <c r="H1936" s="16" t="s">
        <v>220</v>
      </c>
    </row>
    <row r="1937" ht="330.75" customHeight="1">
      <c r="A1937" s="32" t="str">
        <f>IMAGE("https://gymvisual.com/78-catalog_default/assisted-prone-hamstring.jpg",4,500,500)</f>
        <v/>
      </c>
      <c r="B1937" s="30">
        <v>70.0</v>
      </c>
      <c r="C1937" s="16" t="s">
        <v>377</v>
      </c>
      <c r="D1937" s="16" t="s">
        <v>184</v>
      </c>
      <c r="E1937" s="16" t="s">
        <v>285</v>
      </c>
      <c r="F1937" s="16" t="s">
        <v>352</v>
      </c>
      <c r="G1937" s="16" t="s">
        <v>188</v>
      </c>
      <c r="H1937" s="16" t="s">
        <v>220</v>
      </c>
    </row>
    <row r="1938" ht="330.75" customHeight="1">
      <c r="A1938" s="32" t="str">
        <f>IMAGE("https://gymvisual.com/16536-catalog_default/assisted-pistol-squat-with-bed-sheet.jpg",4,500,500)</f>
        <v/>
      </c>
      <c r="B1938" s="30">
        <v>69.0</v>
      </c>
      <c r="C1938" s="16" t="s">
        <v>376</v>
      </c>
      <c r="D1938" s="16" t="s">
        <v>184</v>
      </c>
      <c r="E1938" s="16" t="s">
        <v>285</v>
      </c>
      <c r="F1938" s="16" t="s">
        <v>255</v>
      </c>
      <c r="G1938" s="16" t="s">
        <v>189</v>
      </c>
      <c r="H1938" s="16" t="s">
        <v>190</v>
      </c>
    </row>
    <row r="1939" ht="330.75" customHeight="1">
      <c r="A1939" s="32" t="str">
        <f>IMAGE("https://gymvisual.com/75-catalog_default/assisted-parallel-close-grip-pull-up.jpg",4,500,500)</f>
        <v/>
      </c>
      <c r="B1939" s="30">
        <v>68.0</v>
      </c>
      <c r="C1939" s="16" t="s">
        <v>374</v>
      </c>
      <c r="D1939" s="16" t="s">
        <v>184</v>
      </c>
      <c r="E1939" s="16" t="s">
        <v>192</v>
      </c>
      <c r="F1939" s="16" t="s">
        <v>346</v>
      </c>
      <c r="G1939" s="16" t="s">
        <v>300</v>
      </c>
      <c r="H1939" s="16" t="s">
        <v>375</v>
      </c>
    </row>
    <row r="1940" ht="330.75" customHeight="1">
      <c r="A1940" s="32" t="str">
        <f>IMAGE("https://gymvisual.com/72-catalog_default/assisted-motion-russian-twist.jpg",4,500,500)</f>
        <v/>
      </c>
      <c r="B1940" s="30">
        <v>67.0</v>
      </c>
      <c r="C1940" s="16" t="s">
        <v>372</v>
      </c>
      <c r="D1940" s="16" t="s">
        <v>184</v>
      </c>
      <c r="E1940" s="16" t="s">
        <v>254</v>
      </c>
      <c r="F1940" s="16" t="s">
        <v>373</v>
      </c>
      <c r="G1940" s="16" t="s">
        <v>257</v>
      </c>
      <c r="H1940" s="16" t="s">
        <v>256</v>
      </c>
    </row>
    <row r="1941" ht="330.75" customHeight="1">
      <c r="A1941" s="32" t="str">
        <f>IMAGE("https://gymvisual.com/69-catalog_default/assisted-lying-leg-raise-with-throw-down.jpg",4,500,500)</f>
        <v/>
      </c>
      <c r="B1941" s="30">
        <v>66.0</v>
      </c>
      <c r="C1941" s="16" t="s">
        <v>370</v>
      </c>
      <c r="D1941" s="16" t="s">
        <v>184</v>
      </c>
      <c r="E1941" s="16" t="s">
        <v>254</v>
      </c>
      <c r="F1941" s="16" t="s">
        <v>352</v>
      </c>
      <c r="G1941" s="16" t="s">
        <v>256</v>
      </c>
      <c r="H1941" s="16" t="s">
        <v>371</v>
      </c>
    </row>
    <row r="1942" ht="330.75" customHeight="1">
      <c r="A1942" s="32" t="str">
        <f>IMAGE("https://gymvisual.com/14171-catalog_default/assisted-lying-leg-raise-with-lateral-throw-down.jpg",4,500,500)</f>
        <v/>
      </c>
      <c r="B1942" s="30">
        <v>65.0</v>
      </c>
      <c r="C1942" s="16" t="s">
        <v>369</v>
      </c>
      <c r="D1942" s="16" t="s">
        <v>184</v>
      </c>
      <c r="E1942" s="16" t="s">
        <v>254</v>
      </c>
      <c r="F1942" s="16" t="s">
        <v>352</v>
      </c>
      <c r="G1942" s="16" t="s">
        <v>260</v>
      </c>
      <c r="H1942" s="16" t="s">
        <v>366</v>
      </c>
    </row>
    <row r="1943" ht="330.75" customHeight="1">
      <c r="A1943" s="32" t="str">
        <f>IMAGE("https://gymvisual.com/13769-catalog_default/assisted-inverse-leg-curl.jpg",4,500,500)</f>
        <v/>
      </c>
      <c r="B1943" s="30">
        <v>64.0</v>
      </c>
      <c r="C1943" s="16" t="s">
        <v>367</v>
      </c>
      <c r="D1943" s="16" t="s">
        <v>184</v>
      </c>
      <c r="E1943" s="16" t="s">
        <v>285</v>
      </c>
      <c r="F1943" s="16" t="s">
        <v>352</v>
      </c>
      <c r="G1943" s="16" t="s">
        <v>188</v>
      </c>
      <c r="H1943" s="16" t="s">
        <v>368</v>
      </c>
    </row>
    <row r="1944" ht="330.75" customHeight="1">
      <c r="A1944" s="32" t="str">
        <f>IMAGE("https://gymvisual.com/60-catalog_default/assisted-hanging-knee-raise-with-throw-down.jpg",4,500,500)</f>
        <v/>
      </c>
      <c r="B1944" s="30">
        <v>63.0</v>
      </c>
      <c r="C1944" s="16" t="s">
        <v>365</v>
      </c>
      <c r="D1944" s="16" t="s">
        <v>184</v>
      </c>
      <c r="E1944" s="16" t="s">
        <v>254</v>
      </c>
      <c r="F1944" s="16" t="s">
        <v>352</v>
      </c>
      <c r="G1944" s="16" t="s">
        <v>305</v>
      </c>
      <c r="H1944" s="16" t="s">
        <v>366</v>
      </c>
    </row>
    <row r="1945" ht="330.75" customHeight="1">
      <c r="A1945" s="32" t="str">
        <f>IMAGE("https://gymvisual.com/63-catalog_default/assisted-hanging-knee-raise.jpg",4,500,500)</f>
        <v/>
      </c>
      <c r="B1945" s="30">
        <v>62.0</v>
      </c>
      <c r="C1945" s="16" t="s">
        <v>363</v>
      </c>
      <c r="D1945" s="16" t="s">
        <v>184</v>
      </c>
      <c r="E1945" s="16" t="s">
        <v>254</v>
      </c>
      <c r="F1945" s="16" t="s">
        <v>352</v>
      </c>
      <c r="G1945" s="16" t="s">
        <v>256</v>
      </c>
      <c r="H1945" s="16" t="s">
        <v>364</v>
      </c>
    </row>
    <row r="1946" ht="330.75" customHeight="1">
      <c r="A1946" s="32" t="str">
        <f>IMAGE("https://gymvisual.com/20501-catalog_default/assisted-commando-pull-up.jpg",4,500,500)</f>
        <v/>
      </c>
      <c r="B1946" s="30">
        <v>61.0</v>
      </c>
      <c r="C1946" s="16" t="s">
        <v>360</v>
      </c>
      <c r="D1946" s="16" t="s">
        <v>184</v>
      </c>
      <c r="E1946" s="16" t="s">
        <v>361</v>
      </c>
      <c r="F1946" s="16" t="s">
        <v>255</v>
      </c>
      <c r="G1946" s="16" t="s">
        <v>362</v>
      </c>
      <c r="H1946" s="16" t="s">
        <v>357</v>
      </c>
    </row>
    <row r="1947" ht="330.75" customHeight="1">
      <c r="A1947" s="32" t="str">
        <f>IMAGE("https://gymvisual.com/4593-catalog_default/assisted-close-grip-underhand-chin-up.jpg",4,500,500)</f>
        <v/>
      </c>
      <c r="B1947" s="30">
        <v>60.0</v>
      </c>
      <c r="C1947" s="16" t="s">
        <v>358</v>
      </c>
      <c r="D1947" s="16" t="s">
        <v>184</v>
      </c>
      <c r="E1947" s="16" t="s">
        <v>192</v>
      </c>
      <c r="F1947" s="16" t="s">
        <v>346</v>
      </c>
      <c r="G1947" s="16" t="s">
        <v>300</v>
      </c>
      <c r="H1947" s="16" t="s">
        <v>359</v>
      </c>
    </row>
    <row r="1948" ht="330.75" customHeight="1">
      <c r="A1948" s="32" t="str">
        <f>IMAGE("https://gymvisual.com/11188-catalog_default/assisted-close-grip-underhand-chin-up-female.jpg",4,500,500)</f>
        <v/>
      </c>
      <c r="B1948" s="30">
        <v>59.0</v>
      </c>
      <c r="C1948" s="16" t="s">
        <v>356</v>
      </c>
      <c r="D1948" s="16" t="s">
        <v>184</v>
      </c>
      <c r="E1948" s="16" t="s">
        <v>192</v>
      </c>
      <c r="F1948" s="16" t="s">
        <v>346</v>
      </c>
      <c r="G1948" s="16" t="s">
        <v>329</v>
      </c>
      <c r="H1948" s="16" t="s">
        <v>357</v>
      </c>
    </row>
    <row r="1949" ht="330.75" customHeight="1">
      <c r="A1949" s="32" t="str">
        <f>IMAGE("https://gymvisual.com/22494-catalog_default/assisted-chin-up-squat-position.jpg",4,500,500)</f>
        <v/>
      </c>
      <c r="B1949" s="30">
        <v>58.0</v>
      </c>
      <c r="C1949" s="16" t="s">
        <v>355</v>
      </c>
      <c r="D1949" s="16" t="s">
        <v>184</v>
      </c>
      <c r="E1949" s="16" t="s">
        <v>192</v>
      </c>
      <c r="F1949" s="16" t="s">
        <v>255</v>
      </c>
      <c r="G1949" s="16" t="s">
        <v>220</v>
      </c>
      <c r="H1949" s="16" t="s">
        <v>220</v>
      </c>
    </row>
    <row r="1950" ht="330.75" customHeight="1">
      <c r="A1950" s="32" t="str">
        <f>IMAGE("https://gymvisual.com/22189-catalog_default/assisted-chin-up-low-bar-position.jpg",4,500,500)</f>
        <v/>
      </c>
      <c r="B1950" s="30">
        <v>57.0</v>
      </c>
      <c r="C1950" s="16" t="s">
        <v>354</v>
      </c>
      <c r="D1950" s="16" t="s">
        <v>184</v>
      </c>
      <c r="E1950" s="16" t="s">
        <v>192</v>
      </c>
      <c r="F1950" s="16" t="s">
        <v>255</v>
      </c>
      <c r="G1950" s="16" t="s">
        <v>220</v>
      </c>
      <c r="H1950" s="16" t="s">
        <v>220</v>
      </c>
    </row>
    <row r="1951" ht="330.75" customHeight="1">
      <c r="A1951" s="32" t="str">
        <f>IMAGE("https://gymvisual.com/12558-catalog_default/assisted-chin-tuck-female.jpg",4,500,500)</f>
        <v/>
      </c>
      <c r="B1951" s="30">
        <v>56.0</v>
      </c>
      <c r="C1951" s="16" t="s">
        <v>353</v>
      </c>
      <c r="D1951" s="16" t="s">
        <v>184</v>
      </c>
      <c r="E1951" s="16" t="s">
        <v>351</v>
      </c>
      <c r="F1951" s="16" t="s">
        <v>255</v>
      </c>
      <c r="G1951" s="16" t="s">
        <v>220</v>
      </c>
      <c r="H1951" s="16" t="s">
        <v>220</v>
      </c>
    </row>
    <row r="1952" ht="330.75" customHeight="1">
      <c r="A1952" s="32" t="str">
        <f>IMAGE("https://gymvisual.com/12556-catalog_default/assisted-chin-tuck.jpg",4,500,500)</f>
        <v/>
      </c>
      <c r="B1952" s="30">
        <v>55.0</v>
      </c>
      <c r="C1952" s="16" t="s">
        <v>350</v>
      </c>
      <c r="D1952" s="16" t="s">
        <v>184</v>
      </c>
      <c r="E1952" s="16" t="s">
        <v>351</v>
      </c>
      <c r="F1952" s="16" t="s">
        <v>352</v>
      </c>
      <c r="G1952" s="16" t="s">
        <v>220</v>
      </c>
      <c r="H1952" s="16" t="s">
        <v>220</v>
      </c>
    </row>
    <row r="1953" ht="330.75" customHeight="1">
      <c r="A1953" s="32" t="str">
        <f>IMAGE("https://gymvisual.com/11143-catalog_default/assisted-chest-dip-kneeling-female.jpg",4,500,500)</f>
        <v/>
      </c>
      <c r="B1953" s="30">
        <v>54.0</v>
      </c>
      <c r="C1953" s="16" t="s">
        <v>349</v>
      </c>
      <c r="D1953" s="16" t="s">
        <v>184</v>
      </c>
      <c r="E1953" s="16" t="s">
        <v>234</v>
      </c>
      <c r="F1953" s="16" t="s">
        <v>346</v>
      </c>
      <c r="G1953" s="16" t="s">
        <v>220</v>
      </c>
      <c r="H1953" s="16" t="s">
        <v>220</v>
      </c>
    </row>
    <row r="1954" ht="330.75" customHeight="1">
      <c r="A1954" s="32" t="str">
        <f>IMAGE("https://gymvisual.com/57-catalog_default/assisted-chest-dip-kneeling.jpg",4,500,500)</f>
        <v/>
      </c>
      <c r="B1954" s="30">
        <v>53.0</v>
      </c>
      <c r="C1954" s="16" t="s">
        <v>345</v>
      </c>
      <c r="D1954" s="16" t="s">
        <v>184</v>
      </c>
      <c r="E1954" s="16" t="s">
        <v>234</v>
      </c>
      <c r="F1954" s="16" t="s">
        <v>346</v>
      </c>
      <c r="G1954" s="16" t="s">
        <v>347</v>
      </c>
      <c r="H1954" s="16" t="s">
        <v>348</v>
      </c>
    </row>
    <row r="1955" ht="330.75" customHeight="1">
      <c r="A1955" s="32" t="str">
        <f>IMAGE("https://gymvisual.com/19505-catalog_default/assisted-bulgarian-split-squat.jpg",4,500,500)</f>
        <v/>
      </c>
      <c r="B1955" s="30">
        <v>52.0</v>
      </c>
      <c r="C1955" s="16" t="s">
        <v>344</v>
      </c>
      <c r="D1955" s="16" t="s">
        <v>184</v>
      </c>
      <c r="E1955" s="16" t="s">
        <v>285</v>
      </c>
      <c r="F1955" s="16" t="s">
        <v>255</v>
      </c>
      <c r="G1955" s="16" t="s">
        <v>220</v>
      </c>
      <c r="H1955" s="16" t="s">
        <v>220</v>
      </c>
    </row>
    <row r="1956" ht="330.75" customHeight="1">
      <c r="A1956" s="32" t="str">
        <f>IMAGE("https://gymvisual.com/20688-catalog_default/around-the-world-superman-hold.jpg",4,500,500)</f>
        <v/>
      </c>
      <c r="B1956" s="30">
        <v>51.0</v>
      </c>
      <c r="C1956" s="16" t="s">
        <v>343</v>
      </c>
      <c r="D1956" s="16" t="s">
        <v>184</v>
      </c>
      <c r="E1956" s="16" t="s">
        <v>185</v>
      </c>
      <c r="F1956" s="16" t="s">
        <v>255</v>
      </c>
      <c r="G1956" s="16" t="s">
        <v>267</v>
      </c>
      <c r="H1956" s="16" t="s">
        <v>220</v>
      </c>
    </row>
    <row r="1957" ht="330.75" customHeight="1">
      <c r="A1957" s="32" t="str">
        <f>IMAGE("https://gymvisual.com/22488-catalog_default/around-the-world-superman.jpg",4,500,500)</f>
        <v/>
      </c>
      <c r="B1957" s="30">
        <v>50.0</v>
      </c>
      <c r="C1957" s="16" t="s">
        <v>342</v>
      </c>
      <c r="D1957" s="16" t="s">
        <v>184</v>
      </c>
      <c r="E1957" s="16" t="s">
        <v>185</v>
      </c>
      <c r="F1957" s="16" t="s">
        <v>255</v>
      </c>
      <c r="G1957" s="16" t="s">
        <v>220</v>
      </c>
      <c r="H1957" s="16" t="s">
        <v>220</v>
      </c>
    </row>
    <row r="1958" ht="330.75" customHeight="1">
      <c r="A1958" s="32" t="str">
        <f>IMAGE("https://gymvisual.com/10049-catalog_default/arm-slingers-hanging-straight-legs.jpg",4,500,500)</f>
        <v/>
      </c>
      <c r="B1958" s="30">
        <v>49.0</v>
      </c>
      <c r="C1958" s="16" t="s">
        <v>340</v>
      </c>
      <c r="D1958" s="16" t="s">
        <v>184</v>
      </c>
      <c r="E1958" s="16" t="s">
        <v>254</v>
      </c>
      <c r="F1958" s="16" t="s">
        <v>255</v>
      </c>
      <c r="G1958" s="16" t="s">
        <v>305</v>
      </c>
      <c r="H1958" s="16" t="s">
        <v>341</v>
      </c>
    </row>
    <row r="1959" ht="330.75" customHeight="1">
      <c r="A1959" s="32" t="str">
        <f>IMAGE("https://gymvisual.com/10217-catalog_default/arm-slingers-hanging-bent-knee-legs.jpg",4,500,500)</f>
        <v/>
      </c>
      <c r="B1959" s="30">
        <v>48.0</v>
      </c>
      <c r="C1959" s="16" t="s">
        <v>338</v>
      </c>
      <c r="D1959" s="16" t="s">
        <v>184</v>
      </c>
      <c r="E1959" s="16" t="s">
        <v>254</v>
      </c>
      <c r="F1959" s="16" t="s">
        <v>255</v>
      </c>
      <c r="G1959" s="16" t="s">
        <v>256</v>
      </c>
      <c r="H1959" s="16" t="s">
        <v>339</v>
      </c>
    </row>
    <row r="1960" ht="330.75" customHeight="1">
      <c r="A1960" s="32" t="str">
        <f>IMAGE("https://gymvisual.com/23939-catalog_default/arm-crossover-male.jpg",4,500,500)</f>
        <v/>
      </c>
      <c r="B1960" s="30">
        <v>47.0</v>
      </c>
      <c r="C1960" s="16" t="s">
        <v>337</v>
      </c>
      <c r="D1960" s="16" t="s">
        <v>184</v>
      </c>
      <c r="E1960" s="16" t="s">
        <v>234</v>
      </c>
      <c r="F1960" s="16" t="s">
        <v>255</v>
      </c>
      <c r="G1960" s="16" t="s">
        <v>235</v>
      </c>
      <c r="H1960" s="16" t="s">
        <v>336</v>
      </c>
    </row>
    <row r="1961" ht="330.75" customHeight="1">
      <c r="A1961" s="32" t="str">
        <f>IMAGE("https://gymvisual.com/23645-catalog_default/arm-crossover-female.jpg",4,500,500)</f>
        <v/>
      </c>
      <c r="B1961" s="30">
        <v>46.0</v>
      </c>
      <c r="C1961" s="16" t="s">
        <v>335</v>
      </c>
      <c r="D1961" s="16" t="s">
        <v>184</v>
      </c>
      <c r="E1961" s="16" t="s">
        <v>234</v>
      </c>
      <c r="F1961" s="16" t="s">
        <v>255</v>
      </c>
      <c r="G1961" s="16" t="s">
        <v>235</v>
      </c>
      <c r="H1961" s="16" t="s">
        <v>336</v>
      </c>
    </row>
    <row r="1962" ht="330.75" customHeight="1">
      <c r="A1962" s="32" t="str">
        <f>IMAGE("https://gymvisual.com/23569-catalog_default/arm-circles.jpg",4,500,500)</f>
        <v/>
      </c>
      <c r="B1962" s="30">
        <v>45.0</v>
      </c>
      <c r="C1962" s="16" t="s">
        <v>332</v>
      </c>
      <c r="D1962" s="16" t="s">
        <v>184</v>
      </c>
      <c r="E1962" s="16" t="s">
        <v>228</v>
      </c>
      <c r="F1962" s="16" t="s">
        <v>255</v>
      </c>
      <c r="G1962" s="16" t="s">
        <v>333</v>
      </c>
      <c r="H1962" s="16" t="s">
        <v>334</v>
      </c>
    </row>
    <row r="1963" ht="330.75" customHeight="1">
      <c r="A1963" s="32" t="str">
        <f>IMAGE("https://gymvisual.com/13525-catalog_default/archer-push-up.jpg",4,500,500)</f>
        <v/>
      </c>
      <c r="B1963" s="30">
        <v>44.0</v>
      </c>
      <c r="C1963" s="16" t="s">
        <v>331</v>
      </c>
      <c r="D1963" s="16" t="s">
        <v>184</v>
      </c>
      <c r="E1963" s="16" t="s">
        <v>234</v>
      </c>
      <c r="F1963" s="16" t="s">
        <v>255</v>
      </c>
      <c r="G1963" s="16" t="s">
        <v>235</v>
      </c>
      <c r="H1963" s="16" t="s">
        <v>243</v>
      </c>
    </row>
    <row r="1964" ht="330.75" customHeight="1">
      <c r="A1964" s="32" t="str">
        <f>IMAGE("https://gymvisual.com/13523-catalog_default/archer-pull-up.jpg",4,500,500)</f>
        <v/>
      </c>
      <c r="B1964" s="30">
        <v>43.0</v>
      </c>
      <c r="C1964" s="16" t="s">
        <v>328</v>
      </c>
      <c r="D1964" s="16" t="s">
        <v>184</v>
      </c>
      <c r="E1964" s="16" t="s">
        <v>192</v>
      </c>
      <c r="F1964" s="16" t="s">
        <v>255</v>
      </c>
      <c r="G1964" s="16" t="s">
        <v>329</v>
      </c>
      <c r="H1964" s="16" t="s">
        <v>330</v>
      </c>
    </row>
    <row r="1965" ht="330.75" customHeight="1">
      <c r="A1965" s="32" t="str">
        <f>IMAGE("https://gymvisual.com/22105-catalog_default/ankle-circles-female.jpg",4,500,500)</f>
        <v/>
      </c>
      <c r="B1965" s="30">
        <v>42.0</v>
      </c>
      <c r="C1965" s="16" t="s">
        <v>327</v>
      </c>
      <c r="D1965" s="16" t="s">
        <v>184</v>
      </c>
      <c r="E1965" s="16" t="s">
        <v>325</v>
      </c>
      <c r="F1965" s="16" t="s">
        <v>255</v>
      </c>
      <c r="G1965" s="16" t="s">
        <v>326</v>
      </c>
      <c r="H1965" s="16" t="s">
        <v>220</v>
      </c>
    </row>
    <row r="1966" ht="330.75" customHeight="1">
      <c r="A1966" s="32" t="str">
        <f>IMAGE("https://gymvisual.com/6063-catalog_default/ankle-circles.jpg",4,500,500)</f>
        <v/>
      </c>
      <c r="B1966" s="30">
        <v>41.0</v>
      </c>
      <c r="C1966" s="16" t="s">
        <v>324</v>
      </c>
      <c r="D1966" s="16" t="s">
        <v>184</v>
      </c>
      <c r="E1966" s="16" t="s">
        <v>325</v>
      </c>
      <c r="F1966" s="16" t="s">
        <v>255</v>
      </c>
      <c r="G1966" s="16" t="s">
        <v>326</v>
      </c>
      <c r="H1966" s="16" t="s">
        <v>220</v>
      </c>
    </row>
    <row r="1967" ht="330.75" customHeight="1">
      <c r="A1967" s="32" t="str">
        <f>IMAGE("https://gymvisual.com/22789-catalog_default/alternating-superman.jpg",4,500,500)</f>
        <v/>
      </c>
      <c r="B1967" s="30">
        <v>40.0</v>
      </c>
      <c r="C1967" s="16" t="s">
        <v>323</v>
      </c>
      <c r="D1967" s="16" t="s">
        <v>184</v>
      </c>
      <c r="E1967" s="16" t="s">
        <v>185</v>
      </c>
      <c r="F1967" s="16" t="s">
        <v>255</v>
      </c>
      <c r="G1967" s="16" t="s">
        <v>267</v>
      </c>
      <c r="H1967" s="16" t="s">
        <v>188</v>
      </c>
    </row>
    <row r="1968" ht="330.75" customHeight="1">
      <c r="A1968" s="32" t="str">
        <f>IMAGE("https://gymvisual.com/22187-catalog_default/alternating-superman.jpg",4,500,500)</f>
        <v/>
      </c>
      <c r="B1968" s="30">
        <v>39.0</v>
      </c>
      <c r="C1968" s="16" t="s">
        <v>323</v>
      </c>
      <c r="D1968" s="16" t="s">
        <v>184</v>
      </c>
      <c r="E1968" s="16" t="s">
        <v>185</v>
      </c>
      <c r="F1968" s="16" t="s">
        <v>255</v>
      </c>
      <c r="G1968" s="16" t="s">
        <v>220</v>
      </c>
      <c r="H1968" s="16" t="s">
        <v>220</v>
      </c>
    </row>
    <row r="1969" ht="330.75" customHeight="1">
      <c r="A1969" s="32" t="str">
        <f>IMAGE("https://gymvisual.com/23605-catalog_default/alternating-step-out.jpg",4,500,500)</f>
        <v/>
      </c>
      <c r="B1969" s="30">
        <v>38.0</v>
      </c>
      <c r="C1969" s="16" t="s">
        <v>322</v>
      </c>
      <c r="D1969" s="16" t="s">
        <v>184</v>
      </c>
      <c r="E1969" s="16" t="s">
        <v>321</v>
      </c>
      <c r="F1969" s="16" t="s">
        <v>255</v>
      </c>
      <c r="G1969" s="16" t="s">
        <v>220</v>
      </c>
      <c r="H1969" s="16" t="s">
        <v>220</v>
      </c>
    </row>
    <row r="1970" ht="330.75" customHeight="1">
      <c r="A1970" s="32" t="str">
        <f>IMAGE("https://gymvisual.com/23607-catalog_default/alternating-hamstring-curl-with-punche.jpg",4,500,500)</f>
        <v/>
      </c>
      <c r="B1970" s="30">
        <v>37.0</v>
      </c>
      <c r="C1970" s="16" t="s">
        <v>320</v>
      </c>
      <c r="D1970" s="16" t="s">
        <v>184</v>
      </c>
      <c r="E1970" s="16" t="s">
        <v>321</v>
      </c>
      <c r="F1970" s="16" t="s">
        <v>255</v>
      </c>
      <c r="G1970" s="16" t="s">
        <v>220</v>
      </c>
      <c r="H1970" s="16" t="s">
        <v>220</v>
      </c>
    </row>
    <row r="1971" ht="330.75" customHeight="1">
      <c r="A1971" s="32" t="str">
        <f>IMAGE("https://gymvisual.com/23907-catalog_default/alternate-toe-tap-leg-lift.jpg",4,500,500)</f>
        <v/>
      </c>
      <c r="B1971" s="30">
        <v>36.0</v>
      </c>
      <c r="C1971" s="16" t="s">
        <v>318</v>
      </c>
      <c r="D1971" s="16" t="s">
        <v>184</v>
      </c>
      <c r="E1971" s="16" t="s">
        <v>185</v>
      </c>
      <c r="F1971" s="16" t="s">
        <v>255</v>
      </c>
      <c r="G1971" s="16" t="s">
        <v>305</v>
      </c>
      <c r="H1971" s="16" t="s">
        <v>319</v>
      </c>
    </row>
    <row r="1972" ht="330.75" customHeight="1">
      <c r="A1972" s="32" t="str">
        <f>IMAGE("https://gymvisual.com/4458-catalog_default/alternate-straight-leg-raise-on-bosu-ball.jpg",4,500,500)</f>
        <v/>
      </c>
      <c r="B1972" s="30">
        <v>35.0</v>
      </c>
      <c r="C1972" s="16" t="s">
        <v>315</v>
      </c>
      <c r="D1972" s="16" t="s">
        <v>184</v>
      </c>
      <c r="E1972" s="16" t="s">
        <v>254</v>
      </c>
      <c r="F1972" s="16" t="s">
        <v>316</v>
      </c>
      <c r="G1972" s="16" t="s">
        <v>305</v>
      </c>
      <c r="H1972" s="16" t="s">
        <v>317</v>
      </c>
    </row>
    <row r="1973" ht="330.75" customHeight="1">
      <c r="A1973" s="32" t="str">
        <f>IMAGE("https://gymvisual.com/13976-catalog_default/alternate-sprinter-lunge.jpg",4,500,500)</f>
        <v/>
      </c>
      <c r="B1973" s="30">
        <v>34.0</v>
      </c>
      <c r="C1973" s="16" t="s">
        <v>313</v>
      </c>
      <c r="D1973" s="16" t="s">
        <v>184</v>
      </c>
      <c r="E1973" s="16" t="s">
        <v>294</v>
      </c>
      <c r="F1973" s="16" t="s">
        <v>255</v>
      </c>
      <c r="G1973" s="16" t="s">
        <v>189</v>
      </c>
      <c r="H1973" s="16" t="s">
        <v>314</v>
      </c>
    </row>
    <row r="1974" ht="330.75" customHeight="1">
      <c r="A1974" s="32" t="str">
        <f>IMAGE("https://gymvisual.com/18873-catalog_default/alternate-oblique-crunch.jpg",4,500,500)</f>
        <v/>
      </c>
      <c r="B1974" s="30">
        <v>33.0</v>
      </c>
      <c r="C1974" s="16" t="s">
        <v>312</v>
      </c>
      <c r="D1974" s="16" t="s">
        <v>184</v>
      </c>
      <c r="E1974" s="16" t="s">
        <v>254</v>
      </c>
      <c r="F1974" s="16" t="s">
        <v>255</v>
      </c>
      <c r="G1974" s="16" t="s">
        <v>257</v>
      </c>
      <c r="H1974" s="16" t="s">
        <v>256</v>
      </c>
    </row>
    <row r="1975" ht="330.75" customHeight="1">
      <c r="A1975" s="32" t="str">
        <f>IMAGE("https://gymvisual.com/14244-catalog_default/alternate-lying-floor-leg-raise-male.jpg",4,500,500)</f>
        <v/>
      </c>
      <c r="B1975" s="30">
        <v>32.0</v>
      </c>
      <c r="C1975" s="16" t="s">
        <v>309</v>
      </c>
      <c r="D1975" s="16" t="s">
        <v>184</v>
      </c>
      <c r="E1975" s="16" t="s">
        <v>310</v>
      </c>
      <c r="F1975" s="16" t="s">
        <v>255</v>
      </c>
      <c r="G1975" s="16" t="s">
        <v>305</v>
      </c>
      <c r="H1975" s="16" t="s">
        <v>311</v>
      </c>
    </row>
    <row r="1976" ht="330.75" customHeight="1">
      <c r="A1976" s="32" t="str">
        <f>IMAGE("https://gymvisual.com/54-catalog_default/alternate-lying-floor-leg-raise.jpg",4,500,500)</f>
        <v/>
      </c>
      <c r="B1976" s="30">
        <v>31.0</v>
      </c>
      <c r="C1976" s="16" t="s">
        <v>307</v>
      </c>
      <c r="D1976" s="16" t="s">
        <v>184</v>
      </c>
      <c r="E1976" s="16" t="s">
        <v>254</v>
      </c>
      <c r="F1976" s="16" t="s">
        <v>255</v>
      </c>
      <c r="G1976" s="16" t="s">
        <v>256</v>
      </c>
      <c r="H1976" s="16" t="s">
        <v>308</v>
      </c>
    </row>
    <row r="1977" ht="330.75" customHeight="1">
      <c r="A1977" s="32" t="str">
        <f>IMAGE("https://gymvisual.com/22732-catalog_default/alternate-leg-raise-with-head-up.jpg",4,500,500)</f>
        <v/>
      </c>
      <c r="B1977" s="30">
        <v>30.0</v>
      </c>
      <c r="C1977" s="16" t="s">
        <v>306</v>
      </c>
      <c r="D1977" s="16" t="s">
        <v>184</v>
      </c>
      <c r="E1977" s="16" t="s">
        <v>254</v>
      </c>
      <c r="F1977" s="16" t="s">
        <v>255</v>
      </c>
      <c r="G1977" s="16" t="s">
        <v>305</v>
      </c>
      <c r="H1977" s="16" t="s">
        <v>289</v>
      </c>
    </row>
    <row r="1978" ht="330.75" customHeight="1">
      <c r="A1978" s="32" t="str">
        <f>IMAGE("https://gymvisual.com/23673-catalog_default/alternate-leg-raise-male.jpg",4,500,500)</f>
        <v/>
      </c>
      <c r="B1978" s="30">
        <v>29.0</v>
      </c>
      <c r="C1978" s="16" t="s">
        <v>304</v>
      </c>
      <c r="D1978" s="16" t="s">
        <v>184</v>
      </c>
      <c r="E1978" s="16" t="s">
        <v>185</v>
      </c>
      <c r="F1978" s="16" t="s">
        <v>255</v>
      </c>
      <c r="G1978" s="16" t="s">
        <v>305</v>
      </c>
      <c r="H1978" s="16" t="s">
        <v>289</v>
      </c>
    </row>
    <row r="1979" ht="330.75" customHeight="1">
      <c r="A1979" s="32" t="str">
        <f>IMAGE("https://gymvisual.com/6962-catalog_default/alternate-leg-raise.jpg",4,500,500)</f>
        <v/>
      </c>
      <c r="B1979" s="30">
        <v>28.0</v>
      </c>
      <c r="C1979" s="16" t="s">
        <v>302</v>
      </c>
      <c r="D1979" s="16" t="s">
        <v>184</v>
      </c>
      <c r="E1979" s="16" t="s">
        <v>185</v>
      </c>
      <c r="F1979" s="16" t="s">
        <v>255</v>
      </c>
      <c r="G1979" s="16" t="s">
        <v>271</v>
      </c>
      <c r="H1979" s="16" t="s">
        <v>303</v>
      </c>
    </row>
    <row r="1980" ht="330.75" customHeight="1">
      <c r="A1980" s="32" t="str">
        <f>IMAGE("https://gymvisual.com/51-catalog_default/alternate-lateral-pulldown.jpg",4,500,500)</f>
        <v/>
      </c>
      <c r="B1980" s="30">
        <v>27.0</v>
      </c>
      <c r="C1980" s="16" t="s">
        <v>299</v>
      </c>
      <c r="D1980" s="16" t="s">
        <v>184</v>
      </c>
      <c r="E1980" s="16" t="s">
        <v>192</v>
      </c>
      <c r="F1980" s="16" t="s">
        <v>215</v>
      </c>
      <c r="G1980" s="16" t="s">
        <v>300</v>
      </c>
      <c r="H1980" s="16" t="s">
        <v>301</v>
      </c>
    </row>
    <row r="1981" ht="330.75" customHeight="1">
      <c r="A1981" s="32" t="str">
        <f>IMAGE("https://gymvisual.com/17697-catalog_default/alternate-heel-touchers-female.jpg",4,500,500)</f>
        <v/>
      </c>
      <c r="B1981" s="30">
        <v>26.0</v>
      </c>
      <c r="C1981" s="16" t="s">
        <v>298</v>
      </c>
      <c r="D1981" s="16" t="s">
        <v>184</v>
      </c>
      <c r="E1981" s="16" t="s">
        <v>254</v>
      </c>
      <c r="F1981" s="16" t="s">
        <v>255</v>
      </c>
      <c r="G1981" s="16" t="s">
        <v>257</v>
      </c>
      <c r="H1981" s="16" t="s">
        <v>220</v>
      </c>
    </row>
    <row r="1982" ht="330.75" customHeight="1">
      <c r="A1982" s="32" t="str">
        <f>IMAGE("https://gymvisual.com/14344-catalog_default/alternate-heel-touchers.jpg",4,500,500)</f>
        <v/>
      </c>
      <c r="B1982" s="30">
        <v>25.0</v>
      </c>
      <c r="C1982" s="16" t="s">
        <v>297</v>
      </c>
      <c r="D1982" s="16" t="s">
        <v>184</v>
      </c>
      <c r="E1982" s="16" t="s">
        <v>254</v>
      </c>
      <c r="F1982" s="16" t="s">
        <v>255</v>
      </c>
      <c r="G1982" s="16" t="s">
        <v>257</v>
      </c>
      <c r="H1982" s="16" t="s">
        <v>220</v>
      </c>
    </row>
    <row r="1983" ht="330.75" customHeight="1">
      <c r="A1983" s="32" t="str">
        <f>IMAGE("https://gymvisual.com/13974-catalog_default/alternate-heel-touch-side-kick-squat.jpg",4,500,500)</f>
        <v/>
      </c>
      <c r="B1983" s="30">
        <v>24.0</v>
      </c>
      <c r="C1983" s="16" t="s">
        <v>293</v>
      </c>
      <c r="D1983" s="16" t="s">
        <v>184</v>
      </c>
      <c r="E1983" s="16" t="s">
        <v>294</v>
      </c>
      <c r="F1983" s="16" t="s">
        <v>255</v>
      </c>
      <c r="G1983" s="16" t="s">
        <v>295</v>
      </c>
      <c r="H1983" s="16" t="s">
        <v>296</v>
      </c>
    </row>
    <row r="1984" ht="330.75" customHeight="1">
      <c r="A1984" s="32" t="str">
        <f>IMAGE("https://gymvisual.com/45-catalog_default/alternate-biceps-curl-with-band.jpg",4,500,500)</f>
        <v/>
      </c>
      <c r="B1984" s="30">
        <v>23.0</v>
      </c>
      <c r="C1984" s="16" t="s">
        <v>290</v>
      </c>
      <c r="D1984" s="16" t="s">
        <v>184</v>
      </c>
      <c r="E1984" s="16" t="s">
        <v>219</v>
      </c>
      <c r="F1984" s="16" t="s">
        <v>291</v>
      </c>
      <c r="G1984" s="16" t="s">
        <v>241</v>
      </c>
      <c r="H1984" s="16" t="s">
        <v>292</v>
      </c>
    </row>
    <row r="1985" ht="330.75" customHeight="1">
      <c r="A1985" s="32" t="str">
        <f>IMAGE("https://gymvisual.com/20515-catalog_default/air-twisting-crunch-male.jpg",4,500,500)</f>
        <v/>
      </c>
      <c r="B1985" s="30">
        <v>22.0</v>
      </c>
      <c r="C1985" s="16" t="s">
        <v>288</v>
      </c>
      <c r="D1985" s="16" t="s">
        <v>184</v>
      </c>
      <c r="E1985" s="16" t="s">
        <v>254</v>
      </c>
      <c r="F1985" s="16" t="s">
        <v>255</v>
      </c>
      <c r="G1985" s="16" t="s">
        <v>263</v>
      </c>
      <c r="H1985" s="16" t="s">
        <v>289</v>
      </c>
    </row>
    <row r="1986" ht="330.75" customHeight="1">
      <c r="A1986" s="32" t="str">
        <f>IMAGE("https://gymvisual.com/42-catalog_default/air-twisting-crunch.jpg",4,500,500)</f>
        <v/>
      </c>
      <c r="B1986" s="30">
        <v>21.0</v>
      </c>
      <c r="C1986" s="16" t="s">
        <v>287</v>
      </c>
      <c r="D1986" s="16" t="s">
        <v>184</v>
      </c>
      <c r="E1986" s="16" t="s">
        <v>254</v>
      </c>
      <c r="F1986" s="16" t="s">
        <v>255</v>
      </c>
      <c r="G1986" s="16" t="s">
        <v>257</v>
      </c>
      <c r="H1986" s="16" t="s">
        <v>282</v>
      </c>
    </row>
    <row r="1987" ht="330.75" customHeight="1">
      <c r="A1987" s="32" t="str">
        <f>IMAGE("https://gymvisual.com/22185-catalog_default/air-squat-version-2.jpg",4,500,500)</f>
        <v/>
      </c>
      <c r="B1987" s="30">
        <v>20.0</v>
      </c>
      <c r="C1987" s="16" t="s">
        <v>286</v>
      </c>
      <c r="D1987" s="16" t="s">
        <v>184</v>
      </c>
      <c r="E1987" s="16" t="s">
        <v>285</v>
      </c>
      <c r="F1987" s="16" t="s">
        <v>255</v>
      </c>
      <c r="G1987" s="16" t="s">
        <v>220</v>
      </c>
      <c r="H1987" s="16" t="s">
        <v>220</v>
      </c>
    </row>
    <row r="1988" ht="330.75" customHeight="1">
      <c r="A1988" s="32" t="str">
        <f>IMAGE("https://gymvisual.com/17785-catalog_default/air-squat-female.jpg",4,500,500)</f>
        <v/>
      </c>
      <c r="B1988" s="30">
        <v>19.0</v>
      </c>
      <c r="C1988" s="16" t="s">
        <v>284</v>
      </c>
      <c r="D1988" s="16" t="s">
        <v>184</v>
      </c>
      <c r="E1988" s="16" t="s">
        <v>285</v>
      </c>
      <c r="F1988" s="16" t="s">
        <v>255</v>
      </c>
      <c r="G1988" s="16" t="s">
        <v>220</v>
      </c>
      <c r="H1988" s="16" t="s">
        <v>220</v>
      </c>
    </row>
    <row r="1989" ht="330.75" customHeight="1">
      <c r="A1989" s="32" t="str">
        <f>IMAGE("https://gymvisual.com/20664-catalog_default/air-bike-version-2-female.jpg",4,500,500)</f>
        <v/>
      </c>
      <c r="B1989" s="30">
        <v>18.0</v>
      </c>
      <c r="C1989" s="16" t="s">
        <v>283</v>
      </c>
      <c r="D1989" s="16" t="s">
        <v>184</v>
      </c>
      <c r="E1989" s="16" t="s">
        <v>254</v>
      </c>
      <c r="F1989" s="16" t="s">
        <v>255</v>
      </c>
      <c r="G1989" s="16" t="s">
        <v>257</v>
      </c>
      <c r="H1989" s="16" t="s">
        <v>282</v>
      </c>
    </row>
    <row r="1990" ht="330.75" customHeight="1">
      <c r="A1990" s="32" t="str">
        <f>IMAGE("https://gymvisual.com/8815-catalog_default/air-bike.jpg",4,500,500)</f>
        <v/>
      </c>
      <c r="B1990" s="30">
        <v>17.0</v>
      </c>
      <c r="C1990" s="16" t="s">
        <v>281</v>
      </c>
      <c r="D1990" s="16" t="s">
        <v>184</v>
      </c>
      <c r="E1990" s="16" t="s">
        <v>254</v>
      </c>
      <c r="F1990" s="16" t="s">
        <v>255</v>
      </c>
      <c r="G1990" s="16" t="s">
        <v>257</v>
      </c>
      <c r="H1990" s="16" t="s">
        <v>282</v>
      </c>
    </row>
    <row r="1991" ht="330.75" customHeight="1">
      <c r="A1991" s="32" t="str">
        <f>IMAGE("https://gymvisual.com/18768-catalog_default/abdominal-4-points.jpg",4,500,500)</f>
        <v/>
      </c>
      <c r="B1991" s="30">
        <v>16.0</v>
      </c>
      <c r="C1991" s="16" t="s">
        <v>280</v>
      </c>
      <c r="D1991" s="16" t="s">
        <v>184</v>
      </c>
      <c r="E1991" s="16" t="s">
        <v>254</v>
      </c>
      <c r="F1991" s="16" t="s">
        <v>255</v>
      </c>
      <c r="G1991" s="16" t="s">
        <v>220</v>
      </c>
      <c r="H1991" s="16" t="s">
        <v>220</v>
      </c>
    </row>
    <row r="1992" ht="330.75" customHeight="1">
      <c r="A1992" s="32" t="str">
        <f>IMAGE("https://gymvisual.com/9694-catalog_default/ab-roller-crunch.jpg",4,500,500)</f>
        <v/>
      </c>
      <c r="B1992" s="30">
        <v>15.0</v>
      </c>
      <c r="C1992" s="16" t="s">
        <v>279</v>
      </c>
      <c r="D1992" s="16" t="s">
        <v>184</v>
      </c>
      <c r="E1992" s="16" t="s">
        <v>254</v>
      </c>
      <c r="F1992" s="16" t="s">
        <v>255</v>
      </c>
      <c r="G1992" s="16" t="s">
        <v>256</v>
      </c>
      <c r="H1992" s="16" t="s">
        <v>257</v>
      </c>
    </row>
    <row r="1993" ht="330.75" customHeight="1">
      <c r="A1993" s="32" t="str">
        <f>IMAGE("https://gymvisual.com/22588-catalog_default/90-degree-heel-touch.jpg",4,500,500)</f>
        <v/>
      </c>
      <c r="B1993" s="30">
        <v>14.0</v>
      </c>
      <c r="C1993" s="16" t="s">
        <v>278</v>
      </c>
      <c r="D1993" s="16" t="s">
        <v>184</v>
      </c>
      <c r="E1993" s="16" t="s">
        <v>254</v>
      </c>
      <c r="F1993" s="16" t="s">
        <v>255</v>
      </c>
      <c r="G1993" s="16" t="s">
        <v>256</v>
      </c>
      <c r="H1993" s="16" t="s">
        <v>257</v>
      </c>
    </row>
    <row r="1994" ht="330.75" customHeight="1">
      <c r="A1994" s="32" t="str">
        <f>IMAGE("https://gymvisual.com/25069-catalog_default/45-degrees-side-bend-male.jpg",4,500,500)</f>
        <v/>
      </c>
      <c r="B1994" s="30">
        <v>13.0</v>
      </c>
      <c r="C1994" s="16" t="s">
        <v>277</v>
      </c>
      <c r="D1994" s="16" t="s">
        <v>184</v>
      </c>
      <c r="E1994" s="16" t="s">
        <v>254</v>
      </c>
      <c r="F1994" s="16" t="s">
        <v>255</v>
      </c>
      <c r="G1994" s="16" t="s">
        <v>220</v>
      </c>
      <c r="H1994" s="16" t="s">
        <v>220</v>
      </c>
    </row>
    <row r="1995" ht="330.75" customHeight="1">
      <c r="A1995" s="32" t="str">
        <f>IMAGE("https://gymvisual.com/10930-catalog_default/45-degrees-side-bend-female.jpg",4,500,500)</f>
        <v/>
      </c>
      <c r="B1995" s="30">
        <v>12.0</v>
      </c>
      <c r="C1995" s="16" t="s">
        <v>276</v>
      </c>
      <c r="D1995" s="16" t="s">
        <v>184</v>
      </c>
      <c r="E1995" s="16" t="s">
        <v>254</v>
      </c>
      <c r="F1995" s="16" t="s">
        <v>255</v>
      </c>
      <c r="G1995" s="16" t="s">
        <v>257</v>
      </c>
      <c r="H1995" s="16" t="s">
        <v>271</v>
      </c>
    </row>
    <row r="1996" ht="330.75" customHeight="1">
      <c r="A1996" s="32" t="str">
        <f>IMAGE("https://gymvisual.com/19012-catalog_default/45-degrees-back-extension.jpg",4,500,500)</f>
        <v/>
      </c>
      <c r="B1996" s="30">
        <v>11.0</v>
      </c>
      <c r="C1996" s="16" t="s">
        <v>274</v>
      </c>
      <c r="D1996" s="16" t="s">
        <v>184</v>
      </c>
      <c r="E1996" s="16" t="s">
        <v>185</v>
      </c>
      <c r="F1996" s="16" t="s">
        <v>255</v>
      </c>
      <c r="G1996" s="16" t="s">
        <v>275</v>
      </c>
      <c r="H1996" s="16" t="s">
        <v>220</v>
      </c>
    </row>
    <row r="1997" ht="330.75" customHeight="1">
      <c r="A1997" s="32" t="str">
        <f>IMAGE("https://gymvisual.com/4413-catalog_default/45-degree-twisting-hyperextension.jpg",4,500,500)</f>
        <v/>
      </c>
      <c r="B1997" s="30">
        <v>10.0</v>
      </c>
      <c r="C1997" s="16" t="s">
        <v>272</v>
      </c>
      <c r="D1997" s="16" t="s">
        <v>184</v>
      </c>
      <c r="E1997" s="16" t="s">
        <v>185</v>
      </c>
      <c r="F1997" s="16" t="s">
        <v>255</v>
      </c>
      <c r="G1997" s="16" t="s">
        <v>273</v>
      </c>
      <c r="H1997" s="16" t="s">
        <v>187</v>
      </c>
    </row>
    <row r="1998" ht="330.75" customHeight="1">
      <c r="A1998" s="32" t="str">
        <f>IMAGE("https://gymvisual.com/36-catalog_default/45-degree-side-bend.jpg",4,500,500)</f>
        <v/>
      </c>
      <c r="B1998" s="30">
        <v>9.0</v>
      </c>
      <c r="C1998" s="16" t="s">
        <v>270</v>
      </c>
      <c r="D1998" s="16" t="s">
        <v>184</v>
      </c>
      <c r="E1998" s="16" t="s">
        <v>254</v>
      </c>
      <c r="F1998" s="16" t="s">
        <v>255</v>
      </c>
      <c r="G1998" s="16" t="s">
        <v>257</v>
      </c>
      <c r="H1998" s="16" t="s">
        <v>271</v>
      </c>
    </row>
    <row r="1999" ht="330.75" customHeight="1">
      <c r="A1999" s="32" t="str">
        <f>IMAGE("https://gymvisual.com/4410-catalog_default/45-degree-one-leg-hyperextension-arms-in-front-of-chest.jpg",4,500,500)</f>
        <v/>
      </c>
      <c r="B1999" s="30">
        <v>8.0</v>
      </c>
      <c r="C1999" s="16" t="s">
        <v>269</v>
      </c>
      <c r="D1999" s="16" t="s">
        <v>184</v>
      </c>
      <c r="E1999" s="16" t="s">
        <v>185</v>
      </c>
      <c r="F1999" s="16" t="s">
        <v>255</v>
      </c>
      <c r="G1999" s="16" t="s">
        <v>227</v>
      </c>
      <c r="H1999" s="16" t="s">
        <v>187</v>
      </c>
    </row>
    <row r="2000" ht="330.75" customHeight="1">
      <c r="A2000" s="32" t="str">
        <f>IMAGE("https://gymvisual.com/6472-catalog_default/45-degree-hyperextension-arms-in-front-of-chest-side-pov.jpg",4,500,500)</f>
        <v/>
      </c>
      <c r="B2000" s="30">
        <v>7.0</v>
      </c>
      <c r="C2000" s="16" t="s">
        <v>268</v>
      </c>
      <c r="D2000" s="16" t="s">
        <v>184</v>
      </c>
      <c r="E2000" s="16" t="s">
        <v>185</v>
      </c>
      <c r="F2000" s="16" t="s">
        <v>255</v>
      </c>
      <c r="G2000" s="16" t="s">
        <v>187</v>
      </c>
      <c r="H2000" s="16" t="s">
        <v>227</v>
      </c>
    </row>
    <row r="2001" ht="330.75" customHeight="1">
      <c r="A2001" s="32" t="str">
        <f>IMAGE("https://gymvisual.com/2767-catalog_default/45-degree-hyperextension-arms-in-front-of-chest.jpg",4,500,500)</f>
        <v/>
      </c>
      <c r="B2001" s="30">
        <v>6.0</v>
      </c>
      <c r="C2001" s="16" t="s">
        <v>266</v>
      </c>
      <c r="D2001" s="16" t="s">
        <v>184</v>
      </c>
      <c r="E2001" s="16" t="s">
        <v>192</v>
      </c>
      <c r="F2001" s="16" t="s">
        <v>255</v>
      </c>
      <c r="G2001" s="16" t="s">
        <v>267</v>
      </c>
      <c r="H2001" s="16" t="s">
        <v>188</v>
      </c>
    </row>
    <row r="2002" ht="330.75" customHeight="1">
      <c r="A2002" s="32" t="str">
        <f>IMAGE("https://gymvisual.com/19944-catalog_default/45-degree-hip-extension-glute-focused.jpg",4,500,500)</f>
        <v/>
      </c>
      <c r="B2002" s="30">
        <v>5.0</v>
      </c>
      <c r="C2002" s="16" t="s">
        <v>265</v>
      </c>
      <c r="D2002" s="16" t="s">
        <v>184</v>
      </c>
      <c r="E2002" s="16" t="s">
        <v>185</v>
      </c>
      <c r="F2002" s="16" t="s">
        <v>255</v>
      </c>
      <c r="G2002" s="16" t="s">
        <v>187</v>
      </c>
      <c r="H2002" s="16" t="s">
        <v>188</v>
      </c>
    </row>
    <row r="2003" ht="330.75" customHeight="1">
      <c r="A2003" s="32" t="str">
        <f>IMAGE("https://gymvisual.com/20513-catalog_default/45-degree-bycicle-twisting-crunch-male.jpg",4,500,500)</f>
        <v/>
      </c>
      <c r="B2003" s="30">
        <v>4.0</v>
      </c>
      <c r="C2003" s="16" t="s">
        <v>262</v>
      </c>
      <c r="D2003" s="16" t="s">
        <v>184</v>
      </c>
      <c r="E2003" s="16" t="s">
        <v>254</v>
      </c>
      <c r="F2003" s="16" t="s">
        <v>255</v>
      </c>
      <c r="G2003" s="16" t="s">
        <v>263</v>
      </c>
      <c r="H2003" s="16" t="s">
        <v>264</v>
      </c>
    </row>
    <row r="2004" ht="330.75" customHeight="1">
      <c r="A2004" s="32" t="str">
        <f>IMAGE("https://gymvisual.com/4455-catalog_default/45-degree-bycicle-twisting-crunch.jpg",4,500,500)</f>
        <v/>
      </c>
      <c r="B2004" s="30">
        <v>3.0</v>
      </c>
      <c r="C2004" s="16" t="s">
        <v>259</v>
      </c>
      <c r="D2004" s="16" t="s">
        <v>184</v>
      </c>
      <c r="E2004" s="16" t="s">
        <v>254</v>
      </c>
      <c r="F2004" s="16" t="s">
        <v>255</v>
      </c>
      <c r="G2004" s="16" t="s">
        <v>260</v>
      </c>
      <c r="H2004" s="16" t="s">
        <v>261</v>
      </c>
    </row>
    <row r="2005" ht="330.75" customHeight="1">
      <c r="A2005" s="32" t="str">
        <f>IMAGE("https://gymvisual.com/33-catalog_default/34-sit-up.jpg",4,500,500)</f>
        <v/>
      </c>
      <c r="B2005" s="30">
        <v>2.0</v>
      </c>
      <c r="C2005" s="16" t="s">
        <v>258</v>
      </c>
      <c r="D2005" s="16" t="s">
        <v>184</v>
      </c>
      <c r="E2005" s="16" t="s">
        <v>254</v>
      </c>
      <c r="F2005" s="16" t="s">
        <v>255</v>
      </c>
      <c r="G2005" s="16" t="s">
        <v>256</v>
      </c>
      <c r="H2005" s="16" t="s">
        <v>257</v>
      </c>
    </row>
    <row r="2006" ht="330.75" customHeight="1">
      <c r="A2006" s="32" t="str">
        <f>IMAGE("https://gymvisual.com/10999-catalog_default/3-4-sit-up-female.jpg",4,500,500)</f>
        <v/>
      </c>
      <c r="B2006" s="30">
        <v>1.0</v>
      </c>
      <c r="C2006" s="16" t="s">
        <v>253</v>
      </c>
      <c r="D2006" s="16" t="s">
        <v>184</v>
      </c>
      <c r="E2006" s="16" t="s">
        <v>254</v>
      </c>
      <c r="F2006" s="16" t="s">
        <v>255</v>
      </c>
      <c r="G2006" s="16" t="s">
        <v>256</v>
      </c>
      <c r="H2006" s="16" t="s">
        <v>257</v>
      </c>
    </row>
    <row r="2007" ht="330.75" customHeight="1"/>
    <row r="2008" ht="330.75" customHeight="1"/>
    <row r="2009" ht="330.75" customHeight="1"/>
    <row r="2010" ht="330.75" customHeight="1"/>
    <row r="2011" ht="330.75" customHeight="1"/>
    <row r="2012" ht="330.75" customHeight="1"/>
    <row r="2013" ht="330.75" customHeight="1"/>
    <row r="2014" ht="330.75" customHeight="1"/>
    <row r="2015" ht="330.75" customHeight="1"/>
    <row r="2016" ht="330.75" customHeight="1"/>
    <row r="2017" ht="330.75" customHeight="1"/>
    <row r="2018" ht="330.75" customHeight="1"/>
    <row r="2019" ht="330.75" customHeight="1"/>
    <row r="2020" ht="330.75" customHeight="1"/>
    <row r="2021" ht="330.75" customHeight="1"/>
    <row r="2022" ht="330.75" customHeight="1"/>
    <row r="2023" ht="330.75" customHeight="1"/>
    <row r="2024" ht="330.75" customHeight="1"/>
    <row r="2025" ht="330.75" customHeight="1"/>
    <row r="2026" ht="330.75" customHeight="1"/>
    <row r="2027" ht="330.75" customHeight="1"/>
    <row r="2028" ht="330.75" customHeight="1"/>
    <row r="2029" ht="330.75" customHeight="1"/>
    <row r="2030" ht="330.75" customHeight="1"/>
    <row r="2031" ht="330.75" customHeight="1"/>
    <row r="2032" ht="330.75" customHeight="1"/>
    <row r="2033" ht="330.75" customHeight="1"/>
    <row r="2034" ht="330.75" customHeight="1"/>
    <row r="2035" ht="330.75" customHeight="1"/>
    <row r="2036" ht="330.75" customHeight="1"/>
    <row r="2037" ht="330.75" customHeight="1"/>
    <row r="2038" ht="330.75" customHeight="1"/>
    <row r="2039" ht="330.75" customHeight="1"/>
    <row r="2040" ht="330.75" customHeight="1"/>
    <row r="2041" ht="330.75" customHeight="1"/>
    <row r="2042" ht="330.75" customHeight="1"/>
    <row r="2043" ht="330.75" customHeight="1"/>
    <row r="2044" ht="330.75" customHeight="1"/>
    <row r="2045" ht="330.75" customHeight="1"/>
    <row r="2046" ht="330.75" customHeight="1"/>
    <row r="2047" ht="330.75" customHeight="1"/>
    <row r="2048" ht="330.75" customHeight="1"/>
    <row r="2049" ht="330.75" customHeight="1"/>
    <row r="2050" ht="330.75" customHeight="1"/>
    <row r="2051" ht="330.75" customHeight="1"/>
    <row r="2052" ht="330.75" customHeight="1"/>
    <row r="2053" ht="330.75" customHeight="1"/>
    <row r="2054" ht="330.75" customHeight="1"/>
    <row r="2055" ht="330.75" customHeight="1"/>
    <row r="2056" ht="330.75" customHeight="1"/>
    <row r="2057" ht="330.75" customHeight="1"/>
    <row r="2058" ht="330.75" customHeight="1"/>
    <row r="2059" ht="330.75" customHeight="1"/>
    <row r="2060" ht="330.75" customHeight="1"/>
    <row r="2061" ht="330.75" customHeight="1"/>
    <row r="2062" ht="330.75" customHeight="1"/>
    <row r="2063" ht="330.75" customHeight="1"/>
    <row r="2064" ht="330.75" customHeight="1"/>
    <row r="2065" ht="330.75" customHeight="1"/>
    <row r="2066" ht="330.75" customHeight="1"/>
    <row r="2067" ht="330.75" customHeight="1"/>
    <row r="2068" ht="330.75" customHeight="1"/>
    <row r="2069" ht="330.75" customHeight="1"/>
    <row r="2070" ht="330.75" customHeight="1"/>
    <row r="2071" ht="330.75" customHeight="1"/>
    <row r="2072" ht="330.75" customHeight="1"/>
    <row r="2073" ht="330.75" customHeight="1"/>
    <row r="2074" ht="330.75" customHeight="1"/>
    <row r="2075" ht="330.75" customHeight="1"/>
    <row r="2076" ht="330.75" customHeight="1"/>
    <row r="2077" ht="330.75" customHeight="1"/>
    <row r="2078" ht="330.75" customHeight="1"/>
    <row r="2079" ht="330.75" customHeight="1"/>
    <row r="2080" ht="330.75" customHeight="1"/>
    <row r="2081" ht="330.75" customHeight="1"/>
    <row r="2082" ht="330.75" customHeight="1"/>
    <row r="2083" ht="330.75" customHeight="1"/>
    <row r="2084" ht="330.75" customHeight="1"/>
    <row r="2085" ht="330.75" customHeight="1"/>
    <row r="2086" ht="330.75" customHeight="1"/>
    <row r="2087" ht="330.75" customHeight="1"/>
    <row r="2088" ht="330.75" customHeight="1"/>
    <row r="2089" ht="330.75" customHeight="1"/>
    <row r="2090" ht="330.75" customHeight="1"/>
    <row r="2091" ht="330.75" customHeight="1"/>
    <row r="2092" ht="330.75" customHeight="1"/>
    <row r="2093" ht="330.75" customHeight="1"/>
    <row r="2094" ht="330.75" customHeight="1"/>
    <row r="2095" ht="330.75" customHeight="1"/>
    <row r="2096" ht="330.75" customHeight="1"/>
    <row r="2097" ht="330.75" customHeight="1"/>
    <row r="2098" ht="330.75" customHeight="1"/>
    <row r="2099" ht="330.75" customHeight="1"/>
    <row r="2100" ht="330.75" customHeight="1"/>
    <row r="2101" ht="330.75" customHeight="1"/>
    <row r="2102" ht="330.75" customHeight="1"/>
    <row r="2103" ht="330.75" customHeight="1"/>
    <row r="2104" ht="330.75" customHeight="1"/>
    <row r="2105" ht="330.75" customHeight="1"/>
    <row r="2106" ht="330.75" customHeight="1"/>
    <row r="2107" ht="330.75" customHeight="1"/>
    <row r="2108" ht="330.75" customHeight="1"/>
    <row r="2109" ht="330.75" customHeight="1"/>
    <row r="2110" ht="330.75" customHeight="1"/>
    <row r="2111" ht="330.75" customHeight="1"/>
    <row r="2112" ht="330.75" customHeight="1"/>
    <row r="2113" ht="330.75" customHeight="1"/>
    <row r="2114" ht="330.75" customHeight="1"/>
    <row r="2115" ht="330.75" customHeight="1"/>
    <row r="2116" ht="330.75" customHeight="1"/>
    <row r="2117" ht="330.75" customHeight="1"/>
    <row r="2118" ht="330.75" customHeight="1"/>
    <row r="2119" ht="330.75" customHeight="1"/>
    <row r="2120" ht="330.75" customHeight="1"/>
    <row r="2121" ht="330.75" customHeight="1"/>
    <row r="2122" ht="330.75" customHeight="1"/>
    <row r="2123" ht="330.75" customHeight="1"/>
    <row r="2124" ht="330.75" customHeight="1"/>
    <row r="2125" ht="330.75" customHeight="1"/>
    <row r="2126" ht="330.75" customHeight="1"/>
    <row r="2127" ht="330.75" customHeight="1"/>
    <row r="2128" ht="330.75" customHeight="1"/>
    <row r="2129" ht="330.75" customHeight="1"/>
    <row r="2130" ht="330.75" customHeight="1"/>
    <row r="2131" ht="330.75" customHeight="1"/>
    <row r="2132" ht="330.75" customHeight="1"/>
    <row r="2133" ht="330.75" customHeight="1"/>
    <row r="2134" ht="330.75" customHeight="1"/>
    <row r="2135" ht="330.75" customHeight="1"/>
    <row r="2136" ht="330.75" customHeight="1"/>
    <row r="2137" ht="330.75" customHeight="1"/>
    <row r="2138" ht="330.75" customHeight="1"/>
    <row r="2139" ht="330.75" customHeight="1"/>
    <row r="2140" ht="330.75" customHeight="1"/>
    <row r="2141" ht="330.75" customHeight="1"/>
    <row r="2142" ht="330.75" customHeight="1"/>
    <row r="2143" ht="330.75" customHeight="1"/>
    <row r="2144" ht="330.75" customHeight="1"/>
    <row r="2145" ht="330.75" customHeight="1"/>
    <row r="2146" ht="330.75" customHeight="1"/>
    <row r="2147" ht="330.75" customHeight="1"/>
    <row r="2148" ht="330.75" customHeight="1"/>
    <row r="2149" ht="330.75" customHeight="1"/>
    <row r="2150" ht="330.75" customHeight="1"/>
    <row r="2151" ht="330.75" customHeight="1"/>
    <row r="2152" ht="330.75" customHeight="1"/>
    <row r="2153" ht="330.75" customHeight="1"/>
    <row r="2154" ht="330.75" customHeight="1"/>
    <row r="2155" ht="330.75" customHeight="1"/>
    <row r="2156" ht="330.75" customHeight="1"/>
    <row r="2157" ht="330.75" customHeight="1"/>
    <row r="2158" ht="330.75" customHeight="1"/>
    <row r="2159" ht="330.75" customHeight="1"/>
    <row r="2160" ht="330.75" customHeight="1"/>
    <row r="2161" ht="330.75" customHeight="1"/>
    <row r="2162" ht="330.75" customHeight="1"/>
    <row r="2163" ht="330.75" customHeight="1"/>
    <row r="2164" ht="330.75" customHeight="1"/>
    <row r="2165" ht="330.75" customHeight="1"/>
    <row r="2166" ht="330.75" customHeight="1"/>
    <row r="2167" ht="330.75" customHeight="1"/>
    <row r="2168" ht="330.75" customHeight="1"/>
    <row r="2169" ht="330.75" customHeight="1"/>
    <row r="2170" ht="330.75" customHeight="1"/>
    <row r="2171" ht="330.75" customHeight="1"/>
    <row r="2172" ht="330.75" customHeight="1"/>
    <row r="2173" ht="330.75" customHeight="1"/>
    <row r="2174" ht="330.75" customHeight="1"/>
    <row r="2175" ht="330.75" customHeight="1"/>
    <row r="2176" ht="330.75" customHeight="1"/>
    <row r="2177" ht="330.75" customHeight="1"/>
    <row r="2178" ht="330.75" customHeight="1"/>
    <row r="2179" ht="330.75" customHeight="1"/>
    <row r="2180" ht="330.75" customHeight="1"/>
    <row r="2181" ht="330.75" customHeight="1"/>
    <row r="2182" ht="330.75" customHeight="1"/>
    <row r="2183" ht="330.75" customHeight="1"/>
    <row r="2184" ht="330.75" customHeight="1"/>
    <row r="2185" ht="330.75" customHeight="1"/>
    <row r="2186" ht="330.75" customHeight="1"/>
    <row r="2187" ht="330.75" customHeight="1"/>
    <row r="2188" ht="330.75" customHeight="1"/>
    <row r="2189" ht="330.75" customHeight="1"/>
    <row r="2190" ht="330.75" customHeight="1"/>
    <row r="2191" ht="330.75" customHeight="1"/>
    <row r="2192" ht="330.75" customHeight="1"/>
    <row r="2193" ht="330.75" customHeight="1"/>
    <row r="2194" ht="330.75" customHeight="1"/>
    <row r="2195" ht="330.75" customHeight="1"/>
    <row r="2196" ht="330.75" customHeight="1"/>
    <row r="2197" ht="330.75" customHeight="1"/>
    <row r="2198" ht="330.75" customHeight="1"/>
    <row r="2199" ht="330.75" customHeight="1"/>
    <row r="2200" ht="330.75" customHeight="1"/>
    <row r="2201" ht="330.75" customHeight="1"/>
    <row r="2202" ht="330.75" customHeight="1"/>
    <row r="2203" ht="330.75" customHeight="1"/>
    <row r="2204" ht="330.75" customHeight="1"/>
    <row r="2205" ht="330.75" customHeight="1"/>
    <row r="2206" ht="330.75" customHeight="1"/>
    <row r="2207" ht="330.75" customHeight="1"/>
    <row r="2208" ht="330.75" customHeight="1"/>
    <row r="2209" ht="330.75" customHeight="1"/>
    <row r="2210" ht="330.75" customHeight="1"/>
    <row r="2211" ht="330.75" customHeight="1"/>
    <row r="2212" ht="330.75" customHeight="1"/>
    <row r="2213" ht="330.75" customHeight="1"/>
    <row r="2214" ht="330.75" customHeight="1"/>
    <row r="2215" ht="330.75" customHeight="1"/>
    <row r="2216" ht="330.75" customHeight="1"/>
    <row r="2217" ht="330.75" customHeight="1"/>
    <row r="2218" ht="330.75" customHeight="1"/>
    <row r="2219" ht="330.75" customHeight="1"/>
    <row r="2220" ht="330.75" customHeight="1"/>
    <row r="2221" ht="330.75" customHeight="1"/>
    <row r="2222" ht="330.75" customHeight="1"/>
    <row r="2223" ht="330.75" customHeight="1"/>
    <row r="2224" ht="330.75" customHeight="1"/>
    <row r="2225" ht="330.75" customHeight="1"/>
    <row r="2226" ht="330.75" customHeight="1"/>
    <row r="2227" ht="330.75" customHeight="1"/>
    <row r="2228" ht="330.75" customHeight="1"/>
    <row r="2229" ht="330.75" customHeight="1"/>
    <row r="2230" ht="330.75" customHeight="1"/>
    <row r="2231" ht="330.75" customHeight="1"/>
    <row r="2232" ht="330.75" customHeight="1"/>
    <row r="2233" ht="330.75" customHeight="1"/>
    <row r="2234" ht="330.75" customHeight="1"/>
    <row r="2235" ht="330.75" customHeight="1"/>
    <row r="2236" ht="330.75" customHeight="1"/>
    <row r="2237" ht="330.75" customHeight="1"/>
    <row r="2238" ht="330.75" customHeight="1"/>
    <row r="2239" ht="330.75" customHeight="1"/>
    <row r="2240" ht="330.75" customHeight="1"/>
    <row r="2241" ht="330.75" customHeight="1"/>
    <row r="2242" ht="330.75" customHeight="1"/>
    <row r="2243" ht="330.75" customHeight="1"/>
    <row r="2244" ht="330.75" customHeight="1"/>
    <row r="2245" ht="330.75" customHeight="1"/>
    <row r="2246" ht="330.75" customHeight="1"/>
    <row r="2247" ht="330.75" customHeight="1"/>
    <row r="2248" ht="330.75" customHeight="1"/>
    <row r="2249" ht="330.75" customHeight="1"/>
    <row r="2250" ht="330.75" customHeight="1"/>
    <row r="2251" ht="330.75" customHeight="1"/>
    <row r="2252" ht="330.75" customHeight="1"/>
    <row r="2253" ht="330.75" customHeight="1"/>
    <row r="2254" ht="330.75" customHeight="1"/>
    <row r="2255" ht="330.75" customHeight="1"/>
    <row r="2256" ht="330.75" customHeight="1"/>
    <row r="2257" ht="330.75" customHeight="1"/>
    <row r="2258" ht="330.75" customHeight="1"/>
    <row r="2259" ht="330.75" customHeight="1"/>
    <row r="2260" ht="330.75" customHeight="1"/>
    <row r="2261" ht="330.75" customHeight="1"/>
    <row r="2262" ht="330.75" customHeight="1"/>
    <row r="2263" ht="330.75" customHeight="1"/>
    <row r="2264" ht="330.75" customHeight="1"/>
    <row r="2265" ht="330.75" customHeight="1"/>
    <row r="2266" ht="330.75" customHeight="1"/>
    <row r="2267" ht="330.75" customHeight="1"/>
    <row r="2268" ht="330.75" customHeight="1"/>
    <row r="2269" ht="330.75" customHeight="1"/>
    <row r="2270" ht="330.75" customHeight="1"/>
    <row r="2271" ht="330.75" customHeight="1"/>
    <row r="2272" ht="330.75" customHeight="1"/>
    <row r="2273" ht="330.75" customHeight="1"/>
    <row r="2274" ht="330.75" customHeight="1"/>
    <row r="2275" ht="330.75" customHeight="1"/>
    <row r="2276" ht="330.75" customHeight="1"/>
    <row r="2277" ht="330.75" customHeight="1"/>
    <row r="2278" ht="330.75" customHeight="1"/>
    <row r="2279" ht="330.75" customHeight="1"/>
    <row r="2280" ht="330.75" customHeight="1"/>
    <row r="2281" ht="330.75" customHeight="1"/>
    <row r="2282" ht="330.75" customHeight="1"/>
    <row r="2283" ht="330.75" customHeight="1"/>
    <row r="2284" ht="330.75" customHeight="1"/>
    <row r="2285" ht="330.75" customHeight="1"/>
    <row r="2286" ht="330.75" customHeight="1"/>
    <row r="2287" ht="330.75" customHeight="1"/>
    <row r="2288" ht="330.75" customHeight="1"/>
    <row r="2289" ht="330.75" customHeight="1"/>
    <row r="2290" ht="330.75" customHeight="1"/>
    <row r="2291" ht="330.75" customHeight="1"/>
    <row r="2292" ht="330.75" customHeight="1"/>
    <row r="2293" ht="330.75" customHeight="1"/>
    <row r="2294" ht="330.75" customHeight="1"/>
    <row r="2295" ht="330.75" customHeight="1"/>
    <row r="2296" ht="330.75" customHeight="1"/>
    <row r="2297" ht="330.75" customHeight="1"/>
    <row r="2298" ht="330.75" customHeight="1"/>
    <row r="2299" ht="330.75" customHeight="1"/>
    <row r="2300" ht="330.75" customHeight="1"/>
    <row r="2301" ht="330.75" customHeight="1"/>
    <row r="2302" ht="330.75" customHeight="1"/>
    <row r="2303" ht="330.75" customHeight="1"/>
    <row r="2304" ht="330.75" customHeight="1"/>
    <row r="2305" ht="330.75" customHeight="1"/>
    <row r="2306" ht="330.75" customHeight="1"/>
    <row r="2307" ht="330.75" customHeight="1"/>
    <row r="2308" ht="330.75" customHeight="1"/>
    <row r="2309" ht="330.75" customHeight="1"/>
    <row r="2310" ht="330.75" customHeight="1"/>
    <row r="2311" ht="330.75" customHeight="1"/>
    <row r="2312" ht="330.75" customHeight="1"/>
    <row r="2313" ht="330.75" customHeight="1"/>
    <row r="2314" ht="330.75" customHeight="1"/>
    <row r="2315" ht="330.75" customHeight="1"/>
    <row r="2316" ht="330.75" customHeight="1"/>
    <row r="2317" ht="330.75" customHeight="1"/>
    <row r="2318" ht="330.75" customHeight="1"/>
    <row r="2319" ht="330.75" customHeight="1"/>
    <row r="2320" ht="330.75" customHeight="1"/>
    <row r="2321" ht="330.75" customHeight="1"/>
    <row r="2322" ht="330.75" customHeight="1"/>
    <row r="2323" ht="330.75" customHeight="1"/>
    <row r="2324" ht="330.75" customHeight="1"/>
    <row r="2325" ht="330.75" customHeight="1"/>
    <row r="2326" ht="330.75" customHeight="1"/>
    <row r="2327" ht="330.75" customHeight="1"/>
    <row r="2328" ht="330.75" customHeight="1"/>
    <row r="2329" ht="330.75" customHeight="1"/>
    <row r="2330" ht="330.75" customHeight="1"/>
    <row r="2331" ht="330.75" customHeight="1"/>
    <row r="2332" ht="330.75" customHeight="1"/>
    <row r="2333" ht="330.75" customHeight="1"/>
    <row r="2334" ht="330.75" customHeight="1"/>
    <row r="2335" ht="330.75" customHeight="1"/>
    <row r="2336" ht="330.75" customHeight="1"/>
    <row r="2337" ht="330.75" customHeight="1"/>
    <row r="2338" ht="330.75" customHeight="1"/>
    <row r="2339" ht="330.75" customHeight="1"/>
    <row r="2340" ht="330.75" customHeight="1"/>
    <row r="2341" ht="330.75" customHeight="1"/>
    <row r="2342" ht="330.75" customHeight="1"/>
    <row r="2343" ht="330.75" customHeight="1"/>
    <row r="2344" ht="330.75" customHeight="1"/>
    <row r="2345" ht="330.75" customHeight="1"/>
    <row r="2346" ht="330.75" customHeight="1"/>
    <row r="2347" ht="330.75" customHeight="1"/>
    <row r="2348" ht="330.75" customHeight="1"/>
    <row r="2349" ht="330.75" customHeight="1"/>
    <row r="2350" ht="330.75" customHeight="1"/>
    <row r="2351" ht="330.75" customHeight="1"/>
    <row r="2352" ht="330.75" customHeight="1"/>
    <row r="2353" ht="330.75" customHeight="1"/>
    <row r="2354" ht="330.75" customHeight="1"/>
    <row r="2355" ht="330.75" customHeight="1"/>
    <row r="2356" ht="330.75" customHeight="1"/>
    <row r="2357" ht="330.75" customHeight="1"/>
    <row r="2358" ht="330.75" customHeight="1"/>
    <row r="2359" ht="330.75" customHeight="1"/>
    <row r="2360" ht="330.75" customHeight="1"/>
    <row r="2361" ht="330.75" customHeight="1"/>
    <row r="2362" ht="330.75" customHeight="1"/>
    <row r="2363" ht="330.75" customHeight="1"/>
    <row r="2364" ht="330.75" customHeight="1"/>
    <row r="2365" ht="330.75" customHeight="1"/>
    <row r="2366" ht="330.75" customHeight="1"/>
    <row r="2367" ht="330.75" customHeight="1"/>
    <row r="2368" ht="330.75" customHeight="1"/>
    <row r="2369" ht="330.75" customHeight="1"/>
    <row r="2370" ht="330.75" customHeight="1"/>
    <row r="2371" ht="330.75" customHeight="1"/>
    <row r="2372" ht="330.75" customHeight="1"/>
    <row r="2373" ht="330.75" customHeight="1"/>
    <row r="2374" ht="330.75" customHeight="1"/>
    <row r="2375" ht="330.75" customHeight="1"/>
    <row r="2376" ht="330.75" customHeight="1"/>
    <row r="2377" ht="330.75" customHeight="1"/>
    <row r="2378" ht="330.75" customHeight="1"/>
    <row r="2379" ht="330.75" customHeight="1"/>
    <row r="2380" ht="330.75" customHeight="1"/>
    <row r="2381" ht="330.75" customHeight="1"/>
    <row r="2382" ht="330.75" customHeight="1"/>
    <row r="2383" ht="330.75" customHeight="1"/>
    <row r="2384" ht="330.75" customHeight="1"/>
    <row r="2385" ht="330.75" customHeight="1"/>
    <row r="2386" ht="330.75" customHeight="1"/>
    <row r="2387" ht="330.75" customHeight="1"/>
    <row r="2388" ht="330.75" customHeight="1"/>
    <row r="2389" ht="330.75" customHeight="1"/>
    <row r="2390" ht="330.75" customHeight="1"/>
    <row r="2391" ht="330.75" customHeight="1"/>
    <row r="2392" ht="330.75" customHeight="1"/>
    <row r="2393" ht="330.75" customHeight="1"/>
    <row r="2394" ht="330.75" customHeight="1"/>
    <row r="2395" ht="330.75" customHeight="1"/>
    <row r="2396" ht="330.75" customHeight="1"/>
    <row r="2397" ht="330.75" customHeight="1"/>
    <row r="2398" ht="330.75" customHeight="1"/>
    <row r="2399" ht="330.75" customHeight="1"/>
    <row r="2400" ht="330.75" customHeight="1"/>
    <row r="2401" ht="330.75" customHeight="1"/>
    <row r="2402" ht="330.75" customHeight="1"/>
    <row r="2403" ht="330.75" customHeight="1"/>
    <row r="2404" ht="330.75" customHeight="1"/>
    <row r="2405" ht="330.75" customHeight="1"/>
    <row r="2406" ht="330.75" customHeight="1"/>
    <row r="2407" ht="330.75" customHeight="1"/>
    <row r="2408" ht="330.75" customHeight="1"/>
    <row r="2409" ht="330.75" customHeight="1"/>
    <row r="2410" ht="330.75" customHeight="1"/>
    <row r="2411" ht="330.75" customHeight="1"/>
    <row r="2412" ht="330.75" customHeight="1"/>
    <row r="2413" ht="330.75" customHeight="1"/>
    <row r="2414" ht="330.75" customHeight="1"/>
    <row r="2415" ht="330.75" customHeight="1"/>
    <row r="2416" ht="330.75" customHeight="1"/>
    <row r="2417" ht="330.75" customHeight="1"/>
    <row r="2418" ht="330.75" customHeight="1"/>
    <row r="2419" ht="330.75" customHeight="1"/>
    <row r="2420" ht="330.75" customHeight="1"/>
    <row r="2421" ht="330.75" customHeight="1"/>
    <row r="2422" ht="330.75" customHeight="1"/>
    <row r="2423" ht="330.75" customHeight="1"/>
    <row r="2424" ht="330.75" customHeight="1"/>
    <row r="2425" ht="330.75" customHeight="1"/>
    <row r="2426" ht="330.75" customHeight="1"/>
    <row r="2427" ht="330.75" customHeight="1"/>
    <row r="2428" ht="330.75" customHeight="1"/>
    <row r="2429" ht="330.75" customHeight="1"/>
    <row r="2430" ht="330.75" customHeight="1"/>
    <row r="2431" ht="330.75" customHeight="1"/>
    <row r="2432" ht="330.75" customHeight="1"/>
    <row r="2433" ht="330.75" customHeight="1"/>
    <row r="2434" ht="330.75" customHeight="1"/>
    <row r="2435" ht="330.75" customHeight="1"/>
    <row r="2436" ht="330.75" customHeight="1"/>
    <row r="2437" ht="330.75" customHeight="1"/>
    <row r="2438" ht="330.75" customHeight="1"/>
    <row r="2439" ht="330.75" customHeight="1"/>
    <row r="2440" ht="330.75" customHeight="1"/>
    <row r="2441" ht="330.75" customHeight="1"/>
    <row r="2442" ht="330.75" customHeight="1"/>
    <row r="2443" ht="330.75" customHeight="1"/>
    <row r="2444" ht="330.75" customHeight="1"/>
    <row r="2445" ht="330.75" customHeight="1"/>
    <row r="2446" ht="330.75" customHeight="1"/>
    <row r="2447" ht="330.75" customHeight="1"/>
    <row r="2448" ht="330.75" customHeight="1"/>
    <row r="2449" ht="330.75" customHeight="1"/>
    <row r="2450" ht="330.75" customHeight="1"/>
    <row r="2451" ht="330.75" customHeight="1"/>
    <row r="2452" ht="330.75" customHeight="1"/>
    <row r="2453" ht="330.75" customHeight="1"/>
    <row r="2454" ht="330.75" customHeight="1"/>
    <row r="2455" ht="330.75" customHeight="1"/>
    <row r="2456" ht="330.75" customHeight="1"/>
    <row r="2457" ht="330.75" customHeight="1"/>
    <row r="2458" ht="330.75" customHeight="1"/>
    <row r="2459" ht="330.75" customHeight="1"/>
    <row r="2460" ht="330.75" customHeight="1"/>
    <row r="2461" ht="330.75" customHeight="1"/>
    <row r="2462" ht="330.75" customHeight="1"/>
    <row r="2463" ht="330.75" customHeight="1"/>
    <row r="2464" ht="330.75" customHeight="1"/>
    <row r="2465" ht="330.75" customHeight="1"/>
    <row r="2466" ht="330.75" customHeight="1"/>
    <row r="2467" ht="330.75" customHeight="1"/>
    <row r="2468" ht="330.75" customHeight="1"/>
    <row r="2469" ht="330.75" customHeight="1"/>
    <row r="2470" ht="330.75" customHeight="1"/>
    <row r="2471" ht="330.75" customHeight="1"/>
    <row r="2472" ht="330.75" customHeight="1"/>
    <row r="2473" ht="330.75" customHeight="1"/>
    <row r="2474" ht="330.75" customHeight="1"/>
    <row r="2475" ht="330.75" customHeight="1"/>
    <row r="2476" ht="330.75" customHeight="1"/>
    <row r="2477" ht="330.75" customHeight="1"/>
    <row r="2478" ht="330.75" customHeight="1"/>
    <row r="2479" ht="330.75" customHeight="1"/>
    <row r="2480" ht="330.75" customHeight="1"/>
    <row r="2481" ht="330.75" customHeight="1"/>
    <row r="2482" ht="330.75" customHeight="1"/>
    <row r="2483" ht="330.75" customHeight="1"/>
    <row r="2484" ht="330.75" customHeight="1"/>
    <row r="2485" ht="330.75" customHeight="1"/>
    <row r="2486" ht="330.75" customHeight="1"/>
    <row r="2487" ht="330.75" customHeight="1"/>
    <row r="2488" ht="330.75" customHeight="1"/>
    <row r="2489" ht="330.75" customHeight="1"/>
    <row r="2490" ht="330.75" customHeight="1"/>
    <row r="2491" ht="330.75" customHeight="1"/>
    <row r="2492" ht="330.75" customHeight="1"/>
    <row r="2493" ht="330.75" customHeight="1"/>
    <row r="2494" ht="330.75" customHeight="1"/>
    <row r="2495" ht="330.75" customHeight="1"/>
    <row r="2496" ht="330.75" customHeight="1"/>
    <row r="2497" ht="330.75" customHeight="1"/>
    <row r="2498" ht="330.75" customHeight="1"/>
    <row r="2499" ht="330.75" customHeight="1"/>
    <row r="2500" ht="330.75" customHeight="1"/>
    <row r="2501" ht="330.75" customHeight="1"/>
    <row r="2502" ht="330.75" customHeight="1"/>
    <row r="2503" ht="330.75" customHeight="1"/>
    <row r="2504" ht="330.75" customHeight="1"/>
    <row r="2505" ht="330.75" customHeight="1"/>
    <row r="2506" ht="330.75" customHeight="1"/>
    <row r="2507" ht="330.75" customHeight="1"/>
    <row r="2508" ht="330.75" customHeight="1"/>
    <row r="2509" ht="330.75" customHeight="1"/>
    <row r="2510" ht="330.75" customHeight="1"/>
    <row r="2511" ht="330.75" customHeight="1"/>
    <row r="2512" ht="330.75" customHeight="1"/>
    <row r="2513" ht="330.75" customHeight="1"/>
    <row r="2514" ht="330.75" customHeight="1"/>
    <row r="2515" ht="330.75" customHeight="1"/>
    <row r="2516" ht="330.75" customHeight="1"/>
    <row r="2517" ht="330.75" customHeight="1"/>
    <row r="2518" ht="330.75" customHeight="1"/>
    <row r="2519" ht="330.75" customHeight="1"/>
    <row r="2520" ht="330.75" customHeight="1"/>
    <row r="2521" ht="330.75" customHeight="1"/>
    <row r="2522" ht="330.75" customHeight="1"/>
    <row r="2523" ht="330.75" customHeight="1"/>
    <row r="2524" ht="330.75" customHeight="1"/>
    <row r="2525" ht="330.75" customHeight="1"/>
    <row r="2526" ht="330.75" customHeight="1"/>
    <row r="2527" ht="330.75" customHeight="1"/>
    <row r="2528" ht="330.75" customHeight="1"/>
    <row r="2529" ht="330.75" customHeight="1"/>
    <row r="2530" ht="330.75" customHeight="1"/>
    <row r="2531" ht="330.75" customHeight="1"/>
    <row r="2532" ht="330.75" customHeight="1"/>
    <row r="2533" ht="330.75" customHeight="1"/>
    <row r="2534" ht="330.75" customHeight="1"/>
    <row r="2535" ht="330.75" customHeight="1"/>
    <row r="2536" ht="330.75" customHeight="1"/>
    <row r="2537" ht="330.75" customHeight="1"/>
    <row r="2538" ht="330.75" customHeight="1"/>
    <row r="2539" ht="330.75" customHeight="1"/>
    <row r="2540" ht="330.75" customHeight="1"/>
    <row r="2541" ht="330.75" customHeight="1"/>
    <row r="2542" ht="330.75" customHeight="1"/>
    <row r="2543" ht="330.75" customHeight="1"/>
    <row r="2544" ht="330.75" customHeight="1"/>
    <row r="2545" ht="330.75" customHeight="1"/>
    <row r="2546" ht="330.75" customHeight="1"/>
    <row r="2547" ht="330.75" customHeight="1"/>
    <row r="2548" ht="330.75" customHeight="1"/>
    <row r="2549" ht="330.75" customHeight="1"/>
    <row r="2550" ht="330.75" customHeight="1"/>
    <row r="2551" ht="330.75" customHeight="1"/>
    <row r="2552" ht="330.75" customHeight="1"/>
    <row r="2553" ht="330.75" customHeight="1"/>
    <row r="2554" ht="330.75" customHeight="1"/>
    <row r="2555" ht="330.75" customHeight="1"/>
    <row r="2556" ht="330.75" customHeight="1"/>
    <row r="2557" ht="330.75" customHeight="1"/>
    <row r="2558" ht="330.75" customHeight="1"/>
    <row r="2559" ht="330.75" customHeight="1"/>
    <row r="2560" ht="330.75" customHeight="1"/>
    <row r="2561" ht="330.75" customHeight="1"/>
    <row r="2562" ht="330.75" customHeight="1"/>
    <row r="2563" ht="330.75" customHeight="1"/>
    <row r="2564" ht="330.75" customHeight="1"/>
    <row r="2565" ht="330.75" customHeight="1"/>
    <row r="2566" ht="330.75" customHeight="1"/>
    <row r="2567" ht="330.75" customHeight="1"/>
    <row r="2568" ht="330.75" customHeight="1"/>
    <row r="2569" ht="330.75" customHeight="1"/>
    <row r="2570" ht="330.75" customHeight="1"/>
    <row r="2571" ht="330.75" customHeight="1"/>
    <row r="2572" ht="330.75" customHeight="1"/>
    <row r="2573" ht="330.75" customHeight="1"/>
    <row r="2574" ht="330.75" customHeight="1"/>
    <row r="2575" ht="330.75" customHeight="1"/>
    <row r="2576" ht="330.75" customHeight="1"/>
    <row r="2577" ht="330.75" customHeight="1"/>
    <row r="2578" ht="330.75" customHeight="1"/>
    <row r="2579" ht="330.75" customHeight="1"/>
    <row r="2580" ht="330.75" customHeight="1"/>
    <row r="2581" ht="330.75" customHeight="1"/>
    <row r="2582" ht="330.75" customHeight="1"/>
    <row r="2583" ht="330.75" customHeight="1"/>
    <row r="2584" ht="330.75" customHeight="1"/>
    <row r="2585" ht="330.75" customHeight="1"/>
    <row r="2586" ht="330.75" customHeight="1"/>
    <row r="2587" ht="330.75" customHeight="1"/>
    <row r="2588" ht="330.75" customHeight="1"/>
    <row r="2589" ht="330.75" customHeight="1"/>
    <row r="2590" ht="330.75" customHeight="1"/>
    <row r="2591" ht="330.75" customHeight="1"/>
    <row r="2592" ht="330.75" customHeight="1"/>
    <row r="2593" ht="330.75" customHeight="1"/>
    <row r="2594" ht="330.75" customHeight="1"/>
    <row r="2595" ht="330.75" customHeight="1"/>
    <row r="2596" ht="330.75" customHeight="1"/>
    <row r="2597" ht="330.75" customHeight="1"/>
    <row r="2598" ht="330.75" customHeight="1"/>
    <row r="2599" ht="330.75" customHeight="1"/>
    <row r="2600" ht="330.75" customHeight="1"/>
    <row r="2601" ht="330.75" customHeight="1"/>
    <row r="2602" ht="330.75" customHeight="1"/>
    <row r="2603" ht="330.75" customHeight="1"/>
    <row r="2604" ht="330.75" customHeight="1"/>
    <row r="2605" ht="330.75" customHeight="1"/>
    <row r="2606" ht="330.75" customHeight="1"/>
    <row r="2607" ht="330.75" customHeight="1"/>
    <row r="2608" ht="330.75" customHeight="1"/>
    <row r="2609" ht="330.75" customHeight="1"/>
    <row r="2610" ht="330.75" customHeight="1"/>
    <row r="2611" ht="330.75" customHeight="1"/>
    <row r="2612" ht="330.75" customHeight="1"/>
    <row r="2613" ht="330.75" customHeight="1"/>
    <row r="2614" ht="330.75" customHeight="1"/>
    <row r="2615" ht="330.75" customHeight="1"/>
    <row r="2616" ht="330.75" customHeight="1"/>
    <row r="2617" ht="330.75" customHeight="1"/>
    <row r="2618" ht="330.75" customHeight="1"/>
    <row r="2619" ht="330.75" customHeight="1"/>
    <row r="2620" ht="330.75" customHeight="1"/>
    <row r="2621" ht="330.75" customHeight="1"/>
    <row r="2622" ht="330.75" customHeight="1"/>
    <row r="2623" ht="330.75" customHeight="1"/>
    <row r="2624" ht="330.75" customHeight="1"/>
    <row r="2625" ht="330.75" customHeight="1"/>
    <row r="2626" ht="330.75" customHeight="1"/>
    <row r="2627" ht="330.75" customHeight="1"/>
    <row r="2628" ht="330.75" customHeight="1"/>
    <row r="2629" ht="330.75" customHeight="1"/>
    <row r="2630" ht="330.75" customHeight="1"/>
    <row r="2631" ht="330.75" customHeight="1"/>
    <row r="2632" ht="330.75" customHeight="1"/>
    <row r="2633" ht="330.75" customHeight="1"/>
    <row r="2634" ht="330.75" customHeight="1"/>
    <row r="2635" ht="330.75" customHeight="1"/>
    <row r="2636" ht="330.75" customHeight="1"/>
    <row r="2637" ht="330.75" customHeight="1"/>
    <row r="2638" ht="330.75" customHeight="1"/>
    <row r="2639" ht="330.75" customHeight="1"/>
    <row r="2640" ht="330.75" customHeight="1"/>
    <row r="2641" ht="330.75" customHeight="1"/>
    <row r="2642" ht="330.75" customHeight="1"/>
    <row r="2643" ht="330.75" customHeight="1"/>
    <row r="2644" ht="330.75" customHeight="1"/>
    <row r="2645" ht="330.75" customHeight="1"/>
    <row r="2646" ht="330.75" customHeight="1"/>
    <row r="2647" ht="330.75" customHeight="1"/>
    <row r="2648" ht="330.75" customHeight="1"/>
    <row r="2649" ht="330.75" customHeight="1"/>
    <row r="2650" ht="330.75" customHeight="1"/>
    <row r="2651" ht="330.75" customHeight="1"/>
    <row r="2652" ht="330.75" customHeight="1"/>
    <row r="2653" ht="330.75" customHeight="1"/>
    <row r="2654" ht="330.75" customHeight="1"/>
    <row r="2655" ht="330.75" customHeight="1"/>
    <row r="2656" ht="330.75" customHeight="1"/>
    <row r="2657" ht="330.75" customHeight="1"/>
    <row r="2658" ht="330.75" customHeight="1"/>
    <row r="2659" ht="330.75" customHeight="1"/>
    <row r="2660" ht="330.75" customHeight="1"/>
    <row r="2661" ht="330.75" customHeight="1"/>
    <row r="2662" ht="330.75" customHeight="1"/>
    <row r="2663" ht="330.75" customHeight="1"/>
    <row r="2664" ht="330.75" customHeight="1"/>
    <row r="2665" ht="330.75" customHeight="1"/>
    <row r="2666" ht="330.75" customHeight="1"/>
    <row r="2667" ht="330.75" customHeight="1"/>
    <row r="2668" ht="330.75" customHeight="1"/>
    <row r="2669" ht="330.75" customHeight="1"/>
    <row r="2670" ht="330.75" customHeight="1"/>
    <row r="2671" ht="330.75" customHeight="1"/>
    <row r="2672" ht="330.75" customHeight="1"/>
    <row r="2673" ht="330.75" customHeight="1"/>
    <row r="2674" ht="330.75" customHeight="1"/>
    <row r="2675" ht="330.75" customHeight="1"/>
    <row r="2676" ht="330.75" customHeight="1"/>
    <row r="2677" ht="330.75" customHeight="1"/>
    <row r="2678" ht="330.75" customHeight="1"/>
    <row r="2679" ht="330.75" customHeight="1"/>
    <row r="2680" ht="330.75" customHeight="1"/>
    <row r="2681" ht="330.75" customHeight="1"/>
    <row r="2682" ht="330.75" customHeight="1"/>
    <row r="2683" ht="330.75" customHeight="1"/>
    <row r="2684" ht="330.75" customHeight="1"/>
    <row r="2685" ht="330.75" customHeight="1"/>
    <row r="2686" ht="330.75" customHeight="1"/>
    <row r="2687" ht="330.75" customHeight="1"/>
    <row r="2688" ht="330.75" customHeight="1"/>
    <row r="2689" ht="330.75" customHeight="1"/>
    <row r="2690" ht="330.75" customHeight="1"/>
    <row r="2691" ht="330.75" customHeight="1"/>
    <row r="2692" ht="330.75" customHeight="1"/>
    <row r="2693" ht="330.75" customHeight="1"/>
    <row r="2694" ht="330.75" customHeight="1"/>
    <row r="2695" ht="330.75" customHeight="1"/>
    <row r="2696" ht="330.75" customHeight="1"/>
    <row r="2697" ht="330.75" customHeight="1"/>
    <row r="2698" ht="330.75" customHeight="1"/>
    <row r="2699" ht="330.75" customHeight="1"/>
    <row r="2700" ht="330.75" customHeight="1"/>
    <row r="2701" ht="330.75" customHeight="1"/>
    <row r="2702" ht="330.75" customHeight="1"/>
    <row r="2703" ht="330.75" customHeight="1"/>
    <row r="2704" ht="330.75" customHeight="1"/>
    <row r="2705" ht="330.75" customHeight="1"/>
    <row r="2706" ht="330.75" customHeight="1"/>
    <row r="2707" ht="330.75" customHeight="1"/>
    <row r="2708" ht="330.75" customHeight="1"/>
    <row r="2709" ht="330.75" customHeight="1"/>
    <row r="2710" ht="330.75" customHeight="1"/>
    <row r="2711" ht="330.75" customHeight="1"/>
    <row r="2712" ht="330.75" customHeight="1"/>
    <row r="2713" ht="330.75" customHeight="1"/>
    <row r="2714" ht="330.75" customHeight="1"/>
    <row r="2715" ht="330.75" customHeight="1"/>
    <row r="2716" ht="330.75" customHeight="1"/>
    <row r="2717" ht="330.75" customHeight="1"/>
    <row r="2718" ht="330.75" customHeight="1"/>
    <row r="2719" ht="330.75" customHeight="1"/>
    <row r="2720" ht="330.75" customHeight="1"/>
    <row r="2721" ht="330.75" customHeight="1"/>
    <row r="2722" ht="330.75" customHeight="1"/>
    <row r="2723" ht="330.75" customHeight="1"/>
    <row r="2724" ht="330.75" customHeight="1"/>
    <row r="2725" ht="330.75" customHeight="1"/>
    <row r="2726" ht="330.75" customHeight="1"/>
    <row r="2727" ht="330.75" customHeight="1"/>
    <row r="2728" ht="330.75" customHeight="1"/>
    <row r="2729" ht="330.75" customHeight="1"/>
    <row r="2730" ht="330.75" customHeight="1"/>
    <row r="2731" ht="330.75" customHeight="1"/>
    <row r="2732" ht="330.75" customHeight="1"/>
    <row r="2733" ht="330.75" customHeight="1"/>
    <row r="2734" ht="330.75" customHeight="1"/>
    <row r="2735" ht="330.75" customHeight="1"/>
    <row r="2736" ht="330.75" customHeight="1"/>
    <row r="2737" ht="330.75" customHeight="1"/>
    <row r="2738" ht="330.75" customHeight="1"/>
    <row r="2739" ht="330.75" customHeight="1"/>
    <row r="2740" ht="330.75" customHeight="1"/>
    <row r="2741" ht="330.75" customHeight="1"/>
    <row r="2742" ht="330.75" customHeight="1"/>
    <row r="2743" ht="330.75" customHeight="1"/>
    <row r="2744" ht="330.75" customHeight="1"/>
    <row r="2745" ht="330.75" customHeight="1"/>
    <row r="2746" ht="330.75" customHeight="1"/>
    <row r="2747" ht="330.75" customHeight="1"/>
    <row r="2748" ht="330.75" customHeight="1"/>
    <row r="2749" ht="330.75" customHeight="1"/>
    <row r="2750" ht="330.75" customHeight="1"/>
    <row r="2751" ht="330.75" customHeight="1"/>
    <row r="2752" ht="330.75" customHeight="1"/>
    <row r="2753" ht="330.75" customHeight="1"/>
    <row r="2754" ht="330.75" customHeight="1"/>
    <row r="2755" ht="330.75" customHeight="1"/>
    <row r="2756" ht="330.75" customHeight="1"/>
    <row r="2757" ht="330.75" customHeight="1"/>
    <row r="2758" ht="330.75" customHeight="1"/>
    <row r="2759" ht="330.75" customHeight="1"/>
    <row r="2760" ht="330.75" customHeight="1"/>
    <row r="2761" ht="330.75" customHeight="1"/>
    <row r="2762" ht="330.75" customHeight="1"/>
    <row r="2763" ht="330.75" customHeight="1"/>
    <row r="2764" ht="330.75" customHeight="1"/>
    <row r="2765" ht="330.75" customHeight="1"/>
    <row r="2766" ht="330.75" customHeight="1"/>
    <row r="2767" ht="330.75" customHeight="1"/>
    <row r="2768" ht="330.75" customHeight="1"/>
    <row r="2769" ht="330.75" customHeight="1"/>
    <row r="2770" ht="330.75" customHeight="1"/>
    <row r="2771" ht="330.75" customHeight="1"/>
    <row r="2772" ht="330.75" customHeight="1"/>
    <row r="2773" ht="330.75" customHeight="1"/>
    <row r="2774" ht="330.75" customHeight="1"/>
    <row r="2775" ht="330.75" customHeight="1"/>
    <row r="2776" ht="330.75" customHeight="1"/>
    <row r="2777" ht="330.75" customHeight="1"/>
    <row r="2778" ht="330.75" customHeight="1"/>
    <row r="2779" ht="330.75" customHeight="1"/>
    <row r="2780" ht="330.75" customHeight="1"/>
    <row r="2781" ht="330.75" customHeight="1"/>
    <row r="2782" ht="330.75" customHeight="1"/>
    <row r="2783" ht="330.75" customHeight="1"/>
    <row r="2784" ht="330.75" customHeight="1"/>
    <row r="2785" ht="330.75" customHeight="1"/>
    <row r="2786" ht="330.75" customHeight="1"/>
    <row r="2787" ht="330.75" customHeight="1"/>
    <row r="2788" ht="330.75" customHeight="1"/>
    <row r="2789" ht="330.75" customHeight="1"/>
    <row r="2790" ht="330.75" customHeight="1"/>
    <row r="2791" ht="330.75" customHeight="1"/>
    <row r="2792" ht="330.75" customHeight="1"/>
    <row r="2793" ht="330.75" customHeight="1"/>
    <row r="2794" ht="330.75" customHeight="1"/>
    <row r="2795" ht="330.75" customHeight="1"/>
    <row r="2796" ht="330.75" customHeight="1"/>
    <row r="2797" ht="330.75" customHeight="1"/>
    <row r="2798" ht="330.75" customHeight="1"/>
    <row r="2799" ht="330.75" customHeight="1"/>
    <row r="2800" ht="330.75" customHeight="1"/>
    <row r="2801" ht="330.75" customHeight="1"/>
    <row r="2802" ht="330.75" customHeight="1"/>
    <row r="2803" ht="330.75" customHeight="1"/>
    <row r="2804" ht="330.75" customHeight="1"/>
    <row r="2805" ht="330.75" customHeight="1"/>
    <row r="2806" ht="330.75" customHeight="1"/>
    <row r="2807" ht="330.75" customHeight="1"/>
    <row r="2808" ht="330.75" customHeight="1"/>
    <row r="2809" ht="330.75" customHeight="1"/>
    <row r="2810" ht="330.75" customHeight="1"/>
    <row r="2811" ht="330.75" customHeight="1"/>
    <row r="2812" ht="330.75" customHeight="1"/>
    <row r="2813" ht="330.75" customHeight="1"/>
    <row r="2814" ht="330.75" customHeight="1"/>
    <row r="2815" ht="330.75" customHeight="1"/>
    <row r="2816" ht="330.75" customHeight="1"/>
    <row r="2817" ht="330.75" customHeight="1"/>
    <row r="2818" ht="330.75" customHeight="1"/>
    <row r="2819" ht="330.75" customHeight="1"/>
    <row r="2820" ht="330.75" customHeight="1"/>
    <row r="2821" ht="330.75" customHeight="1"/>
    <row r="2822" ht="330.75" customHeight="1"/>
    <row r="2823" ht="330.75" customHeight="1"/>
    <row r="2824" ht="330.75" customHeight="1"/>
    <row r="2825" ht="330.75" customHeight="1"/>
    <row r="2826" ht="330.75" customHeight="1"/>
    <row r="2827" ht="330.75" customHeight="1"/>
    <row r="2828" ht="330.75" customHeight="1"/>
    <row r="2829" ht="330.75" customHeight="1"/>
    <row r="2830" ht="330.75" customHeight="1"/>
    <row r="2831" ht="330.75" customHeight="1"/>
    <row r="2832" ht="330.75" customHeight="1"/>
    <row r="2833" ht="330.75" customHeight="1"/>
    <row r="2834" ht="330.75" customHeight="1"/>
    <row r="2835" ht="330.75" customHeight="1"/>
    <row r="2836" ht="330.75" customHeight="1"/>
    <row r="2837" ht="330.75" customHeight="1"/>
    <row r="2838" ht="330.75" customHeight="1"/>
    <row r="2839" ht="330.75" customHeight="1"/>
    <row r="2840" ht="330.75" customHeight="1"/>
    <row r="2841" ht="330.75" customHeight="1"/>
    <row r="2842" ht="330.75" customHeight="1"/>
    <row r="2843" ht="330.75" customHeight="1"/>
    <row r="2844" ht="330.75" customHeight="1"/>
    <row r="2845" ht="330.75" customHeight="1"/>
    <row r="2846" ht="330.75" customHeight="1"/>
    <row r="2847" ht="330.75" customHeight="1"/>
    <row r="2848" ht="330.75" customHeight="1"/>
    <row r="2849" ht="330.75" customHeight="1"/>
    <row r="2850" ht="330.75" customHeight="1"/>
    <row r="2851" ht="330.75" customHeight="1"/>
    <row r="2852" ht="330.75" customHeight="1"/>
    <row r="2853" ht="330.75" customHeight="1"/>
    <row r="2854" ht="330.75" customHeight="1"/>
    <row r="2855" ht="330.75" customHeight="1"/>
    <row r="2856" ht="330.75" customHeight="1"/>
    <row r="2857" ht="330.75" customHeight="1"/>
    <row r="2858" ht="330.75" customHeight="1"/>
    <row r="2859" ht="330.75" customHeight="1"/>
    <row r="2860" ht="330.75" customHeight="1"/>
    <row r="2861" ht="330.75" customHeight="1"/>
    <row r="2862" ht="330.75" customHeight="1"/>
    <row r="2863" ht="330.75" customHeight="1"/>
    <row r="2864" ht="330.75" customHeight="1"/>
    <row r="2865" ht="330.75" customHeight="1"/>
    <row r="2866" ht="330.75" customHeight="1"/>
    <row r="2867" ht="330.75" customHeight="1"/>
    <row r="2868" ht="330.75" customHeight="1"/>
    <row r="2869" ht="330.75" customHeight="1"/>
    <row r="2870" ht="330.75" customHeight="1"/>
    <row r="2871" ht="330.75" customHeight="1"/>
    <row r="2872" ht="330.75" customHeight="1"/>
    <row r="2873" ht="330.75" customHeight="1"/>
    <row r="2874" ht="330.75" customHeight="1"/>
    <row r="2875" ht="330.75" customHeight="1"/>
    <row r="2876" ht="330.75" customHeight="1"/>
    <row r="2877" ht="330.75" customHeight="1"/>
    <row r="2878" ht="330.75" customHeight="1"/>
    <row r="2879" ht="330.75" customHeight="1"/>
    <row r="2880" ht="330.75" customHeight="1"/>
    <row r="2881" ht="330.75" customHeight="1"/>
    <row r="2882" ht="330.75" customHeight="1"/>
    <row r="2883" ht="330.75" customHeight="1"/>
    <row r="2884" ht="330.75" customHeight="1"/>
    <row r="2885" ht="330.75" customHeight="1"/>
    <row r="2886" ht="330.75" customHeight="1"/>
    <row r="2887" ht="330.75" customHeight="1"/>
    <row r="2888" ht="330.75" customHeight="1"/>
    <row r="2889" ht="330.75" customHeight="1"/>
    <row r="2890" ht="330.75" customHeight="1"/>
    <row r="2891" ht="330.75" customHeight="1"/>
    <row r="2892" ht="330.75" customHeight="1"/>
    <row r="2893" ht="330.75" customHeight="1"/>
    <row r="2894" ht="330.75" customHeight="1"/>
    <row r="2895" ht="330.75" customHeight="1"/>
    <row r="2896" ht="330.75" customHeight="1"/>
    <row r="2897" ht="330.75" customHeight="1"/>
    <row r="2898" ht="330.75" customHeight="1"/>
    <row r="2899" ht="330.75" customHeight="1"/>
    <row r="2900" ht="330.75" customHeight="1"/>
    <row r="2901" ht="330.75" customHeight="1"/>
    <row r="2902" ht="330.75" customHeight="1"/>
    <row r="2903" ht="330.75" customHeight="1"/>
    <row r="2904" ht="330.75" customHeight="1"/>
    <row r="2905" ht="330.75" customHeight="1"/>
    <row r="2906" ht="330.75" customHeight="1"/>
    <row r="2907" ht="330.75" customHeight="1"/>
    <row r="2908" ht="330.75" customHeight="1"/>
    <row r="2909" ht="330.75" customHeight="1"/>
    <row r="2910" ht="330.75" customHeight="1"/>
    <row r="2911" ht="330.75" customHeight="1"/>
    <row r="2912" ht="330.75" customHeight="1"/>
    <row r="2913" ht="330.75" customHeight="1"/>
    <row r="2914" ht="330.75" customHeight="1"/>
    <row r="2915" ht="330.75" customHeight="1"/>
    <row r="2916" ht="330.75" customHeight="1"/>
    <row r="2917" ht="330.75" customHeight="1"/>
    <row r="2918" ht="330.75" customHeight="1"/>
    <row r="2919" ht="330.75" customHeight="1"/>
    <row r="2920" ht="330.75" customHeight="1"/>
    <row r="2921" ht="330.75" customHeight="1"/>
    <row r="2922" ht="330.75" customHeight="1"/>
    <row r="2923" ht="330.75" customHeight="1"/>
    <row r="2924" ht="330.75" customHeight="1"/>
    <row r="2925" ht="330.75" customHeight="1"/>
    <row r="2926" ht="330.75" customHeight="1"/>
    <row r="2927" ht="330.75" customHeight="1"/>
    <row r="2928" ht="330.75" customHeight="1"/>
    <row r="2929" ht="330.75" customHeight="1"/>
    <row r="2930" ht="330.75" customHeight="1"/>
    <row r="2931" ht="330.75" customHeight="1"/>
    <row r="2932" ht="330.75" customHeight="1"/>
    <row r="2933" ht="330.75" customHeight="1"/>
    <row r="2934" ht="330.75" customHeight="1"/>
    <row r="2935" ht="330.75" customHeight="1"/>
    <row r="2936" ht="330.75" customHeight="1"/>
    <row r="2937" ht="330.75" customHeight="1"/>
    <row r="2938" ht="330.75" customHeight="1"/>
    <row r="2939" ht="330.75" customHeight="1"/>
    <row r="2940" ht="330.75" customHeight="1"/>
    <row r="2941" ht="330.75" customHeight="1"/>
    <row r="2942" ht="330.75" customHeight="1"/>
    <row r="2943" ht="330.75" customHeight="1"/>
    <row r="2944" ht="330.75" customHeight="1"/>
    <row r="2945" ht="330.75" customHeight="1"/>
    <row r="2946" ht="330.75" customHeight="1"/>
    <row r="2947" ht="330.75" customHeight="1"/>
    <row r="2948" ht="330.75" customHeight="1"/>
    <row r="2949" ht="330.75" customHeight="1"/>
    <row r="2950" ht="330.75" customHeight="1"/>
    <row r="2951" ht="330.75" customHeight="1"/>
    <row r="2952" ht="330.75" customHeight="1"/>
    <row r="2953" ht="330.75" customHeight="1"/>
    <row r="2954" ht="330.75" customHeight="1"/>
    <row r="2955" ht="330.75" customHeight="1"/>
    <row r="2956" ht="330.75" customHeight="1"/>
    <row r="2957" ht="330.75" customHeight="1"/>
    <row r="2958" ht="330.75" customHeight="1"/>
    <row r="2959" ht="330.75" customHeight="1"/>
    <row r="2960" ht="330.75" customHeight="1"/>
    <row r="2961" ht="330.75" customHeight="1"/>
    <row r="2962" ht="330.75" customHeight="1"/>
    <row r="2963" ht="330.75" customHeight="1"/>
    <row r="2964" ht="330.75" customHeight="1"/>
    <row r="2965" ht="330.75" customHeight="1"/>
    <row r="2966" ht="330.75" customHeight="1"/>
    <row r="2967" ht="330.75" customHeight="1"/>
    <row r="2968" ht="330.75" customHeight="1"/>
    <row r="2969" ht="330.75" customHeight="1"/>
    <row r="2970" ht="330.75" customHeight="1"/>
    <row r="2971" ht="330.75" customHeight="1"/>
    <row r="2972" ht="330.75" customHeight="1"/>
    <row r="2973" ht="330.75" customHeight="1"/>
    <row r="2974" ht="330.75" customHeight="1"/>
    <row r="2975" ht="330.75" customHeight="1"/>
    <row r="2976" ht="330.75" customHeight="1"/>
    <row r="2977" ht="330.75" customHeight="1"/>
    <row r="2978" ht="330.75" customHeight="1"/>
    <row r="2979" ht="330.75" customHeight="1"/>
    <row r="2980" ht="330.75" customHeight="1"/>
    <row r="2981" ht="330.75" customHeight="1"/>
    <row r="2982" ht="330.75" customHeight="1"/>
    <row r="2983" ht="330.75" customHeight="1"/>
    <row r="2984" ht="330.75" customHeight="1"/>
    <row r="2985" ht="330.75" customHeight="1"/>
    <row r="2986" ht="330.75" customHeight="1"/>
    <row r="2987" ht="330.75" customHeight="1"/>
    <row r="2988" ht="330.75" customHeight="1"/>
    <row r="2989" ht="330.75" customHeight="1"/>
    <row r="2990" ht="330.75" customHeight="1"/>
    <row r="2991" ht="330.75" customHeight="1"/>
    <row r="2992" ht="330.75" customHeight="1"/>
    <row r="2993" ht="330.75" customHeight="1"/>
    <row r="2994" ht="330.75" customHeight="1"/>
    <row r="2995" ht="330.75" customHeight="1"/>
    <row r="2996" ht="330.75" customHeight="1"/>
    <row r="2997" ht="330.75" customHeight="1"/>
    <row r="2998" ht="330.75" customHeight="1"/>
    <row r="2999" ht="330.75" customHeight="1"/>
    <row r="3000" ht="330.75" customHeight="1"/>
    <row r="3001" ht="330.75" customHeight="1"/>
    <row r="3002" ht="330.75" customHeight="1"/>
    <row r="3003" ht="330.75" customHeight="1"/>
    <row r="3004" ht="330.75" customHeight="1"/>
    <row r="3005" ht="330.75" customHeight="1"/>
    <row r="3006" ht="330.75" customHeight="1"/>
    <row r="3007" ht="330.75" customHeight="1"/>
    <row r="3008" ht="330.75" customHeight="1"/>
    <row r="3009" ht="330.75" customHeight="1"/>
    <row r="3010" ht="330.75" customHeight="1"/>
    <row r="3011" ht="330.75" customHeight="1"/>
    <row r="3012" ht="330.75" customHeight="1"/>
    <row r="3013" ht="330.75" customHeight="1"/>
    <row r="3014" ht="330.75" customHeight="1"/>
    <row r="3015" ht="330.75" customHeight="1"/>
    <row r="3016" ht="330.75" customHeight="1"/>
    <row r="3017" ht="330.75" customHeight="1"/>
    <row r="3018" ht="330.75" customHeight="1"/>
    <row r="3019" ht="330.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6" width="37.86"/>
  </cols>
  <sheetData>
    <row r="1" ht="20.25" customHeight="1">
      <c r="B1" s="32" t="s">
        <v>246</v>
      </c>
      <c r="C1" s="34" t="s">
        <v>247</v>
      </c>
      <c r="D1" s="34" t="s">
        <v>248</v>
      </c>
      <c r="E1" s="34" t="s">
        <v>249</v>
      </c>
      <c r="F1" s="34" t="s">
        <v>250</v>
      </c>
      <c r="G1" s="34" t="s">
        <v>251</v>
      </c>
      <c r="H1" s="34" t="s">
        <v>252</v>
      </c>
    </row>
    <row r="2" ht="24.75" customHeight="1">
      <c r="A2" s="32" t="str">
        <f>IMAGE("https://gymvisual.com/10368-catalog_default/dumbbell-standing-triceps-extension-female.jpg",4,500,500)</f>
        <v/>
      </c>
      <c r="B2" s="30">
        <v>2001.0</v>
      </c>
      <c r="C2" s="16" t="s">
        <v>2613</v>
      </c>
      <c r="D2" s="16" t="s">
        <v>184</v>
      </c>
      <c r="E2" s="16" t="s">
        <v>219</v>
      </c>
      <c r="F2" s="16" t="s">
        <v>222</v>
      </c>
      <c r="G2" s="16" t="s">
        <v>223</v>
      </c>
      <c r="H2" s="16" t="s">
        <v>220</v>
      </c>
    </row>
    <row r="3" ht="24.75" customHeight="1">
      <c r="A3" s="32" t="str">
        <f>IMAGE("https://gymvisual.com/22450-catalog_default/dumbbell-standing-windmill.jpg",4,500,500)</f>
        <v/>
      </c>
      <c r="B3" s="30">
        <v>2002.0</v>
      </c>
      <c r="C3" s="16" t="s">
        <v>2614</v>
      </c>
      <c r="D3" s="16" t="s">
        <v>184</v>
      </c>
      <c r="E3" s="16" t="s">
        <v>254</v>
      </c>
      <c r="F3" s="16" t="s">
        <v>222</v>
      </c>
      <c r="G3" s="16" t="s">
        <v>220</v>
      </c>
      <c r="H3" s="16" t="s">
        <v>220</v>
      </c>
    </row>
    <row r="4" ht="24.75" customHeight="1">
      <c r="A4" s="32" t="str">
        <f>IMAGE("https://gymvisual.com/9744-catalog_default/dumbbell-standing-zottman-preacher-curl.jpg",4,500,500)</f>
        <v/>
      </c>
      <c r="B4" s="30">
        <v>2003.0</v>
      </c>
      <c r="C4" s="16" t="s">
        <v>2615</v>
      </c>
      <c r="D4" s="16" t="s">
        <v>184</v>
      </c>
      <c r="E4" s="16" t="s">
        <v>219</v>
      </c>
      <c r="F4" s="16" t="s">
        <v>222</v>
      </c>
      <c r="G4" s="16" t="s">
        <v>241</v>
      </c>
      <c r="H4" s="16" t="s">
        <v>2305</v>
      </c>
    </row>
    <row r="5" ht="24.75" customHeight="1">
      <c r="A5" s="32" t="str">
        <f>IMAGE("https://gymvisual.com/23591-catalog_default/dumbbell-static-lunge.jpg",4,500,500)</f>
        <v/>
      </c>
      <c r="B5" s="30">
        <v>2004.0</v>
      </c>
      <c r="C5" s="16" t="s">
        <v>2616</v>
      </c>
      <c r="D5" s="16" t="s">
        <v>184</v>
      </c>
      <c r="E5" s="16" t="s">
        <v>285</v>
      </c>
      <c r="F5" s="16" t="s">
        <v>222</v>
      </c>
      <c r="G5" s="16" t="s">
        <v>295</v>
      </c>
      <c r="H5" s="16" t="s">
        <v>2512</v>
      </c>
    </row>
    <row r="6" ht="24.75" customHeight="1">
      <c r="A6" s="32" t="str">
        <f>IMAGE("https://gymvisual.com/22263-catalog_default/dumbbell-step-back-lunge-and-row.jpg",4,500,500)</f>
        <v/>
      </c>
      <c r="B6" s="30">
        <v>2005.0</v>
      </c>
      <c r="C6" s="16" t="s">
        <v>2617</v>
      </c>
      <c r="D6" s="16" t="s">
        <v>184</v>
      </c>
      <c r="E6" s="16" t="s">
        <v>285</v>
      </c>
      <c r="F6" s="16" t="s">
        <v>222</v>
      </c>
      <c r="G6" s="16" t="s">
        <v>220</v>
      </c>
      <c r="H6" s="16" t="s">
        <v>220</v>
      </c>
    </row>
    <row r="7" ht="24.75" customHeight="1">
      <c r="A7" s="32" t="str">
        <f>IMAGE("https://gymvisual.com/9577-catalog_default/dumbbell-step-up-female.jpg",4,500,500)</f>
        <v/>
      </c>
      <c r="B7" s="30">
        <v>2006.0</v>
      </c>
      <c r="C7" s="16" t="s">
        <v>2618</v>
      </c>
      <c r="D7" s="16" t="s">
        <v>184</v>
      </c>
      <c r="E7" s="16" t="s">
        <v>294</v>
      </c>
      <c r="F7" s="16" t="s">
        <v>222</v>
      </c>
      <c r="G7" s="16" t="s">
        <v>189</v>
      </c>
      <c r="H7" s="16" t="s">
        <v>190</v>
      </c>
    </row>
    <row r="8" ht="24.75" customHeight="1">
      <c r="A8" s="32" t="str">
        <f>IMAGE("https://gymvisual.com/7157-catalog_default/dumbbell-step-up-single-leg-balance-with-bicep-curl.jpg",4,500,500)</f>
        <v/>
      </c>
      <c r="B8" s="30">
        <v>2007.0</v>
      </c>
      <c r="C8" s="16" t="s">
        <v>2619</v>
      </c>
      <c r="D8" s="16" t="s">
        <v>184</v>
      </c>
      <c r="E8" s="16" t="s">
        <v>219</v>
      </c>
      <c r="F8" s="16" t="s">
        <v>222</v>
      </c>
      <c r="G8" s="16" t="s">
        <v>220</v>
      </c>
      <c r="H8" s="16" t="s">
        <v>220</v>
      </c>
    </row>
    <row r="9" ht="24.75" customHeight="1">
      <c r="A9" s="32" t="str">
        <f>IMAGE("https://gymvisual.com/1312-catalog_default/3-4-sit-up.jpg",4,500,500)</f>
        <v/>
      </c>
      <c r="B9" s="30">
        <v>2008.0</v>
      </c>
      <c r="C9" s="16" t="s">
        <v>2620</v>
      </c>
      <c r="D9" s="16" t="s">
        <v>184</v>
      </c>
      <c r="E9" s="16" t="s">
        <v>185</v>
      </c>
      <c r="F9" s="16" t="s">
        <v>222</v>
      </c>
      <c r="G9" s="16" t="s">
        <v>189</v>
      </c>
      <c r="H9" s="16" t="s">
        <v>2046</v>
      </c>
    </row>
    <row r="10" ht="24.75" customHeight="1">
      <c r="A10" s="32" t="str">
        <f>IMAGE("https://gymvisual.com/22522-catalog_default/dumbbell-step-up-version-2.jpg",4,500,500)</f>
        <v/>
      </c>
      <c r="B10" s="30">
        <v>2009.0</v>
      </c>
      <c r="C10" s="16" t="s">
        <v>2621</v>
      </c>
      <c r="D10" s="16" t="s">
        <v>184</v>
      </c>
      <c r="E10" s="16" t="s">
        <v>285</v>
      </c>
      <c r="F10" s="16" t="s">
        <v>222</v>
      </c>
      <c r="G10" s="16" t="s">
        <v>220</v>
      </c>
      <c r="H10" s="16" t="s">
        <v>220</v>
      </c>
    </row>
    <row r="11" ht="24.75" customHeight="1">
      <c r="A11" s="32" t="str">
        <f>IMAGE("https://gymvisual.com/11958-catalog_default/dumbbell-step-up-lunge.jpg",4,500,500)</f>
        <v/>
      </c>
      <c r="B11" s="30">
        <v>2010.0</v>
      </c>
      <c r="C11" s="16" t="s">
        <v>2622</v>
      </c>
      <c r="D11" s="16" t="s">
        <v>184</v>
      </c>
      <c r="E11" s="16" t="s">
        <v>285</v>
      </c>
      <c r="F11" s="16" t="s">
        <v>222</v>
      </c>
      <c r="G11" s="16" t="s">
        <v>220</v>
      </c>
      <c r="H11" s="16" t="s">
        <v>220</v>
      </c>
    </row>
    <row r="12" ht="24.75" customHeight="1">
      <c r="A12" s="32" t="str">
        <f>IMAGE("https://gymvisual.com/11959-catalog_default/dumbbell-step-up-lunge-female.jpg",4,500,500)</f>
        <v/>
      </c>
      <c r="B12" s="30">
        <v>2011.0</v>
      </c>
      <c r="C12" s="16" t="s">
        <v>2623</v>
      </c>
      <c r="D12" s="16" t="s">
        <v>184</v>
      </c>
      <c r="E12" s="16" t="s">
        <v>285</v>
      </c>
      <c r="F12" s="16" t="s">
        <v>222</v>
      </c>
      <c r="G12" s="16" t="s">
        <v>220</v>
      </c>
      <c r="H12" s="16" t="s">
        <v>220</v>
      </c>
    </row>
    <row r="13" ht="24.75" customHeight="1">
      <c r="A13" s="32" t="str">
        <f>IMAGE("https://gymvisual.com/11975-catalog_default/dumbbell-step-up-split-squat.jpg",4,500,500)</f>
        <v/>
      </c>
      <c r="B13" s="30">
        <v>2012.0</v>
      </c>
      <c r="C13" s="16" t="s">
        <v>2624</v>
      </c>
      <c r="D13" s="16" t="s">
        <v>184</v>
      </c>
      <c r="E13" s="16" t="s">
        <v>285</v>
      </c>
      <c r="F13" s="16" t="s">
        <v>222</v>
      </c>
      <c r="G13" s="16" t="s">
        <v>220</v>
      </c>
      <c r="H13" s="16" t="s">
        <v>220</v>
      </c>
    </row>
    <row r="14" ht="24.75" customHeight="1">
      <c r="A14" s="32" t="str">
        <f>IMAGE("https://gymvisual.com/11976-catalog_default/dumbbell-step-up-split-squat-female.jpg",4,500,500)</f>
        <v/>
      </c>
      <c r="B14" s="30">
        <v>2013.0</v>
      </c>
      <c r="C14" s="16" t="s">
        <v>2625</v>
      </c>
      <c r="D14" s="16" t="s">
        <v>184</v>
      </c>
      <c r="E14" s="16" t="s">
        <v>285</v>
      </c>
      <c r="F14" s="16" t="s">
        <v>222</v>
      </c>
      <c r="G14" s="16" t="s">
        <v>220</v>
      </c>
      <c r="H14" s="16" t="s">
        <v>220</v>
      </c>
    </row>
    <row r="15" ht="24.75" customHeight="1">
      <c r="A15" s="32" t="str">
        <f>IMAGE("https://gymvisual.com/22161-catalog_default/dumbbell-step-up-with-knee-raise.jpg",4,500,500)</f>
        <v/>
      </c>
      <c r="B15" s="30">
        <v>2014.0</v>
      </c>
      <c r="C15" s="16" t="s">
        <v>2626</v>
      </c>
      <c r="D15" s="16" t="s">
        <v>184</v>
      </c>
      <c r="E15" s="16" t="s">
        <v>185</v>
      </c>
      <c r="F15" s="16" t="s">
        <v>222</v>
      </c>
      <c r="G15" s="16" t="s">
        <v>189</v>
      </c>
      <c r="H15" s="16" t="s">
        <v>190</v>
      </c>
    </row>
    <row r="16" ht="24.75" customHeight="1">
      <c r="A16" s="32" t="str">
        <f>IMAGE("https://gymvisual.com/1315-catalog_default/3-4-sit-up.jpg",4,500,500)</f>
        <v/>
      </c>
      <c r="B16" s="30">
        <v>2015.0</v>
      </c>
      <c r="C16" s="16" t="s">
        <v>2627</v>
      </c>
      <c r="D16" s="16" t="s">
        <v>184</v>
      </c>
      <c r="E16" s="16" t="s">
        <v>185</v>
      </c>
      <c r="F16" s="16" t="s">
        <v>222</v>
      </c>
      <c r="G16" s="16" t="s">
        <v>267</v>
      </c>
      <c r="H16" s="16" t="s">
        <v>188</v>
      </c>
    </row>
    <row r="17" ht="24.75" customHeight="1">
      <c r="A17" s="32" t="str">
        <f>IMAGE("https://gymvisual.com/13630-catalog_default/dumbbell-stiff-leg-deadlift.jpg",4,500,500)</f>
        <v/>
      </c>
      <c r="B17" s="30">
        <v>2016.0</v>
      </c>
      <c r="C17" s="16" t="s">
        <v>2627</v>
      </c>
      <c r="D17" s="16" t="s">
        <v>184</v>
      </c>
      <c r="E17" s="16" t="s">
        <v>185</v>
      </c>
      <c r="F17" s="16" t="s">
        <v>222</v>
      </c>
      <c r="G17" s="16" t="s">
        <v>267</v>
      </c>
      <c r="H17" s="16" t="s">
        <v>188</v>
      </c>
    </row>
    <row r="18" ht="24.75" customHeight="1">
      <c r="A18" s="32" t="str">
        <f>IMAGE("https://gymvisual.com/11438-catalog_default/dumbbell-stiff-leg-deadlift-female.jpg",4,500,500)</f>
        <v/>
      </c>
      <c r="B18" s="30">
        <v>2017.0</v>
      </c>
      <c r="C18" s="16" t="s">
        <v>2628</v>
      </c>
      <c r="D18" s="16" t="s">
        <v>184</v>
      </c>
      <c r="E18" s="16" t="s">
        <v>294</v>
      </c>
      <c r="F18" s="16" t="s">
        <v>222</v>
      </c>
      <c r="G18" s="16" t="s">
        <v>267</v>
      </c>
      <c r="H18" s="16" t="s">
        <v>188</v>
      </c>
    </row>
    <row r="19" ht="24.75" customHeight="1">
      <c r="A19" s="32" t="str">
        <f>IMAGE("https://gymvisual.com/17132-catalog_default/dumbbell-stiff-leg-deadlift-female.jpg",4,500,500)</f>
        <v/>
      </c>
      <c r="B19" s="30">
        <v>2018.0</v>
      </c>
      <c r="C19" s="16" t="s">
        <v>2628</v>
      </c>
      <c r="D19" s="16" t="s">
        <v>184</v>
      </c>
      <c r="E19" s="16" t="s">
        <v>185</v>
      </c>
      <c r="F19" s="16" t="s">
        <v>222</v>
      </c>
      <c r="G19" s="16" t="s">
        <v>267</v>
      </c>
      <c r="H19" s="16" t="s">
        <v>188</v>
      </c>
    </row>
    <row r="20" ht="24.75" customHeight="1">
      <c r="A20" s="32" t="str">
        <f>IMAGE("https://gymvisual.com/6803-catalog_default/dumbbell-stiff-leg-deadlift-on-bench.jpg",4,500,500)</f>
        <v/>
      </c>
      <c r="B20" s="30">
        <v>2019.0</v>
      </c>
      <c r="C20" s="16" t="s">
        <v>2629</v>
      </c>
      <c r="D20" s="16" t="s">
        <v>184</v>
      </c>
      <c r="E20" s="16" t="s">
        <v>185</v>
      </c>
      <c r="F20" s="16" t="s">
        <v>222</v>
      </c>
      <c r="G20" s="16" t="s">
        <v>220</v>
      </c>
      <c r="H20" s="16" t="s">
        <v>220</v>
      </c>
    </row>
    <row r="21" ht="24.75" customHeight="1">
      <c r="A21" s="32" t="str">
        <f>IMAGE("https://gymvisual.com/22139-catalog_default/dumbbell-straight-arm-crunch.jpg",4,500,500)</f>
        <v/>
      </c>
      <c r="B21" s="30">
        <v>2020.0</v>
      </c>
      <c r="C21" s="16" t="s">
        <v>2630</v>
      </c>
      <c r="D21" s="16" t="s">
        <v>184</v>
      </c>
      <c r="E21" s="16" t="s">
        <v>254</v>
      </c>
      <c r="F21" s="16" t="s">
        <v>222</v>
      </c>
      <c r="G21" s="16" t="s">
        <v>256</v>
      </c>
      <c r="H21" s="16" t="s">
        <v>257</v>
      </c>
    </row>
    <row r="22" ht="24.75" customHeight="1">
      <c r="A22" s="32" t="str">
        <f>IMAGE("https://gymvisual.com/12250-catalog_default/3-4-sit-up.jpg",4,500,500)</f>
        <v/>
      </c>
      <c r="B22" s="30">
        <v>2021.0</v>
      </c>
      <c r="C22" s="16" t="s">
        <v>2631</v>
      </c>
      <c r="D22" s="16" t="s">
        <v>184</v>
      </c>
      <c r="E22" s="16" t="s">
        <v>234</v>
      </c>
      <c r="F22" s="16" t="s">
        <v>222</v>
      </c>
      <c r="G22" s="16" t="s">
        <v>347</v>
      </c>
      <c r="H22" s="16" t="s">
        <v>2222</v>
      </c>
    </row>
    <row r="23" ht="24.75" customHeight="1">
      <c r="A23" s="32" t="str">
        <f>IMAGE("https://gymvisual.com/9637-catalog_default/dumbbell-straight-arm-pullover-female.jpg",4,500,500)</f>
        <v/>
      </c>
      <c r="B23" s="30">
        <v>2022.0</v>
      </c>
      <c r="C23" s="16" t="s">
        <v>2632</v>
      </c>
      <c r="D23" s="16" t="s">
        <v>184</v>
      </c>
      <c r="E23" s="16" t="s">
        <v>192</v>
      </c>
      <c r="F23" s="16" t="s">
        <v>222</v>
      </c>
      <c r="G23" s="16" t="s">
        <v>347</v>
      </c>
      <c r="H23" s="16" t="s">
        <v>2362</v>
      </c>
    </row>
    <row r="24" ht="24.75" customHeight="1">
      <c r="A24" s="32" t="str">
        <f>IMAGE("https://gymvisual.com/12748-catalog_default/dumbbell-straight-arm-pullover-knees-at-90-degrees.jpg",4,500,500)</f>
        <v/>
      </c>
      <c r="B24" s="30">
        <v>2023.0</v>
      </c>
      <c r="C24" s="16" t="s">
        <v>2633</v>
      </c>
      <c r="D24" s="16" t="s">
        <v>184</v>
      </c>
      <c r="E24" s="16" t="s">
        <v>234</v>
      </c>
      <c r="F24" s="16" t="s">
        <v>222</v>
      </c>
      <c r="G24" s="16" t="s">
        <v>347</v>
      </c>
      <c r="H24" s="16" t="s">
        <v>2634</v>
      </c>
    </row>
    <row r="25" ht="24.75" customHeight="1">
      <c r="A25" s="32" t="str">
        <f>IMAGE("https://gymvisual.com/12838-catalog_default/dumbbell-straight-arm-pullover-with-hanging-band-technique.jpg",4,500,500)</f>
        <v/>
      </c>
      <c r="B25" s="30">
        <v>2024.0</v>
      </c>
      <c r="C25" s="16" t="s">
        <v>2635</v>
      </c>
      <c r="D25" s="16" t="s">
        <v>184</v>
      </c>
      <c r="E25" s="16" t="s">
        <v>234</v>
      </c>
      <c r="F25" s="16" t="s">
        <v>222</v>
      </c>
      <c r="G25" s="16" t="s">
        <v>347</v>
      </c>
      <c r="H25" s="16" t="s">
        <v>2636</v>
      </c>
    </row>
    <row r="26" ht="24.75" customHeight="1">
      <c r="A26" s="32" t="str">
        <f>IMAGE("https://gymvisual.com/22756-catalog_default/dumbbell-straight-arm-twisting-sit-up.jpg",4,500,500)</f>
        <v/>
      </c>
      <c r="B26" s="30">
        <v>2025.0</v>
      </c>
      <c r="C26" s="16" t="s">
        <v>2637</v>
      </c>
      <c r="D26" s="16" t="s">
        <v>184</v>
      </c>
      <c r="E26" s="16" t="s">
        <v>254</v>
      </c>
      <c r="F26" s="16" t="s">
        <v>222</v>
      </c>
      <c r="G26" s="16" t="s">
        <v>257</v>
      </c>
      <c r="H26" s="16" t="s">
        <v>256</v>
      </c>
    </row>
    <row r="27" ht="24.75" customHeight="1">
      <c r="A27" s="32" t="str">
        <f>IMAGE("https://gymvisual.com/24651-catalog_default/3-4-sit-up.jpg",4,500,500)</f>
        <v/>
      </c>
      <c r="B27" s="30">
        <v>2026.0</v>
      </c>
      <c r="C27" s="16" t="s">
        <v>2638</v>
      </c>
      <c r="D27" s="16" t="s">
        <v>184</v>
      </c>
      <c r="E27" s="16" t="s">
        <v>254</v>
      </c>
      <c r="F27" s="16" t="s">
        <v>222</v>
      </c>
      <c r="G27" s="16" t="s">
        <v>267</v>
      </c>
      <c r="H27" s="16" t="s">
        <v>188</v>
      </c>
    </row>
    <row r="28" ht="24.75" customHeight="1">
      <c r="A28" s="32" t="str">
        <f>IMAGE("https://gymvisual.com/19606-catalog_default/dumbbell-straight-leg-russian-twist.jpg",4,500,500)</f>
        <v/>
      </c>
      <c r="B28" s="30">
        <v>2027.0</v>
      </c>
      <c r="C28" s="16" t="s">
        <v>2639</v>
      </c>
      <c r="D28" s="16" t="s">
        <v>184</v>
      </c>
      <c r="E28" s="16" t="s">
        <v>254</v>
      </c>
      <c r="F28" s="16" t="s">
        <v>222</v>
      </c>
      <c r="G28" s="16" t="s">
        <v>257</v>
      </c>
      <c r="H28" s="16" t="s">
        <v>2640</v>
      </c>
    </row>
    <row r="29" ht="24.75" customHeight="1">
      <c r="A29" s="32" t="str">
        <f>IMAGE("https://gymvisual.com/22151-catalog_default/dumbbell-straight-legs-deadlift.jpg",4,500,500)</f>
        <v/>
      </c>
      <c r="B29" s="30">
        <v>2028.0</v>
      </c>
      <c r="C29" s="16" t="s">
        <v>2641</v>
      </c>
      <c r="D29" s="16" t="s">
        <v>184</v>
      </c>
      <c r="E29" s="16" t="s">
        <v>185</v>
      </c>
      <c r="F29" s="16" t="s">
        <v>222</v>
      </c>
      <c r="G29" s="16" t="s">
        <v>267</v>
      </c>
      <c r="H29" s="16" t="s">
        <v>188</v>
      </c>
    </row>
    <row r="30" ht="24.75" customHeight="1">
      <c r="A30" s="32" t="str">
        <f>IMAGE("https://gymvisual.com/12172-catalog_default/dumbbell-suitcase-carry.jpg",4,500,500)</f>
        <v/>
      </c>
      <c r="B30" s="30">
        <v>2029.0</v>
      </c>
      <c r="C30" s="16" t="s">
        <v>2642</v>
      </c>
      <c r="D30" s="16" t="s">
        <v>184</v>
      </c>
      <c r="E30" s="16" t="s">
        <v>285</v>
      </c>
      <c r="F30" s="16" t="s">
        <v>222</v>
      </c>
      <c r="G30" s="16" t="s">
        <v>220</v>
      </c>
      <c r="H30" s="16" t="s">
        <v>220</v>
      </c>
    </row>
    <row r="31" ht="24.75" customHeight="1">
      <c r="A31" s="32" t="str">
        <f>IMAGE("https://gymvisual.com/22265-catalog_default/dumbbell-sumo-deadlift-female.jpg",4,500,500)</f>
        <v/>
      </c>
      <c r="B31" s="30">
        <v>2030.0</v>
      </c>
      <c r="C31" s="16" t="s">
        <v>2643</v>
      </c>
      <c r="D31" s="16" t="s">
        <v>184</v>
      </c>
      <c r="E31" s="16" t="s">
        <v>185</v>
      </c>
      <c r="F31" s="16" t="s">
        <v>222</v>
      </c>
      <c r="G31" s="16" t="s">
        <v>220</v>
      </c>
      <c r="H31" s="16" t="s">
        <v>220</v>
      </c>
    </row>
    <row r="32" ht="24.75" customHeight="1">
      <c r="A32" s="32" t="str">
        <f>IMAGE("https://gymvisual.com/11970-catalog_default/dumbbell-sumo-pull-through.jpg",4,500,500)</f>
        <v/>
      </c>
      <c r="B32" s="30">
        <v>2031.0</v>
      </c>
      <c r="C32" s="16" t="s">
        <v>2644</v>
      </c>
      <c r="D32" s="16" t="s">
        <v>184</v>
      </c>
      <c r="E32" s="16" t="s">
        <v>185</v>
      </c>
      <c r="F32" s="16" t="s">
        <v>222</v>
      </c>
      <c r="G32" s="16" t="s">
        <v>220</v>
      </c>
      <c r="H32" s="16" t="s">
        <v>220</v>
      </c>
    </row>
    <row r="33" ht="24.75" customHeight="1">
      <c r="A33" s="32" t="str">
        <f>IMAGE("https://gymvisual.com/11971-catalog_default/dumbbell-sumo-pull-through-female.jpg",4,500,500)</f>
        <v/>
      </c>
      <c r="B33" s="30">
        <v>2032.0</v>
      </c>
      <c r="C33" s="16" t="s">
        <v>2645</v>
      </c>
      <c r="D33" s="16" t="s">
        <v>184</v>
      </c>
      <c r="E33" s="16" t="s">
        <v>185</v>
      </c>
      <c r="F33" s="16" t="s">
        <v>222</v>
      </c>
      <c r="G33" s="16" t="s">
        <v>1201</v>
      </c>
      <c r="H33" s="16" t="s">
        <v>2646</v>
      </c>
    </row>
    <row r="34" ht="24.75" customHeight="1">
      <c r="A34" s="32" t="str">
        <f>IMAGE("https://gymvisual.com/1324-catalog_default/3-4-sit-up.jpg",4,500,500)</f>
        <v/>
      </c>
      <c r="B34" s="30">
        <v>2033.0</v>
      </c>
      <c r="C34" s="16" t="s">
        <v>2647</v>
      </c>
      <c r="D34" s="16" t="s">
        <v>184</v>
      </c>
      <c r="E34" s="16" t="s">
        <v>285</v>
      </c>
      <c r="F34" s="16" t="s">
        <v>222</v>
      </c>
      <c r="G34" s="16" t="s">
        <v>189</v>
      </c>
      <c r="H34" s="16" t="s">
        <v>190</v>
      </c>
    </row>
    <row r="35" ht="24.75" customHeight="1">
      <c r="A35" s="32" t="str">
        <f>IMAGE("https://gymvisual.com/20656-catalog_default/dumbbell-sumo-squat-female.jpg",4,500,500)</f>
        <v/>
      </c>
      <c r="B35" s="30">
        <v>2034.0</v>
      </c>
      <c r="C35" s="16" t="s">
        <v>2648</v>
      </c>
      <c r="D35" s="16" t="s">
        <v>184</v>
      </c>
      <c r="E35" s="16" t="s">
        <v>285</v>
      </c>
      <c r="F35" s="16" t="s">
        <v>222</v>
      </c>
      <c r="G35" s="16" t="s">
        <v>189</v>
      </c>
      <c r="H35" s="16" t="s">
        <v>1121</v>
      </c>
    </row>
    <row r="36" ht="24.75" customHeight="1">
      <c r="A36" s="32" t="str">
        <f>IMAGE("https://gymvisual.com/21113-catalog_default/dumbbell-sumo-squat-male.jpg",4,500,500)</f>
        <v/>
      </c>
      <c r="B36" s="30">
        <v>2035.0</v>
      </c>
      <c r="C36" s="16" t="s">
        <v>2649</v>
      </c>
      <c r="D36" s="16" t="s">
        <v>184</v>
      </c>
      <c r="E36" s="16" t="s">
        <v>294</v>
      </c>
      <c r="F36" s="16" t="s">
        <v>222</v>
      </c>
      <c r="G36" s="16" t="s">
        <v>220</v>
      </c>
      <c r="H36" s="16" t="s">
        <v>220</v>
      </c>
    </row>
    <row r="37" ht="24.75" customHeight="1">
      <c r="A37" s="32" t="str">
        <f>IMAGE("https://gymvisual.com/10539-catalog_default/dumbbell-sumo-squat-off-benches-female.jpg",4,500,500)</f>
        <v/>
      </c>
      <c r="B37" s="30">
        <v>2036.0</v>
      </c>
      <c r="C37" s="16" t="s">
        <v>2650</v>
      </c>
      <c r="D37" s="16" t="s">
        <v>184</v>
      </c>
      <c r="E37" s="16" t="s">
        <v>185</v>
      </c>
      <c r="F37" s="16" t="s">
        <v>222</v>
      </c>
      <c r="G37" s="16" t="s">
        <v>189</v>
      </c>
      <c r="H37" s="16" t="s">
        <v>1121</v>
      </c>
    </row>
    <row r="38" ht="24.75" customHeight="1">
      <c r="A38" s="32" t="str">
        <f>IMAGE("https://gymvisual.com/13930-catalog_default/dumbbell-superman.jpg",4,500,500)</f>
        <v/>
      </c>
      <c r="B38" s="30">
        <v>2037.0</v>
      </c>
      <c r="C38" s="16" t="s">
        <v>2651</v>
      </c>
      <c r="D38" s="16" t="s">
        <v>184</v>
      </c>
      <c r="E38" s="16" t="s">
        <v>185</v>
      </c>
      <c r="F38" s="16" t="s">
        <v>222</v>
      </c>
      <c r="G38" s="16" t="s">
        <v>267</v>
      </c>
      <c r="H38" s="16" t="s">
        <v>188</v>
      </c>
    </row>
    <row r="39" ht="24.75" customHeight="1">
      <c r="A39" s="32" t="str">
        <f>IMAGE("https://gymvisual.com/13932-catalog_default/dumbbell-superman-female.jpg",4,500,500)</f>
        <v/>
      </c>
      <c r="B39" s="30">
        <v>2038.0</v>
      </c>
      <c r="C39" s="16" t="s">
        <v>2652</v>
      </c>
      <c r="D39" s="16" t="s">
        <v>184</v>
      </c>
      <c r="E39" s="16" t="s">
        <v>185</v>
      </c>
      <c r="F39" s="16" t="s">
        <v>222</v>
      </c>
      <c r="G39" s="16" t="s">
        <v>267</v>
      </c>
      <c r="H39" s="16" t="s">
        <v>188</v>
      </c>
    </row>
    <row r="40" ht="24.75" customHeight="1">
      <c r="A40" s="32" t="str">
        <f>IMAGE("https://gymvisual.com/11967-catalog_default/dumbbell-supported-squat.jpg",4,500,500)</f>
        <v/>
      </c>
      <c r="B40" s="30">
        <v>2039.0</v>
      </c>
      <c r="C40" s="16" t="s">
        <v>2653</v>
      </c>
      <c r="D40" s="16" t="s">
        <v>184</v>
      </c>
      <c r="E40" s="16" t="s">
        <v>285</v>
      </c>
      <c r="F40" s="16" t="s">
        <v>222</v>
      </c>
      <c r="G40" s="16" t="s">
        <v>220</v>
      </c>
      <c r="H40" s="16" t="s">
        <v>220</v>
      </c>
    </row>
    <row r="41" ht="24.75" customHeight="1">
      <c r="A41" s="32" t="str">
        <f>IMAGE("https://gymvisual.com/11966-catalog_default/dumbbell-supported-squat-female.jpg",4,500,500)</f>
        <v/>
      </c>
      <c r="B41" s="30">
        <v>2040.0</v>
      </c>
      <c r="C41" s="16" t="s">
        <v>2654</v>
      </c>
      <c r="D41" s="16" t="s">
        <v>184</v>
      </c>
      <c r="E41" s="16" t="s">
        <v>285</v>
      </c>
      <c r="F41" s="16" t="s">
        <v>222</v>
      </c>
      <c r="G41" s="16" t="s">
        <v>220</v>
      </c>
      <c r="H41" s="16" t="s">
        <v>220</v>
      </c>
    </row>
    <row r="42" ht="24.75" customHeight="1">
      <c r="A42" s="32" t="str">
        <f>IMAGE("https://gymvisual.com/13926-catalog_default/dumbbell-svend-press.jpg",4,500,500)</f>
        <v/>
      </c>
      <c r="B42" s="30">
        <v>2041.0</v>
      </c>
      <c r="C42" s="16" t="s">
        <v>2655</v>
      </c>
      <c r="D42" s="16" t="s">
        <v>184</v>
      </c>
      <c r="E42" s="16" t="s">
        <v>234</v>
      </c>
      <c r="F42" s="16" t="s">
        <v>222</v>
      </c>
      <c r="G42" s="16" t="s">
        <v>235</v>
      </c>
      <c r="H42" s="16" t="s">
        <v>243</v>
      </c>
    </row>
    <row r="43" ht="24.75" customHeight="1">
      <c r="A43" s="32" t="str">
        <f>IMAGE("https://gymvisual.com/13928-catalog_default/dumbbell-svend-press-female.jpg",4,500,500)</f>
        <v/>
      </c>
      <c r="B43" s="30">
        <v>2042.0</v>
      </c>
      <c r="C43" s="16" t="s">
        <v>2656</v>
      </c>
      <c r="D43" s="16" t="s">
        <v>184</v>
      </c>
      <c r="E43" s="16" t="s">
        <v>234</v>
      </c>
      <c r="F43" s="16" t="s">
        <v>222</v>
      </c>
      <c r="G43" s="16" t="s">
        <v>235</v>
      </c>
      <c r="H43" s="16" t="s">
        <v>243</v>
      </c>
    </row>
    <row r="44" ht="24.75" customHeight="1">
      <c r="A44" s="32" t="str">
        <f>IMAGE("https://gymvisual.com/13699-catalog_default/dumbbell-swing.jpg",4,500,500)</f>
        <v/>
      </c>
      <c r="B44" s="30">
        <v>2043.0</v>
      </c>
      <c r="C44" s="16" t="s">
        <v>2657</v>
      </c>
      <c r="D44" s="16" t="s">
        <v>184</v>
      </c>
      <c r="E44" s="16" t="s">
        <v>691</v>
      </c>
      <c r="F44" s="16" t="s">
        <v>222</v>
      </c>
      <c r="G44" s="16" t="s">
        <v>2060</v>
      </c>
      <c r="H44" s="16" t="s">
        <v>2061</v>
      </c>
    </row>
    <row r="45" ht="24.75" customHeight="1">
      <c r="A45" s="32" t="str">
        <f>IMAGE("https://gymvisual.com/13912-catalog_default/dumbbell-swing-female.jpg",4,500,500)</f>
        <v/>
      </c>
      <c r="B45" s="30">
        <v>2044.0</v>
      </c>
      <c r="C45" s="16" t="s">
        <v>2658</v>
      </c>
      <c r="D45" s="16" t="s">
        <v>184</v>
      </c>
      <c r="E45" s="16" t="s">
        <v>691</v>
      </c>
      <c r="F45" s="16" t="s">
        <v>222</v>
      </c>
      <c r="G45" s="16" t="s">
        <v>2412</v>
      </c>
      <c r="H45" s="16" t="s">
        <v>2659</v>
      </c>
    </row>
    <row r="46" ht="24.75" customHeight="1">
      <c r="A46" s="32" t="str">
        <f>IMAGE("https://gymvisual.com/1327-catalog_default/3-4-sit-up.jpg",4,500,500)</f>
        <v/>
      </c>
      <c r="B46" s="30">
        <v>2045.0</v>
      </c>
      <c r="C46" s="16" t="s">
        <v>2660</v>
      </c>
      <c r="D46" s="16" t="s">
        <v>184</v>
      </c>
      <c r="E46" s="16" t="s">
        <v>219</v>
      </c>
      <c r="F46" s="16" t="s">
        <v>222</v>
      </c>
      <c r="G46" s="16" t="s">
        <v>223</v>
      </c>
      <c r="H46" s="16" t="s">
        <v>229</v>
      </c>
    </row>
    <row r="47" ht="24.75" customHeight="1">
      <c r="A47" s="32" t="str">
        <f>IMAGE("https://gymvisual.com/20680-catalog_default/dumbbell-thruster.jpg",4,500,500)</f>
        <v/>
      </c>
      <c r="B47" s="30">
        <v>2046.0</v>
      </c>
      <c r="C47" s="16" t="s">
        <v>2661</v>
      </c>
      <c r="D47" s="16" t="s">
        <v>184</v>
      </c>
      <c r="E47" s="16" t="s">
        <v>691</v>
      </c>
      <c r="F47" s="16" t="s">
        <v>222</v>
      </c>
      <c r="G47" s="16" t="s">
        <v>793</v>
      </c>
      <c r="H47" s="16" t="s">
        <v>2662</v>
      </c>
    </row>
    <row r="48" ht="24.75" customHeight="1">
      <c r="A48" s="32" t="str">
        <f>IMAGE("https://gymvisual.com/13281-catalog_default/dumbbell-thruster-female.jpg",4,500,500)</f>
        <v/>
      </c>
      <c r="B48" s="30">
        <v>2047.0</v>
      </c>
      <c r="C48" s="16" t="s">
        <v>2663</v>
      </c>
      <c r="D48" s="16" t="s">
        <v>184</v>
      </c>
      <c r="E48" s="16" t="s">
        <v>691</v>
      </c>
      <c r="F48" s="16" t="s">
        <v>222</v>
      </c>
      <c r="G48" s="16" t="s">
        <v>220</v>
      </c>
      <c r="H48" s="16" t="s">
        <v>220</v>
      </c>
    </row>
    <row r="49" ht="24.75" customHeight="1">
      <c r="A49" s="32" t="str">
        <f>IMAGE("https://gymvisual.com/7461-catalog_default/dumbbell-tricep-kickback-with-stork-stance.jpg",4,500,500)</f>
        <v/>
      </c>
      <c r="B49" s="30">
        <v>2048.0</v>
      </c>
      <c r="C49" s="16" t="s">
        <v>2664</v>
      </c>
      <c r="D49" s="16" t="s">
        <v>184</v>
      </c>
      <c r="E49" s="16" t="s">
        <v>219</v>
      </c>
      <c r="F49" s="16" t="s">
        <v>222</v>
      </c>
      <c r="G49" s="16" t="s">
        <v>220</v>
      </c>
      <c r="H49" s="16" t="s">
        <v>220</v>
      </c>
    </row>
    <row r="50" ht="24.75" customHeight="1">
      <c r="A50" s="32" t="str">
        <f>IMAGE("https://gymvisual.com/18756-catalog_default/dumbbell-twisted-fly.jpg",4,500,500)</f>
        <v/>
      </c>
      <c r="B50" s="30">
        <v>2049.0</v>
      </c>
      <c r="C50" s="16" t="s">
        <v>2665</v>
      </c>
      <c r="D50" s="16" t="s">
        <v>184</v>
      </c>
      <c r="E50" s="16" t="s">
        <v>234</v>
      </c>
      <c r="F50" s="16" t="s">
        <v>222</v>
      </c>
      <c r="G50" s="16" t="s">
        <v>220</v>
      </c>
      <c r="H50" s="16" t="s">
        <v>220</v>
      </c>
    </row>
    <row r="51" ht="24.75" customHeight="1">
      <c r="A51" s="32" t="str">
        <f>IMAGE("https://gymvisual.com/7462-catalog_default/dumbbell-twisting-bench-press.jpg",4,500,500)</f>
        <v/>
      </c>
      <c r="B51" s="30">
        <v>2050.0</v>
      </c>
      <c r="C51" s="16" t="s">
        <v>2666</v>
      </c>
      <c r="D51" s="16" t="s">
        <v>184</v>
      </c>
      <c r="E51" s="16" t="s">
        <v>219</v>
      </c>
      <c r="F51" s="16" t="s">
        <v>222</v>
      </c>
      <c r="G51" s="16" t="s">
        <v>220</v>
      </c>
      <c r="H51" s="16" t="s">
        <v>220</v>
      </c>
    </row>
    <row r="52" ht="24.75" customHeight="1">
      <c r="A52" s="32" t="str">
        <f>IMAGE("https://gymvisual.com/10028-catalog_default/dumbbell-two-arm-seated-hammer-curl-on-exercise-ball.jpg",4,500,500)</f>
        <v/>
      </c>
      <c r="B52" s="30">
        <v>2051.0</v>
      </c>
      <c r="C52" s="16" t="s">
        <v>2667</v>
      </c>
      <c r="D52" s="16" t="s">
        <v>184</v>
      </c>
      <c r="E52" s="16" t="s">
        <v>214</v>
      </c>
      <c r="F52" s="16" t="s">
        <v>222</v>
      </c>
      <c r="G52" s="16" t="s">
        <v>216</v>
      </c>
      <c r="H52" s="16" t="s">
        <v>217</v>
      </c>
    </row>
    <row r="53" ht="24.75" customHeight="1">
      <c r="A53" s="32" t="str">
        <f>IMAGE("https://gymvisual.com/24822-catalog_default/3-4-sit-up.jpg",4,500,500)</f>
        <v/>
      </c>
      <c r="B53" s="30">
        <v>2052.0</v>
      </c>
      <c r="C53" s="16" t="s">
        <v>2668</v>
      </c>
      <c r="D53" s="16" t="s">
        <v>184</v>
      </c>
      <c r="E53" s="16" t="s">
        <v>228</v>
      </c>
      <c r="F53" s="16" t="s">
        <v>222</v>
      </c>
      <c r="G53" s="16" t="s">
        <v>544</v>
      </c>
      <c r="H53" s="16" t="s">
        <v>713</v>
      </c>
    </row>
    <row r="54" ht="24.75" customHeight="1">
      <c r="A54" s="32" t="str">
        <f>IMAGE("https://gymvisual.com/7592-catalog_default/dumbbell-upright-row-back-pov.jpg",4,500,500)</f>
        <v/>
      </c>
      <c r="B54" s="30">
        <v>2053.0</v>
      </c>
      <c r="C54" s="16" t="s">
        <v>2669</v>
      </c>
      <c r="D54" s="16" t="s">
        <v>184</v>
      </c>
      <c r="E54" s="16" t="s">
        <v>228</v>
      </c>
      <c r="F54" s="16" t="s">
        <v>222</v>
      </c>
      <c r="G54" s="16" t="s">
        <v>220</v>
      </c>
      <c r="H54" s="16" t="s">
        <v>220</v>
      </c>
    </row>
    <row r="55" ht="24.75" customHeight="1">
      <c r="A55" s="32" t="str">
        <f>IMAGE("https://gymvisual.com/13898-catalog_default/dumbbell-upright-row-female.jpg",4,500,500)</f>
        <v/>
      </c>
      <c r="B55" s="30">
        <v>2054.0</v>
      </c>
      <c r="C55" s="16" t="s">
        <v>2670</v>
      </c>
      <c r="D55" s="16" t="s">
        <v>184</v>
      </c>
      <c r="E55" s="16" t="s">
        <v>228</v>
      </c>
      <c r="F55" s="16" t="s">
        <v>222</v>
      </c>
      <c r="G55" s="16" t="s">
        <v>544</v>
      </c>
      <c r="H55" s="16" t="s">
        <v>713</v>
      </c>
    </row>
    <row r="56" ht="24.75" customHeight="1">
      <c r="A56" s="32" t="str">
        <f>IMAGE("https://gymvisual.com/2631-catalog_default/dumbbell-upright-shoulder-external-rotation.jpg",4,500,500)</f>
        <v/>
      </c>
      <c r="B56" s="30">
        <v>2055.0</v>
      </c>
      <c r="C56" s="16" t="s">
        <v>2671</v>
      </c>
      <c r="D56" s="16" t="s">
        <v>184</v>
      </c>
      <c r="E56" s="16" t="s">
        <v>192</v>
      </c>
      <c r="F56" s="16" t="s">
        <v>222</v>
      </c>
      <c r="G56" s="16" t="s">
        <v>1607</v>
      </c>
      <c r="H56" s="16" t="s">
        <v>220</v>
      </c>
    </row>
    <row r="57" ht="24.75" customHeight="1">
      <c r="A57" s="32" t="str">
        <f>IMAGE("https://gymvisual.com/13620-catalog_default/dumbbell-v-up.jpg",4,500,500)</f>
        <v/>
      </c>
      <c r="B57" s="30">
        <v>2056.0</v>
      </c>
      <c r="C57" s="16" t="s">
        <v>2672</v>
      </c>
      <c r="D57" s="16" t="s">
        <v>184</v>
      </c>
      <c r="E57" s="16" t="s">
        <v>254</v>
      </c>
      <c r="F57" s="16" t="s">
        <v>222</v>
      </c>
      <c r="G57" s="16" t="s">
        <v>305</v>
      </c>
      <c r="H57" s="16" t="s">
        <v>319</v>
      </c>
    </row>
    <row r="58" ht="24.75" customHeight="1">
      <c r="A58" s="32" t="str">
        <f>IMAGE("https://gymvisual.com/13914-catalog_default/dumbbell-v-up-female.jpg",4,500,500)</f>
        <v/>
      </c>
      <c r="B58" s="30">
        <v>2057.0</v>
      </c>
      <c r="C58" s="16" t="s">
        <v>2673</v>
      </c>
      <c r="D58" s="16" t="s">
        <v>184</v>
      </c>
      <c r="E58" s="16" t="s">
        <v>310</v>
      </c>
      <c r="F58" s="16" t="s">
        <v>222</v>
      </c>
      <c r="G58" s="16" t="s">
        <v>305</v>
      </c>
      <c r="H58" s="16" t="s">
        <v>600</v>
      </c>
    </row>
    <row r="59" ht="24.75" customHeight="1">
      <c r="A59" s="32" t="str">
        <f>IMAGE("https://gymvisual.com/22754-catalog_default/dumbbell-v-up-version-2.jpg",4,500,500)</f>
        <v/>
      </c>
      <c r="B59" s="30">
        <v>2058.0</v>
      </c>
      <c r="C59" s="16" t="s">
        <v>2674</v>
      </c>
      <c r="D59" s="16" t="s">
        <v>184</v>
      </c>
      <c r="E59" s="16" t="s">
        <v>254</v>
      </c>
      <c r="F59" s="16" t="s">
        <v>222</v>
      </c>
      <c r="G59" s="16" t="s">
        <v>305</v>
      </c>
      <c r="H59" s="16" t="s">
        <v>600</v>
      </c>
    </row>
    <row r="60" ht="24.75" customHeight="1">
      <c r="A60" s="32" t="str">
        <f>IMAGE("https://gymvisual.com/13900-catalog_default/dumbbell-w-press-female.jpg",4,500,500)</f>
        <v/>
      </c>
      <c r="B60" s="30">
        <v>2059.0</v>
      </c>
      <c r="C60" s="16" t="s">
        <v>2675</v>
      </c>
      <c r="D60" s="16" t="s">
        <v>184</v>
      </c>
      <c r="E60" s="16" t="s">
        <v>228</v>
      </c>
      <c r="F60" s="16" t="s">
        <v>222</v>
      </c>
      <c r="G60" s="16" t="s">
        <v>220</v>
      </c>
      <c r="H60" s="16" t="s">
        <v>220</v>
      </c>
    </row>
    <row r="61" ht="24.75" customHeight="1">
      <c r="A61" s="32" t="str">
        <f>IMAGE("https://gymvisual.com/14175-catalog_default/3-4-sit-up.jpg",4,500,500)</f>
        <v/>
      </c>
      <c r="B61" s="30">
        <v>2060.0</v>
      </c>
      <c r="C61" s="16" t="s">
        <v>2676</v>
      </c>
      <c r="D61" s="16" t="s">
        <v>184</v>
      </c>
      <c r="E61" s="16" t="s">
        <v>228</v>
      </c>
      <c r="F61" s="16" t="s">
        <v>222</v>
      </c>
      <c r="G61" s="16" t="s">
        <v>544</v>
      </c>
      <c r="H61" s="16" t="s">
        <v>722</v>
      </c>
    </row>
    <row r="62" ht="24.75" customHeight="1">
      <c r="A62" s="32" t="str">
        <f>IMAGE("https://gymvisual.com/20395-catalog_default/dumbbell-waiter-biceps-curl.jpg",4,500,500)</f>
        <v/>
      </c>
      <c r="B62" s="30">
        <v>2061.0</v>
      </c>
      <c r="C62" s="16" t="s">
        <v>2677</v>
      </c>
      <c r="D62" s="16" t="s">
        <v>184</v>
      </c>
      <c r="E62" s="16" t="s">
        <v>219</v>
      </c>
      <c r="F62" s="16" t="s">
        <v>222</v>
      </c>
      <c r="G62" s="16" t="s">
        <v>241</v>
      </c>
      <c r="H62" s="16" t="s">
        <v>292</v>
      </c>
    </row>
    <row r="63" ht="24.75" customHeight="1">
      <c r="A63" s="32" t="str">
        <f>IMAGE("https://gymvisual.com/25067-catalog_default/dumbbell-walking-calf-raise.jpg",4,500,500)</f>
        <v/>
      </c>
      <c r="B63" s="30">
        <v>2062.0</v>
      </c>
      <c r="C63" s="16" t="s">
        <v>2678</v>
      </c>
      <c r="D63" s="16" t="s">
        <v>184</v>
      </c>
      <c r="E63" s="16" t="s">
        <v>325</v>
      </c>
      <c r="F63" s="16" t="s">
        <v>222</v>
      </c>
      <c r="G63" s="16" t="s">
        <v>220</v>
      </c>
      <c r="H63" s="16" t="s">
        <v>220</v>
      </c>
    </row>
    <row r="64" ht="24.75" customHeight="1">
      <c r="A64" s="32" t="str">
        <f>IMAGE("https://gymvisual.com/23593-catalog_default/dumbbell-walking-lunge-female.jpg",4,500,500)</f>
        <v/>
      </c>
      <c r="B64" s="30">
        <v>2063.0</v>
      </c>
      <c r="C64" s="16" t="s">
        <v>2679</v>
      </c>
      <c r="D64" s="16" t="s">
        <v>184</v>
      </c>
      <c r="E64" s="16" t="s">
        <v>285</v>
      </c>
      <c r="F64" s="16" t="s">
        <v>222</v>
      </c>
      <c r="G64" s="16" t="s">
        <v>189</v>
      </c>
      <c r="H64" s="16" t="s">
        <v>190</v>
      </c>
    </row>
    <row r="65" ht="24.75" customHeight="1">
      <c r="A65" s="32" t="str">
        <f>IMAGE("https://gymvisual.com/6805-catalog_default/dumbbell-wall-squat.jpg",4,500,500)</f>
        <v/>
      </c>
      <c r="B65" s="30">
        <v>2064.0</v>
      </c>
      <c r="C65" s="16" t="s">
        <v>2680</v>
      </c>
      <c r="D65" s="16" t="s">
        <v>184</v>
      </c>
      <c r="E65" s="16" t="s">
        <v>285</v>
      </c>
      <c r="F65" s="16" t="s">
        <v>222</v>
      </c>
      <c r="G65" s="16" t="s">
        <v>220</v>
      </c>
      <c r="H65" s="16" t="s">
        <v>220</v>
      </c>
    </row>
    <row r="66" ht="24.75" customHeight="1">
      <c r="A66" s="32" t="str">
        <f>IMAGE("https://gymvisual.com/21044-catalog_default/dumbbell-wood-chop-squat.jpg",4,500,500)</f>
        <v/>
      </c>
      <c r="B66" s="30">
        <v>2065.0</v>
      </c>
      <c r="C66" s="16" t="s">
        <v>2681</v>
      </c>
      <c r="D66" s="16" t="s">
        <v>184</v>
      </c>
      <c r="E66" s="16" t="s">
        <v>254</v>
      </c>
      <c r="F66" s="16" t="s">
        <v>222</v>
      </c>
      <c r="G66" s="16" t="s">
        <v>2682</v>
      </c>
      <c r="H66" s="16" t="s">
        <v>2683</v>
      </c>
    </row>
    <row r="67" ht="24.75" customHeight="1">
      <c r="A67" s="32" t="str">
        <f>IMAGE("https://gymvisual.com/25013-catalog_default/dumbbell-z-press.jpg",4,500,500)</f>
        <v/>
      </c>
      <c r="B67" s="30">
        <v>2066.0</v>
      </c>
      <c r="C67" s="16" t="s">
        <v>2684</v>
      </c>
      <c r="D67" s="16" t="s">
        <v>184</v>
      </c>
      <c r="E67" s="16" t="s">
        <v>228</v>
      </c>
      <c r="F67" s="16" t="s">
        <v>222</v>
      </c>
      <c r="G67" s="16" t="s">
        <v>220</v>
      </c>
      <c r="H67" s="16" t="s">
        <v>220</v>
      </c>
    </row>
    <row r="68" ht="24.75" customHeight="1">
      <c r="A68" s="32" t="str">
        <f>IMAGE("https://gymvisual.com/12243-catalog_default/3-4-sit-up.jpg",4,500,500)</f>
        <v/>
      </c>
      <c r="B68" s="30">
        <v>2067.0</v>
      </c>
      <c r="C68" s="16" t="s">
        <v>2685</v>
      </c>
      <c r="D68" s="16" t="s">
        <v>184</v>
      </c>
      <c r="E68" s="16" t="s">
        <v>219</v>
      </c>
      <c r="F68" s="16" t="s">
        <v>222</v>
      </c>
      <c r="G68" s="16" t="s">
        <v>241</v>
      </c>
      <c r="H68" s="16" t="s">
        <v>292</v>
      </c>
    </row>
    <row r="69" ht="24.75" customHeight="1">
      <c r="A69" s="32" t="str">
        <f>IMAGE("https://gymvisual.com/9747-catalog_default/dumbbell-zottman-preacher-curl.jpg",4,500,500)</f>
        <v/>
      </c>
      <c r="B69" s="30">
        <v>2068.0</v>
      </c>
      <c r="C69" s="16" t="s">
        <v>2686</v>
      </c>
      <c r="D69" s="16" t="s">
        <v>184</v>
      </c>
      <c r="E69" s="16" t="s">
        <v>219</v>
      </c>
      <c r="F69" s="16" t="s">
        <v>222</v>
      </c>
      <c r="G69" s="16" t="s">
        <v>241</v>
      </c>
      <c r="H69" s="16" t="s">
        <v>2305</v>
      </c>
    </row>
    <row r="70" ht="24.75" customHeight="1">
      <c r="A70" s="32" t="str">
        <f>IMAGE("https://gymvisual.com/22251-catalog_default/dumbbells-glute-bridge-female.jpg",4,500,500)</f>
        <v/>
      </c>
      <c r="B70" s="30">
        <v>2069.0</v>
      </c>
      <c r="C70" s="16" t="s">
        <v>2687</v>
      </c>
      <c r="D70" s="16" t="s">
        <v>184</v>
      </c>
      <c r="E70" s="16" t="s">
        <v>185</v>
      </c>
      <c r="F70" s="16" t="s">
        <v>222</v>
      </c>
      <c r="G70" s="16" t="s">
        <v>220</v>
      </c>
      <c r="H70" s="16" t="s">
        <v>220</v>
      </c>
    </row>
    <row r="71" ht="24.75" customHeight="1">
      <c r="A71" s="32" t="str">
        <f>IMAGE("https://gymvisual.com/22424-catalog_default/dumbbells-glute-bridge-version-2-female.jpg",4,500,500)</f>
        <v/>
      </c>
      <c r="B71" s="30">
        <v>2070.0</v>
      </c>
      <c r="C71" s="16" t="s">
        <v>2688</v>
      </c>
      <c r="D71" s="16" t="s">
        <v>184</v>
      </c>
      <c r="E71" s="16" t="s">
        <v>185</v>
      </c>
      <c r="F71" s="16" t="s">
        <v>222</v>
      </c>
      <c r="G71" s="16" t="s">
        <v>220</v>
      </c>
      <c r="H71" s="16" t="s">
        <v>220</v>
      </c>
    </row>
    <row r="72" ht="24.75" customHeight="1">
      <c r="A72" s="32" t="str">
        <f>IMAGE("https://gymvisual.com/8830-catalog_default/dumbbells-seated-triceps-extension.jpg",4,500,500)</f>
        <v/>
      </c>
      <c r="B72" s="30">
        <v>2071.0</v>
      </c>
      <c r="C72" s="16" t="s">
        <v>2689</v>
      </c>
      <c r="D72" s="16" t="s">
        <v>184</v>
      </c>
      <c r="E72" s="16" t="s">
        <v>219</v>
      </c>
      <c r="F72" s="16" t="s">
        <v>222</v>
      </c>
      <c r="G72" s="16" t="s">
        <v>223</v>
      </c>
      <c r="H72" s="16" t="s">
        <v>220</v>
      </c>
    </row>
    <row r="73" ht="24.75" customHeight="1">
      <c r="A73" s="32" t="str">
        <f>IMAGE("https://gymvisual.com/10245-catalog_default/dumbbells-straight-arm-pullover-version-2-female.jpg",4,500,500)</f>
        <v/>
      </c>
      <c r="B73" s="30">
        <v>2072.0</v>
      </c>
      <c r="C73" s="16" t="s">
        <v>2690</v>
      </c>
      <c r="D73" s="16" t="s">
        <v>184</v>
      </c>
      <c r="E73" s="16" t="s">
        <v>234</v>
      </c>
      <c r="F73" s="16" t="s">
        <v>222</v>
      </c>
      <c r="G73" s="16" t="s">
        <v>347</v>
      </c>
      <c r="H73" s="16" t="s">
        <v>2636</v>
      </c>
    </row>
    <row r="74" ht="24.75" customHeight="1">
      <c r="A74" s="32" t="str">
        <f>IMAGE("https://gymvisual.com/9829-catalog_default/dumbbells-sumo-squat-female.jpg",4,500,500)</f>
        <v/>
      </c>
      <c r="B74" s="30">
        <v>2073.0</v>
      </c>
      <c r="C74" s="16" t="s">
        <v>2691</v>
      </c>
      <c r="D74" s="16" t="s">
        <v>184</v>
      </c>
      <c r="E74" s="16" t="s">
        <v>285</v>
      </c>
      <c r="F74" s="16" t="s">
        <v>222</v>
      </c>
      <c r="G74" s="16" t="s">
        <v>189</v>
      </c>
      <c r="H74" s="16" t="s">
        <v>1121</v>
      </c>
    </row>
    <row r="75" ht="24.75" customHeight="1">
      <c r="A75" s="32" t="str">
        <f>IMAGE("https://gymvisual.com/25659-catalog_default/dumbell-one-arm-side-lying-bench-press-male.jpg",4,500,500)</f>
        <v/>
      </c>
      <c r="B75" s="30">
        <v>2074.0</v>
      </c>
      <c r="C75" s="16" t="s">
        <v>2692</v>
      </c>
      <c r="D75" s="16" t="s">
        <v>184</v>
      </c>
      <c r="E75" s="16" t="s">
        <v>234</v>
      </c>
      <c r="F75" s="16" t="s">
        <v>222</v>
      </c>
      <c r="G75" s="16" t="s">
        <v>220</v>
      </c>
      <c r="H75" s="16" t="s">
        <v>220</v>
      </c>
    </row>
    <row r="76" ht="24.75" customHeight="1">
      <c r="A76" s="32" t="str">
        <f>IMAGE("https://gymvisual.com/13511-catalog_default/elbow-dips.jpg",4,500,500)</f>
        <v/>
      </c>
      <c r="B76" s="30">
        <v>2075.0</v>
      </c>
      <c r="C76" s="16" t="s">
        <v>2693</v>
      </c>
      <c r="D76" s="16" t="s">
        <v>184</v>
      </c>
      <c r="E76" s="16" t="s">
        <v>219</v>
      </c>
      <c r="F76" s="16" t="s">
        <v>255</v>
      </c>
      <c r="G76" s="16" t="s">
        <v>223</v>
      </c>
      <c r="H76" s="16" t="s">
        <v>1181</v>
      </c>
    </row>
    <row r="77" ht="24.75" customHeight="1">
      <c r="A77" s="32" t="str">
        <f>IMAGE("https://gymvisual.com/7615-catalog_default/elbow-lift-reverse-push-up.jpg",4,500,500)</f>
        <v/>
      </c>
      <c r="B77" s="30">
        <v>2076.0</v>
      </c>
      <c r="C77" s="16" t="s">
        <v>2694</v>
      </c>
      <c r="D77" s="16" t="s">
        <v>184</v>
      </c>
      <c r="E77" s="16" t="s">
        <v>192</v>
      </c>
      <c r="F77" s="16" t="s">
        <v>255</v>
      </c>
      <c r="G77" s="16" t="s">
        <v>329</v>
      </c>
      <c r="H77" s="16" t="s">
        <v>408</v>
      </c>
    </row>
    <row r="78" ht="24.75" customHeight="1">
      <c r="A78" s="32" t="str">
        <f>IMAGE("https://gymvisual.com/23579-catalog_default/elbow-to-knee-side-plank-crunch-female.jpg",4,500,500)</f>
        <v/>
      </c>
      <c r="B78" s="30">
        <v>2077.0</v>
      </c>
      <c r="C78" s="16" t="s">
        <v>2695</v>
      </c>
      <c r="D78" s="16" t="s">
        <v>184</v>
      </c>
      <c r="E78" s="16" t="s">
        <v>254</v>
      </c>
      <c r="F78" s="16" t="s">
        <v>255</v>
      </c>
      <c r="G78" s="16" t="s">
        <v>2696</v>
      </c>
      <c r="H78" s="16" t="s">
        <v>296</v>
      </c>
    </row>
    <row r="79" ht="24.75" customHeight="1">
      <c r="A79" s="32" t="str">
        <f>IMAGE("https://gymvisual.com/14022-catalog_default/elbow-to-knee-side-plank-crunch-male.jpg",4,500,500)</f>
        <v/>
      </c>
      <c r="B79" s="30">
        <v>2078.0</v>
      </c>
      <c r="C79" s="16" t="s">
        <v>2697</v>
      </c>
      <c r="D79" s="16" t="s">
        <v>184</v>
      </c>
      <c r="E79" s="16" t="s">
        <v>522</v>
      </c>
      <c r="F79" s="16" t="s">
        <v>255</v>
      </c>
      <c r="G79" s="16" t="s">
        <v>2698</v>
      </c>
      <c r="H79" s="16" t="s">
        <v>296</v>
      </c>
    </row>
    <row r="80" ht="24.75" customHeight="1">
      <c r="A80" s="32" t="str">
        <f>IMAGE("https://gymvisual.com/13984-catalog_default/elbow-to-knee-sit-up.jpg",4,500,500)</f>
        <v/>
      </c>
      <c r="B80" s="30">
        <v>2079.0</v>
      </c>
      <c r="C80" s="16" t="s">
        <v>2699</v>
      </c>
      <c r="D80" s="16" t="s">
        <v>184</v>
      </c>
      <c r="E80" s="16" t="s">
        <v>254</v>
      </c>
      <c r="F80" s="16" t="s">
        <v>255</v>
      </c>
      <c r="G80" s="16" t="s">
        <v>257</v>
      </c>
      <c r="H80" s="16" t="s">
        <v>256</v>
      </c>
    </row>
    <row r="81" ht="24.75" customHeight="1">
      <c r="A81" s="32" t="str">
        <f>IMAGE("https://gymvisual.com/13297-catalog_default/elbow-up-and-down-dynamic-plank.jpg",4,500,500)</f>
        <v/>
      </c>
      <c r="B81" s="30">
        <v>2080.0</v>
      </c>
      <c r="C81" s="16" t="s">
        <v>2700</v>
      </c>
      <c r="D81" s="16" t="s">
        <v>184</v>
      </c>
      <c r="E81" s="16" t="s">
        <v>1894</v>
      </c>
      <c r="F81" s="16" t="s">
        <v>255</v>
      </c>
      <c r="G81" s="16" t="s">
        <v>2701</v>
      </c>
      <c r="H81" s="16" t="s">
        <v>2702</v>
      </c>
    </row>
    <row r="82" ht="24.75" customHeight="1">
      <c r="A82" s="32" t="str">
        <f>IMAGE("https://gymvisual.com/13299-catalog_default/elbow-up-and-down-dynamic-plank-female.jpg",4,500,500)</f>
        <v/>
      </c>
      <c r="B82" s="30">
        <v>2081.0</v>
      </c>
      <c r="C82" s="16" t="s">
        <v>2703</v>
      </c>
      <c r="D82" s="16" t="s">
        <v>184</v>
      </c>
      <c r="E82" s="16" t="s">
        <v>1894</v>
      </c>
      <c r="F82" s="16" t="s">
        <v>255</v>
      </c>
      <c r="G82" s="16" t="s">
        <v>2701</v>
      </c>
      <c r="H82" s="16" t="s">
        <v>2702</v>
      </c>
    </row>
    <row r="83" ht="24.75" customHeight="1">
      <c r="A83" s="32" t="str">
        <f>IMAGE("https://gymvisual.com/1347-catalog_default/3-4-sit-up.jpg",4,500,500)</f>
        <v/>
      </c>
      <c r="B83" s="30">
        <v>2082.0</v>
      </c>
      <c r="C83" s="16" t="s">
        <v>2704</v>
      </c>
      <c r="D83" s="16" t="s">
        <v>184</v>
      </c>
      <c r="E83" s="16" t="s">
        <v>254</v>
      </c>
      <c r="F83" s="16" t="s">
        <v>255</v>
      </c>
      <c r="G83" s="16" t="s">
        <v>260</v>
      </c>
      <c r="H83" s="16" t="s">
        <v>1332</v>
      </c>
    </row>
    <row r="84" ht="24.75" customHeight="1">
      <c r="A84" s="32" t="str">
        <f>IMAGE("https://gymvisual.com/14084-catalog_default/elevanted-inverted-row-between-3-chairs.jpg",4,500,500)</f>
        <v/>
      </c>
      <c r="B84" s="30">
        <v>2083.0</v>
      </c>
      <c r="C84" s="16" t="s">
        <v>2705</v>
      </c>
      <c r="D84" s="16" t="s">
        <v>184</v>
      </c>
      <c r="E84" s="16" t="s">
        <v>192</v>
      </c>
      <c r="F84" s="16" t="s">
        <v>255</v>
      </c>
      <c r="G84" s="16" t="s">
        <v>329</v>
      </c>
      <c r="H84" s="16" t="s">
        <v>447</v>
      </c>
    </row>
    <row r="85" ht="24.75" customHeight="1">
      <c r="A85" s="32" t="str">
        <f>IMAGE("https://gymvisual.com/14086-catalog_default/elevanted-inverted-underhand-grip-row-between-3-chairs.jpg",4,500,500)</f>
        <v/>
      </c>
      <c r="B85" s="30">
        <v>2084.0</v>
      </c>
      <c r="C85" s="16" t="s">
        <v>2706</v>
      </c>
      <c r="D85" s="16" t="s">
        <v>184</v>
      </c>
      <c r="E85" s="16" t="s">
        <v>192</v>
      </c>
      <c r="F85" s="16" t="s">
        <v>255</v>
      </c>
      <c r="G85" s="16" t="s">
        <v>329</v>
      </c>
      <c r="H85" s="16" t="s">
        <v>357</v>
      </c>
    </row>
    <row r="86" ht="24.75" customHeight="1">
      <c r="A86" s="32" t="str">
        <f>IMAGE("https://gymvisual.com/17699-catalog_default/elevanted-push-up.jpg",4,500,500)</f>
        <v/>
      </c>
      <c r="B86" s="30">
        <v>2085.0</v>
      </c>
      <c r="C86" s="16" t="s">
        <v>2707</v>
      </c>
      <c r="D86" s="16" t="s">
        <v>184</v>
      </c>
      <c r="E86" s="16" t="s">
        <v>234</v>
      </c>
      <c r="F86" s="16" t="s">
        <v>255</v>
      </c>
      <c r="G86" s="16" t="s">
        <v>235</v>
      </c>
      <c r="H86" s="16" t="s">
        <v>243</v>
      </c>
    </row>
    <row r="87" ht="24.75" customHeight="1">
      <c r="A87" s="32" t="str">
        <f>IMAGE("https://gymvisual.com/22448-catalog_default/elevated-seated-calf-raise.jpg",4,500,500)</f>
        <v/>
      </c>
      <c r="B87" s="30">
        <v>2086.0</v>
      </c>
      <c r="C87" s="16" t="s">
        <v>2708</v>
      </c>
      <c r="D87" s="16" t="s">
        <v>184</v>
      </c>
      <c r="E87" s="16" t="s">
        <v>325</v>
      </c>
      <c r="F87" s="16" t="s">
        <v>255</v>
      </c>
      <c r="G87" s="16" t="s">
        <v>220</v>
      </c>
      <c r="H87" s="16" t="s">
        <v>220</v>
      </c>
    </row>
    <row r="88" ht="24.75" customHeight="1">
      <c r="A88" s="32" t="str">
        <f>IMAGE("https://gymvisual.com/20982-catalog_default/elevated-side-lunge.jpg",4,500,500)</f>
        <v/>
      </c>
      <c r="B88" s="30">
        <v>2087.0</v>
      </c>
      <c r="C88" s="16" t="s">
        <v>2709</v>
      </c>
      <c r="D88" s="16" t="s">
        <v>184</v>
      </c>
      <c r="E88" s="16" t="s">
        <v>294</v>
      </c>
      <c r="F88" s="16" t="s">
        <v>255</v>
      </c>
      <c r="G88" s="16" t="s">
        <v>295</v>
      </c>
      <c r="H88" s="16" t="s">
        <v>2522</v>
      </c>
    </row>
    <row r="89" ht="24.75" customHeight="1">
      <c r="A89" s="32" t="str">
        <f>IMAGE("https://gymvisual.com/22452-catalog_default/elevated-single-leg-hip-thrust-female.jpg",4,500,500)</f>
        <v/>
      </c>
      <c r="B89" s="30">
        <v>2088.0</v>
      </c>
      <c r="C89" s="16" t="s">
        <v>2710</v>
      </c>
      <c r="D89" s="16" t="s">
        <v>184</v>
      </c>
      <c r="E89" s="16" t="s">
        <v>185</v>
      </c>
      <c r="F89" s="16" t="s">
        <v>255</v>
      </c>
      <c r="G89" s="16" t="s">
        <v>220</v>
      </c>
      <c r="H89" s="16" t="s">
        <v>220</v>
      </c>
    </row>
    <row r="90" ht="24.75" customHeight="1">
      <c r="A90" s="32" t="str">
        <f>IMAGE("https://gymvisual.com/22432-catalog_default/elevated-single-leg-squat.jpg",4,500,500)</f>
        <v/>
      </c>
      <c r="B90" s="30">
        <v>2089.0</v>
      </c>
      <c r="C90" s="16" t="s">
        <v>2711</v>
      </c>
      <c r="D90" s="16" t="s">
        <v>184</v>
      </c>
      <c r="E90" s="16" t="s">
        <v>285</v>
      </c>
      <c r="F90" s="16" t="s">
        <v>255</v>
      </c>
      <c r="G90" s="16" t="s">
        <v>220</v>
      </c>
      <c r="H90" s="16" t="s">
        <v>220</v>
      </c>
    </row>
    <row r="91" ht="24.75" customHeight="1">
      <c r="A91" s="32" t="str">
        <f>IMAGE("https://gymvisual.com/22267-catalog_default/elevated-standing-calf-raise.jpg",4,500,500)</f>
        <v/>
      </c>
      <c r="B91" s="30">
        <v>2090.0</v>
      </c>
      <c r="C91" s="16" t="s">
        <v>2712</v>
      </c>
      <c r="D91" s="16" t="s">
        <v>184</v>
      </c>
      <c r="E91" s="16" t="s">
        <v>325</v>
      </c>
      <c r="F91" s="16" t="s">
        <v>255</v>
      </c>
      <c r="G91" s="16" t="s">
        <v>220</v>
      </c>
      <c r="H91" s="16" t="s">
        <v>220</v>
      </c>
    </row>
    <row r="92" ht="24.75" customHeight="1">
      <c r="A92" s="32" t="str">
        <f>IMAGE("https://gymvisual.com/24059-catalog_default/elevated-standing-calf-raise.jpg",4,500,500)</f>
        <v/>
      </c>
      <c r="B92" s="30">
        <v>2091.0</v>
      </c>
      <c r="C92" s="16" t="s">
        <v>2712</v>
      </c>
      <c r="D92" s="16" t="s">
        <v>184</v>
      </c>
      <c r="E92" s="16" t="s">
        <v>325</v>
      </c>
      <c r="F92" s="16" t="s">
        <v>255</v>
      </c>
      <c r="G92" s="16" t="s">
        <v>220</v>
      </c>
      <c r="H92" s="16" t="s">
        <v>220</v>
      </c>
    </row>
    <row r="93" ht="24.75" customHeight="1">
      <c r="A93" s="32" t="str">
        <f>IMAGE("https://gymvisual.com/22269-catalog_default/elevated-standing-single-leg-calf-raise.jpg",4,500,500)</f>
        <v/>
      </c>
      <c r="B93" s="30">
        <v>2092.0</v>
      </c>
      <c r="C93" s="16" t="s">
        <v>2713</v>
      </c>
      <c r="D93" s="16" t="s">
        <v>184</v>
      </c>
      <c r="E93" s="16" t="s">
        <v>325</v>
      </c>
      <c r="F93" s="16" t="s">
        <v>255</v>
      </c>
      <c r="G93" s="16" t="s">
        <v>220</v>
      </c>
      <c r="H93" s="16" t="s">
        <v>220</v>
      </c>
    </row>
    <row r="94" ht="24.75" customHeight="1">
      <c r="A94" s="32" t="str">
        <f>IMAGE("https://gymvisual.com/13521-catalog_default/elevator.jpg",4,500,500)</f>
        <v/>
      </c>
      <c r="B94" s="30">
        <v>2093.0</v>
      </c>
      <c r="C94" s="16" t="s">
        <v>2714</v>
      </c>
      <c r="D94" s="16" t="s">
        <v>184</v>
      </c>
      <c r="E94" s="16" t="s">
        <v>192</v>
      </c>
      <c r="F94" s="16" t="s">
        <v>255</v>
      </c>
      <c r="G94" s="16" t="s">
        <v>220</v>
      </c>
      <c r="H94" s="16" t="s">
        <v>220</v>
      </c>
    </row>
    <row r="95" ht="24.75" customHeight="1">
      <c r="A95" s="32" t="str">
        <f>IMAGE("https://gymvisual.com/6023-catalog_default/exercise-ball-alternating-arm-ups.jpg",4,500,500)</f>
        <v/>
      </c>
      <c r="B95" s="30">
        <v>2094.0</v>
      </c>
      <c r="C95" s="16" t="s">
        <v>2715</v>
      </c>
      <c r="D95" s="16" t="s">
        <v>184</v>
      </c>
      <c r="E95" s="16" t="s">
        <v>192</v>
      </c>
      <c r="F95" s="16" t="s">
        <v>399</v>
      </c>
      <c r="G95" s="16" t="s">
        <v>300</v>
      </c>
      <c r="H95" s="16" t="s">
        <v>2716</v>
      </c>
    </row>
    <row r="96" ht="24.75" customHeight="1">
      <c r="A96" s="32" t="str">
        <f>IMAGE("https://gymvisual.com/6024-catalog_default/exercise-ball-back-extension-with-arms-extended.jpg",4,500,500)</f>
        <v/>
      </c>
      <c r="B96" s="30">
        <v>2095.0</v>
      </c>
      <c r="C96" s="16" t="s">
        <v>2717</v>
      </c>
      <c r="D96" s="16" t="s">
        <v>184</v>
      </c>
      <c r="E96" s="16" t="s">
        <v>192</v>
      </c>
      <c r="F96" s="16" t="s">
        <v>399</v>
      </c>
      <c r="G96" s="16" t="s">
        <v>275</v>
      </c>
      <c r="H96" s="16" t="s">
        <v>187</v>
      </c>
    </row>
    <row r="97" ht="24.75" customHeight="1">
      <c r="A97" s="32" t="str">
        <f>IMAGE("https://gymvisual.com/6025-catalog_default/exercise-ball-back-extension-with-hands-behind-head.jpg",4,500,500)</f>
        <v/>
      </c>
      <c r="B97" s="30">
        <v>2096.0</v>
      </c>
      <c r="C97" s="16" t="s">
        <v>2718</v>
      </c>
      <c r="D97" s="16" t="s">
        <v>184</v>
      </c>
      <c r="E97" s="16" t="s">
        <v>192</v>
      </c>
      <c r="F97" s="16" t="s">
        <v>399</v>
      </c>
      <c r="G97" s="16" t="s">
        <v>275</v>
      </c>
      <c r="H97" s="16" t="s">
        <v>187</v>
      </c>
    </row>
    <row r="98" ht="24.75" customHeight="1">
      <c r="A98" s="32" t="str">
        <f>IMAGE("https://gymvisual.com/12060-catalog_default/exercise-ball-back-extension-with-hands-behind-head-female.jpg",4,500,500)</f>
        <v/>
      </c>
      <c r="B98" s="30">
        <v>2097.0</v>
      </c>
      <c r="C98" s="16" t="s">
        <v>2719</v>
      </c>
      <c r="D98" s="16" t="s">
        <v>184</v>
      </c>
      <c r="E98" s="16" t="s">
        <v>192</v>
      </c>
      <c r="F98" s="16" t="s">
        <v>399</v>
      </c>
      <c r="G98" s="16" t="s">
        <v>275</v>
      </c>
      <c r="H98" s="16" t="s">
        <v>187</v>
      </c>
    </row>
    <row r="99" ht="24.75" customHeight="1">
      <c r="A99" s="32" t="str">
        <f>IMAGE("https://gymvisual.com/6026-catalog_default/exercise-ball-back-extension-with-knees-off-ground.jpg",4,500,500)</f>
        <v/>
      </c>
      <c r="B99" s="30">
        <v>2098.0</v>
      </c>
      <c r="C99" s="16" t="s">
        <v>2720</v>
      </c>
      <c r="D99" s="16" t="s">
        <v>184</v>
      </c>
      <c r="E99" s="16" t="s">
        <v>192</v>
      </c>
      <c r="F99" s="16" t="s">
        <v>399</v>
      </c>
      <c r="G99" s="16" t="s">
        <v>275</v>
      </c>
      <c r="H99" s="16" t="s">
        <v>187</v>
      </c>
    </row>
    <row r="100" ht="24.75" customHeight="1">
      <c r="A100" s="32" t="str">
        <f>IMAGE("https://gymvisual.com/6027-catalog_default/exercise-ball-back-extension-with-rotation.jpg",4,500,500)</f>
        <v/>
      </c>
      <c r="B100" s="30">
        <v>2099.0</v>
      </c>
      <c r="C100" s="16" t="s">
        <v>2721</v>
      </c>
      <c r="D100" s="16" t="s">
        <v>184</v>
      </c>
      <c r="E100" s="16" t="s">
        <v>192</v>
      </c>
      <c r="F100" s="16" t="s">
        <v>399</v>
      </c>
      <c r="G100" s="16" t="s">
        <v>275</v>
      </c>
      <c r="H100" s="16" t="s">
        <v>2722</v>
      </c>
    </row>
    <row r="101" ht="24.75" customHeight="1">
      <c r="A101" s="32" t="str">
        <f>IMAGE("https://gymvisual.com/17721-catalog_default/exercise-ball-body-saw.jpg",4,500,500)</f>
        <v/>
      </c>
      <c r="B101" s="30">
        <v>2100.0</v>
      </c>
      <c r="C101" s="16" t="s">
        <v>2723</v>
      </c>
      <c r="D101" s="16" t="s">
        <v>184</v>
      </c>
      <c r="E101" s="16" t="s">
        <v>254</v>
      </c>
      <c r="F101" s="16" t="s">
        <v>399</v>
      </c>
      <c r="G101" s="16" t="s">
        <v>220</v>
      </c>
      <c r="H101" s="16" t="s">
        <v>220</v>
      </c>
    </row>
    <row r="102" ht="24.75" customHeight="1">
      <c r="A102" s="32" t="str">
        <f>IMAGE("https://gymvisual.com/7463-catalog_default/exercise-ball-dip.jpg",4,500,500)</f>
        <v/>
      </c>
      <c r="B102" s="30">
        <v>2101.0</v>
      </c>
      <c r="C102" s="16" t="s">
        <v>2724</v>
      </c>
      <c r="D102" s="16" t="s">
        <v>184</v>
      </c>
      <c r="E102" s="16" t="s">
        <v>219</v>
      </c>
      <c r="F102" s="16" t="s">
        <v>399</v>
      </c>
      <c r="G102" s="16" t="s">
        <v>220</v>
      </c>
      <c r="H102" s="16" t="s">
        <v>220</v>
      </c>
    </row>
    <row r="103" ht="24.75" customHeight="1">
      <c r="A103" s="32" t="str">
        <f>IMAGE("https://gymvisual.com/10611-catalog_default/exercise-ball-frog-crunch-female.jpg",4,500,500)</f>
        <v/>
      </c>
      <c r="B103" s="30">
        <v>2102.0</v>
      </c>
      <c r="C103" s="16" t="s">
        <v>2725</v>
      </c>
      <c r="D103" s="16" t="s">
        <v>184</v>
      </c>
      <c r="E103" s="16" t="s">
        <v>254</v>
      </c>
      <c r="F103" s="16" t="s">
        <v>399</v>
      </c>
      <c r="G103" s="16" t="s">
        <v>256</v>
      </c>
      <c r="H103" s="16" t="s">
        <v>317</v>
      </c>
    </row>
    <row r="104" ht="24.75" customHeight="1">
      <c r="A104" s="32" t="str">
        <f>IMAGE("https://gymvisual.com/22847-catalog_default/exercise-ball-leg-curl.jpg",4,500,500)</f>
        <v/>
      </c>
      <c r="B104" s="30">
        <v>2103.0</v>
      </c>
      <c r="C104" s="16" t="s">
        <v>2726</v>
      </c>
      <c r="D104" s="16" t="s">
        <v>184</v>
      </c>
      <c r="E104" s="16" t="s">
        <v>285</v>
      </c>
      <c r="F104" s="16" t="s">
        <v>399</v>
      </c>
      <c r="G104" s="16" t="s">
        <v>188</v>
      </c>
      <c r="H104" s="16" t="s">
        <v>665</v>
      </c>
    </row>
    <row r="105" ht="24.75" customHeight="1">
      <c r="A105" s="32" t="str">
        <f>IMAGE("https://gymvisual.com/6079-catalog_default/exercise-ball-on-the-wall-calf-raise.jpg",4,500,500)</f>
        <v/>
      </c>
      <c r="B105" s="30">
        <v>2104.0</v>
      </c>
      <c r="C105" s="16" t="s">
        <v>2727</v>
      </c>
      <c r="D105" s="16" t="s">
        <v>184</v>
      </c>
      <c r="E105" s="16" t="s">
        <v>325</v>
      </c>
      <c r="F105" s="16" t="s">
        <v>222</v>
      </c>
      <c r="G105" s="16" t="s">
        <v>368</v>
      </c>
      <c r="H105" s="16" t="s">
        <v>463</v>
      </c>
    </row>
    <row r="106" ht="24.75" customHeight="1">
      <c r="A106" s="32" t="str">
        <f>IMAGE("https://gymvisual.com/13507-catalog_default/exercise-ball-on-the-wall-calf-raise-tennis-ball-between-ankles.jpg",4,500,500)</f>
        <v/>
      </c>
      <c r="B106" s="30">
        <v>2105.0</v>
      </c>
      <c r="C106" s="16" t="s">
        <v>2728</v>
      </c>
      <c r="D106" s="16" t="s">
        <v>184</v>
      </c>
      <c r="E106" s="16" t="s">
        <v>325</v>
      </c>
      <c r="F106" s="16" t="s">
        <v>222</v>
      </c>
      <c r="G106" s="16" t="s">
        <v>368</v>
      </c>
      <c r="H106" s="16" t="s">
        <v>463</v>
      </c>
    </row>
    <row r="107" ht="24.75" customHeight="1">
      <c r="A107" s="32" t="str">
        <f>IMAGE("https://gymvisual.com/13505-catalog_default/exercise-ball-on-the-wall-calf-raise-tennis-ball-between-knees.jpg",4,500,500)</f>
        <v/>
      </c>
      <c r="B107" s="30">
        <v>2106.0</v>
      </c>
      <c r="C107" s="16" t="s">
        <v>2729</v>
      </c>
      <c r="D107" s="16" t="s">
        <v>184</v>
      </c>
      <c r="E107" s="16" t="s">
        <v>325</v>
      </c>
      <c r="F107" s="16" t="s">
        <v>222</v>
      </c>
      <c r="G107" s="16" t="s">
        <v>368</v>
      </c>
      <c r="H107" s="16" t="s">
        <v>463</v>
      </c>
    </row>
    <row r="108" ht="24.75" customHeight="1">
      <c r="A108" s="32" t="str">
        <f>IMAGE("https://gymvisual.com/6268-catalog_default/exercise-ball-one-leg-prone-lower-body-rotation.jpg",4,500,500)</f>
        <v/>
      </c>
      <c r="B108" s="30">
        <v>2107.0</v>
      </c>
      <c r="C108" s="16" t="s">
        <v>2730</v>
      </c>
      <c r="D108" s="16" t="s">
        <v>184</v>
      </c>
      <c r="E108" s="16" t="s">
        <v>185</v>
      </c>
      <c r="F108" s="16" t="s">
        <v>399</v>
      </c>
      <c r="G108" s="16" t="s">
        <v>475</v>
      </c>
      <c r="H108" s="16" t="s">
        <v>2731</v>
      </c>
    </row>
    <row r="109" ht="24.75" customHeight="1">
      <c r="A109" s="32" t="str">
        <f>IMAGE("https://gymvisual.com/6269-catalog_default/exercise-ball-one-legged-diagonal-kick-hamstring-curl.jpg",4,500,500)</f>
        <v/>
      </c>
      <c r="B109" s="30">
        <v>2108.0</v>
      </c>
      <c r="C109" s="16" t="s">
        <v>2732</v>
      </c>
      <c r="D109" s="16" t="s">
        <v>184</v>
      </c>
      <c r="E109" s="16" t="s">
        <v>185</v>
      </c>
      <c r="F109" s="16" t="s">
        <v>399</v>
      </c>
      <c r="G109" s="16" t="s">
        <v>187</v>
      </c>
      <c r="H109" s="16" t="s">
        <v>2733</v>
      </c>
    </row>
    <row r="110" ht="24.75" customHeight="1">
      <c r="A110" s="32" t="str">
        <f>IMAGE("https://gymvisual.com/12064-catalog_default/exercise-ball-one-legged-diagonal-kick-hamstring-curl-female.jpg",4,500,500)</f>
        <v/>
      </c>
      <c r="B110" s="30">
        <v>2109.0</v>
      </c>
      <c r="C110" s="16" t="s">
        <v>2734</v>
      </c>
      <c r="D110" s="16" t="s">
        <v>184</v>
      </c>
      <c r="E110" s="16" t="s">
        <v>185</v>
      </c>
      <c r="F110" s="16" t="s">
        <v>399</v>
      </c>
      <c r="G110" s="16" t="s">
        <v>220</v>
      </c>
      <c r="H110" s="16" t="s">
        <v>220</v>
      </c>
    </row>
    <row r="111" ht="24.75" customHeight="1">
      <c r="A111" s="32" t="str">
        <f>IMAGE("https://gymvisual.com/5985-catalog_default/exercise-ball-pike-push-up.jpg",4,500,500)</f>
        <v/>
      </c>
      <c r="B111" s="30">
        <v>2110.0</v>
      </c>
      <c r="C111" s="16" t="s">
        <v>2735</v>
      </c>
      <c r="D111" s="16" t="s">
        <v>184</v>
      </c>
      <c r="E111" s="16" t="s">
        <v>234</v>
      </c>
      <c r="F111" s="16" t="s">
        <v>399</v>
      </c>
      <c r="G111" s="16" t="s">
        <v>2736</v>
      </c>
      <c r="H111" s="16" t="s">
        <v>382</v>
      </c>
    </row>
    <row r="112" ht="24.75" customHeight="1">
      <c r="A112" s="32" t="str">
        <f>IMAGE("https://gymvisual.com/6034-catalog_default/exercise-ball-prone-leg-raise.jpg",4,500,500)</f>
        <v/>
      </c>
      <c r="B112" s="30">
        <v>2111.0</v>
      </c>
      <c r="C112" s="16" t="s">
        <v>2737</v>
      </c>
      <c r="D112" s="16" t="s">
        <v>184</v>
      </c>
      <c r="E112" s="16" t="s">
        <v>192</v>
      </c>
      <c r="F112" s="16" t="s">
        <v>399</v>
      </c>
      <c r="G112" s="16" t="s">
        <v>2738</v>
      </c>
      <c r="H112" s="16" t="s">
        <v>2739</v>
      </c>
    </row>
    <row r="113" ht="24.75" customHeight="1">
      <c r="A113" s="32" t="str">
        <f>IMAGE("https://gymvisual.com/20984-catalog_default/exercise-ball-serratus-wall-slide.jpg",4,500,500)</f>
        <v/>
      </c>
      <c r="B113" s="30">
        <v>2112.0</v>
      </c>
      <c r="C113" s="16" t="s">
        <v>2740</v>
      </c>
      <c r="D113" s="16" t="s">
        <v>184</v>
      </c>
      <c r="E113" s="16" t="s">
        <v>234</v>
      </c>
      <c r="F113" s="16" t="s">
        <v>255</v>
      </c>
      <c r="G113" s="16" t="s">
        <v>389</v>
      </c>
      <c r="H113" s="16" t="s">
        <v>229</v>
      </c>
    </row>
    <row r="114" ht="24.75" customHeight="1">
      <c r="A114" s="32" t="str">
        <f>IMAGE("https://gymvisual.com/7465-catalog_default/exercise-ball-supine-triceps-extension.jpg",4,500,500)</f>
        <v/>
      </c>
      <c r="B114" s="30">
        <v>2113.0</v>
      </c>
      <c r="C114" s="16" t="s">
        <v>2741</v>
      </c>
      <c r="D114" s="16" t="s">
        <v>184</v>
      </c>
      <c r="E114" s="16" t="s">
        <v>219</v>
      </c>
      <c r="F114" s="16" t="s">
        <v>222</v>
      </c>
      <c r="G114" s="16" t="s">
        <v>220</v>
      </c>
      <c r="H114" s="16" t="s">
        <v>220</v>
      </c>
    </row>
    <row r="115" ht="24.75" customHeight="1">
      <c r="A115" s="32" t="str">
        <f>IMAGE("https://gymvisual.com/6809-catalog_default/exercise-ball-wall-squat.jpg",4,500,500)</f>
        <v/>
      </c>
      <c r="B115" s="30">
        <v>2114.0</v>
      </c>
      <c r="C115" s="16" t="s">
        <v>2742</v>
      </c>
      <c r="D115" s="16" t="s">
        <v>184</v>
      </c>
      <c r="E115" s="16" t="s">
        <v>285</v>
      </c>
      <c r="F115" s="16" t="s">
        <v>399</v>
      </c>
      <c r="G115" s="16" t="s">
        <v>189</v>
      </c>
      <c r="H115" s="16" t="s">
        <v>190</v>
      </c>
    </row>
    <row r="116" ht="24.75" customHeight="1">
      <c r="A116" s="32" t="str">
        <f>IMAGE("https://gymvisual.com/7716-catalog_default/extra-decline-sit-up.jpg",4,500,500)</f>
        <v/>
      </c>
      <c r="B116" s="30">
        <v>2115.0</v>
      </c>
      <c r="C116" s="16" t="s">
        <v>2743</v>
      </c>
      <c r="D116" s="16" t="s">
        <v>184</v>
      </c>
      <c r="E116" s="16" t="s">
        <v>254</v>
      </c>
      <c r="F116" s="16" t="s">
        <v>255</v>
      </c>
      <c r="G116" s="16" t="s">
        <v>220</v>
      </c>
      <c r="H116" s="16" t="s">
        <v>220</v>
      </c>
    </row>
    <row r="117" ht="24.75" customHeight="1">
      <c r="A117" s="32" t="str">
        <f>IMAGE("https://gymvisual.com/13443-catalog_default/ez-bar-biceps-curl-with-arm-blaster-female.jpg",4,500,500)</f>
        <v/>
      </c>
      <c r="B117" s="30">
        <v>2116.0</v>
      </c>
      <c r="C117" s="16" t="s">
        <v>2744</v>
      </c>
      <c r="D117" s="16" t="s">
        <v>184</v>
      </c>
      <c r="E117" s="16" t="s">
        <v>219</v>
      </c>
      <c r="F117" s="16" t="s">
        <v>2745</v>
      </c>
      <c r="G117" s="16" t="s">
        <v>220</v>
      </c>
      <c r="H117" s="16" t="s">
        <v>220</v>
      </c>
    </row>
    <row r="118" ht="24.75" customHeight="1">
      <c r="A118" s="32" t="str">
        <f>IMAGE("https://gymvisual.com/17961-catalog_default/ez-bar-california-skullcrusher-male.jpg",4,500,500)</f>
        <v/>
      </c>
      <c r="B118" s="30">
        <v>2117.0</v>
      </c>
      <c r="C118" s="16" t="s">
        <v>2746</v>
      </c>
      <c r="D118" s="16" t="s">
        <v>184</v>
      </c>
      <c r="E118" s="16" t="s">
        <v>219</v>
      </c>
      <c r="F118" s="16" t="s">
        <v>2745</v>
      </c>
      <c r="G118" s="16" t="s">
        <v>220</v>
      </c>
      <c r="H118" s="16" t="s">
        <v>220</v>
      </c>
    </row>
    <row r="119" ht="24.75" customHeight="1">
      <c r="A119" s="32" t="str">
        <f>IMAGE("https://gymvisual.com/7466-catalog_default/ez-bar-french-press-on-exercise-ball.jpg",4,500,500)</f>
        <v/>
      </c>
      <c r="B119" s="30">
        <v>2118.0</v>
      </c>
      <c r="C119" s="16" t="s">
        <v>2747</v>
      </c>
      <c r="D119" s="16" t="s">
        <v>184</v>
      </c>
      <c r="E119" s="16" t="s">
        <v>219</v>
      </c>
      <c r="F119" s="16" t="s">
        <v>2745</v>
      </c>
      <c r="G119" s="16" t="s">
        <v>220</v>
      </c>
      <c r="H119" s="16" t="s">
        <v>220</v>
      </c>
    </row>
    <row r="120" ht="24.75" customHeight="1">
      <c r="A120" s="32" t="str">
        <f>IMAGE("https://gymvisual.com/12474-catalog_default/ez-bar-lying-bent-arms-pullover.jpg",4,500,500)</f>
        <v/>
      </c>
      <c r="B120" s="30">
        <v>2119.0</v>
      </c>
      <c r="C120" s="16" t="s">
        <v>2748</v>
      </c>
      <c r="D120" s="16" t="s">
        <v>184</v>
      </c>
      <c r="E120" s="16" t="s">
        <v>192</v>
      </c>
      <c r="F120" s="16" t="s">
        <v>2745</v>
      </c>
      <c r="G120" s="16" t="s">
        <v>300</v>
      </c>
      <c r="H120" s="16" t="s">
        <v>1533</v>
      </c>
    </row>
    <row r="121" ht="24.75" customHeight="1">
      <c r="A121" s="32" t="str">
        <f>IMAGE("https://gymvisual.com/7467-catalog_default/ez-bar-lying-close-grip-triceps-extension-behind-head.jpg",4,500,500)</f>
        <v/>
      </c>
      <c r="B121" s="30">
        <v>2120.0</v>
      </c>
      <c r="C121" s="16" t="s">
        <v>2749</v>
      </c>
      <c r="D121" s="16" t="s">
        <v>184</v>
      </c>
      <c r="E121" s="16" t="s">
        <v>219</v>
      </c>
      <c r="F121" s="16" t="s">
        <v>2745</v>
      </c>
      <c r="G121" s="16" t="s">
        <v>220</v>
      </c>
      <c r="H121" s="16" t="s">
        <v>220</v>
      </c>
    </row>
    <row r="122" ht="24.75" customHeight="1">
      <c r="A122" s="32" t="str">
        <f>IMAGE("https://gymvisual.com/6035-catalog_default/ez-bar-reverse-grip-bent-over-row.jpg",4,500,500)</f>
        <v/>
      </c>
      <c r="B122" s="30">
        <v>2121.0</v>
      </c>
      <c r="C122" s="16" t="s">
        <v>2750</v>
      </c>
      <c r="D122" s="16" t="s">
        <v>184</v>
      </c>
      <c r="E122" s="16" t="s">
        <v>192</v>
      </c>
      <c r="F122" s="16" t="s">
        <v>2745</v>
      </c>
      <c r="G122" s="16" t="s">
        <v>329</v>
      </c>
      <c r="H122" s="16" t="s">
        <v>457</v>
      </c>
    </row>
    <row r="123" ht="24.75" customHeight="1">
      <c r="A123" s="32" t="str">
        <f>IMAGE("https://gymvisual.com/7155-catalog_default/ez-bar-seated-close-grip-concentration-curl.jpg",4,500,500)</f>
        <v/>
      </c>
      <c r="B123" s="30">
        <v>2122.0</v>
      </c>
      <c r="C123" s="16" t="s">
        <v>2751</v>
      </c>
      <c r="D123" s="16" t="s">
        <v>184</v>
      </c>
      <c r="E123" s="16" t="s">
        <v>219</v>
      </c>
      <c r="F123" s="16" t="s">
        <v>2745</v>
      </c>
      <c r="G123" s="16" t="s">
        <v>232</v>
      </c>
      <c r="H123" s="16" t="s">
        <v>233</v>
      </c>
    </row>
    <row r="124" ht="24.75" customHeight="1">
      <c r="A124" s="32" t="str">
        <f>IMAGE("https://gymvisual.com/7468-catalog_default/ez-bar-standing-french-press.jpg",4,500,500)</f>
        <v/>
      </c>
      <c r="B124" s="30">
        <v>2123.0</v>
      </c>
      <c r="C124" s="16" t="s">
        <v>2752</v>
      </c>
      <c r="D124" s="16" t="s">
        <v>184</v>
      </c>
      <c r="E124" s="16" t="s">
        <v>219</v>
      </c>
      <c r="F124" s="16" t="s">
        <v>2745</v>
      </c>
      <c r="G124" s="16" t="s">
        <v>223</v>
      </c>
      <c r="H124" s="16" t="s">
        <v>220</v>
      </c>
    </row>
    <row r="125" ht="24.75" customHeight="1">
      <c r="A125" s="32" t="str">
        <f>IMAGE("https://gymvisual.com/1353-catalog_default/3-4-sit-up.jpg",4,500,500)</f>
        <v/>
      </c>
      <c r="B125" s="30">
        <v>2124.0</v>
      </c>
      <c r="C125" s="16" t="s">
        <v>2753</v>
      </c>
      <c r="D125" s="16" t="s">
        <v>184</v>
      </c>
      <c r="E125" s="16" t="s">
        <v>228</v>
      </c>
      <c r="F125" s="16" t="s">
        <v>2745</v>
      </c>
      <c r="G125" s="16" t="s">
        <v>2754</v>
      </c>
      <c r="H125" s="16" t="s">
        <v>2755</v>
      </c>
    </row>
    <row r="126" ht="24.75" customHeight="1">
      <c r="A126" s="32" t="str">
        <f>IMAGE("https://gymvisual.com/14270-catalog_default/ez-barbell-anti-gravity-press-female.jpg",4,500,500)</f>
        <v/>
      </c>
      <c r="B126" s="30">
        <v>2125.0</v>
      </c>
      <c r="C126" s="16" t="s">
        <v>2756</v>
      </c>
      <c r="D126" s="16" t="s">
        <v>184</v>
      </c>
      <c r="E126" s="16" t="s">
        <v>228</v>
      </c>
      <c r="F126" s="16" t="s">
        <v>2745</v>
      </c>
      <c r="G126" s="16" t="s">
        <v>2754</v>
      </c>
      <c r="H126" s="16" t="s">
        <v>2755</v>
      </c>
    </row>
    <row r="127" ht="24.75" customHeight="1">
      <c r="A127" s="32" t="str">
        <f>IMAGE("https://gymvisual.com/11068-catalog_default/ez-barbell-close-grip-curl-female.jpg",4,500,500)</f>
        <v/>
      </c>
      <c r="B127" s="30">
        <v>2126.0</v>
      </c>
      <c r="C127" s="16" t="s">
        <v>2757</v>
      </c>
      <c r="D127" s="16" t="s">
        <v>184</v>
      </c>
      <c r="E127" s="16" t="s">
        <v>219</v>
      </c>
      <c r="F127" s="16" t="s">
        <v>2745</v>
      </c>
      <c r="G127" s="16" t="s">
        <v>241</v>
      </c>
      <c r="H127" s="16" t="s">
        <v>292</v>
      </c>
    </row>
    <row r="128" ht="24.75" customHeight="1">
      <c r="A128" s="32" t="str">
        <f>IMAGE("https://gymvisual.com/12072-catalog_default/ez-barbell-close-grip-preacher-curl.jpg",4,500,500)</f>
        <v/>
      </c>
      <c r="B128" s="30">
        <v>2127.0</v>
      </c>
      <c r="C128" s="16" t="s">
        <v>2758</v>
      </c>
      <c r="D128" s="16" t="s">
        <v>184</v>
      </c>
      <c r="E128" s="16" t="s">
        <v>219</v>
      </c>
      <c r="F128" s="16" t="s">
        <v>2745</v>
      </c>
      <c r="G128" s="16" t="s">
        <v>232</v>
      </c>
      <c r="H128" s="16" t="s">
        <v>233</v>
      </c>
    </row>
    <row r="129" ht="24.75" customHeight="1">
      <c r="A129" s="32" t="str">
        <f>IMAGE("https://gymvisual.com/4610-catalog_default/3-4-sit-up.jpg",4,500,500)</f>
        <v/>
      </c>
      <c r="B129" s="30">
        <v>2128.0</v>
      </c>
      <c r="C129" s="16" t="s">
        <v>2759</v>
      </c>
      <c r="D129" s="16" t="s">
        <v>184</v>
      </c>
      <c r="E129" s="16" t="s">
        <v>219</v>
      </c>
      <c r="F129" s="16" t="s">
        <v>2745</v>
      </c>
      <c r="G129" s="16" t="s">
        <v>232</v>
      </c>
      <c r="H129" s="16" t="s">
        <v>233</v>
      </c>
    </row>
    <row r="130" ht="24.75" customHeight="1">
      <c r="A130" s="32" t="str">
        <f>IMAGE("https://gymvisual.com/2598-catalog_default/3-4-sit-up.jpg",4,500,500)</f>
        <v/>
      </c>
      <c r="B130" s="30">
        <v>2129.0</v>
      </c>
      <c r="C130" s="16" t="s">
        <v>2760</v>
      </c>
      <c r="D130" s="16" t="s">
        <v>184</v>
      </c>
      <c r="E130" s="16" t="s">
        <v>219</v>
      </c>
      <c r="F130" s="16" t="s">
        <v>2745</v>
      </c>
      <c r="G130" s="16" t="s">
        <v>241</v>
      </c>
      <c r="H130" s="16" t="s">
        <v>292</v>
      </c>
    </row>
    <row r="131" ht="24.75" customHeight="1">
      <c r="A131" s="32" t="str">
        <f>IMAGE("https://gymvisual.com/9628-catalog_default/ez-barbell-curl-female.jpg",4,500,500)</f>
        <v/>
      </c>
      <c r="B131" s="30">
        <v>2130.0</v>
      </c>
      <c r="C131" s="16" t="s">
        <v>2761</v>
      </c>
      <c r="D131" s="16" t="s">
        <v>184</v>
      </c>
      <c r="E131" s="16" t="s">
        <v>219</v>
      </c>
      <c r="F131" s="16" t="s">
        <v>2745</v>
      </c>
      <c r="G131" s="16" t="s">
        <v>241</v>
      </c>
      <c r="H131" s="16" t="s">
        <v>292</v>
      </c>
    </row>
    <row r="132" ht="24.75" customHeight="1">
      <c r="A132" s="32" t="str">
        <f>IMAGE("https://gymvisual.com/15653-catalog_default/3-4-sit-up.jpg",4,500,500)</f>
        <v/>
      </c>
      <c r="B132" s="30">
        <v>2131.0</v>
      </c>
      <c r="C132" s="16" t="s">
        <v>2762</v>
      </c>
      <c r="D132" s="16" t="s">
        <v>184</v>
      </c>
      <c r="E132" s="16" t="s">
        <v>219</v>
      </c>
      <c r="F132" s="16" t="s">
        <v>2745</v>
      </c>
      <c r="G132" s="16" t="s">
        <v>223</v>
      </c>
      <c r="H132" s="16" t="s">
        <v>292</v>
      </c>
    </row>
    <row r="133" ht="24.75" customHeight="1">
      <c r="A133" s="32" t="str">
        <f>IMAGE("https://gymvisual.com/12054-catalog_default/ez-barbell-decline-close-grip-face-press-female.jpg",4,500,500)</f>
        <v/>
      </c>
      <c r="B133" s="30">
        <v>2132.0</v>
      </c>
      <c r="C133" s="16" t="s">
        <v>2763</v>
      </c>
      <c r="D133" s="16" t="s">
        <v>184</v>
      </c>
      <c r="E133" s="16" t="s">
        <v>219</v>
      </c>
      <c r="F133" s="16" t="s">
        <v>2745</v>
      </c>
      <c r="G133" s="16" t="s">
        <v>220</v>
      </c>
      <c r="H133" s="16" t="s">
        <v>220</v>
      </c>
    </row>
    <row r="134" ht="24.75" customHeight="1">
      <c r="A134" s="32" t="str">
        <f>IMAGE("https://gymvisual.com/8821-catalog_default/ez-barbell-decline-triceps-extension.jpg",4,500,500)</f>
        <v/>
      </c>
      <c r="B134" s="30">
        <v>2133.0</v>
      </c>
      <c r="C134" s="16" t="s">
        <v>2764</v>
      </c>
      <c r="D134" s="16" t="s">
        <v>184</v>
      </c>
      <c r="E134" s="16" t="s">
        <v>219</v>
      </c>
      <c r="F134" s="16" t="s">
        <v>2745</v>
      </c>
      <c r="G134" s="16" t="s">
        <v>223</v>
      </c>
      <c r="H134" s="16" t="s">
        <v>220</v>
      </c>
    </row>
    <row r="135" ht="24.75" customHeight="1">
      <c r="A135" s="32" t="str">
        <f>IMAGE("https://gymvisual.com/1365-catalog_default/3-4-sit-up.jpg",4,500,500)</f>
        <v/>
      </c>
      <c r="B135" s="30">
        <v>2134.0</v>
      </c>
      <c r="C135" s="16" t="s">
        <v>2765</v>
      </c>
      <c r="D135" s="16" t="s">
        <v>184</v>
      </c>
      <c r="E135" s="16" t="s">
        <v>219</v>
      </c>
      <c r="F135" s="16" t="s">
        <v>2745</v>
      </c>
      <c r="G135" s="16" t="s">
        <v>223</v>
      </c>
      <c r="H135" s="16" t="s">
        <v>220</v>
      </c>
    </row>
    <row r="136" ht="24.75" customHeight="1">
      <c r="A136" s="32" t="str">
        <f>IMAGE("https://gymvisual.com/1368-catalog_default/3-4-sit-up.jpg",4,500,500)</f>
        <v/>
      </c>
      <c r="B136" s="30">
        <v>2135.0</v>
      </c>
      <c r="C136" s="16" t="s">
        <v>2766</v>
      </c>
      <c r="D136" s="16" t="s">
        <v>184</v>
      </c>
      <c r="E136" s="16" t="s">
        <v>219</v>
      </c>
      <c r="F136" s="16" t="s">
        <v>2745</v>
      </c>
      <c r="G136" s="16" t="s">
        <v>223</v>
      </c>
      <c r="H136" s="16" t="s">
        <v>472</v>
      </c>
    </row>
    <row r="137" ht="24.75" customHeight="1">
      <c r="A137" s="32" t="str">
        <f>IMAGE("https://gymvisual.com/1371-catalog_default/3-4-sit-up.jpg",4,500,500)</f>
        <v/>
      </c>
      <c r="B137" s="30">
        <v>2136.0</v>
      </c>
      <c r="C137" s="16" t="s">
        <v>2767</v>
      </c>
      <c r="D137" s="16" t="s">
        <v>184</v>
      </c>
      <c r="E137" s="16" t="s">
        <v>214</v>
      </c>
      <c r="F137" s="16" t="s">
        <v>2745</v>
      </c>
      <c r="G137" s="16" t="s">
        <v>216</v>
      </c>
      <c r="H137" s="16" t="s">
        <v>217</v>
      </c>
    </row>
    <row r="138" ht="24.75" customHeight="1">
      <c r="A138" s="32" t="str">
        <f>IMAGE("https://gymvisual.com/11065-catalog_default/ez-barbell-reverse-grip-curl-female.jpg",4,500,500)</f>
        <v/>
      </c>
      <c r="B138" s="30">
        <v>2137.0</v>
      </c>
      <c r="C138" s="16" t="s">
        <v>2768</v>
      </c>
      <c r="D138" s="16" t="s">
        <v>184</v>
      </c>
      <c r="E138" s="16" t="s">
        <v>219</v>
      </c>
      <c r="F138" s="16" t="s">
        <v>2745</v>
      </c>
      <c r="G138" s="16" t="s">
        <v>216</v>
      </c>
      <c r="H138" s="16" t="s">
        <v>217</v>
      </c>
    </row>
    <row r="139" ht="24.75" customHeight="1">
      <c r="A139" s="32" t="str">
        <f>IMAGE("https://gymvisual.com/24993-catalog_default/3-4-sit-up.jpg",4,500,500)</f>
        <v/>
      </c>
      <c r="B139" s="30">
        <v>2138.0</v>
      </c>
      <c r="C139" s="16" t="s">
        <v>2769</v>
      </c>
      <c r="D139" s="16" t="s">
        <v>184</v>
      </c>
      <c r="E139" s="16" t="s">
        <v>214</v>
      </c>
      <c r="F139" s="16" t="s">
        <v>2745</v>
      </c>
      <c r="G139" s="16" t="s">
        <v>216</v>
      </c>
      <c r="H139" s="16" t="s">
        <v>217</v>
      </c>
    </row>
    <row r="140" ht="24.75" customHeight="1">
      <c r="A140" s="32" t="str">
        <f>IMAGE("https://gymvisual.com/6486-catalog_default/ez-barbell-seated-curls.jpg",4,500,500)</f>
        <v/>
      </c>
      <c r="B140" s="30">
        <v>2139.0</v>
      </c>
      <c r="C140" s="16" t="s">
        <v>2770</v>
      </c>
      <c r="D140" s="16" t="s">
        <v>184</v>
      </c>
      <c r="E140" s="16" t="s">
        <v>219</v>
      </c>
      <c r="F140" s="16" t="s">
        <v>2745</v>
      </c>
      <c r="G140" s="16" t="s">
        <v>241</v>
      </c>
      <c r="H140" s="16" t="s">
        <v>292</v>
      </c>
    </row>
    <row r="141" ht="24.75" customHeight="1">
      <c r="A141" s="32" t="str">
        <f>IMAGE("https://gymvisual.com/25073-catalog_default/3-4-sit-up.jpg",4,500,500)</f>
        <v/>
      </c>
      <c r="B141" s="30">
        <v>2140.0</v>
      </c>
      <c r="C141" s="16" t="s">
        <v>2771</v>
      </c>
      <c r="D141" s="16" t="s">
        <v>184</v>
      </c>
      <c r="E141" s="16" t="s">
        <v>219</v>
      </c>
      <c r="F141" s="16" t="s">
        <v>2745</v>
      </c>
      <c r="G141" s="16" t="s">
        <v>223</v>
      </c>
      <c r="H141" s="16" t="s">
        <v>220</v>
      </c>
    </row>
    <row r="142" ht="24.75" customHeight="1">
      <c r="A142" s="32" t="str">
        <f>IMAGE("https://gymvisual.com/1380-catalog_default/3-4-sit-up.jpg",4,500,500)</f>
        <v/>
      </c>
      <c r="B142" s="30">
        <v>2141.0</v>
      </c>
      <c r="C142" s="16" t="s">
        <v>2772</v>
      </c>
      <c r="D142" s="16" t="s">
        <v>184</v>
      </c>
      <c r="E142" s="16" t="s">
        <v>219</v>
      </c>
      <c r="F142" s="16" t="s">
        <v>2745</v>
      </c>
      <c r="G142" s="16" t="s">
        <v>217</v>
      </c>
      <c r="H142" s="16" t="s">
        <v>216</v>
      </c>
    </row>
    <row r="143" ht="24.75" customHeight="1">
      <c r="A143" s="32" t="str">
        <f>IMAGE("https://gymvisual.com/7103-catalog_default/ez-barbell-spider-curl.jpg",4,500,500)</f>
        <v/>
      </c>
      <c r="B143" s="30">
        <v>2142.0</v>
      </c>
      <c r="C143" s="16" t="s">
        <v>2772</v>
      </c>
      <c r="D143" s="16" t="s">
        <v>184</v>
      </c>
      <c r="E143" s="16" t="s">
        <v>219</v>
      </c>
      <c r="F143" s="16" t="s">
        <v>2745</v>
      </c>
      <c r="G143" s="16" t="s">
        <v>241</v>
      </c>
      <c r="H143" s="16" t="s">
        <v>292</v>
      </c>
    </row>
    <row r="144" ht="24.75" customHeight="1">
      <c r="A144" s="32" t="str">
        <f>IMAGE("https://gymvisual.com/23478-catalog_default/ez-bar-21s.jpg",4,500,500)</f>
        <v/>
      </c>
      <c r="B144" s="30">
        <v>2143.0</v>
      </c>
      <c r="C144" s="16" t="s">
        <v>2773</v>
      </c>
      <c r="D144" s="16" t="s">
        <v>184</v>
      </c>
      <c r="E144" s="16" t="s">
        <v>219</v>
      </c>
      <c r="F144" s="16" t="s">
        <v>2745</v>
      </c>
      <c r="G144" s="16" t="s">
        <v>217</v>
      </c>
      <c r="H144" s="16" t="s">
        <v>216</v>
      </c>
    </row>
    <row r="145" ht="24.75" customHeight="1">
      <c r="A145" s="32" t="str">
        <f>IMAGE("https://gymvisual.com/10457-catalog_default/ez-bar-biceps-curl-with-arm-blaster.jpg",4,500,500)</f>
        <v/>
      </c>
      <c r="B145" s="30">
        <v>2144.0</v>
      </c>
      <c r="C145" s="16" t="s">
        <v>2774</v>
      </c>
      <c r="D145" s="16" t="s">
        <v>184</v>
      </c>
      <c r="E145" s="16" t="s">
        <v>219</v>
      </c>
      <c r="F145" s="16" t="s">
        <v>2745</v>
      </c>
      <c r="G145" s="16" t="s">
        <v>241</v>
      </c>
      <c r="H145" s="16" t="s">
        <v>292</v>
      </c>
    </row>
    <row r="146" ht="24.75" customHeight="1">
      <c r="A146" s="32" t="str">
        <f>IMAGE("https://gymvisual.com/10543-catalog_default/ez-bar-close-grip-bench-press.jpg",4,500,500)</f>
        <v/>
      </c>
      <c r="B146" s="30">
        <v>2145.0</v>
      </c>
      <c r="C146" s="16" t="s">
        <v>2775</v>
      </c>
      <c r="D146" s="16" t="s">
        <v>184</v>
      </c>
      <c r="E146" s="16" t="s">
        <v>219</v>
      </c>
      <c r="F146" s="16" t="s">
        <v>2745</v>
      </c>
      <c r="G146" s="16" t="s">
        <v>223</v>
      </c>
      <c r="H146" s="16" t="s">
        <v>472</v>
      </c>
    </row>
    <row r="147" ht="24.75" customHeight="1">
      <c r="A147" s="32" t="str">
        <f>IMAGE("https://gymvisual.com/10546-catalog_default/ez-bar-close-grip-bench-press-female.jpg",4,500,500)</f>
        <v/>
      </c>
      <c r="B147" s="30">
        <v>2146.0</v>
      </c>
      <c r="C147" s="16" t="s">
        <v>2776</v>
      </c>
      <c r="D147" s="16" t="s">
        <v>184</v>
      </c>
      <c r="E147" s="16" t="s">
        <v>219</v>
      </c>
      <c r="F147" s="16" t="s">
        <v>2745</v>
      </c>
      <c r="G147" s="16" t="s">
        <v>223</v>
      </c>
      <c r="H147" s="16" t="s">
        <v>472</v>
      </c>
    </row>
    <row r="148" ht="24.75" customHeight="1">
      <c r="A148" s="32" t="str">
        <f>IMAGE("https://gymvisual.com/20475-catalog_default/ez-bar-deadlift-with-biceps-curl.jpg",4,500,500)</f>
        <v/>
      </c>
      <c r="B148" s="30">
        <v>2147.0</v>
      </c>
      <c r="C148" s="16" t="s">
        <v>2777</v>
      </c>
      <c r="D148" s="16" t="s">
        <v>184</v>
      </c>
      <c r="E148" s="16" t="s">
        <v>2778</v>
      </c>
      <c r="F148" s="16" t="s">
        <v>2745</v>
      </c>
      <c r="G148" s="16" t="s">
        <v>2779</v>
      </c>
      <c r="H148" s="16" t="s">
        <v>2780</v>
      </c>
    </row>
    <row r="149" ht="24.75" customHeight="1">
      <c r="A149" s="32" t="str">
        <f>IMAGE("https://gymvisual.com/18967-catalog_default/ez-bar-drag-bicep-curl.jpg",4,500,500)</f>
        <v/>
      </c>
      <c r="B149" s="30">
        <v>2148.0</v>
      </c>
      <c r="C149" s="16" t="s">
        <v>2781</v>
      </c>
      <c r="D149" s="16" t="s">
        <v>184</v>
      </c>
      <c r="E149" s="16" t="s">
        <v>829</v>
      </c>
      <c r="F149" s="16" t="s">
        <v>2745</v>
      </c>
      <c r="G149" s="16" t="s">
        <v>236</v>
      </c>
      <c r="H149" s="16" t="s">
        <v>292</v>
      </c>
    </row>
    <row r="150" ht="24.75" customHeight="1">
      <c r="A150" s="32" t="str">
        <f>IMAGE("https://gymvisual.com/17395-catalog_default/ez-bar-front-twist-raise.jpg",4,500,500)</f>
        <v/>
      </c>
      <c r="B150" s="30">
        <v>2149.0</v>
      </c>
      <c r="C150" s="16" t="s">
        <v>2782</v>
      </c>
      <c r="D150" s="16" t="s">
        <v>184</v>
      </c>
      <c r="E150" s="16" t="s">
        <v>228</v>
      </c>
      <c r="F150" s="16" t="s">
        <v>2745</v>
      </c>
      <c r="G150" s="16" t="s">
        <v>454</v>
      </c>
      <c r="H150" s="16" t="s">
        <v>2783</v>
      </c>
    </row>
    <row r="151" ht="24.75" customHeight="1">
      <c r="A151" s="32" t="str">
        <f>IMAGE("https://gymvisual.com/17401-catalog_default/ez-bar-incline-front-raise.jpg",4,500,500)</f>
        <v/>
      </c>
      <c r="B151" s="30">
        <v>2150.0</v>
      </c>
      <c r="C151" s="16" t="s">
        <v>2784</v>
      </c>
      <c r="D151" s="16" t="s">
        <v>184</v>
      </c>
      <c r="E151" s="16" t="s">
        <v>228</v>
      </c>
      <c r="F151" s="16" t="s">
        <v>2745</v>
      </c>
      <c r="G151" s="16" t="s">
        <v>229</v>
      </c>
      <c r="H151" s="16" t="s">
        <v>244</v>
      </c>
    </row>
    <row r="152" ht="24.75" customHeight="1">
      <c r="A152" s="32" t="str">
        <f>IMAGE("https://gymvisual.com/17598-catalog_default/ez-bar-knelling-rollout.jpg",4,500,500)</f>
        <v/>
      </c>
      <c r="B152" s="30">
        <v>2151.0</v>
      </c>
      <c r="C152" s="16" t="s">
        <v>2785</v>
      </c>
      <c r="D152" s="16" t="s">
        <v>184</v>
      </c>
      <c r="E152" s="16" t="s">
        <v>254</v>
      </c>
      <c r="F152" s="16" t="s">
        <v>2745</v>
      </c>
      <c r="G152" s="16" t="s">
        <v>305</v>
      </c>
      <c r="H152" s="16" t="s">
        <v>220</v>
      </c>
    </row>
    <row r="153" ht="24.75" customHeight="1">
      <c r="A153" s="32" t="str">
        <f>IMAGE("https://gymvisual.com/17594-catalog_default/ez-bar-legs-side-pull-in-sit-up.jpg",4,500,500)</f>
        <v/>
      </c>
      <c r="B153" s="30">
        <v>2152.0</v>
      </c>
      <c r="C153" s="16" t="s">
        <v>2786</v>
      </c>
      <c r="D153" s="16" t="s">
        <v>184</v>
      </c>
      <c r="E153" s="16" t="s">
        <v>254</v>
      </c>
      <c r="F153" s="16" t="s">
        <v>2745</v>
      </c>
      <c r="G153" s="16" t="s">
        <v>2640</v>
      </c>
      <c r="H153" s="16" t="s">
        <v>220</v>
      </c>
    </row>
    <row r="154" ht="24.75" customHeight="1">
      <c r="A154" s="32" t="str">
        <f>IMAGE("https://gymvisual.com/17596-catalog_default/ez-bar-reverse-crunch.jpg",4,500,500)</f>
        <v/>
      </c>
      <c r="B154" s="30">
        <v>2153.0</v>
      </c>
      <c r="C154" s="16" t="s">
        <v>2787</v>
      </c>
      <c r="D154" s="16" t="s">
        <v>184</v>
      </c>
      <c r="E154" s="16" t="s">
        <v>254</v>
      </c>
      <c r="F154" s="16" t="s">
        <v>2745</v>
      </c>
      <c r="G154" s="16" t="s">
        <v>305</v>
      </c>
      <c r="H154" s="16" t="s">
        <v>220</v>
      </c>
    </row>
    <row r="155" ht="24.75" customHeight="1">
      <c r="A155" s="32" t="str">
        <f>IMAGE("https://gymvisual.com/20815-catalog_default/ez-bar-russian-twist-sit-up.jpg",4,500,500)</f>
        <v/>
      </c>
      <c r="B155" s="30">
        <v>2154.0</v>
      </c>
      <c r="C155" s="16" t="s">
        <v>2788</v>
      </c>
      <c r="D155" s="16" t="s">
        <v>184</v>
      </c>
      <c r="E155" s="16" t="s">
        <v>254</v>
      </c>
      <c r="F155" s="16" t="s">
        <v>2745</v>
      </c>
      <c r="G155" s="16" t="s">
        <v>263</v>
      </c>
      <c r="H155" s="16" t="s">
        <v>220</v>
      </c>
    </row>
    <row r="156" ht="24.75" customHeight="1">
      <c r="A156" s="32" t="str">
        <f>IMAGE("https://gymvisual.com/17403-catalog_default/ez-bar-seated-close-grip-shoulder-press.jpg",4,500,500)</f>
        <v/>
      </c>
      <c r="B156" s="30">
        <v>2155.0</v>
      </c>
      <c r="C156" s="16" t="s">
        <v>2789</v>
      </c>
      <c r="D156" s="16" t="s">
        <v>184</v>
      </c>
      <c r="E156" s="16" t="s">
        <v>228</v>
      </c>
      <c r="F156" s="16" t="s">
        <v>2745</v>
      </c>
      <c r="G156" s="16" t="s">
        <v>229</v>
      </c>
      <c r="H156" s="16" t="s">
        <v>2790</v>
      </c>
    </row>
    <row r="157" ht="24.75" customHeight="1">
      <c r="A157" s="32" t="str">
        <f>IMAGE("https://gymvisual.com/20817-catalog_default/ez-bar-shoulder-press-sit-up.jpg",4,500,500)</f>
        <v/>
      </c>
      <c r="B157" s="30">
        <v>2156.0</v>
      </c>
      <c r="C157" s="16" t="s">
        <v>2791</v>
      </c>
      <c r="D157" s="16" t="s">
        <v>184</v>
      </c>
      <c r="E157" s="16" t="s">
        <v>254</v>
      </c>
      <c r="F157" s="16" t="s">
        <v>2745</v>
      </c>
      <c r="G157" s="16" t="s">
        <v>2792</v>
      </c>
      <c r="H157" s="16" t="s">
        <v>220</v>
      </c>
    </row>
    <row r="158" ht="24.75" customHeight="1">
      <c r="A158" s="32" t="str">
        <f>IMAGE("https://gymvisual.com/4597-catalog_default/ez-bar-standing-overhead-press.jpg",4,500,500)</f>
        <v/>
      </c>
      <c r="B158" s="30">
        <v>2157.0</v>
      </c>
      <c r="C158" s="16" t="s">
        <v>2793</v>
      </c>
      <c r="D158" s="16" t="s">
        <v>184</v>
      </c>
      <c r="E158" s="16" t="s">
        <v>228</v>
      </c>
      <c r="F158" s="16" t="s">
        <v>2745</v>
      </c>
      <c r="G158" s="16" t="s">
        <v>229</v>
      </c>
      <c r="H158" s="16" t="s">
        <v>626</v>
      </c>
    </row>
    <row r="159" ht="24.75" customHeight="1">
      <c r="A159" s="32" t="str">
        <f>IMAGE("https://gymvisual.com/17600-catalog_default/ez-bar-up-down-twist.jpg",4,500,500)</f>
        <v/>
      </c>
      <c r="B159" s="30">
        <v>2158.0</v>
      </c>
      <c r="C159" s="16" t="s">
        <v>2794</v>
      </c>
      <c r="D159" s="16" t="s">
        <v>184</v>
      </c>
      <c r="E159" s="16" t="s">
        <v>254</v>
      </c>
      <c r="F159" s="16" t="s">
        <v>2745</v>
      </c>
      <c r="G159" s="16" t="s">
        <v>741</v>
      </c>
      <c r="H159" s="16" t="s">
        <v>220</v>
      </c>
    </row>
    <row r="160" ht="24.75" customHeight="1">
      <c r="A160" s="32" t="str">
        <f>IMAGE("https://gymvisual.com/14382-catalog_default/ez-barbell-lying-triceps-extension-female.jpg",4,500,500)</f>
        <v/>
      </c>
      <c r="B160" s="30">
        <v>2159.0</v>
      </c>
      <c r="C160" s="16" t="s">
        <v>2795</v>
      </c>
      <c r="D160" s="16" t="s">
        <v>184</v>
      </c>
      <c r="E160" s="16" t="s">
        <v>219</v>
      </c>
      <c r="F160" s="16" t="s">
        <v>2745</v>
      </c>
      <c r="G160" s="16" t="s">
        <v>223</v>
      </c>
      <c r="H160" s="16" t="s">
        <v>220</v>
      </c>
    </row>
    <row r="161" ht="24.75" customHeight="1">
      <c r="A161" s="32" t="str">
        <f>IMAGE("https://gymvisual.com/12116-catalog_default/ez-barbell-standing-preacher-curl.jpg",4,500,500)</f>
        <v/>
      </c>
      <c r="B161" s="30">
        <v>2160.0</v>
      </c>
      <c r="C161" s="16" t="s">
        <v>2796</v>
      </c>
      <c r="D161" s="16" t="s">
        <v>184</v>
      </c>
      <c r="E161" s="16" t="s">
        <v>219</v>
      </c>
      <c r="F161" s="16" t="s">
        <v>2745</v>
      </c>
      <c r="G161" s="16" t="s">
        <v>241</v>
      </c>
      <c r="H161" s="16" t="s">
        <v>292</v>
      </c>
    </row>
    <row r="162" ht="24.75" customHeight="1">
      <c r="A162" s="32" t="str">
        <f>IMAGE("https://gymvisual.com/11597-catalog_default/ez-barbell-standing-wide-grip-biceps-curl.jpg",4,500,500)</f>
        <v/>
      </c>
      <c r="B162" s="30">
        <v>2161.0</v>
      </c>
      <c r="C162" s="16" t="s">
        <v>2797</v>
      </c>
      <c r="D162" s="16" t="s">
        <v>184</v>
      </c>
      <c r="E162" s="16" t="s">
        <v>219</v>
      </c>
      <c r="F162" s="16" t="s">
        <v>2745</v>
      </c>
      <c r="G162" s="16" t="s">
        <v>241</v>
      </c>
      <c r="H162" s="16" t="s">
        <v>292</v>
      </c>
    </row>
    <row r="163" ht="24.75" customHeight="1">
      <c r="A163" s="32" t="str">
        <f>IMAGE("https://gymvisual.com/1383-catalog_default/3-4-sit-up.jpg",4,500,500)</f>
        <v/>
      </c>
      <c r="B163" s="30">
        <v>2162.0</v>
      </c>
      <c r="C163" s="16" t="s">
        <v>2798</v>
      </c>
      <c r="D163" s="16" t="s">
        <v>184</v>
      </c>
      <c r="E163" s="16" t="s">
        <v>214</v>
      </c>
      <c r="F163" s="16" t="s">
        <v>186</v>
      </c>
      <c r="G163" s="16" t="s">
        <v>220</v>
      </c>
      <c r="H163" s="16" t="s">
        <v>220</v>
      </c>
    </row>
    <row r="164" ht="24.75" customHeight="1">
      <c r="A164" s="32" t="str">
        <f>IMAGE("https://gymvisual.com/17385-catalog_default/finger-push-up.jpg",4,500,500)</f>
        <v/>
      </c>
      <c r="B164" s="30">
        <v>2163.0</v>
      </c>
      <c r="C164" s="16" t="s">
        <v>2799</v>
      </c>
      <c r="D164" s="16" t="s">
        <v>184</v>
      </c>
      <c r="E164" s="16" t="s">
        <v>234</v>
      </c>
      <c r="F164" s="16" t="s">
        <v>255</v>
      </c>
      <c r="G164" s="16" t="s">
        <v>235</v>
      </c>
      <c r="H164" s="16" t="s">
        <v>2800</v>
      </c>
    </row>
    <row r="165" ht="24.75" customHeight="1">
      <c r="A165" s="32" t="str">
        <f>IMAGE("https://gymvisual.com/1386-catalog_default/3-4-sit-up.jpg",4,500,500)</f>
        <v/>
      </c>
      <c r="B165" s="30">
        <v>2164.0</v>
      </c>
      <c r="C165" s="16" t="s">
        <v>2801</v>
      </c>
      <c r="D165" s="16" t="s">
        <v>184</v>
      </c>
      <c r="E165" s="16" t="s">
        <v>254</v>
      </c>
      <c r="F165" s="16" t="s">
        <v>255</v>
      </c>
      <c r="G165" s="16" t="s">
        <v>256</v>
      </c>
      <c r="H165" s="16" t="s">
        <v>2802</v>
      </c>
    </row>
    <row r="166" ht="24.75" customHeight="1">
      <c r="A166" s="32" t="str">
        <f>IMAGE("https://gymvisual.com/1389-catalog_default/3-4-sit-up.jpg",4,500,500)</f>
        <v/>
      </c>
      <c r="B166" s="30">
        <v>2165.0</v>
      </c>
      <c r="C166" s="16" t="s">
        <v>2803</v>
      </c>
      <c r="D166" s="16" t="s">
        <v>184</v>
      </c>
      <c r="E166" s="16" t="s">
        <v>254</v>
      </c>
      <c r="F166" s="16" t="s">
        <v>255</v>
      </c>
      <c r="G166" s="16" t="s">
        <v>256</v>
      </c>
      <c r="H166" s="16" t="s">
        <v>2802</v>
      </c>
    </row>
    <row r="167" ht="24.75" customHeight="1">
      <c r="A167" s="32" t="str">
        <f>IMAGE("https://gymvisual.com/18796-catalog_default/flexion-leg-sit-up-straight-arm-female.jpg",4,500,500)</f>
        <v/>
      </c>
      <c r="B167" s="30">
        <v>2166.0</v>
      </c>
      <c r="C167" s="16" t="s">
        <v>2804</v>
      </c>
      <c r="D167" s="16" t="s">
        <v>184</v>
      </c>
      <c r="E167" s="16" t="s">
        <v>254</v>
      </c>
      <c r="F167" s="16" t="s">
        <v>255</v>
      </c>
      <c r="G167" s="16" t="s">
        <v>305</v>
      </c>
      <c r="H167" s="16" t="s">
        <v>319</v>
      </c>
    </row>
    <row r="168" ht="24.75" customHeight="1">
      <c r="A168" s="32" t="str">
        <f>IMAGE("https://gymvisual.com/13071-catalog_default/floor-crunch-feet-on-bench-female.jpg",4,500,500)</f>
        <v/>
      </c>
      <c r="B168" s="30">
        <v>2167.0</v>
      </c>
      <c r="C168" s="16" t="s">
        <v>2805</v>
      </c>
      <c r="D168" s="16" t="s">
        <v>184</v>
      </c>
      <c r="E168" s="16" t="s">
        <v>254</v>
      </c>
      <c r="F168" s="16" t="s">
        <v>255</v>
      </c>
      <c r="G168" s="16" t="s">
        <v>256</v>
      </c>
      <c r="H168" s="16" t="s">
        <v>257</v>
      </c>
    </row>
    <row r="169" ht="24.75" customHeight="1">
      <c r="A169" s="32" t="str">
        <f>IMAGE("https://gymvisual.com/1392-catalog_default/3-4-sit-up.jpg",4,500,500)</f>
        <v/>
      </c>
      <c r="B169" s="30">
        <v>2168.0</v>
      </c>
      <c r="C169" s="16" t="s">
        <v>2806</v>
      </c>
      <c r="D169" s="16" t="s">
        <v>184</v>
      </c>
      <c r="E169" s="16" t="s">
        <v>234</v>
      </c>
      <c r="F169" s="16" t="s">
        <v>186</v>
      </c>
      <c r="G169" s="16" t="s">
        <v>347</v>
      </c>
      <c r="H169" s="16" t="s">
        <v>420</v>
      </c>
    </row>
    <row r="170" ht="24.75" customHeight="1">
      <c r="A170" s="32" t="str">
        <f>IMAGE("https://gymvisual.com/17195-catalog_default/floor-fly-with-towels.jpg",4,500,500)</f>
        <v/>
      </c>
      <c r="B170" s="30">
        <v>2169.0</v>
      </c>
      <c r="C170" s="16" t="s">
        <v>2807</v>
      </c>
      <c r="D170" s="16" t="s">
        <v>184</v>
      </c>
      <c r="E170" s="16" t="s">
        <v>234</v>
      </c>
      <c r="F170" s="16" t="s">
        <v>255</v>
      </c>
      <c r="G170" s="16" t="s">
        <v>235</v>
      </c>
      <c r="H170" s="16" t="s">
        <v>236</v>
      </c>
    </row>
    <row r="171" ht="24.75" customHeight="1">
      <c r="A171" s="32" t="str">
        <f>IMAGE("https://gymvisual.com/13118-catalog_default/floor-hyperextension-female.jpg",4,500,500)</f>
        <v/>
      </c>
      <c r="B171" s="30">
        <v>2170.0</v>
      </c>
      <c r="C171" s="16" t="s">
        <v>2808</v>
      </c>
      <c r="D171" s="16" t="s">
        <v>184</v>
      </c>
      <c r="E171" s="16" t="s">
        <v>185</v>
      </c>
      <c r="F171" s="16" t="s">
        <v>255</v>
      </c>
      <c r="G171" s="16" t="s">
        <v>275</v>
      </c>
      <c r="H171" s="16" t="s">
        <v>220</v>
      </c>
    </row>
    <row r="172" ht="24.75" customHeight="1">
      <c r="A172" s="32" t="str">
        <f>IMAGE("https://gymvisual.com/13072-catalog_default/floor-twisting-crunch-feet-on-bench-female.jpg",4,500,500)</f>
        <v/>
      </c>
      <c r="B172" s="30">
        <v>2171.0</v>
      </c>
      <c r="C172" s="16" t="s">
        <v>2809</v>
      </c>
      <c r="D172" s="16" t="s">
        <v>184</v>
      </c>
      <c r="E172" s="16" t="s">
        <v>254</v>
      </c>
      <c r="F172" s="16" t="s">
        <v>255</v>
      </c>
      <c r="G172" s="16" t="s">
        <v>257</v>
      </c>
      <c r="H172" s="16" t="s">
        <v>256</v>
      </c>
    </row>
    <row r="173" ht="24.75" customHeight="1">
      <c r="A173" s="32" t="str">
        <f>IMAGE("https://gymvisual.com/1395-catalog_default/3-4-sit-up.jpg",4,500,500)</f>
        <v/>
      </c>
      <c r="B173" s="30">
        <v>2172.0</v>
      </c>
      <c r="C173" s="16" t="s">
        <v>2810</v>
      </c>
      <c r="D173" s="16" t="s">
        <v>184</v>
      </c>
      <c r="E173" s="16" t="s">
        <v>185</v>
      </c>
      <c r="F173" s="16" t="s">
        <v>255</v>
      </c>
      <c r="G173" s="16" t="s">
        <v>187</v>
      </c>
      <c r="H173" s="16" t="s">
        <v>188</v>
      </c>
    </row>
    <row r="174" ht="24.75" customHeight="1">
      <c r="A174" s="32" t="str">
        <f>IMAGE("https://gymvisual.com/12082-catalog_default/flutter-kicks-hands-under-hips-head-up-female.jpg",4,500,500)</f>
        <v/>
      </c>
      <c r="B174" s="30">
        <v>2173.0</v>
      </c>
      <c r="C174" s="16" t="s">
        <v>2811</v>
      </c>
      <c r="D174" s="16" t="s">
        <v>184</v>
      </c>
      <c r="E174" s="16" t="s">
        <v>185</v>
      </c>
      <c r="F174" s="16" t="s">
        <v>255</v>
      </c>
      <c r="G174" s="16" t="s">
        <v>220</v>
      </c>
      <c r="H174" s="16" t="s">
        <v>220</v>
      </c>
    </row>
    <row r="175" ht="24.75" customHeight="1">
      <c r="A175" s="32" t="str">
        <f>IMAGE("https://gymvisual.com/4437-catalog_default/flutter-kicks-version-2.jpg",4,500,500)</f>
        <v/>
      </c>
      <c r="B175" s="30">
        <v>2174.0</v>
      </c>
      <c r="C175" s="16" t="s">
        <v>2812</v>
      </c>
      <c r="D175" s="16" t="s">
        <v>184</v>
      </c>
      <c r="E175" s="16" t="s">
        <v>185</v>
      </c>
      <c r="F175" s="16" t="s">
        <v>255</v>
      </c>
      <c r="G175" s="16" t="s">
        <v>187</v>
      </c>
      <c r="H175" s="16" t="s">
        <v>188</v>
      </c>
    </row>
    <row r="176" ht="24.75" customHeight="1">
      <c r="A176" s="32" t="str">
        <f>IMAGE("https://gymvisual.com/20648-catalog_default/flutter-kicks-version-3.jpg",4,500,500)</f>
        <v/>
      </c>
      <c r="B176" s="30">
        <v>2175.0</v>
      </c>
      <c r="C176" s="16" t="s">
        <v>2813</v>
      </c>
      <c r="D176" s="16" t="s">
        <v>184</v>
      </c>
      <c r="E176" s="16" t="s">
        <v>185</v>
      </c>
      <c r="F176" s="16" t="s">
        <v>255</v>
      </c>
      <c r="G176" s="16" t="s">
        <v>271</v>
      </c>
      <c r="H176" s="16" t="s">
        <v>566</v>
      </c>
    </row>
    <row r="177" ht="24.75" customHeight="1">
      <c r="A177" s="32" t="str">
        <f>IMAGE("https://gymvisual.com/22779-catalog_default/flutter-kicks-version-3-female.jpg",4,500,500)</f>
        <v/>
      </c>
      <c r="B177" s="30">
        <v>2176.0</v>
      </c>
      <c r="C177" s="16" t="s">
        <v>2814</v>
      </c>
      <c r="D177" s="16" t="s">
        <v>184</v>
      </c>
      <c r="E177" s="16" t="s">
        <v>185</v>
      </c>
      <c r="F177" s="16" t="s">
        <v>255</v>
      </c>
      <c r="G177" s="16" t="s">
        <v>305</v>
      </c>
      <c r="H177" s="16" t="s">
        <v>1306</v>
      </c>
    </row>
    <row r="178" ht="24.75" customHeight="1">
      <c r="A178" s="32" t="str">
        <f>IMAGE("https://gymvisual.com/18035-catalog_default/fly-agains-chains.jpg",4,500,500)</f>
        <v/>
      </c>
      <c r="B178" s="30">
        <v>2177.0</v>
      </c>
      <c r="C178" s="16" t="s">
        <v>2815</v>
      </c>
      <c r="D178" s="16" t="s">
        <v>184</v>
      </c>
      <c r="E178" s="16" t="s">
        <v>234</v>
      </c>
      <c r="F178" s="16" t="s">
        <v>255</v>
      </c>
      <c r="G178" s="16" t="s">
        <v>220</v>
      </c>
      <c r="H178" s="16" t="s">
        <v>220</v>
      </c>
    </row>
    <row r="179" ht="24.75" customHeight="1">
      <c r="A179" s="32" t="str">
        <f>IMAGE("https://gymvisual.com/12206-catalog_default/forearm-wall-slide.jpg",4,500,500)</f>
        <v/>
      </c>
      <c r="B179" s="30">
        <v>2178.0</v>
      </c>
      <c r="C179" s="16" t="s">
        <v>2816</v>
      </c>
      <c r="D179" s="16" t="s">
        <v>184</v>
      </c>
      <c r="E179" s="16" t="s">
        <v>192</v>
      </c>
      <c r="F179" s="16" t="s">
        <v>255</v>
      </c>
      <c r="G179" s="16" t="s">
        <v>220</v>
      </c>
      <c r="H179" s="16" t="s">
        <v>220</v>
      </c>
    </row>
    <row r="180" ht="24.75" customHeight="1">
      <c r="A180" s="32" t="str">
        <f>IMAGE("https://gymvisual.com/7346-catalog_default/forward-hops.jpg",4,500,500)</f>
        <v/>
      </c>
      <c r="B180" s="30">
        <v>2179.0</v>
      </c>
      <c r="C180" s="16" t="s">
        <v>2817</v>
      </c>
      <c r="D180" s="16" t="s">
        <v>184</v>
      </c>
      <c r="E180" s="16" t="s">
        <v>285</v>
      </c>
      <c r="F180" s="16" t="s">
        <v>255</v>
      </c>
      <c r="G180" s="16" t="s">
        <v>220</v>
      </c>
      <c r="H180" s="16" t="s">
        <v>220</v>
      </c>
    </row>
    <row r="181" ht="24.75" customHeight="1">
      <c r="A181" s="32" t="str">
        <f>IMAGE("https://gymvisual.com/13786-catalog_default/forward-lunge-male.jpg",4,500,500)</f>
        <v/>
      </c>
      <c r="B181" s="30">
        <v>2180.0</v>
      </c>
      <c r="C181" s="16" t="s">
        <v>2818</v>
      </c>
      <c r="D181" s="16" t="s">
        <v>184</v>
      </c>
      <c r="E181" s="16" t="s">
        <v>285</v>
      </c>
      <c r="F181" s="16" t="s">
        <v>255</v>
      </c>
      <c r="G181" s="16" t="s">
        <v>189</v>
      </c>
      <c r="H181" s="16" t="s">
        <v>190</v>
      </c>
    </row>
    <row r="182" ht="24.75" customHeight="1">
      <c r="A182" s="32" t="str">
        <f>IMAGE("https://gymvisual.com/16007-catalog_default/forward-pulse-lunge-with-hands-overhead.jpg",4,500,500)</f>
        <v/>
      </c>
      <c r="B182" s="30">
        <v>2181.0</v>
      </c>
      <c r="C182" s="16" t="s">
        <v>2819</v>
      </c>
      <c r="D182" s="16" t="s">
        <v>184</v>
      </c>
      <c r="E182" s="16" t="s">
        <v>294</v>
      </c>
      <c r="F182" s="16" t="s">
        <v>255</v>
      </c>
      <c r="G182" s="16" t="s">
        <v>189</v>
      </c>
      <c r="H182" s="16" t="s">
        <v>190</v>
      </c>
    </row>
    <row r="183" ht="24.75" customHeight="1">
      <c r="A183" s="32" t="str">
        <f>IMAGE("https://gymvisual.com/17805-catalog_default/forward-step-front-plank-female.jpg",4,500,500)</f>
        <v/>
      </c>
      <c r="B183" s="30">
        <v>2182.0</v>
      </c>
      <c r="C183" s="16" t="s">
        <v>2820</v>
      </c>
      <c r="D183" s="16" t="s">
        <v>184</v>
      </c>
      <c r="E183" s="16" t="s">
        <v>185</v>
      </c>
      <c r="F183" s="16" t="s">
        <v>255</v>
      </c>
      <c r="G183" s="16" t="s">
        <v>220</v>
      </c>
      <c r="H183" s="16" t="s">
        <v>220</v>
      </c>
    </row>
    <row r="184" ht="24.75" customHeight="1">
      <c r="A184" s="32" t="str">
        <f>IMAGE("https://gymvisual.com/17333-catalog_default/forward-to-side-to-rear-lunge-female.jpg",4,500,500)</f>
        <v/>
      </c>
      <c r="B184" s="30">
        <v>2183.0</v>
      </c>
      <c r="C184" s="16" t="s">
        <v>2821</v>
      </c>
      <c r="D184" s="16" t="s">
        <v>184</v>
      </c>
      <c r="E184" s="16" t="s">
        <v>294</v>
      </c>
      <c r="F184" s="16" t="s">
        <v>255</v>
      </c>
      <c r="G184" s="16" t="s">
        <v>295</v>
      </c>
      <c r="H184" s="16" t="s">
        <v>296</v>
      </c>
    </row>
    <row r="185" ht="24.75" customHeight="1">
      <c r="A185" s="32" t="str">
        <f>IMAGE("https://gymvisual.com/12855-catalog_default/frankenstein-squat.jpg",4,500,500)</f>
        <v/>
      </c>
      <c r="B185" s="30">
        <v>2184.0</v>
      </c>
      <c r="C185" s="16" t="s">
        <v>2822</v>
      </c>
      <c r="D185" s="16" t="s">
        <v>184</v>
      </c>
      <c r="E185" s="16" t="s">
        <v>285</v>
      </c>
      <c r="F185" s="16" t="s">
        <v>186</v>
      </c>
      <c r="G185" s="16" t="s">
        <v>189</v>
      </c>
      <c r="H185" s="16" t="s">
        <v>190</v>
      </c>
    </row>
    <row r="186" ht="24.75" customHeight="1">
      <c r="A186" s="32" t="str">
        <f>IMAGE("https://gymvisual.com/10528-catalog_default/frog-crunch.jpg",4,500,500)</f>
        <v/>
      </c>
      <c r="B186" s="30">
        <v>2185.0</v>
      </c>
      <c r="C186" s="16" t="s">
        <v>2823</v>
      </c>
      <c r="D186" s="16" t="s">
        <v>184</v>
      </c>
      <c r="E186" s="16" t="s">
        <v>254</v>
      </c>
      <c r="F186" s="16" t="s">
        <v>255</v>
      </c>
      <c r="G186" s="16" t="s">
        <v>256</v>
      </c>
      <c r="H186" s="16" t="s">
        <v>2824</v>
      </c>
    </row>
    <row r="187" ht="24.75" customHeight="1">
      <c r="A187" s="32" t="str">
        <f>IMAGE("https://gymvisual.com/11137-catalog_default/frog-crunch-female.jpg",4,500,500)</f>
        <v/>
      </c>
      <c r="B187" s="30">
        <v>2186.0</v>
      </c>
      <c r="C187" s="16" t="s">
        <v>2825</v>
      </c>
      <c r="D187" s="16" t="s">
        <v>184</v>
      </c>
      <c r="E187" s="16" t="s">
        <v>254</v>
      </c>
      <c r="F187" s="16" t="s">
        <v>255</v>
      </c>
      <c r="G187" s="16" t="s">
        <v>305</v>
      </c>
      <c r="H187" s="16" t="s">
        <v>311</v>
      </c>
    </row>
    <row r="188" ht="24.75" customHeight="1">
      <c r="A188" s="32" t="str">
        <f>IMAGE("https://gymvisual.com/11834-catalog_default/frog-hip-thrust-female.jpg",4,500,500)</f>
        <v/>
      </c>
      <c r="B188" s="30">
        <v>2187.0</v>
      </c>
      <c r="C188" s="16" t="s">
        <v>2826</v>
      </c>
      <c r="D188" s="16" t="s">
        <v>184</v>
      </c>
      <c r="E188" s="16" t="s">
        <v>185</v>
      </c>
      <c r="F188" s="16" t="s">
        <v>255</v>
      </c>
      <c r="G188" s="16" t="s">
        <v>1240</v>
      </c>
      <c r="H188" s="16" t="s">
        <v>1241</v>
      </c>
    </row>
    <row r="189" ht="24.75" customHeight="1">
      <c r="A189" s="32" t="str">
        <f>IMAGE("https://gymvisual.com/12751-catalog_default/frog-reverse-hyperextension-on-a-bench-female.jpg",4,500,500)</f>
        <v/>
      </c>
      <c r="B189" s="30">
        <v>2188.0</v>
      </c>
      <c r="C189" s="16" t="s">
        <v>2827</v>
      </c>
      <c r="D189" s="16" t="s">
        <v>184</v>
      </c>
      <c r="E189" s="16" t="s">
        <v>185</v>
      </c>
      <c r="F189" s="16" t="s">
        <v>255</v>
      </c>
      <c r="G189" s="16" t="s">
        <v>1201</v>
      </c>
      <c r="H189" s="16" t="s">
        <v>188</v>
      </c>
    </row>
    <row r="190" ht="24.75" customHeight="1">
      <c r="A190" s="32" t="str">
        <f>IMAGE("https://gymvisual.com/17739-catalog_default/frog-reverse-hyperextension-on-a-bench-male.jpg",4,500,500)</f>
        <v/>
      </c>
      <c r="B190" s="30">
        <v>2189.0</v>
      </c>
      <c r="C190" s="16" t="s">
        <v>2828</v>
      </c>
      <c r="D190" s="16" t="s">
        <v>184</v>
      </c>
      <c r="E190" s="16" t="s">
        <v>185</v>
      </c>
      <c r="F190" s="16" t="s">
        <v>255</v>
      </c>
      <c r="G190" s="16" t="s">
        <v>220</v>
      </c>
      <c r="H190" s="16" t="s">
        <v>220</v>
      </c>
    </row>
    <row r="191" ht="24.75" customHeight="1">
      <c r="A191" s="32" t="str">
        <f>IMAGE("https://gymvisual.com/17121-catalog_default/frog-sit-up.jpg",4,500,500)</f>
        <v/>
      </c>
      <c r="B191" s="30">
        <v>2190.0</v>
      </c>
      <c r="C191" s="16" t="s">
        <v>2829</v>
      </c>
      <c r="D191" s="16" t="s">
        <v>184</v>
      </c>
      <c r="E191" s="16" t="s">
        <v>254</v>
      </c>
      <c r="F191" s="16" t="s">
        <v>255</v>
      </c>
      <c r="G191" s="16" t="s">
        <v>2830</v>
      </c>
      <c r="H191" s="16" t="s">
        <v>2831</v>
      </c>
    </row>
    <row r="192" ht="24.75" customHeight="1">
      <c r="A192" s="32" t="str">
        <f>IMAGE("https://gymvisual.com/16011-catalog_default/frogger.jpg",4,500,500)</f>
        <v/>
      </c>
      <c r="B192" s="30">
        <v>2191.0</v>
      </c>
      <c r="C192" s="16" t="s">
        <v>2832</v>
      </c>
      <c r="D192" s="16" t="s">
        <v>184</v>
      </c>
      <c r="E192" s="16" t="s">
        <v>254</v>
      </c>
      <c r="F192" s="16" t="s">
        <v>255</v>
      </c>
      <c r="G192" s="16" t="s">
        <v>2833</v>
      </c>
      <c r="H192" s="16" t="s">
        <v>2834</v>
      </c>
    </row>
    <row r="193" ht="24.75" customHeight="1">
      <c r="A193" s="32" t="str">
        <f>IMAGE("https://gymvisual.com/6810-catalog_default/front-back-leg-raises.jpg",4,500,500)</f>
        <v/>
      </c>
      <c r="B193" s="30">
        <v>2192.0</v>
      </c>
      <c r="C193" s="16" t="s">
        <v>2835</v>
      </c>
      <c r="D193" s="16" t="s">
        <v>184</v>
      </c>
      <c r="E193" s="16" t="s">
        <v>185</v>
      </c>
      <c r="F193" s="16" t="s">
        <v>255</v>
      </c>
      <c r="G193" s="16" t="s">
        <v>220</v>
      </c>
      <c r="H193" s="16" t="s">
        <v>220</v>
      </c>
    </row>
    <row r="194" ht="24.75" customHeight="1">
      <c r="A194" s="32" t="str">
        <f>IMAGE("https://gymvisual.com/13529-catalog_default/front-lever.jpg",4,500,500)</f>
        <v/>
      </c>
      <c r="B194" s="30">
        <v>2193.0</v>
      </c>
      <c r="C194" s="16" t="s">
        <v>2836</v>
      </c>
      <c r="D194" s="16" t="s">
        <v>184</v>
      </c>
      <c r="E194" s="16" t="s">
        <v>254</v>
      </c>
      <c r="F194" s="16" t="s">
        <v>255</v>
      </c>
      <c r="G194" s="16" t="s">
        <v>256</v>
      </c>
      <c r="H194" s="16" t="s">
        <v>2837</v>
      </c>
    </row>
    <row r="195" ht="24.75" customHeight="1">
      <c r="A195" s="32" t="str">
        <f>IMAGE("https://gymvisual.com/13527-catalog_default/front-lever-reps.jpg",4,500,500)</f>
        <v/>
      </c>
      <c r="B195" s="30">
        <v>2194.0</v>
      </c>
      <c r="C195" s="16" t="s">
        <v>2838</v>
      </c>
      <c r="D195" s="16" t="s">
        <v>184</v>
      </c>
      <c r="E195" s="16" t="s">
        <v>361</v>
      </c>
      <c r="F195" s="16" t="s">
        <v>255</v>
      </c>
      <c r="G195" s="16" t="s">
        <v>220</v>
      </c>
      <c r="H195" s="16" t="s">
        <v>220</v>
      </c>
    </row>
    <row r="196" ht="24.75" customHeight="1">
      <c r="A196" s="32" t="str">
        <f>IMAGE("https://gymvisual.com/13259-catalog_default/3-4-sit-up.jpg",4,500,500)</f>
        <v/>
      </c>
      <c r="B196" s="30">
        <v>2195.0</v>
      </c>
      <c r="C196" s="16" t="s">
        <v>2839</v>
      </c>
      <c r="D196" s="16" t="s">
        <v>184</v>
      </c>
      <c r="E196" s="16" t="s">
        <v>254</v>
      </c>
      <c r="F196" s="16" t="s">
        <v>255</v>
      </c>
      <c r="G196" s="16" t="s">
        <v>256</v>
      </c>
      <c r="H196" s="16" t="s">
        <v>2840</v>
      </c>
    </row>
    <row r="197" ht="24.75" customHeight="1">
      <c r="A197" s="32" t="str">
        <f>IMAGE("https://gymvisual.com/1412-catalog_default/3-4-sit-up.jpg",4,500,500)</f>
        <v/>
      </c>
      <c r="B197" s="30">
        <v>2196.0</v>
      </c>
      <c r="C197" s="16" t="s">
        <v>2839</v>
      </c>
      <c r="D197" s="16" t="s">
        <v>184</v>
      </c>
      <c r="E197" s="16" t="s">
        <v>254</v>
      </c>
      <c r="F197" s="16" t="s">
        <v>255</v>
      </c>
      <c r="G197" s="16" t="s">
        <v>256</v>
      </c>
      <c r="H197" s="16" t="s">
        <v>1314</v>
      </c>
    </row>
    <row r="198" ht="24.75" customHeight="1">
      <c r="A198" s="32" t="str">
        <f>IMAGE("https://gymvisual.com/10194-catalog_default/front-plank-butt-wrong-right.jpg",4,500,500)</f>
        <v/>
      </c>
      <c r="B198" s="30">
        <v>2197.0</v>
      </c>
      <c r="C198" s="16" t="s">
        <v>2841</v>
      </c>
      <c r="D198" s="16" t="s">
        <v>184</v>
      </c>
      <c r="E198" s="16" t="s">
        <v>254</v>
      </c>
      <c r="F198" s="16" t="s">
        <v>255</v>
      </c>
      <c r="G198" s="16" t="s">
        <v>220</v>
      </c>
      <c r="H198" s="16" t="s">
        <v>220</v>
      </c>
    </row>
    <row r="199" ht="24.75" customHeight="1">
      <c r="A199" s="32" t="str">
        <f>IMAGE("https://gymvisual.com/12081-catalog_default/front-plank-to-push-up-female.jpg",4,500,500)</f>
        <v/>
      </c>
      <c r="B199" s="30">
        <v>2198.0</v>
      </c>
      <c r="C199" s="16" t="s">
        <v>2842</v>
      </c>
      <c r="D199" s="16" t="s">
        <v>184</v>
      </c>
      <c r="E199" s="16" t="s">
        <v>254</v>
      </c>
      <c r="F199" s="16" t="s">
        <v>255</v>
      </c>
      <c r="G199" s="16" t="s">
        <v>220</v>
      </c>
      <c r="H199" s="16" t="s">
        <v>220</v>
      </c>
    </row>
    <row r="200" ht="24.75" customHeight="1">
      <c r="A200" s="32" t="str">
        <f>IMAGE("https://gymvisual.com/24657-catalog_default/front-plank-to-toe-tap-male.jpg",4,500,500)</f>
        <v/>
      </c>
      <c r="B200" s="30">
        <v>2199.0</v>
      </c>
      <c r="C200" s="16" t="s">
        <v>2843</v>
      </c>
      <c r="D200" s="16" t="s">
        <v>184</v>
      </c>
      <c r="E200" s="16" t="s">
        <v>185</v>
      </c>
      <c r="F200" s="16" t="s">
        <v>255</v>
      </c>
      <c r="G200" s="16" t="s">
        <v>220</v>
      </c>
      <c r="H200" s="16" t="s">
        <v>220</v>
      </c>
    </row>
    <row r="201" ht="24.75" customHeight="1">
      <c r="A201" s="32" t="str">
        <f>IMAGE("https://gymvisual.com/17703-catalog_default/front-plank-toe-tap-male.jpg",4,500,500)</f>
        <v/>
      </c>
      <c r="B201" s="30">
        <v>2200.0</v>
      </c>
      <c r="C201" s="16" t="s">
        <v>2844</v>
      </c>
      <c r="D201" s="16" t="s">
        <v>184</v>
      </c>
      <c r="E201" s="16" t="s">
        <v>254</v>
      </c>
      <c r="F201" s="16" t="s">
        <v>255</v>
      </c>
      <c r="G201" s="16" t="s">
        <v>2845</v>
      </c>
      <c r="H201" s="16" t="s">
        <v>2846</v>
      </c>
    </row>
    <row r="202" ht="24.75" customHeight="1">
      <c r="A202" s="32" t="str">
        <f>IMAGE("https://gymvisual.com/12087-catalog_default/front-plank-with-arm-and-leg-lift-female.jpg",4,500,500)</f>
        <v/>
      </c>
      <c r="B202" s="30">
        <v>2201.0</v>
      </c>
      <c r="C202" s="16" t="s">
        <v>2847</v>
      </c>
      <c r="D202" s="16" t="s">
        <v>184</v>
      </c>
      <c r="E202" s="16" t="s">
        <v>254</v>
      </c>
      <c r="F202" s="16" t="s">
        <v>255</v>
      </c>
      <c r="G202" s="16" t="s">
        <v>2848</v>
      </c>
      <c r="H202" s="16" t="s">
        <v>2849</v>
      </c>
    </row>
    <row r="203" ht="24.75" customHeight="1">
      <c r="A203" s="32" t="str">
        <f>IMAGE("https://gymvisual.com/19375-catalog_default/front-plank-with-arm-and-leg-lift-push-up-position-female.jpg",4,500,500)</f>
        <v/>
      </c>
      <c r="B203" s="30">
        <v>2202.0</v>
      </c>
      <c r="C203" s="16" t="s">
        <v>2850</v>
      </c>
      <c r="D203" s="16" t="s">
        <v>184</v>
      </c>
      <c r="E203" s="16" t="s">
        <v>254</v>
      </c>
      <c r="F203" s="16" t="s">
        <v>255</v>
      </c>
      <c r="G203" s="16" t="s">
        <v>220</v>
      </c>
      <c r="H203" s="16" t="s">
        <v>220</v>
      </c>
    </row>
    <row r="204" ht="24.75" customHeight="1">
      <c r="A204" s="32" t="str">
        <f>IMAGE("https://gymvisual.com/12085-catalog_default/front-plank-with-arm-lift-female.jpg",4,500,500)</f>
        <v/>
      </c>
      <c r="B204" s="30">
        <v>2203.0</v>
      </c>
      <c r="C204" s="16" t="s">
        <v>2851</v>
      </c>
      <c r="D204" s="16" t="s">
        <v>184</v>
      </c>
      <c r="E204" s="16" t="s">
        <v>254</v>
      </c>
      <c r="F204" s="16" t="s">
        <v>255</v>
      </c>
      <c r="G204" s="16" t="s">
        <v>220</v>
      </c>
      <c r="H204" s="16" t="s">
        <v>220</v>
      </c>
    </row>
    <row r="205" ht="24.75" customHeight="1">
      <c r="A205" s="32" t="str">
        <f>IMAGE("https://gymvisual.com/12086-catalog_default/front-plank-with-arm-lift-push-up-position-female.jpg",4,500,500)</f>
        <v/>
      </c>
      <c r="B205" s="30">
        <v>2204.0</v>
      </c>
      <c r="C205" s="16" t="s">
        <v>2852</v>
      </c>
      <c r="D205" s="16" t="s">
        <v>184</v>
      </c>
      <c r="E205" s="16" t="s">
        <v>254</v>
      </c>
      <c r="F205" s="16" t="s">
        <v>255</v>
      </c>
      <c r="G205" s="16" t="s">
        <v>220</v>
      </c>
      <c r="H205" s="16" t="s">
        <v>220</v>
      </c>
    </row>
    <row r="206" ht="24.75" customHeight="1">
      <c r="A206" s="32" t="str">
        <f>IMAGE("https://gymvisual.com/12089-catalog_default/front-plank-with-leg-lift-female.jpg",4,500,500)</f>
        <v/>
      </c>
      <c r="B206" s="30">
        <v>2205.0</v>
      </c>
      <c r="C206" s="16" t="s">
        <v>2853</v>
      </c>
      <c r="D206" s="16" t="s">
        <v>184</v>
      </c>
      <c r="E206" s="16" t="s">
        <v>254</v>
      </c>
      <c r="F206" s="16" t="s">
        <v>255</v>
      </c>
      <c r="G206" s="16" t="s">
        <v>2848</v>
      </c>
      <c r="H206" s="16" t="s">
        <v>2854</v>
      </c>
    </row>
    <row r="207" ht="24.75" customHeight="1">
      <c r="A207" s="32" t="str">
        <f>IMAGE("https://gymvisual.com/14018-catalog_default/front-plank-with-leg-lift-male.jpg",4,500,500)</f>
        <v/>
      </c>
      <c r="B207" s="30">
        <v>2206.0</v>
      </c>
      <c r="C207" s="16" t="s">
        <v>2855</v>
      </c>
      <c r="D207" s="16" t="s">
        <v>184</v>
      </c>
      <c r="E207" s="16" t="s">
        <v>310</v>
      </c>
      <c r="F207" s="16" t="s">
        <v>255</v>
      </c>
      <c r="G207" s="16" t="s">
        <v>2848</v>
      </c>
      <c r="H207" s="16" t="s">
        <v>2856</v>
      </c>
    </row>
    <row r="208" ht="24.75" customHeight="1">
      <c r="A208" s="32" t="str">
        <f>IMAGE("https://gymvisual.com/1409-catalog_default/3-4-sit-up.jpg",4,500,500)</f>
        <v/>
      </c>
      <c r="B208" s="30">
        <v>2207.0</v>
      </c>
      <c r="C208" s="16" t="s">
        <v>2857</v>
      </c>
      <c r="D208" s="16" t="s">
        <v>184</v>
      </c>
      <c r="E208" s="16" t="s">
        <v>254</v>
      </c>
      <c r="F208" s="16" t="s">
        <v>255</v>
      </c>
      <c r="G208" s="16" t="s">
        <v>260</v>
      </c>
      <c r="H208" s="16" t="s">
        <v>2858</v>
      </c>
    </row>
    <row r="209" ht="24.75" customHeight="1">
      <c r="A209" s="32" t="str">
        <f>IMAGE("https://gymvisual.com/17797-catalog_default/front-to-side-plank-female.jpg",4,500,500)</f>
        <v/>
      </c>
      <c r="B209" s="30">
        <v>2208.0</v>
      </c>
      <c r="C209" s="16" t="s">
        <v>2859</v>
      </c>
      <c r="D209" s="16" t="s">
        <v>184</v>
      </c>
      <c r="E209" s="16" t="s">
        <v>254</v>
      </c>
      <c r="F209" s="16" t="s">
        <v>255</v>
      </c>
      <c r="G209" s="16" t="s">
        <v>220</v>
      </c>
      <c r="H209" s="16" t="s">
        <v>220</v>
      </c>
    </row>
    <row r="210" ht="24.75" customHeight="1">
      <c r="A210" s="32" t="str">
        <f>IMAGE("https://gymvisual.com/13606-catalog_default/full-planche-push-up.jpg",4,500,500)</f>
        <v/>
      </c>
      <c r="B210" s="30">
        <v>2209.0</v>
      </c>
      <c r="C210" s="16" t="s">
        <v>2860</v>
      </c>
      <c r="D210" s="16" t="s">
        <v>184</v>
      </c>
      <c r="E210" s="16" t="s">
        <v>2861</v>
      </c>
      <c r="F210" s="16" t="s">
        <v>255</v>
      </c>
      <c r="G210" s="16" t="s">
        <v>2862</v>
      </c>
      <c r="H210" s="16" t="s">
        <v>2863</v>
      </c>
    </row>
    <row r="211" ht="24.75" customHeight="1">
      <c r="A211" s="32" t="str">
        <f>IMAGE("https://gymvisual.com/14016-catalog_default/full-squat-mobility.jpg",4,500,500)</f>
        <v/>
      </c>
      <c r="B211" s="30">
        <v>2210.0</v>
      </c>
      <c r="C211" s="16" t="s">
        <v>2864</v>
      </c>
      <c r="D211" s="16" t="s">
        <v>184</v>
      </c>
      <c r="E211" s="16" t="s">
        <v>294</v>
      </c>
      <c r="F211" s="16" t="s">
        <v>255</v>
      </c>
      <c r="G211" s="16" t="s">
        <v>189</v>
      </c>
      <c r="H211" s="16" t="s">
        <v>190</v>
      </c>
    </row>
    <row r="212" ht="24.75" customHeight="1">
      <c r="A212" s="32" t="str">
        <f>IMAGE("https://gymvisual.com/1414-catalog_default/3-4-sit-up.jpg",4,500,500)</f>
        <v/>
      </c>
      <c r="B212" s="30">
        <v>2211.0</v>
      </c>
      <c r="C212" s="16" t="s">
        <v>2865</v>
      </c>
      <c r="D212" s="16" t="s">
        <v>184</v>
      </c>
      <c r="E212" s="16" t="s">
        <v>192</v>
      </c>
      <c r="F212" s="16" t="s">
        <v>255</v>
      </c>
      <c r="G212" s="16" t="s">
        <v>300</v>
      </c>
      <c r="H212" s="16" t="s">
        <v>1357</v>
      </c>
    </row>
    <row r="213" ht="24.75" customHeight="1">
      <c r="A213" s="32" t="str">
        <f>IMAGE("https://gymvisual.com/14149-catalog_default/glute-bridge-march.jpg",4,500,500)</f>
        <v/>
      </c>
      <c r="B213" s="30">
        <v>2212.0</v>
      </c>
      <c r="C213" s="16" t="s">
        <v>2866</v>
      </c>
      <c r="D213" s="16" t="s">
        <v>184</v>
      </c>
      <c r="E213" s="16" t="s">
        <v>310</v>
      </c>
      <c r="F213" s="16" t="s">
        <v>255</v>
      </c>
      <c r="G213" s="16" t="s">
        <v>2848</v>
      </c>
      <c r="H213" s="16" t="s">
        <v>1204</v>
      </c>
    </row>
    <row r="214" ht="24.75" customHeight="1">
      <c r="A214" s="32" t="str">
        <f>IMAGE("https://gymvisual.com/22630-catalog_default/glute-bridge-march-female.jpg",4,500,500)</f>
        <v/>
      </c>
      <c r="B214" s="30">
        <v>2213.0</v>
      </c>
      <c r="C214" s="16" t="s">
        <v>2867</v>
      </c>
      <c r="D214" s="16" t="s">
        <v>184</v>
      </c>
      <c r="E214" s="16" t="s">
        <v>185</v>
      </c>
      <c r="F214" s="16" t="s">
        <v>255</v>
      </c>
      <c r="G214" s="16" t="s">
        <v>2868</v>
      </c>
      <c r="H214" s="16" t="s">
        <v>1204</v>
      </c>
    </row>
    <row r="215" ht="24.75" customHeight="1">
      <c r="A215" s="32" t="str">
        <f>IMAGE("https://gymvisual.com/10653-catalog_default/glute-bridge-one-leg-on-bench.jpg",4,500,500)</f>
        <v/>
      </c>
      <c r="B215" s="30">
        <v>2214.0</v>
      </c>
      <c r="C215" s="16" t="s">
        <v>2869</v>
      </c>
      <c r="D215" s="16" t="s">
        <v>184</v>
      </c>
      <c r="E215" s="16" t="s">
        <v>185</v>
      </c>
      <c r="F215" s="16" t="s">
        <v>255</v>
      </c>
      <c r="G215" s="16" t="s">
        <v>187</v>
      </c>
      <c r="H215" s="16" t="s">
        <v>220</v>
      </c>
    </row>
    <row r="216" ht="24.75" customHeight="1">
      <c r="A216" s="32" t="str">
        <f>IMAGE("https://gymvisual.com/10659-catalog_default/glute-bridge-one-leg-on-floor-bent-knee.jpg",4,500,500)</f>
        <v/>
      </c>
      <c r="B216" s="30">
        <v>2215.0</v>
      </c>
      <c r="C216" s="16" t="s">
        <v>2870</v>
      </c>
      <c r="D216" s="16" t="s">
        <v>184</v>
      </c>
      <c r="E216" s="16" t="s">
        <v>185</v>
      </c>
      <c r="F216" s="16" t="s">
        <v>255</v>
      </c>
      <c r="G216" s="16" t="s">
        <v>187</v>
      </c>
      <c r="H216" s="16" t="s">
        <v>220</v>
      </c>
    </row>
    <row r="217" ht="24.75" customHeight="1">
      <c r="A217" s="32" t="str">
        <f>IMAGE("https://gymvisual.com/10656-catalog_default/glute-bridge-one-leg-on-floor-straight-leg.jpg",4,500,500)</f>
        <v/>
      </c>
      <c r="B217" s="30">
        <v>2216.0</v>
      </c>
      <c r="C217" s="16" t="s">
        <v>2871</v>
      </c>
      <c r="D217" s="16" t="s">
        <v>184</v>
      </c>
      <c r="E217" s="16" t="s">
        <v>185</v>
      </c>
      <c r="F217" s="16" t="s">
        <v>255</v>
      </c>
      <c r="G217" s="16" t="s">
        <v>187</v>
      </c>
      <c r="H217" s="16" t="s">
        <v>220</v>
      </c>
    </row>
    <row r="218" ht="24.75" customHeight="1">
      <c r="A218" s="32" t="str">
        <f>IMAGE("https://gymvisual.com/10650-catalog_default/glute-bridge-two-legs-on-bench.jpg",4,500,500)</f>
        <v/>
      </c>
      <c r="B218" s="30">
        <v>2217.0</v>
      </c>
      <c r="C218" s="16" t="s">
        <v>2872</v>
      </c>
      <c r="D218" s="16" t="s">
        <v>184</v>
      </c>
      <c r="E218" s="16" t="s">
        <v>185</v>
      </c>
      <c r="F218" s="16" t="s">
        <v>255</v>
      </c>
      <c r="G218" s="16" t="s">
        <v>187</v>
      </c>
      <c r="H218" s="16" t="s">
        <v>220</v>
      </c>
    </row>
    <row r="219" ht="24.75" customHeight="1">
      <c r="A219" s="32" t="str">
        <f>IMAGE("https://gymvisual.com/14056-catalog_default/glute-bridge-two-legs-on-bench-male.jpg",4,500,500)</f>
        <v/>
      </c>
      <c r="B219" s="30">
        <v>2218.0</v>
      </c>
      <c r="C219" s="16" t="s">
        <v>2873</v>
      </c>
      <c r="D219" s="16" t="s">
        <v>184</v>
      </c>
      <c r="E219" s="16" t="s">
        <v>185</v>
      </c>
      <c r="F219" s="16" t="s">
        <v>255</v>
      </c>
      <c r="G219" s="16" t="s">
        <v>187</v>
      </c>
      <c r="H219" s="16" t="s">
        <v>188</v>
      </c>
    </row>
    <row r="220" ht="24.75" customHeight="1">
      <c r="A220" s="32" t="str">
        <f>IMAGE("https://gymvisual.com/22542-catalog_default/glute-bridge-two-legs-on-floor-female.jpg",4,500,500)</f>
        <v/>
      </c>
      <c r="B220" s="30">
        <v>2219.0</v>
      </c>
      <c r="C220" s="16" t="s">
        <v>2874</v>
      </c>
      <c r="D220" s="16" t="s">
        <v>184</v>
      </c>
      <c r="E220" s="16" t="s">
        <v>185</v>
      </c>
      <c r="F220" s="16" t="s">
        <v>255</v>
      </c>
      <c r="G220" s="16" t="s">
        <v>187</v>
      </c>
      <c r="H220" s="16" t="s">
        <v>854</v>
      </c>
    </row>
    <row r="221" ht="24.75" customHeight="1">
      <c r="A221" s="32" t="str">
        <f>IMAGE("https://gymvisual.com/22271-catalog_default/glute-ham-developer-hip-extension.jpg",4,500,500)</f>
        <v/>
      </c>
      <c r="B221" s="30">
        <v>2220.0</v>
      </c>
      <c r="C221" s="16" t="s">
        <v>2875</v>
      </c>
      <c r="D221" s="16" t="s">
        <v>184</v>
      </c>
      <c r="E221" s="16" t="s">
        <v>185</v>
      </c>
      <c r="F221" s="16" t="s">
        <v>255</v>
      </c>
      <c r="G221" s="16" t="s">
        <v>220</v>
      </c>
      <c r="H221" s="16" t="s">
        <v>220</v>
      </c>
    </row>
    <row r="222" ht="24.75" customHeight="1">
      <c r="A222" s="32" t="str">
        <f>IMAGE("https://gymvisual.com/22273-catalog_default/glute-ham-developer-sit-up-and-russian-twist.jpg",4,500,500)</f>
        <v/>
      </c>
      <c r="B222" s="30">
        <v>2221.0</v>
      </c>
      <c r="C222" s="16" t="s">
        <v>2876</v>
      </c>
      <c r="D222" s="16" t="s">
        <v>184</v>
      </c>
      <c r="E222" s="16" t="s">
        <v>254</v>
      </c>
      <c r="F222" s="16" t="s">
        <v>255</v>
      </c>
      <c r="G222" s="16" t="s">
        <v>220</v>
      </c>
      <c r="H222" s="16" t="s">
        <v>220</v>
      </c>
    </row>
    <row r="223" ht="24.75" customHeight="1">
      <c r="A223" s="32" t="str">
        <f>IMAGE("https://gymvisual.com/22275-catalog_default/glute-ham-hyperextension-twist.jpg",4,500,500)</f>
        <v/>
      </c>
      <c r="B223" s="30">
        <v>2222.0</v>
      </c>
      <c r="C223" s="16" t="s">
        <v>2877</v>
      </c>
      <c r="D223" s="16" t="s">
        <v>184</v>
      </c>
      <c r="E223" s="16" t="s">
        <v>185</v>
      </c>
      <c r="F223" s="16" t="s">
        <v>255</v>
      </c>
      <c r="G223" s="16" t="s">
        <v>220</v>
      </c>
      <c r="H223" s="16" t="s">
        <v>220</v>
      </c>
    </row>
    <row r="224" ht="24.75" customHeight="1">
      <c r="A224" s="32" t="str">
        <f>IMAGE("https://gymvisual.com/19014-catalog_default/glute-ham-raise-version-2.jpg",4,500,500)</f>
        <v/>
      </c>
      <c r="B224" s="30">
        <v>2223.0</v>
      </c>
      <c r="C224" s="16" t="s">
        <v>2878</v>
      </c>
      <c r="D224" s="16" t="s">
        <v>184</v>
      </c>
      <c r="E224" s="16" t="s">
        <v>285</v>
      </c>
      <c r="F224" s="16" t="s">
        <v>255</v>
      </c>
      <c r="G224" s="16" t="s">
        <v>188</v>
      </c>
      <c r="H224" s="16" t="s">
        <v>2879</v>
      </c>
    </row>
    <row r="225" ht="24.75" customHeight="1">
      <c r="A225" s="32" t="str">
        <f>IMAGE("https://gymvisual.com/22428-catalog_default/glute-ham-raise-with-extended-arms.jpg",4,500,500)</f>
        <v/>
      </c>
      <c r="B225" s="30">
        <v>2224.0</v>
      </c>
      <c r="C225" s="16" t="s">
        <v>2880</v>
      </c>
      <c r="D225" s="16" t="s">
        <v>184</v>
      </c>
      <c r="E225" s="16" t="s">
        <v>285</v>
      </c>
      <c r="F225" s="16" t="s">
        <v>255</v>
      </c>
      <c r="G225" s="16" t="s">
        <v>220</v>
      </c>
      <c r="H225" s="16" t="s">
        <v>220</v>
      </c>
    </row>
    <row r="226" ht="24.75" customHeight="1">
      <c r="A226" s="32" t="str">
        <f>IMAGE("https://gymvisual.com/22277-catalog_default/glute-ham-single-leg-hyperextension.jpg",4,500,500)</f>
        <v/>
      </c>
      <c r="B226" s="30">
        <v>2225.0</v>
      </c>
      <c r="C226" s="16" t="s">
        <v>2881</v>
      </c>
      <c r="D226" s="16" t="s">
        <v>184</v>
      </c>
      <c r="E226" s="16" t="s">
        <v>185</v>
      </c>
      <c r="F226" s="16" t="s">
        <v>255</v>
      </c>
      <c r="G226" s="16" t="s">
        <v>220</v>
      </c>
      <c r="H226" s="16" t="s">
        <v>220</v>
      </c>
    </row>
    <row r="227" ht="24.75" customHeight="1">
      <c r="A227" s="32" t="str">
        <f>IMAGE("https://gymvisual.com/24083-catalog_default/glute-ham-twist.jpg",4,500,500)</f>
        <v/>
      </c>
      <c r="B227" s="30">
        <v>2226.0</v>
      </c>
      <c r="C227" s="16" t="s">
        <v>2882</v>
      </c>
      <c r="D227" s="16" t="s">
        <v>184</v>
      </c>
      <c r="E227" s="16" t="s">
        <v>254</v>
      </c>
      <c r="F227" s="16" t="s">
        <v>255</v>
      </c>
      <c r="G227" s="16" t="s">
        <v>220</v>
      </c>
      <c r="H227" s="16" t="s">
        <v>220</v>
      </c>
    </row>
    <row r="228" ht="24.75" customHeight="1">
      <c r="A228" s="32" t="str">
        <f>IMAGE("https://gymvisual.com/23557-catalog_default/glute-march.jpg",4,500,500)</f>
        <v/>
      </c>
      <c r="B228" s="30">
        <v>2227.0</v>
      </c>
      <c r="C228" s="16" t="s">
        <v>2883</v>
      </c>
      <c r="D228" s="16" t="s">
        <v>184</v>
      </c>
      <c r="E228" s="16" t="s">
        <v>185</v>
      </c>
      <c r="F228" s="16" t="s">
        <v>255</v>
      </c>
      <c r="G228" s="16" t="s">
        <v>2868</v>
      </c>
      <c r="H228" s="16" t="s">
        <v>1202</v>
      </c>
    </row>
    <row r="229" ht="24.75" customHeight="1">
      <c r="A229" s="32" t="str">
        <f>IMAGE("https://gymvisual.com/20684-catalog_default/glute-ham-raise.jpg",4,500,500)</f>
        <v/>
      </c>
      <c r="B229" s="30">
        <v>2228.0</v>
      </c>
      <c r="C229" s="16" t="s">
        <v>2884</v>
      </c>
      <c r="D229" s="16" t="s">
        <v>184</v>
      </c>
      <c r="E229" s="16" t="s">
        <v>285</v>
      </c>
      <c r="F229" s="16" t="s">
        <v>255</v>
      </c>
      <c r="G229" s="16" t="s">
        <v>188</v>
      </c>
      <c r="H229" s="16" t="s">
        <v>2879</v>
      </c>
    </row>
    <row r="230" ht="24.75" customHeight="1">
      <c r="A230" s="32" t="str">
        <f>IMAGE("https://gymvisual.com/22159-catalog_default/good-morning-squat.jpg",4,500,500)</f>
        <v/>
      </c>
      <c r="B230" s="30">
        <v>2229.0</v>
      </c>
      <c r="C230" s="16" t="s">
        <v>2885</v>
      </c>
      <c r="D230" s="16" t="s">
        <v>184</v>
      </c>
      <c r="E230" s="16" t="s">
        <v>185</v>
      </c>
      <c r="F230" s="16" t="s">
        <v>255</v>
      </c>
      <c r="G230" s="16" t="s">
        <v>188</v>
      </c>
      <c r="H230" s="16" t="s">
        <v>857</v>
      </c>
    </row>
    <row r="231" ht="24.75" customHeight="1">
      <c r="A231" s="32" t="str">
        <f>IMAGE("https://gymvisual.com/1417-catalog_default/3-4-sit-up.jpg",4,500,500)</f>
        <v/>
      </c>
      <c r="B231" s="30">
        <v>2230.0</v>
      </c>
      <c r="C231" s="16" t="s">
        <v>2886</v>
      </c>
      <c r="D231" s="16" t="s">
        <v>184</v>
      </c>
      <c r="E231" s="16" t="s">
        <v>254</v>
      </c>
      <c r="F231" s="16" t="s">
        <v>255</v>
      </c>
      <c r="G231" s="16" t="s">
        <v>256</v>
      </c>
      <c r="H231" s="16" t="s">
        <v>2887</v>
      </c>
    </row>
    <row r="232" ht="24.75" customHeight="1">
      <c r="A232" s="32" t="str">
        <f>IMAGE("https://gymvisual.com/11483-catalog_default/gorilla-chin-female.jpg",4,500,500)</f>
        <v/>
      </c>
      <c r="B232" s="30">
        <v>2231.0</v>
      </c>
      <c r="C232" s="16" t="s">
        <v>2888</v>
      </c>
      <c r="D232" s="16" t="s">
        <v>184</v>
      </c>
      <c r="E232" s="16" t="s">
        <v>192</v>
      </c>
      <c r="F232" s="16" t="s">
        <v>255</v>
      </c>
      <c r="G232" s="16" t="s">
        <v>220</v>
      </c>
      <c r="H232" s="16" t="s">
        <v>220</v>
      </c>
    </row>
    <row r="233" ht="24.75" customHeight="1">
      <c r="A233" s="32" t="str">
        <f>IMAGE("https://gymvisual.com/1420-catalog_default/3-4-sit-up.jpg",4,500,500)</f>
        <v/>
      </c>
      <c r="B233" s="30">
        <v>2232.0</v>
      </c>
      <c r="C233" s="16" t="s">
        <v>2889</v>
      </c>
      <c r="D233" s="16" t="s">
        <v>184</v>
      </c>
      <c r="E233" s="16" t="s">
        <v>192</v>
      </c>
      <c r="F233" s="16" t="s">
        <v>255</v>
      </c>
      <c r="G233" s="16" t="s">
        <v>2640</v>
      </c>
      <c r="H233" s="16" t="s">
        <v>2890</v>
      </c>
    </row>
    <row r="234" ht="24.75" customHeight="1">
      <c r="A234" s="32" t="str">
        <f>IMAGE("https://gymvisual.com/1422-catalog_default/3-4-sit-up.jpg",4,500,500)</f>
        <v/>
      </c>
      <c r="B234" s="30">
        <v>2233.0</v>
      </c>
      <c r="C234" s="16" t="s">
        <v>2891</v>
      </c>
      <c r="D234" s="16" t="s">
        <v>184</v>
      </c>
      <c r="E234" s="16" t="s">
        <v>254</v>
      </c>
      <c r="F234" s="16" t="s">
        <v>255</v>
      </c>
      <c r="G234" s="16" t="s">
        <v>256</v>
      </c>
      <c r="H234" s="16" t="s">
        <v>257</v>
      </c>
    </row>
    <row r="235" ht="24.75" customHeight="1">
      <c r="A235" s="32" t="str">
        <f>IMAGE("https://gymvisual.com/13447-catalog_default/groin-crunch-female.jpg",4,500,500)</f>
        <v/>
      </c>
      <c r="B235" s="30">
        <v>2234.0</v>
      </c>
      <c r="C235" s="16" t="s">
        <v>2892</v>
      </c>
      <c r="D235" s="16" t="s">
        <v>184</v>
      </c>
      <c r="E235" s="16" t="s">
        <v>254</v>
      </c>
      <c r="F235" s="16" t="s">
        <v>255</v>
      </c>
      <c r="G235" s="16" t="s">
        <v>220</v>
      </c>
      <c r="H235" s="16" t="s">
        <v>220</v>
      </c>
    </row>
    <row r="236" ht="24.75" customHeight="1">
      <c r="A236" s="32" t="str">
        <f>IMAGE("https://gymvisual.com/6080-catalog_default/hack-calf-raise.jpg",4,500,500)</f>
        <v/>
      </c>
      <c r="B236" s="30">
        <v>2235.0</v>
      </c>
      <c r="C236" s="16" t="s">
        <v>823</v>
      </c>
      <c r="D236" s="16" t="s">
        <v>184</v>
      </c>
      <c r="E236" s="16" t="s">
        <v>325</v>
      </c>
      <c r="F236" s="16" t="s">
        <v>2893</v>
      </c>
      <c r="G236" s="16" t="s">
        <v>368</v>
      </c>
      <c r="H236" s="16" t="s">
        <v>463</v>
      </c>
    </row>
    <row r="237" ht="24.75" customHeight="1">
      <c r="A237" s="32" t="str">
        <f>IMAGE("https://gymvisual.com/6081-catalog_default/hack-one-leg-calf-raise.jpg",4,500,500)</f>
        <v/>
      </c>
      <c r="B237" s="30">
        <v>2236.0</v>
      </c>
      <c r="C237" s="16" t="s">
        <v>2894</v>
      </c>
      <c r="D237" s="16" t="s">
        <v>184</v>
      </c>
      <c r="E237" s="16" t="s">
        <v>325</v>
      </c>
      <c r="F237" s="16" t="s">
        <v>2893</v>
      </c>
      <c r="G237" s="16" t="s">
        <v>368</v>
      </c>
      <c r="H237" s="16" t="s">
        <v>463</v>
      </c>
    </row>
    <row r="238" ht="24.75" customHeight="1">
      <c r="A238" s="32" t="str">
        <f>IMAGE("https://gymvisual.com/12879-catalog_default/half-sit-up-male.jpg",4,500,500)</f>
        <v/>
      </c>
      <c r="B238" s="30">
        <v>2237.0</v>
      </c>
      <c r="C238" s="16" t="s">
        <v>2895</v>
      </c>
      <c r="D238" s="16" t="s">
        <v>184</v>
      </c>
      <c r="E238" s="16" t="s">
        <v>254</v>
      </c>
      <c r="F238" s="16" t="s">
        <v>255</v>
      </c>
      <c r="G238" s="16" t="s">
        <v>305</v>
      </c>
      <c r="H238" s="16" t="s">
        <v>257</v>
      </c>
    </row>
    <row r="239" ht="24.75" customHeight="1">
      <c r="A239" s="32" t="str">
        <f>IMAGE("https://gymvisual.com/4624-catalog_default/half-wipers-bent-leg.jpg",4,500,500)</f>
        <v/>
      </c>
      <c r="B239" s="30">
        <v>2238.0</v>
      </c>
      <c r="C239" s="16" t="s">
        <v>2896</v>
      </c>
      <c r="D239" s="16" t="s">
        <v>184</v>
      </c>
      <c r="E239" s="16" t="s">
        <v>254</v>
      </c>
      <c r="F239" s="16" t="s">
        <v>255</v>
      </c>
      <c r="G239" s="16" t="s">
        <v>257</v>
      </c>
      <c r="H239" s="16" t="s">
        <v>220</v>
      </c>
    </row>
    <row r="240" ht="24.75" customHeight="1">
      <c r="A240" s="32" t="str">
        <f>IMAGE("https://gymvisual.com/7717-catalog_default/hammer-grip-pull-up-on-dip-cage.jpg",4,500,500)</f>
        <v/>
      </c>
      <c r="B240" s="30">
        <v>2239.0</v>
      </c>
      <c r="C240" s="16" t="s">
        <v>2897</v>
      </c>
      <c r="D240" s="16" t="s">
        <v>184</v>
      </c>
      <c r="E240" s="16" t="s">
        <v>192</v>
      </c>
      <c r="F240" s="16" t="s">
        <v>255</v>
      </c>
      <c r="G240" s="16" t="s">
        <v>300</v>
      </c>
      <c r="H240" s="16" t="s">
        <v>387</v>
      </c>
    </row>
    <row r="241" ht="24.75" customHeight="1">
      <c r="A241" s="32" t="str">
        <f>IMAGE("https://gymvisual.com/17140-catalog_default/hammer-grip-pull-up-on-dip-cage-female.jpg",4,500,500)</f>
        <v/>
      </c>
      <c r="B241" s="30">
        <v>2240.0</v>
      </c>
      <c r="C241" s="16" t="s">
        <v>2898</v>
      </c>
      <c r="D241" s="16" t="s">
        <v>184</v>
      </c>
      <c r="E241" s="16" t="s">
        <v>192</v>
      </c>
      <c r="F241" s="16" t="s">
        <v>255</v>
      </c>
      <c r="G241" s="16" t="s">
        <v>300</v>
      </c>
      <c r="H241" s="16" t="s">
        <v>2899</v>
      </c>
    </row>
    <row r="242" ht="24.75" customHeight="1">
      <c r="A242" s="32" t="str">
        <f>IMAGE("https://gymvisual.com/1425-catalog_default/3-4-sit-up.jpg",4,500,500)</f>
        <v/>
      </c>
      <c r="B242" s="30">
        <v>2241.0</v>
      </c>
      <c r="C242" s="16" t="s">
        <v>2900</v>
      </c>
      <c r="D242" s="16" t="s">
        <v>184</v>
      </c>
      <c r="E242" s="16" t="s">
        <v>254</v>
      </c>
      <c r="F242" s="16" t="s">
        <v>255</v>
      </c>
      <c r="G242" s="16" t="s">
        <v>260</v>
      </c>
      <c r="H242" s="16" t="s">
        <v>220</v>
      </c>
    </row>
    <row r="243" ht="24.75" customHeight="1">
      <c r="A243" s="32" t="str">
        <f>IMAGE("https://gymvisual.com/13647-catalog_default/hand-spring-wrist-curl.jpg",4,500,500)</f>
        <v/>
      </c>
      <c r="B243" s="30">
        <v>2242.0</v>
      </c>
      <c r="C243" s="16" t="s">
        <v>2901</v>
      </c>
      <c r="D243" s="16" t="s">
        <v>184</v>
      </c>
      <c r="E243" s="16" t="s">
        <v>214</v>
      </c>
      <c r="F243" s="16" t="s">
        <v>396</v>
      </c>
      <c r="G243" s="16" t="s">
        <v>720</v>
      </c>
      <c r="H243" s="16" t="s">
        <v>220</v>
      </c>
    </row>
    <row r="244" ht="24.75" customHeight="1">
      <c r="A244" s="32" t="str">
        <f>IMAGE("https://gymvisual.com/17783-catalog_default/hands-release-push-up-female.jpg",4,500,500)</f>
        <v/>
      </c>
      <c r="B244" s="30">
        <v>2243.0</v>
      </c>
      <c r="C244" s="16" t="s">
        <v>2902</v>
      </c>
      <c r="D244" s="16" t="s">
        <v>184</v>
      </c>
      <c r="E244" s="16" t="s">
        <v>234</v>
      </c>
      <c r="F244" s="16" t="s">
        <v>255</v>
      </c>
      <c r="G244" s="16" t="s">
        <v>220</v>
      </c>
      <c r="H244" s="16" t="s">
        <v>220</v>
      </c>
    </row>
    <row r="245" ht="24.75" customHeight="1">
      <c r="A245" s="32" t="str">
        <f>IMAGE("https://gymvisual.com/1428-catalog_default/3-4-sit-up.jpg",4,500,500)</f>
        <v/>
      </c>
      <c r="B245" s="30">
        <v>2244.0</v>
      </c>
      <c r="C245" s="16" t="s">
        <v>2903</v>
      </c>
      <c r="D245" s="16" t="s">
        <v>184</v>
      </c>
      <c r="E245" s="16" t="s">
        <v>228</v>
      </c>
      <c r="F245" s="16" t="s">
        <v>255</v>
      </c>
      <c r="G245" s="16" t="s">
        <v>223</v>
      </c>
      <c r="H245" s="16" t="s">
        <v>2904</v>
      </c>
    </row>
    <row r="246" ht="24.75" customHeight="1">
      <c r="A246" s="32" t="str">
        <f>IMAGE("https://gymvisual.com/10312-catalog_default/handstand-push-up-female.jpg",4,500,500)</f>
        <v/>
      </c>
      <c r="B246" s="30">
        <v>2245.0</v>
      </c>
      <c r="C246" s="16" t="s">
        <v>2905</v>
      </c>
      <c r="D246" s="16" t="s">
        <v>184</v>
      </c>
      <c r="E246" s="16" t="s">
        <v>219</v>
      </c>
      <c r="F246" s="16" t="s">
        <v>255</v>
      </c>
      <c r="G246" s="16" t="s">
        <v>223</v>
      </c>
      <c r="H246" s="16" t="s">
        <v>2906</v>
      </c>
    </row>
    <row r="247" ht="24.75" customHeight="1">
      <c r="A247" s="32" t="str">
        <f>IMAGE("https://gymvisual.com/17779-catalog_default/handstand-shoulder-press-with-wall-between-benches.jpg",4,500,500)</f>
        <v/>
      </c>
      <c r="B247" s="30">
        <v>2246.0</v>
      </c>
      <c r="C247" s="16" t="s">
        <v>2907</v>
      </c>
      <c r="D247" s="16" t="s">
        <v>184</v>
      </c>
      <c r="E247" s="16" t="s">
        <v>228</v>
      </c>
      <c r="F247" s="16" t="s">
        <v>255</v>
      </c>
      <c r="G247" s="16" t="s">
        <v>220</v>
      </c>
      <c r="H247" s="16" t="s">
        <v>220</v>
      </c>
    </row>
    <row r="248" ht="24.75" customHeight="1">
      <c r="A248" s="32" t="str">
        <f>IMAGE("https://gymvisual.com/19415-catalog_default/hanging-deadbug.jpg",4,500,500)</f>
        <v/>
      </c>
      <c r="B248" s="30">
        <v>2247.0</v>
      </c>
      <c r="C248" s="16" t="s">
        <v>2908</v>
      </c>
      <c r="D248" s="16" t="s">
        <v>184</v>
      </c>
      <c r="E248" s="16" t="s">
        <v>185</v>
      </c>
      <c r="F248" s="16" t="s">
        <v>255</v>
      </c>
      <c r="G248" s="16" t="s">
        <v>305</v>
      </c>
      <c r="H248" s="16" t="s">
        <v>1306</v>
      </c>
    </row>
    <row r="249" ht="24.75" customHeight="1">
      <c r="A249" s="32" t="str">
        <f>IMAGE("https://gymvisual.com/20702-catalog_default/hanging-flutter-kick.jpg",4,500,500)</f>
        <v/>
      </c>
      <c r="B249" s="30">
        <v>2248.0</v>
      </c>
      <c r="C249" s="16" t="s">
        <v>2909</v>
      </c>
      <c r="D249" s="16" t="s">
        <v>184</v>
      </c>
      <c r="E249" s="16" t="s">
        <v>254</v>
      </c>
      <c r="F249" s="16" t="s">
        <v>255</v>
      </c>
      <c r="G249" s="16" t="s">
        <v>305</v>
      </c>
      <c r="H249" s="16" t="s">
        <v>1306</v>
      </c>
    </row>
    <row r="250" ht="24.75" customHeight="1">
      <c r="A250" s="32" t="str">
        <f>IMAGE("https://gymvisual.com/22430-catalog_default/hanging-half-windmill.jpg",4,500,500)</f>
        <v/>
      </c>
      <c r="B250" s="30">
        <v>2249.0</v>
      </c>
      <c r="C250" s="16" t="s">
        <v>2910</v>
      </c>
      <c r="D250" s="16" t="s">
        <v>184</v>
      </c>
      <c r="E250" s="16" t="s">
        <v>254</v>
      </c>
      <c r="F250" s="16" t="s">
        <v>255</v>
      </c>
      <c r="G250" s="16" t="s">
        <v>220</v>
      </c>
      <c r="H250" s="16" t="s">
        <v>220</v>
      </c>
    </row>
    <row r="251" ht="24.75" customHeight="1">
      <c r="A251" s="32" t="str">
        <f>IMAGE("https://gymvisual.com/22279-catalog_default/hanging-knee-circle-raise.jpg",4,500,500)</f>
        <v/>
      </c>
      <c r="B251" s="30">
        <v>2250.0</v>
      </c>
      <c r="C251" s="16" t="s">
        <v>2911</v>
      </c>
      <c r="D251" s="16" t="s">
        <v>184</v>
      </c>
      <c r="E251" s="16" t="s">
        <v>185</v>
      </c>
      <c r="F251" s="16" t="s">
        <v>255</v>
      </c>
      <c r="G251" s="16" t="s">
        <v>220</v>
      </c>
      <c r="H251" s="16" t="s">
        <v>220</v>
      </c>
    </row>
    <row r="252" ht="24.75" customHeight="1">
      <c r="A252" s="32" t="str">
        <f>IMAGE("https://gymvisual.com/20690-catalog_default/hanging-knees-to-elbows.jpg",4,500,500)</f>
        <v/>
      </c>
      <c r="B252" s="30">
        <v>2251.0</v>
      </c>
      <c r="C252" s="16" t="s">
        <v>2912</v>
      </c>
      <c r="D252" s="16" t="s">
        <v>184</v>
      </c>
      <c r="E252" s="16" t="s">
        <v>254</v>
      </c>
      <c r="F252" s="16" t="s">
        <v>255</v>
      </c>
      <c r="G252" s="16" t="s">
        <v>305</v>
      </c>
      <c r="H252" s="16" t="s">
        <v>319</v>
      </c>
    </row>
    <row r="253" ht="24.75" customHeight="1">
      <c r="A253" s="32" t="str">
        <f>IMAGE("https://gymvisual.com/7590-catalog_default/hanging-leg-hip-raise.jpg",4,500,500)</f>
        <v/>
      </c>
      <c r="B253" s="30">
        <v>2252.0</v>
      </c>
      <c r="C253" s="16" t="s">
        <v>2913</v>
      </c>
      <c r="D253" s="16" t="s">
        <v>184</v>
      </c>
      <c r="E253" s="16" t="s">
        <v>254</v>
      </c>
      <c r="F253" s="16" t="s">
        <v>255</v>
      </c>
      <c r="G253" s="16" t="s">
        <v>305</v>
      </c>
      <c r="H253" s="16" t="s">
        <v>600</v>
      </c>
    </row>
    <row r="254" ht="24.75" customHeight="1">
      <c r="A254" s="32" t="str">
        <f>IMAGE("https://gymvisual.com/11212-catalog_default/hanging-leg-hip-raise-female.jpg",4,500,500)</f>
        <v/>
      </c>
      <c r="B254" s="30">
        <v>2253.0</v>
      </c>
      <c r="C254" s="16" t="s">
        <v>2914</v>
      </c>
      <c r="D254" s="16" t="s">
        <v>184</v>
      </c>
      <c r="E254" s="16" t="s">
        <v>310</v>
      </c>
      <c r="F254" s="16" t="s">
        <v>255</v>
      </c>
      <c r="G254" s="16" t="s">
        <v>305</v>
      </c>
      <c r="H254" s="16" t="s">
        <v>600</v>
      </c>
    </row>
    <row r="255" ht="24.75" customHeight="1">
      <c r="A255" s="32" t="str">
        <f>IMAGE("https://gymvisual.com/1431-catalog_default/3-4-sit-up.jpg",4,500,500)</f>
        <v/>
      </c>
      <c r="B255" s="30">
        <v>2254.0</v>
      </c>
      <c r="C255" s="16" t="s">
        <v>2915</v>
      </c>
      <c r="D255" s="16" t="s">
        <v>184</v>
      </c>
      <c r="E255" s="16" t="s">
        <v>185</v>
      </c>
      <c r="F255" s="16" t="s">
        <v>255</v>
      </c>
      <c r="G255" s="16" t="s">
        <v>271</v>
      </c>
      <c r="H255" s="16" t="s">
        <v>2916</v>
      </c>
    </row>
    <row r="256" ht="24.75" customHeight="1">
      <c r="A256" s="32" t="str">
        <f>IMAGE("https://gymvisual.com/7573-catalog_default/hanging-oblique-knee-raise.jpg",4,500,500)</f>
        <v/>
      </c>
      <c r="B256" s="30">
        <v>2255.0</v>
      </c>
      <c r="C256" s="16" t="s">
        <v>2917</v>
      </c>
      <c r="D256" s="16" t="s">
        <v>184</v>
      </c>
      <c r="E256" s="16" t="s">
        <v>254</v>
      </c>
      <c r="F256" s="16" t="s">
        <v>255</v>
      </c>
      <c r="G256" s="16" t="s">
        <v>424</v>
      </c>
      <c r="H256" s="16" t="s">
        <v>2918</v>
      </c>
    </row>
    <row r="257" ht="24.75" customHeight="1">
      <c r="A257" s="32" t="str">
        <f>IMAGE("https://gymvisual.com/13449-catalog_default/hanging-oblique-knee-raise-female.jpg",4,500,500)</f>
        <v/>
      </c>
      <c r="B257" s="30">
        <v>2256.0</v>
      </c>
      <c r="C257" s="16" t="s">
        <v>2919</v>
      </c>
      <c r="D257" s="16" t="s">
        <v>184</v>
      </c>
      <c r="E257" s="16" t="s">
        <v>254</v>
      </c>
      <c r="F257" s="16" t="s">
        <v>255</v>
      </c>
      <c r="G257" s="16" t="s">
        <v>263</v>
      </c>
      <c r="H257" s="16" t="s">
        <v>2920</v>
      </c>
    </row>
    <row r="258" ht="24.75" customHeight="1">
      <c r="A258" s="32" t="str">
        <f>IMAGE("https://gymvisual.com/1434-catalog_default/3-4-sit-up.jpg",4,500,500)</f>
        <v/>
      </c>
      <c r="B258" s="30">
        <v>2257.0</v>
      </c>
      <c r="C258" s="16" t="s">
        <v>2921</v>
      </c>
      <c r="D258" s="16" t="s">
        <v>184</v>
      </c>
      <c r="E258" s="16" t="s">
        <v>254</v>
      </c>
      <c r="F258" s="16" t="s">
        <v>255</v>
      </c>
      <c r="G258" s="16" t="s">
        <v>256</v>
      </c>
      <c r="H258" s="16" t="s">
        <v>2922</v>
      </c>
    </row>
    <row r="259" ht="24.75" customHeight="1">
      <c r="A259" s="32" t="str">
        <f>IMAGE("https://gymvisual.com/11486-catalog_default/hanging-pike-female.jpg",4,500,500)</f>
        <v/>
      </c>
      <c r="B259" s="30">
        <v>2258.0</v>
      </c>
      <c r="C259" s="16" t="s">
        <v>2923</v>
      </c>
      <c r="D259" s="16" t="s">
        <v>184</v>
      </c>
      <c r="E259" s="16" t="s">
        <v>254</v>
      </c>
      <c r="F259" s="16" t="s">
        <v>255</v>
      </c>
      <c r="G259" s="16" t="s">
        <v>220</v>
      </c>
      <c r="H259" s="16" t="s">
        <v>220</v>
      </c>
    </row>
    <row r="260" ht="24.75" customHeight="1">
      <c r="A260" s="32" t="str">
        <f>IMAGE("https://gymvisual.com/17997-catalog_default/hanging-scapular-shrug.jpg",4,500,500)</f>
        <v/>
      </c>
      <c r="B260" s="30">
        <v>2259.0</v>
      </c>
      <c r="C260" s="16" t="s">
        <v>2924</v>
      </c>
      <c r="D260" s="16" t="s">
        <v>184</v>
      </c>
      <c r="E260" s="16" t="s">
        <v>192</v>
      </c>
      <c r="F260" s="16" t="s">
        <v>255</v>
      </c>
      <c r="G260" s="16" t="s">
        <v>220</v>
      </c>
      <c r="H260" s="16" t="s">
        <v>220</v>
      </c>
    </row>
    <row r="261" ht="24.75" customHeight="1">
      <c r="A261" s="32" t="str">
        <f>IMAGE("https://gymvisual.com/1437-catalog_default/3-4-sit-up.jpg",4,500,500)</f>
        <v/>
      </c>
      <c r="B261" s="30">
        <v>2260.0</v>
      </c>
      <c r="C261" s="16" t="s">
        <v>2925</v>
      </c>
      <c r="D261" s="16" t="s">
        <v>184</v>
      </c>
      <c r="E261" s="16" t="s">
        <v>254</v>
      </c>
      <c r="F261" s="16" t="s">
        <v>255</v>
      </c>
      <c r="G261" s="16" t="s">
        <v>256</v>
      </c>
      <c r="H261" s="16" t="s">
        <v>2926</v>
      </c>
    </row>
    <row r="262" ht="24.75" customHeight="1">
      <c r="A262" s="32" t="str">
        <f>IMAGE("https://gymvisual.com/14272-catalog_default/hanging-straight-leg-hip-raise-female.jpg",4,500,500)</f>
        <v/>
      </c>
      <c r="B262" s="30">
        <v>2261.0</v>
      </c>
      <c r="C262" s="16" t="s">
        <v>2927</v>
      </c>
      <c r="D262" s="16" t="s">
        <v>184</v>
      </c>
      <c r="E262" s="16" t="s">
        <v>310</v>
      </c>
      <c r="F262" s="16" t="s">
        <v>255</v>
      </c>
      <c r="G262" s="16" t="s">
        <v>305</v>
      </c>
      <c r="H262" s="16" t="s">
        <v>2928</v>
      </c>
    </row>
    <row r="263" ht="24.75" customHeight="1">
      <c r="A263" s="32" t="str">
        <f>IMAGE("https://gymvisual.com/24922-catalog_default/3-4-sit-up.jpg",4,500,500)</f>
        <v/>
      </c>
      <c r="B263" s="30">
        <v>2262.0</v>
      </c>
      <c r="C263" s="16" t="s">
        <v>2929</v>
      </c>
      <c r="D263" s="16" t="s">
        <v>184</v>
      </c>
      <c r="E263" s="16" t="s">
        <v>185</v>
      </c>
      <c r="F263" s="16" t="s">
        <v>255</v>
      </c>
      <c r="G263" s="16" t="s">
        <v>271</v>
      </c>
      <c r="H263" s="16" t="s">
        <v>566</v>
      </c>
    </row>
    <row r="264" ht="24.75" customHeight="1">
      <c r="A264" s="32" t="str">
        <f>IMAGE("https://gymvisual.com/11149-catalog_default/hanging-straight-leg-raise-female.jpg",4,500,500)</f>
        <v/>
      </c>
      <c r="B264" s="30">
        <v>2263.0</v>
      </c>
      <c r="C264" s="16" t="s">
        <v>2930</v>
      </c>
      <c r="D264" s="16" t="s">
        <v>184</v>
      </c>
      <c r="E264" s="16" t="s">
        <v>310</v>
      </c>
      <c r="F264" s="16" t="s">
        <v>255</v>
      </c>
      <c r="G264" s="16" t="s">
        <v>305</v>
      </c>
      <c r="H264" s="16" t="s">
        <v>1306</v>
      </c>
    </row>
    <row r="265" ht="24.75" customHeight="1">
      <c r="A265" s="32" t="str">
        <f>IMAGE("https://gymvisual.com/20630-catalog_default/3-4-sit-up.jpg",4,500,500)</f>
        <v/>
      </c>
      <c r="B265" s="30">
        <v>2264.0</v>
      </c>
      <c r="C265" s="16" t="s">
        <v>2931</v>
      </c>
      <c r="D265" s="16" t="s">
        <v>184</v>
      </c>
      <c r="E265" s="16" t="s">
        <v>254</v>
      </c>
      <c r="F265" s="16" t="s">
        <v>255</v>
      </c>
      <c r="G265" s="16" t="s">
        <v>260</v>
      </c>
      <c r="H265" s="16" t="s">
        <v>2932</v>
      </c>
    </row>
    <row r="266" ht="24.75" customHeight="1">
      <c r="A266" s="32" t="str">
        <f>IMAGE("https://gymvisual.com/11607-catalog_default/hanging-straight-twisting-leg-hip-raise-female.jpg",4,500,500)</f>
        <v/>
      </c>
      <c r="B266" s="30">
        <v>2265.0</v>
      </c>
      <c r="C266" s="16" t="s">
        <v>2933</v>
      </c>
      <c r="D266" s="16" t="s">
        <v>184</v>
      </c>
      <c r="E266" s="16" t="s">
        <v>310</v>
      </c>
      <c r="F266" s="16" t="s">
        <v>255</v>
      </c>
      <c r="G266" s="16" t="s">
        <v>220</v>
      </c>
      <c r="H266" s="16" t="s">
        <v>220</v>
      </c>
    </row>
    <row r="267" ht="24.75" customHeight="1">
      <c r="A267" s="32" t="str">
        <f>IMAGE("https://gymvisual.com/17125-catalog_default/hanging-toes-to-bar.jpg",4,500,500)</f>
        <v/>
      </c>
      <c r="B267" s="30">
        <v>2266.0</v>
      </c>
      <c r="C267" s="16" t="s">
        <v>2934</v>
      </c>
      <c r="D267" s="16" t="s">
        <v>184</v>
      </c>
      <c r="E267" s="16" t="s">
        <v>254</v>
      </c>
      <c r="F267" s="16" t="s">
        <v>255</v>
      </c>
      <c r="G267" s="16" t="s">
        <v>305</v>
      </c>
      <c r="H267" s="16" t="s">
        <v>600</v>
      </c>
    </row>
    <row r="268" ht="24.75" customHeight="1">
      <c r="A268" s="32" t="str">
        <f>IMAGE("https://gymvisual.com/13693-catalog_default/hawaian-squat.jpg",4,500,500)</f>
        <v/>
      </c>
      <c r="B268" s="30">
        <v>2267.0</v>
      </c>
      <c r="C268" s="16" t="s">
        <v>2935</v>
      </c>
      <c r="D268" s="16" t="s">
        <v>184</v>
      </c>
      <c r="E268" s="16" t="s">
        <v>294</v>
      </c>
      <c r="F268" s="16" t="s">
        <v>255</v>
      </c>
      <c r="G268" s="16" t="s">
        <v>189</v>
      </c>
      <c r="H268" s="16" t="s">
        <v>2512</v>
      </c>
    </row>
    <row r="269" ht="24.75" customHeight="1">
      <c r="A269" s="32" t="str">
        <f>IMAGE("https://gymvisual.com/17743-catalog_default/heel-drops.jpg",4,500,500)</f>
        <v/>
      </c>
      <c r="B269" s="30">
        <v>2268.0</v>
      </c>
      <c r="C269" s="16" t="s">
        <v>2936</v>
      </c>
      <c r="D269" s="16" t="s">
        <v>184</v>
      </c>
      <c r="E269" s="16" t="s">
        <v>185</v>
      </c>
      <c r="F269" s="16" t="s">
        <v>255</v>
      </c>
      <c r="G269" s="16" t="s">
        <v>220</v>
      </c>
      <c r="H269" s="16" t="s">
        <v>220</v>
      </c>
    </row>
    <row r="270" ht="24.75" customHeight="1">
      <c r="A270" s="32" t="str">
        <f>IMAGE("https://gymvisual.com/22476-catalog_default/high-bar-inverted-row.jpg",4,500,500)</f>
        <v/>
      </c>
      <c r="B270" s="30">
        <v>2269.0</v>
      </c>
      <c r="C270" s="16" t="s">
        <v>2937</v>
      </c>
      <c r="D270" s="16" t="s">
        <v>184</v>
      </c>
      <c r="E270" s="16" t="s">
        <v>192</v>
      </c>
      <c r="F270" s="16" t="s">
        <v>255</v>
      </c>
      <c r="G270" s="16" t="s">
        <v>220</v>
      </c>
      <c r="H270" s="16" t="s">
        <v>220</v>
      </c>
    </row>
    <row r="271" ht="24.75" customHeight="1">
      <c r="A271" s="32" t="str">
        <f>IMAGE("https://gymvisual.com/23563-catalog_default/high-knee-run-female.jpg",4,500,500)</f>
        <v/>
      </c>
      <c r="B271" s="30">
        <v>2270.0</v>
      </c>
      <c r="C271" s="16" t="s">
        <v>2938</v>
      </c>
      <c r="D271" s="16" t="s">
        <v>184</v>
      </c>
      <c r="E271" s="16" t="s">
        <v>1162</v>
      </c>
      <c r="F271" s="16" t="s">
        <v>255</v>
      </c>
      <c r="G271" s="16" t="s">
        <v>220</v>
      </c>
      <c r="H271" s="16" t="s">
        <v>220</v>
      </c>
    </row>
    <row r="272" ht="24.75" customHeight="1">
      <c r="A272" s="32" t="str">
        <f>IMAGE("https://gymvisual.com/23603-catalog_default/high-knee-squat-version-2-male.jpg",4,500,500)</f>
        <v/>
      </c>
      <c r="B272" s="30">
        <v>2271.0</v>
      </c>
      <c r="C272" s="16" t="s">
        <v>2939</v>
      </c>
      <c r="D272" s="16" t="s">
        <v>184</v>
      </c>
      <c r="E272" s="16" t="s">
        <v>321</v>
      </c>
      <c r="F272" s="16" t="s">
        <v>255</v>
      </c>
      <c r="G272" s="16" t="s">
        <v>220</v>
      </c>
      <c r="H272" s="16" t="s">
        <v>220</v>
      </c>
    </row>
    <row r="273" ht="24.75" customHeight="1">
      <c r="A273" s="32" t="str">
        <f>IMAGE("https://gymvisual.com/22801-catalog_default/hip-clam-shell.jpg",4,500,500)</f>
        <v/>
      </c>
      <c r="B273" s="30">
        <v>2272.0</v>
      </c>
      <c r="C273" s="16" t="s">
        <v>2940</v>
      </c>
      <c r="D273" s="16" t="s">
        <v>184</v>
      </c>
      <c r="E273" s="16" t="s">
        <v>185</v>
      </c>
      <c r="F273" s="16" t="s">
        <v>255</v>
      </c>
      <c r="G273" s="16" t="s">
        <v>475</v>
      </c>
      <c r="H273" s="16" t="s">
        <v>476</v>
      </c>
    </row>
    <row r="274" ht="24.75" customHeight="1">
      <c r="A274" s="32" t="str">
        <f>IMAGE("https://gymvisual.com/1461-catalog_default/3-4-sit-up.jpg",4,500,500)</f>
        <v/>
      </c>
      <c r="B274" s="30">
        <v>2273.0</v>
      </c>
      <c r="C274" s="16" t="s">
        <v>2941</v>
      </c>
      <c r="D274" s="16" t="s">
        <v>184</v>
      </c>
      <c r="E274" s="16" t="s">
        <v>254</v>
      </c>
      <c r="F274" s="16" t="s">
        <v>255</v>
      </c>
      <c r="G274" s="16" t="s">
        <v>305</v>
      </c>
      <c r="H274" s="16" t="s">
        <v>371</v>
      </c>
    </row>
    <row r="275" ht="24.75" customHeight="1">
      <c r="A275" s="32" t="str">
        <f>IMAGE("https://gymvisual.com/7692-catalog_default/hip-lift-low-back-off-floor.jpg",4,500,500)</f>
        <v/>
      </c>
      <c r="B275" s="30">
        <v>2274.0</v>
      </c>
      <c r="C275" s="16" t="s">
        <v>2942</v>
      </c>
      <c r="D275" s="16" t="s">
        <v>184</v>
      </c>
      <c r="E275" s="16" t="s">
        <v>254</v>
      </c>
      <c r="F275" s="16" t="s">
        <v>255</v>
      </c>
      <c r="G275" s="16" t="s">
        <v>220</v>
      </c>
      <c r="H275" s="16" t="s">
        <v>220</v>
      </c>
    </row>
    <row r="276" ht="24.75" customHeight="1">
      <c r="A276" s="32" t="str">
        <f>IMAGE("https://gymvisual.com/1467-catalog_default/3-4-sit-up.jpg",4,500,500)</f>
        <v/>
      </c>
      <c r="B276" s="30">
        <v>2275.0</v>
      </c>
      <c r="C276" s="16" t="s">
        <v>2943</v>
      </c>
      <c r="D276" s="16" t="s">
        <v>184</v>
      </c>
      <c r="E276" s="16" t="s">
        <v>254</v>
      </c>
      <c r="F276" s="16" t="s">
        <v>255</v>
      </c>
      <c r="G276" s="16" t="s">
        <v>305</v>
      </c>
      <c r="H276" s="16" t="s">
        <v>371</v>
      </c>
    </row>
    <row r="277" ht="24.75" customHeight="1">
      <c r="A277" s="32" t="str">
        <f>IMAGE("https://gymvisual.com/11489-catalog_default/hip-raise-bent-knee-female.jpg",4,500,500)</f>
        <v/>
      </c>
      <c r="B277" s="30">
        <v>2276.0</v>
      </c>
      <c r="C277" s="16" t="s">
        <v>2944</v>
      </c>
      <c r="D277" s="16" t="s">
        <v>184</v>
      </c>
      <c r="E277" s="16" t="s">
        <v>254</v>
      </c>
      <c r="F277" s="16" t="s">
        <v>255</v>
      </c>
      <c r="G277" s="16" t="s">
        <v>220</v>
      </c>
      <c r="H277" s="16" t="s">
        <v>220</v>
      </c>
    </row>
    <row r="278" ht="24.75" customHeight="1">
      <c r="A278" s="32" t="str">
        <f>IMAGE("https://gymvisual.com/1473-catalog_default/3-4-sit-up.jpg",4,500,500)</f>
        <v/>
      </c>
      <c r="B278" s="30">
        <v>2277.0</v>
      </c>
      <c r="C278" s="16" t="s">
        <v>2945</v>
      </c>
      <c r="D278" s="16" t="s">
        <v>184</v>
      </c>
      <c r="E278" s="16" t="s">
        <v>254</v>
      </c>
      <c r="F278" s="16" t="s">
        <v>255</v>
      </c>
      <c r="G278" s="16" t="s">
        <v>256</v>
      </c>
      <c r="H278" s="16" t="s">
        <v>2946</v>
      </c>
    </row>
    <row r="279" ht="24.75" customHeight="1">
      <c r="A279" s="32" t="str">
        <f>IMAGE("https://gymvisual.com/1470-catalog_default/3-4-sit-up.jpg",4,500,500)</f>
        <v/>
      </c>
      <c r="B279" s="30">
        <v>2278.0</v>
      </c>
      <c r="C279" s="16" t="s">
        <v>2947</v>
      </c>
      <c r="D279" s="16" t="s">
        <v>184</v>
      </c>
      <c r="E279" s="16" t="s">
        <v>254</v>
      </c>
      <c r="F279" s="16" t="s">
        <v>255</v>
      </c>
      <c r="G279" s="16" t="s">
        <v>256</v>
      </c>
      <c r="H279" s="16" t="s">
        <v>1330</v>
      </c>
    </row>
    <row r="280" ht="24.75" customHeight="1">
      <c r="A280" s="32" t="str">
        <f>IMAGE("https://gymvisual.com/1476-catalog_default/3-4-sit-up.jpg",4,500,500)</f>
        <v/>
      </c>
      <c r="B280" s="30">
        <v>2279.0</v>
      </c>
      <c r="C280" s="16" t="s">
        <v>2948</v>
      </c>
      <c r="D280" s="16" t="s">
        <v>184</v>
      </c>
      <c r="E280" s="16" t="s">
        <v>185</v>
      </c>
      <c r="F280" s="16" t="s">
        <v>255</v>
      </c>
      <c r="G280" s="16" t="s">
        <v>256</v>
      </c>
      <c r="H280" s="16" t="s">
        <v>2949</v>
      </c>
    </row>
    <row r="281" ht="24.75" customHeight="1">
      <c r="A281" s="32" t="str">
        <f>IMAGE("https://gymvisual.com/19439-catalog_default/hip-roll-plank.jpg",4,500,500)</f>
        <v/>
      </c>
      <c r="B281" s="30">
        <v>2280.0</v>
      </c>
      <c r="C281" s="16" t="s">
        <v>2950</v>
      </c>
      <c r="D281" s="16" t="s">
        <v>184</v>
      </c>
      <c r="E281" s="16" t="s">
        <v>254</v>
      </c>
      <c r="F281" s="16" t="s">
        <v>255</v>
      </c>
      <c r="G281" s="16" t="s">
        <v>220</v>
      </c>
      <c r="H281" s="16" t="s">
        <v>220</v>
      </c>
    </row>
    <row r="282" ht="24.75" customHeight="1">
      <c r="A282" s="32" t="str">
        <f>IMAGE("https://gymvisual.com/23629-catalog_default/hip-swirls.jpg",4,500,500)</f>
        <v/>
      </c>
      <c r="B282" s="30">
        <v>2281.0</v>
      </c>
      <c r="C282" s="16" t="s">
        <v>2951</v>
      </c>
      <c r="D282" s="16" t="s">
        <v>184</v>
      </c>
      <c r="E282" s="16" t="s">
        <v>185</v>
      </c>
      <c r="F282" s="16" t="s">
        <v>255</v>
      </c>
      <c r="G282" s="16" t="s">
        <v>2952</v>
      </c>
      <c r="H282" s="16" t="s">
        <v>2953</v>
      </c>
    </row>
    <row r="283" ht="24.75" customHeight="1">
      <c r="A283" s="32" t="str">
        <f>IMAGE("https://gymvisual.com/10103-catalog_default/hip-thrusts.jpg",4,500,500)</f>
        <v/>
      </c>
      <c r="B283" s="30">
        <v>2282.0</v>
      </c>
      <c r="C283" s="16" t="s">
        <v>2954</v>
      </c>
      <c r="D283" s="16" t="s">
        <v>184</v>
      </c>
      <c r="E283" s="16" t="s">
        <v>185</v>
      </c>
      <c r="F283" s="16" t="s">
        <v>255</v>
      </c>
      <c r="G283" s="16" t="s">
        <v>220</v>
      </c>
      <c r="H283" s="16" t="s">
        <v>220</v>
      </c>
    </row>
    <row r="284" ht="24.75" customHeight="1">
      <c r="A284" s="32" t="str">
        <f>IMAGE("https://gymvisual.com/8770-catalog_default/hip-thrusts-female.jpg",4,500,500)</f>
        <v/>
      </c>
      <c r="B284" s="30">
        <v>2283.0</v>
      </c>
      <c r="C284" s="16" t="s">
        <v>2955</v>
      </c>
      <c r="D284" s="16" t="s">
        <v>184</v>
      </c>
      <c r="E284" s="16" t="s">
        <v>185</v>
      </c>
      <c r="F284" s="16" t="s">
        <v>255</v>
      </c>
      <c r="G284" s="16" t="s">
        <v>187</v>
      </c>
      <c r="H284" s="16" t="s">
        <v>854</v>
      </c>
    </row>
    <row r="285" ht="24.75" customHeight="1">
      <c r="A285" s="32" t="str">
        <f>IMAGE("https://gymvisual.com/4622-catalog_default/hollow-hold.jpg",4,500,500)</f>
        <v/>
      </c>
      <c r="B285" s="30">
        <v>2284.0</v>
      </c>
      <c r="C285" s="16" t="s">
        <v>2956</v>
      </c>
      <c r="D285" s="16" t="s">
        <v>184</v>
      </c>
      <c r="E285" s="16" t="s">
        <v>254</v>
      </c>
      <c r="F285" s="16" t="s">
        <v>255</v>
      </c>
      <c r="G285" s="16" t="s">
        <v>305</v>
      </c>
      <c r="H285" s="16" t="s">
        <v>319</v>
      </c>
    </row>
    <row r="286" ht="24.75" customHeight="1">
      <c r="A286" s="32" t="str">
        <f>IMAGE("https://gymvisual.com/19379-catalog_default/hyght-dumbbell-fly.jpg",4,500,500)</f>
        <v/>
      </c>
      <c r="B286" s="30">
        <v>2285.0</v>
      </c>
      <c r="C286" s="16" t="s">
        <v>2957</v>
      </c>
      <c r="D286" s="16" t="s">
        <v>184</v>
      </c>
      <c r="E286" s="16" t="s">
        <v>234</v>
      </c>
      <c r="F286" s="16" t="s">
        <v>222</v>
      </c>
      <c r="G286" s="16" t="s">
        <v>415</v>
      </c>
      <c r="H286" s="16" t="s">
        <v>236</v>
      </c>
    </row>
    <row r="287" ht="24.75" customHeight="1">
      <c r="A287" s="32" t="str">
        <f>IMAGE("https://gymvisual.com/13884-catalog_default/hyght-dumbbell-fly-female.jpg",4,500,500)</f>
        <v/>
      </c>
      <c r="B287" s="30">
        <v>2286.0</v>
      </c>
      <c r="C287" s="16" t="s">
        <v>2958</v>
      </c>
      <c r="D287" s="16" t="s">
        <v>184</v>
      </c>
      <c r="E287" s="16" t="s">
        <v>234</v>
      </c>
      <c r="F287" s="16" t="s">
        <v>222</v>
      </c>
      <c r="G287" s="16" t="s">
        <v>220</v>
      </c>
      <c r="H287" s="16" t="s">
        <v>220</v>
      </c>
    </row>
    <row r="288" ht="24.75" customHeight="1">
      <c r="A288" s="32" t="str">
        <f>IMAGE("https://gymvisual.com/19339-catalog_default/3-4-sit-up.jpg",4,500,500)</f>
        <v/>
      </c>
      <c r="B288" s="30">
        <v>2287.0</v>
      </c>
      <c r="C288" s="16" t="s">
        <v>2959</v>
      </c>
      <c r="D288" s="16" t="s">
        <v>184</v>
      </c>
      <c r="E288" s="16" t="s">
        <v>254</v>
      </c>
      <c r="F288" s="16" t="s">
        <v>255</v>
      </c>
      <c r="G288" s="16" t="s">
        <v>275</v>
      </c>
      <c r="H288" s="16" t="s">
        <v>2412</v>
      </c>
    </row>
    <row r="289" ht="24.75" customHeight="1">
      <c r="A289" s="32" t="str">
        <f>IMAGE("https://gymvisual.com/11152-catalog_default/hyperextension-female.jpg",4,500,500)</f>
        <v/>
      </c>
      <c r="B289" s="30">
        <v>2288.0</v>
      </c>
      <c r="C289" s="16" t="s">
        <v>2960</v>
      </c>
      <c r="D289" s="16" t="s">
        <v>184</v>
      </c>
      <c r="E289" s="16" t="s">
        <v>185</v>
      </c>
      <c r="F289" s="16" t="s">
        <v>255</v>
      </c>
      <c r="G289" s="16" t="s">
        <v>220</v>
      </c>
      <c r="H289" s="16" t="s">
        <v>220</v>
      </c>
    </row>
    <row r="290" ht="24.75" customHeight="1">
      <c r="A290" s="32" t="str">
        <f>IMAGE("https://gymvisual.com/1479-catalog_default/3-4-sit-up.jpg",4,500,500)</f>
        <v/>
      </c>
      <c r="B290" s="30">
        <v>2289.0</v>
      </c>
      <c r="C290" s="16" t="s">
        <v>2961</v>
      </c>
      <c r="D290" s="16" t="s">
        <v>184</v>
      </c>
      <c r="E290" s="16" t="s">
        <v>254</v>
      </c>
      <c r="F290" s="16" t="s">
        <v>255</v>
      </c>
      <c r="G290" s="16" t="s">
        <v>275</v>
      </c>
      <c r="H290" s="16" t="s">
        <v>2412</v>
      </c>
    </row>
    <row r="291" ht="24.75" customHeight="1">
      <c r="A291" s="32" t="str">
        <f>IMAGE("https://gymvisual.com/7712-catalog_default/hyperextension-version-2.jpg",4,500,500)</f>
        <v/>
      </c>
      <c r="B291" s="30">
        <v>2290.0</v>
      </c>
      <c r="C291" s="16" t="s">
        <v>2962</v>
      </c>
      <c r="D291" s="16" t="s">
        <v>184</v>
      </c>
      <c r="E291" s="16" t="s">
        <v>185</v>
      </c>
      <c r="F291" s="16" t="s">
        <v>255</v>
      </c>
      <c r="G291" s="16" t="s">
        <v>275</v>
      </c>
      <c r="H291" s="16" t="s">
        <v>2412</v>
      </c>
    </row>
    <row r="292" ht="24.75" customHeight="1">
      <c r="A292" s="32" t="str">
        <f>IMAGE("https://gymvisual.com/13515-catalog_default/impossible-dips.jpg",4,500,500)</f>
        <v/>
      </c>
      <c r="B292" s="30">
        <v>2291.0</v>
      </c>
      <c r="C292" s="16" t="s">
        <v>2963</v>
      </c>
      <c r="D292" s="16" t="s">
        <v>184</v>
      </c>
      <c r="E292" s="16" t="s">
        <v>2964</v>
      </c>
      <c r="F292" s="16" t="s">
        <v>255</v>
      </c>
      <c r="G292" s="16" t="s">
        <v>220</v>
      </c>
      <c r="H292" s="16" t="s">
        <v>220</v>
      </c>
    </row>
    <row r="293" ht="24.75" customHeight="1">
      <c r="A293" s="32" t="str">
        <f>IMAGE("https://gymvisual.com/6409-catalog_default/inchworm.jpg",4,500,500)</f>
        <v/>
      </c>
      <c r="B293" s="30">
        <v>2292.0</v>
      </c>
      <c r="C293" s="16" t="s">
        <v>2965</v>
      </c>
      <c r="D293" s="16" t="s">
        <v>184</v>
      </c>
      <c r="E293" s="16" t="s">
        <v>254</v>
      </c>
      <c r="F293" s="16" t="s">
        <v>255</v>
      </c>
      <c r="G293" s="16" t="s">
        <v>2966</v>
      </c>
      <c r="H293" s="16" t="s">
        <v>2967</v>
      </c>
    </row>
    <row r="294" ht="24.75" customHeight="1">
      <c r="A294" s="32" t="str">
        <f>IMAGE("https://gymvisual.com/15146-catalog_default/inchworm-version-2.jpg",4,500,500)</f>
        <v/>
      </c>
      <c r="B294" s="30">
        <v>2293.0</v>
      </c>
      <c r="C294" s="16" t="s">
        <v>2968</v>
      </c>
      <c r="D294" s="16" t="s">
        <v>184</v>
      </c>
      <c r="E294" s="16" t="s">
        <v>254</v>
      </c>
      <c r="F294" s="16" t="s">
        <v>255</v>
      </c>
      <c r="G294" s="16" t="s">
        <v>2969</v>
      </c>
      <c r="H294" s="16" t="s">
        <v>2970</v>
      </c>
    </row>
    <row r="295" ht="24.75" customHeight="1">
      <c r="A295" s="32" t="str">
        <f>IMAGE("https://gymvisual.com/22281-catalog_default/incline-alternate-flutter-kicks.jpg",4,500,500)</f>
        <v/>
      </c>
      <c r="B295" s="30">
        <v>2294.0</v>
      </c>
      <c r="C295" s="16" t="s">
        <v>2971</v>
      </c>
      <c r="D295" s="16" t="s">
        <v>184</v>
      </c>
      <c r="E295" s="16" t="s">
        <v>185</v>
      </c>
      <c r="F295" s="16" t="s">
        <v>255</v>
      </c>
      <c r="G295" s="16" t="s">
        <v>220</v>
      </c>
      <c r="H295" s="16" t="s">
        <v>220</v>
      </c>
    </row>
    <row r="296" ht="24.75" customHeight="1">
      <c r="A296" s="32" t="str">
        <f>IMAGE("https://gymvisual.com/23929-catalog_default/incline-close-grip-push-up.jpg",4,500,500)</f>
        <v/>
      </c>
      <c r="B296" s="30">
        <v>2295.0</v>
      </c>
      <c r="C296" s="16" t="s">
        <v>2972</v>
      </c>
      <c r="D296" s="16" t="s">
        <v>184</v>
      </c>
      <c r="E296" s="16" t="s">
        <v>219</v>
      </c>
      <c r="F296" s="16" t="s">
        <v>255</v>
      </c>
      <c r="G296" s="16" t="s">
        <v>2400</v>
      </c>
      <c r="H296" s="16" t="s">
        <v>229</v>
      </c>
    </row>
    <row r="297" ht="24.75" customHeight="1">
      <c r="A297" s="32" t="str">
        <f>IMAGE("https://gymvisual.com/1485-catalog_default/3-4-sit-up.jpg",4,500,500)</f>
        <v/>
      </c>
      <c r="B297" s="30">
        <v>2296.0</v>
      </c>
      <c r="C297" s="16" t="s">
        <v>2973</v>
      </c>
      <c r="D297" s="16" t="s">
        <v>184</v>
      </c>
      <c r="E297" s="16" t="s">
        <v>228</v>
      </c>
      <c r="F297" s="16" t="s">
        <v>255</v>
      </c>
      <c r="G297" s="16" t="s">
        <v>223</v>
      </c>
      <c r="H297" s="16" t="s">
        <v>472</v>
      </c>
    </row>
    <row r="298" ht="24.75" customHeight="1">
      <c r="A298" s="32" t="str">
        <f>IMAGE("https://gymvisual.com/2604-catalog_default/3-4-sit-up.jpg",4,500,500)</f>
        <v/>
      </c>
      <c r="B298" s="30">
        <v>2297.0</v>
      </c>
      <c r="C298" s="16" t="s">
        <v>2974</v>
      </c>
      <c r="D298" s="16" t="s">
        <v>184</v>
      </c>
      <c r="E298" s="16" t="s">
        <v>254</v>
      </c>
      <c r="F298" s="16" t="s">
        <v>255</v>
      </c>
      <c r="G298" s="16" t="s">
        <v>305</v>
      </c>
      <c r="H298" s="16" t="s">
        <v>317</v>
      </c>
    </row>
    <row r="299" ht="24.75" customHeight="1">
      <c r="A299" s="32" t="str">
        <f>IMAGE("https://gymvisual.com/11610-catalog_default/incline-leg-hip-raise-leg-straight-female.jpg",4,500,500)</f>
        <v/>
      </c>
      <c r="B299" s="30">
        <v>2298.0</v>
      </c>
      <c r="C299" s="16" t="s">
        <v>2975</v>
      </c>
      <c r="D299" s="16" t="s">
        <v>184</v>
      </c>
      <c r="E299" s="16" t="s">
        <v>254</v>
      </c>
      <c r="F299" s="16" t="s">
        <v>255</v>
      </c>
      <c r="G299" s="16" t="s">
        <v>305</v>
      </c>
      <c r="H299" s="16" t="s">
        <v>319</v>
      </c>
    </row>
    <row r="300" ht="24.75" customHeight="1">
      <c r="A300" s="32" t="str">
        <f>IMAGE("https://gymvisual.com/7684-catalog_default/incline-push-press.jpg",4,500,500)</f>
        <v/>
      </c>
      <c r="B300" s="30">
        <v>2299.0</v>
      </c>
      <c r="C300" s="16" t="s">
        <v>2976</v>
      </c>
      <c r="D300" s="16" t="s">
        <v>184</v>
      </c>
      <c r="E300" s="16" t="s">
        <v>234</v>
      </c>
      <c r="F300" s="16" t="s">
        <v>255</v>
      </c>
      <c r="G300" s="16" t="s">
        <v>347</v>
      </c>
      <c r="H300" s="16" t="s">
        <v>382</v>
      </c>
    </row>
    <row r="301" ht="24.75" customHeight="1">
      <c r="A301" s="32" t="str">
        <f>IMAGE("https://gymvisual.com/1493-catalog_default/3-4-sit-up.jpg",4,500,500)</f>
        <v/>
      </c>
      <c r="B301" s="30">
        <v>2300.0</v>
      </c>
      <c r="C301" s="16" t="s">
        <v>2977</v>
      </c>
      <c r="D301" s="16" t="s">
        <v>184</v>
      </c>
      <c r="E301" s="16" t="s">
        <v>234</v>
      </c>
      <c r="F301" s="16" t="s">
        <v>255</v>
      </c>
      <c r="G301" s="16" t="s">
        <v>347</v>
      </c>
      <c r="H301" s="16" t="s">
        <v>382</v>
      </c>
    </row>
    <row r="302" ht="24.75" customHeight="1">
      <c r="A302" s="32" t="str">
        <f>IMAGE("https://gymvisual.com/24836-catalog_default/incline-push-up-on-bench-male.jpg",4,500,500)</f>
        <v/>
      </c>
      <c r="B302" s="30">
        <v>2301.0</v>
      </c>
      <c r="C302" s="16" t="s">
        <v>2978</v>
      </c>
      <c r="D302" s="16" t="s">
        <v>184</v>
      </c>
      <c r="E302" s="16" t="s">
        <v>234</v>
      </c>
      <c r="F302" s="16" t="s">
        <v>255</v>
      </c>
      <c r="G302" s="16" t="s">
        <v>235</v>
      </c>
      <c r="H302" s="16" t="s">
        <v>243</v>
      </c>
    </row>
    <row r="303" ht="24.75" customHeight="1">
      <c r="A303" s="32" t="str">
        <f>IMAGE("https://gymvisual.com/16777-catalog_default/incline-push-up-on-box.jpg",4,500,500)</f>
        <v/>
      </c>
      <c r="B303" s="30">
        <v>2302.0</v>
      </c>
      <c r="C303" s="16" t="s">
        <v>2979</v>
      </c>
      <c r="D303" s="16" t="s">
        <v>184</v>
      </c>
      <c r="E303" s="16" t="s">
        <v>234</v>
      </c>
      <c r="F303" s="16" t="s">
        <v>255</v>
      </c>
      <c r="G303" s="16" t="s">
        <v>235</v>
      </c>
      <c r="H303" s="16" t="s">
        <v>243</v>
      </c>
    </row>
    <row r="304" ht="24.75" customHeight="1">
      <c r="A304" s="32" t="str">
        <f>IMAGE("https://gymvisual.com/1496-catalog_default/3-4-sit-up.jpg",4,500,500)</f>
        <v/>
      </c>
      <c r="B304" s="30">
        <v>2303.0</v>
      </c>
      <c r="C304" s="16" t="s">
        <v>2980</v>
      </c>
      <c r="D304" s="16" t="s">
        <v>184</v>
      </c>
      <c r="E304" s="16" t="s">
        <v>234</v>
      </c>
      <c r="F304" s="16" t="s">
        <v>255</v>
      </c>
      <c r="G304" s="16" t="s">
        <v>347</v>
      </c>
      <c r="H304" s="16" t="s">
        <v>2981</v>
      </c>
    </row>
    <row r="305" ht="24.75" customHeight="1">
      <c r="A305" s="32" t="str">
        <f>IMAGE("https://gymvisual.com/12753-catalog_default/incline-reverse-hyperextension.jpg",4,500,500)</f>
        <v/>
      </c>
      <c r="B305" s="30">
        <v>2304.0</v>
      </c>
      <c r="C305" s="16" t="s">
        <v>2982</v>
      </c>
      <c r="D305" s="16" t="s">
        <v>184</v>
      </c>
      <c r="E305" s="16" t="s">
        <v>185</v>
      </c>
      <c r="F305" s="16" t="s">
        <v>255</v>
      </c>
      <c r="G305" s="16" t="s">
        <v>267</v>
      </c>
      <c r="H305" s="16" t="s">
        <v>188</v>
      </c>
    </row>
    <row r="306" ht="24.75" customHeight="1">
      <c r="A306" s="32" t="str">
        <f>IMAGE("https://gymvisual.com/12400-catalog_default/incline-scapula-push-up.jpg",4,500,500)</f>
        <v/>
      </c>
      <c r="B306" s="30">
        <v>2305.0</v>
      </c>
      <c r="C306" s="16" t="s">
        <v>2983</v>
      </c>
      <c r="D306" s="16" t="s">
        <v>184</v>
      </c>
      <c r="E306" s="16" t="s">
        <v>234</v>
      </c>
      <c r="F306" s="16" t="s">
        <v>255</v>
      </c>
      <c r="G306" s="16" t="s">
        <v>885</v>
      </c>
      <c r="H306" s="16" t="s">
        <v>220</v>
      </c>
    </row>
    <row r="307" ht="24.75" customHeight="1">
      <c r="A307" s="32" t="str">
        <f>IMAGE("https://gymvisual.com/23555-catalog_default/incline-shoulder-tap.jpg",4,500,500)</f>
        <v/>
      </c>
      <c r="B307" s="30">
        <v>2306.0</v>
      </c>
      <c r="C307" s="16" t="s">
        <v>2984</v>
      </c>
      <c r="D307" s="16" t="s">
        <v>184</v>
      </c>
      <c r="E307" s="16" t="s">
        <v>234</v>
      </c>
      <c r="F307" s="16" t="s">
        <v>255</v>
      </c>
      <c r="G307" s="16" t="s">
        <v>235</v>
      </c>
      <c r="H307" s="16" t="s">
        <v>2985</v>
      </c>
    </row>
    <row r="308" ht="24.75" customHeight="1">
      <c r="A308" s="32" t="str">
        <f>IMAGE("https://gymvisual.com/2607-catalog_default/3-4-sit-up.jpg",4,500,500)</f>
        <v/>
      </c>
      <c r="B308" s="30">
        <v>2307.0</v>
      </c>
      <c r="C308" s="16" t="s">
        <v>2986</v>
      </c>
      <c r="D308" s="16" t="s">
        <v>184</v>
      </c>
      <c r="E308" s="16" t="s">
        <v>254</v>
      </c>
      <c r="F308" s="16" t="s">
        <v>255</v>
      </c>
      <c r="G308" s="16" t="s">
        <v>424</v>
      </c>
      <c r="H308" s="16" t="s">
        <v>425</v>
      </c>
    </row>
    <row r="309" ht="24.75" customHeight="1">
      <c r="A309" s="32" t="str">
        <f>IMAGE("https://gymvisual.com/24305-catalog_default/incline-twisting-sit-up-version-2.jpg",4,500,500)</f>
        <v/>
      </c>
      <c r="B309" s="30">
        <v>2308.0</v>
      </c>
      <c r="C309" s="16" t="s">
        <v>2987</v>
      </c>
      <c r="D309" s="16" t="s">
        <v>184</v>
      </c>
      <c r="E309" s="16" t="s">
        <v>254</v>
      </c>
      <c r="F309" s="16" t="s">
        <v>255</v>
      </c>
      <c r="G309" s="16" t="s">
        <v>424</v>
      </c>
      <c r="H309" s="16" t="s">
        <v>2988</v>
      </c>
    </row>
    <row r="310" ht="24.75" customHeight="1">
      <c r="A310" s="32" t="str">
        <f>IMAGE("https://gymvisual.com/1502-catalog_default/3-4-sit-up.jpg",4,500,500)</f>
        <v/>
      </c>
      <c r="B310" s="30">
        <v>2309.0</v>
      </c>
      <c r="C310" s="16" t="s">
        <v>2989</v>
      </c>
      <c r="D310" s="16" t="s">
        <v>184</v>
      </c>
      <c r="E310" s="16" t="s">
        <v>285</v>
      </c>
      <c r="F310" s="16" t="s">
        <v>255</v>
      </c>
      <c r="G310" s="16" t="s">
        <v>188</v>
      </c>
      <c r="H310" s="16" t="s">
        <v>561</v>
      </c>
    </row>
    <row r="311" ht="24.75" customHeight="1">
      <c r="A311" s="32" t="str">
        <f>IMAGE("https://gymvisual.com/10448-catalog_default/inverse-leg-curl-on-pull-up-cable-machine.jpg",4,500,500)</f>
        <v/>
      </c>
      <c r="B311" s="30">
        <v>2310.0</v>
      </c>
      <c r="C311" s="16" t="s">
        <v>2990</v>
      </c>
      <c r="D311" s="16" t="s">
        <v>184</v>
      </c>
      <c r="E311" s="16" t="s">
        <v>285</v>
      </c>
      <c r="F311" s="16" t="s">
        <v>255</v>
      </c>
      <c r="G311" s="16" t="s">
        <v>188</v>
      </c>
      <c r="H311" s="16" t="s">
        <v>2991</v>
      </c>
    </row>
    <row r="312" ht="24.75" customHeight="1">
      <c r="A312" s="32" t="str">
        <f>IMAGE("https://gymvisual.com/22526-catalog_default/inverse-leg-curl-with-bench-pads.jpg",4,500,500)</f>
        <v/>
      </c>
      <c r="B312" s="30">
        <v>2311.0</v>
      </c>
      <c r="C312" s="16" t="s">
        <v>2992</v>
      </c>
      <c r="D312" s="16" t="s">
        <v>184</v>
      </c>
      <c r="E312" s="16" t="s">
        <v>285</v>
      </c>
      <c r="F312" s="16" t="s">
        <v>255</v>
      </c>
      <c r="G312" s="16" t="s">
        <v>220</v>
      </c>
      <c r="H312" s="16" t="s">
        <v>220</v>
      </c>
    </row>
    <row r="313" ht="24.75" customHeight="1">
      <c r="A313" s="32" t="str">
        <f>IMAGE("https://gymvisual.com/13988-catalog_default/inverted-chin-curl-with-bent-knee-between-chairs.jpg",4,500,500)</f>
        <v/>
      </c>
      <c r="B313" s="30">
        <v>2312.0</v>
      </c>
      <c r="C313" s="16" t="s">
        <v>2993</v>
      </c>
      <c r="D313" s="16" t="s">
        <v>184</v>
      </c>
      <c r="E313" s="16" t="s">
        <v>219</v>
      </c>
      <c r="F313" s="16" t="s">
        <v>255</v>
      </c>
      <c r="G313" s="16" t="s">
        <v>241</v>
      </c>
      <c r="H313" s="16" t="s">
        <v>292</v>
      </c>
    </row>
    <row r="314" ht="24.75" customHeight="1">
      <c r="A314" s="32" t="str">
        <f>IMAGE("https://gymvisual.com/9763-catalog_default/3-4-sit-up.jpg",4,500,500)</f>
        <v/>
      </c>
      <c r="B314" s="30">
        <v>2313.0</v>
      </c>
      <c r="C314" s="16" t="s">
        <v>2994</v>
      </c>
      <c r="D314" s="16" t="s">
        <v>184</v>
      </c>
      <c r="E314" s="16" t="s">
        <v>192</v>
      </c>
      <c r="F314" s="16" t="s">
        <v>255</v>
      </c>
      <c r="G314" s="16" t="s">
        <v>329</v>
      </c>
      <c r="H314" s="16" t="s">
        <v>457</v>
      </c>
    </row>
    <row r="315" ht="24.75" customHeight="1">
      <c r="A315" s="32" t="str">
        <f>IMAGE("https://gymvisual.com/20654-catalog_default/inverted-row-female.jpg",4,500,500)</f>
        <v/>
      </c>
      <c r="B315" s="30">
        <v>2314.0</v>
      </c>
      <c r="C315" s="16" t="s">
        <v>2995</v>
      </c>
      <c r="D315" s="16" t="s">
        <v>184</v>
      </c>
      <c r="E315" s="16" t="s">
        <v>192</v>
      </c>
      <c r="F315" s="16" t="s">
        <v>255</v>
      </c>
      <c r="G315" s="16" t="s">
        <v>329</v>
      </c>
      <c r="H315" s="16" t="s">
        <v>457</v>
      </c>
    </row>
    <row r="316" ht="24.75" customHeight="1">
      <c r="A316" s="32" t="str">
        <f>IMAGE("https://gymvisual.com/1505-catalog_default/3-4-sit-up.jpg",4,500,500)</f>
        <v/>
      </c>
      <c r="B316" s="30">
        <v>2315.0</v>
      </c>
      <c r="C316" s="16" t="s">
        <v>2996</v>
      </c>
      <c r="D316" s="16" t="s">
        <v>184</v>
      </c>
      <c r="E316" s="16" t="s">
        <v>192</v>
      </c>
      <c r="F316" s="16" t="s">
        <v>255</v>
      </c>
      <c r="G316" s="16" t="s">
        <v>329</v>
      </c>
      <c r="H316" s="16" t="s">
        <v>457</v>
      </c>
    </row>
    <row r="317" ht="24.75" customHeight="1">
      <c r="A317" s="32" t="str">
        <f>IMAGE("https://gymvisual.com/13727-catalog_default/inverted-row-bent-knee-under-table-female.jpg",4,500,500)</f>
        <v/>
      </c>
      <c r="B317" s="30">
        <v>2316.0</v>
      </c>
      <c r="C317" s="16" t="s">
        <v>2997</v>
      </c>
      <c r="D317" s="16" t="s">
        <v>184</v>
      </c>
      <c r="E317" s="16" t="s">
        <v>192</v>
      </c>
      <c r="F317" s="16" t="s">
        <v>255</v>
      </c>
      <c r="G317" s="16" t="s">
        <v>329</v>
      </c>
      <c r="H317" s="16" t="s">
        <v>357</v>
      </c>
    </row>
    <row r="318" ht="24.75" customHeight="1">
      <c r="A318" s="32" t="str">
        <f>IMAGE("https://gymvisual.com/9766-catalog_default/inverted-row-bent-knees.jpg",4,500,500)</f>
        <v/>
      </c>
      <c r="B318" s="30">
        <v>2317.0</v>
      </c>
      <c r="C318" s="16" t="s">
        <v>2998</v>
      </c>
      <c r="D318" s="16" t="s">
        <v>184</v>
      </c>
      <c r="E318" s="16" t="s">
        <v>192</v>
      </c>
      <c r="F318" s="16" t="s">
        <v>255</v>
      </c>
      <c r="G318" s="16" t="s">
        <v>329</v>
      </c>
      <c r="H318" s="16" t="s">
        <v>457</v>
      </c>
    </row>
    <row r="319" ht="24.75" customHeight="1">
      <c r="A319" s="32" t="str">
        <f>IMAGE("https://gymvisual.com/13739-catalog_default/inverted-row-between-chairs.jpg",4,500,500)</f>
        <v/>
      </c>
      <c r="B319" s="30">
        <v>2318.0</v>
      </c>
      <c r="C319" s="16" t="s">
        <v>2999</v>
      </c>
      <c r="D319" s="16" t="s">
        <v>184</v>
      </c>
      <c r="E319" s="16" t="s">
        <v>192</v>
      </c>
      <c r="F319" s="16" t="s">
        <v>255</v>
      </c>
      <c r="G319" s="16" t="s">
        <v>329</v>
      </c>
      <c r="H319" s="16" t="s">
        <v>357</v>
      </c>
    </row>
    <row r="320" ht="24.75" customHeight="1">
      <c r="A320" s="32" t="str">
        <f>IMAGE("https://gymvisual.com/14050-catalog_default/inverted-row-between-chairs-female.jpg",4,500,500)</f>
        <v/>
      </c>
      <c r="B320" s="30">
        <v>2319.0</v>
      </c>
      <c r="C320" s="16" t="s">
        <v>3000</v>
      </c>
      <c r="D320" s="16" t="s">
        <v>184</v>
      </c>
      <c r="E320" s="16" t="s">
        <v>192</v>
      </c>
      <c r="F320" s="16" t="s">
        <v>255</v>
      </c>
      <c r="G320" s="16" t="s">
        <v>329</v>
      </c>
      <c r="H320" s="16" t="s">
        <v>357</v>
      </c>
    </row>
    <row r="321" ht="24.75" customHeight="1">
      <c r="A321" s="32" t="str">
        <f>IMAGE("https://gymvisual.com/9764-catalog_default/inverted-row-on-bench.jpg",4,500,500)</f>
        <v/>
      </c>
      <c r="B321" s="30">
        <v>2320.0</v>
      </c>
      <c r="C321" s="16" t="s">
        <v>3001</v>
      </c>
      <c r="D321" s="16" t="s">
        <v>184</v>
      </c>
      <c r="E321" s="16" t="s">
        <v>192</v>
      </c>
      <c r="F321" s="16" t="s">
        <v>255</v>
      </c>
      <c r="G321" s="16" t="s">
        <v>329</v>
      </c>
      <c r="H321" s="16" t="s">
        <v>457</v>
      </c>
    </row>
    <row r="322" ht="24.75" customHeight="1">
      <c r="A322" s="32" t="str">
        <f>IMAGE("https://gymvisual.com/22283-catalog_default/inverted-row-slide.jpg",4,500,500)</f>
        <v/>
      </c>
      <c r="B322" s="30">
        <v>2321.0</v>
      </c>
      <c r="C322" s="16" t="s">
        <v>3002</v>
      </c>
      <c r="D322" s="16" t="s">
        <v>184</v>
      </c>
      <c r="E322" s="16" t="s">
        <v>192</v>
      </c>
      <c r="F322" s="16" t="s">
        <v>255</v>
      </c>
      <c r="G322" s="16" t="s">
        <v>220</v>
      </c>
      <c r="H322" s="16" t="s">
        <v>220</v>
      </c>
    </row>
    <row r="323" ht="24.75" customHeight="1">
      <c r="A323" s="32" t="str">
        <f>IMAGE("https://gymvisual.com/22502-catalog_default/inverted-row-slide-on-floor.jpg",4,500,500)</f>
        <v/>
      </c>
      <c r="B323" s="30">
        <v>2322.0</v>
      </c>
      <c r="C323" s="16" t="s">
        <v>3003</v>
      </c>
      <c r="D323" s="16" t="s">
        <v>184</v>
      </c>
      <c r="E323" s="16" t="s">
        <v>192</v>
      </c>
      <c r="F323" s="16" t="s">
        <v>255</v>
      </c>
      <c r="G323" s="16" t="s">
        <v>220</v>
      </c>
      <c r="H323" s="16" t="s">
        <v>220</v>
      </c>
    </row>
    <row r="324" ht="24.75" customHeight="1">
      <c r="A324" s="32" t="str">
        <f>IMAGE("https://gymvisual.com/13725-catalog_default/inverted-row-under-table-female.jpg",4,500,500)</f>
        <v/>
      </c>
      <c r="B324" s="30">
        <v>2323.0</v>
      </c>
      <c r="C324" s="16" t="s">
        <v>3004</v>
      </c>
      <c r="D324" s="16" t="s">
        <v>184</v>
      </c>
      <c r="E324" s="16" t="s">
        <v>192</v>
      </c>
      <c r="F324" s="16" t="s">
        <v>255</v>
      </c>
      <c r="G324" s="16" t="s">
        <v>329</v>
      </c>
      <c r="H324" s="16" t="s">
        <v>357</v>
      </c>
    </row>
    <row r="325" ht="24.75" customHeight="1">
      <c r="A325" s="32" t="str">
        <f>IMAGE("https://gymvisual.com/16540-catalog_default/inverted-row-with-bed-sheet.jpg",4,500,500)</f>
        <v/>
      </c>
      <c r="B325" s="30">
        <v>2324.0</v>
      </c>
      <c r="C325" s="16" t="s">
        <v>3005</v>
      </c>
      <c r="D325" s="16" t="s">
        <v>184</v>
      </c>
      <c r="E325" s="16" t="s">
        <v>192</v>
      </c>
      <c r="F325" s="16" t="s">
        <v>255</v>
      </c>
      <c r="G325" s="16" t="s">
        <v>329</v>
      </c>
      <c r="H325" s="16" t="s">
        <v>447</v>
      </c>
    </row>
    <row r="326" ht="24.75" customHeight="1">
      <c r="A326" s="32" t="str">
        <f>IMAGE("https://gymvisual.com/13986-catalog_default/inverted-row-with-bent-knee-between-chairs.jpg",4,500,500)</f>
        <v/>
      </c>
      <c r="B326" s="30">
        <v>2325.0</v>
      </c>
      <c r="C326" s="16" t="s">
        <v>3006</v>
      </c>
      <c r="D326" s="16" t="s">
        <v>184</v>
      </c>
      <c r="E326" s="16" t="s">
        <v>192</v>
      </c>
      <c r="F326" s="16" t="s">
        <v>255</v>
      </c>
      <c r="G326" s="16" t="s">
        <v>329</v>
      </c>
      <c r="H326" s="16" t="s">
        <v>357</v>
      </c>
    </row>
    <row r="327" ht="24.75" customHeight="1">
      <c r="A327" s="32" t="str">
        <f>IMAGE("https://gymvisual.com/1508-catalog_default/3-4-sit-up.jpg",4,500,500)</f>
        <v/>
      </c>
      <c r="B327" s="30">
        <v>2326.0</v>
      </c>
      <c r="C327" s="16" t="s">
        <v>3007</v>
      </c>
      <c r="D327" s="16" t="s">
        <v>184</v>
      </c>
      <c r="E327" s="16" t="s">
        <v>192</v>
      </c>
      <c r="F327" s="16" t="s">
        <v>255</v>
      </c>
      <c r="G327" s="16" t="s">
        <v>329</v>
      </c>
      <c r="H327" s="16" t="s">
        <v>447</v>
      </c>
    </row>
    <row r="328" ht="24.75" customHeight="1">
      <c r="A328" s="32" t="str">
        <f>IMAGE("https://gymvisual.com/17138-catalog_default/inverted-row-with-straps-female.jpg",4,500,500)</f>
        <v/>
      </c>
      <c r="B328" s="30">
        <v>2327.0</v>
      </c>
      <c r="C328" s="16" t="s">
        <v>3008</v>
      </c>
      <c r="D328" s="16" t="s">
        <v>184</v>
      </c>
      <c r="E328" s="16" t="s">
        <v>192</v>
      </c>
      <c r="F328" s="16" t="s">
        <v>3009</v>
      </c>
      <c r="G328" s="16" t="s">
        <v>329</v>
      </c>
      <c r="H328" s="16" t="s">
        <v>447</v>
      </c>
    </row>
    <row r="329" ht="24.75" customHeight="1">
      <c r="A329" s="32" t="str">
        <f>IMAGE("https://gymvisual.com/17831-catalog_default/inverted-shrug.jpg",4,500,500)</f>
        <v/>
      </c>
      <c r="B329" s="30">
        <v>2328.0</v>
      </c>
      <c r="C329" s="16" t="s">
        <v>3010</v>
      </c>
      <c r="D329" s="16" t="s">
        <v>184</v>
      </c>
      <c r="E329" s="16" t="s">
        <v>192</v>
      </c>
      <c r="F329" s="16" t="s">
        <v>255</v>
      </c>
      <c r="G329" s="16" t="s">
        <v>220</v>
      </c>
      <c r="H329" s="16" t="s">
        <v>220</v>
      </c>
    </row>
    <row r="330" ht="24.75" customHeight="1">
      <c r="A330" s="32" t="str">
        <f>IMAGE("https://gymvisual.com/17819-catalog_default/inverted-shrug-on-parallel-bars.jpg",4,500,500)</f>
        <v/>
      </c>
      <c r="B330" s="30">
        <v>2329.0</v>
      </c>
      <c r="C330" s="16" t="s">
        <v>3011</v>
      </c>
      <c r="D330" s="16" t="s">
        <v>184</v>
      </c>
      <c r="E330" s="16" t="s">
        <v>192</v>
      </c>
      <c r="F330" s="16" t="s">
        <v>255</v>
      </c>
      <c r="G330" s="16" t="s">
        <v>220</v>
      </c>
      <c r="H330" s="16" t="s">
        <v>220</v>
      </c>
    </row>
    <row r="331" ht="24.75" customHeight="1">
      <c r="A331" s="32" t="str">
        <f>IMAGE("https://gymvisual.com/14088-catalog_default/inverted-underhand-grip-row-between-chairs.jpg",4,500,500)</f>
        <v/>
      </c>
      <c r="B331" s="30">
        <v>2330.0</v>
      </c>
      <c r="C331" s="16" t="s">
        <v>3012</v>
      </c>
      <c r="D331" s="16" t="s">
        <v>184</v>
      </c>
      <c r="E331" s="16" t="s">
        <v>192</v>
      </c>
      <c r="F331" s="16" t="s">
        <v>255</v>
      </c>
      <c r="G331" s="16" t="s">
        <v>329</v>
      </c>
      <c r="H331" s="16" t="s">
        <v>357</v>
      </c>
    </row>
    <row r="332" ht="24.75" customHeight="1">
      <c r="A332" s="32" t="str">
        <f>IMAGE("https://gymvisual.com/20704-catalog_default/inverted-wide-row.jpg",4,500,500)</f>
        <v/>
      </c>
      <c r="B332" s="30">
        <v>2331.0</v>
      </c>
      <c r="C332" s="16" t="s">
        <v>3013</v>
      </c>
      <c r="D332" s="16" t="s">
        <v>184</v>
      </c>
      <c r="E332" s="16" t="s">
        <v>192</v>
      </c>
      <c r="F332" s="16" t="s">
        <v>255</v>
      </c>
      <c r="G332" s="16" t="s">
        <v>3014</v>
      </c>
      <c r="H332" s="16" t="s">
        <v>447</v>
      </c>
    </row>
    <row r="333" ht="24.75" customHeight="1">
      <c r="A333" s="32" t="str">
        <f>IMAGE("https://gymvisual.com/22468-catalog_default/inverted-wide-to-narrow-row.jpg",4,500,500)</f>
        <v/>
      </c>
      <c r="B333" s="30">
        <v>2332.0</v>
      </c>
      <c r="C333" s="16" t="s">
        <v>3015</v>
      </c>
      <c r="D333" s="16" t="s">
        <v>184</v>
      </c>
      <c r="E333" s="16" t="s">
        <v>192</v>
      </c>
      <c r="F333" s="16" t="s">
        <v>255</v>
      </c>
      <c r="G333" s="16" t="s">
        <v>220</v>
      </c>
      <c r="H333" s="16" t="s">
        <v>220</v>
      </c>
    </row>
    <row r="334" ht="24.75" customHeight="1">
      <c r="A334" s="32" t="str">
        <f>IMAGE("https://gymvisual.com/4505-catalog_default/iron-cross-plank.jpg",4,500,500)</f>
        <v/>
      </c>
      <c r="B334" s="30">
        <v>2333.0</v>
      </c>
      <c r="C334" s="16" t="s">
        <v>3016</v>
      </c>
      <c r="D334" s="16" t="s">
        <v>184</v>
      </c>
      <c r="E334" s="16" t="s">
        <v>192</v>
      </c>
      <c r="F334" s="16" t="s">
        <v>255</v>
      </c>
      <c r="G334" s="16" t="s">
        <v>3017</v>
      </c>
      <c r="H334" s="16" t="s">
        <v>220</v>
      </c>
    </row>
    <row r="335" ht="24.75" customHeight="1">
      <c r="A335" s="32" t="str">
        <f>IMAGE("https://gymvisual.com/5986-catalog_default/isometric-chest-squeeze.jpg",4,500,500)</f>
        <v/>
      </c>
      <c r="B335" s="30">
        <v>2334.0</v>
      </c>
      <c r="C335" s="16" t="s">
        <v>3018</v>
      </c>
      <c r="D335" s="16" t="s">
        <v>184</v>
      </c>
      <c r="E335" s="16" t="s">
        <v>234</v>
      </c>
      <c r="F335" s="16" t="s">
        <v>255</v>
      </c>
      <c r="G335" s="16" t="s">
        <v>347</v>
      </c>
      <c r="H335" s="16" t="s">
        <v>382</v>
      </c>
    </row>
    <row r="336" ht="24.75" customHeight="1">
      <c r="A336" s="32" t="str">
        <f>IMAGE("https://gymvisual.com/1514-catalog_default/3-4-sit-up.jpg",4,500,500)</f>
        <v/>
      </c>
      <c r="B336" s="30">
        <v>2335.0</v>
      </c>
      <c r="C336" s="16" t="s">
        <v>3019</v>
      </c>
      <c r="D336" s="16" t="s">
        <v>184</v>
      </c>
      <c r="E336" s="16" t="s">
        <v>234</v>
      </c>
      <c r="F336" s="16" t="s">
        <v>255</v>
      </c>
      <c r="G336" s="16" t="s">
        <v>347</v>
      </c>
      <c r="H336" s="16" t="s">
        <v>3020</v>
      </c>
    </row>
    <row r="337" ht="24.75" customHeight="1">
      <c r="A337" s="32" t="str">
        <f>IMAGE("https://gymvisual.com/1519-catalog_default/3-4-sit-up.jpg",4,500,500)</f>
        <v/>
      </c>
      <c r="B337" s="30">
        <v>2336.0</v>
      </c>
      <c r="C337" s="16" t="s">
        <v>3021</v>
      </c>
      <c r="D337" s="16" t="s">
        <v>184</v>
      </c>
      <c r="E337" s="16" t="s">
        <v>254</v>
      </c>
      <c r="F337" s="16" t="s">
        <v>255</v>
      </c>
      <c r="G337" s="16" t="s">
        <v>256</v>
      </c>
      <c r="H337" s="16" t="s">
        <v>1308</v>
      </c>
    </row>
    <row r="338" ht="24.75" customHeight="1">
      <c r="A338" s="32" t="str">
        <f>IMAGE("https://gymvisual.com/1522-catalog_default/3-4-sit-up.jpg",4,500,500)</f>
        <v/>
      </c>
      <c r="B338" s="30">
        <v>2337.0</v>
      </c>
      <c r="C338" s="16" t="s">
        <v>3022</v>
      </c>
      <c r="D338" s="16" t="s">
        <v>184</v>
      </c>
      <c r="E338" s="16" t="s">
        <v>254</v>
      </c>
      <c r="F338" s="16" t="s">
        <v>399</v>
      </c>
      <c r="G338" s="16" t="s">
        <v>256</v>
      </c>
      <c r="H338" s="16" t="s">
        <v>1308</v>
      </c>
    </row>
    <row r="339" ht="24.75" customHeight="1">
      <c r="A339" s="32" t="str">
        <f>IMAGE("https://gymvisual.com/17767-catalog_default/jack-knife-sit-up-female.jpg",4,500,500)</f>
        <v/>
      </c>
      <c r="B339" s="30">
        <v>2338.0</v>
      </c>
      <c r="C339" s="16" t="s">
        <v>3023</v>
      </c>
      <c r="D339" s="16" t="s">
        <v>184</v>
      </c>
      <c r="E339" s="16" t="s">
        <v>254</v>
      </c>
      <c r="F339" s="16" t="s">
        <v>255</v>
      </c>
      <c r="G339" s="16" t="s">
        <v>220</v>
      </c>
      <c r="H339" s="16" t="s">
        <v>220</v>
      </c>
    </row>
    <row r="340" ht="24.75" customHeight="1">
      <c r="A340" s="32" t="str">
        <f>IMAGE("https://gymvisual.com/6423-catalog_default/jack-plank.jpg",4,500,500)</f>
        <v/>
      </c>
      <c r="B340" s="30">
        <v>2339.0</v>
      </c>
      <c r="C340" s="16" t="s">
        <v>3024</v>
      </c>
      <c r="D340" s="16" t="s">
        <v>184</v>
      </c>
      <c r="E340" s="16" t="s">
        <v>254</v>
      </c>
      <c r="F340" s="16" t="s">
        <v>255</v>
      </c>
      <c r="G340" s="16" t="s">
        <v>1213</v>
      </c>
      <c r="H340" s="16" t="s">
        <v>3025</v>
      </c>
    </row>
    <row r="341" ht="24.75" customHeight="1">
      <c r="A341" s="32" t="str">
        <f>IMAGE("https://gymvisual.com/11251-catalog_default/jack-plank-on-medicine-ball-female.jpg",4,500,500)</f>
        <v/>
      </c>
      <c r="B341" s="30">
        <v>2340.0</v>
      </c>
      <c r="C341" s="16" t="s">
        <v>3026</v>
      </c>
      <c r="D341" s="16" t="s">
        <v>184</v>
      </c>
      <c r="E341" s="16" t="s">
        <v>254</v>
      </c>
      <c r="F341" s="16" t="s">
        <v>373</v>
      </c>
      <c r="G341" s="16" t="s">
        <v>220</v>
      </c>
      <c r="H341" s="16" t="s">
        <v>220</v>
      </c>
    </row>
    <row r="342" ht="24.75" customHeight="1">
      <c r="A342" s="32" t="str">
        <f>IMAGE("https://gymvisual.com/1528-catalog_default/3-4-sit-up.jpg",4,500,500)</f>
        <v/>
      </c>
      <c r="B342" s="30">
        <v>2341.0</v>
      </c>
      <c r="C342" s="16" t="s">
        <v>3027</v>
      </c>
      <c r="D342" s="16" t="s">
        <v>184</v>
      </c>
      <c r="E342" s="16" t="s">
        <v>254</v>
      </c>
      <c r="F342" s="16" t="s">
        <v>255</v>
      </c>
      <c r="G342" s="16" t="s">
        <v>305</v>
      </c>
      <c r="H342" s="16" t="s">
        <v>3028</v>
      </c>
    </row>
    <row r="343" ht="24.75" customHeight="1">
      <c r="A343" s="32" t="str">
        <f>IMAGE("https://gymvisual.com/23609-catalog_default/jack-step-male.jpg",4,500,500)</f>
        <v/>
      </c>
      <c r="B343" s="30">
        <v>2342.0</v>
      </c>
      <c r="C343" s="16" t="s">
        <v>3029</v>
      </c>
      <c r="D343" s="16" t="s">
        <v>184</v>
      </c>
      <c r="E343" s="16" t="s">
        <v>321</v>
      </c>
      <c r="F343" s="16" t="s">
        <v>255</v>
      </c>
      <c r="G343" s="16" t="s">
        <v>220</v>
      </c>
      <c r="H343" s="16" t="s">
        <v>220</v>
      </c>
    </row>
    <row r="344" ht="24.75" customHeight="1">
      <c r="A344" s="32" t="str">
        <f>IMAGE("https://gymvisual.com/1534-catalog_default/3-4-sit-up.jpg",4,500,500)</f>
        <v/>
      </c>
      <c r="B344" s="30">
        <v>2343.0</v>
      </c>
      <c r="C344" s="16" t="s">
        <v>3030</v>
      </c>
      <c r="D344" s="16" t="s">
        <v>184</v>
      </c>
      <c r="E344" s="16" t="s">
        <v>254</v>
      </c>
      <c r="F344" s="16" t="s">
        <v>255</v>
      </c>
      <c r="G344" s="16" t="s">
        <v>305</v>
      </c>
      <c r="H344" s="16" t="s">
        <v>317</v>
      </c>
    </row>
    <row r="345" ht="24.75" customHeight="1">
      <c r="A345" s="32" t="str">
        <f>IMAGE("https://gymvisual.com/13455-catalog_default/janda-sit-up-female.jpg",4,500,500)</f>
        <v/>
      </c>
      <c r="B345" s="30">
        <v>2344.0</v>
      </c>
      <c r="C345" s="16" t="s">
        <v>3031</v>
      </c>
      <c r="D345" s="16" t="s">
        <v>184</v>
      </c>
      <c r="E345" s="16" t="s">
        <v>254</v>
      </c>
      <c r="F345" s="16" t="s">
        <v>255</v>
      </c>
      <c r="G345" s="16" t="s">
        <v>256</v>
      </c>
      <c r="H345" s="16" t="s">
        <v>257</v>
      </c>
    </row>
    <row r="346" ht="24.75" customHeight="1">
      <c r="A346" s="32" t="str">
        <f>IMAGE("https://gymvisual.com/1537-catalog_default/3-4-sit-up.jpg",4,500,500)</f>
        <v/>
      </c>
      <c r="B346" s="30">
        <v>2345.0</v>
      </c>
      <c r="C346" s="16" t="s">
        <v>3032</v>
      </c>
      <c r="D346" s="16" t="s">
        <v>184</v>
      </c>
      <c r="E346" s="16" t="s">
        <v>254</v>
      </c>
      <c r="F346" s="16" t="s">
        <v>255</v>
      </c>
      <c r="G346" s="16" t="s">
        <v>256</v>
      </c>
      <c r="H346" s="16" t="s">
        <v>257</v>
      </c>
    </row>
    <row r="347" ht="24.75" customHeight="1">
      <c r="A347" s="32" t="str">
        <f>IMAGE("https://gymvisual.com/1564-catalog_default/3-4-sit-up.jpg",4,500,500)</f>
        <v/>
      </c>
      <c r="B347" s="30">
        <v>2346.0</v>
      </c>
      <c r="C347" s="16" t="s">
        <v>3033</v>
      </c>
      <c r="D347" s="16" t="s">
        <v>184</v>
      </c>
      <c r="E347" s="16" t="s">
        <v>254</v>
      </c>
      <c r="F347" s="16" t="s">
        <v>3034</v>
      </c>
      <c r="G347" s="16" t="s">
        <v>424</v>
      </c>
      <c r="H347" s="16" t="s">
        <v>220</v>
      </c>
    </row>
    <row r="348" ht="24.75" customHeight="1">
      <c r="A348" s="32" t="str">
        <f>IMAGE("https://gymvisual.com/1567-catalog_default/3-4-sit-up.jpg",4,500,500)</f>
        <v/>
      </c>
      <c r="B348" s="30">
        <v>2347.0</v>
      </c>
      <c r="C348" s="16" t="s">
        <v>3035</v>
      </c>
      <c r="D348" s="16" t="s">
        <v>184</v>
      </c>
      <c r="E348" s="16" t="s">
        <v>214</v>
      </c>
      <c r="F348" s="16" t="s">
        <v>3034</v>
      </c>
      <c r="G348" s="16" t="s">
        <v>3036</v>
      </c>
      <c r="H348" s="16" t="s">
        <v>882</v>
      </c>
    </row>
    <row r="349" ht="24.75" customHeight="1">
      <c r="A349" s="32" t="str">
        <f>IMAGE("https://gymvisual.com/1573-catalog_default/3-4-sit-up.jpg",4,500,500)</f>
        <v/>
      </c>
      <c r="B349" s="30">
        <v>2348.0</v>
      </c>
      <c r="C349" s="16" t="s">
        <v>3037</v>
      </c>
      <c r="D349" s="16" t="s">
        <v>184</v>
      </c>
      <c r="E349" s="16" t="s">
        <v>228</v>
      </c>
      <c r="F349" s="16" t="s">
        <v>3034</v>
      </c>
      <c r="G349" s="16" t="s">
        <v>229</v>
      </c>
      <c r="H349" s="16" t="s">
        <v>230</v>
      </c>
    </row>
    <row r="350" ht="24.75" customHeight="1">
      <c r="A350" s="32" t="str">
        <f>IMAGE("https://gymvisual.com/1570-catalog_default/3-4-sit-up.jpg",4,500,500)</f>
        <v/>
      </c>
      <c r="B350" s="30">
        <v>2349.0</v>
      </c>
      <c r="C350" s="16" t="s">
        <v>3038</v>
      </c>
      <c r="D350" s="16" t="s">
        <v>184</v>
      </c>
      <c r="E350" s="16" t="s">
        <v>234</v>
      </c>
      <c r="F350" s="16" t="s">
        <v>3034</v>
      </c>
      <c r="G350" s="16" t="s">
        <v>235</v>
      </c>
      <c r="H350" s="16" t="s">
        <v>243</v>
      </c>
    </row>
    <row r="351" ht="24.75" customHeight="1">
      <c r="A351" s="32" t="str">
        <f>IMAGE("https://gymvisual.com/18923-catalog_default/kettlebell-alternating-press-on-floor-female.jpg",4,500,500)</f>
        <v/>
      </c>
      <c r="B351" s="30">
        <v>2350.0</v>
      </c>
      <c r="C351" s="16" t="s">
        <v>3039</v>
      </c>
      <c r="D351" s="16" t="s">
        <v>184</v>
      </c>
      <c r="E351" s="16" t="s">
        <v>234</v>
      </c>
      <c r="F351" s="16" t="s">
        <v>3034</v>
      </c>
      <c r="G351" s="16" t="s">
        <v>220</v>
      </c>
      <c r="H351" s="16" t="s">
        <v>220</v>
      </c>
    </row>
    <row r="352" ht="24.75" customHeight="1">
      <c r="A352" s="32" t="str">
        <f>IMAGE("https://gymvisual.com/1576-catalog_default/3-4-sit-up.jpg",4,500,500)</f>
        <v/>
      </c>
      <c r="B352" s="30">
        <v>2351.0</v>
      </c>
      <c r="C352" s="16" t="s">
        <v>3040</v>
      </c>
      <c r="D352" s="16" t="s">
        <v>184</v>
      </c>
      <c r="E352" s="16" t="s">
        <v>192</v>
      </c>
      <c r="F352" s="16" t="s">
        <v>3034</v>
      </c>
      <c r="G352" s="16" t="s">
        <v>3041</v>
      </c>
      <c r="H352" s="16" t="s">
        <v>457</v>
      </c>
    </row>
    <row r="353" ht="24.75" customHeight="1">
      <c r="A353" s="32" t="str">
        <f>IMAGE("https://gymvisual.com/11158-catalog_default/kettlebell-alternating-renegade-row-female.jpg",4,500,500)</f>
        <v/>
      </c>
      <c r="B353" s="30">
        <v>2352.0</v>
      </c>
      <c r="C353" s="16" t="s">
        <v>3042</v>
      </c>
      <c r="D353" s="16" t="s">
        <v>184</v>
      </c>
      <c r="E353" s="16" t="s">
        <v>192</v>
      </c>
      <c r="F353" s="16" t="s">
        <v>3034</v>
      </c>
      <c r="G353" s="16" t="s">
        <v>220</v>
      </c>
      <c r="H353" s="16" t="s">
        <v>220</v>
      </c>
    </row>
    <row r="354" ht="24.75" customHeight="1">
      <c r="A354" s="32" t="str">
        <f>IMAGE("https://gymvisual.com/18917-catalog_default/3-4-sit-up.jpg",4,500,500)</f>
        <v/>
      </c>
      <c r="B354" s="30">
        <v>2353.0</v>
      </c>
      <c r="C354" s="16" t="s">
        <v>3043</v>
      </c>
      <c r="D354" s="16" t="s">
        <v>184</v>
      </c>
      <c r="E354" s="16" t="s">
        <v>192</v>
      </c>
      <c r="F354" s="16" t="s">
        <v>3034</v>
      </c>
      <c r="G354" s="16" t="s">
        <v>3044</v>
      </c>
      <c r="H354" s="16" t="s">
        <v>457</v>
      </c>
    </row>
    <row r="355" ht="24.75" customHeight="1">
      <c r="A355" s="32" t="str">
        <f>IMAGE("https://gymvisual.com/12207-catalog_default/kettlebell-angled-press.jpg",4,500,500)</f>
        <v/>
      </c>
      <c r="B355" s="30">
        <v>2354.0</v>
      </c>
      <c r="C355" s="16" t="s">
        <v>3045</v>
      </c>
      <c r="D355" s="16" t="s">
        <v>184</v>
      </c>
      <c r="E355" s="16" t="s">
        <v>192</v>
      </c>
      <c r="F355" s="16" t="s">
        <v>3034</v>
      </c>
      <c r="G355" s="16" t="s">
        <v>2135</v>
      </c>
      <c r="H355" s="16" t="s">
        <v>2112</v>
      </c>
    </row>
    <row r="356" ht="24.75" customHeight="1">
      <c r="A356" s="32" t="str">
        <f>IMAGE("https://gymvisual.com/1582-catalog_default/3-4-sit-up.jpg",4,500,500)</f>
        <v/>
      </c>
      <c r="B356" s="30">
        <v>2355.0</v>
      </c>
      <c r="C356" s="16" t="s">
        <v>3046</v>
      </c>
      <c r="D356" s="16" t="s">
        <v>184</v>
      </c>
      <c r="E356" s="16" t="s">
        <v>228</v>
      </c>
      <c r="F356" s="16" t="s">
        <v>3034</v>
      </c>
      <c r="G356" s="16" t="s">
        <v>229</v>
      </c>
      <c r="H356" s="16" t="s">
        <v>230</v>
      </c>
    </row>
    <row r="357" ht="24.75" customHeight="1">
      <c r="A357" s="32" t="str">
        <f>IMAGE("https://gymvisual.com/12204-catalog_default/kettlebell-around-head-rotation.jpg",4,500,500)</f>
        <v/>
      </c>
      <c r="B357" s="30">
        <v>2356.0</v>
      </c>
      <c r="C357" s="16" t="s">
        <v>3047</v>
      </c>
      <c r="D357" s="16" t="s">
        <v>184</v>
      </c>
      <c r="E357" s="16" t="s">
        <v>228</v>
      </c>
      <c r="F357" s="16" t="s">
        <v>3034</v>
      </c>
      <c r="G357" s="16" t="s">
        <v>333</v>
      </c>
      <c r="H357" s="16" t="s">
        <v>3048</v>
      </c>
    </row>
    <row r="358" ht="24.75" customHeight="1">
      <c r="A358" s="32" t="str">
        <f>IMAGE("https://gymvisual.com/19509-catalog_default/kettlebell-assisted-bulgarian-split-squat.jpg",4,500,500)</f>
        <v/>
      </c>
      <c r="B358" s="30">
        <v>2357.0</v>
      </c>
      <c r="C358" s="16" t="s">
        <v>3049</v>
      </c>
      <c r="D358" s="16" t="s">
        <v>184</v>
      </c>
      <c r="E358" s="16" t="s">
        <v>285</v>
      </c>
      <c r="F358" s="16" t="s">
        <v>3034</v>
      </c>
      <c r="G358" s="16" t="s">
        <v>220</v>
      </c>
      <c r="H358" s="16" t="s">
        <v>220</v>
      </c>
    </row>
    <row r="359" ht="24.75" customHeight="1">
      <c r="A359" s="32" t="str">
        <f>IMAGE("https://gymvisual.com/14209-catalog_default/kettlebell-backward-lunge.jpg",4,500,500)</f>
        <v/>
      </c>
      <c r="B359" s="30">
        <v>2358.0</v>
      </c>
      <c r="C359" s="16" t="s">
        <v>3050</v>
      </c>
      <c r="D359" s="16" t="s">
        <v>184</v>
      </c>
      <c r="E359" s="16" t="s">
        <v>294</v>
      </c>
      <c r="F359" s="16" t="s">
        <v>3034</v>
      </c>
      <c r="G359" s="16" t="s">
        <v>189</v>
      </c>
      <c r="H359" s="16" t="s">
        <v>190</v>
      </c>
    </row>
    <row r="360" ht="24.75" customHeight="1">
      <c r="A360" s="32" t="str">
        <f>IMAGE("https://gymvisual.com/17977-catalog_default/kettlebell-banded-swing.jpg",4,500,500)</f>
        <v/>
      </c>
      <c r="B360" s="30">
        <v>2359.0</v>
      </c>
      <c r="C360" s="16" t="s">
        <v>3051</v>
      </c>
      <c r="D360" s="16" t="s">
        <v>184</v>
      </c>
      <c r="E360" s="16" t="s">
        <v>185</v>
      </c>
      <c r="F360" s="16" t="s">
        <v>3034</v>
      </c>
      <c r="G360" s="16" t="s">
        <v>220</v>
      </c>
      <c r="H360" s="16" t="s">
        <v>220</v>
      </c>
    </row>
    <row r="361" ht="24.75" customHeight="1">
      <c r="A361" s="32" t="str">
        <f>IMAGE("https://gymvisual.com/19563-catalog_default/kettlebell-bent-arm-pullover-with-knees-bent-female.jpg",4,500,500)</f>
        <v/>
      </c>
      <c r="B361" s="30">
        <v>2360.0</v>
      </c>
      <c r="C361" s="16" t="s">
        <v>3052</v>
      </c>
      <c r="D361" s="16" t="s">
        <v>184</v>
      </c>
      <c r="E361" s="16" t="s">
        <v>192</v>
      </c>
      <c r="F361" s="16" t="s">
        <v>3034</v>
      </c>
      <c r="G361" s="16" t="s">
        <v>220</v>
      </c>
      <c r="H361" s="16" t="s">
        <v>220</v>
      </c>
    </row>
    <row r="362" ht="24.75" customHeight="1">
      <c r="A362" s="32" t="str">
        <f>IMAGE("https://gymvisual.com/26108-catalog_default/kettlebell-bent-over-alternate-twist-row.jpg",4,500,500)</f>
        <v/>
      </c>
      <c r="B362" s="30">
        <v>2361.0</v>
      </c>
      <c r="C362" s="16" t="s">
        <v>3053</v>
      </c>
      <c r="D362" s="16" t="s">
        <v>184</v>
      </c>
      <c r="E362" s="16" t="s">
        <v>192</v>
      </c>
      <c r="F362" s="16" t="s">
        <v>3034</v>
      </c>
      <c r="G362" s="16" t="s">
        <v>220</v>
      </c>
      <c r="H362" s="16" t="s">
        <v>220</v>
      </c>
    </row>
    <row r="363" ht="24.75" customHeight="1">
      <c r="A363" s="32" t="str">
        <f>IMAGE("https://gymvisual.com/1585-catalog_default/3-4-sit-up.jpg",4,500,500)</f>
        <v/>
      </c>
      <c r="B363" s="30">
        <v>2362.0</v>
      </c>
      <c r="C363" s="16" t="s">
        <v>3054</v>
      </c>
      <c r="D363" s="16" t="s">
        <v>184</v>
      </c>
      <c r="E363" s="16" t="s">
        <v>254</v>
      </c>
      <c r="F363" s="16" t="s">
        <v>3034</v>
      </c>
      <c r="G363" s="16" t="s">
        <v>741</v>
      </c>
      <c r="H363" s="16" t="s">
        <v>3055</v>
      </c>
    </row>
    <row r="364" ht="24.75" customHeight="1">
      <c r="A364" s="32" t="str">
        <f>IMAGE("https://gymvisual.com/11492-catalog_default/kettlebell-bent-press-female.jpg",4,500,500)</f>
        <v/>
      </c>
      <c r="B364" s="30">
        <v>2363.0</v>
      </c>
      <c r="C364" s="16" t="s">
        <v>3056</v>
      </c>
      <c r="D364" s="16" t="s">
        <v>184</v>
      </c>
      <c r="E364" s="16" t="s">
        <v>254</v>
      </c>
      <c r="F364" s="16" t="s">
        <v>3034</v>
      </c>
      <c r="G364" s="16" t="s">
        <v>741</v>
      </c>
      <c r="H364" s="16" t="s">
        <v>3057</v>
      </c>
    </row>
    <row r="365" ht="24.75" customHeight="1">
      <c r="A365" s="32" t="str">
        <f>IMAGE("https://gymvisual.com/19561-catalog_default/kettlebell-bent-over-row-female.jpg",4,500,500)</f>
        <v/>
      </c>
      <c r="B365" s="30">
        <v>2364.0</v>
      </c>
      <c r="C365" s="16" t="s">
        <v>3058</v>
      </c>
      <c r="D365" s="16" t="s">
        <v>184</v>
      </c>
      <c r="E365" s="16" t="s">
        <v>192</v>
      </c>
      <c r="F365" s="16" t="s">
        <v>3034</v>
      </c>
      <c r="G365" s="16" t="s">
        <v>220</v>
      </c>
      <c r="H365" s="16" t="s">
        <v>220</v>
      </c>
    </row>
    <row r="366" ht="24.75" customHeight="1">
      <c r="A366" s="32" t="str">
        <f>IMAGE("https://gymvisual.com/26088-catalog_default/kettlebell-biceps-curl.jpg",4,500,500)</f>
        <v/>
      </c>
      <c r="B366" s="30">
        <v>2365.0</v>
      </c>
      <c r="C366" s="16" t="s">
        <v>3059</v>
      </c>
      <c r="D366" s="16" t="s">
        <v>184</v>
      </c>
      <c r="E366" s="16" t="s">
        <v>219</v>
      </c>
      <c r="F366" s="16" t="s">
        <v>3034</v>
      </c>
      <c r="G366" s="16" t="s">
        <v>220</v>
      </c>
      <c r="H366" s="16" t="s">
        <v>220</v>
      </c>
    </row>
    <row r="367" ht="24.75" customHeight="1">
      <c r="A367" s="32" t="str">
        <f>IMAGE("https://gymvisual.com/16410-catalog_default/kettlebell-bottom-up-one-arm-bench-press.jpg",4,500,500)</f>
        <v/>
      </c>
      <c r="B367" s="30">
        <v>2366.0</v>
      </c>
      <c r="C367" s="16" t="s">
        <v>3060</v>
      </c>
      <c r="D367" s="16" t="s">
        <v>184</v>
      </c>
      <c r="E367" s="16" t="s">
        <v>234</v>
      </c>
      <c r="F367" s="16" t="s">
        <v>3034</v>
      </c>
      <c r="G367" s="16" t="s">
        <v>235</v>
      </c>
      <c r="H367" s="16" t="s">
        <v>243</v>
      </c>
    </row>
    <row r="368" ht="24.75" customHeight="1">
      <c r="A368" s="32" t="str">
        <f>IMAGE("https://gymvisual.com/1588-catalog_default/3-4-sit-up.jpg",4,500,500)</f>
        <v/>
      </c>
      <c r="B368" s="30">
        <v>2367.0</v>
      </c>
      <c r="C368" s="16" t="s">
        <v>3061</v>
      </c>
      <c r="D368" s="16" t="s">
        <v>184</v>
      </c>
      <c r="E368" s="16" t="s">
        <v>214</v>
      </c>
      <c r="F368" s="16" t="s">
        <v>3034</v>
      </c>
      <c r="G368" s="16" t="s">
        <v>292</v>
      </c>
      <c r="H368" s="16" t="s">
        <v>236</v>
      </c>
    </row>
    <row r="369" ht="24.75" customHeight="1">
      <c r="A369" s="32" t="str">
        <f>IMAGE("https://gymvisual.com/18093-catalog_default/kettlebell-bottoms-up-to-knee-turkish-get-up.jpg",4,500,500)</f>
        <v/>
      </c>
      <c r="B369" s="30">
        <v>2368.0</v>
      </c>
      <c r="C369" s="16" t="s">
        <v>3062</v>
      </c>
      <c r="D369" s="16" t="s">
        <v>184</v>
      </c>
      <c r="E369" s="16" t="s">
        <v>285</v>
      </c>
      <c r="F369" s="16" t="s">
        <v>3034</v>
      </c>
      <c r="G369" s="16" t="s">
        <v>220</v>
      </c>
      <c r="H369" s="16" t="s">
        <v>220</v>
      </c>
    </row>
    <row r="370" ht="24.75" customHeight="1">
      <c r="A370" s="32" t="str">
        <f>IMAGE("https://gymvisual.com/23693-catalog_default/kettlebell-box-squat.jpg",4,500,500)</f>
        <v/>
      </c>
      <c r="B370" s="30">
        <v>2369.0</v>
      </c>
      <c r="C370" s="16" t="s">
        <v>3063</v>
      </c>
      <c r="D370" s="16" t="s">
        <v>184</v>
      </c>
      <c r="E370" s="16" t="s">
        <v>185</v>
      </c>
      <c r="F370" s="16" t="s">
        <v>3034</v>
      </c>
      <c r="G370" s="16" t="s">
        <v>189</v>
      </c>
      <c r="H370" s="16" t="s">
        <v>190</v>
      </c>
    </row>
    <row r="371" ht="24.75" customHeight="1">
      <c r="A371" s="32" t="str">
        <f>IMAGE("https://gymvisual.com/26112-catalog_default/kettlebell-calf-raise-and-front-squat-male.jpg",4,500,500)</f>
        <v/>
      </c>
      <c r="B371" s="30">
        <v>2370.0</v>
      </c>
      <c r="C371" s="16" t="s">
        <v>3064</v>
      </c>
      <c r="D371" s="16" t="s">
        <v>184</v>
      </c>
      <c r="E371" s="16" t="s">
        <v>285</v>
      </c>
      <c r="F371" s="16" t="s">
        <v>3034</v>
      </c>
      <c r="G371" s="16" t="s">
        <v>220</v>
      </c>
      <c r="H371" s="16" t="s">
        <v>220</v>
      </c>
    </row>
    <row r="372" ht="24.75" customHeight="1">
      <c r="A372" s="32" t="str">
        <f>IMAGE("https://gymvisual.com/19183-catalog_default/kettlebell-clean-and-jerk.jpg",4,500,500)</f>
        <v/>
      </c>
      <c r="B372" s="30">
        <v>2371.0</v>
      </c>
      <c r="C372" s="16" t="s">
        <v>3065</v>
      </c>
      <c r="D372" s="16" t="s">
        <v>184</v>
      </c>
      <c r="E372" s="16" t="s">
        <v>691</v>
      </c>
      <c r="F372" s="16" t="s">
        <v>3034</v>
      </c>
      <c r="G372" s="16" t="s">
        <v>220</v>
      </c>
      <c r="H372" s="16" t="s">
        <v>220</v>
      </c>
    </row>
    <row r="373" ht="24.75" customHeight="1">
      <c r="A373" s="32" t="str">
        <f>IMAGE("https://gymvisual.com/26084-catalog_default/kettlebell-clean-and-press.jpg",4,500,500)</f>
        <v/>
      </c>
      <c r="B373" s="30">
        <v>2372.0</v>
      </c>
      <c r="C373" s="16" t="s">
        <v>3066</v>
      </c>
      <c r="D373" s="16" t="s">
        <v>184</v>
      </c>
      <c r="E373" s="16" t="s">
        <v>764</v>
      </c>
      <c r="F373" s="16" t="s">
        <v>3034</v>
      </c>
      <c r="G373" s="16" t="s">
        <v>220</v>
      </c>
      <c r="H373" s="16" t="s">
        <v>220</v>
      </c>
    </row>
    <row r="374" ht="24.75" customHeight="1">
      <c r="A374" s="32" t="str">
        <f>IMAGE("https://gymvisual.com/26086-catalog_default/kettlebell-concentration-curl.jpg",4,500,500)</f>
        <v/>
      </c>
      <c r="B374" s="30">
        <v>2373.0</v>
      </c>
      <c r="C374" s="16" t="s">
        <v>3067</v>
      </c>
      <c r="D374" s="16" t="s">
        <v>184</v>
      </c>
      <c r="E374" s="16" t="s">
        <v>219</v>
      </c>
      <c r="F374" s="16" t="s">
        <v>3034</v>
      </c>
      <c r="G374" s="16" t="s">
        <v>220</v>
      </c>
      <c r="H374" s="16" t="s">
        <v>220</v>
      </c>
    </row>
    <row r="375" ht="24.75" customHeight="1">
      <c r="A375" s="32" t="str">
        <f>IMAGE("https://gymvisual.com/17827-catalog_default/kettlebell-dead-bug.jpg",4,500,500)</f>
        <v/>
      </c>
      <c r="B375" s="30">
        <v>2374.0</v>
      </c>
      <c r="C375" s="16" t="s">
        <v>3068</v>
      </c>
      <c r="D375" s="16" t="s">
        <v>184</v>
      </c>
      <c r="E375" s="16" t="s">
        <v>254</v>
      </c>
      <c r="F375" s="16" t="s">
        <v>3034</v>
      </c>
      <c r="G375" s="16" t="s">
        <v>220</v>
      </c>
      <c r="H375" s="16" t="s">
        <v>220</v>
      </c>
    </row>
    <row r="376" ht="24.75" customHeight="1">
      <c r="A376" s="32" t="str">
        <f>IMAGE("https://gymvisual.com/6812-catalog_default/kettlebell-dead-clean.jpg",4,500,500)</f>
        <v/>
      </c>
      <c r="B376" s="30">
        <v>2375.0</v>
      </c>
      <c r="C376" s="16" t="s">
        <v>3069</v>
      </c>
      <c r="D376" s="16" t="s">
        <v>184</v>
      </c>
      <c r="E376" s="16" t="s">
        <v>764</v>
      </c>
      <c r="F376" s="16" t="s">
        <v>3034</v>
      </c>
      <c r="G376" s="16" t="s">
        <v>220</v>
      </c>
      <c r="H376" s="16" t="s">
        <v>220</v>
      </c>
    </row>
    <row r="377" ht="24.75" customHeight="1">
      <c r="A377" s="32" t="str">
        <f>IMAGE("https://gymvisual.com/13567-catalog_default/kettlebell-deadlift.jpg",4,500,500)</f>
        <v/>
      </c>
      <c r="B377" s="30">
        <v>2376.0</v>
      </c>
      <c r="C377" s="16" t="s">
        <v>3070</v>
      </c>
      <c r="D377" s="16" t="s">
        <v>184</v>
      </c>
      <c r="E377" s="16" t="s">
        <v>294</v>
      </c>
      <c r="F377" s="16" t="s">
        <v>3034</v>
      </c>
      <c r="G377" s="16" t="s">
        <v>189</v>
      </c>
      <c r="H377" s="16" t="s">
        <v>314</v>
      </c>
    </row>
    <row r="378" ht="24.75" customHeight="1">
      <c r="A378" s="32" t="str">
        <f>IMAGE("https://gymvisual.com/17148-catalog_default/kettlebell-deadlift-female.jpg",4,500,500)</f>
        <v/>
      </c>
      <c r="B378" s="30">
        <v>2377.0</v>
      </c>
      <c r="C378" s="16" t="s">
        <v>3071</v>
      </c>
      <c r="D378" s="16" t="s">
        <v>184</v>
      </c>
      <c r="E378" s="16" t="s">
        <v>294</v>
      </c>
      <c r="F378" s="16" t="s">
        <v>3034</v>
      </c>
      <c r="G378" s="16" t="s">
        <v>2010</v>
      </c>
      <c r="H378" s="16" t="s">
        <v>2076</v>
      </c>
    </row>
    <row r="379" ht="24.75" customHeight="1">
      <c r="A379" s="32" t="str">
        <f>IMAGE("https://gymvisual.com/14217-catalog_default/kettlebell-deck-squat.jpg",4,500,500)</f>
        <v/>
      </c>
      <c r="B379" s="30">
        <v>2378.0</v>
      </c>
      <c r="C379" s="16" t="s">
        <v>3072</v>
      </c>
      <c r="D379" s="16" t="s">
        <v>184</v>
      </c>
      <c r="E379" s="16" t="s">
        <v>2396</v>
      </c>
      <c r="F379" s="16" t="s">
        <v>3034</v>
      </c>
      <c r="G379" s="16" t="s">
        <v>220</v>
      </c>
      <c r="H379" s="16" t="s">
        <v>220</v>
      </c>
    </row>
    <row r="380" ht="24.75" customHeight="1">
      <c r="A380" s="32" t="str">
        <f>IMAGE("https://gymvisual.com/14219-catalog_default/kettlebell-deep-push-up.jpg",4,500,500)</f>
        <v/>
      </c>
      <c r="B380" s="30">
        <v>2379.0</v>
      </c>
      <c r="C380" s="16" t="s">
        <v>3073</v>
      </c>
      <c r="D380" s="16" t="s">
        <v>184</v>
      </c>
      <c r="E380" s="16" t="s">
        <v>234</v>
      </c>
      <c r="F380" s="16" t="s">
        <v>3034</v>
      </c>
      <c r="G380" s="16" t="s">
        <v>235</v>
      </c>
      <c r="H380" s="16" t="s">
        <v>243</v>
      </c>
    </row>
    <row r="381" ht="24.75" customHeight="1">
      <c r="A381" s="32" t="str">
        <f>IMAGE("https://gymvisual.com/1591-catalog_default/3-4-sit-up.jpg",4,500,500)</f>
        <v/>
      </c>
      <c r="B381" s="30">
        <v>2380.0</v>
      </c>
      <c r="C381" s="16" t="s">
        <v>3074</v>
      </c>
      <c r="D381" s="16" t="s">
        <v>184</v>
      </c>
      <c r="E381" s="16" t="s">
        <v>214</v>
      </c>
      <c r="F381" s="16" t="s">
        <v>3034</v>
      </c>
      <c r="G381" s="16" t="s">
        <v>292</v>
      </c>
      <c r="H381" s="16" t="s">
        <v>420</v>
      </c>
    </row>
    <row r="382" ht="24.75" customHeight="1">
      <c r="A382" s="32" t="str">
        <f>IMAGE("https://gymvisual.com/1594-catalog_default/3-4-sit-up.jpg",4,500,500)</f>
        <v/>
      </c>
      <c r="B382" s="30">
        <v>2381.0</v>
      </c>
      <c r="C382" s="16" t="s">
        <v>3075</v>
      </c>
      <c r="D382" s="16" t="s">
        <v>184</v>
      </c>
      <c r="E382" s="16" t="s">
        <v>228</v>
      </c>
      <c r="F382" s="16" t="s">
        <v>3034</v>
      </c>
      <c r="G382" s="16" t="s">
        <v>220</v>
      </c>
      <c r="H382" s="16" t="s">
        <v>220</v>
      </c>
    </row>
    <row r="383" ht="24.75" customHeight="1">
      <c r="A383" s="32" t="str">
        <f>IMAGE("https://gymvisual.com/1597-catalog_default/3-4-sit-up.jpg",4,500,500)</f>
        <v/>
      </c>
      <c r="B383" s="30">
        <v>2382.0</v>
      </c>
      <c r="C383" s="16" t="s">
        <v>3076</v>
      </c>
      <c r="D383" s="16" t="s">
        <v>184</v>
      </c>
      <c r="E383" s="16" t="s">
        <v>228</v>
      </c>
      <c r="F383" s="16" t="s">
        <v>3034</v>
      </c>
      <c r="G383" s="16" t="s">
        <v>220</v>
      </c>
      <c r="H383" s="16" t="s">
        <v>220</v>
      </c>
    </row>
    <row r="384" ht="24.75" customHeight="1">
      <c r="A384" s="32" t="str">
        <f>IMAGE("https://gymvisual.com/11161-catalog_default/kettlebell-double-push-press-female.jpg",4,500,500)</f>
        <v/>
      </c>
      <c r="B384" s="30">
        <v>2383.0</v>
      </c>
      <c r="C384" s="16" t="s">
        <v>3077</v>
      </c>
      <c r="D384" s="16" t="s">
        <v>184</v>
      </c>
      <c r="E384" s="16" t="s">
        <v>1129</v>
      </c>
      <c r="F384" s="16" t="s">
        <v>3034</v>
      </c>
      <c r="G384" s="16" t="s">
        <v>220</v>
      </c>
      <c r="H384" s="16" t="s">
        <v>220</v>
      </c>
    </row>
    <row r="385" ht="24.75" customHeight="1">
      <c r="A385" s="32" t="str">
        <f>IMAGE("https://gymvisual.com/1599-catalog_default/3-4-sit-up.jpg",4,500,500)</f>
        <v/>
      </c>
      <c r="B385" s="30">
        <v>2384.0</v>
      </c>
      <c r="C385" s="16" t="s">
        <v>3078</v>
      </c>
      <c r="D385" s="16" t="s">
        <v>184</v>
      </c>
      <c r="E385" s="16" t="s">
        <v>228</v>
      </c>
      <c r="F385" s="16" t="s">
        <v>3034</v>
      </c>
      <c r="G385" s="16" t="s">
        <v>220</v>
      </c>
      <c r="H385" s="16" t="s">
        <v>220</v>
      </c>
    </row>
    <row r="386" ht="24.75" customHeight="1">
      <c r="A386" s="32" t="str">
        <f>IMAGE("https://gymvisual.com/1601-catalog_default/3-4-sit-up.jpg",4,500,500)</f>
        <v/>
      </c>
      <c r="B386" s="30">
        <v>2385.0</v>
      </c>
      <c r="C386" s="16" t="s">
        <v>3079</v>
      </c>
      <c r="D386" s="16" t="s">
        <v>184</v>
      </c>
      <c r="E386" s="16" t="s">
        <v>254</v>
      </c>
      <c r="F386" s="16" t="s">
        <v>3034</v>
      </c>
      <c r="G386" s="16" t="s">
        <v>257</v>
      </c>
      <c r="H386" s="16" t="s">
        <v>3080</v>
      </c>
    </row>
    <row r="387" ht="24.75" customHeight="1">
      <c r="A387" s="32" t="str">
        <f>IMAGE("https://gymvisual.com/19527-catalog_default/kettlebell-double-windmill-female.jpg",4,500,500)</f>
        <v/>
      </c>
      <c r="B387" s="30">
        <v>2386.0</v>
      </c>
      <c r="C387" s="16" t="s">
        <v>3081</v>
      </c>
      <c r="D387" s="16" t="s">
        <v>184</v>
      </c>
      <c r="E387" s="16" t="s">
        <v>254</v>
      </c>
      <c r="F387" s="16" t="s">
        <v>3034</v>
      </c>
      <c r="G387" s="16" t="s">
        <v>220</v>
      </c>
      <c r="H387" s="16" t="s">
        <v>220</v>
      </c>
    </row>
    <row r="388" ht="24.75" customHeight="1">
      <c r="A388" s="32" t="str">
        <f>IMAGE("https://gymvisual.com/11828-catalog_default/kettlebell-dumbbell-sumo-squat-off-stepbox-female.jpg",4,500,500)</f>
        <v/>
      </c>
      <c r="B388" s="30">
        <v>2387.0</v>
      </c>
      <c r="C388" s="16" t="s">
        <v>3082</v>
      </c>
      <c r="D388" s="16" t="s">
        <v>184</v>
      </c>
      <c r="E388" s="16" t="s">
        <v>185</v>
      </c>
      <c r="F388" s="16" t="s">
        <v>3034</v>
      </c>
      <c r="G388" s="16" t="s">
        <v>220</v>
      </c>
      <c r="H388" s="16" t="s">
        <v>220</v>
      </c>
    </row>
    <row r="389" ht="24.75" customHeight="1">
      <c r="A389" s="32" t="str">
        <f>IMAGE("https://gymvisual.com/24250-catalog_default/kettlebell-elevanted-goblet-squat.jpg",4,500,500)</f>
        <v/>
      </c>
      <c r="B389" s="30">
        <v>2388.0</v>
      </c>
      <c r="C389" s="16" t="s">
        <v>3083</v>
      </c>
      <c r="D389" s="16" t="s">
        <v>184</v>
      </c>
      <c r="E389" s="16" t="s">
        <v>285</v>
      </c>
      <c r="F389" s="16" t="s">
        <v>3034</v>
      </c>
      <c r="G389" s="16" t="s">
        <v>189</v>
      </c>
      <c r="H389" s="16" t="s">
        <v>190</v>
      </c>
    </row>
    <row r="390" ht="24.75" customHeight="1">
      <c r="A390" s="32" t="str">
        <f>IMAGE("https://gymvisual.com/1604-catalog_default/3-4-sit-up.jpg",4,500,500)</f>
        <v/>
      </c>
      <c r="B390" s="30">
        <v>2389.0</v>
      </c>
      <c r="C390" s="16" t="s">
        <v>3084</v>
      </c>
      <c r="D390" s="16" t="s">
        <v>184</v>
      </c>
      <c r="E390" s="16" t="s">
        <v>234</v>
      </c>
      <c r="F390" s="16" t="s">
        <v>3034</v>
      </c>
      <c r="G390" s="16" t="s">
        <v>235</v>
      </c>
      <c r="H390" s="16" t="s">
        <v>243</v>
      </c>
    </row>
    <row r="391" ht="24.75" customHeight="1">
      <c r="A391" s="32" t="str">
        <f>IMAGE("https://gymvisual.com/14211-catalog_default/kettlebell-farmers-carry.jpg",4,500,500)</f>
        <v/>
      </c>
      <c r="B391" s="30">
        <v>2390.0</v>
      </c>
      <c r="C391" s="16" t="s">
        <v>3085</v>
      </c>
      <c r="D391" s="16" t="s">
        <v>184</v>
      </c>
      <c r="E391" s="16" t="s">
        <v>294</v>
      </c>
      <c r="F391" s="16" t="s">
        <v>3034</v>
      </c>
      <c r="G391" s="16" t="s">
        <v>189</v>
      </c>
      <c r="H391" s="16" t="s">
        <v>190</v>
      </c>
    </row>
    <row r="392" ht="24.75" customHeight="1">
      <c r="A392" s="32" t="str">
        <f>IMAGE("https://gymvisual.com/1607-catalog_default/3-4-sit-up.jpg",4,500,500)</f>
        <v/>
      </c>
      <c r="B392" s="30">
        <v>2391.0</v>
      </c>
      <c r="C392" s="16" t="s">
        <v>3086</v>
      </c>
      <c r="D392" s="16" t="s">
        <v>184</v>
      </c>
      <c r="E392" s="16" t="s">
        <v>254</v>
      </c>
      <c r="F392" s="16" t="s">
        <v>3034</v>
      </c>
      <c r="G392" s="16" t="s">
        <v>257</v>
      </c>
      <c r="H392" s="16" t="s">
        <v>256</v>
      </c>
    </row>
    <row r="393" ht="24.75" customHeight="1">
      <c r="A393" s="32" t="str">
        <f>IMAGE("https://gymvisual.com/11164-catalog_default/kettlebell-figure-8-female.jpg",4,500,500)</f>
        <v/>
      </c>
      <c r="B393" s="30">
        <v>2392.0</v>
      </c>
      <c r="C393" s="16" t="s">
        <v>3087</v>
      </c>
      <c r="D393" s="16" t="s">
        <v>184</v>
      </c>
      <c r="E393" s="16" t="s">
        <v>254</v>
      </c>
      <c r="F393" s="16" t="s">
        <v>3034</v>
      </c>
      <c r="G393" s="16" t="s">
        <v>220</v>
      </c>
      <c r="H393" s="16" t="s">
        <v>220</v>
      </c>
    </row>
    <row r="394" ht="24.75" customHeight="1">
      <c r="A394" s="32" t="str">
        <f>IMAGE("https://gymvisual.com/26090-catalog_default/kettlebell-floor-fly.jpg",4,500,500)</f>
        <v/>
      </c>
      <c r="B394" s="30">
        <v>2393.0</v>
      </c>
      <c r="C394" s="16" t="s">
        <v>3088</v>
      </c>
      <c r="D394" s="16" t="s">
        <v>184</v>
      </c>
      <c r="E394" s="16" t="s">
        <v>234</v>
      </c>
      <c r="F394" s="16" t="s">
        <v>3034</v>
      </c>
      <c r="G394" s="16" t="s">
        <v>220</v>
      </c>
      <c r="H394" s="16" t="s">
        <v>220</v>
      </c>
    </row>
    <row r="395" ht="24.75" customHeight="1">
      <c r="A395" s="32" t="str">
        <f>IMAGE("https://gymvisual.com/14207-catalog_default/kettlebell-forward-lunge.jpg",4,500,500)</f>
        <v/>
      </c>
      <c r="B395" s="30">
        <v>2394.0</v>
      </c>
      <c r="C395" s="16" t="s">
        <v>3089</v>
      </c>
      <c r="D395" s="16" t="s">
        <v>184</v>
      </c>
      <c r="E395" s="16" t="s">
        <v>294</v>
      </c>
      <c r="F395" s="16" t="s">
        <v>3034</v>
      </c>
      <c r="G395" s="16" t="s">
        <v>220</v>
      </c>
      <c r="H395" s="16" t="s">
        <v>220</v>
      </c>
    </row>
    <row r="396" ht="24.75" customHeight="1">
      <c r="A396" s="32" t="str">
        <f>IMAGE("https://gymvisual.com/19537-catalog_default/kettlebell-forward-lunge-female.jpg",4,500,500)</f>
        <v/>
      </c>
      <c r="B396" s="30">
        <v>2395.0</v>
      </c>
      <c r="C396" s="16" t="s">
        <v>3090</v>
      </c>
      <c r="D396" s="16" t="s">
        <v>184</v>
      </c>
      <c r="E396" s="16" t="s">
        <v>285</v>
      </c>
      <c r="F396" s="16" t="s">
        <v>3034</v>
      </c>
      <c r="G396" s="16" t="s">
        <v>220</v>
      </c>
      <c r="H396" s="16" t="s">
        <v>220</v>
      </c>
    </row>
    <row r="397" ht="24.75" customHeight="1">
      <c r="A397" s="32" t="str">
        <f>IMAGE("https://gymvisual.com/23064-catalog_default/kettlebell-forward-lunge-version-2-female.jpg",4,500,500)</f>
        <v/>
      </c>
      <c r="B397" s="30">
        <v>2396.0</v>
      </c>
      <c r="C397" s="16" t="s">
        <v>3091</v>
      </c>
      <c r="D397" s="16" t="s">
        <v>184</v>
      </c>
      <c r="E397" s="16" t="s">
        <v>285</v>
      </c>
      <c r="F397" s="16" t="s">
        <v>3034</v>
      </c>
      <c r="G397" s="16" t="s">
        <v>220</v>
      </c>
      <c r="H397" s="16" t="s">
        <v>220</v>
      </c>
    </row>
    <row r="398" ht="24.75" customHeight="1">
      <c r="A398" s="32" t="str">
        <f>IMAGE("https://gymvisual.com/19553-catalog_default/kettlebell-forward-lunge-and-press-female.jpg",4,500,500)</f>
        <v/>
      </c>
      <c r="B398" s="30">
        <v>2397.0</v>
      </c>
      <c r="C398" s="16" t="s">
        <v>3092</v>
      </c>
      <c r="D398" s="16" t="s">
        <v>184</v>
      </c>
      <c r="E398" s="16" t="s">
        <v>285</v>
      </c>
      <c r="F398" s="16" t="s">
        <v>3034</v>
      </c>
      <c r="G398" s="16" t="s">
        <v>220</v>
      </c>
      <c r="H398" s="16" t="s">
        <v>220</v>
      </c>
    </row>
    <row r="399" ht="24.75" customHeight="1">
      <c r="A399" s="32" t="str">
        <f>IMAGE("https://gymvisual.com/26092-catalog_default/kettlebell-front-raise.jpg",4,500,500)</f>
        <v/>
      </c>
      <c r="B399" s="30">
        <v>2398.0</v>
      </c>
      <c r="C399" s="16" t="s">
        <v>3093</v>
      </c>
      <c r="D399" s="16" t="s">
        <v>184</v>
      </c>
      <c r="E399" s="16" t="s">
        <v>228</v>
      </c>
      <c r="F399" s="16" t="s">
        <v>3034</v>
      </c>
      <c r="G399" s="16" t="s">
        <v>220</v>
      </c>
      <c r="H399" s="16" t="s">
        <v>220</v>
      </c>
    </row>
    <row r="400" ht="24.75" customHeight="1">
      <c r="A400" s="32" t="str">
        <f>IMAGE("https://gymvisual.com/1610-catalog_default/3-4-sit-up.jpg",4,500,500)</f>
        <v/>
      </c>
      <c r="B400" s="30">
        <v>2399.0</v>
      </c>
      <c r="C400" s="16" t="s">
        <v>3094</v>
      </c>
      <c r="D400" s="16" t="s">
        <v>184</v>
      </c>
      <c r="E400" s="16" t="s">
        <v>285</v>
      </c>
      <c r="F400" s="16" t="s">
        <v>3034</v>
      </c>
      <c r="G400" s="16" t="s">
        <v>189</v>
      </c>
      <c r="H400" s="16" t="s">
        <v>190</v>
      </c>
    </row>
    <row r="401" ht="24.75" customHeight="1">
      <c r="A401" s="32" t="str">
        <f>IMAGE("https://gymvisual.com/11447-catalog_default/kettlebell-front-squat-female.jpg",4,500,500)</f>
        <v/>
      </c>
      <c r="B401" s="30">
        <v>2400.0</v>
      </c>
      <c r="C401" s="16" t="s">
        <v>3095</v>
      </c>
      <c r="D401" s="16" t="s">
        <v>184</v>
      </c>
      <c r="E401" s="16" t="s">
        <v>294</v>
      </c>
      <c r="F401" s="16" t="s">
        <v>3034</v>
      </c>
      <c r="G401" s="16" t="s">
        <v>189</v>
      </c>
      <c r="H401" s="16" t="s">
        <v>190</v>
      </c>
    </row>
    <row r="402" ht="24.75" customHeight="1">
      <c r="A402" s="32" t="str">
        <f>IMAGE("https://gymvisual.com/20748-catalog_default/kettlebell-full-squat-from-deficit-female.jpg",4,500,500)</f>
        <v/>
      </c>
      <c r="B402" s="30">
        <v>2401.0</v>
      </c>
      <c r="C402" s="16" t="s">
        <v>3096</v>
      </c>
      <c r="D402" s="16" t="s">
        <v>184</v>
      </c>
      <c r="E402" s="16" t="s">
        <v>294</v>
      </c>
      <c r="F402" s="16" t="s">
        <v>3034</v>
      </c>
      <c r="G402" s="16" t="s">
        <v>189</v>
      </c>
      <c r="H402" s="16" t="s">
        <v>190</v>
      </c>
    </row>
    <row r="403" ht="24.75" customHeight="1">
      <c r="A403" s="32" t="str">
        <f>IMAGE("https://gymvisual.com/14201-catalog_default/kettlebell-full-swing.jpg",4,500,500)</f>
        <v/>
      </c>
      <c r="B403" s="30">
        <v>2402.0</v>
      </c>
      <c r="C403" s="16" t="s">
        <v>3097</v>
      </c>
      <c r="D403" s="16" t="s">
        <v>184</v>
      </c>
      <c r="E403" s="16" t="s">
        <v>3098</v>
      </c>
      <c r="F403" s="16" t="s">
        <v>3034</v>
      </c>
      <c r="G403" s="16" t="s">
        <v>1224</v>
      </c>
      <c r="H403" s="16" t="s">
        <v>3099</v>
      </c>
    </row>
    <row r="404" ht="24.75" customHeight="1">
      <c r="A404" s="32" t="str">
        <f>IMAGE("https://gymvisual.com/16396-catalog_default/kettlebell-gobelt-curtsey-lunge.jpg",4,500,500)</f>
        <v/>
      </c>
      <c r="B404" s="30">
        <v>2403.0</v>
      </c>
      <c r="C404" s="16" t="s">
        <v>3100</v>
      </c>
      <c r="D404" s="16" t="s">
        <v>184</v>
      </c>
      <c r="E404" s="16" t="s">
        <v>285</v>
      </c>
      <c r="F404" s="16" t="s">
        <v>3034</v>
      </c>
      <c r="G404" s="16" t="s">
        <v>295</v>
      </c>
      <c r="H404" s="16" t="s">
        <v>3101</v>
      </c>
    </row>
    <row r="405" ht="24.75" customHeight="1">
      <c r="A405" s="32" t="str">
        <f>IMAGE("https://gymvisual.com/12178-catalog_default/kettlebell-goblet-carry.jpg",4,500,500)</f>
        <v/>
      </c>
      <c r="B405" s="30">
        <v>2404.0</v>
      </c>
      <c r="C405" s="16" t="s">
        <v>3102</v>
      </c>
      <c r="D405" s="16" t="s">
        <v>184</v>
      </c>
      <c r="E405" s="16" t="s">
        <v>285</v>
      </c>
      <c r="F405" s="16" t="s">
        <v>3034</v>
      </c>
      <c r="G405" s="16" t="s">
        <v>220</v>
      </c>
      <c r="H405" s="16" t="s">
        <v>220</v>
      </c>
    </row>
    <row r="406" ht="24.75" customHeight="1">
      <c r="A406" s="32" t="str">
        <f>IMAGE("https://gymvisual.com/1613-catalog_default/3-4-sit-up.jpg",4,500,500)</f>
        <v/>
      </c>
      <c r="B406" s="30">
        <v>2405.0</v>
      </c>
      <c r="C406" s="16" t="s">
        <v>3103</v>
      </c>
      <c r="D406" s="16" t="s">
        <v>184</v>
      </c>
      <c r="E406" s="16" t="s">
        <v>285</v>
      </c>
      <c r="F406" s="16" t="s">
        <v>3034</v>
      </c>
      <c r="G406" s="16" t="s">
        <v>189</v>
      </c>
      <c r="H406" s="16" t="s">
        <v>1121</v>
      </c>
    </row>
    <row r="407" ht="24.75" customHeight="1">
      <c r="A407" s="32" t="str">
        <f>IMAGE("https://gymvisual.com/10221-catalog_default/kettlebell-goblet-squat-female.jpg",4,500,500)</f>
        <v/>
      </c>
      <c r="B407" s="30">
        <v>2406.0</v>
      </c>
      <c r="C407" s="16" t="s">
        <v>3104</v>
      </c>
      <c r="D407" s="16" t="s">
        <v>184</v>
      </c>
      <c r="E407" s="16" t="s">
        <v>285</v>
      </c>
      <c r="F407" s="16" t="s">
        <v>3034</v>
      </c>
      <c r="G407" s="16" t="s">
        <v>552</v>
      </c>
      <c r="H407" s="16" t="s">
        <v>3105</v>
      </c>
    </row>
    <row r="408" ht="24.75" customHeight="1">
      <c r="A408" s="32" t="str">
        <f>IMAGE("https://gymvisual.com/12338-catalog_default/kettlebell-goblet-squat-mobility.jpg",4,500,500)</f>
        <v/>
      </c>
      <c r="B408" s="30">
        <v>2407.0</v>
      </c>
      <c r="C408" s="16" t="s">
        <v>3106</v>
      </c>
      <c r="D408" s="16" t="s">
        <v>184</v>
      </c>
      <c r="E408" s="16" t="s">
        <v>285</v>
      </c>
      <c r="F408" s="16" t="s">
        <v>3034</v>
      </c>
      <c r="G408" s="16" t="s">
        <v>189</v>
      </c>
      <c r="H408" s="16" t="s">
        <v>2046</v>
      </c>
    </row>
    <row r="409" ht="24.75" customHeight="1">
      <c r="A409" s="32" t="str">
        <f>IMAGE("https://gymvisual.com/23669-catalog_default/kettlebell-good-morning.jpg",4,500,500)</f>
        <v/>
      </c>
      <c r="B409" s="30">
        <v>2408.0</v>
      </c>
      <c r="C409" s="16" t="s">
        <v>3107</v>
      </c>
      <c r="D409" s="16" t="s">
        <v>184</v>
      </c>
      <c r="E409" s="16" t="s">
        <v>185</v>
      </c>
      <c r="F409" s="16" t="s">
        <v>3034</v>
      </c>
      <c r="G409" s="16" t="s">
        <v>188</v>
      </c>
      <c r="H409" s="16" t="s">
        <v>857</v>
      </c>
    </row>
    <row r="410" ht="24.75" customHeight="1">
      <c r="A410" s="32" t="str">
        <f>IMAGE("https://gymvisual.com/19513-catalog_default/kettlebell-half-kneeling-one-arm-bottoms-up-press.jpg",4,500,500)</f>
        <v/>
      </c>
      <c r="B410" s="30">
        <v>2409.0</v>
      </c>
      <c r="C410" s="16" t="s">
        <v>3108</v>
      </c>
      <c r="D410" s="16" t="s">
        <v>184</v>
      </c>
      <c r="E410" s="16" t="s">
        <v>228</v>
      </c>
      <c r="F410" s="16" t="s">
        <v>3034</v>
      </c>
      <c r="G410" s="16" t="s">
        <v>220</v>
      </c>
      <c r="H410" s="16" t="s">
        <v>220</v>
      </c>
    </row>
    <row r="411" ht="24.75" customHeight="1">
      <c r="A411" s="32" t="str">
        <f>IMAGE("https://gymvisual.com/12199-catalog_default/kettlebell-half-kneeling-shoulder-press.jpg",4,500,500)</f>
        <v/>
      </c>
      <c r="B411" s="30">
        <v>2410.0</v>
      </c>
      <c r="C411" s="16" t="s">
        <v>3109</v>
      </c>
      <c r="D411" s="16" t="s">
        <v>184</v>
      </c>
      <c r="E411" s="16" t="s">
        <v>228</v>
      </c>
      <c r="F411" s="16" t="s">
        <v>3034</v>
      </c>
      <c r="G411" s="16" t="s">
        <v>220</v>
      </c>
      <c r="H411" s="16" t="s">
        <v>220</v>
      </c>
    </row>
    <row r="412" ht="24.75" customHeight="1">
      <c r="A412" s="32" t="str">
        <f>IMAGE("https://gymvisual.com/13569-catalog_default/kettlebell-half-turkish-get-up.jpg",4,500,500)</f>
        <v/>
      </c>
      <c r="B412" s="30">
        <v>2411.0</v>
      </c>
      <c r="C412" s="16" t="s">
        <v>3110</v>
      </c>
      <c r="D412" s="16" t="s">
        <v>184</v>
      </c>
      <c r="E412" s="16" t="s">
        <v>3111</v>
      </c>
      <c r="F412" s="16" t="s">
        <v>3034</v>
      </c>
      <c r="G412" s="16" t="s">
        <v>524</v>
      </c>
      <c r="H412" s="16" t="s">
        <v>220</v>
      </c>
    </row>
    <row r="413" ht="24.75" customHeight="1">
      <c r="A413" s="32" t="str">
        <f>IMAGE("https://gymvisual.com/23537-catalog_default/3-4-sit-up.jpg",4,500,500)</f>
        <v/>
      </c>
      <c r="B413" s="30">
        <v>2412.0</v>
      </c>
      <c r="C413" s="16" t="s">
        <v>3112</v>
      </c>
      <c r="D413" s="16" t="s">
        <v>184</v>
      </c>
      <c r="E413" s="16" t="s">
        <v>285</v>
      </c>
      <c r="F413" s="16" t="s">
        <v>3034</v>
      </c>
      <c r="G413" s="16" t="s">
        <v>866</v>
      </c>
      <c r="H413" s="16" t="s">
        <v>220</v>
      </c>
    </row>
    <row r="414" ht="24.75" customHeight="1">
      <c r="A414" s="32" t="str">
        <f>IMAGE("https://gymvisual.com/16400-catalog_default/kettlebell-kickstand-one-leg-deadlift.jpg",4,500,500)</f>
        <v/>
      </c>
      <c r="B414" s="30">
        <v>2413.0</v>
      </c>
      <c r="C414" s="16" t="s">
        <v>3113</v>
      </c>
      <c r="D414" s="16" t="s">
        <v>184</v>
      </c>
      <c r="E414" s="16" t="s">
        <v>294</v>
      </c>
      <c r="F414" s="16" t="s">
        <v>3034</v>
      </c>
      <c r="G414" s="16" t="s">
        <v>2010</v>
      </c>
      <c r="H414" s="16" t="s">
        <v>314</v>
      </c>
    </row>
    <row r="415" ht="24.75" customHeight="1">
      <c r="A415" s="32" t="str">
        <f>IMAGE("https://gymvisual.com/12192-catalog_default/kettlebell-kneeling-one-arm-bottoms-up-press.jpg",4,500,500)</f>
        <v/>
      </c>
      <c r="B415" s="30">
        <v>2414.0</v>
      </c>
      <c r="C415" s="16" t="s">
        <v>3114</v>
      </c>
      <c r="D415" s="16" t="s">
        <v>184</v>
      </c>
      <c r="E415" s="16" t="s">
        <v>228</v>
      </c>
      <c r="F415" s="16" t="s">
        <v>3034</v>
      </c>
      <c r="G415" s="16" t="s">
        <v>220</v>
      </c>
      <c r="H415" s="16" t="s">
        <v>220</v>
      </c>
    </row>
    <row r="416" ht="24.75" customHeight="1">
      <c r="A416" s="32" t="str">
        <f>IMAGE("https://gymvisual.com/12197-catalog_default/kettlebell-kneeling-one-arm-shoulder-press.jpg",4,500,500)</f>
        <v/>
      </c>
      <c r="B416" s="30">
        <v>2415.0</v>
      </c>
      <c r="C416" s="16" t="s">
        <v>3115</v>
      </c>
      <c r="D416" s="16" t="s">
        <v>184</v>
      </c>
      <c r="E416" s="16" t="s">
        <v>228</v>
      </c>
      <c r="F416" s="16" t="s">
        <v>3034</v>
      </c>
      <c r="G416" s="16" t="s">
        <v>220</v>
      </c>
      <c r="H416" s="16" t="s">
        <v>220</v>
      </c>
    </row>
    <row r="417" ht="24.75" customHeight="1">
      <c r="A417" s="32" t="str">
        <f>IMAGE("https://gymvisual.com/17823-catalog_default/kettlebell-lateral-lunge.jpg",4,500,500)</f>
        <v/>
      </c>
      <c r="B417" s="30">
        <v>2416.0</v>
      </c>
      <c r="C417" s="16" t="s">
        <v>3116</v>
      </c>
      <c r="D417" s="16" t="s">
        <v>184</v>
      </c>
      <c r="E417" s="16" t="s">
        <v>285</v>
      </c>
      <c r="F417" s="16" t="s">
        <v>3034</v>
      </c>
      <c r="G417" s="16" t="s">
        <v>220</v>
      </c>
      <c r="H417" s="16" t="s">
        <v>220</v>
      </c>
    </row>
    <row r="418" ht="24.75" customHeight="1">
      <c r="A418" s="32" t="str">
        <f>IMAGE("https://gymvisual.com/16412-catalog_default/kettlebell-lateral-raise.jpg",4,500,500)</f>
        <v/>
      </c>
      <c r="B418" s="30">
        <v>2417.0</v>
      </c>
      <c r="C418" s="16" t="s">
        <v>3117</v>
      </c>
      <c r="D418" s="16" t="s">
        <v>184</v>
      </c>
      <c r="E418" s="16" t="s">
        <v>228</v>
      </c>
      <c r="F418" s="16" t="s">
        <v>3034</v>
      </c>
      <c r="G418" s="16" t="s">
        <v>544</v>
      </c>
      <c r="H418" s="16" t="s">
        <v>545</v>
      </c>
    </row>
    <row r="419" ht="24.75" customHeight="1">
      <c r="A419" s="32" t="str">
        <f>IMAGE("https://gymvisual.com/14213-catalog_default/kettlebell-lunge-clean-and-press.jpg",4,500,500)</f>
        <v/>
      </c>
      <c r="B419" s="30">
        <v>2418.0</v>
      </c>
      <c r="C419" s="16" t="s">
        <v>3118</v>
      </c>
      <c r="D419" s="16" t="s">
        <v>184</v>
      </c>
      <c r="E419" s="16" t="s">
        <v>691</v>
      </c>
      <c r="F419" s="16" t="s">
        <v>3034</v>
      </c>
      <c r="G419" s="16" t="s">
        <v>793</v>
      </c>
      <c r="H419" s="16" t="s">
        <v>2392</v>
      </c>
    </row>
    <row r="420" ht="24.75" customHeight="1">
      <c r="A420" s="32" t="str">
        <f>IMAGE("https://gymvisual.com/1618-catalog_default/3-4-sit-up.jpg",4,500,500)</f>
        <v/>
      </c>
      <c r="B420" s="30">
        <v>2419.0</v>
      </c>
      <c r="C420" s="16" t="s">
        <v>3119</v>
      </c>
      <c r="D420" s="16" t="s">
        <v>184</v>
      </c>
      <c r="E420" s="16" t="s">
        <v>285</v>
      </c>
      <c r="F420" s="16" t="s">
        <v>3034</v>
      </c>
      <c r="G420" s="16" t="s">
        <v>189</v>
      </c>
      <c r="H420" s="16" t="s">
        <v>3120</v>
      </c>
    </row>
    <row r="421" ht="24.75" customHeight="1">
      <c r="A421" s="32" t="str">
        <f>IMAGE("https://gymvisual.com/11167-catalog_default/kettlebell-lunge-pass-through-female.jpg",4,500,500)</f>
        <v/>
      </c>
      <c r="B421" s="30">
        <v>2420.0</v>
      </c>
      <c r="C421" s="16" t="s">
        <v>3121</v>
      </c>
      <c r="D421" s="16" t="s">
        <v>184</v>
      </c>
      <c r="E421" s="16" t="s">
        <v>294</v>
      </c>
      <c r="F421" s="16" t="s">
        <v>3034</v>
      </c>
      <c r="G421" s="16" t="s">
        <v>220</v>
      </c>
      <c r="H421" s="16" t="s">
        <v>220</v>
      </c>
    </row>
    <row r="422" ht="24.75" customHeight="1">
      <c r="A422" s="32" t="str">
        <f>IMAGE("https://gymvisual.com/24103-catalog_default/kettlebell-lunge-with-twist.jpg",4,500,500)</f>
        <v/>
      </c>
      <c r="B422" s="30">
        <v>2421.0</v>
      </c>
      <c r="C422" s="16" t="s">
        <v>3122</v>
      </c>
      <c r="D422" s="16" t="s">
        <v>184</v>
      </c>
      <c r="E422" s="16" t="s">
        <v>285</v>
      </c>
      <c r="F422" s="16" t="s">
        <v>3034</v>
      </c>
      <c r="G422" s="16" t="s">
        <v>220</v>
      </c>
      <c r="H422" s="16" t="s">
        <v>220</v>
      </c>
    </row>
    <row r="423" ht="24.75" customHeight="1">
      <c r="A423" s="32" t="str">
        <f>IMAGE("https://gymvisual.com/22375-catalog_default/kettlebell-lying-on-floor-chest-press.jpg",4,500,500)</f>
        <v/>
      </c>
      <c r="B423" s="30">
        <v>2422.0</v>
      </c>
      <c r="C423" s="16" t="s">
        <v>3123</v>
      </c>
      <c r="D423" s="16" t="s">
        <v>184</v>
      </c>
      <c r="E423" s="16" t="s">
        <v>234</v>
      </c>
      <c r="F423" s="16" t="s">
        <v>3034</v>
      </c>
      <c r="G423" s="16" t="s">
        <v>220</v>
      </c>
      <c r="H423" s="16" t="s">
        <v>220</v>
      </c>
    </row>
    <row r="424" ht="24.75" customHeight="1">
      <c r="A424" s="32" t="str">
        <f>IMAGE("https://gymvisual.com/22377-catalog_default/kettlebell-lying-on-floor-single-arm-bottoms-up-chest-press.jpg",4,500,500)</f>
        <v/>
      </c>
      <c r="B424" s="30">
        <v>2423.0</v>
      </c>
      <c r="C424" s="16" t="s">
        <v>3124</v>
      </c>
      <c r="D424" s="16" t="s">
        <v>184</v>
      </c>
      <c r="E424" s="16" t="s">
        <v>234</v>
      </c>
      <c r="F424" s="16" t="s">
        <v>3034</v>
      </c>
      <c r="G424" s="16" t="s">
        <v>220</v>
      </c>
      <c r="H424" s="16" t="s">
        <v>220</v>
      </c>
    </row>
    <row r="425" ht="24.75" customHeight="1">
      <c r="A425" s="32" t="str">
        <f>IMAGE("https://gymvisual.com/26096-catalog_default/kettlebell-lying-triceps-extension-skull-crusher.jpg",4,500,500)</f>
        <v/>
      </c>
      <c r="B425" s="30">
        <v>2424.0</v>
      </c>
      <c r="C425" s="16" t="s">
        <v>3125</v>
      </c>
      <c r="D425" s="16" t="s">
        <v>184</v>
      </c>
      <c r="E425" s="16" t="s">
        <v>219</v>
      </c>
      <c r="F425" s="16" t="s">
        <v>3034</v>
      </c>
      <c r="G425" s="16" t="s">
        <v>220</v>
      </c>
      <c r="H425" s="16" t="s">
        <v>220</v>
      </c>
    </row>
    <row r="426" ht="24.75" customHeight="1">
      <c r="A426" s="32" t="str">
        <f>IMAGE("https://gymvisual.com/16408-catalog_default/kettlebell-one-arm-bench-press.jpg",4,500,500)</f>
        <v/>
      </c>
      <c r="B426" s="30">
        <v>2425.0</v>
      </c>
      <c r="C426" s="16" t="s">
        <v>3126</v>
      </c>
      <c r="D426" s="16" t="s">
        <v>184</v>
      </c>
      <c r="E426" s="16" t="s">
        <v>234</v>
      </c>
      <c r="F426" s="16" t="s">
        <v>3034</v>
      </c>
      <c r="G426" s="16" t="s">
        <v>235</v>
      </c>
      <c r="H426" s="16" t="s">
        <v>243</v>
      </c>
    </row>
    <row r="427" ht="24.75" customHeight="1">
      <c r="A427" s="32" t="str">
        <f>IMAGE("https://gymvisual.com/19185-catalog_default/kettlebell-one-arm-clean.jpg",4,500,500)</f>
        <v/>
      </c>
      <c r="B427" s="30">
        <v>2426.0</v>
      </c>
      <c r="C427" s="16" t="s">
        <v>3127</v>
      </c>
      <c r="D427" s="16" t="s">
        <v>184</v>
      </c>
      <c r="E427" s="16" t="s">
        <v>691</v>
      </c>
      <c r="F427" s="16" t="s">
        <v>3034</v>
      </c>
      <c r="G427" s="16" t="s">
        <v>220</v>
      </c>
      <c r="H427" s="16" t="s">
        <v>220</v>
      </c>
    </row>
    <row r="428" ht="24.75" customHeight="1">
      <c r="A428" s="32" t="str">
        <f>IMAGE("https://gymvisual.com/1621-catalog_default/3-4-sit-up.jpg",4,500,500)</f>
        <v/>
      </c>
      <c r="B428" s="30">
        <v>2427.0</v>
      </c>
      <c r="C428" s="16" t="s">
        <v>3128</v>
      </c>
      <c r="D428" s="16" t="s">
        <v>184</v>
      </c>
      <c r="E428" s="16" t="s">
        <v>228</v>
      </c>
      <c r="F428" s="16" t="s">
        <v>3034</v>
      </c>
      <c r="G428" s="16" t="s">
        <v>3129</v>
      </c>
      <c r="H428" s="16" t="s">
        <v>220</v>
      </c>
    </row>
    <row r="429" ht="24.75" customHeight="1">
      <c r="A429" s="32" t="str">
        <f>IMAGE("https://gymvisual.com/5987-catalog_default/kettlebell-one-arm-floor-press.jpg",4,500,500)</f>
        <v/>
      </c>
      <c r="B429" s="30">
        <v>2428.0</v>
      </c>
      <c r="C429" s="16" t="s">
        <v>3130</v>
      </c>
      <c r="D429" s="16" t="s">
        <v>184</v>
      </c>
      <c r="E429" s="16" t="s">
        <v>234</v>
      </c>
      <c r="F429" s="16" t="s">
        <v>3034</v>
      </c>
      <c r="G429" s="16" t="s">
        <v>347</v>
      </c>
      <c r="H429" s="16" t="s">
        <v>382</v>
      </c>
    </row>
    <row r="430" ht="24.75" customHeight="1">
      <c r="A430" s="32" t="str">
        <f>IMAGE("https://gymvisual.com/1623-catalog_default/3-4-sit-up.jpg",4,500,500)</f>
        <v/>
      </c>
      <c r="B430" s="30">
        <v>2429.0</v>
      </c>
      <c r="C430" s="16" t="s">
        <v>3131</v>
      </c>
      <c r="D430" s="16" t="s">
        <v>184</v>
      </c>
      <c r="E430" s="16" t="s">
        <v>228</v>
      </c>
      <c r="F430" s="16" t="s">
        <v>3034</v>
      </c>
      <c r="G430" s="16" t="s">
        <v>3132</v>
      </c>
      <c r="H430" s="16" t="s">
        <v>220</v>
      </c>
    </row>
    <row r="431" ht="24.75" customHeight="1">
      <c r="A431" s="32" t="str">
        <f>IMAGE("https://gymvisual.com/1626-catalog_default/3-4-sit-up.jpg",4,500,500)</f>
        <v/>
      </c>
      <c r="B431" s="30">
        <v>2430.0</v>
      </c>
      <c r="C431" s="16" t="s">
        <v>3133</v>
      </c>
      <c r="D431" s="16" t="s">
        <v>184</v>
      </c>
      <c r="E431" s="16" t="s">
        <v>228</v>
      </c>
      <c r="F431" s="16" t="s">
        <v>3034</v>
      </c>
      <c r="G431" s="16" t="s">
        <v>229</v>
      </c>
      <c r="H431" s="16" t="s">
        <v>3134</v>
      </c>
    </row>
    <row r="432" ht="24.75" customHeight="1">
      <c r="A432" s="32" t="str">
        <f>IMAGE("https://gymvisual.com/6813-catalog_default/kettlebell-one-arm-overhead-squat.jpg",4,500,500)</f>
        <v/>
      </c>
      <c r="B432" s="30">
        <v>2431.0</v>
      </c>
      <c r="C432" s="16" t="s">
        <v>3135</v>
      </c>
      <c r="D432" s="16" t="s">
        <v>184</v>
      </c>
      <c r="E432" s="16" t="s">
        <v>285</v>
      </c>
      <c r="F432" s="16" t="s">
        <v>3034</v>
      </c>
      <c r="G432" s="16" t="s">
        <v>189</v>
      </c>
      <c r="H432" s="16" t="s">
        <v>190</v>
      </c>
    </row>
    <row r="433" ht="24.75" customHeight="1">
      <c r="A433" s="32" t="str">
        <f>IMAGE("https://gymvisual.com/1629-catalog_default/3-4-sit-up.jpg",4,500,500)</f>
        <v/>
      </c>
      <c r="B433" s="30">
        <v>2432.0</v>
      </c>
      <c r="C433" s="16" t="s">
        <v>3136</v>
      </c>
      <c r="D433" s="16" t="s">
        <v>184</v>
      </c>
      <c r="E433" s="16" t="s">
        <v>228</v>
      </c>
      <c r="F433" s="16" t="s">
        <v>3034</v>
      </c>
      <c r="G433" s="16" t="s">
        <v>229</v>
      </c>
      <c r="H433" s="16" t="s">
        <v>3137</v>
      </c>
    </row>
    <row r="434" ht="24.75" customHeight="1">
      <c r="A434" s="32" t="str">
        <f>IMAGE("https://gymvisual.com/1631-catalog_default/3-4-sit-up.jpg",4,500,500)</f>
        <v/>
      </c>
      <c r="B434" s="30">
        <v>2433.0</v>
      </c>
      <c r="C434" s="16" t="s">
        <v>3138</v>
      </c>
      <c r="D434" s="16" t="s">
        <v>184</v>
      </c>
      <c r="E434" s="16" t="s">
        <v>192</v>
      </c>
      <c r="F434" s="16" t="s">
        <v>3034</v>
      </c>
      <c r="G434" s="16" t="s">
        <v>3139</v>
      </c>
      <c r="H434" s="16" t="s">
        <v>330</v>
      </c>
    </row>
    <row r="435" ht="24.75" customHeight="1">
      <c r="A435" s="32" t="str">
        <f>IMAGE("https://gymvisual.com/1634-catalog_default/3-4-sit-up.jpg",4,500,500)</f>
        <v/>
      </c>
      <c r="B435" s="30">
        <v>2434.0</v>
      </c>
      <c r="C435" s="16" t="s">
        <v>3140</v>
      </c>
      <c r="D435" s="16" t="s">
        <v>184</v>
      </c>
      <c r="E435" s="16" t="s">
        <v>228</v>
      </c>
      <c r="F435" s="16" t="s">
        <v>3034</v>
      </c>
      <c r="G435" s="16" t="s">
        <v>3141</v>
      </c>
      <c r="H435" s="16" t="s">
        <v>220</v>
      </c>
    </row>
    <row r="436" ht="24.75" customHeight="1">
      <c r="A436" s="32" t="str">
        <f>IMAGE("https://gymvisual.com/6815-catalog_default/kettlebell-one-arm-swing.jpg",4,500,500)</f>
        <v/>
      </c>
      <c r="B436" s="30">
        <v>2435.0</v>
      </c>
      <c r="C436" s="16" t="s">
        <v>3142</v>
      </c>
      <c r="D436" s="16" t="s">
        <v>184</v>
      </c>
      <c r="E436" s="16" t="s">
        <v>764</v>
      </c>
      <c r="F436" s="16" t="s">
        <v>3034</v>
      </c>
      <c r="G436" s="16" t="s">
        <v>2060</v>
      </c>
      <c r="H436" s="16" t="s">
        <v>2061</v>
      </c>
    </row>
    <row r="437" ht="24.75" customHeight="1">
      <c r="A437" s="32" t="str">
        <f>IMAGE("https://gymvisual.com/19181-catalog_default/kettlebell-one-arm-thruster.jpg",4,500,500)</f>
        <v/>
      </c>
      <c r="B437" s="30">
        <v>2436.0</v>
      </c>
      <c r="C437" s="16" t="s">
        <v>3143</v>
      </c>
      <c r="D437" s="16" t="s">
        <v>184</v>
      </c>
      <c r="E437" s="16" t="s">
        <v>691</v>
      </c>
      <c r="F437" s="16" t="s">
        <v>3034</v>
      </c>
      <c r="G437" s="16" t="s">
        <v>220</v>
      </c>
      <c r="H437" s="16" t="s">
        <v>220</v>
      </c>
    </row>
    <row r="438" ht="24.75" customHeight="1">
      <c r="A438" s="32" t="str">
        <f>IMAGE("https://gymvisual.com/6816-catalog_default/kettlebell-one-legged-deadlift.jpg",4,500,500)</f>
        <v/>
      </c>
      <c r="B438" s="30">
        <v>2437.0</v>
      </c>
      <c r="C438" s="16" t="s">
        <v>3144</v>
      </c>
      <c r="D438" s="16" t="s">
        <v>184</v>
      </c>
      <c r="E438" s="16" t="s">
        <v>185</v>
      </c>
      <c r="F438" s="16" t="s">
        <v>3034</v>
      </c>
      <c r="G438" s="16" t="s">
        <v>187</v>
      </c>
      <c r="H438" s="16" t="s">
        <v>482</v>
      </c>
    </row>
    <row r="439" ht="24.75" customHeight="1">
      <c r="A439" s="32" t="str">
        <f>IMAGE("https://gymvisual.com/6814-catalog_default/kettlebell-open-palm-clean.jpg",4,500,500)</f>
        <v/>
      </c>
      <c r="B439" s="30">
        <v>2438.0</v>
      </c>
      <c r="C439" s="16" t="s">
        <v>3145</v>
      </c>
      <c r="D439" s="16" t="s">
        <v>184</v>
      </c>
      <c r="E439" s="16" t="s">
        <v>764</v>
      </c>
      <c r="F439" s="16" t="s">
        <v>3034</v>
      </c>
      <c r="G439" s="16" t="s">
        <v>220</v>
      </c>
      <c r="H439" s="16" t="s">
        <v>220</v>
      </c>
    </row>
    <row r="440" ht="24.75" customHeight="1">
      <c r="A440" s="32" t="str">
        <f>IMAGE("https://gymvisual.com/14645-catalog_default/kettlebell-overhand-grip-swing-female.jpg",4,500,500)</f>
        <v/>
      </c>
      <c r="B440" s="30">
        <v>2439.0</v>
      </c>
      <c r="C440" s="16" t="s">
        <v>3146</v>
      </c>
      <c r="D440" s="16" t="s">
        <v>184</v>
      </c>
      <c r="E440" s="16" t="s">
        <v>185</v>
      </c>
      <c r="F440" s="16" t="s">
        <v>3034</v>
      </c>
      <c r="G440" s="16" t="s">
        <v>2060</v>
      </c>
      <c r="H440" s="16" t="s">
        <v>3147</v>
      </c>
    </row>
    <row r="441" ht="24.75" customHeight="1">
      <c r="A441" s="32" t="str">
        <f>IMAGE("https://gymvisual.com/18103-catalog_default/kettlebell-overhead-carry.jpg",4,500,500)</f>
        <v/>
      </c>
      <c r="B441" s="30">
        <v>2440.0</v>
      </c>
      <c r="C441" s="16" t="s">
        <v>3148</v>
      </c>
      <c r="D441" s="16" t="s">
        <v>184</v>
      </c>
      <c r="E441" s="16" t="s">
        <v>285</v>
      </c>
      <c r="F441" s="16" t="s">
        <v>3034</v>
      </c>
      <c r="G441" s="16" t="s">
        <v>220</v>
      </c>
      <c r="H441" s="16" t="s">
        <v>220</v>
      </c>
    </row>
    <row r="442" ht="24.75" customHeight="1">
      <c r="A442" s="32" t="str">
        <f>IMAGE("https://gymvisual.com/26094-catalog_default/kettlebell-overhead-triceps-extension.jpg",4,500,500)</f>
        <v/>
      </c>
      <c r="B442" s="30">
        <v>2441.0</v>
      </c>
      <c r="C442" s="16" t="s">
        <v>3149</v>
      </c>
      <c r="D442" s="16" t="s">
        <v>184</v>
      </c>
      <c r="E442" s="16" t="s">
        <v>219</v>
      </c>
      <c r="F442" s="16" t="s">
        <v>3034</v>
      </c>
      <c r="G442" s="16" t="s">
        <v>220</v>
      </c>
      <c r="H442" s="16" t="s">
        <v>220</v>
      </c>
    </row>
    <row r="443" ht="24.75" customHeight="1">
      <c r="A443" s="32" t="str">
        <f>IMAGE("https://gymvisual.com/1636-catalog_default/3-4-sit-up.jpg",4,500,500)</f>
        <v/>
      </c>
      <c r="B443" s="30">
        <v>2442.0</v>
      </c>
      <c r="C443" s="16" t="s">
        <v>3150</v>
      </c>
      <c r="D443" s="16" t="s">
        <v>184</v>
      </c>
      <c r="E443" s="16" t="s">
        <v>228</v>
      </c>
      <c r="F443" s="16" t="s">
        <v>3034</v>
      </c>
      <c r="G443" s="16" t="s">
        <v>408</v>
      </c>
      <c r="H443" s="16" t="s">
        <v>3151</v>
      </c>
    </row>
    <row r="444" ht="24.75" customHeight="1">
      <c r="A444" s="32" t="str">
        <f>IMAGE("https://gymvisual.com/1639-catalog_default/3-4-sit-up.jpg",4,500,500)</f>
        <v/>
      </c>
      <c r="B444" s="30">
        <v>2443.0</v>
      </c>
      <c r="C444" s="16" t="s">
        <v>3152</v>
      </c>
      <c r="D444" s="16" t="s">
        <v>184</v>
      </c>
      <c r="E444" s="16" t="s">
        <v>285</v>
      </c>
      <c r="F444" s="16" t="s">
        <v>3034</v>
      </c>
      <c r="G444" s="16" t="s">
        <v>189</v>
      </c>
      <c r="H444" s="16" t="s">
        <v>190</v>
      </c>
    </row>
    <row r="445" ht="24.75" customHeight="1">
      <c r="A445" s="32" t="str">
        <f>IMAGE("https://gymvisual.com/1642-catalog_default/3-4-sit-up.jpg",4,500,500)</f>
        <v/>
      </c>
      <c r="B445" s="30">
        <v>2444.0</v>
      </c>
      <c r="C445" s="16" t="s">
        <v>3153</v>
      </c>
      <c r="D445" s="16" t="s">
        <v>184</v>
      </c>
      <c r="E445" s="16" t="s">
        <v>234</v>
      </c>
      <c r="F445" s="16" t="s">
        <v>3034</v>
      </c>
      <c r="G445" s="16" t="s">
        <v>347</v>
      </c>
      <c r="H445" s="16" t="s">
        <v>382</v>
      </c>
    </row>
    <row r="446" ht="24.75" customHeight="1">
      <c r="A446" s="32" t="str">
        <f>IMAGE("https://gymvisual.com/19529-catalog_default/kettlebell-press-up-female.jpg",4,500,500)</f>
        <v/>
      </c>
      <c r="B446" s="30">
        <v>2445.0</v>
      </c>
      <c r="C446" s="16" t="s">
        <v>3154</v>
      </c>
      <c r="D446" s="16" t="s">
        <v>184</v>
      </c>
      <c r="E446" s="16" t="s">
        <v>234</v>
      </c>
      <c r="F446" s="16" t="s">
        <v>3034</v>
      </c>
      <c r="G446" s="16" t="s">
        <v>220</v>
      </c>
      <c r="H446" s="16" t="s">
        <v>220</v>
      </c>
    </row>
    <row r="447" ht="24.75" customHeight="1">
      <c r="A447" s="32" t="str">
        <f>IMAGE("https://gymvisual.com/16402-catalog_default/kettlebell-pullover-3-month-position.jpg",4,500,500)</f>
        <v/>
      </c>
      <c r="B447" s="30">
        <v>2446.0</v>
      </c>
      <c r="C447" s="16" t="s">
        <v>3155</v>
      </c>
      <c r="D447" s="16" t="s">
        <v>184</v>
      </c>
      <c r="E447" s="16" t="s">
        <v>192</v>
      </c>
      <c r="F447" s="16" t="s">
        <v>3034</v>
      </c>
      <c r="G447" s="16" t="s">
        <v>300</v>
      </c>
      <c r="H447" s="16" t="s">
        <v>3156</v>
      </c>
    </row>
    <row r="448" ht="24.75" customHeight="1">
      <c r="A448" s="32" t="str">
        <f>IMAGE("https://gymvisual.com/19559-catalog_default/kettlebell-rear-delt-row-female.jpg",4,500,500)</f>
        <v/>
      </c>
      <c r="B448" s="30">
        <v>2447.0</v>
      </c>
      <c r="C448" s="16" t="s">
        <v>3157</v>
      </c>
      <c r="D448" s="16" t="s">
        <v>184</v>
      </c>
      <c r="E448" s="16" t="s">
        <v>192</v>
      </c>
      <c r="F448" s="16" t="s">
        <v>3034</v>
      </c>
      <c r="G448" s="16" t="s">
        <v>220</v>
      </c>
      <c r="H448" s="16" t="s">
        <v>220</v>
      </c>
    </row>
    <row r="449" ht="24.75" customHeight="1">
      <c r="A449" s="32" t="str">
        <f>IMAGE("https://gymvisual.com/24105-catalog_default/kettlebell-rear-lunge.jpg",4,500,500)</f>
        <v/>
      </c>
      <c r="B449" s="30">
        <v>2448.0</v>
      </c>
      <c r="C449" s="16" t="s">
        <v>3158</v>
      </c>
      <c r="D449" s="16" t="s">
        <v>184</v>
      </c>
      <c r="E449" s="16" t="s">
        <v>285</v>
      </c>
      <c r="F449" s="16" t="s">
        <v>3034</v>
      </c>
      <c r="G449" s="16" t="s">
        <v>220</v>
      </c>
      <c r="H449" s="16" t="s">
        <v>220</v>
      </c>
    </row>
    <row r="450" ht="24.75" customHeight="1">
      <c r="A450" s="32" t="str">
        <f>IMAGE("https://gymvisual.com/11830-catalog_default/kettlebell-resistance-band-full-squat-from-deficit-female.jpg",4,500,500)</f>
        <v/>
      </c>
      <c r="B450" s="30">
        <v>2449.0</v>
      </c>
      <c r="C450" s="16" t="s">
        <v>3159</v>
      </c>
      <c r="D450" s="16" t="s">
        <v>184</v>
      </c>
      <c r="E450" s="16" t="s">
        <v>185</v>
      </c>
      <c r="F450" s="16" t="s">
        <v>3160</v>
      </c>
      <c r="G450" s="16" t="s">
        <v>220</v>
      </c>
      <c r="H450" s="16" t="s">
        <v>220</v>
      </c>
    </row>
    <row r="451" ht="24.75" customHeight="1">
      <c r="A451" s="32" t="str">
        <f>IMAGE("https://gymvisual.com/22406-catalog_default/kettlebell-romanian-deadlift.jpg",4,500,500)</f>
        <v/>
      </c>
      <c r="B451" s="30">
        <v>2450.0</v>
      </c>
      <c r="C451" s="16" t="s">
        <v>3161</v>
      </c>
      <c r="D451" s="16" t="s">
        <v>184</v>
      </c>
      <c r="E451" s="16" t="s">
        <v>185</v>
      </c>
      <c r="F451" s="16" t="s">
        <v>3034</v>
      </c>
      <c r="G451" s="16" t="s">
        <v>220</v>
      </c>
      <c r="H451" s="16" t="s">
        <v>220</v>
      </c>
    </row>
    <row r="452" ht="24.75" customHeight="1">
      <c r="A452" s="32" t="str">
        <f>IMAGE("https://gymvisual.com/26122-catalog_default/kettlebell-rotational-deadlift-male.jpg",4,500,500)</f>
        <v/>
      </c>
      <c r="B452" s="30">
        <v>2451.0</v>
      </c>
      <c r="C452" s="16" t="s">
        <v>3162</v>
      </c>
      <c r="D452" s="16" t="s">
        <v>184</v>
      </c>
      <c r="E452" s="16" t="s">
        <v>185</v>
      </c>
      <c r="F452" s="16" t="s">
        <v>3034</v>
      </c>
      <c r="G452" s="16" t="s">
        <v>220</v>
      </c>
      <c r="H452" s="16" t="s">
        <v>220</v>
      </c>
    </row>
    <row r="453" ht="24.75" customHeight="1">
      <c r="A453" s="32" t="str">
        <f>IMAGE("https://gymvisual.com/19455-catalog_default/kettlebell-russian-twist.jpg",4,500,500)</f>
        <v/>
      </c>
      <c r="B453" s="30">
        <v>2452.0</v>
      </c>
      <c r="C453" s="16" t="s">
        <v>3163</v>
      </c>
      <c r="D453" s="16" t="s">
        <v>184</v>
      </c>
      <c r="E453" s="16" t="s">
        <v>254</v>
      </c>
      <c r="F453" s="16" t="s">
        <v>3034</v>
      </c>
      <c r="G453" s="16" t="s">
        <v>220</v>
      </c>
      <c r="H453" s="16" t="s">
        <v>220</v>
      </c>
    </row>
    <row r="454" ht="24.75" customHeight="1">
      <c r="A454" s="32" t="str">
        <f>IMAGE("https://gymvisual.com/16406-catalog_default/kettlebell-seated-one-arm-military-press.jpg",4,500,500)</f>
        <v/>
      </c>
      <c r="B454" s="30">
        <v>2453.0</v>
      </c>
      <c r="C454" s="16" t="s">
        <v>3164</v>
      </c>
      <c r="D454" s="16" t="s">
        <v>184</v>
      </c>
      <c r="E454" s="16" t="s">
        <v>228</v>
      </c>
      <c r="F454" s="16" t="s">
        <v>3034</v>
      </c>
      <c r="G454" s="16" t="s">
        <v>229</v>
      </c>
      <c r="H454" s="16" t="s">
        <v>626</v>
      </c>
    </row>
    <row r="455" ht="24.75" customHeight="1">
      <c r="A455" s="32" t="str">
        <f>IMAGE("https://gymvisual.com/1645-catalog_default/3-4-sit-up.jpg",4,500,500)</f>
        <v/>
      </c>
      <c r="B455" s="30">
        <v>2454.0</v>
      </c>
      <c r="C455" s="16" t="s">
        <v>3165</v>
      </c>
      <c r="D455" s="16" t="s">
        <v>184</v>
      </c>
      <c r="E455" s="16" t="s">
        <v>228</v>
      </c>
      <c r="F455" s="16" t="s">
        <v>3034</v>
      </c>
      <c r="G455" s="16" t="s">
        <v>229</v>
      </c>
      <c r="H455" s="16" t="s">
        <v>626</v>
      </c>
    </row>
    <row r="456" ht="24.75" customHeight="1">
      <c r="A456" s="32" t="str">
        <f>IMAGE("https://gymvisual.com/6452-catalog_default/kettlebell-seated-two-arm-military-press.jpg",4,500,500)</f>
        <v/>
      </c>
      <c r="B456" s="30">
        <v>2455.0</v>
      </c>
      <c r="C456" s="16" t="s">
        <v>3166</v>
      </c>
      <c r="D456" s="16" t="s">
        <v>184</v>
      </c>
      <c r="E456" s="16" t="s">
        <v>228</v>
      </c>
      <c r="F456" s="16" t="s">
        <v>3034</v>
      </c>
      <c r="G456" s="16" t="s">
        <v>229</v>
      </c>
      <c r="H456" s="16" t="s">
        <v>230</v>
      </c>
    </row>
    <row r="457" ht="24.75" customHeight="1">
      <c r="A457" s="32" t="str">
        <f>IMAGE("https://gymvisual.com/1648-catalog_default/3-4-sit-up.jpg",4,500,500)</f>
        <v/>
      </c>
      <c r="B457" s="30">
        <v>2456.0</v>
      </c>
      <c r="C457" s="16" t="s">
        <v>3167</v>
      </c>
      <c r="D457" s="16" t="s">
        <v>184</v>
      </c>
      <c r="E457" s="16" t="s">
        <v>228</v>
      </c>
      <c r="F457" s="16" t="s">
        <v>3034</v>
      </c>
      <c r="G457" s="16" t="s">
        <v>229</v>
      </c>
      <c r="H457" s="16" t="s">
        <v>3168</v>
      </c>
    </row>
    <row r="458" ht="24.75" customHeight="1">
      <c r="A458" s="32" t="str">
        <f>IMAGE("https://gymvisual.com/19461-catalog_default/kettlebell-side-bend-version-2.jpg",4,500,500)</f>
        <v/>
      </c>
      <c r="B458" s="30">
        <v>2457.0</v>
      </c>
      <c r="C458" s="16" t="s">
        <v>3169</v>
      </c>
      <c r="D458" s="16" t="s">
        <v>184</v>
      </c>
      <c r="E458" s="16" t="s">
        <v>254</v>
      </c>
      <c r="F458" s="16" t="s">
        <v>3034</v>
      </c>
      <c r="G458" s="16" t="s">
        <v>220</v>
      </c>
      <c r="H458" s="16" t="s">
        <v>220</v>
      </c>
    </row>
    <row r="459" ht="24.75" customHeight="1">
      <c r="A459" s="32" t="str">
        <f>IMAGE("https://gymvisual.com/19539-catalog_default/kettlebell-side-lunge-female.jpg",4,500,500)</f>
        <v/>
      </c>
      <c r="B459" s="30">
        <v>2458.0</v>
      </c>
      <c r="C459" s="16" t="s">
        <v>3170</v>
      </c>
      <c r="D459" s="16" t="s">
        <v>184</v>
      </c>
      <c r="E459" s="16" t="s">
        <v>285</v>
      </c>
      <c r="F459" s="16" t="s">
        <v>3034</v>
      </c>
      <c r="G459" s="16" t="s">
        <v>220</v>
      </c>
      <c r="H459" s="16" t="s">
        <v>220</v>
      </c>
    </row>
    <row r="460" ht="24.75" customHeight="1">
      <c r="A460" s="32" t="str">
        <f>IMAGE("https://gymvisual.com/17897-catalog_default/kettlebell-side-lunge-male.jpg",4,500,500)</f>
        <v/>
      </c>
      <c r="B460" s="30">
        <v>2459.0</v>
      </c>
      <c r="C460" s="16" t="s">
        <v>3171</v>
      </c>
      <c r="D460" s="16" t="s">
        <v>184</v>
      </c>
      <c r="E460" s="16" t="s">
        <v>285</v>
      </c>
      <c r="F460" s="16" t="s">
        <v>3034</v>
      </c>
      <c r="G460" s="16" t="s">
        <v>220</v>
      </c>
      <c r="H460" s="16" t="s">
        <v>220</v>
      </c>
    </row>
    <row r="461" ht="24.75" customHeight="1">
      <c r="A461" s="32" t="str">
        <f>IMAGE("https://gymvisual.com/26110-catalog_default/kettlebell-side-plank-male.jpg",4,500,500)</f>
        <v/>
      </c>
      <c r="B461" s="30">
        <v>2460.0</v>
      </c>
      <c r="C461" s="16" t="s">
        <v>3172</v>
      </c>
      <c r="D461" s="16" t="s">
        <v>184</v>
      </c>
      <c r="E461" s="16" t="s">
        <v>254</v>
      </c>
      <c r="F461" s="16" t="s">
        <v>3034</v>
      </c>
      <c r="G461" s="16" t="s">
        <v>220</v>
      </c>
      <c r="H461" s="16" t="s">
        <v>220</v>
      </c>
    </row>
    <row r="462" ht="24.75" customHeight="1">
      <c r="A462" s="32" t="str">
        <f>IMAGE("https://gymvisual.com/19535-catalog_default/kettlebell-side-squat-step-female.jpg",4,500,500)</f>
        <v/>
      </c>
      <c r="B462" s="30">
        <v>2461.0</v>
      </c>
      <c r="C462" s="16" t="s">
        <v>3173</v>
      </c>
      <c r="D462" s="16" t="s">
        <v>184</v>
      </c>
      <c r="E462" s="16" t="s">
        <v>285</v>
      </c>
      <c r="F462" s="16" t="s">
        <v>3034</v>
      </c>
      <c r="G462" s="16" t="s">
        <v>220</v>
      </c>
      <c r="H462" s="16" t="s">
        <v>220</v>
      </c>
    </row>
    <row r="463" ht="24.75" customHeight="1">
      <c r="A463" s="32" t="str">
        <f>IMAGE("https://gymvisual.com/19547-catalog_default/kettlebell-single-arm-clean-female.jpg",4,500,500)</f>
        <v/>
      </c>
      <c r="B463" s="30">
        <v>2462.0</v>
      </c>
      <c r="C463" s="16" t="s">
        <v>3174</v>
      </c>
      <c r="D463" s="16" t="s">
        <v>184</v>
      </c>
      <c r="E463" s="16" t="s">
        <v>764</v>
      </c>
      <c r="F463" s="16" t="s">
        <v>3034</v>
      </c>
      <c r="G463" s="16" t="s">
        <v>220</v>
      </c>
      <c r="H463" s="16" t="s">
        <v>220</v>
      </c>
    </row>
    <row r="464" ht="24.75" customHeight="1">
      <c r="A464" s="32" t="str">
        <f>IMAGE("https://gymvisual.com/19549-catalog_default/kettlebell-single-arm-clean-and-press-female.jpg",4,500,500)</f>
        <v/>
      </c>
      <c r="B464" s="30">
        <v>2463.0</v>
      </c>
      <c r="C464" s="16" t="s">
        <v>3175</v>
      </c>
      <c r="D464" s="16" t="s">
        <v>184</v>
      </c>
      <c r="E464" s="16" t="s">
        <v>764</v>
      </c>
      <c r="F464" s="16" t="s">
        <v>3034</v>
      </c>
      <c r="G464" s="16" t="s">
        <v>220</v>
      </c>
      <c r="H464" s="16" t="s">
        <v>220</v>
      </c>
    </row>
    <row r="465" ht="24.75" customHeight="1">
      <c r="A465" s="32" t="str">
        <f>IMAGE("https://gymvisual.com/24107-catalog_default/kettlebell-single-arm-overhead-lunge.jpg",4,500,500)</f>
        <v/>
      </c>
      <c r="B465" s="30">
        <v>2464.0</v>
      </c>
      <c r="C465" s="16" t="s">
        <v>3176</v>
      </c>
      <c r="D465" s="16" t="s">
        <v>184</v>
      </c>
      <c r="E465" s="16" t="s">
        <v>285</v>
      </c>
      <c r="F465" s="16" t="s">
        <v>3034</v>
      </c>
      <c r="G465" s="16" t="s">
        <v>220</v>
      </c>
      <c r="H465" s="16" t="s">
        <v>220</v>
      </c>
    </row>
    <row r="466" ht="24.75" customHeight="1">
      <c r="A466" s="32" t="str">
        <f>IMAGE("https://gymvisual.com/19557-catalog_default/kettlebell-single-arm-sit-up-female.jpg",4,500,500)</f>
        <v/>
      </c>
      <c r="B466" s="30">
        <v>2465.0</v>
      </c>
      <c r="C466" s="16" t="s">
        <v>3177</v>
      </c>
      <c r="D466" s="16" t="s">
        <v>184</v>
      </c>
      <c r="E466" s="16" t="s">
        <v>234</v>
      </c>
      <c r="F466" s="16" t="s">
        <v>3034</v>
      </c>
      <c r="G466" s="16" t="s">
        <v>220</v>
      </c>
      <c r="H466" s="16" t="s">
        <v>220</v>
      </c>
    </row>
    <row r="467" ht="24.75" customHeight="1">
      <c r="A467" s="32" t="str">
        <f>IMAGE("https://gymvisual.com/19541-catalog_default/kettlebell-single-arm-swing-female.jpg",4,500,500)</f>
        <v/>
      </c>
      <c r="B467" s="30">
        <v>2466.0</v>
      </c>
      <c r="C467" s="16" t="s">
        <v>3178</v>
      </c>
      <c r="D467" s="16" t="s">
        <v>184</v>
      </c>
      <c r="E467" s="16" t="s">
        <v>185</v>
      </c>
      <c r="F467" s="16" t="s">
        <v>3034</v>
      </c>
      <c r="G467" s="16" t="s">
        <v>220</v>
      </c>
      <c r="H467" s="16" t="s">
        <v>220</v>
      </c>
    </row>
    <row r="468" ht="24.75" customHeight="1">
      <c r="A468" s="32" t="str">
        <f>IMAGE("https://gymvisual.com/19523-catalog_default/kettlebell-single-arm-thruster-female.jpg",4,500,500)</f>
        <v/>
      </c>
      <c r="B468" s="30">
        <v>2467.0</v>
      </c>
      <c r="C468" s="16" t="s">
        <v>3179</v>
      </c>
      <c r="D468" s="16" t="s">
        <v>184</v>
      </c>
      <c r="E468" s="16" t="s">
        <v>764</v>
      </c>
      <c r="F468" s="16" t="s">
        <v>3034</v>
      </c>
      <c r="G468" s="16" t="s">
        <v>220</v>
      </c>
      <c r="H468" s="16" t="s">
        <v>220</v>
      </c>
    </row>
    <row r="469" ht="24.75" customHeight="1">
      <c r="A469" s="32" t="str">
        <f>IMAGE("https://gymvisual.com/17947-catalog_default/kettlebell-single-front-squat-male.jpg",4,500,500)</f>
        <v/>
      </c>
      <c r="B469" s="30">
        <v>2468.0</v>
      </c>
      <c r="C469" s="16" t="s">
        <v>3180</v>
      </c>
      <c r="D469" s="16" t="s">
        <v>184</v>
      </c>
      <c r="E469" s="16" t="s">
        <v>285</v>
      </c>
      <c r="F469" s="16" t="s">
        <v>3034</v>
      </c>
      <c r="G469" s="16" t="s">
        <v>220</v>
      </c>
      <c r="H469" s="16" t="s">
        <v>220</v>
      </c>
    </row>
    <row r="470" ht="24.75" customHeight="1">
      <c r="A470" s="32" t="str">
        <f>IMAGE("https://gymvisual.com/19533-catalog_default/kettlebell-single-leg-deadlift-female.jpg",4,500,500)</f>
        <v/>
      </c>
      <c r="B470" s="30">
        <v>2469.0</v>
      </c>
      <c r="C470" s="16" t="s">
        <v>3181</v>
      </c>
      <c r="D470" s="16" t="s">
        <v>184</v>
      </c>
      <c r="E470" s="16" t="s">
        <v>185</v>
      </c>
      <c r="F470" s="16" t="s">
        <v>3034</v>
      </c>
      <c r="G470" s="16" t="s">
        <v>220</v>
      </c>
      <c r="H470" s="16" t="s">
        <v>220</v>
      </c>
    </row>
    <row r="471" ht="24.75" customHeight="1">
      <c r="A471" s="32" t="str">
        <f>IMAGE("https://gymvisual.com/14054-catalog_default/kettlebell-single-leg-glute-bridge-pullover.jpg",4,500,500)</f>
        <v/>
      </c>
      <c r="B471" s="30">
        <v>2470.0</v>
      </c>
      <c r="C471" s="16" t="s">
        <v>3182</v>
      </c>
      <c r="D471" s="16" t="s">
        <v>184</v>
      </c>
      <c r="E471" s="16" t="s">
        <v>3183</v>
      </c>
      <c r="F471" s="16" t="s">
        <v>3034</v>
      </c>
      <c r="G471" s="16" t="s">
        <v>3184</v>
      </c>
      <c r="H471" s="16" t="s">
        <v>220</v>
      </c>
    </row>
    <row r="472" ht="24.75" customHeight="1">
      <c r="A472" s="32" t="str">
        <f>IMAGE("https://gymvisual.com/17969-catalog_default/kettlebell-single-leg-step-up-male.jpg",4,500,500)</f>
        <v/>
      </c>
      <c r="B472" s="30">
        <v>2471.0</v>
      </c>
      <c r="C472" s="16" t="s">
        <v>3185</v>
      </c>
      <c r="D472" s="16" t="s">
        <v>184</v>
      </c>
      <c r="E472" s="16" t="s">
        <v>285</v>
      </c>
      <c r="F472" s="16" t="s">
        <v>3034</v>
      </c>
      <c r="G472" s="16" t="s">
        <v>220</v>
      </c>
      <c r="H472" s="16" t="s">
        <v>220</v>
      </c>
    </row>
    <row r="473" ht="24.75" customHeight="1">
      <c r="A473" s="32" t="str">
        <f>IMAGE("https://gymvisual.com/4461-catalog_default/kettlebell-sit-up.jpg",4,500,500)</f>
        <v/>
      </c>
      <c r="B473" s="30">
        <v>2472.0</v>
      </c>
      <c r="C473" s="16" t="s">
        <v>3186</v>
      </c>
      <c r="D473" s="16" t="s">
        <v>184</v>
      </c>
      <c r="E473" s="16" t="s">
        <v>254</v>
      </c>
      <c r="F473" s="16" t="s">
        <v>3034</v>
      </c>
      <c r="G473" s="16" t="s">
        <v>256</v>
      </c>
      <c r="H473" s="16" t="s">
        <v>257</v>
      </c>
    </row>
    <row r="474" ht="24.75" customHeight="1">
      <c r="A474" s="32" t="str">
        <f>IMAGE("https://gymvisual.com/19531-catalog_default/kettlebell-sit-up-female.jpg",4,500,500)</f>
        <v/>
      </c>
      <c r="B474" s="30">
        <v>2473.0</v>
      </c>
      <c r="C474" s="16" t="s">
        <v>3187</v>
      </c>
      <c r="D474" s="16" t="s">
        <v>184</v>
      </c>
      <c r="E474" s="16" t="s">
        <v>234</v>
      </c>
      <c r="F474" s="16" t="s">
        <v>3034</v>
      </c>
      <c r="G474" s="16" t="s">
        <v>220</v>
      </c>
      <c r="H474" s="16" t="s">
        <v>220</v>
      </c>
    </row>
    <row r="475" ht="24.75" customHeight="1">
      <c r="A475" s="32" t="str">
        <f>IMAGE("https://gymvisual.com/24109-catalog_default/kettlebell-sit-up-press.jpg",4,500,500)</f>
        <v/>
      </c>
      <c r="B475" s="30">
        <v>2474.0</v>
      </c>
      <c r="C475" s="16" t="s">
        <v>3188</v>
      </c>
      <c r="D475" s="16" t="s">
        <v>184</v>
      </c>
      <c r="E475" s="16" t="s">
        <v>254</v>
      </c>
      <c r="F475" s="16" t="s">
        <v>3034</v>
      </c>
      <c r="G475" s="16" t="s">
        <v>220</v>
      </c>
      <c r="H475" s="16" t="s">
        <v>220</v>
      </c>
    </row>
    <row r="476" ht="24.75" customHeight="1">
      <c r="A476" s="32" t="str">
        <f>IMAGE("https://gymvisual.com/14215-catalog_default/kettlebell-slingshot.jpg",4,500,500)</f>
        <v/>
      </c>
      <c r="B476" s="30">
        <v>2475.0</v>
      </c>
      <c r="C476" s="16" t="s">
        <v>3189</v>
      </c>
      <c r="D476" s="16" t="s">
        <v>184</v>
      </c>
      <c r="E476" s="16" t="s">
        <v>228</v>
      </c>
      <c r="F476" s="16" t="s">
        <v>3034</v>
      </c>
      <c r="G476" s="16" t="s">
        <v>333</v>
      </c>
      <c r="H476" s="16" t="s">
        <v>220</v>
      </c>
    </row>
    <row r="477" ht="24.75" customHeight="1">
      <c r="A477" s="32" t="str">
        <f>IMAGE("https://gymvisual.com/19551-catalog_default/kettlebell-snatch-female.jpg",4,500,500)</f>
        <v/>
      </c>
      <c r="B477" s="30">
        <v>2476.0</v>
      </c>
      <c r="C477" s="16" t="s">
        <v>3190</v>
      </c>
      <c r="D477" s="16" t="s">
        <v>184</v>
      </c>
      <c r="E477" s="16" t="s">
        <v>764</v>
      </c>
      <c r="F477" s="16" t="s">
        <v>3034</v>
      </c>
      <c r="G477" s="16" t="s">
        <v>220</v>
      </c>
      <c r="H477" s="16" t="s">
        <v>220</v>
      </c>
    </row>
    <row r="478" ht="24.75" customHeight="1">
      <c r="A478" s="32" t="str">
        <f>IMAGE("https://gymvisual.com/14205-catalog_default/kettlebell-sots-press.jpg",4,500,500)</f>
        <v/>
      </c>
      <c r="B478" s="30">
        <v>2477.0</v>
      </c>
      <c r="C478" s="16" t="s">
        <v>3191</v>
      </c>
      <c r="D478" s="16" t="s">
        <v>184</v>
      </c>
      <c r="E478" s="16" t="s">
        <v>691</v>
      </c>
      <c r="F478" s="16" t="s">
        <v>3034</v>
      </c>
      <c r="G478" s="16" t="s">
        <v>793</v>
      </c>
      <c r="H478" s="16" t="s">
        <v>1130</v>
      </c>
    </row>
    <row r="479" ht="24.75" customHeight="1">
      <c r="A479" s="32" t="str">
        <f>IMAGE("https://gymvisual.com/18055-catalog_default/kettlebell-split-snatch.jpg",4,500,500)</f>
        <v/>
      </c>
      <c r="B479" s="30">
        <v>2478.0</v>
      </c>
      <c r="C479" s="16" t="s">
        <v>3192</v>
      </c>
      <c r="D479" s="16" t="s">
        <v>184</v>
      </c>
      <c r="E479" s="16" t="s">
        <v>185</v>
      </c>
      <c r="F479" s="16" t="s">
        <v>3034</v>
      </c>
      <c r="G479" s="16" t="s">
        <v>220</v>
      </c>
      <c r="H479" s="16" t="s">
        <v>220</v>
      </c>
    </row>
    <row r="480" ht="24.75" customHeight="1">
      <c r="A480" s="32" t="str">
        <f>IMAGE("https://gymvisual.com/17851-catalog_default/kettlebell-split-squat.jpg",4,500,500)</f>
        <v/>
      </c>
      <c r="B480" s="30">
        <v>2479.0</v>
      </c>
      <c r="C480" s="16" t="s">
        <v>3193</v>
      </c>
      <c r="D480" s="16" t="s">
        <v>184</v>
      </c>
      <c r="E480" s="16" t="s">
        <v>285</v>
      </c>
      <c r="F480" s="16" t="s">
        <v>3034</v>
      </c>
      <c r="G480" s="16" t="s">
        <v>220</v>
      </c>
      <c r="H480" s="16" t="s">
        <v>220</v>
      </c>
    </row>
    <row r="481" ht="24.75" customHeight="1">
      <c r="A481" s="32" t="str">
        <f>IMAGE("https://gymvisual.com/16404-catalog_default/kettlebell-standing-bottoms-up-one-arm-shoulder-press.jpg",4,500,500)</f>
        <v/>
      </c>
      <c r="B481" s="30">
        <v>2480.0</v>
      </c>
      <c r="C481" s="16" t="s">
        <v>3194</v>
      </c>
      <c r="D481" s="16" t="s">
        <v>184</v>
      </c>
      <c r="E481" s="16" t="s">
        <v>228</v>
      </c>
      <c r="F481" s="16" t="s">
        <v>3034</v>
      </c>
      <c r="G481" s="16" t="s">
        <v>229</v>
      </c>
      <c r="H481" s="16" t="s">
        <v>626</v>
      </c>
    </row>
    <row r="482" ht="24.75" customHeight="1">
      <c r="A482" s="32" t="str">
        <f>IMAGE("https://gymvisual.com/26082-catalog_default/kettlebell-standing-calf-raise.jpg",4,500,500)</f>
        <v/>
      </c>
      <c r="B482" s="30">
        <v>2481.0</v>
      </c>
      <c r="C482" s="16" t="s">
        <v>3195</v>
      </c>
      <c r="D482" s="16" t="s">
        <v>184</v>
      </c>
      <c r="E482" s="16" t="s">
        <v>325</v>
      </c>
      <c r="F482" s="16" t="s">
        <v>3034</v>
      </c>
      <c r="G482" s="16" t="s">
        <v>220</v>
      </c>
      <c r="H482" s="16" t="s">
        <v>220</v>
      </c>
    </row>
    <row r="483" ht="24.75" customHeight="1">
      <c r="A483" s="32" t="str">
        <f>IMAGE("https://gymvisual.com/26100-catalog_default/kettlebell-standing-one-arm-extension.jpg",4,500,500)</f>
        <v/>
      </c>
      <c r="B483" s="30">
        <v>2482.0</v>
      </c>
      <c r="C483" s="16" t="s">
        <v>3196</v>
      </c>
      <c r="D483" s="16" t="s">
        <v>184</v>
      </c>
      <c r="E483" s="16" t="s">
        <v>219</v>
      </c>
      <c r="F483" s="16" t="s">
        <v>3034</v>
      </c>
      <c r="G483" s="16" t="s">
        <v>220</v>
      </c>
      <c r="H483" s="16" t="s">
        <v>220</v>
      </c>
    </row>
    <row r="484" ht="24.75" customHeight="1">
      <c r="A484" s="32" t="str">
        <f>IMAGE("https://gymvisual.com/19555-catalog_default/kettlebell-standing-slingshots-female.jpg",4,500,500)</f>
        <v/>
      </c>
      <c r="B484" s="30">
        <v>2483.0</v>
      </c>
      <c r="C484" s="16" t="s">
        <v>3197</v>
      </c>
      <c r="D484" s="16" t="s">
        <v>184</v>
      </c>
      <c r="E484" s="16" t="s">
        <v>228</v>
      </c>
      <c r="F484" s="16" t="s">
        <v>3034</v>
      </c>
      <c r="G484" s="16" t="s">
        <v>220</v>
      </c>
      <c r="H484" s="16" t="s">
        <v>220</v>
      </c>
    </row>
    <row r="485" ht="24.75" customHeight="1">
      <c r="A485" s="32" t="str">
        <f>IMAGE("https://gymvisual.com/19469-catalog_default/kettlebell-step-up.jpg",4,500,500)</f>
        <v/>
      </c>
      <c r="B485" s="30">
        <v>2484.0</v>
      </c>
      <c r="C485" s="16" t="s">
        <v>3198</v>
      </c>
      <c r="D485" s="16" t="s">
        <v>184</v>
      </c>
      <c r="E485" s="16" t="s">
        <v>285</v>
      </c>
      <c r="F485" s="16" t="s">
        <v>3034</v>
      </c>
      <c r="G485" s="16" t="s">
        <v>220</v>
      </c>
      <c r="H485" s="16" t="s">
        <v>220</v>
      </c>
    </row>
    <row r="486" ht="24.75" customHeight="1">
      <c r="A486" s="32" t="str">
        <f>IMAGE("https://gymvisual.com/19501-catalog_default/kettlebell-step-up-version-2.jpg",4,500,500)</f>
        <v/>
      </c>
      <c r="B486" s="30">
        <v>2485.0</v>
      </c>
      <c r="C486" s="16" t="s">
        <v>3199</v>
      </c>
      <c r="D486" s="16" t="s">
        <v>184</v>
      </c>
      <c r="E486" s="16" t="s">
        <v>285</v>
      </c>
      <c r="F486" s="16" t="s">
        <v>3034</v>
      </c>
      <c r="G486" s="16" t="s">
        <v>189</v>
      </c>
      <c r="H486" s="16" t="s">
        <v>190</v>
      </c>
    </row>
    <row r="487" ht="24.75" customHeight="1">
      <c r="A487" s="32" t="str">
        <f>IMAGE("https://gymvisual.com/16398-catalog_default/kettlebell-straight-leg-deadlift.jpg",4,500,500)</f>
        <v/>
      </c>
      <c r="B487" s="30">
        <v>2486.0</v>
      </c>
      <c r="C487" s="16" t="s">
        <v>3200</v>
      </c>
      <c r="D487" s="16" t="s">
        <v>184</v>
      </c>
      <c r="E487" s="16" t="s">
        <v>185</v>
      </c>
      <c r="F487" s="16" t="s">
        <v>3034</v>
      </c>
      <c r="G487" s="16" t="s">
        <v>267</v>
      </c>
      <c r="H487" s="16" t="s">
        <v>3201</v>
      </c>
    </row>
    <row r="488" ht="24.75" customHeight="1">
      <c r="A488" s="32" t="str">
        <f>IMAGE("https://gymvisual.com/14203-catalog_default/kettlebell-strict-press.jpg",4,500,500)</f>
        <v/>
      </c>
      <c r="B488" s="30">
        <v>2487.0</v>
      </c>
      <c r="C488" s="16" t="s">
        <v>3202</v>
      </c>
      <c r="D488" s="16" t="s">
        <v>184</v>
      </c>
      <c r="E488" s="16" t="s">
        <v>228</v>
      </c>
      <c r="F488" s="16" t="s">
        <v>3034</v>
      </c>
      <c r="G488" s="16" t="s">
        <v>229</v>
      </c>
      <c r="H488" s="16" t="s">
        <v>626</v>
      </c>
    </row>
    <row r="489" ht="24.75" customHeight="1">
      <c r="A489" s="32" t="str">
        <f>IMAGE("https://gymvisual.com/17967-catalog_default/kettlebell-suitcase-deadlift-male.jpg",4,500,500)</f>
        <v/>
      </c>
      <c r="B489" s="30">
        <v>2488.0</v>
      </c>
      <c r="C489" s="16" t="s">
        <v>3203</v>
      </c>
      <c r="D489" s="16" t="s">
        <v>184</v>
      </c>
      <c r="E489" s="16" t="s">
        <v>185</v>
      </c>
      <c r="F489" s="16" t="s">
        <v>3034</v>
      </c>
      <c r="G489" s="16" t="s">
        <v>187</v>
      </c>
      <c r="H489" s="16" t="s">
        <v>482</v>
      </c>
    </row>
    <row r="490" ht="24.75" customHeight="1">
      <c r="A490" s="32" t="str">
        <f>IMAGE("https://gymvisual.com/17825-catalog_default/kettlebell-sumo-deadlift.jpg",4,500,500)</f>
        <v/>
      </c>
      <c r="B490" s="30">
        <v>2489.0</v>
      </c>
      <c r="C490" s="16" t="s">
        <v>3204</v>
      </c>
      <c r="D490" s="16" t="s">
        <v>184</v>
      </c>
      <c r="E490" s="16" t="s">
        <v>185</v>
      </c>
      <c r="F490" s="16" t="s">
        <v>3034</v>
      </c>
      <c r="G490" s="16" t="s">
        <v>220</v>
      </c>
      <c r="H490" s="16" t="s">
        <v>220</v>
      </c>
    </row>
    <row r="491" ht="24.75" customHeight="1">
      <c r="A491" s="32" t="str">
        <f>IMAGE("https://gymvisual.com/17965-catalog_default/kettlebell-sumo-deadlift-with-high-pull-male.jpg",4,500,500)</f>
        <v/>
      </c>
      <c r="B491" s="30">
        <v>2490.0</v>
      </c>
      <c r="C491" s="16" t="s">
        <v>3205</v>
      </c>
      <c r="D491" s="16" t="s">
        <v>184</v>
      </c>
      <c r="E491" s="16" t="s">
        <v>185</v>
      </c>
      <c r="F491" s="16" t="s">
        <v>3034</v>
      </c>
      <c r="G491" s="16" t="s">
        <v>189</v>
      </c>
      <c r="H491" s="16" t="s">
        <v>1121</v>
      </c>
    </row>
    <row r="492" ht="24.75" customHeight="1">
      <c r="A492" s="32" t="str">
        <f>IMAGE("https://gymvisual.com/1651-catalog_default/3-4-sit-up.jpg",4,500,500)</f>
        <v/>
      </c>
      <c r="B492" s="30">
        <v>2491.0</v>
      </c>
      <c r="C492" s="16" t="s">
        <v>3206</v>
      </c>
      <c r="D492" s="16" t="s">
        <v>184</v>
      </c>
      <c r="E492" s="16" t="s">
        <v>192</v>
      </c>
      <c r="F492" s="16" t="s">
        <v>3034</v>
      </c>
      <c r="G492" s="16" t="s">
        <v>3207</v>
      </c>
      <c r="H492" s="16" t="s">
        <v>220</v>
      </c>
    </row>
    <row r="493" ht="24.75" customHeight="1">
      <c r="A493" s="32" t="str">
        <f>IMAGE("https://gymvisual.com/17879-catalog_default/kettlebell-sumo-squat-male.jpg",4,500,500)</f>
        <v/>
      </c>
      <c r="B493" s="30">
        <v>2492.0</v>
      </c>
      <c r="C493" s="16" t="s">
        <v>3208</v>
      </c>
      <c r="D493" s="16" t="s">
        <v>184</v>
      </c>
      <c r="E493" s="16" t="s">
        <v>185</v>
      </c>
      <c r="F493" s="16" t="s">
        <v>3034</v>
      </c>
      <c r="G493" s="16" t="s">
        <v>220</v>
      </c>
      <c r="H493" s="16" t="s">
        <v>220</v>
      </c>
    </row>
    <row r="494" ht="24.75" customHeight="1">
      <c r="A494" s="32" t="str">
        <f>IMAGE("https://gymvisual.com/24111-catalog_default/kettlebell-sumo-squat-version-2.jpg",4,500,500)</f>
        <v/>
      </c>
      <c r="B494" s="30">
        <v>2493.0</v>
      </c>
      <c r="C494" s="16" t="s">
        <v>3209</v>
      </c>
      <c r="D494" s="16" t="s">
        <v>184</v>
      </c>
      <c r="E494" s="16" t="s">
        <v>185</v>
      </c>
      <c r="F494" s="16" t="s">
        <v>3034</v>
      </c>
      <c r="G494" s="16" t="s">
        <v>220</v>
      </c>
      <c r="H494" s="16" t="s">
        <v>220</v>
      </c>
    </row>
    <row r="495" ht="24.75" customHeight="1">
      <c r="A495" s="32" t="str">
        <f>IMAGE("https://gymvisual.com/1654-catalog_default/3-4-sit-up.jpg",4,500,500)</f>
        <v/>
      </c>
      <c r="B495" s="30">
        <v>2494.0</v>
      </c>
      <c r="C495" s="16" t="s">
        <v>3210</v>
      </c>
      <c r="D495" s="16" t="s">
        <v>184</v>
      </c>
      <c r="E495" s="16" t="s">
        <v>285</v>
      </c>
      <c r="F495" s="16" t="s">
        <v>3034</v>
      </c>
      <c r="G495" s="16" t="s">
        <v>2060</v>
      </c>
      <c r="H495" s="16" t="s">
        <v>2061</v>
      </c>
    </row>
    <row r="496" ht="24.75" customHeight="1">
      <c r="A496" s="32" t="str">
        <f>IMAGE("https://gymvisual.com/11170-catalog_default/kettlebell-swing-female.jpg",4,500,500)</f>
        <v/>
      </c>
      <c r="B496" s="30">
        <v>2495.0</v>
      </c>
      <c r="C496" s="16" t="s">
        <v>3211</v>
      </c>
      <c r="D496" s="16" t="s">
        <v>184</v>
      </c>
      <c r="E496" s="16" t="s">
        <v>691</v>
      </c>
      <c r="F496" s="16" t="s">
        <v>3034</v>
      </c>
      <c r="G496" s="16" t="s">
        <v>2060</v>
      </c>
      <c r="H496" s="16" t="s">
        <v>2061</v>
      </c>
    </row>
    <row r="497" ht="24.75" customHeight="1">
      <c r="A497" s="32" t="str">
        <f>IMAGE("https://gymvisual.com/23062-catalog_default/kettlebell-swing-clean-grip-front-squat-overhead-press.jpg",4,500,500)</f>
        <v/>
      </c>
      <c r="B497" s="30">
        <v>2496.0</v>
      </c>
      <c r="C497" s="16" t="s">
        <v>3212</v>
      </c>
      <c r="D497" s="16" t="s">
        <v>184</v>
      </c>
      <c r="E497" s="16" t="s">
        <v>185</v>
      </c>
      <c r="F497" s="16" t="s">
        <v>3034</v>
      </c>
      <c r="G497" s="16" t="s">
        <v>220</v>
      </c>
      <c r="H497" s="16" t="s">
        <v>220</v>
      </c>
    </row>
    <row r="498" ht="24.75" customHeight="1">
      <c r="A498" s="32" t="str">
        <f>IMAGE("https://gymvisual.com/1657-catalog_default/3-4-sit-up.jpg",4,500,500)</f>
        <v/>
      </c>
      <c r="B498" s="30">
        <v>2497.0</v>
      </c>
      <c r="C498" s="16" t="s">
        <v>3213</v>
      </c>
      <c r="D498" s="16" t="s">
        <v>184</v>
      </c>
      <c r="E498" s="16" t="s">
        <v>228</v>
      </c>
      <c r="F498" s="16" t="s">
        <v>3034</v>
      </c>
      <c r="G498" s="16" t="s">
        <v>3214</v>
      </c>
      <c r="H498" s="16" t="s">
        <v>220</v>
      </c>
    </row>
    <row r="499" ht="24.75" customHeight="1">
      <c r="A499" s="32" t="str">
        <f>IMAGE("https://gymvisual.com/19521-catalog_default/kettlebell-thruster-female.jpg",4,500,500)</f>
        <v/>
      </c>
      <c r="B499" s="30">
        <v>2498.0</v>
      </c>
      <c r="C499" s="16" t="s">
        <v>3215</v>
      </c>
      <c r="D499" s="16" t="s">
        <v>184</v>
      </c>
      <c r="E499" s="16" t="s">
        <v>764</v>
      </c>
      <c r="F499" s="16" t="s">
        <v>3034</v>
      </c>
      <c r="G499" s="16" t="s">
        <v>220</v>
      </c>
      <c r="H499" s="16" t="s">
        <v>220</v>
      </c>
    </row>
    <row r="500" ht="24.75" customHeight="1">
      <c r="A500" s="32" t="str">
        <f>IMAGE("https://gymvisual.com/13261-catalog_default/3-4-sit-up.jpg",4,500,500)</f>
        <v/>
      </c>
      <c r="B500" s="30">
        <v>2499.0</v>
      </c>
      <c r="C500" s="16" t="s">
        <v>3216</v>
      </c>
      <c r="D500" s="16" t="s">
        <v>184</v>
      </c>
      <c r="E500" s="16" t="s">
        <v>285</v>
      </c>
      <c r="F500" s="16" t="s">
        <v>3034</v>
      </c>
      <c r="G500" s="16" t="s">
        <v>3217</v>
      </c>
      <c r="H500" s="16" t="s">
        <v>220</v>
      </c>
    </row>
    <row r="501" ht="24.75" customHeight="1">
      <c r="A501" s="32" t="str">
        <f>IMAGE("https://gymvisual.com/17847-catalog_default/kettlebell-turkish-get-up-to-hand.jpg",4,500,500)</f>
        <v/>
      </c>
      <c r="B501" s="30">
        <v>2500.0</v>
      </c>
      <c r="C501" s="16" t="s">
        <v>3218</v>
      </c>
      <c r="D501" s="16" t="s">
        <v>184</v>
      </c>
      <c r="E501" s="16" t="s">
        <v>285</v>
      </c>
      <c r="F501" s="16" t="s">
        <v>3034</v>
      </c>
      <c r="G501" s="16" t="s">
        <v>220</v>
      </c>
      <c r="H501" s="16" t="s">
        <v>220</v>
      </c>
    </row>
    <row r="502" ht="24.75" customHeight="1">
      <c r="A502" s="32" t="str">
        <f>IMAGE("https://gymvisual.com/1662-catalog_default/3-4-sit-up.jpg",4,500,500)</f>
        <v/>
      </c>
      <c r="B502" s="30">
        <v>2501.0</v>
      </c>
      <c r="C502" s="16" t="s">
        <v>3219</v>
      </c>
      <c r="D502" s="16" t="s">
        <v>184</v>
      </c>
      <c r="E502" s="16" t="s">
        <v>228</v>
      </c>
      <c r="F502" s="16" t="s">
        <v>3034</v>
      </c>
      <c r="G502" s="16" t="s">
        <v>220</v>
      </c>
      <c r="H502" s="16" t="s">
        <v>220</v>
      </c>
    </row>
    <row r="503" ht="24.75" customHeight="1">
      <c r="A503" s="32" t="str">
        <f>IMAGE("https://gymvisual.com/1665-catalog_default/3-4-sit-up.jpg",4,500,500)</f>
        <v/>
      </c>
      <c r="B503" s="30">
        <v>2502.0</v>
      </c>
      <c r="C503" s="16" t="s">
        <v>3220</v>
      </c>
      <c r="D503" s="16" t="s">
        <v>184</v>
      </c>
      <c r="E503" s="16" t="s">
        <v>228</v>
      </c>
      <c r="F503" s="16" t="s">
        <v>3034</v>
      </c>
      <c r="G503" s="16" t="s">
        <v>229</v>
      </c>
      <c r="H503" s="16" t="s">
        <v>230</v>
      </c>
    </row>
    <row r="504" ht="24.75" customHeight="1">
      <c r="A504" s="32" t="str">
        <f>IMAGE("https://gymvisual.com/14181-catalog_default/kettlebell-two-arm-row.jpg",4,500,500)</f>
        <v/>
      </c>
      <c r="B504" s="30">
        <v>2503.0</v>
      </c>
      <c r="C504" s="16" t="s">
        <v>3221</v>
      </c>
      <c r="D504" s="16" t="s">
        <v>184</v>
      </c>
      <c r="E504" s="16" t="s">
        <v>192</v>
      </c>
      <c r="F504" s="16" t="s">
        <v>3034</v>
      </c>
      <c r="G504" s="16" t="s">
        <v>329</v>
      </c>
      <c r="H504" s="16" t="s">
        <v>457</v>
      </c>
    </row>
    <row r="505" ht="24.75" customHeight="1">
      <c r="A505" s="32" t="str">
        <f>IMAGE("https://gymvisual.com/19485-catalog_default/kettlebell-upright-row.jpg",4,500,500)</f>
        <v/>
      </c>
      <c r="B505" s="30">
        <v>2504.0</v>
      </c>
      <c r="C505" s="16" t="s">
        <v>3222</v>
      </c>
      <c r="D505" s="16" t="s">
        <v>184</v>
      </c>
      <c r="E505" s="16" t="s">
        <v>228</v>
      </c>
      <c r="F505" s="16" t="s">
        <v>3034</v>
      </c>
      <c r="G505" s="16" t="s">
        <v>544</v>
      </c>
      <c r="H505" s="16" t="s">
        <v>713</v>
      </c>
    </row>
    <row r="506" ht="24.75" customHeight="1">
      <c r="A506" s="32" t="str">
        <f>IMAGE("https://gymvisual.com/1668-catalog_default/3-4-sit-up.jpg",4,500,500)</f>
        <v/>
      </c>
      <c r="B506" s="30">
        <v>2505.0</v>
      </c>
      <c r="C506" s="16" t="s">
        <v>3223</v>
      </c>
      <c r="D506" s="16" t="s">
        <v>184</v>
      </c>
      <c r="E506" s="16" t="s">
        <v>254</v>
      </c>
      <c r="F506" s="16" t="s">
        <v>3034</v>
      </c>
      <c r="G506" s="16" t="s">
        <v>424</v>
      </c>
      <c r="H506" s="16" t="s">
        <v>476</v>
      </c>
    </row>
    <row r="507" ht="24.75" customHeight="1">
      <c r="A507" s="32" t="str">
        <f>IMAGE("https://gymvisual.com/19525-catalog_default/kettlebell-windmill-female.jpg",4,500,500)</f>
        <v/>
      </c>
      <c r="B507" s="30">
        <v>2506.0</v>
      </c>
      <c r="C507" s="16" t="s">
        <v>3224</v>
      </c>
      <c r="D507" s="16" t="s">
        <v>184</v>
      </c>
      <c r="E507" s="16" t="s">
        <v>254</v>
      </c>
      <c r="F507" s="16" t="s">
        <v>3034</v>
      </c>
      <c r="G507" s="16" t="s">
        <v>220</v>
      </c>
      <c r="H507" s="16" t="s">
        <v>220</v>
      </c>
    </row>
    <row r="508" ht="24.75" customHeight="1">
      <c r="A508" s="32" t="str">
        <f>IMAGE("https://gymvisual.com/26098-catalog_default/kettlebell-wrist-curl.jpg",4,500,500)</f>
        <v/>
      </c>
      <c r="B508" s="30">
        <v>2507.0</v>
      </c>
      <c r="C508" s="16" t="s">
        <v>3225</v>
      </c>
      <c r="D508" s="16" t="s">
        <v>184</v>
      </c>
      <c r="E508" s="16" t="s">
        <v>214</v>
      </c>
      <c r="F508" s="16" t="s">
        <v>3034</v>
      </c>
      <c r="G508" s="16" t="s">
        <v>220</v>
      </c>
      <c r="H508" s="16" t="s">
        <v>220</v>
      </c>
    </row>
    <row r="509" ht="24.75" customHeight="1">
      <c r="A509" s="32" t="str">
        <f>IMAGE("https://gymvisual.com/19475-catalog_default/kettlebells-sumo-deadlift.jpg",4,500,500)</f>
        <v/>
      </c>
      <c r="B509" s="30">
        <v>2508.0</v>
      </c>
      <c r="C509" s="16" t="s">
        <v>3226</v>
      </c>
      <c r="D509" s="16" t="s">
        <v>184</v>
      </c>
      <c r="E509" s="16" t="s">
        <v>185</v>
      </c>
      <c r="F509" s="16" t="s">
        <v>3034</v>
      </c>
      <c r="G509" s="16" t="s">
        <v>220</v>
      </c>
      <c r="H509" s="16" t="s">
        <v>220</v>
      </c>
    </row>
    <row r="510" ht="24.75" customHeight="1">
      <c r="A510" s="32" t="str">
        <f>IMAGE("https://gymvisual.com/1671-catalog_default/3-4-sit-up.jpg",4,500,500)</f>
        <v/>
      </c>
      <c r="B510" s="30">
        <v>2509.0</v>
      </c>
      <c r="C510" s="16" t="s">
        <v>3227</v>
      </c>
      <c r="D510" s="16" t="s">
        <v>184</v>
      </c>
      <c r="E510" s="16" t="s">
        <v>285</v>
      </c>
      <c r="F510" s="16" t="s">
        <v>255</v>
      </c>
      <c r="G510" s="16" t="s">
        <v>854</v>
      </c>
      <c r="H510" s="16" t="s">
        <v>190</v>
      </c>
    </row>
    <row r="511" ht="24.75" customHeight="1">
      <c r="A511" s="32" t="str">
        <f>IMAGE("https://gymvisual.com/1676-catalog_default/3-4-sit-up.jpg",4,500,500)</f>
        <v/>
      </c>
      <c r="B511" s="30">
        <v>2510.0</v>
      </c>
      <c r="C511" s="16" t="s">
        <v>3228</v>
      </c>
      <c r="D511" s="16" t="s">
        <v>184</v>
      </c>
      <c r="E511" s="16" t="s">
        <v>185</v>
      </c>
      <c r="F511" s="16" t="s">
        <v>255</v>
      </c>
      <c r="G511" s="16" t="s">
        <v>187</v>
      </c>
      <c r="H511" s="16" t="s">
        <v>3229</v>
      </c>
    </row>
    <row r="512" ht="24.75" customHeight="1">
      <c r="A512" s="32" t="str">
        <f>IMAGE("https://gymvisual.com/1673-catalog_default/3-4-sit-up.jpg",4,500,500)</f>
        <v/>
      </c>
      <c r="B512" s="30">
        <v>2511.0</v>
      </c>
      <c r="C512" s="16" t="s">
        <v>3230</v>
      </c>
      <c r="D512" s="16" t="s">
        <v>184</v>
      </c>
      <c r="E512" s="16" t="s">
        <v>185</v>
      </c>
      <c r="F512" s="16" t="s">
        <v>255</v>
      </c>
      <c r="G512" s="16" t="s">
        <v>187</v>
      </c>
      <c r="H512" s="16" t="s">
        <v>3229</v>
      </c>
    </row>
    <row r="513" ht="24.75" customHeight="1">
      <c r="A513" s="32" t="str">
        <f>IMAGE("https://gymvisual.com/24330-catalog_default/kipping-handstand-push-up.jpg",4,500,500)</f>
        <v/>
      </c>
      <c r="B513" s="30">
        <v>2512.0</v>
      </c>
      <c r="C513" s="16" t="s">
        <v>3231</v>
      </c>
      <c r="D513" s="16" t="s">
        <v>184</v>
      </c>
      <c r="E513" s="16" t="s">
        <v>228</v>
      </c>
      <c r="F513" s="16" t="s">
        <v>255</v>
      </c>
      <c r="G513" s="16" t="s">
        <v>220</v>
      </c>
      <c r="H513" s="16" t="s">
        <v>220</v>
      </c>
    </row>
    <row r="514" ht="24.75" customHeight="1">
      <c r="A514" s="32" t="str">
        <f>IMAGE("https://gymvisual.com/1679-catalog_default/3-4-sit-up.jpg",4,500,500)</f>
        <v/>
      </c>
      <c r="B514" s="30">
        <v>2513.0</v>
      </c>
      <c r="C514" s="16" t="s">
        <v>3232</v>
      </c>
      <c r="D514" s="16" t="s">
        <v>184</v>
      </c>
      <c r="E514" s="16" t="s">
        <v>192</v>
      </c>
      <c r="F514" s="16" t="s">
        <v>255</v>
      </c>
      <c r="G514" s="16" t="s">
        <v>1230</v>
      </c>
      <c r="H514" s="16" t="s">
        <v>3233</v>
      </c>
    </row>
    <row r="515" ht="24.75" customHeight="1">
      <c r="A515" s="32" t="str">
        <f>IMAGE("https://gymvisual.com/18802-catalog_default/knee-raise-male.jpg",4,500,500)</f>
        <v/>
      </c>
      <c r="B515" s="30">
        <v>2514.0</v>
      </c>
      <c r="C515" s="16" t="s">
        <v>3234</v>
      </c>
      <c r="D515" s="16" t="s">
        <v>184</v>
      </c>
      <c r="E515" s="16" t="s">
        <v>285</v>
      </c>
      <c r="F515" s="16" t="s">
        <v>255</v>
      </c>
      <c r="G515" s="16" t="s">
        <v>189</v>
      </c>
      <c r="H515" s="16" t="s">
        <v>220</v>
      </c>
    </row>
    <row r="516" ht="24.75" customHeight="1">
      <c r="A516" s="32" t="str">
        <f>IMAGE("https://gymvisual.com/14370-catalog_default/knee-touch-crunch.jpg",4,500,500)</f>
        <v/>
      </c>
      <c r="B516" s="30">
        <v>2515.0</v>
      </c>
      <c r="C516" s="16" t="s">
        <v>3235</v>
      </c>
      <c r="D516" s="16" t="s">
        <v>184</v>
      </c>
      <c r="E516" s="16" t="s">
        <v>254</v>
      </c>
      <c r="F516" s="16" t="s">
        <v>255</v>
      </c>
      <c r="G516" s="16" t="s">
        <v>256</v>
      </c>
      <c r="H516" s="16" t="s">
        <v>257</v>
      </c>
    </row>
    <row r="517" ht="24.75" customHeight="1">
      <c r="A517" s="32" t="str">
        <f>IMAGE("https://gymvisual.com/22141-catalog_default/knee-touch-crunch-female.jpg",4,500,500)</f>
        <v/>
      </c>
      <c r="B517" s="30">
        <v>2516.0</v>
      </c>
      <c r="C517" s="16" t="s">
        <v>3236</v>
      </c>
      <c r="D517" s="16" t="s">
        <v>184</v>
      </c>
      <c r="E517" s="16" t="s">
        <v>254</v>
      </c>
      <c r="F517" s="16" t="s">
        <v>255</v>
      </c>
      <c r="G517" s="16" t="s">
        <v>220</v>
      </c>
      <c r="H517" s="16" t="s">
        <v>220</v>
      </c>
    </row>
    <row r="518" ht="24.75" customHeight="1">
      <c r="A518" s="32" t="str">
        <f>IMAGE("https://gymvisual.com/24057-catalog_default/knee-tuck-oblique-crunch.jpg",4,500,500)</f>
        <v/>
      </c>
      <c r="B518" s="30">
        <v>2517.0</v>
      </c>
      <c r="C518" s="16" t="s">
        <v>3237</v>
      </c>
      <c r="D518" s="16" t="s">
        <v>184</v>
      </c>
      <c r="E518" s="16" t="s">
        <v>254</v>
      </c>
      <c r="F518" s="16" t="s">
        <v>255</v>
      </c>
      <c r="G518" s="16" t="s">
        <v>220</v>
      </c>
      <c r="H518" s="16" t="s">
        <v>220</v>
      </c>
    </row>
    <row r="519" ht="24.75" customHeight="1">
      <c r="A519" s="32" t="str">
        <f>IMAGE("https://gymvisual.com/20479-catalog_default/kneeling-abdominal-draw-in.jpg",4,500,500)</f>
        <v/>
      </c>
      <c r="B519" s="30">
        <v>2518.0</v>
      </c>
      <c r="C519" s="16" t="s">
        <v>3238</v>
      </c>
      <c r="D519" s="16" t="s">
        <v>184</v>
      </c>
      <c r="E519" s="16" t="s">
        <v>254</v>
      </c>
      <c r="F519" s="16" t="s">
        <v>255</v>
      </c>
      <c r="G519" s="16" t="s">
        <v>256</v>
      </c>
      <c r="H519" s="16" t="s">
        <v>220</v>
      </c>
    </row>
    <row r="520" ht="24.75" customHeight="1">
      <c r="A520" s="32" t="str">
        <f>IMAGE("https://gymvisual.com/20730-catalog_default/kneeling-assisted-sliding-chin-up.jpg",4,500,500)</f>
        <v/>
      </c>
      <c r="B520" s="30">
        <v>2519.0</v>
      </c>
      <c r="C520" s="16" t="s">
        <v>3239</v>
      </c>
      <c r="D520" s="16" t="s">
        <v>184</v>
      </c>
      <c r="E520" s="16" t="s">
        <v>192</v>
      </c>
      <c r="F520" s="16" t="s">
        <v>255</v>
      </c>
      <c r="G520" s="16" t="s">
        <v>329</v>
      </c>
      <c r="H520" s="16" t="s">
        <v>3240</v>
      </c>
    </row>
    <row r="521" ht="24.75" customHeight="1">
      <c r="A521" s="32" t="str">
        <f>IMAGE("https://gymvisual.com/12194-catalog_default/kneeling-battling-ropes.jpg",4,500,500)</f>
        <v/>
      </c>
      <c r="B521" s="30">
        <v>2520.0</v>
      </c>
      <c r="C521" s="16" t="s">
        <v>3241</v>
      </c>
      <c r="D521" s="16" t="s">
        <v>184</v>
      </c>
      <c r="E521" s="16" t="s">
        <v>321</v>
      </c>
      <c r="F521" s="16" t="s">
        <v>1160</v>
      </c>
      <c r="G521" s="16" t="s">
        <v>220</v>
      </c>
      <c r="H521" s="16" t="s">
        <v>220</v>
      </c>
    </row>
    <row r="522" ht="24.75" customHeight="1">
      <c r="A522" s="32" t="str">
        <f>IMAGE("https://gymvisual.com/13994-catalog_default/kneeling-cobra-push-up.jpg",4,500,500)</f>
        <v/>
      </c>
      <c r="B522" s="30">
        <v>2521.0</v>
      </c>
      <c r="C522" s="16" t="s">
        <v>3242</v>
      </c>
      <c r="D522" s="16" t="s">
        <v>184</v>
      </c>
      <c r="E522" s="16" t="s">
        <v>1798</v>
      </c>
      <c r="F522" s="16" t="s">
        <v>255</v>
      </c>
      <c r="G522" s="16" t="s">
        <v>1799</v>
      </c>
      <c r="H522" s="16" t="s">
        <v>382</v>
      </c>
    </row>
    <row r="523" ht="24.75" customHeight="1">
      <c r="A523" s="32" t="str">
        <f>IMAGE("https://gymvisual.com/24673-catalog_default/kneeling-forward-hip-circles.jpg",4,500,500)</f>
        <v/>
      </c>
      <c r="B523" s="30">
        <v>2522.0</v>
      </c>
      <c r="C523" s="16" t="s">
        <v>3243</v>
      </c>
      <c r="D523" s="16" t="s">
        <v>184</v>
      </c>
      <c r="E523" s="16" t="s">
        <v>185</v>
      </c>
      <c r="F523" s="16" t="s">
        <v>255</v>
      </c>
      <c r="G523" s="16" t="s">
        <v>220</v>
      </c>
      <c r="H523" s="16" t="s">
        <v>220</v>
      </c>
    </row>
    <row r="524" ht="24.75" customHeight="1">
      <c r="A524" s="32" t="str">
        <f>IMAGE("https://gymvisual.com/22434-catalog_default/kneeling-half-triceps-extension.jpg",4,500,500)</f>
        <v/>
      </c>
      <c r="B524" s="30">
        <v>2523.0</v>
      </c>
      <c r="C524" s="16" t="s">
        <v>3244</v>
      </c>
      <c r="D524" s="16" t="s">
        <v>184</v>
      </c>
      <c r="E524" s="16" t="s">
        <v>219</v>
      </c>
      <c r="F524" s="16" t="s">
        <v>255</v>
      </c>
      <c r="G524" s="16" t="s">
        <v>220</v>
      </c>
      <c r="H524" s="16" t="s">
        <v>220</v>
      </c>
    </row>
    <row r="525" ht="24.75" customHeight="1">
      <c r="A525" s="32" t="str">
        <f>IMAGE("https://gymvisual.com/1685-catalog_default/3-4-sit-up.jpg",4,500,500)</f>
        <v/>
      </c>
      <c r="B525" s="30">
        <v>2524.0</v>
      </c>
      <c r="C525" s="16" t="s">
        <v>3245</v>
      </c>
      <c r="D525" s="16" t="s">
        <v>184</v>
      </c>
      <c r="E525" s="16" t="s">
        <v>285</v>
      </c>
      <c r="F525" s="16" t="s">
        <v>255</v>
      </c>
      <c r="G525" s="16" t="s">
        <v>189</v>
      </c>
      <c r="H525" s="16" t="s">
        <v>220</v>
      </c>
    </row>
    <row r="526" ht="24.75" customHeight="1">
      <c r="A526" s="32" t="str">
        <f>IMAGE("https://gymvisual.com/22785-catalog_default/kneeling-hip-thrust-female.jpg",4,500,500)</f>
        <v/>
      </c>
      <c r="B526" s="30">
        <v>2525.0</v>
      </c>
      <c r="C526" s="16" t="s">
        <v>3246</v>
      </c>
      <c r="D526" s="16" t="s">
        <v>184</v>
      </c>
      <c r="E526" s="16" t="s">
        <v>185</v>
      </c>
      <c r="F526" s="16" t="s">
        <v>255</v>
      </c>
      <c r="G526" s="16" t="s">
        <v>187</v>
      </c>
      <c r="H526" s="16" t="s">
        <v>854</v>
      </c>
    </row>
    <row r="527" ht="24.75" customHeight="1">
      <c r="A527" s="32" t="str">
        <f>IMAGE("https://gymvisual.com/22797-catalog_default/kneeling-leg-half-circle-female.jpg",4,500,500)</f>
        <v/>
      </c>
      <c r="B527" s="30">
        <v>2526.0</v>
      </c>
      <c r="C527" s="16" t="s">
        <v>3247</v>
      </c>
      <c r="D527" s="16" t="s">
        <v>184</v>
      </c>
      <c r="E527" s="16" t="s">
        <v>185</v>
      </c>
      <c r="F527" s="16" t="s">
        <v>255</v>
      </c>
      <c r="G527" s="16" t="s">
        <v>3248</v>
      </c>
      <c r="H527" s="16" t="s">
        <v>1323</v>
      </c>
    </row>
    <row r="528" ht="24.75" customHeight="1">
      <c r="A528" s="32" t="str">
        <f>IMAGE("https://gymvisual.com/23661-catalog_default/kneeling-leg-half-circle-male.jpg",4,500,500)</f>
        <v/>
      </c>
      <c r="B528" s="30">
        <v>2527.0</v>
      </c>
      <c r="C528" s="16" t="s">
        <v>3249</v>
      </c>
      <c r="D528" s="16" t="s">
        <v>184</v>
      </c>
      <c r="E528" s="16" t="s">
        <v>185</v>
      </c>
      <c r="F528" s="16" t="s">
        <v>255</v>
      </c>
      <c r="G528" s="16" t="s">
        <v>3248</v>
      </c>
      <c r="H528" s="16" t="s">
        <v>1323</v>
      </c>
    </row>
    <row r="529" ht="24.75" customHeight="1">
      <c r="A529" s="32" t="str">
        <f>IMAGE("https://gymvisual.com/22518-catalog_default/kneeling-modified-hindu-push-up-male.jpg",4,500,500)</f>
        <v/>
      </c>
      <c r="B529" s="30">
        <v>2528.0</v>
      </c>
      <c r="C529" s="16" t="s">
        <v>3250</v>
      </c>
      <c r="D529" s="16" t="s">
        <v>184</v>
      </c>
      <c r="E529" s="16" t="s">
        <v>254</v>
      </c>
      <c r="F529" s="16" t="s">
        <v>255</v>
      </c>
      <c r="G529" s="16" t="s">
        <v>220</v>
      </c>
      <c r="H529" s="16" t="s">
        <v>220</v>
      </c>
    </row>
    <row r="530" ht="24.75" customHeight="1">
      <c r="A530" s="32" t="str">
        <f>IMAGE("https://gymvisual.com/22831-catalog_default/kneeling-plank-female.jpg",4,500,500)</f>
        <v/>
      </c>
      <c r="B530" s="30">
        <v>2529.0</v>
      </c>
      <c r="C530" s="16" t="s">
        <v>3251</v>
      </c>
      <c r="D530" s="16" t="s">
        <v>184</v>
      </c>
      <c r="E530" s="16" t="s">
        <v>254</v>
      </c>
      <c r="F530" s="16" t="s">
        <v>255</v>
      </c>
      <c r="G530" s="16" t="s">
        <v>305</v>
      </c>
      <c r="H530" s="16" t="s">
        <v>3252</v>
      </c>
    </row>
    <row r="531" ht="24.75" customHeight="1">
      <c r="A531" s="32" t="str">
        <f>IMAGE("https://gymvisual.com/13501-catalog_default/kneeling-plank-male.jpg",4,500,500)</f>
        <v/>
      </c>
      <c r="B531" s="30">
        <v>2530.0</v>
      </c>
      <c r="C531" s="16" t="s">
        <v>3253</v>
      </c>
      <c r="D531" s="16" t="s">
        <v>184</v>
      </c>
      <c r="E531" s="16" t="s">
        <v>254</v>
      </c>
      <c r="F531" s="16" t="s">
        <v>255</v>
      </c>
      <c r="G531" s="16" t="s">
        <v>256</v>
      </c>
      <c r="H531" s="16" t="s">
        <v>3254</v>
      </c>
    </row>
    <row r="532" ht="24.75" customHeight="1">
      <c r="A532" s="32" t="str">
        <f>IMAGE("https://gymvisual.com/13503-catalog_default/kneeling-plank-tap-shoulder-male.jpg",4,500,500)</f>
        <v/>
      </c>
      <c r="B532" s="30">
        <v>2531.0</v>
      </c>
      <c r="C532" s="16" t="s">
        <v>3255</v>
      </c>
      <c r="D532" s="16" t="s">
        <v>184</v>
      </c>
      <c r="E532" s="16" t="s">
        <v>254</v>
      </c>
      <c r="F532" s="16" t="s">
        <v>255</v>
      </c>
      <c r="G532" s="16" t="s">
        <v>220</v>
      </c>
      <c r="H532" s="16" t="s">
        <v>220</v>
      </c>
    </row>
    <row r="533" ht="24.75" customHeight="1">
      <c r="A533" s="32" t="str">
        <f>IMAGE("https://gymvisual.com/23633-catalog_default/kneeling-pulse.jpg",4,500,500)</f>
        <v/>
      </c>
      <c r="B533" s="30">
        <v>2532.0</v>
      </c>
      <c r="C533" s="16" t="s">
        <v>3256</v>
      </c>
      <c r="D533" s="16" t="s">
        <v>184</v>
      </c>
      <c r="E533" s="16" t="s">
        <v>185</v>
      </c>
      <c r="F533" s="16" t="s">
        <v>255</v>
      </c>
      <c r="G533" s="16" t="s">
        <v>267</v>
      </c>
      <c r="H533" s="16" t="s">
        <v>188</v>
      </c>
    </row>
    <row r="534" ht="24.75" customHeight="1">
      <c r="A534" s="32" t="str">
        <f>IMAGE("https://gymvisual.com/23937-catalog_default/kneeling-pulse-male.jpg",4,500,500)</f>
        <v/>
      </c>
      <c r="B534" s="30">
        <v>2533.0</v>
      </c>
      <c r="C534" s="16" t="s">
        <v>3257</v>
      </c>
      <c r="D534" s="16" t="s">
        <v>184</v>
      </c>
      <c r="E534" s="16" t="s">
        <v>185</v>
      </c>
      <c r="F534" s="16" t="s">
        <v>255</v>
      </c>
      <c r="G534" s="16" t="s">
        <v>267</v>
      </c>
      <c r="H534" s="16" t="s">
        <v>188</v>
      </c>
    </row>
    <row r="535" ht="24.75" customHeight="1">
      <c r="A535" s="32" t="str">
        <f>IMAGE("https://gymvisual.com/12897-catalog_default/kneeling-push-up-male.jpg",4,500,500)</f>
        <v/>
      </c>
      <c r="B535" s="30">
        <v>2534.0</v>
      </c>
      <c r="C535" s="16" t="s">
        <v>3258</v>
      </c>
      <c r="D535" s="16" t="s">
        <v>184</v>
      </c>
      <c r="E535" s="16" t="s">
        <v>234</v>
      </c>
      <c r="F535" s="16" t="s">
        <v>255</v>
      </c>
      <c r="G535" s="16" t="s">
        <v>235</v>
      </c>
      <c r="H535" s="16" t="s">
        <v>243</v>
      </c>
    </row>
    <row r="536" ht="24.75" customHeight="1">
      <c r="A536" s="32" t="str">
        <f>IMAGE("https://gymvisual.com/14000-catalog_default/kneeling-rotational-push-up.jpg",4,500,500)</f>
        <v/>
      </c>
      <c r="B536" s="30">
        <v>2535.0</v>
      </c>
      <c r="C536" s="16" t="s">
        <v>3259</v>
      </c>
      <c r="D536" s="16" t="s">
        <v>184</v>
      </c>
      <c r="E536" s="16" t="s">
        <v>3260</v>
      </c>
      <c r="F536" s="16" t="s">
        <v>255</v>
      </c>
      <c r="G536" s="16" t="s">
        <v>1874</v>
      </c>
      <c r="H536" s="16" t="s">
        <v>3261</v>
      </c>
    </row>
    <row r="537" ht="24.75" customHeight="1">
      <c r="A537" s="32" t="str">
        <f>IMAGE("https://gymvisual.com/17935-catalog_default/kneeling-scapular-push-up-male.jpg",4,500,500)</f>
        <v/>
      </c>
      <c r="B537" s="30">
        <v>2536.0</v>
      </c>
      <c r="C537" s="16" t="s">
        <v>3262</v>
      </c>
      <c r="D537" s="16" t="s">
        <v>184</v>
      </c>
      <c r="E537" s="16" t="s">
        <v>192</v>
      </c>
      <c r="F537" s="16" t="s">
        <v>255</v>
      </c>
      <c r="G537" s="16" t="s">
        <v>220</v>
      </c>
      <c r="H537" s="16" t="s">
        <v>220</v>
      </c>
    </row>
    <row r="538" ht="24.75" customHeight="1">
      <c r="A538" s="32" t="str">
        <f>IMAGE("https://gymvisual.com/22157-catalog_default/kneeling-shoulder-tap.jpg",4,500,500)</f>
        <v/>
      </c>
      <c r="B538" s="30">
        <v>2537.0</v>
      </c>
      <c r="C538" s="16" t="s">
        <v>3263</v>
      </c>
      <c r="D538" s="16" t="s">
        <v>184</v>
      </c>
      <c r="E538" s="16" t="s">
        <v>234</v>
      </c>
      <c r="F538" s="16" t="s">
        <v>255</v>
      </c>
      <c r="G538" s="16" t="s">
        <v>235</v>
      </c>
      <c r="H538" s="16" t="s">
        <v>2985</v>
      </c>
    </row>
    <row r="539" ht="24.75" customHeight="1">
      <c r="A539" s="32" t="str">
        <f>IMAGE("https://gymvisual.com/23641-catalog_default/kneeling-shoulder-tap-female.jpg",4,500,500)</f>
        <v/>
      </c>
      <c r="B539" s="30">
        <v>2538.0</v>
      </c>
      <c r="C539" s="16" t="s">
        <v>3264</v>
      </c>
      <c r="D539" s="16" t="s">
        <v>184</v>
      </c>
      <c r="E539" s="16" t="s">
        <v>254</v>
      </c>
      <c r="F539" s="16" t="s">
        <v>255</v>
      </c>
      <c r="G539" s="16" t="s">
        <v>235</v>
      </c>
      <c r="H539" s="16" t="s">
        <v>3265</v>
      </c>
    </row>
    <row r="540" ht="24.75" customHeight="1">
      <c r="A540" s="32" t="str">
        <f>IMAGE("https://gymvisual.com/23637-catalog_default/kneeling-shoulder-tap-push-up-female.jpg",4,500,500)</f>
        <v/>
      </c>
      <c r="B540" s="30">
        <v>2539.0</v>
      </c>
      <c r="C540" s="16" t="s">
        <v>3266</v>
      </c>
      <c r="D540" s="16" t="s">
        <v>184</v>
      </c>
      <c r="E540" s="16" t="s">
        <v>321</v>
      </c>
      <c r="F540" s="16" t="s">
        <v>255</v>
      </c>
      <c r="G540" s="16" t="s">
        <v>235</v>
      </c>
      <c r="H540" s="16" t="s">
        <v>3267</v>
      </c>
    </row>
    <row r="541" ht="24.75" customHeight="1">
      <c r="A541" s="32" t="str">
        <f>IMAGE("https://gymvisual.com/22795-catalog_default/kneeling-side-leg-to-kick-female.jpg",4,500,500)</f>
        <v/>
      </c>
      <c r="B541" s="30">
        <v>2540.0</v>
      </c>
      <c r="C541" s="16" t="s">
        <v>3268</v>
      </c>
      <c r="D541" s="16" t="s">
        <v>184</v>
      </c>
      <c r="E541" s="16" t="s">
        <v>185</v>
      </c>
      <c r="F541" s="16" t="s">
        <v>255</v>
      </c>
      <c r="G541" s="16" t="s">
        <v>3269</v>
      </c>
      <c r="H541" s="16" t="s">
        <v>3270</v>
      </c>
    </row>
    <row r="542" ht="24.75" customHeight="1">
      <c r="A542" s="32" t="str">
        <f>IMAGE("https://gymvisual.com/23657-catalog_default/kneeling-side-leg-to-kick-male.jpg",4,500,500)</f>
        <v/>
      </c>
      <c r="B542" s="30">
        <v>2541.0</v>
      </c>
      <c r="C542" s="16" t="s">
        <v>3271</v>
      </c>
      <c r="D542" s="16" t="s">
        <v>184</v>
      </c>
      <c r="E542" s="16" t="s">
        <v>185</v>
      </c>
      <c r="F542" s="16" t="s">
        <v>255</v>
      </c>
      <c r="G542" s="16" t="s">
        <v>295</v>
      </c>
      <c r="H542" s="16" t="s">
        <v>476</v>
      </c>
    </row>
    <row r="543" ht="24.75" customHeight="1">
      <c r="A543" s="32" t="str">
        <f>IMAGE("https://gymvisual.com/24685-catalog_default/kneeling-staggered-push-up-female.jpg",4,500,500)</f>
        <v/>
      </c>
      <c r="B543" s="30">
        <v>2542.0</v>
      </c>
      <c r="C543" s="16" t="s">
        <v>3272</v>
      </c>
      <c r="D543" s="16" t="s">
        <v>184</v>
      </c>
      <c r="E543" s="16" t="s">
        <v>234</v>
      </c>
      <c r="F543" s="16" t="s">
        <v>255</v>
      </c>
      <c r="G543" s="16" t="s">
        <v>220</v>
      </c>
      <c r="H543" s="16" t="s">
        <v>220</v>
      </c>
    </row>
    <row r="544" ht="24.75" customHeight="1">
      <c r="A544" s="32" t="str">
        <f>IMAGE("https://gymvisual.com/22287-catalog_default/kneeling-straight-leg-kickback-version-2-female.jpg",4,500,500)</f>
        <v/>
      </c>
      <c r="B544" s="30">
        <v>2543.0</v>
      </c>
      <c r="C544" s="16" t="s">
        <v>3273</v>
      </c>
      <c r="D544" s="16" t="s">
        <v>184</v>
      </c>
      <c r="E544" s="16" t="s">
        <v>185</v>
      </c>
      <c r="F544" s="16" t="s">
        <v>255</v>
      </c>
      <c r="G544" s="16" t="s">
        <v>220</v>
      </c>
      <c r="H544" s="16" t="s">
        <v>220</v>
      </c>
    </row>
    <row r="545" ht="24.75" customHeight="1">
      <c r="A545" s="32" t="str">
        <f>IMAGE("https://gymvisual.com/22440-catalog_default/kneeling-straight-leg-side-kick-female.jpg",4,500,500)</f>
        <v/>
      </c>
      <c r="B545" s="30">
        <v>2544.0</v>
      </c>
      <c r="C545" s="16" t="s">
        <v>3274</v>
      </c>
      <c r="D545" s="16" t="s">
        <v>184</v>
      </c>
      <c r="E545" s="16" t="s">
        <v>185</v>
      </c>
      <c r="F545" s="16" t="s">
        <v>255</v>
      </c>
      <c r="G545" s="16" t="s">
        <v>220</v>
      </c>
      <c r="H545" s="16" t="s">
        <v>220</v>
      </c>
    </row>
    <row r="546" ht="24.75" customHeight="1">
      <c r="A546" s="32" t="str">
        <f>IMAGE("https://gymvisual.com/14141-catalog_default/kneeling-wide-hand-push-up.jpg",4,500,500)</f>
        <v/>
      </c>
      <c r="B546" s="30">
        <v>2545.0</v>
      </c>
      <c r="C546" s="16" t="s">
        <v>3275</v>
      </c>
      <c r="D546" s="16" t="s">
        <v>184</v>
      </c>
      <c r="E546" s="16" t="s">
        <v>234</v>
      </c>
      <c r="F546" s="16" t="s">
        <v>255</v>
      </c>
      <c r="G546" s="16" t="s">
        <v>347</v>
      </c>
      <c r="H546" s="16" t="s">
        <v>382</v>
      </c>
    </row>
    <row r="547" ht="24.75" customHeight="1">
      <c r="A547" s="32" t="str">
        <f>IMAGE("https://gymvisual.com/18019-catalog_default/knuckle-push-up.jpg",4,500,500)</f>
        <v/>
      </c>
      <c r="B547" s="30">
        <v>2546.0</v>
      </c>
      <c r="C547" s="16" t="s">
        <v>3276</v>
      </c>
      <c r="D547" s="16" t="s">
        <v>184</v>
      </c>
      <c r="E547" s="16" t="s">
        <v>234</v>
      </c>
      <c r="F547" s="16" t="s">
        <v>255</v>
      </c>
      <c r="G547" s="16" t="s">
        <v>220</v>
      </c>
      <c r="H547" s="16" t="s">
        <v>220</v>
      </c>
    </row>
    <row r="548" ht="24.75" customHeight="1">
      <c r="A548" s="32" t="str">
        <f>IMAGE("https://gymvisual.com/13513-catalog_default/korean-dips.jpg",4,500,500)</f>
        <v/>
      </c>
      <c r="B548" s="30">
        <v>2547.0</v>
      </c>
      <c r="C548" s="16" t="s">
        <v>3277</v>
      </c>
      <c r="D548" s="16" t="s">
        <v>184</v>
      </c>
      <c r="E548" s="16" t="s">
        <v>234</v>
      </c>
      <c r="F548" s="16" t="s">
        <v>255</v>
      </c>
      <c r="G548" s="16" t="s">
        <v>235</v>
      </c>
      <c r="H548" s="16" t="s">
        <v>3278</v>
      </c>
    </row>
    <row r="549" ht="24.75" customHeight="1">
      <c r="A549" s="32" t="str">
        <f>IMAGE("https://gymvisual.com/13876-catalog_default/l-pull-up.jpg",4,500,500)</f>
        <v/>
      </c>
      <c r="B549" s="30">
        <v>2548.0</v>
      </c>
      <c r="C549" s="16" t="s">
        <v>3279</v>
      </c>
      <c r="D549" s="16" t="s">
        <v>184</v>
      </c>
      <c r="E549" s="16" t="s">
        <v>361</v>
      </c>
      <c r="F549" s="16" t="s">
        <v>255</v>
      </c>
      <c r="G549" s="16" t="s">
        <v>220</v>
      </c>
      <c r="H549" s="16" t="s">
        <v>220</v>
      </c>
    </row>
    <row r="550" ht="24.75" customHeight="1">
      <c r="A550" s="32" t="str">
        <f>IMAGE("https://gymvisual.com/6243-catalog_default/l-sit.jpg",4,500,500)</f>
        <v/>
      </c>
      <c r="B550" s="30">
        <v>2549.0</v>
      </c>
      <c r="C550" s="16" t="s">
        <v>3280</v>
      </c>
      <c r="D550" s="16" t="s">
        <v>184</v>
      </c>
      <c r="E550" s="16" t="s">
        <v>254</v>
      </c>
      <c r="F550" s="16" t="s">
        <v>255</v>
      </c>
      <c r="G550" s="16" t="s">
        <v>3281</v>
      </c>
      <c r="H550" s="16" t="s">
        <v>220</v>
      </c>
    </row>
    <row r="551" ht="24.75" customHeight="1">
      <c r="A551" s="32" t="str">
        <f>IMAGE("https://gymvisual.com/1691-catalog_default/3-4-sit-up.jpg",4,500,500)</f>
        <v/>
      </c>
      <c r="B551" s="30">
        <v>2550.0</v>
      </c>
      <c r="C551" s="16" t="s">
        <v>3282</v>
      </c>
      <c r="D551" s="16" t="s">
        <v>184</v>
      </c>
      <c r="E551" s="16" t="s">
        <v>254</v>
      </c>
      <c r="F551" s="16" t="s">
        <v>186</v>
      </c>
      <c r="G551" s="16" t="s">
        <v>257</v>
      </c>
      <c r="H551" s="16" t="s">
        <v>256</v>
      </c>
    </row>
    <row r="552" ht="24.75" customHeight="1">
      <c r="A552" s="32" t="str">
        <f>IMAGE("https://gymvisual.com/14274-catalog_default/landmine-180-female.jpg",4,500,500)</f>
        <v/>
      </c>
      <c r="B552" s="30">
        <v>2551.0</v>
      </c>
      <c r="C552" s="16" t="s">
        <v>3283</v>
      </c>
      <c r="D552" s="16" t="s">
        <v>184</v>
      </c>
      <c r="E552" s="16" t="s">
        <v>254</v>
      </c>
      <c r="F552" s="16" t="s">
        <v>346</v>
      </c>
      <c r="G552" s="16" t="s">
        <v>257</v>
      </c>
      <c r="H552" s="16" t="s">
        <v>256</v>
      </c>
    </row>
    <row r="553" ht="24.75" customHeight="1">
      <c r="A553" s="32" t="str">
        <f>IMAGE("https://gymvisual.com/17193-catalog_default/landmine-floor-one-arm-chest-fly.jpg",4,500,500)</f>
        <v/>
      </c>
      <c r="B553" s="30">
        <v>2552.0</v>
      </c>
      <c r="C553" s="16" t="s">
        <v>3284</v>
      </c>
      <c r="D553" s="16" t="s">
        <v>184</v>
      </c>
      <c r="E553" s="16" t="s">
        <v>234</v>
      </c>
      <c r="F553" s="16" t="s">
        <v>346</v>
      </c>
      <c r="G553" s="16" t="s">
        <v>235</v>
      </c>
      <c r="H553" s="16" t="s">
        <v>236</v>
      </c>
    </row>
    <row r="554" ht="24.75" customHeight="1">
      <c r="A554" s="32" t="str">
        <f>IMAGE("https://gymvisual.com/17650-catalog_default/landmine-front-squat.jpg",4,500,500)</f>
        <v/>
      </c>
      <c r="B554" s="30">
        <v>2553.0</v>
      </c>
      <c r="C554" s="16" t="s">
        <v>3285</v>
      </c>
      <c r="D554" s="16" t="s">
        <v>184</v>
      </c>
      <c r="E554" s="16" t="s">
        <v>294</v>
      </c>
      <c r="F554" s="16" t="s">
        <v>186</v>
      </c>
      <c r="G554" s="16" t="s">
        <v>189</v>
      </c>
      <c r="H554" s="16" t="s">
        <v>190</v>
      </c>
    </row>
    <row r="555" ht="24.75" customHeight="1">
      <c r="A555" s="32" t="str">
        <f>IMAGE("https://gymvisual.com/24826-catalog_default/landmine-hack-squat.jpg",4,500,500)</f>
        <v/>
      </c>
      <c r="B555" s="30">
        <v>2554.0</v>
      </c>
      <c r="C555" s="16" t="s">
        <v>3286</v>
      </c>
      <c r="D555" s="16" t="s">
        <v>184</v>
      </c>
      <c r="E555" s="16" t="s">
        <v>285</v>
      </c>
      <c r="F555" s="16" t="s">
        <v>186</v>
      </c>
      <c r="G555" s="16" t="s">
        <v>189</v>
      </c>
      <c r="H555" s="16" t="s">
        <v>190</v>
      </c>
    </row>
    <row r="556" ht="24.75" customHeight="1">
      <c r="A556" s="32" t="str">
        <f>IMAGE("https://gymvisual.com/14062-catalog_default/landmine-kneeling-one-arm-shoulder-press.jpg",4,500,500)</f>
        <v/>
      </c>
      <c r="B556" s="30">
        <v>2555.0</v>
      </c>
      <c r="C556" s="16" t="s">
        <v>3287</v>
      </c>
      <c r="D556" s="16" t="s">
        <v>184</v>
      </c>
      <c r="E556" s="16" t="s">
        <v>228</v>
      </c>
      <c r="F556" s="16" t="s">
        <v>346</v>
      </c>
      <c r="G556" s="16" t="s">
        <v>229</v>
      </c>
      <c r="H556" s="16" t="s">
        <v>626</v>
      </c>
    </row>
    <row r="557" ht="24.75" customHeight="1">
      <c r="A557" s="32" t="str">
        <f>IMAGE("https://gymvisual.com/24834-catalog_default/landmine-kneeling-one-arm-shoulder-press-version-2.jpg",4,500,500)</f>
        <v/>
      </c>
      <c r="B557" s="30">
        <v>2556.0</v>
      </c>
      <c r="C557" s="16" t="s">
        <v>3288</v>
      </c>
      <c r="D557" s="16" t="s">
        <v>184</v>
      </c>
      <c r="E557" s="16" t="s">
        <v>228</v>
      </c>
      <c r="F557" s="16" t="s">
        <v>222</v>
      </c>
      <c r="G557" s="16" t="s">
        <v>229</v>
      </c>
      <c r="H557" s="16" t="s">
        <v>626</v>
      </c>
    </row>
    <row r="558" ht="24.75" customHeight="1">
      <c r="A558" s="32" t="str">
        <f>IMAGE("https://gymvisual.com/17189-catalog_default/landmine-kneeling-squeeze-press.jpg",4,500,500)</f>
        <v/>
      </c>
      <c r="B558" s="30">
        <v>2557.0</v>
      </c>
      <c r="C558" s="16" t="s">
        <v>3289</v>
      </c>
      <c r="D558" s="16" t="s">
        <v>184</v>
      </c>
      <c r="E558" s="16" t="s">
        <v>234</v>
      </c>
      <c r="F558" s="16" t="s">
        <v>346</v>
      </c>
      <c r="G558" s="16" t="s">
        <v>415</v>
      </c>
      <c r="H558" s="16" t="s">
        <v>2329</v>
      </c>
    </row>
    <row r="559" ht="24.75" customHeight="1">
      <c r="A559" s="32" t="str">
        <f>IMAGE("https://gymvisual.com/20551-catalog_default/landmine-kneeling-thruster-press.jpg",4,500,500)</f>
        <v/>
      </c>
      <c r="B559" s="30">
        <v>2558.0</v>
      </c>
      <c r="C559" s="16" t="s">
        <v>3290</v>
      </c>
      <c r="D559" s="16" t="s">
        <v>184</v>
      </c>
      <c r="E559" s="16" t="s">
        <v>691</v>
      </c>
      <c r="F559" s="16" t="s">
        <v>186</v>
      </c>
      <c r="G559" s="16" t="s">
        <v>793</v>
      </c>
      <c r="H559" s="16" t="s">
        <v>3291</v>
      </c>
    </row>
    <row r="560" ht="24.75" customHeight="1">
      <c r="A560" s="32" t="str">
        <f>IMAGE("https://gymvisual.com/12992-catalog_default/landmine-lateral-raise.jpg",4,500,500)</f>
        <v/>
      </c>
      <c r="B560" s="30">
        <v>2559.0</v>
      </c>
      <c r="C560" s="16" t="s">
        <v>3292</v>
      </c>
      <c r="D560" s="16" t="s">
        <v>184</v>
      </c>
      <c r="E560" s="16" t="s">
        <v>228</v>
      </c>
      <c r="F560" s="16" t="s">
        <v>186</v>
      </c>
      <c r="G560" s="16" t="s">
        <v>544</v>
      </c>
      <c r="H560" s="16" t="s">
        <v>3293</v>
      </c>
    </row>
    <row r="561" ht="24.75" customHeight="1">
      <c r="A561" s="32" t="str">
        <f>IMAGE("https://gymvisual.com/22843-catalog_default/landmine-one-arm-bent-over-row-version-2.jpg",4,500,500)</f>
        <v/>
      </c>
      <c r="B561" s="30">
        <v>2560.0</v>
      </c>
      <c r="C561" s="16" t="s">
        <v>3294</v>
      </c>
      <c r="D561" s="16" t="s">
        <v>184</v>
      </c>
      <c r="E561" s="16" t="s">
        <v>192</v>
      </c>
      <c r="F561" s="16" t="s">
        <v>186</v>
      </c>
      <c r="G561" s="16" t="s">
        <v>570</v>
      </c>
      <c r="H561" s="16" t="s">
        <v>447</v>
      </c>
    </row>
    <row r="562" ht="24.75" customHeight="1">
      <c r="A562" s="32" t="str">
        <f>IMAGE("https://gymvisual.com/17529-catalog_default/landmine-one-arm-bent-over-bench-row.jpg",4,500,500)</f>
        <v/>
      </c>
      <c r="B562" s="30">
        <v>2561.0</v>
      </c>
      <c r="C562" s="16" t="s">
        <v>3295</v>
      </c>
      <c r="D562" s="16" t="s">
        <v>184</v>
      </c>
      <c r="E562" s="16" t="s">
        <v>192</v>
      </c>
      <c r="F562" s="16" t="s">
        <v>346</v>
      </c>
      <c r="G562" s="16" t="s">
        <v>329</v>
      </c>
      <c r="H562" s="16" t="s">
        <v>447</v>
      </c>
    </row>
    <row r="563" ht="24.75" customHeight="1">
      <c r="A563" s="32" t="str">
        <f>IMAGE("https://gymvisual.com/17527-catalog_default/landmine-one-arm-bent-over-row.jpg",4,500,500)</f>
        <v/>
      </c>
      <c r="B563" s="30">
        <v>2562.0</v>
      </c>
      <c r="C563" s="16" t="s">
        <v>3296</v>
      </c>
      <c r="D563" s="16" t="s">
        <v>184</v>
      </c>
      <c r="E563" s="16" t="s">
        <v>192</v>
      </c>
      <c r="F563" s="16" t="s">
        <v>346</v>
      </c>
      <c r="G563" s="16" t="s">
        <v>329</v>
      </c>
      <c r="H563" s="16" t="s">
        <v>447</v>
      </c>
    </row>
    <row r="564" ht="24.75" customHeight="1">
      <c r="A564" s="32" t="str">
        <f>IMAGE("https://gymvisual.com/24687-catalog_default/landmine-one-leg-stiff-leg-deadlift.jpg",4,500,500)</f>
        <v/>
      </c>
      <c r="B564" s="30">
        <v>2563.0</v>
      </c>
      <c r="C564" s="16" t="s">
        <v>3297</v>
      </c>
      <c r="D564" s="16" t="s">
        <v>184</v>
      </c>
      <c r="E564" s="16" t="s">
        <v>185</v>
      </c>
      <c r="F564" s="16" t="s">
        <v>255</v>
      </c>
      <c r="G564" s="16" t="s">
        <v>220</v>
      </c>
      <c r="H564" s="16" t="s">
        <v>220</v>
      </c>
    </row>
    <row r="565" ht="24.75" customHeight="1">
      <c r="A565" s="32" t="str">
        <f>IMAGE("https://gymvisual.com/24113-catalog_default/landmine-press.jpg",4,500,500)</f>
        <v/>
      </c>
      <c r="B565" s="30">
        <v>2564.0</v>
      </c>
      <c r="C565" s="16" t="s">
        <v>3298</v>
      </c>
      <c r="D565" s="16" t="s">
        <v>184</v>
      </c>
      <c r="E565" s="16" t="s">
        <v>228</v>
      </c>
      <c r="F565" s="16" t="s">
        <v>255</v>
      </c>
      <c r="G565" s="16" t="s">
        <v>220</v>
      </c>
      <c r="H565" s="16" t="s">
        <v>220</v>
      </c>
    </row>
    <row r="566" ht="24.75" customHeight="1">
      <c r="A566" s="32" t="str">
        <f>IMAGE("https://gymvisual.com/17185-catalog_default/landmine-rear-lunge.jpg",4,500,500)</f>
        <v/>
      </c>
      <c r="B566" s="30">
        <v>2565.0</v>
      </c>
      <c r="C566" s="16" t="s">
        <v>3299</v>
      </c>
      <c r="D566" s="16" t="s">
        <v>184</v>
      </c>
      <c r="E566" s="16" t="s">
        <v>294</v>
      </c>
      <c r="F566" s="16" t="s">
        <v>346</v>
      </c>
      <c r="G566" s="16" t="s">
        <v>189</v>
      </c>
      <c r="H566" s="16" t="s">
        <v>190</v>
      </c>
    </row>
    <row r="567" ht="24.75" customHeight="1">
      <c r="A567" s="32" t="str">
        <f>IMAGE("https://gymvisual.com/17531-catalog_default/landmine-rear-lunge-version-2.jpg",4,500,500)</f>
        <v/>
      </c>
      <c r="B567" s="30">
        <v>2566.0</v>
      </c>
      <c r="C567" s="16" t="s">
        <v>3300</v>
      </c>
      <c r="D567" s="16" t="s">
        <v>184</v>
      </c>
      <c r="E567" s="16" t="s">
        <v>294</v>
      </c>
      <c r="F567" s="16" t="s">
        <v>346</v>
      </c>
      <c r="G567" s="16" t="s">
        <v>189</v>
      </c>
      <c r="H567" s="16" t="s">
        <v>190</v>
      </c>
    </row>
    <row r="568" ht="24.75" customHeight="1">
      <c r="A568" s="32" t="str">
        <f>IMAGE("https://gymvisual.com/18039-catalog_default/landmine-resistance-band-one-arm-shoulder-press.jpg",4,500,500)</f>
        <v/>
      </c>
      <c r="B568" s="30">
        <v>2567.0</v>
      </c>
      <c r="C568" s="16" t="s">
        <v>3301</v>
      </c>
      <c r="D568" s="16" t="s">
        <v>184</v>
      </c>
      <c r="E568" s="16" t="s">
        <v>228</v>
      </c>
      <c r="F568" s="16" t="s">
        <v>523</v>
      </c>
      <c r="G568" s="16" t="s">
        <v>220</v>
      </c>
      <c r="H568" s="16" t="s">
        <v>220</v>
      </c>
    </row>
    <row r="569" ht="24.75" customHeight="1">
      <c r="A569" s="32" t="str">
        <f>IMAGE("https://gymvisual.com/17927-catalog_default/landmine-romanian-deadlift-male.jpg",4,500,500)</f>
        <v/>
      </c>
      <c r="B569" s="30">
        <v>2568.0</v>
      </c>
      <c r="C569" s="16" t="s">
        <v>3302</v>
      </c>
      <c r="D569" s="16" t="s">
        <v>184</v>
      </c>
      <c r="E569" s="16" t="s">
        <v>185</v>
      </c>
      <c r="F569" s="16" t="s">
        <v>186</v>
      </c>
      <c r="G569" s="16" t="s">
        <v>267</v>
      </c>
      <c r="H569" s="16" t="s">
        <v>975</v>
      </c>
    </row>
    <row r="570" ht="24.75" customHeight="1">
      <c r="A570" s="32" t="str">
        <f>IMAGE("https://gymvisual.com/17652-catalog_default/landmine-romanian-deadlift-version-2.jpg",4,500,500)</f>
        <v/>
      </c>
      <c r="B570" s="30">
        <v>2569.0</v>
      </c>
      <c r="C570" s="16" t="s">
        <v>3303</v>
      </c>
      <c r="D570" s="16" t="s">
        <v>184</v>
      </c>
      <c r="E570" s="16" t="s">
        <v>185</v>
      </c>
      <c r="F570" s="16" t="s">
        <v>186</v>
      </c>
      <c r="G570" s="16" t="s">
        <v>267</v>
      </c>
      <c r="H570" s="16" t="s">
        <v>3201</v>
      </c>
    </row>
    <row r="571" ht="24.75" customHeight="1">
      <c r="A571" s="32" t="str">
        <f>IMAGE("https://gymvisual.com/23897-catalog_default/landmine-single-arm-press.jpg",4,500,500)</f>
        <v/>
      </c>
      <c r="B571" s="30">
        <v>2570.0</v>
      </c>
      <c r="C571" s="16" t="s">
        <v>3304</v>
      </c>
      <c r="D571" s="16" t="s">
        <v>184</v>
      </c>
      <c r="E571" s="16" t="s">
        <v>228</v>
      </c>
      <c r="F571" s="16" t="s">
        <v>255</v>
      </c>
      <c r="G571" s="16" t="s">
        <v>347</v>
      </c>
      <c r="H571" s="16" t="s">
        <v>382</v>
      </c>
    </row>
    <row r="572" ht="24.75" customHeight="1">
      <c r="A572" s="32" t="str">
        <f>IMAGE("https://gymvisual.com/17183-catalog_default/landmine-single-leg-landmine-rdl.jpg",4,500,500)</f>
        <v/>
      </c>
      <c r="B572" s="30">
        <v>2571.0</v>
      </c>
      <c r="C572" s="16" t="s">
        <v>3305</v>
      </c>
      <c r="D572" s="16" t="s">
        <v>184</v>
      </c>
      <c r="E572" s="16" t="s">
        <v>185</v>
      </c>
      <c r="F572" s="16" t="s">
        <v>346</v>
      </c>
      <c r="G572" s="16" t="s">
        <v>267</v>
      </c>
      <c r="H572" s="16" t="s">
        <v>188</v>
      </c>
    </row>
    <row r="573" ht="24.75" customHeight="1">
      <c r="A573" s="32" t="str">
        <f>IMAGE("https://gymvisual.com/13195-catalog_default/landmine-squat-and-press.jpg",4,500,500)</f>
        <v/>
      </c>
      <c r="B573" s="30">
        <v>2572.0</v>
      </c>
      <c r="C573" s="16" t="s">
        <v>3306</v>
      </c>
      <c r="D573" s="16" t="s">
        <v>184</v>
      </c>
      <c r="E573" s="16" t="s">
        <v>1129</v>
      </c>
      <c r="F573" s="16" t="s">
        <v>346</v>
      </c>
      <c r="G573" s="16" t="s">
        <v>793</v>
      </c>
      <c r="H573" s="16" t="s">
        <v>220</v>
      </c>
    </row>
    <row r="574" ht="24.75" customHeight="1">
      <c r="A574" s="32" t="str">
        <f>IMAGE("https://gymvisual.com/13295-catalog_default/landmine-squat-and-press-female.jpg",4,500,500)</f>
        <v/>
      </c>
      <c r="B574" s="30">
        <v>2573.0</v>
      </c>
      <c r="C574" s="16" t="s">
        <v>3307</v>
      </c>
      <c r="D574" s="16" t="s">
        <v>184</v>
      </c>
      <c r="E574" s="16" t="s">
        <v>691</v>
      </c>
      <c r="F574" s="16" t="s">
        <v>346</v>
      </c>
      <c r="G574" s="16" t="s">
        <v>220</v>
      </c>
      <c r="H574" s="16" t="s">
        <v>220</v>
      </c>
    </row>
    <row r="575" ht="24.75" customHeight="1">
      <c r="A575" s="32" t="str">
        <f>IMAGE("https://gymvisual.com/17881-catalog_default/landmine-sumo-squat-male.jpg",4,500,500)</f>
        <v/>
      </c>
      <c r="B575" s="30">
        <v>2574.0</v>
      </c>
      <c r="C575" s="16" t="s">
        <v>3308</v>
      </c>
      <c r="D575" s="16" t="s">
        <v>184</v>
      </c>
      <c r="E575" s="16" t="s">
        <v>185</v>
      </c>
      <c r="F575" s="16" t="s">
        <v>186</v>
      </c>
      <c r="G575" s="16" t="s">
        <v>189</v>
      </c>
      <c r="H575" s="16" t="s">
        <v>902</v>
      </c>
    </row>
    <row r="576" ht="24.75" customHeight="1">
      <c r="A576" s="32" t="str">
        <f>IMAGE("https://gymvisual.com/20065-catalog_default/lateral-raise-arms-wrong-right.jpg",4,500,500)</f>
        <v/>
      </c>
      <c r="B576" s="30">
        <v>2575.0</v>
      </c>
      <c r="C576" s="16" t="s">
        <v>3309</v>
      </c>
      <c r="D576" s="16" t="s">
        <v>184</v>
      </c>
      <c r="E576" s="16" t="s">
        <v>228</v>
      </c>
      <c r="F576" s="16" t="s">
        <v>222</v>
      </c>
      <c r="G576" s="16" t="s">
        <v>220</v>
      </c>
      <c r="H576" s="16" t="s">
        <v>220</v>
      </c>
    </row>
    <row r="577" ht="24.75" customHeight="1">
      <c r="A577" s="32" t="str">
        <f>IMAGE("https://gymvisual.com/16520-catalog_default/lateral-raise-with-towel.jpg",4,500,500)</f>
        <v/>
      </c>
      <c r="B577" s="30">
        <v>2576.0</v>
      </c>
      <c r="C577" s="16" t="s">
        <v>3310</v>
      </c>
      <c r="D577" s="16" t="s">
        <v>184</v>
      </c>
      <c r="E577" s="16" t="s">
        <v>228</v>
      </c>
      <c r="F577" s="16" t="s">
        <v>255</v>
      </c>
      <c r="G577" s="16" t="s">
        <v>544</v>
      </c>
      <c r="H577" s="16" t="s">
        <v>545</v>
      </c>
    </row>
    <row r="578" ht="24.75" customHeight="1">
      <c r="A578" s="32" t="str">
        <f>IMAGE("https://gymvisual.com/6407-catalog_default/lateral-side-plank.jpg",4,500,500)</f>
        <v/>
      </c>
      <c r="B578" s="30">
        <v>2577.0</v>
      </c>
      <c r="C578" s="16" t="s">
        <v>3311</v>
      </c>
      <c r="D578" s="16" t="s">
        <v>184</v>
      </c>
      <c r="E578" s="16" t="s">
        <v>185</v>
      </c>
      <c r="F578" s="16" t="s">
        <v>255</v>
      </c>
      <c r="G578" s="16" t="s">
        <v>508</v>
      </c>
      <c r="H578" s="16" t="s">
        <v>2802</v>
      </c>
    </row>
    <row r="579" ht="24.75" customHeight="1">
      <c r="A579" s="32" t="str">
        <f>IMAGE("https://gymvisual.com/6405-catalog_default/lateral-side-plank-bent-leg.jpg",4,500,500)</f>
        <v/>
      </c>
      <c r="B579" s="30">
        <v>2578.0</v>
      </c>
      <c r="C579" s="16" t="s">
        <v>3312</v>
      </c>
      <c r="D579" s="16" t="s">
        <v>184</v>
      </c>
      <c r="E579" s="16" t="s">
        <v>185</v>
      </c>
      <c r="F579" s="16" t="s">
        <v>255</v>
      </c>
      <c r="G579" s="16" t="s">
        <v>508</v>
      </c>
      <c r="H579" s="16" t="s">
        <v>424</v>
      </c>
    </row>
    <row r="580" ht="24.75" customHeight="1">
      <c r="A580" s="32" t="str">
        <f>IMAGE("https://gymvisual.com/1702-catalog_default/3-4-sit-up.jpg",4,500,500)</f>
        <v/>
      </c>
      <c r="B580" s="30">
        <v>2579.0</v>
      </c>
      <c r="C580" s="16" t="s">
        <v>3313</v>
      </c>
      <c r="D580" s="16" t="s">
        <v>184</v>
      </c>
      <c r="E580" s="16" t="s">
        <v>185</v>
      </c>
      <c r="F580" s="16" t="s">
        <v>255</v>
      </c>
      <c r="G580" s="16" t="s">
        <v>189</v>
      </c>
      <c r="H580" s="16" t="s">
        <v>2046</v>
      </c>
    </row>
    <row r="581" ht="24.75" customHeight="1">
      <c r="A581" s="32" t="str">
        <f>IMAGE("https://gymvisual.com/23921-catalog_default/lateral-step-up.jpg",4,500,500)</f>
        <v/>
      </c>
      <c r="B581" s="30">
        <v>2580.0</v>
      </c>
      <c r="C581" s="16" t="s">
        <v>3313</v>
      </c>
      <c r="D581" s="16" t="s">
        <v>184</v>
      </c>
      <c r="E581" s="16" t="s">
        <v>285</v>
      </c>
      <c r="F581" s="16" t="s">
        <v>255</v>
      </c>
      <c r="G581" s="16" t="s">
        <v>189</v>
      </c>
      <c r="H581" s="16" t="s">
        <v>190</v>
      </c>
    </row>
    <row r="582" ht="24.75" customHeight="1">
      <c r="A582" s="32" t="str">
        <f>IMAGE("https://gymvisual.com/23923-catalog_default/lateral-step-up-with-knee-drive.jpg",4,500,500)</f>
        <v/>
      </c>
      <c r="B582" s="30">
        <v>2581.0</v>
      </c>
      <c r="C582" s="16" t="s">
        <v>3314</v>
      </c>
      <c r="D582" s="16" t="s">
        <v>184</v>
      </c>
      <c r="E582" s="16" t="s">
        <v>285</v>
      </c>
      <c r="F582" s="16" t="s">
        <v>255</v>
      </c>
      <c r="G582" s="16" t="s">
        <v>2952</v>
      </c>
      <c r="H582" s="16" t="s">
        <v>3315</v>
      </c>
    </row>
    <row r="583" ht="24.75" customHeight="1">
      <c r="A583" s="32" t="str">
        <f>IMAGE("https://gymvisual.com/22478-catalog_default/leg-assisted-ring-pull-up.jpg",4,500,500)</f>
        <v/>
      </c>
      <c r="B583" s="30">
        <v>2582.0</v>
      </c>
      <c r="C583" s="16" t="s">
        <v>3316</v>
      </c>
      <c r="D583" s="16" t="s">
        <v>184</v>
      </c>
      <c r="E583" s="16" t="s">
        <v>192</v>
      </c>
      <c r="F583" s="16" t="s">
        <v>255</v>
      </c>
      <c r="G583" s="16" t="s">
        <v>220</v>
      </c>
      <c r="H583" s="16" t="s">
        <v>220</v>
      </c>
    </row>
    <row r="584" ht="24.75" customHeight="1">
      <c r="A584" s="32" t="str">
        <f>IMAGE("https://gymvisual.com/1708-catalog_default/3-4-sit-up.jpg",4,500,500)</f>
        <v/>
      </c>
      <c r="B584" s="30">
        <v>2583.0</v>
      </c>
      <c r="C584" s="16" t="s">
        <v>3317</v>
      </c>
      <c r="D584" s="16" t="s">
        <v>184</v>
      </c>
      <c r="E584" s="16" t="s">
        <v>254</v>
      </c>
      <c r="F584" s="16" t="s">
        <v>255</v>
      </c>
      <c r="G584" s="16" t="s">
        <v>257</v>
      </c>
      <c r="H584" s="16" t="s">
        <v>3318</v>
      </c>
    </row>
    <row r="585" ht="24.75" customHeight="1">
      <c r="A585" s="32" t="str">
        <f>IMAGE("https://gymvisual.com/1711-catalog_default/3-4-sit-up.jpg",4,500,500)</f>
        <v/>
      </c>
      <c r="B585" s="30">
        <v>2584.0</v>
      </c>
      <c r="C585" s="16" t="s">
        <v>3319</v>
      </c>
      <c r="D585" s="16" t="s">
        <v>184</v>
      </c>
      <c r="E585" s="16" t="s">
        <v>285</v>
      </c>
      <c r="F585" s="16" t="s">
        <v>399</v>
      </c>
      <c r="G585" s="16" t="s">
        <v>188</v>
      </c>
      <c r="H585" s="16" t="s">
        <v>665</v>
      </c>
    </row>
    <row r="586" ht="24.75" customHeight="1">
      <c r="A586" s="32" t="str">
        <f>IMAGE("https://gymvisual.com/14276-catalog_default/leg-extension-crunch-with-stability-ball-male.jpg",4,500,500)</f>
        <v/>
      </c>
      <c r="B586" s="30">
        <v>2585.0</v>
      </c>
      <c r="C586" s="16" t="s">
        <v>3320</v>
      </c>
      <c r="D586" s="16" t="s">
        <v>184</v>
      </c>
      <c r="E586" s="16" t="s">
        <v>3321</v>
      </c>
      <c r="F586" s="16" t="s">
        <v>399</v>
      </c>
      <c r="G586" s="16" t="s">
        <v>3322</v>
      </c>
      <c r="H586" s="16" t="s">
        <v>3323</v>
      </c>
    </row>
    <row r="587" ht="24.75" customHeight="1">
      <c r="A587" s="32" t="str">
        <f>IMAGE("https://gymvisual.com/19441-catalog_default/leg-extension-plank.jpg",4,500,500)</f>
        <v/>
      </c>
      <c r="B587" s="30">
        <v>2586.0</v>
      </c>
      <c r="C587" s="16" t="s">
        <v>3324</v>
      </c>
      <c r="D587" s="16" t="s">
        <v>184</v>
      </c>
      <c r="E587" s="16" t="s">
        <v>254</v>
      </c>
      <c r="F587" s="16" t="s">
        <v>255</v>
      </c>
      <c r="G587" s="16" t="s">
        <v>220</v>
      </c>
      <c r="H587" s="16" t="s">
        <v>220</v>
      </c>
    </row>
    <row r="588" ht="24.75" customHeight="1">
      <c r="A588" s="32" t="str">
        <f>IMAGE("https://gymvisual.com/22787-catalog_default/leg-over-knee-glute-bridge-female.jpg",4,500,500)</f>
        <v/>
      </c>
      <c r="B588" s="30">
        <v>2587.0</v>
      </c>
      <c r="C588" s="16" t="s">
        <v>3325</v>
      </c>
      <c r="D588" s="16" t="s">
        <v>184</v>
      </c>
      <c r="E588" s="16" t="s">
        <v>185</v>
      </c>
      <c r="F588" s="16" t="s">
        <v>255</v>
      </c>
      <c r="G588" s="16" t="s">
        <v>187</v>
      </c>
      <c r="H588" s="16" t="s">
        <v>854</v>
      </c>
    </row>
    <row r="589" ht="24.75" customHeight="1">
      <c r="A589" s="32" t="str">
        <f>IMAGE("https://gymvisual.com/23655-catalog_default/leg-over-knee-glute-bridge-male.jpg",4,500,500)</f>
        <v/>
      </c>
      <c r="B589" s="30">
        <v>2588.0</v>
      </c>
      <c r="C589" s="16" t="s">
        <v>3326</v>
      </c>
      <c r="D589" s="16" t="s">
        <v>184</v>
      </c>
      <c r="E589" s="16" t="s">
        <v>185</v>
      </c>
      <c r="F589" s="16" t="s">
        <v>255</v>
      </c>
      <c r="G589" s="16" t="s">
        <v>187</v>
      </c>
      <c r="H589" s="16" t="s">
        <v>854</v>
      </c>
    </row>
    <row r="590" ht="24.75" customHeight="1">
      <c r="A590" s="32" t="str">
        <f>IMAGE("https://gymvisual.com/1714-catalog_default/3-4-sit-up.jpg",4,500,500)</f>
        <v/>
      </c>
      <c r="B590" s="30">
        <v>2589.0</v>
      </c>
      <c r="C590" s="16" t="s">
        <v>3327</v>
      </c>
      <c r="D590" s="16" t="s">
        <v>184</v>
      </c>
      <c r="E590" s="16" t="s">
        <v>254</v>
      </c>
      <c r="F590" s="16" t="s">
        <v>255</v>
      </c>
      <c r="G590" s="16" t="s">
        <v>256</v>
      </c>
      <c r="H590" s="16" t="s">
        <v>1707</v>
      </c>
    </row>
    <row r="591" ht="24.75" customHeight="1">
      <c r="A591" s="32" t="str">
        <f>IMAGE("https://gymvisual.com/17849-catalog_default/leg-raise-dragon-flag.jpg",4,500,500)</f>
        <v/>
      </c>
      <c r="B591" s="30">
        <v>2590.0</v>
      </c>
      <c r="C591" s="16" t="s">
        <v>3328</v>
      </c>
      <c r="D591" s="16" t="s">
        <v>184</v>
      </c>
      <c r="E591" s="16" t="s">
        <v>254</v>
      </c>
      <c r="F591" s="16" t="s">
        <v>255</v>
      </c>
      <c r="G591" s="16" t="s">
        <v>220</v>
      </c>
      <c r="H591" s="16" t="s">
        <v>220</v>
      </c>
    </row>
    <row r="592" ht="24.75" customHeight="1">
      <c r="A592" s="32" t="str">
        <f>IMAGE("https://gymvisual.com/7689-catalog_default/leg-raise-hip-lift.jpg",4,500,500)</f>
        <v/>
      </c>
      <c r="B592" s="30">
        <v>2591.0</v>
      </c>
      <c r="C592" s="16" t="s">
        <v>3329</v>
      </c>
      <c r="D592" s="16" t="s">
        <v>184</v>
      </c>
      <c r="E592" s="16" t="s">
        <v>254</v>
      </c>
      <c r="F592" s="16" t="s">
        <v>255</v>
      </c>
      <c r="G592" s="16" t="s">
        <v>305</v>
      </c>
      <c r="H592" s="16" t="s">
        <v>311</v>
      </c>
    </row>
    <row r="593" ht="24.75" customHeight="1">
      <c r="A593" s="32" t="str">
        <f>IMAGE("https://gymvisual.com/7698-catalog_default/leg-raise-hip-lift-with-head-up.jpg",4,500,500)</f>
        <v/>
      </c>
      <c r="B593" s="30">
        <v>2592.0</v>
      </c>
      <c r="C593" s="16" t="s">
        <v>3330</v>
      </c>
      <c r="D593" s="16" t="s">
        <v>184</v>
      </c>
      <c r="E593" s="16" t="s">
        <v>254</v>
      </c>
      <c r="F593" s="16" t="s">
        <v>255</v>
      </c>
      <c r="G593" s="16" t="s">
        <v>305</v>
      </c>
      <c r="H593" s="16" t="s">
        <v>600</v>
      </c>
    </row>
    <row r="594" ht="24.75" customHeight="1">
      <c r="A594" s="32" t="str">
        <f>IMAGE("https://gymvisual.com/22839-catalog_default/leg-raise-oblique-crunch.jpg",4,500,500)</f>
        <v/>
      </c>
      <c r="B594" s="30">
        <v>2593.0</v>
      </c>
      <c r="C594" s="16" t="s">
        <v>3331</v>
      </c>
      <c r="D594" s="16" t="s">
        <v>184</v>
      </c>
      <c r="E594" s="16" t="s">
        <v>254</v>
      </c>
      <c r="F594" s="16" t="s">
        <v>255</v>
      </c>
      <c r="G594" s="16" t="s">
        <v>3332</v>
      </c>
      <c r="H594" s="16" t="s">
        <v>3333</v>
      </c>
    </row>
    <row r="595" ht="24.75" customHeight="1">
      <c r="A595" s="32" t="str">
        <f>IMAGE("https://gymvisual.com/7695-catalog_default/leg-raise-slightly-bent-knee.jpg",4,500,500)</f>
        <v/>
      </c>
      <c r="B595" s="30">
        <v>2594.0</v>
      </c>
      <c r="C595" s="16" t="s">
        <v>3334</v>
      </c>
      <c r="D595" s="16" t="s">
        <v>184</v>
      </c>
      <c r="E595" s="16" t="s">
        <v>254</v>
      </c>
      <c r="F595" s="16" t="s">
        <v>255</v>
      </c>
      <c r="G595" s="16" t="s">
        <v>220</v>
      </c>
      <c r="H595" s="16" t="s">
        <v>220</v>
      </c>
    </row>
    <row r="596" ht="24.75" customHeight="1">
      <c r="A596" s="32" t="str">
        <f>IMAGE("https://gymvisual.com/24772-catalog_default/lever-ab-coaster-crunch-female.jpg",4,500,500)</f>
        <v/>
      </c>
      <c r="B596" s="30">
        <v>2595.0</v>
      </c>
      <c r="C596" s="16" t="s">
        <v>3335</v>
      </c>
      <c r="D596" s="16" t="s">
        <v>184</v>
      </c>
      <c r="E596" s="16" t="s">
        <v>254</v>
      </c>
      <c r="F596" s="16" t="s">
        <v>346</v>
      </c>
      <c r="G596" s="16" t="s">
        <v>220</v>
      </c>
      <c r="H596" s="16" t="s">
        <v>220</v>
      </c>
    </row>
    <row r="597" ht="24.75" customHeight="1">
      <c r="A597" s="32" t="str">
        <f>IMAGE("https://gymvisual.com/11807-catalog_default/lever-abduction-squat-female.jpg",4,500,500)</f>
        <v/>
      </c>
      <c r="B597" s="30">
        <v>2596.0</v>
      </c>
      <c r="C597" s="16" t="s">
        <v>3336</v>
      </c>
      <c r="D597" s="16" t="s">
        <v>184</v>
      </c>
      <c r="E597" s="16" t="s">
        <v>185</v>
      </c>
      <c r="F597" s="16" t="s">
        <v>346</v>
      </c>
      <c r="G597" s="16" t="s">
        <v>220</v>
      </c>
      <c r="H597" s="16" t="s">
        <v>220</v>
      </c>
    </row>
    <row r="598" ht="24.75" customHeight="1">
      <c r="A598" s="32" t="str">
        <f>IMAGE("https://gymvisual.com/11810-catalog_default/lever-adduction-thrust-female.jpg",4,500,500)</f>
        <v/>
      </c>
      <c r="B598" s="30">
        <v>2597.0</v>
      </c>
      <c r="C598" s="16" t="s">
        <v>3337</v>
      </c>
      <c r="D598" s="16" t="s">
        <v>184</v>
      </c>
      <c r="E598" s="16" t="s">
        <v>185</v>
      </c>
      <c r="F598" s="16" t="s">
        <v>346</v>
      </c>
      <c r="G598" s="16" t="s">
        <v>220</v>
      </c>
      <c r="H598" s="16" t="s">
        <v>220</v>
      </c>
    </row>
    <row r="599" ht="24.75" customHeight="1">
      <c r="A599" s="32" t="str">
        <f>IMAGE("https://gymvisual.com/2930-catalog_default/lever-alternate-biceps-curl.jpg",4,500,500)</f>
        <v/>
      </c>
      <c r="B599" s="30">
        <v>2598.0</v>
      </c>
      <c r="C599" s="16" t="s">
        <v>3338</v>
      </c>
      <c r="D599" s="16" t="s">
        <v>184</v>
      </c>
      <c r="E599" s="16" t="s">
        <v>219</v>
      </c>
      <c r="F599" s="16" t="s">
        <v>346</v>
      </c>
      <c r="G599" s="16" t="s">
        <v>508</v>
      </c>
      <c r="H599" s="16" t="s">
        <v>220</v>
      </c>
    </row>
    <row r="600" ht="24.75" customHeight="1">
      <c r="A600" s="32" t="str">
        <f>IMAGE("https://gymvisual.com/7726-catalog_default/lever-alternate-leg-extension-plate-loaded.jpg",4,500,500)</f>
        <v/>
      </c>
      <c r="B600" s="30">
        <v>2599.0</v>
      </c>
      <c r="C600" s="16" t="s">
        <v>3339</v>
      </c>
      <c r="D600" s="16" t="s">
        <v>184</v>
      </c>
      <c r="E600" s="16" t="s">
        <v>285</v>
      </c>
      <c r="F600" s="16" t="s">
        <v>346</v>
      </c>
      <c r="G600" s="16" t="s">
        <v>552</v>
      </c>
      <c r="H600" s="16" t="s">
        <v>220</v>
      </c>
    </row>
    <row r="601" ht="24.75" customHeight="1">
      <c r="A601" s="32" t="str">
        <f>IMAGE("https://gymvisual.com/9720-catalog_default/lever-alternate-leg-press-plate-loaded.jpg",4,500,500)</f>
        <v/>
      </c>
      <c r="B601" s="30">
        <v>2600.0</v>
      </c>
      <c r="C601" s="16" t="s">
        <v>3340</v>
      </c>
      <c r="D601" s="16" t="s">
        <v>184</v>
      </c>
      <c r="E601" s="16" t="s">
        <v>294</v>
      </c>
      <c r="F601" s="16" t="s">
        <v>346</v>
      </c>
      <c r="G601" s="16" t="s">
        <v>220</v>
      </c>
      <c r="H601" s="16" t="s">
        <v>220</v>
      </c>
    </row>
    <row r="602" ht="24.75" customHeight="1">
      <c r="A602" s="32" t="str">
        <f>IMAGE("https://gymvisual.com/13461-catalog_default/lever-alternating-narrow-grip-seated-row-plate-loaded-female.jpg",4,500,500)</f>
        <v/>
      </c>
      <c r="B602" s="30">
        <v>2601.0</v>
      </c>
      <c r="C602" s="16" t="s">
        <v>3341</v>
      </c>
      <c r="D602" s="16" t="s">
        <v>184</v>
      </c>
      <c r="E602" s="16" t="s">
        <v>192</v>
      </c>
      <c r="F602" s="16" t="s">
        <v>346</v>
      </c>
      <c r="G602" s="16" t="s">
        <v>220</v>
      </c>
      <c r="H602" s="16" t="s">
        <v>220</v>
      </c>
    </row>
    <row r="603" ht="24.75" customHeight="1">
      <c r="A603" s="32" t="str">
        <f>IMAGE("https://gymvisual.com/16056-catalog_default/3-4-sit-up.jpg",4,500,500)</f>
        <v/>
      </c>
      <c r="B603" s="30">
        <v>2602.0</v>
      </c>
      <c r="C603" s="16" t="s">
        <v>3342</v>
      </c>
      <c r="D603" s="16" t="s">
        <v>184</v>
      </c>
      <c r="E603" s="16" t="s">
        <v>192</v>
      </c>
      <c r="F603" s="16" t="s">
        <v>346</v>
      </c>
      <c r="G603" s="16" t="s">
        <v>300</v>
      </c>
      <c r="H603" s="16" t="s">
        <v>3343</v>
      </c>
    </row>
    <row r="604" ht="24.75" customHeight="1">
      <c r="A604" s="32" t="str">
        <f>IMAGE("https://gymvisual.com/11816-catalog_default/lever-assisted-leg-press-female.jpg",4,500,500)</f>
        <v/>
      </c>
      <c r="B604" s="30">
        <v>2603.0</v>
      </c>
      <c r="C604" s="16" t="s">
        <v>3344</v>
      </c>
      <c r="D604" s="16" t="s">
        <v>184</v>
      </c>
      <c r="E604" s="16" t="s">
        <v>185</v>
      </c>
      <c r="F604" s="16" t="s">
        <v>346</v>
      </c>
      <c r="G604" s="16" t="s">
        <v>220</v>
      </c>
      <c r="H604" s="16" t="s">
        <v>220</v>
      </c>
    </row>
    <row r="605" ht="24.75" customHeight="1">
      <c r="A605" s="32" t="str">
        <f>IMAGE("https://gymvisual.com/1723-catalog_default/3-4-sit-up.jpg",4,500,500)</f>
        <v/>
      </c>
      <c r="B605" s="30">
        <v>2604.0</v>
      </c>
      <c r="C605" s="16" t="s">
        <v>3345</v>
      </c>
      <c r="D605" s="16" t="s">
        <v>184</v>
      </c>
      <c r="E605" s="16" t="s">
        <v>254</v>
      </c>
      <c r="F605" s="16" t="s">
        <v>346</v>
      </c>
      <c r="G605" s="16" t="s">
        <v>275</v>
      </c>
      <c r="H605" s="16" t="s">
        <v>220</v>
      </c>
    </row>
    <row r="606" ht="24.75" customHeight="1">
      <c r="A606" s="32" t="str">
        <f>IMAGE("https://gymvisual.com/14278-catalog_default/lever-back-extension-female.jpg",4,500,500)</f>
        <v/>
      </c>
      <c r="B606" s="30">
        <v>2605.0</v>
      </c>
      <c r="C606" s="16" t="s">
        <v>3346</v>
      </c>
      <c r="D606" s="16" t="s">
        <v>184</v>
      </c>
      <c r="E606" s="16" t="s">
        <v>185</v>
      </c>
      <c r="F606" s="16" t="s">
        <v>346</v>
      </c>
      <c r="G606" s="16" t="s">
        <v>275</v>
      </c>
      <c r="H606" s="16" t="s">
        <v>220</v>
      </c>
    </row>
    <row r="607" ht="24.75" customHeight="1">
      <c r="A607" s="32" t="str">
        <f>IMAGE("https://gymvisual.com/9685-catalog_default/lever-back-extension-version-2.jpg",4,500,500)</f>
        <v/>
      </c>
      <c r="B607" s="30">
        <v>2606.0</v>
      </c>
      <c r="C607" s="16" t="s">
        <v>3347</v>
      </c>
      <c r="D607" s="16" t="s">
        <v>184</v>
      </c>
      <c r="E607" s="16" t="s">
        <v>3183</v>
      </c>
      <c r="F607" s="16" t="s">
        <v>346</v>
      </c>
      <c r="G607" s="16" t="s">
        <v>220</v>
      </c>
      <c r="H607" s="16" t="s">
        <v>220</v>
      </c>
    </row>
    <row r="608" ht="24.75" customHeight="1">
      <c r="A608" s="32" t="str">
        <f>IMAGE("https://gymvisual.com/18059-catalog_default/lever-banded-chest-press.jpg",4,500,500)</f>
        <v/>
      </c>
      <c r="B608" s="30">
        <v>2607.0</v>
      </c>
      <c r="C608" s="16" t="s">
        <v>3348</v>
      </c>
      <c r="D608" s="16" t="s">
        <v>184</v>
      </c>
      <c r="E608" s="16" t="s">
        <v>234</v>
      </c>
      <c r="F608" s="16" t="s">
        <v>346</v>
      </c>
      <c r="G608" s="16" t="s">
        <v>220</v>
      </c>
      <c r="H608" s="16" t="s">
        <v>220</v>
      </c>
    </row>
    <row r="609" ht="24.75" customHeight="1">
      <c r="A609" s="32" t="str">
        <f>IMAGE("https://gymvisual.com/12230-catalog_default/lever-belt-squat.jpg",4,500,500)</f>
        <v/>
      </c>
      <c r="B609" s="30">
        <v>2608.0</v>
      </c>
      <c r="C609" s="16" t="s">
        <v>3349</v>
      </c>
      <c r="D609" s="16" t="s">
        <v>184</v>
      </c>
      <c r="E609" s="16" t="s">
        <v>285</v>
      </c>
      <c r="F609" s="16" t="s">
        <v>346</v>
      </c>
      <c r="G609" s="16" t="s">
        <v>220</v>
      </c>
      <c r="H609" s="16" t="s">
        <v>220</v>
      </c>
    </row>
    <row r="610" ht="24.75" customHeight="1">
      <c r="A610" s="32" t="str">
        <f>IMAGE("https://gymvisual.com/1726-catalog_default/3-4-sit-up.jpg",4,500,500)</f>
        <v/>
      </c>
      <c r="B610" s="30">
        <v>2609.0</v>
      </c>
      <c r="C610" s="16" t="s">
        <v>3350</v>
      </c>
      <c r="D610" s="16" t="s">
        <v>184</v>
      </c>
      <c r="E610" s="16" t="s">
        <v>192</v>
      </c>
      <c r="F610" s="16" t="s">
        <v>186</v>
      </c>
      <c r="G610" s="16" t="s">
        <v>329</v>
      </c>
      <c r="H610" s="16" t="s">
        <v>457</v>
      </c>
    </row>
    <row r="611" ht="24.75" customHeight="1">
      <c r="A611" s="32" t="str">
        <f>IMAGE("https://gymvisual.com/13463-catalog_default/lever-bent-over-row-plate-loaded-female.jpg",4,500,500)</f>
        <v/>
      </c>
      <c r="B611" s="30">
        <v>2610.0</v>
      </c>
      <c r="C611" s="16" t="s">
        <v>3351</v>
      </c>
      <c r="D611" s="16" t="s">
        <v>184</v>
      </c>
      <c r="E611" s="16" t="s">
        <v>192</v>
      </c>
      <c r="F611" s="16" t="s">
        <v>346</v>
      </c>
      <c r="G611" s="16" t="s">
        <v>220</v>
      </c>
      <c r="H611" s="16" t="s">
        <v>220</v>
      </c>
    </row>
    <row r="612" ht="24.75" customHeight="1">
      <c r="A612" s="32" t="str">
        <f>IMAGE("https://gymvisual.com/22446-catalog_default/lever-bent-over-wide-row-plate-loaded.jpg",4,500,500)</f>
        <v/>
      </c>
      <c r="B612" s="30">
        <v>2611.0</v>
      </c>
      <c r="C612" s="16" t="s">
        <v>3352</v>
      </c>
      <c r="D612" s="16" t="s">
        <v>184</v>
      </c>
      <c r="E612" s="16" t="s">
        <v>192</v>
      </c>
      <c r="F612" s="16" t="s">
        <v>346</v>
      </c>
      <c r="G612" s="16" t="s">
        <v>220</v>
      </c>
      <c r="H612" s="16" t="s">
        <v>220</v>
      </c>
    </row>
    <row r="613" ht="24.75" customHeight="1">
      <c r="A613" s="32" t="str">
        <f>IMAGE("https://gymvisual.com/12874-catalog_default/lever-bent-over-row-with-v-bar-plate-loaded.jpg",4,500,500)</f>
        <v/>
      </c>
      <c r="B613" s="30">
        <v>2612.0</v>
      </c>
      <c r="C613" s="16" t="s">
        <v>3353</v>
      </c>
      <c r="D613" s="16" t="s">
        <v>184</v>
      </c>
      <c r="E613" s="16" t="s">
        <v>192</v>
      </c>
      <c r="F613" s="16" t="s">
        <v>346</v>
      </c>
      <c r="G613" s="16" t="s">
        <v>329</v>
      </c>
      <c r="H613" s="16" t="s">
        <v>447</v>
      </c>
    </row>
    <row r="614" ht="24.75" customHeight="1">
      <c r="A614" s="32" t="str">
        <f>IMAGE("https://gymvisual.com/1729-catalog_default/3-4-sit-up.jpg",4,500,500)</f>
        <v/>
      </c>
      <c r="B614" s="30">
        <v>2613.0</v>
      </c>
      <c r="C614" s="16" t="s">
        <v>3354</v>
      </c>
      <c r="D614" s="16" t="s">
        <v>184</v>
      </c>
      <c r="E614" s="16" t="s">
        <v>219</v>
      </c>
      <c r="F614" s="16" t="s">
        <v>346</v>
      </c>
      <c r="G614" s="16" t="s">
        <v>232</v>
      </c>
      <c r="H614" s="16" t="s">
        <v>241</v>
      </c>
    </row>
    <row r="615" ht="24.75" customHeight="1">
      <c r="A615" s="32" t="str">
        <f>IMAGE("https://gymvisual.com/13465-catalog_default/lever-bicep-curl-female.jpg",4,500,500)</f>
        <v/>
      </c>
      <c r="B615" s="30">
        <v>2614.0</v>
      </c>
      <c r="C615" s="16" t="s">
        <v>3355</v>
      </c>
      <c r="D615" s="16" t="s">
        <v>184</v>
      </c>
      <c r="E615" s="16" t="s">
        <v>219</v>
      </c>
      <c r="F615" s="16" t="s">
        <v>346</v>
      </c>
      <c r="G615" s="16" t="s">
        <v>220</v>
      </c>
      <c r="H615" s="16" t="s">
        <v>220</v>
      </c>
    </row>
    <row r="616" ht="24.75" customHeight="1">
      <c r="A616" s="32" t="str">
        <f>IMAGE("https://gymvisual.com/18744-catalog_default/lever-biceps-curl.jpg",4,500,500)</f>
        <v/>
      </c>
      <c r="B616" s="30">
        <v>2615.0</v>
      </c>
      <c r="C616" s="16" t="s">
        <v>3356</v>
      </c>
      <c r="D616" s="16" t="s">
        <v>184</v>
      </c>
      <c r="E616" s="16" t="s">
        <v>219</v>
      </c>
      <c r="F616" s="16" t="s">
        <v>346</v>
      </c>
      <c r="G616" s="16" t="s">
        <v>220</v>
      </c>
      <c r="H616" s="16" t="s">
        <v>220</v>
      </c>
    </row>
    <row r="617" ht="24.75" customHeight="1">
      <c r="A617" s="32" t="str">
        <f>IMAGE("https://gymvisual.com/7715-catalog_default/lever-cable-rear-pulldown.jpg",4,500,500)</f>
        <v/>
      </c>
      <c r="B617" s="30">
        <v>2616.0</v>
      </c>
      <c r="C617" s="16" t="s">
        <v>3357</v>
      </c>
      <c r="D617" s="16" t="s">
        <v>184</v>
      </c>
      <c r="E617" s="16" t="s">
        <v>192</v>
      </c>
      <c r="F617" s="16" t="s">
        <v>346</v>
      </c>
      <c r="G617" s="16" t="s">
        <v>220</v>
      </c>
      <c r="H617" s="16" t="s">
        <v>220</v>
      </c>
    </row>
    <row r="618" ht="24.75" customHeight="1">
      <c r="A618" s="32" t="str">
        <f>IMAGE("https://gymvisual.com/7714-catalog_default/lever-cable-shoulder-press.jpg",4,500,500)</f>
        <v/>
      </c>
      <c r="B618" s="30">
        <v>2617.0</v>
      </c>
      <c r="C618" s="16" t="s">
        <v>3358</v>
      </c>
      <c r="D618" s="16" t="s">
        <v>184</v>
      </c>
      <c r="E618" s="16" t="s">
        <v>228</v>
      </c>
      <c r="F618" s="16" t="s">
        <v>346</v>
      </c>
      <c r="G618" s="16" t="s">
        <v>220</v>
      </c>
      <c r="H618" s="16" t="s">
        <v>220</v>
      </c>
    </row>
    <row r="619" ht="24.75" customHeight="1">
      <c r="A619" s="32" t="str">
        <f>IMAGE("https://gymvisual.com/9722-catalog_default/lever-calf-press-plate-loaded.jpg",4,500,500)</f>
        <v/>
      </c>
      <c r="B619" s="30">
        <v>2618.0</v>
      </c>
      <c r="C619" s="16" t="s">
        <v>3359</v>
      </c>
      <c r="D619" s="16" t="s">
        <v>184</v>
      </c>
      <c r="E619" s="16" t="s">
        <v>325</v>
      </c>
      <c r="F619" s="16" t="s">
        <v>346</v>
      </c>
      <c r="G619" s="16" t="s">
        <v>220</v>
      </c>
      <c r="H619" s="16" t="s">
        <v>220</v>
      </c>
    </row>
    <row r="620" ht="24.75" customHeight="1">
      <c r="A620" s="32" t="str">
        <f>IMAGE("https://gymvisual.com/4591-catalog_default/lever-calf-raise-bench-press-machine.jpg",4,500,500)</f>
        <v/>
      </c>
      <c r="B620" s="30">
        <v>2619.0</v>
      </c>
      <c r="C620" s="16" t="s">
        <v>3360</v>
      </c>
      <c r="D620" s="16" t="s">
        <v>184</v>
      </c>
      <c r="E620" s="16" t="s">
        <v>325</v>
      </c>
      <c r="F620" s="16" t="s">
        <v>346</v>
      </c>
      <c r="G620" s="16" t="s">
        <v>368</v>
      </c>
      <c r="H620" s="16" t="s">
        <v>463</v>
      </c>
    </row>
    <row r="621" ht="24.75" customHeight="1">
      <c r="A621" s="32" t="str">
        <f>IMAGE("https://gymvisual.com/2936-catalog_default/lever-chair-squat.jpg",4,500,500)</f>
        <v/>
      </c>
      <c r="B621" s="30">
        <v>2620.0</v>
      </c>
      <c r="C621" s="16" t="s">
        <v>3361</v>
      </c>
      <c r="D621" s="16" t="s">
        <v>184</v>
      </c>
      <c r="E621" s="16" t="s">
        <v>285</v>
      </c>
      <c r="F621" s="16" t="s">
        <v>346</v>
      </c>
      <c r="G621" s="16" t="s">
        <v>189</v>
      </c>
      <c r="H621" s="16" t="s">
        <v>190</v>
      </c>
    </row>
    <row r="622" ht="24.75" customHeight="1">
      <c r="A622" s="32" t="str">
        <f>IMAGE("https://gymvisual.com/1735-catalog_default/3-4-sit-up.jpg",4,500,500)</f>
        <v/>
      </c>
      <c r="B622" s="30">
        <v>2621.0</v>
      </c>
      <c r="C622" s="16" t="s">
        <v>3362</v>
      </c>
      <c r="D622" s="16" t="s">
        <v>184</v>
      </c>
      <c r="E622" s="16" t="s">
        <v>234</v>
      </c>
      <c r="F622" s="16" t="s">
        <v>346</v>
      </c>
      <c r="G622" s="16" t="s">
        <v>347</v>
      </c>
      <c r="H622" s="16" t="s">
        <v>382</v>
      </c>
    </row>
    <row r="623" ht="24.75" customHeight="1">
      <c r="A623" s="32" t="str">
        <f>IMAGE("https://gymvisual.com/10996-catalog_default/lever-chest-press-female.jpg",4,500,500)</f>
        <v/>
      </c>
      <c r="B623" s="30">
        <v>2622.0</v>
      </c>
      <c r="C623" s="16" t="s">
        <v>3363</v>
      </c>
      <c r="D623" s="16" t="s">
        <v>184</v>
      </c>
      <c r="E623" s="16" t="s">
        <v>234</v>
      </c>
      <c r="F623" s="16" t="s">
        <v>346</v>
      </c>
      <c r="G623" s="16" t="s">
        <v>220</v>
      </c>
      <c r="H623" s="16" t="s">
        <v>220</v>
      </c>
    </row>
    <row r="624" ht="24.75" customHeight="1">
      <c r="A624" s="32" t="str">
        <f>IMAGE("https://gymvisual.com/1732-catalog_default/3-4-sit-up.jpg",4,500,500)</f>
        <v/>
      </c>
      <c r="B624" s="30">
        <v>2623.0</v>
      </c>
      <c r="C624" s="16" t="s">
        <v>3364</v>
      </c>
      <c r="D624" s="16" t="s">
        <v>184</v>
      </c>
      <c r="E624" s="16" t="s">
        <v>234</v>
      </c>
      <c r="F624" s="16" t="s">
        <v>346</v>
      </c>
      <c r="G624" s="16" t="s">
        <v>347</v>
      </c>
      <c r="H624" s="16" t="s">
        <v>382</v>
      </c>
    </row>
    <row r="625" ht="24.75" customHeight="1">
      <c r="A625" s="32" t="str">
        <f>IMAGE("https://gymvisual.com/10993-catalog_default/lever-chest-press-plate-loaded-female.jpg",4,500,500)</f>
        <v/>
      </c>
      <c r="B625" s="30">
        <v>2624.0</v>
      </c>
      <c r="C625" s="16" t="s">
        <v>3365</v>
      </c>
      <c r="D625" s="16" t="s">
        <v>184</v>
      </c>
      <c r="E625" s="16" t="s">
        <v>234</v>
      </c>
      <c r="F625" s="16" t="s">
        <v>346</v>
      </c>
      <c r="G625" s="16" t="s">
        <v>347</v>
      </c>
      <c r="H625" s="16" t="s">
        <v>382</v>
      </c>
    </row>
    <row r="626" ht="24.75" customHeight="1">
      <c r="A626" s="32" t="str">
        <f>IMAGE("https://gymvisual.com/6468-catalog_default/lever-chest-press-version-2.jpg",4,500,500)</f>
        <v/>
      </c>
      <c r="B626" s="30">
        <v>2625.0</v>
      </c>
      <c r="C626" s="16" t="s">
        <v>3366</v>
      </c>
      <c r="D626" s="16" t="s">
        <v>184</v>
      </c>
      <c r="E626" s="16" t="s">
        <v>234</v>
      </c>
      <c r="F626" s="16" t="s">
        <v>346</v>
      </c>
      <c r="G626" s="16" t="s">
        <v>347</v>
      </c>
      <c r="H626" s="16" t="s">
        <v>382</v>
      </c>
    </row>
    <row r="627" ht="24.75" customHeight="1">
      <c r="A627" s="32" t="str">
        <f>IMAGE("https://gymvisual.com/9700-catalog_default/lever-chest-press-version-4.jpg",4,500,500)</f>
        <v/>
      </c>
      <c r="B627" s="30">
        <v>2626.0</v>
      </c>
      <c r="C627" s="16" t="s">
        <v>3367</v>
      </c>
      <c r="D627" s="16" t="s">
        <v>184</v>
      </c>
      <c r="E627" s="16" t="s">
        <v>234</v>
      </c>
      <c r="F627" s="16" t="s">
        <v>346</v>
      </c>
      <c r="G627" s="16" t="s">
        <v>347</v>
      </c>
      <c r="H627" s="16" t="s">
        <v>382</v>
      </c>
    </row>
    <row r="628" ht="24.75" customHeight="1">
      <c r="A628" s="32" t="str">
        <f>IMAGE("https://gymvisual.com/13641-catalog_default/lever-crossovers.jpg",4,500,500)</f>
        <v/>
      </c>
      <c r="B628" s="30">
        <v>2627.0</v>
      </c>
      <c r="C628" s="16" t="s">
        <v>3368</v>
      </c>
      <c r="D628" s="16" t="s">
        <v>184</v>
      </c>
      <c r="E628" s="16" t="s">
        <v>234</v>
      </c>
      <c r="F628" s="16" t="s">
        <v>346</v>
      </c>
      <c r="G628" s="16" t="s">
        <v>347</v>
      </c>
      <c r="H628" s="16" t="s">
        <v>220</v>
      </c>
    </row>
    <row r="629" ht="24.75" customHeight="1">
      <c r="A629" s="32" t="str">
        <f>IMAGE("https://gymvisual.com/1738-catalog_default/3-4-sit-up.jpg",4,500,500)</f>
        <v/>
      </c>
      <c r="B629" s="30">
        <v>2628.0</v>
      </c>
      <c r="C629" s="16" t="s">
        <v>3369</v>
      </c>
      <c r="D629" s="16" t="s">
        <v>184</v>
      </c>
      <c r="E629" s="16" t="s">
        <v>285</v>
      </c>
      <c r="F629" s="16" t="s">
        <v>346</v>
      </c>
      <c r="G629" s="16" t="s">
        <v>189</v>
      </c>
      <c r="H629" s="16" t="s">
        <v>190</v>
      </c>
    </row>
    <row r="630" ht="24.75" customHeight="1">
      <c r="A630" s="32" t="str">
        <f>IMAGE("https://gymvisual.com/13467-catalog_default/lever-deadlift-plate-loaded-female.jpg",4,500,500)</f>
        <v/>
      </c>
      <c r="B630" s="30">
        <v>2629.0</v>
      </c>
      <c r="C630" s="16" t="s">
        <v>3370</v>
      </c>
      <c r="D630" s="16" t="s">
        <v>184</v>
      </c>
      <c r="E630" s="16" t="s">
        <v>294</v>
      </c>
      <c r="F630" s="16" t="s">
        <v>346</v>
      </c>
      <c r="G630" s="16" t="s">
        <v>220</v>
      </c>
      <c r="H630" s="16" t="s">
        <v>220</v>
      </c>
    </row>
    <row r="631" ht="24.75" customHeight="1">
      <c r="A631" s="32" t="str">
        <f>IMAGE("https://gymvisual.com/5989-catalog_default/lever-decline-chest-press.jpg",4,500,500)</f>
        <v/>
      </c>
      <c r="B631" s="30">
        <v>2630.0</v>
      </c>
      <c r="C631" s="16" t="s">
        <v>3371</v>
      </c>
      <c r="D631" s="16" t="s">
        <v>184</v>
      </c>
      <c r="E631" s="16" t="s">
        <v>234</v>
      </c>
      <c r="F631" s="16" t="s">
        <v>346</v>
      </c>
      <c r="G631" s="16" t="s">
        <v>347</v>
      </c>
      <c r="H631" s="16" t="s">
        <v>382</v>
      </c>
    </row>
    <row r="632" ht="24.75" customHeight="1">
      <c r="A632" s="32" t="str">
        <f>IMAGE("https://gymvisual.com/10987-catalog_default/lever-decline-chest-press-female.jpg",4,500,500)</f>
        <v/>
      </c>
      <c r="B632" s="30">
        <v>2631.0</v>
      </c>
      <c r="C632" s="16" t="s">
        <v>3372</v>
      </c>
      <c r="D632" s="16" t="s">
        <v>184</v>
      </c>
      <c r="E632" s="16" t="s">
        <v>234</v>
      </c>
      <c r="F632" s="16" t="s">
        <v>346</v>
      </c>
      <c r="G632" s="16" t="s">
        <v>220</v>
      </c>
      <c r="H632" s="16" t="s">
        <v>220</v>
      </c>
    </row>
    <row r="633" ht="24.75" customHeight="1">
      <c r="A633" s="32" t="str">
        <f>IMAGE("https://gymvisual.com/9703-catalog_default/lever-decline-chest-press-version-2.jpg",4,500,500)</f>
        <v/>
      </c>
      <c r="B633" s="30">
        <v>2632.0</v>
      </c>
      <c r="C633" s="16" t="s">
        <v>3373</v>
      </c>
      <c r="D633" s="16" t="s">
        <v>184</v>
      </c>
      <c r="E633" s="16" t="s">
        <v>234</v>
      </c>
      <c r="F633" s="16" t="s">
        <v>346</v>
      </c>
      <c r="G633" s="16" t="s">
        <v>347</v>
      </c>
      <c r="H633" s="16" t="s">
        <v>382</v>
      </c>
    </row>
    <row r="634" ht="24.75" customHeight="1">
      <c r="A634" s="32" t="str">
        <f>IMAGE("https://gymvisual.com/7710-catalog_default/lever-decline-sit-up.jpg",4,500,500)</f>
        <v/>
      </c>
      <c r="B634" s="30">
        <v>2633.0</v>
      </c>
      <c r="C634" s="16" t="s">
        <v>3374</v>
      </c>
      <c r="D634" s="16" t="s">
        <v>184</v>
      </c>
      <c r="E634" s="16" t="s">
        <v>254</v>
      </c>
      <c r="F634" s="16" t="s">
        <v>346</v>
      </c>
      <c r="G634" s="16" t="s">
        <v>220</v>
      </c>
      <c r="H634" s="16" t="s">
        <v>220</v>
      </c>
    </row>
    <row r="635" ht="24.75" customHeight="1">
      <c r="A635" s="32" t="str">
        <f>IMAGE("https://gymvisual.com/5939-catalog_default/lever-donkey-calf-raise.jpg",4,500,500)</f>
        <v/>
      </c>
      <c r="B635" s="30">
        <v>2634.0</v>
      </c>
      <c r="C635" s="16" t="s">
        <v>3375</v>
      </c>
      <c r="D635" s="16" t="s">
        <v>184</v>
      </c>
      <c r="E635" s="16" t="s">
        <v>325</v>
      </c>
      <c r="F635" s="16" t="s">
        <v>346</v>
      </c>
      <c r="G635" s="16" t="s">
        <v>368</v>
      </c>
      <c r="H635" s="16" t="s">
        <v>463</v>
      </c>
    </row>
    <row r="636" ht="24.75" customHeight="1">
      <c r="A636" s="32" t="str">
        <f>IMAGE("https://gymvisual.com/1741-catalog_default/3-4-sit-up.jpg",4,500,500)</f>
        <v/>
      </c>
      <c r="B636" s="30">
        <v>2635.0</v>
      </c>
      <c r="C636" s="16" t="s">
        <v>3376</v>
      </c>
      <c r="D636" s="16" t="s">
        <v>184</v>
      </c>
      <c r="E636" s="16" t="s">
        <v>192</v>
      </c>
      <c r="F636" s="16" t="s">
        <v>346</v>
      </c>
      <c r="G636" s="16" t="s">
        <v>300</v>
      </c>
      <c r="H636" s="16" t="s">
        <v>387</v>
      </c>
    </row>
    <row r="637" ht="24.75" customHeight="1">
      <c r="A637" s="32" t="str">
        <f>IMAGE("https://gymvisual.com/2937-catalog_default/lever-full-squat.jpg",4,500,500)</f>
        <v/>
      </c>
      <c r="B637" s="30">
        <v>2636.0</v>
      </c>
      <c r="C637" s="16" t="s">
        <v>3377</v>
      </c>
      <c r="D637" s="16" t="s">
        <v>184</v>
      </c>
      <c r="E637" s="16" t="s">
        <v>285</v>
      </c>
      <c r="F637" s="16" t="s">
        <v>346</v>
      </c>
      <c r="G637" s="16" t="s">
        <v>347</v>
      </c>
      <c r="H637" s="16" t="s">
        <v>382</v>
      </c>
    </row>
    <row r="638" ht="24.75" customHeight="1">
      <c r="A638" s="32" t="str">
        <f>IMAGE("https://gymvisual.com/1744-catalog_default/3-4-sit-up.jpg",4,500,500)</f>
        <v/>
      </c>
      <c r="B638" s="30">
        <v>2637.0</v>
      </c>
      <c r="C638" s="16" t="s">
        <v>3378</v>
      </c>
      <c r="D638" s="16" t="s">
        <v>184</v>
      </c>
      <c r="E638" s="16" t="s">
        <v>192</v>
      </c>
      <c r="F638" s="16" t="s">
        <v>346</v>
      </c>
      <c r="G638" s="16" t="s">
        <v>238</v>
      </c>
      <c r="H638" s="16" t="s">
        <v>1621</v>
      </c>
    </row>
    <row r="639" ht="24.75" customHeight="1">
      <c r="A639" s="32" t="str">
        <f>IMAGE("https://gymvisual.com/6454-catalog_default/lever-gripless-shrug-version-2.jpg",4,500,500)</f>
        <v/>
      </c>
      <c r="B639" s="30">
        <v>2638.0</v>
      </c>
      <c r="C639" s="16" t="s">
        <v>3379</v>
      </c>
      <c r="D639" s="16" t="s">
        <v>184</v>
      </c>
      <c r="E639" s="16" t="s">
        <v>192</v>
      </c>
      <c r="F639" s="16" t="s">
        <v>346</v>
      </c>
      <c r="G639" s="16" t="s">
        <v>238</v>
      </c>
      <c r="H639" s="16" t="s">
        <v>618</v>
      </c>
    </row>
    <row r="640" ht="24.75" customHeight="1">
      <c r="A640" s="32" t="str">
        <f>IMAGE("https://gymvisual.com/9721-catalog_default/lever-gripper-hands-plate-loaded.jpg",4,500,500)</f>
        <v/>
      </c>
      <c r="B640" s="30">
        <v>2639.0</v>
      </c>
      <c r="C640" s="16" t="s">
        <v>3380</v>
      </c>
      <c r="D640" s="16" t="s">
        <v>184</v>
      </c>
      <c r="E640" s="16" t="s">
        <v>214</v>
      </c>
      <c r="F640" s="16" t="s">
        <v>346</v>
      </c>
      <c r="G640" s="16" t="s">
        <v>220</v>
      </c>
      <c r="H640" s="16" t="s">
        <v>220</v>
      </c>
    </row>
    <row r="641" ht="24.75" customHeight="1">
      <c r="A641" s="32" t="str">
        <f>IMAGE("https://gymvisual.com/7087-catalog_default/lever-hammer-grip-preacher-curl.jpg",4,500,500)</f>
        <v/>
      </c>
      <c r="B641" s="30">
        <v>2640.0</v>
      </c>
      <c r="C641" s="16" t="s">
        <v>3381</v>
      </c>
      <c r="D641" s="16" t="s">
        <v>184</v>
      </c>
      <c r="E641" s="16" t="s">
        <v>219</v>
      </c>
      <c r="F641" s="16" t="s">
        <v>346</v>
      </c>
      <c r="G641" s="16" t="s">
        <v>220</v>
      </c>
      <c r="H641" s="16" t="s">
        <v>220</v>
      </c>
    </row>
    <row r="642" ht="24.75" customHeight="1">
      <c r="A642" s="32" t="str">
        <f>IMAGE("https://gymvisual.com/1747-catalog_default/3-4-sit-up.jpg",4,500,500)</f>
        <v/>
      </c>
      <c r="B642" s="30">
        <v>2641.0</v>
      </c>
      <c r="C642" s="16" t="s">
        <v>3382</v>
      </c>
      <c r="D642" s="16" t="s">
        <v>184</v>
      </c>
      <c r="E642" s="16" t="s">
        <v>192</v>
      </c>
      <c r="F642" s="16" t="s">
        <v>346</v>
      </c>
      <c r="G642" s="16" t="s">
        <v>329</v>
      </c>
      <c r="H642" s="16" t="s">
        <v>457</v>
      </c>
    </row>
    <row r="643" ht="24.75" customHeight="1">
      <c r="A643" s="32" t="str">
        <f>IMAGE("https://gymvisual.com/12225-catalog_default/lever-high-row-plate-loaded.jpg",4,500,500)</f>
        <v/>
      </c>
      <c r="B643" s="30">
        <v>2642.0</v>
      </c>
      <c r="C643" s="16" t="s">
        <v>3382</v>
      </c>
      <c r="D643" s="16" t="s">
        <v>184</v>
      </c>
      <c r="E643" s="16" t="s">
        <v>192</v>
      </c>
      <c r="F643" s="16" t="s">
        <v>346</v>
      </c>
      <c r="G643" s="16" t="s">
        <v>570</v>
      </c>
      <c r="H643" s="16" t="s">
        <v>447</v>
      </c>
    </row>
    <row r="644" ht="24.75" customHeight="1">
      <c r="A644" s="32" t="str">
        <f>IMAGE("https://gymvisual.com/13469-catalog_default/lever-high-row-plate-loaded-female.jpg",4,500,500)</f>
        <v/>
      </c>
      <c r="B644" s="30">
        <v>2643.0</v>
      </c>
      <c r="C644" s="16" t="s">
        <v>3383</v>
      </c>
      <c r="D644" s="16" t="s">
        <v>184</v>
      </c>
      <c r="E644" s="16" t="s">
        <v>192</v>
      </c>
      <c r="F644" s="16" t="s">
        <v>346</v>
      </c>
      <c r="G644" s="16" t="s">
        <v>570</v>
      </c>
      <c r="H644" s="16" t="s">
        <v>447</v>
      </c>
    </row>
    <row r="645" ht="24.75" customHeight="1">
      <c r="A645" s="32" t="str">
        <f>IMAGE("https://gymvisual.com/12226-catalog_default/lever-high-row-plate-loaded-version-3.jpg",4,500,500)</f>
        <v/>
      </c>
      <c r="B645" s="30">
        <v>2644.0</v>
      </c>
      <c r="C645" s="16" t="s">
        <v>3384</v>
      </c>
      <c r="D645" s="16" t="s">
        <v>184</v>
      </c>
      <c r="E645" s="16" t="s">
        <v>192</v>
      </c>
      <c r="F645" s="16" t="s">
        <v>346</v>
      </c>
      <c r="G645" s="16" t="s">
        <v>570</v>
      </c>
      <c r="H645" s="16" t="s">
        <v>447</v>
      </c>
    </row>
    <row r="646" ht="24.75" customHeight="1">
      <c r="A646" s="32" t="str">
        <f>IMAGE("https://gymvisual.com/9719-catalog_default/lever-hip-extension-version-2.jpg",4,500,500)</f>
        <v/>
      </c>
      <c r="B646" s="30">
        <v>2645.0</v>
      </c>
      <c r="C646" s="16" t="s">
        <v>3385</v>
      </c>
      <c r="D646" s="16" t="s">
        <v>184</v>
      </c>
      <c r="E646" s="16" t="s">
        <v>185</v>
      </c>
      <c r="F646" s="16" t="s">
        <v>346</v>
      </c>
      <c r="G646" s="16" t="s">
        <v>220</v>
      </c>
      <c r="H646" s="16" t="s">
        <v>220</v>
      </c>
    </row>
    <row r="647" ht="24.75" customHeight="1">
      <c r="A647" s="32" t="str">
        <f>IMAGE("https://gymvisual.com/8778-catalog_default/lever-hip-thrust.jpg",4,500,500)</f>
        <v/>
      </c>
      <c r="B647" s="30">
        <v>2646.0</v>
      </c>
      <c r="C647" s="16" t="s">
        <v>3386</v>
      </c>
      <c r="D647" s="16" t="s">
        <v>184</v>
      </c>
      <c r="E647" s="16" t="s">
        <v>185</v>
      </c>
      <c r="F647" s="16" t="s">
        <v>346</v>
      </c>
      <c r="G647" s="16" t="s">
        <v>187</v>
      </c>
      <c r="H647" s="16" t="s">
        <v>2646</v>
      </c>
    </row>
    <row r="648" ht="24.75" customHeight="1">
      <c r="A648" s="32" t="str">
        <f>IMAGE("https://gymvisual.com/14125-catalog_default/lever-hip-thrust-plate-loaded-female.jpg",4,500,500)</f>
        <v/>
      </c>
      <c r="B648" s="30">
        <v>2647.0</v>
      </c>
      <c r="C648" s="16" t="s">
        <v>3387</v>
      </c>
      <c r="D648" s="16" t="s">
        <v>184</v>
      </c>
      <c r="E648" s="16" t="s">
        <v>185</v>
      </c>
      <c r="F648" s="16" t="s">
        <v>346</v>
      </c>
      <c r="G648" s="16" t="s">
        <v>187</v>
      </c>
      <c r="H648" s="16" t="s">
        <v>188</v>
      </c>
    </row>
    <row r="649" ht="24.75" customHeight="1">
      <c r="A649" s="32" t="str">
        <f>IMAGE("https://gymvisual.com/11798-catalog_default/lever-hip-thrust-version-2-female.jpg",4,500,500)</f>
        <v/>
      </c>
      <c r="B649" s="30">
        <v>2648.0</v>
      </c>
      <c r="C649" s="16" t="s">
        <v>3388</v>
      </c>
      <c r="D649" s="16" t="s">
        <v>184</v>
      </c>
      <c r="E649" s="16" t="s">
        <v>185</v>
      </c>
      <c r="F649" s="16" t="s">
        <v>346</v>
      </c>
      <c r="G649" s="16" t="s">
        <v>187</v>
      </c>
      <c r="H649" s="16" t="s">
        <v>188</v>
      </c>
    </row>
    <row r="650" ht="24.75" customHeight="1">
      <c r="A650" s="32" t="str">
        <f>IMAGE("https://gymvisual.com/11795-catalog_default/lever-hip-thrust-with-stepbox-version-2-female.jpg",4,500,500)</f>
        <v/>
      </c>
      <c r="B650" s="30">
        <v>2649.0</v>
      </c>
      <c r="C650" s="16" t="s">
        <v>3389</v>
      </c>
      <c r="D650" s="16" t="s">
        <v>184</v>
      </c>
      <c r="E650" s="16" t="s">
        <v>185</v>
      </c>
      <c r="F650" s="16" t="s">
        <v>346</v>
      </c>
      <c r="G650" s="16" t="s">
        <v>187</v>
      </c>
      <c r="H650" s="16" t="s">
        <v>188</v>
      </c>
    </row>
    <row r="651" ht="24.75" customHeight="1">
      <c r="A651" s="32" t="str">
        <f>IMAGE("https://gymvisual.com/8783-catalog_default/lever-hip-thrust-with-resistance-band.jpg",4,500,500)</f>
        <v/>
      </c>
      <c r="B651" s="30">
        <v>2650.0</v>
      </c>
      <c r="C651" s="16" t="s">
        <v>3390</v>
      </c>
      <c r="D651" s="16" t="s">
        <v>184</v>
      </c>
      <c r="E651" s="16" t="s">
        <v>185</v>
      </c>
      <c r="F651" s="16" t="s">
        <v>3391</v>
      </c>
      <c r="G651" s="16" t="s">
        <v>187</v>
      </c>
      <c r="H651" s="16" t="s">
        <v>854</v>
      </c>
    </row>
    <row r="652" ht="24.75" customHeight="1">
      <c r="A652" s="32" t="str">
        <f>IMAGE("https://gymvisual.com/12231-catalog_default/lever-horizontal-leg-press.jpg",4,500,500)</f>
        <v/>
      </c>
      <c r="B652" s="30">
        <v>2651.0</v>
      </c>
      <c r="C652" s="16" t="s">
        <v>3392</v>
      </c>
      <c r="D652" s="16" t="s">
        <v>184</v>
      </c>
      <c r="E652" s="16" t="s">
        <v>285</v>
      </c>
      <c r="F652" s="16" t="s">
        <v>346</v>
      </c>
      <c r="G652" s="16" t="s">
        <v>220</v>
      </c>
      <c r="H652" s="16" t="s">
        <v>220</v>
      </c>
    </row>
    <row r="653" ht="24.75" customHeight="1">
      <c r="A653" s="32" t="str">
        <f>IMAGE("https://gymvisual.com/10304-catalog_default/lever-horizontal-leg-press-female.jpg",4,500,500)</f>
        <v/>
      </c>
      <c r="B653" s="30">
        <v>2652.0</v>
      </c>
      <c r="C653" s="16" t="s">
        <v>3393</v>
      </c>
      <c r="D653" s="16" t="s">
        <v>184</v>
      </c>
      <c r="E653" s="16" t="s">
        <v>285</v>
      </c>
      <c r="F653" s="16" t="s">
        <v>346</v>
      </c>
      <c r="G653" s="16" t="s">
        <v>189</v>
      </c>
      <c r="H653" s="16" t="s">
        <v>190</v>
      </c>
    </row>
    <row r="654" ht="24.75" customHeight="1">
      <c r="A654" s="32" t="str">
        <f>IMAGE("https://gymvisual.com/2773-catalog_default/lever-horizontal-one-leg-press.jpg",4,500,500)</f>
        <v/>
      </c>
      <c r="B654" s="30">
        <v>2653.0</v>
      </c>
      <c r="C654" s="16" t="s">
        <v>3394</v>
      </c>
      <c r="D654" s="16" t="s">
        <v>184</v>
      </c>
      <c r="E654" s="16" t="s">
        <v>185</v>
      </c>
      <c r="F654" s="16" t="s">
        <v>346</v>
      </c>
      <c r="G654" s="16" t="s">
        <v>1878</v>
      </c>
      <c r="H654" s="16" t="s">
        <v>857</v>
      </c>
    </row>
    <row r="655" ht="24.75" customHeight="1">
      <c r="A655" s="32" t="str">
        <f>IMAGE("https://gymvisual.com/10753-catalog_default/lever-horizontal-one-leg-press.jpg",4,500,500)</f>
        <v/>
      </c>
      <c r="B655" s="30">
        <v>2654.0</v>
      </c>
      <c r="C655" s="16" t="s">
        <v>3394</v>
      </c>
      <c r="D655" s="16" t="s">
        <v>184</v>
      </c>
      <c r="E655" s="16" t="s">
        <v>285</v>
      </c>
      <c r="F655" s="16" t="s">
        <v>346</v>
      </c>
      <c r="G655" s="16" t="s">
        <v>189</v>
      </c>
      <c r="H655" s="16" t="s">
        <v>1939</v>
      </c>
    </row>
    <row r="656" ht="24.75" customHeight="1">
      <c r="A656" s="32" t="str">
        <f>IMAGE("https://gymvisual.com/5988-catalog_default/lever-incline-chest-press.jpg",4,500,500)</f>
        <v/>
      </c>
      <c r="B656" s="30">
        <v>2655.0</v>
      </c>
      <c r="C656" s="16" t="s">
        <v>3395</v>
      </c>
      <c r="D656" s="16" t="s">
        <v>184</v>
      </c>
      <c r="E656" s="16" t="s">
        <v>234</v>
      </c>
      <c r="F656" s="16" t="s">
        <v>346</v>
      </c>
      <c r="G656" s="16" t="s">
        <v>415</v>
      </c>
      <c r="H656" s="16" t="s">
        <v>243</v>
      </c>
    </row>
    <row r="657" ht="24.75" customHeight="1">
      <c r="A657" s="32" t="str">
        <f>IMAGE("https://gymvisual.com/10990-catalog_default/lever-incline-chest-press-female.jpg",4,500,500)</f>
        <v/>
      </c>
      <c r="B657" s="30">
        <v>2656.0</v>
      </c>
      <c r="C657" s="16" t="s">
        <v>3396</v>
      </c>
      <c r="D657" s="16" t="s">
        <v>184</v>
      </c>
      <c r="E657" s="16" t="s">
        <v>234</v>
      </c>
      <c r="F657" s="16" t="s">
        <v>346</v>
      </c>
      <c r="G657" s="16" t="s">
        <v>220</v>
      </c>
      <c r="H657" s="16" t="s">
        <v>220</v>
      </c>
    </row>
    <row r="658" ht="24.75" customHeight="1">
      <c r="A658" s="32" t="str">
        <f>IMAGE("https://gymvisual.com/24824-catalog_default/lever-incline-chest-press-plate-loaded.jpg",4,500,500)</f>
        <v/>
      </c>
      <c r="B658" s="30">
        <v>2657.0</v>
      </c>
      <c r="C658" s="16" t="s">
        <v>3397</v>
      </c>
      <c r="D658" s="16" t="s">
        <v>184</v>
      </c>
      <c r="E658" s="16" t="s">
        <v>234</v>
      </c>
      <c r="F658" s="16" t="s">
        <v>346</v>
      </c>
      <c r="G658" s="16" t="s">
        <v>415</v>
      </c>
      <c r="H658" s="16" t="s">
        <v>243</v>
      </c>
    </row>
    <row r="659" ht="24.75" customHeight="1">
      <c r="A659" s="32" t="str">
        <f>IMAGE("https://gymvisual.com/6425-catalog_default/lever-incline-chest-press-versions-2.jpg",4,500,500)</f>
        <v/>
      </c>
      <c r="B659" s="30">
        <v>2658.0</v>
      </c>
      <c r="C659" s="16" t="s">
        <v>3398</v>
      </c>
      <c r="D659" s="16" t="s">
        <v>184</v>
      </c>
      <c r="E659" s="16" t="s">
        <v>234</v>
      </c>
      <c r="F659" s="16" t="s">
        <v>346</v>
      </c>
      <c r="G659" s="16" t="s">
        <v>415</v>
      </c>
      <c r="H659" s="16" t="s">
        <v>243</v>
      </c>
    </row>
    <row r="660" ht="24.75" customHeight="1">
      <c r="A660" s="32" t="str">
        <f>IMAGE("https://gymvisual.com/25894-catalog_default/lever-incline-fly-male.jpg",4,500,500)</f>
        <v/>
      </c>
      <c r="B660" s="30">
        <v>2659.0</v>
      </c>
      <c r="C660" s="16" t="s">
        <v>3399</v>
      </c>
      <c r="D660" s="16" t="s">
        <v>184</v>
      </c>
      <c r="E660" s="16" t="s">
        <v>234</v>
      </c>
      <c r="F660" s="16" t="s">
        <v>346</v>
      </c>
      <c r="G660" s="16" t="s">
        <v>235</v>
      </c>
      <c r="H660" s="16" t="s">
        <v>229</v>
      </c>
    </row>
    <row r="661" ht="24.75" customHeight="1">
      <c r="A661" s="32" t="str">
        <f>IMAGE("https://gymvisual.com/4523-catalog_default/lever-incline-hammer-chest-press.jpg",4,500,500)</f>
        <v/>
      </c>
      <c r="B661" s="30">
        <v>2660.0</v>
      </c>
      <c r="C661" s="16" t="s">
        <v>3400</v>
      </c>
      <c r="D661" s="16" t="s">
        <v>184</v>
      </c>
      <c r="E661" s="16" t="s">
        <v>234</v>
      </c>
      <c r="F661" s="16" t="s">
        <v>346</v>
      </c>
      <c r="G661" s="16" t="s">
        <v>415</v>
      </c>
      <c r="H661" s="16" t="s">
        <v>2329</v>
      </c>
    </row>
    <row r="662" ht="24.75" customHeight="1">
      <c r="A662" s="32" t="str">
        <f>IMAGE("https://gymvisual.com/14280-catalog_default/lever-incline-hammer-chest-press-female.jpg",4,500,500)</f>
        <v/>
      </c>
      <c r="B662" s="30">
        <v>2661.0</v>
      </c>
      <c r="C662" s="16" t="s">
        <v>3401</v>
      </c>
      <c r="D662" s="16" t="s">
        <v>184</v>
      </c>
      <c r="E662" s="16" t="s">
        <v>234</v>
      </c>
      <c r="F662" s="16" t="s">
        <v>346</v>
      </c>
      <c r="G662" s="16" t="s">
        <v>415</v>
      </c>
      <c r="H662" s="16" t="s">
        <v>243</v>
      </c>
    </row>
    <row r="663" ht="24.75" customHeight="1">
      <c r="A663" s="32" t="str">
        <f>IMAGE("https://gymvisual.com/19411-catalog_default/lever-incline-one-arm-chest-press-plate-loaded.jpg",4,500,500)</f>
        <v/>
      </c>
      <c r="B663" s="30">
        <v>2662.0</v>
      </c>
      <c r="C663" s="16" t="s">
        <v>3402</v>
      </c>
      <c r="D663" s="16" t="s">
        <v>184</v>
      </c>
      <c r="E663" s="16" t="s">
        <v>234</v>
      </c>
      <c r="F663" s="16" t="s">
        <v>346</v>
      </c>
      <c r="G663" s="16" t="s">
        <v>220</v>
      </c>
      <c r="H663" s="16" t="s">
        <v>220</v>
      </c>
    </row>
    <row r="664" ht="24.75" customHeight="1">
      <c r="A664" s="32" t="str">
        <f>IMAGE("https://gymvisual.com/10076-catalog_default/3-4-sit-up.jpg",4,500,500)</f>
        <v/>
      </c>
      <c r="B664" s="30">
        <v>2663.0</v>
      </c>
      <c r="C664" s="16" t="s">
        <v>3403</v>
      </c>
      <c r="D664" s="16" t="s">
        <v>184</v>
      </c>
      <c r="E664" s="16" t="s">
        <v>285</v>
      </c>
      <c r="F664" s="16" t="s">
        <v>346</v>
      </c>
      <c r="G664" s="16" t="s">
        <v>188</v>
      </c>
      <c r="H664" s="16" t="s">
        <v>561</v>
      </c>
    </row>
    <row r="665" ht="24.75" customHeight="1">
      <c r="A665" s="32" t="str">
        <f>IMAGE("https://gymvisual.com/14282-catalog_default/lever-kneeling-leg-curl-plate-loaded-female.jpg",4,500,500)</f>
        <v/>
      </c>
      <c r="B665" s="30">
        <v>2664.0</v>
      </c>
      <c r="C665" s="16" t="s">
        <v>3404</v>
      </c>
      <c r="D665" s="16" t="s">
        <v>184</v>
      </c>
      <c r="E665" s="16" t="s">
        <v>285</v>
      </c>
      <c r="F665" s="16" t="s">
        <v>346</v>
      </c>
      <c r="G665" s="16" t="s">
        <v>188</v>
      </c>
      <c r="H665" s="16" t="s">
        <v>368</v>
      </c>
    </row>
    <row r="666" ht="24.75" customHeight="1">
      <c r="A666" s="32" t="str">
        <f>IMAGE("https://gymvisual.com/11813-catalog_default/lever-kneeling-reverse-hyperextension-female.jpg",4,500,500)</f>
        <v/>
      </c>
      <c r="B666" s="30">
        <v>2665.0</v>
      </c>
      <c r="C666" s="16" t="s">
        <v>3405</v>
      </c>
      <c r="D666" s="16" t="s">
        <v>184</v>
      </c>
      <c r="E666" s="16" t="s">
        <v>185</v>
      </c>
      <c r="F666" s="16" t="s">
        <v>346</v>
      </c>
      <c r="G666" s="16" t="s">
        <v>220</v>
      </c>
      <c r="H666" s="16" t="s">
        <v>220</v>
      </c>
    </row>
    <row r="667" ht="24.75" customHeight="1">
      <c r="A667" s="32" t="str">
        <f>IMAGE("https://gymvisual.com/1753-catalog_default/3-4-sit-up.jpg",4,500,500)</f>
        <v/>
      </c>
      <c r="B667" s="30">
        <v>2666.0</v>
      </c>
      <c r="C667" s="16" t="s">
        <v>3406</v>
      </c>
      <c r="D667" s="16" t="s">
        <v>184</v>
      </c>
      <c r="E667" s="16" t="s">
        <v>254</v>
      </c>
      <c r="F667" s="16" t="s">
        <v>346</v>
      </c>
      <c r="G667" s="16" t="s">
        <v>257</v>
      </c>
      <c r="H667" s="16" t="s">
        <v>220</v>
      </c>
    </row>
    <row r="668" ht="24.75" customHeight="1">
      <c r="A668" s="32" t="str">
        <f>IMAGE("https://gymvisual.com/7722-catalog_default/lever-lateral-pulldown-plate-loaded.jpg",4,500,500)</f>
        <v/>
      </c>
      <c r="B668" s="30">
        <v>2667.0</v>
      </c>
      <c r="C668" s="16" t="s">
        <v>3407</v>
      </c>
      <c r="D668" s="16" t="s">
        <v>184</v>
      </c>
      <c r="E668" s="16" t="s">
        <v>192</v>
      </c>
      <c r="F668" s="16" t="s">
        <v>346</v>
      </c>
      <c r="G668" s="16" t="s">
        <v>300</v>
      </c>
      <c r="H668" s="16" t="s">
        <v>387</v>
      </c>
    </row>
    <row r="669" ht="24.75" customHeight="1">
      <c r="A669" s="32" t="str">
        <f>IMAGE("https://gymvisual.com/1756-catalog_default/3-4-sit-up.jpg",4,500,500)</f>
        <v/>
      </c>
      <c r="B669" s="30">
        <v>2668.0</v>
      </c>
      <c r="C669" s="16" t="s">
        <v>3408</v>
      </c>
      <c r="D669" s="16" t="s">
        <v>184</v>
      </c>
      <c r="E669" s="16" t="s">
        <v>228</v>
      </c>
      <c r="F669" s="16" t="s">
        <v>346</v>
      </c>
      <c r="G669" s="16" t="s">
        <v>544</v>
      </c>
      <c r="H669" s="16" t="s">
        <v>545</v>
      </c>
    </row>
    <row r="670" ht="24.75" customHeight="1">
      <c r="A670" s="32" t="str">
        <f>IMAGE("https://gymvisual.com/14322-catalog_default/lever-lateral-raise-female.jpg",4,500,500)</f>
        <v/>
      </c>
      <c r="B670" s="30">
        <v>2669.0</v>
      </c>
      <c r="C670" s="16" t="s">
        <v>3409</v>
      </c>
      <c r="D670" s="16" t="s">
        <v>184</v>
      </c>
      <c r="E670" s="16" t="s">
        <v>228</v>
      </c>
      <c r="F670" s="16" t="s">
        <v>346</v>
      </c>
      <c r="G670" s="16" t="s">
        <v>544</v>
      </c>
      <c r="H670" s="16" t="s">
        <v>545</v>
      </c>
    </row>
    <row r="671" ht="24.75" customHeight="1">
      <c r="A671" s="32" t="str">
        <f>IMAGE("https://gymvisual.com/7728-catalog_default/lever-lateral-raise-plate-loaded.jpg",4,500,500)</f>
        <v/>
      </c>
      <c r="B671" s="30">
        <v>2670.0</v>
      </c>
      <c r="C671" s="16" t="s">
        <v>3410</v>
      </c>
      <c r="D671" s="16" t="s">
        <v>184</v>
      </c>
      <c r="E671" s="16" t="s">
        <v>228</v>
      </c>
      <c r="F671" s="16" t="s">
        <v>346</v>
      </c>
      <c r="G671" s="16" t="s">
        <v>544</v>
      </c>
      <c r="H671" s="16" t="s">
        <v>545</v>
      </c>
    </row>
    <row r="672" ht="24.75" customHeight="1">
      <c r="A672" s="32" t="str">
        <f>IMAGE("https://gymvisual.com/13639-catalog_default/lever-lateral-raise-version-2.jpg",4,500,500)</f>
        <v/>
      </c>
      <c r="B672" s="30">
        <v>2671.0</v>
      </c>
      <c r="C672" s="16" t="s">
        <v>3411</v>
      </c>
      <c r="D672" s="16" t="s">
        <v>184</v>
      </c>
      <c r="E672" s="16" t="s">
        <v>228</v>
      </c>
      <c r="F672" s="16" t="s">
        <v>346</v>
      </c>
      <c r="G672" s="16" t="s">
        <v>544</v>
      </c>
      <c r="H672" s="16" t="s">
        <v>220</v>
      </c>
    </row>
    <row r="673" ht="24.75" customHeight="1">
      <c r="A673" s="32" t="str">
        <f>IMAGE("https://gymvisual.com/12228-catalog_default/lever-lateral-wide-pulldown.jpg",4,500,500)</f>
        <v/>
      </c>
      <c r="B673" s="30">
        <v>2672.0</v>
      </c>
      <c r="C673" s="16" t="s">
        <v>3412</v>
      </c>
      <c r="D673" s="16" t="s">
        <v>184</v>
      </c>
      <c r="E673" s="16" t="s">
        <v>192</v>
      </c>
      <c r="F673" s="16" t="s">
        <v>346</v>
      </c>
      <c r="G673" s="16" t="s">
        <v>300</v>
      </c>
      <c r="H673" s="16" t="s">
        <v>3413</v>
      </c>
    </row>
    <row r="674" ht="24.75" customHeight="1">
      <c r="A674" s="32" t="str">
        <f>IMAGE("https://gymvisual.com/1759-catalog_default/3-4-sit-up.jpg",4,500,500)</f>
        <v/>
      </c>
      <c r="B674" s="30">
        <v>2673.0</v>
      </c>
      <c r="C674" s="16" t="s">
        <v>3414</v>
      </c>
      <c r="D674" s="16" t="s">
        <v>184</v>
      </c>
      <c r="E674" s="16" t="s">
        <v>285</v>
      </c>
      <c r="F674" s="16" t="s">
        <v>346</v>
      </c>
      <c r="G674" s="16" t="s">
        <v>552</v>
      </c>
      <c r="H674" s="16" t="s">
        <v>220</v>
      </c>
    </row>
    <row r="675" ht="24.75" customHeight="1">
      <c r="A675" s="32" t="str">
        <f>IMAGE("https://gymvisual.com/8953-catalog_default/lever-leg-extension-female.jpg",4,500,500)</f>
        <v/>
      </c>
      <c r="B675" s="30">
        <v>2674.0</v>
      </c>
      <c r="C675" s="16" t="s">
        <v>3415</v>
      </c>
      <c r="D675" s="16" t="s">
        <v>184</v>
      </c>
      <c r="E675" s="16" t="s">
        <v>285</v>
      </c>
      <c r="F675" s="16" t="s">
        <v>346</v>
      </c>
      <c r="G675" s="16" t="s">
        <v>552</v>
      </c>
      <c r="H675" s="16" t="s">
        <v>220</v>
      </c>
    </row>
    <row r="676" ht="24.75" customHeight="1">
      <c r="A676" s="32" t="str">
        <f>IMAGE("https://gymvisual.com/7725-catalog_default/lever-leg-extension-plate-loaded.jpg",4,500,500)</f>
        <v/>
      </c>
      <c r="B676" s="30">
        <v>2675.0</v>
      </c>
      <c r="C676" s="16" t="s">
        <v>3416</v>
      </c>
      <c r="D676" s="16" t="s">
        <v>184</v>
      </c>
      <c r="E676" s="16" t="s">
        <v>285</v>
      </c>
      <c r="F676" s="16" t="s">
        <v>346</v>
      </c>
      <c r="G676" s="16" t="s">
        <v>220</v>
      </c>
      <c r="H676" s="16" t="s">
        <v>220</v>
      </c>
    </row>
    <row r="677" ht="24.75" customHeight="1">
      <c r="A677" s="32" t="str">
        <f>IMAGE("https://gymvisual.com/18061-catalog_default/lever-low-row-plate-loaded.jpg",4,500,500)</f>
        <v/>
      </c>
      <c r="B677" s="30">
        <v>2676.0</v>
      </c>
      <c r="C677" s="16" t="s">
        <v>3417</v>
      </c>
      <c r="D677" s="16" t="s">
        <v>184</v>
      </c>
      <c r="E677" s="16" t="s">
        <v>192</v>
      </c>
      <c r="F677" s="16" t="s">
        <v>346</v>
      </c>
      <c r="G677" s="16" t="s">
        <v>570</v>
      </c>
      <c r="H677" s="16" t="s">
        <v>447</v>
      </c>
    </row>
    <row r="678" ht="24.75" customHeight="1">
      <c r="A678" s="32" t="str">
        <f>IMAGE("https://gymvisual.com/17857-catalog_default/lever-lying-banded-t-bar-row.jpg",4,500,500)</f>
        <v/>
      </c>
      <c r="B678" s="30">
        <v>2677.0</v>
      </c>
      <c r="C678" s="16" t="s">
        <v>3418</v>
      </c>
      <c r="D678" s="16" t="s">
        <v>184</v>
      </c>
      <c r="E678" s="16" t="s">
        <v>192</v>
      </c>
      <c r="F678" s="16" t="s">
        <v>346</v>
      </c>
      <c r="G678" s="16" t="s">
        <v>220</v>
      </c>
      <c r="H678" s="16" t="s">
        <v>220</v>
      </c>
    </row>
    <row r="679" ht="24.75" customHeight="1">
      <c r="A679" s="32" t="str">
        <f>IMAGE("https://gymvisual.com/2939-catalog_default/lever-lying-chest-press-plate-loaded.jpg",4,500,500)</f>
        <v/>
      </c>
      <c r="B679" s="30">
        <v>2678.0</v>
      </c>
      <c r="C679" s="16" t="s">
        <v>3419</v>
      </c>
      <c r="D679" s="16" t="s">
        <v>184</v>
      </c>
      <c r="E679" s="16" t="s">
        <v>234</v>
      </c>
      <c r="F679" s="16" t="s">
        <v>346</v>
      </c>
      <c r="G679" s="16" t="s">
        <v>347</v>
      </c>
      <c r="H679" s="16" t="s">
        <v>382</v>
      </c>
    </row>
    <row r="680" ht="24.75" customHeight="1">
      <c r="A680" s="32" t="str">
        <f>IMAGE("https://gymvisual.com/14284-catalog_default/lever-lying-chest-press-plate-loaded-female.jpg",4,500,500)</f>
        <v/>
      </c>
      <c r="B680" s="30">
        <v>2679.0</v>
      </c>
      <c r="C680" s="16" t="s">
        <v>3420</v>
      </c>
      <c r="D680" s="16" t="s">
        <v>184</v>
      </c>
      <c r="E680" s="16" t="s">
        <v>234</v>
      </c>
      <c r="F680" s="16" t="s">
        <v>346</v>
      </c>
      <c r="G680" s="16" t="s">
        <v>235</v>
      </c>
      <c r="H680" s="16" t="s">
        <v>243</v>
      </c>
    </row>
    <row r="681" ht="24.75" customHeight="1">
      <c r="A681" s="32" t="str">
        <f>IMAGE("https://gymvisual.com/9697-catalog_default/lever-lying-crunch.jpg",4,500,500)</f>
        <v/>
      </c>
      <c r="B681" s="30">
        <v>2680.0</v>
      </c>
      <c r="C681" s="16" t="s">
        <v>3421</v>
      </c>
      <c r="D681" s="16" t="s">
        <v>184</v>
      </c>
      <c r="E681" s="16" t="s">
        <v>254</v>
      </c>
      <c r="F681" s="16" t="s">
        <v>346</v>
      </c>
      <c r="G681" s="16" t="s">
        <v>256</v>
      </c>
      <c r="H681" s="16" t="s">
        <v>257</v>
      </c>
    </row>
    <row r="682" ht="24.75" customHeight="1">
      <c r="A682" s="32" t="str">
        <f>IMAGE("https://gymvisual.com/10139-catalog_default/lever-lying-crunch-version-2-female.jpg",4,500,500)</f>
        <v/>
      </c>
      <c r="B682" s="30">
        <v>2681.0</v>
      </c>
      <c r="C682" s="16" t="s">
        <v>3422</v>
      </c>
      <c r="D682" s="16" t="s">
        <v>184</v>
      </c>
      <c r="E682" s="16" t="s">
        <v>254</v>
      </c>
      <c r="F682" s="16" t="s">
        <v>346</v>
      </c>
      <c r="G682" s="16" t="s">
        <v>256</v>
      </c>
      <c r="H682" s="16" t="s">
        <v>257</v>
      </c>
    </row>
    <row r="683" ht="24.75" customHeight="1">
      <c r="A683" s="32" t="str">
        <f>IMAGE("https://gymvisual.com/1762-catalog_default/3-4-sit-up.jpg",4,500,500)</f>
        <v/>
      </c>
      <c r="B683" s="30">
        <v>2682.0</v>
      </c>
      <c r="C683" s="16" t="s">
        <v>3423</v>
      </c>
      <c r="D683" s="16" t="s">
        <v>184</v>
      </c>
      <c r="E683" s="16" t="s">
        <v>285</v>
      </c>
      <c r="F683" s="16" t="s">
        <v>346</v>
      </c>
      <c r="G683" s="16" t="s">
        <v>188</v>
      </c>
      <c r="H683" s="16" t="s">
        <v>561</v>
      </c>
    </row>
    <row r="684" ht="24.75" customHeight="1">
      <c r="A684" s="32" t="str">
        <f>IMAGE("https://gymvisual.com/9583-catalog_default/lever-lying-leg-curl-female.jpg",4,500,500)</f>
        <v/>
      </c>
      <c r="B684" s="30">
        <v>2683.0</v>
      </c>
      <c r="C684" s="16" t="s">
        <v>3424</v>
      </c>
      <c r="D684" s="16" t="s">
        <v>184</v>
      </c>
      <c r="E684" s="16" t="s">
        <v>285</v>
      </c>
      <c r="F684" s="16" t="s">
        <v>346</v>
      </c>
      <c r="G684" s="16" t="s">
        <v>188</v>
      </c>
      <c r="H684" s="16" t="s">
        <v>665</v>
      </c>
    </row>
    <row r="685" ht="24.75" customHeight="1">
      <c r="A685" s="32" t="str">
        <f>IMAGE("https://gymvisual.com/7706-catalog_default/lever-lying-leg-raise-bent-knee.jpg",4,500,500)</f>
        <v/>
      </c>
      <c r="B685" s="30">
        <v>2684.0</v>
      </c>
      <c r="C685" s="16" t="s">
        <v>3425</v>
      </c>
      <c r="D685" s="16" t="s">
        <v>184</v>
      </c>
      <c r="E685" s="16" t="s">
        <v>254</v>
      </c>
      <c r="F685" s="16" t="s">
        <v>346</v>
      </c>
      <c r="G685" s="16" t="s">
        <v>305</v>
      </c>
      <c r="H685" s="16" t="s">
        <v>289</v>
      </c>
    </row>
    <row r="686" ht="24.75" customHeight="1">
      <c r="A686" s="32" t="str">
        <f>IMAGE("https://gymvisual.com/6837-catalog_default/lever-lying-single-leg-curl.jpg",4,500,500)</f>
        <v/>
      </c>
      <c r="B686" s="30">
        <v>2685.0</v>
      </c>
      <c r="C686" s="16" t="s">
        <v>3426</v>
      </c>
      <c r="D686" s="16" t="s">
        <v>184</v>
      </c>
      <c r="E686" s="16" t="s">
        <v>285</v>
      </c>
      <c r="F686" s="16" t="s">
        <v>346</v>
      </c>
      <c r="G686" s="16" t="s">
        <v>188</v>
      </c>
      <c r="H686" s="16" t="s">
        <v>665</v>
      </c>
    </row>
    <row r="687" ht="24.75" customHeight="1">
      <c r="A687" s="32" t="str">
        <f>IMAGE("https://gymvisual.com/22155-catalog_default/lever-lying-single-leg-curl-female.jpg",4,500,500)</f>
        <v/>
      </c>
      <c r="B687" s="30">
        <v>2686.0</v>
      </c>
      <c r="C687" s="16" t="s">
        <v>3427</v>
      </c>
      <c r="D687" s="16" t="s">
        <v>184</v>
      </c>
      <c r="E687" s="16" t="s">
        <v>285</v>
      </c>
      <c r="F687" s="16" t="s">
        <v>346</v>
      </c>
      <c r="G687" s="16" t="s">
        <v>188</v>
      </c>
      <c r="H687" s="16" t="s">
        <v>665</v>
      </c>
    </row>
    <row r="688" ht="24.75" customHeight="1">
      <c r="A688" s="32" t="str">
        <f>IMAGE("https://gymvisual.com/4520-catalog_default/lever-lying-t-bar-row.jpg",4,500,500)</f>
        <v/>
      </c>
      <c r="B688" s="30">
        <v>2687.0</v>
      </c>
      <c r="C688" s="16" t="s">
        <v>3428</v>
      </c>
      <c r="D688" s="16" t="s">
        <v>184</v>
      </c>
      <c r="E688" s="16" t="s">
        <v>192</v>
      </c>
      <c r="F688" s="16" t="s">
        <v>346</v>
      </c>
      <c r="G688" s="16" t="s">
        <v>329</v>
      </c>
      <c r="H688" s="16" t="s">
        <v>3429</v>
      </c>
    </row>
    <row r="689" ht="24.75" customHeight="1">
      <c r="A689" s="32" t="str">
        <f>IMAGE("https://gymvisual.com/12857-catalog_default/lever-lying-two-one-leg-curl.jpg",4,500,500)</f>
        <v/>
      </c>
      <c r="B689" s="30">
        <v>2688.0</v>
      </c>
      <c r="C689" s="16" t="s">
        <v>3430</v>
      </c>
      <c r="D689" s="16" t="s">
        <v>184</v>
      </c>
      <c r="E689" s="16" t="s">
        <v>285</v>
      </c>
      <c r="F689" s="16" t="s">
        <v>346</v>
      </c>
      <c r="G689" s="16" t="s">
        <v>188</v>
      </c>
      <c r="H689" s="16" t="s">
        <v>368</v>
      </c>
    </row>
    <row r="690" ht="24.75" customHeight="1">
      <c r="A690" s="32" t="str">
        <f>IMAGE("https://gymvisual.com/1765-catalog_default/3-4-sit-up.jpg",4,500,500)</f>
        <v/>
      </c>
      <c r="B690" s="30">
        <v>2689.0</v>
      </c>
      <c r="C690" s="16" t="s">
        <v>3431</v>
      </c>
      <c r="D690" s="16" t="s">
        <v>184</v>
      </c>
      <c r="E690" s="16" t="s">
        <v>228</v>
      </c>
      <c r="F690" s="16" t="s">
        <v>346</v>
      </c>
      <c r="G690" s="16" t="s">
        <v>229</v>
      </c>
      <c r="H690" s="16" t="s">
        <v>626</v>
      </c>
    </row>
    <row r="691" ht="24.75" customHeight="1">
      <c r="A691" s="32" t="str">
        <f>IMAGE("https://gymvisual.com/13471-catalog_default/lever-military-press-plate-loaded-female.jpg",4,500,500)</f>
        <v/>
      </c>
      <c r="B691" s="30">
        <v>2690.0</v>
      </c>
      <c r="C691" s="16" t="s">
        <v>3432</v>
      </c>
      <c r="D691" s="16" t="s">
        <v>184</v>
      </c>
      <c r="E691" s="16" t="s">
        <v>228</v>
      </c>
      <c r="F691" s="16" t="s">
        <v>346</v>
      </c>
      <c r="G691" s="16" t="s">
        <v>229</v>
      </c>
      <c r="H691" s="16" t="s">
        <v>230</v>
      </c>
    </row>
    <row r="692" ht="24.75" customHeight="1">
      <c r="A692" s="32" t="str">
        <f>IMAGE("https://gymvisual.com/13473-catalog_default/lever-narrow-grip-seated-row-plate-loaded-female.jpg",4,500,500)</f>
        <v/>
      </c>
      <c r="B692" s="30">
        <v>2691.0</v>
      </c>
      <c r="C692" s="16" t="s">
        <v>3433</v>
      </c>
      <c r="D692" s="16" t="s">
        <v>184</v>
      </c>
      <c r="E692" s="16" t="s">
        <v>192</v>
      </c>
      <c r="F692" s="16" t="s">
        <v>346</v>
      </c>
      <c r="G692" s="16" t="s">
        <v>220</v>
      </c>
      <c r="H692" s="16" t="s">
        <v>220</v>
      </c>
    </row>
    <row r="693" ht="24.75" customHeight="1">
      <c r="A693" s="32" t="str">
        <f>IMAGE("https://gymvisual.com/9715-catalog_default/lever-neck-extension-plate-loaded.jpg",4,500,500)</f>
        <v/>
      </c>
      <c r="B693" s="30">
        <v>2692.0</v>
      </c>
      <c r="C693" s="16" t="s">
        <v>3434</v>
      </c>
      <c r="D693" s="16" t="s">
        <v>184</v>
      </c>
      <c r="E693" s="16" t="s">
        <v>351</v>
      </c>
      <c r="F693" s="16" t="s">
        <v>346</v>
      </c>
      <c r="G693" s="16" t="s">
        <v>220</v>
      </c>
      <c r="H693" s="16" t="s">
        <v>220</v>
      </c>
    </row>
    <row r="694" ht="24.75" customHeight="1">
      <c r="A694" s="32" t="str">
        <f>IMAGE("https://gymvisual.com/9716-catalog_default/lever-neck-left-side-flexion-plate-loaded.jpg",4,500,500)</f>
        <v/>
      </c>
      <c r="B694" s="30">
        <v>2693.0</v>
      </c>
      <c r="C694" s="16" t="s">
        <v>3435</v>
      </c>
      <c r="D694" s="16" t="s">
        <v>184</v>
      </c>
      <c r="E694" s="16" t="s">
        <v>351</v>
      </c>
      <c r="F694" s="16" t="s">
        <v>346</v>
      </c>
      <c r="G694" s="16" t="s">
        <v>220</v>
      </c>
      <c r="H694" s="16" t="s">
        <v>220</v>
      </c>
    </row>
    <row r="695" ht="24.75" customHeight="1">
      <c r="A695" s="32" t="str">
        <f>IMAGE("https://gymvisual.com/9717-catalog_default/lever-neck-right-side-flexion-plate-loaded.jpg",4,500,500)</f>
        <v/>
      </c>
      <c r="B695" s="30">
        <v>2694.0</v>
      </c>
      <c r="C695" s="16" t="s">
        <v>3436</v>
      </c>
      <c r="D695" s="16" t="s">
        <v>184</v>
      </c>
      <c r="E695" s="16" t="s">
        <v>351</v>
      </c>
      <c r="F695" s="16" t="s">
        <v>346</v>
      </c>
      <c r="G695" s="16" t="s">
        <v>220</v>
      </c>
      <c r="H695" s="16" t="s">
        <v>220</v>
      </c>
    </row>
    <row r="696" ht="24.75" customHeight="1">
      <c r="A696" s="32" t="str">
        <f>IMAGE("https://gymvisual.com/23441-catalog_default/lever-neutral-grip-seated-row-plate-loaded.jpg",4,500,500)</f>
        <v/>
      </c>
      <c r="B696" s="30">
        <v>2695.0</v>
      </c>
      <c r="C696" s="16" t="s">
        <v>3437</v>
      </c>
      <c r="D696" s="16" t="s">
        <v>184</v>
      </c>
      <c r="E696" s="16" t="s">
        <v>192</v>
      </c>
      <c r="F696" s="16" t="s">
        <v>346</v>
      </c>
      <c r="G696" s="16" t="s">
        <v>329</v>
      </c>
      <c r="H696" s="16" t="s">
        <v>457</v>
      </c>
    </row>
    <row r="697" ht="24.75" customHeight="1">
      <c r="A697" s="32" t="str">
        <f>IMAGE("https://gymvisual.com/1771-catalog_default/3-4-sit-up.jpg",4,500,500)</f>
        <v/>
      </c>
      <c r="B697" s="30">
        <v>2696.0</v>
      </c>
      <c r="C697" s="16" t="s">
        <v>3438</v>
      </c>
      <c r="D697" s="16" t="s">
        <v>184</v>
      </c>
      <c r="E697" s="16" t="s">
        <v>192</v>
      </c>
      <c r="F697" s="16" t="s">
        <v>186</v>
      </c>
      <c r="G697" s="16" t="s">
        <v>329</v>
      </c>
      <c r="H697" s="16" t="s">
        <v>457</v>
      </c>
    </row>
    <row r="698" ht="24.75" customHeight="1">
      <c r="A698" s="32" t="str">
        <f>IMAGE("https://gymvisual.com/13291-catalog_default/lever-one-arm-chest-press-plate-loaded.jpg",4,500,500)</f>
        <v/>
      </c>
      <c r="B698" s="30">
        <v>2697.0</v>
      </c>
      <c r="C698" s="16" t="s">
        <v>3439</v>
      </c>
      <c r="D698" s="16" t="s">
        <v>184</v>
      </c>
      <c r="E698" s="16" t="s">
        <v>234</v>
      </c>
      <c r="F698" s="16" t="s">
        <v>346</v>
      </c>
      <c r="G698" s="16" t="s">
        <v>220</v>
      </c>
      <c r="H698" s="16" t="s">
        <v>220</v>
      </c>
    </row>
    <row r="699" ht="24.75" customHeight="1">
      <c r="A699" s="32" t="str">
        <f>IMAGE("https://gymvisual.com/13293-catalog_default/lever-one-arm-chest-press-plate-loaded-female.jpg",4,500,500)</f>
        <v/>
      </c>
      <c r="B699" s="30">
        <v>2698.0</v>
      </c>
      <c r="C699" s="16" t="s">
        <v>3440</v>
      </c>
      <c r="D699" s="16" t="s">
        <v>184</v>
      </c>
      <c r="E699" s="16" t="s">
        <v>234</v>
      </c>
      <c r="F699" s="16" t="s">
        <v>346</v>
      </c>
      <c r="G699" s="16" t="s">
        <v>220</v>
      </c>
      <c r="H699" s="16" t="s">
        <v>220</v>
      </c>
    </row>
    <row r="700" ht="24.75" customHeight="1">
      <c r="A700" s="32" t="str">
        <f>IMAGE("https://gymvisual.com/24766-catalog_default/lever-one-arm-incline-chest-press-plate-loaded.jpg",4,500,500)</f>
        <v/>
      </c>
      <c r="B700" s="30">
        <v>2699.0</v>
      </c>
      <c r="C700" s="16" t="s">
        <v>3441</v>
      </c>
      <c r="D700" s="16" t="s">
        <v>184</v>
      </c>
      <c r="E700" s="16" t="s">
        <v>234</v>
      </c>
      <c r="F700" s="16" t="s">
        <v>346</v>
      </c>
      <c r="G700" s="16" t="s">
        <v>220</v>
      </c>
      <c r="H700" s="16" t="s">
        <v>220</v>
      </c>
    </row>
    <row r="701" ht="24.75" customHeight="1">
      <c r="A701" s="32" t="str">
        <f>IMAGE("https://gymvisual.com/6047-catalog_default/lever-one-arm-lateral-high-row.jpg",4,500,500)</f>
        <v/>
      </c>
      <c r="B701" s="30">
        <v>2700.0</v>
      </c>
      <c r="C701" s="16" t="s">
        <v>3442</v>
      </c>
      <c r="D701" s="16" t="s">
        <v>184</v>
      </c>
      <c r="E701" s="16" t="s">
        <v>192</v>
      </c>
      <c r="F701" s="16" t="s">
        <v>346</v>
      </c>
      <c r="G701" s="16" t="s">
        <v>329</v>
      </c>
      <c r="H701" s="16" t="s">
        <v>457</v>
      </c>
    </row>
    <row r="702" ht="24.75" customHeight="1">
      <c r="A702" s="32" t="str">
        <f>IMAGE("https://gymvisual.com/6038-catalog_default/lever-one-arm-lateral-wide-pulldown-plate-loaded.jpg",4,500,500)</f>
        <v/>
      </c>
      <c r="B702" s="30">
        <v>2701.0</v>
      </c>
      <c r="C702" s="16" t="s">
        <v>3443</v>
      </c>
      <c r="D702" s="16" t="s">
        <v>184</v>
      </c>
      <c r="E702" s="16" t="s">
        <v>192</v>
      </c>
      <c r="F702" s="16" t="s">
        <v>346</v>
      </c>
      <c r="G702" s="16" t="s">
        <v>300</v>
      </c>
      <c r="H702" s="16" t="s">
        <v>3444</v>
      </c>
    </row>
    <row r="703" ht="24.75" customHeight="1">
      <c r="A703" s="32" t="str">
        <f>IMAGE("https://gymvisual.com/18063-catalog_default/lever-one-arm-low-row-plate-loaded.jpg",4,500,500)</f>
        <v/>
      </c>
      <c r="B703" s="30">
        <v>2702.0</v>
      </c>
      <c r="C703" s="16" t="s">
        <v>3445</v>
      </c>
      <c r="D703" s="16" t="s">
        <v>184</v>
      </c>
      <c r="E703" s="16" t="s">
        <v>192</v>
      </c>
      <c r="F703" s="16" t="s">
        <v>346</v>
      </c>
      <c r="G703" s="16" t="s">
        <v>220</v>
      </c>
      <c r="H703" s="16" t="s">
        <v>220</v>
      </c>
    </row>
    <row r="704" ht="24.75" customHeight="1">
      <c r="A704" s="32" t="str">
        <f>IMAGE("https://gymvisual.com/4606-catalog_default/lever-one-arm-seated-row-seated-row-machine.jpg",4,500,500)</f>
        <v/>
      </c>
      <c r="B704" s="30">
        <v>2703.0</v>
      </c>
      <c r="C704" s="16" t="s">
        <v>3446</v>
      </c>
      <c r="D704" s="16" t="s">
        <v>184</v>
      </c>
      <c r="E704" s="16" t="s">
        <v>192</v>
      </c>
      <c r="F704" s="16" t="s">
        <v>346</v>
      </c>
      <c r="G704" s="16" t="s">
        <v>329</v>
      </c>
      <c r="H704" s="16" t="s">
        <v>457</v>
      </c>
    </row>
    <row r="705" ht="24.75" customHeight="1">
      <c r="A705" s="32" t="str">
        <f>IMAGE("https://gymvisual.com/1774-catalog_default/3-4-sit-up.jpg",4,500,500)</f>
        <v/>
      </c>
      <c r="B705" s="30">
        <v>2704.0</v>
      </c>
      <c r="C705" s="16" t="s">
        <v>3447</v>
      </c>
      <c r="D705" s="16" t="s">
        <v>184</v>
      </c>
      <c r="E705" s="16" t="s">
        <v>228</v>
      </c>
      <c r="F705" s="16" t="s">
        <v>346</v>
      </c>
      <c r="G705" s="16" t="s">
        <v>229</v>
      </c>
      <c r="H705" s="16" t="s">
        <v>3448</v>
      </c>
    </row>
    <row r="706" ht="24.75" customHeight="1">
      <c r="A706" s="32" t="str">
        <f>IMAGE("https://gymvisual.com/25657-catalog_default/lever-one-arm-side-chest-press-male.jpg",4,500,500)</f>
        <v/>
      </c>
      <c r="B706" s="30">
        <v>2705.0</v>
      </c>
      <c r="C706" s="16" t="s">
        <v>3449</v>
      </c>
      <c r="D706" s="16" t="s">
        <v>184</v>
      </c>
      <c r="E706" s="16" t="s">
        <v>234</v>
      </c>
      <c r="F706" s="16" t="s">
        <v>346</v>
      </c>
      <c r="G706" s="16" t="s">
        <v>220</v>
      </c>
      <c r="H706" s="16" t="s">
        <v>220</v>
      </c>
    </row>
    <row r="707" ht="24.75" customHeight="1">
      <c r="A707" s="32" t="str">
        <f>IMAGE("https://gymvisual.com/6818-catalog_default/lever-one-leg-extension.jpg",4,500,500)</f>
        <v/>
      </c>
      <c r="B707" s="30">
        <v>2706.0</v>
      </c>
      <c r="C707" s="16" t="s">
        <v>3450</v>
      </c>
      <c r="D707" s="16" t="s">
        <v>184</v>
      </c>
      <c r="E707" s="16" t="s">
        <v>285</v>
      </c>
      <c r="F707" s="16" t="s">
        <v>346</v>
      </c>
      <c r="G707" s="16" t="s">
        <v>552</v>
      </c>
      <c r="H707" s="16" t="s">
        <v>220</v>
      </c>
    </row>
    <row r="708" ht="24.75" customHeight="1">
      <c r="A708" s="32" t="str">
        <f>IMAGE("https://gymvisual.com/1777-catalog_default/3-4-sit-up.jpg",4,500,500)</f>
        <v/>
      </c>
      <c r="B708" s="30">
        <v>2707.0</v>
      </c>
      <c r="C708" s="16" t="s">
        <v>3451</v>
      </c>
      <c r="D708" s="16" t="s">
        <v>184</v>
      </c>
      <c r="E708" s="16" t="s">
        <v>219</v>
      </c>
      <c r="F708" s="16" t="s">
        <v>346</v>
      </c>
      <c r="G708" s="16" t="s">
        <v>223</v>
      </c>
      <c r="H708" s="16" t="s">
        <v>394</v>
      </c>
    </row>
    <row r="709" ht="24.75" customHeight="1">
      <c r="A709" s="32" t="str">
        <f>IMAGE("https://gymvisual.com/2927-catalog_default/lever-parallel-chest-press.jpg",4,500,500)</f>
        <v/>
      </c>
      <c r="B709" s="30">
        <v>2708.0</v>
      </c>
      <c r="C709" s="16" t="s">
        <v>3452</v>
      </c>
      <c r="D709" s="16" t="s">
        <v>184</v>
      </c>
      <c r="E709" s="16" t="s">
        <v>234</v>
      </c>
      <c r="F709" s="16" t="s">
        <v>346</v>
      </c>
      <c r="G709" s="16" t="s">
        <v>187</v>
      </c>
      <c r="H709" s="16" t="s">
        <v>188</v>
      </c>
    </row>
    <row r="710" ht="24.75" customHeight="1">
      <c r="A710" s="32" t="str">
        <f>IMAGE("https://gymvisual.com/2928-catalog_default/lever-pec-deck-fly.jpg",4,500,500)</f>
        <v/>
      </c>
      <c r="B710" s="30">
        <v>2709.0</v>
      </c>
      <c r="C710" s="16" t="s">
        <v>3453</v>
      </c>
      <c r="D710" s="16" t="s">
        <v>184</v>
      </c>
      <c r="E710" s="16" t="s">
        <v>234</v>
      </c>
      <c r="F710" s="16" t="s">
        <v>346</v>
      </c>
      <c r="G710" s="16" t="s">
        <v>241</v>
      </c>
      <c r="H710" s="16" t="s">
        <v>292</v>
      </c>
    </row>
    <row r="711" ht="24.75" customHeight="1">
      <c r="A711" s="32" t="str">
        <f>IMAGE("https://gymvisual.com/10522-catalog_default/lever-pec-deck-fly-female.jpg",4,500,500)</f>
        <v/>
      </c>
      <c r="B711" s="30">
        <v>2710.0</v>
      </c>
      <c r="C711" s="16" t="s">
        <v>3454</v>
      </c>
      <c r="D711" s="16" t="s">
        <v>184</v>
      </c>
      <c r="E711" s="16" t="s">
        <v>234</v>
      </c>
      <c r="F711" s="16" t="s">
        <v>346</v>
      </c>
      <c r="G711" s="16" t="s">
        <v>347</v>
      </c>
      <c r="H711" s="16" t="s">
        <v>389</v>
      </c>
    </row>
    <row r="712" ht="24.75" customHeight="1">
      <c r="A712" s="32" t="str">
        <f>IMAGE("https://gymvisual.com/20033-catalog_default/lever-pendulum-squat-plate-loaded.jpg",4,500,500)</f>
        <v/>
      </c>
      <c r="B712" s="30">
        <v>2711.0</v>
      </c>
      <c r="C712" s="16" t="s">
        <v>3455</v>
      </c>
      <c r="D712" s="16" t="s">
        <v>184</v>
      </c>
      <c r="E712" s="16" t="s">
        <v>294</v>
      </c>
      <c r="F712" s="16" t="s">
        <v>346</v>
      </c>
      <c r="G712" s="16" t="s">
        <v>189</v>
      </c>
      <c r="H712" s="16" t="s">
        <v>190</v>
      </c>
    </row>
    <row r="713" ht="24.75" customHeight="1">
      <c r="A713" s="32" t="str">
        <f>IMAGE("https://gymvisual.com/2938-catalog_default/lever-pistol-squat.jpg",4,500,500)</f>
        <v/>
      </c>
      <c r="B713" s="30">
        <v>2712.0</v>
      </c>
      <c r="C713" s="16" t="s">
        <v>3456</v>
      </c>
      <c r="D713" s="16" t="s">
        <v>184</v>
      </c>
      <c r="E713" s="16" t="s">
        <v>285</v>
      </c>
      <c r="F713" s="16" t="s">
        <v>346</v>
      </c>
      <c r="G713" s="16" t="s">
        <v>3457</v>
      </c>
      <c r="H713" s="16" t="s">
        <v>3458</v>
      </c>
    </row>
    <row r="714" ht="24.75" customHeight="1">
      <c r="A714" s="32" t="str">
        <f>IMAGE("https://gymvisual.com/20601-catalog_default/3-4-sit-up.jpg",4,500,500)</f>
        <v/>
      </c>
      <c r="B714" s="30">
        <v>2713.0</v>
      </c>
      <c r="C714" s="16" t="s">
        <v>3459</v>
      </c>
      <c r="D714" s="16" t="s">
        <v>184</v>
      </c>
      <c r="E714" s="16" t="s">
        <v>219</v>
      </c>
      <c r="F714" s="16" t="s">
        <v>346</v>
      </c>
      <c r="G714" s="16" t="s">
        <v>232</v>
      </c>
      <c r="H714" s="16" t="s">
        <v>233</v>
      </c>
    </row>
    <row r="715" ht="24.75" customHeight="1">
      <c r="A715" s="32" t="str">
        <f>IMAGE("https://gymvisual.com/7724-catalog_default/lever-preacher-curl-plate-loaded.jpg",4,500,500)</f>
        <v/>
      </c>
      <c r="B715" s="30">
        <v>2714.0</v>
      </c>
      <c r="C715" s="16" t="s">
        <v>3460</v>
      </c>
      <c r="D715" s="16" t="s">
        <v>184</v>
      </c>
      <c r="E715" s="16" t="s">
        <v>219</v>
      </c>
      <c r="F715" s="16" t="s">
        <v>346</v>
      </c>
      <c r="G715" s="16" t="s">
        <v>232</v>
      </c>
      <c r="H715" s="16" t="s">
        <v>233</v>
      </c>
    </row>
    <row r="716" ht="24.75" customHeight="1">
      <c r="A716" s="32" t="str">
        <f>IMAGE("https://gymvisual.com/12223-catalog_default/lever-preacher-curl-plate-loaded.jpg",4,500,500)</f>
        <v/>
      </c>
      <c r="B716" s="30">
        <v>2715.0</v>
      </c>
      <c r="C716" s="16" t="s">
        <v>3460</v>
      </c>
      <c r="D716" s="16" t="s">
        <v>184</v>
      </c>
      <c r="E716" s="16" t="s">
        <v>219</v>
      </c>
      <c r="F716" s="16" t="s">
        <v>346</v>
      </c>
      <c r="G716" s="16" t="s">
        <v>232</v>
      </c>
      <c r="H716" s="16" t="s">
        <v>233</v>
      </c>
    </row>
    <row r="717" ht="24.75" customHeight="1">
      <c r="A717" s="32" t="str">
        <f>IMAGE("https://gymvisual.com/13475-catalog_default/lever-preacher-curl-plate-loaded-female.jpg",4,500,500)</f>
        <v/>
      </c>
      <c r="B717" s="30">
        <v>2716.0</v>
      </c>
      <c r="C717" s="16" t="s">
        <v>3461</v>
      </c>
      <c r="D717" s="16" t="s">
        <v>184</v>
      </c>
      <c r="E717" s="16" t="s">
        <v>219</v>
      </c>
      <c r="F717" s="16" t="s">
        <v>346</v>
      </c>
      <c r="G717" s="16" t="s">
        <v>220</v>
      </c>
      <c r="H717" s="16" t="s">
        <v>220</v>
      </c>
    </row>
    <row r="718" ht="24.75" customHeight="1">
      <c r="A718" s="32" t="str">
        <f>IMAGE("https://gymvisual.com/20594-catalog_default/lever-preacher-curl-turned-torso.jpg",4,500,500)</f>
        <v/>
      </c>
      <c r="B718" s="30">
        <v>2717.0</v>
      </c>
      <c r="C718" s="16" t="s">
        <v>3462</v>
      </c>
      <c r="D718" s="16" t="s">
        <v>184</v>
      </c>
      <c r="E718" s="16" t="s">
        <v>219</v>
      </c>
      <c r="F718" s="16" t="s">
        <v>346</v>
      </c>
      <c r="G718" s="16" t="s">
        <v>232</v>
      </c>
      <c r="H718" s="16" t="s">
        <v>233</v>
      </c>
    </row>
    <row r="719" ht="24.75" customHeight="1">
      <c r="A719" s="32" t="str">
        <f>IMAGE("https://gymvisual.com/7085-catalog_default/lever-preacher-curl-version-2.jpg",4,500,500)</f>
        <v/>
      </c>
      <c r="B719" s="30">
        <v>2718.0</v>
      </c>
      <c r="C719" s="16" t="s">
        <v>3463</v>
      </c>
      <c r="D719" s="16" t="s">
        <v>184</v>
      </c>
      <c r="E719" s="16" t="s">
        <v>219</v>
      </c>
      <c r="F719" s="16" t="s">
        <v>346</v>
      </c>
      <c r="G719" s="16" t="s">
        <v>232</v>
      </c>
      <c r="H719" s="16" t="s">
        <v>233</v>
      </c>
    </row>
    <row r="720" ht="24.75" customHeight="1">
      <c r="A720" s="32" t="str">
        <f>IMAGE("https://gymvisual.com/12058-catalog_default/lever-preacher-curl-version-2-female.jpg",4,500,500)</f>
        <v/>
      </c>
      <c r="B720" s="30">
        <v>2719.0</v>
      </c>
      <c r="C720" s="16" t="s">
        <v>3464</v>
      </c>
      <c r="D720" s="16" t="s">
        <v>184</v>
      </c>
      <c r="E720" s="16" t="s">
        <v>219</v>
      </c>
      <c r="F720" s="16" t="s">
        <v>346</v>
      </c>
      <c r="G720" s="16" t="s">
        <v>232</v>
      </c>
      <c r="H720" s="16" t="s">
        <v>233</v>
      </c>
    </row>
    <row r="721" ht="24.75" customHeight="1">
      <c r="A721" s="32" t="str">
        <f>IMAGE("https://gymvisual.com/23447-catalog_default/lever-pronated-grip-seated-row-plate-loaded.jpg",4,500,500)</f>
        <v/>
      </c>
      <c r="B721" s="30">
        <v>2720.0</v>
      </c>
      <c r="C721" s="16" t="s">
        <v>3465</v>
      </c>
      <c r="D721" s="16" t="s">
        <v>184</v>
      </c>
      <c r="E721" s="16" t="s">
        <v>192</v>
      </c>
      <c r="F721" s="16" t="s">
        <v>346</v>
      </c>
      <c r="G721" s="16" t="s">
        <v>570</v>
      </c>
      <c r="H721" s="16" t="s">
        <v>447</v>
      </c>
    </row>
    <row r="722" ht="24.75" customHeight="1">
      <c r="A722" s="32" t="str">
        <f>IMAGE("https://gymvisual.com/23451-catalog_default/lever-pronated-grip-seated-scapular-retraction-shrug-plate-loaded.jpg",4,500,500)</f>
        <v/>
      </c>
      <c r="B722" s="30">
        <v>2721.0</v>
      </c>
      <c r="C722" s="16" t="s">
        <v>3466</v>
      </c>
      <c r="D722" s="16" t="s">
        <v>184</v>
      </c>
      <c r="E722" s="16" t="s">
        <v>192</v>
      </c>
      <c r="F722" s="16" t="s">
        <v>346</v>
      </c>
      <c r="G722" s="16" t="s">
        <v>3467</v>
      </c>
      <c r="H722" s="16" t="s">
        <v>3468</v>
      </c>
    </row>
    <row r="723" ht="24.75" customHeight="1">
      <c r="A723" s="32" t="str">
        <f>IMAGE("https://gymvisual.com/9718-catalog_default/lever-pullover-plate-loaded.jpg",4,500,500)</f>
        <v/>
      </c>
      <c r="B723" s="30">
        <v>2722.0</v>
      </c>
      <c r="C723" s="16" t="s">
        <v>3469</v>
      </c>
      <c r="D723" s="16" t="s">
        <v>184</v>
      </c>
      <c r="E723" s="16" t="s">
        <v>192</v>
      </c>
      <c r="F723" s="16" t="s">
        <v>346</v>
      </c>
      <c r="G723" s="16" t="s">
        <v>347</v>
      </c>
      <c r="H723" s="16" t="s">
        <v>2362</v>
      </c>
    </row>
    <row r="724" ht="24.75" customHeight="1">
      <c r="A724" s="32" t="str">
        <f>IMAGE("https://gymvisual.com/19425-catalog_default/lever-reverse-grip-high-row-plate-loaded.jpg",4,500,500)</f>
        <v/>
      </c>
      <c r="B724" s="30">
        <v>2723.0</v>
      </c>
      <c r="C724" s="16" t="s">
        <v>3470</v>
      </c>
      <c r="D724" s="16" t="s">
        <v>184</v>
      </c>
      <c r="E724" s="16" t="s">
        <v>192</v>
      </c>
      <c r="F724" s="16" t="s">
        <v>346</v>
      </c>
      <c r="G724" s="16" t="s">
        <v>220</v>
      </c>
      <c r="H724" s="16" t="s">
        <v>220</v>
      </c>
    </row>
    <row r="725" ht="24.75" customHeight="1">
      <c r="A725" s="32" t="str">
        <f>IMAGE("https://gymvisual.com/10897-catalog_default/lever-reverse-grip-lateral-pulldown-plate-loaded.jpg",4,500,500)</f>
        <v/>
      </c>
      <c r="B725" s="30">
        <v>2724.0</v>
      </c>
      <c r="C725" s="16" t="s">
        <v>3471</v>
      </c>
      <c r="D725" s="16" t="s">
        <v>184</v>
      </c>
      <c r="E725" s="16" t="s">
        <v>192</v>
      </c>
      <c r="F725" s="16" t="s">
        <v>346</v>
      </c>
      <c r="G725" s="16" t="s">
        <v>300</v>
      </c>
      <c r="H725" s="16" t="s">
        <v>708</v>
      </c>
    </row>
    <row r="726" ht="24.75" customHeight="1">
      <c r="A726" s="32" t="str">
        <f>IMAGE("https://gymvisual.com/7089-catalog_default/lever-reverse-grip-preacher-curl.jpg",4,500,500)</f>
        <v/>
      </c>
      <c r="B726" s="30">
        <v>2725.0</v>
      </c>
      <c r="C726" s="16" t="s">
        <v>3472</v>
      </c>
      <c r="D726" s="16" t="s">
        <v>184</v>
      </c>
      <c r="E726" s="16" t="s">
        <v>219</v>
      </c>
      <c r="F726" s="16" t="s">
        <v>346</v>
      </c>
      <c r="G726" s="16" t="s">
        <v>220</v>
      </c>
      <c r="H726" s="16" t="s">
        <v>220</v>
      </c>
    </row>
    <row r="727" ht="24.75" customHeight="1">
      <c r="A727" s="32" t="str">
        <f>IMAGE("https://gymvisual.com/6039-catalog_default/lever-reverse-grip-vertical-row.jpg",4,500,500)</f>
        <v/>
      </c>
      <c r="B727" s="30">
        <v>2726.0</v>
      </c>
      <c r="C727" s="16" t="s">
        <v>3473</v>
      </c>
      <c r="D727" s="16" t="s">
        <v>184</v>
      </c>
      <c r="E727" s="16" t="s">
        <v>192</v>
      </c>
      <c r="F727" s="16" t="s">
        <v>346</v>
      </c>
      <c r="G727" s="16" t="s">
        <v>329</v>
      </c>
      <c r="H727" s="16" t="s">
        <v>457</v>
      </c>
    </row>
    <row r="728" ht="24.75" customHeight="1">
      <c r="A728" s="32" t="str">
        <f>IMAGE("https://gymvisual.com/11387-catalog_default/lever-reverse-grip-vertical-row-female.jpg",4,500,500)</f>
        <v/>
      </c>
      <c r="B728" s="30">
        <v>2727.0</v>
      </c>
      <c r="C728" s="16" t="s">
        <v>3474</v>
      </c>
      <c r="D728" s="16" t="s">
        <v>184</v>
      </c>
      <c r="E728" s="16" t="s">
        <v>192</v>
      </c>
      <c r="F728" s="16" t="s">
        <v>346</v>
      </c>
      <c r="G728" s="16" t="s">
        <v>220</v>
      </c>
      <c r="H728" s="16" t="s">
        <v>220</v>
      </c>
    </row>
    <row r="729" ht="24.75" customHeight="1">
      <c r="A729" s="32" t="str">
        <f>IMAGE("https://gymvisual.com/1783-catalog_default/3-4-sit-up.jpg",4,500,500)</f>
        <v/>
      </c>
      <c r="B729" s="30">
        <v>2728.0</v>
      </c>
      <c r="C729" s="16" t="s">
        <v>3475</v>
      </c>
      <c r="D729" s="16" t="s">
        <v>184</v>
      </c>
      <c r="E729" s="16" t="s">
        <v>185</v>
      </c>
      <c r="F729" s="16" t="s">
        <v>346</v>
      </c>
      <c r="G729" s="16" t="s">
        <v>187</v>
      </c>
      <c r="H729" s="16" t="s">
        <v>188</v>
      </c>
    </row>
    <row r="730" ht="24.75" customHeight="1">
      <c r="A730" s="32" t="str">
        <f>IMAGE("https://gymvisual.com/12749-catalog_default/lever-reverse-hyperextension-plate-loaded-female.jpg",4,500,500)</f>
        <v/>
      </c>
      <c r="B730" s="30">
        <v>2729.0</v>
      </c>
      <c r="C730" s="16" t="s">
        <v>3476</v>
      </c>
      <c r="D730" s="16" t="s">
        <v>184</v>
      </c>
      <c r="E730" s="16" t="s">
        <v>185</v>
      </c>
      <c r="F730" s="16" t="s">
        <v>346</v>
      </c>
      <c r="G730" s="16" t="s">
        <v>267</v>
      </c>
      <c r="H730" s="16" t="s">
        <v>188</v>
      </c>
    </row>
    <row r="731" ht="24.75" customHeight="1">
      <c r="A731" s="32" t="str">
        <f>IMAGE("https://gymvisual.com/17991-catalog_default/lever-reverse-shoulder-press-plate-loaded.jpg",4,500,500)</f>
        <v/>
      </c>
      <c r="B731" s="30">
        <v>2730.0</v>
      </c>
      <c r="C731" s="16" t="s">
        <v>3477</v>
      </c>
      <c r="D731" s="16" t="s">
        <v>184</v>
      </c>
      <c r="E731" s="16" t="s">
        <v>228</v>
      </c>
      <c r="F731" s="16" t="s">
        <v>346</v>
      </c>
      <c r="G731" s="16" t="s">
        <v>220</v>
      </c>
      <c r="H731" s="16" t="s">
        <v>220</v>
      </c>
    </row>
    <row r="732" ht="24.75" customHeight="1">
      <c r="A732" s="32" t="str">
        <f>IMAGE("https://gymvisual.com/6040-catalog_default/lever-reverse-t-bar-row.jpg",4,500,500)</f>
        <v/>
      </c>
      <c r="B732" s="30">
        <v>2731.0</v>
      </c>
      <c r="C732" s="16" t="s">
        <v>3478</v>
      </c>
      <c r="D732" s="16" t="s">
        <v>184</v>
      </c>
      <c r="E732" s="16" t="s">
        <v>192</v>
      </c>
      <c r="F732" s="16" t="s">
        <v>346</v>
      </c>
      <c r="G732" s="16" t="s">
        <v>329</v>
      </c>
      <c r="H732" s="16" t="s">
        <v>457</v>
      </c>
    </row>
    <row r="733" ht="24.75" customHeight="1">
      <c r="A733" s="32" t="str">
        <f>IMAGE("https://gymvisual.com/13477-catalog_default/lever-reverse-t-bar-row-female.jpg",4,500,500)</f>
        <v/>
      </c>
      <c r="B733" s="30">
        <v>2732.0</v>
      </c>
      <c r="C733" s="16" t="s">
        <v>3479</v>
      </c>
      <c r="D733" s="16" t="s">
        <v>184</v>
      </c>
      <c r="E733" s="16" t="s">
        <v>192</v>
      </c>
      <c r="F733" s="16" t="s">
        <v>346</v>
      </c>
      <c r="G733" s="16" t="s">
        <v>570</v>
      </c>
      <c r="H733" s="16" t="s">
        <v>447</v>
      </c>
    </row>
    <row r="734" ht="24.75" customHeight="1">
      <c r="A734" s="32" t="str">
        <f>IMAGE("https://gymvisual.com/24324-catalog_default/lever-reverse-vertical-hack-squat.jpg",4,500,500)</f>
        <v/>
      </c>
      <c r="B734" s="30">
        <v>2733.0</v>
      </c>
      <c r="C734" s="16" t="s">
        <v>3480</v>
      </c>
      <c r="D734" s="16" t="s">
        <v>184</v>
      </c>
      <c r="E734" s="16" t="s">
        <v>185</v>
      </c>
      <c r="F734" s="16" t="s">
        <v>346</v>
      </c>
      <c r="G734" s="16" t="s">
        <v>189</v>
      </c>
      <c r="H734" s="16" t="s">
        <v>190</v>
      </c>
    </row>
    <row r="735" ht="24.75" customHeight="1">
      <c r="A735" s="32" t="str">
        <f>IMAGE("https://gymvisual.com/10143-catalog_default/lever-rotary-calf.jpg",4,500,500)</f>
        <v/>
      </c>
      <c r="B735" s="30">
        <v>2734.0</v>
      </c>
      <c r="C735" s="16" t="s">
        <v>3481</v>
      </c>
      <c r="D735" s="16" t="s">
        <v>184</v>
      </c>
      <c r="E735" s="16" t="s">
        <v>325</v>
      </c>
      <c r="F735" s="16" t="s">
        <v>346</v>
      </c>
      <c r="G735" s="16" t="s">
        <v>368</v>
      </c>
      <c r="H735" s="16" t="s">
        <v>463</v>
      </c>
    </row>
    <row r="736" ht="24.75" customHeight="1">
      <c r="A736" s="32" t="str">
        <f>IMAGE("https://gymvisual.com/13479-catalog_default/lever-rotary-calf-female.jpg",4,500,500)</f>
        <v/>
      </c>
      <c r="B736" s="30">
        <v>2735.0</v>
      </c>
      <c r="C736" s="16" t="s">
        <v>3482</v>
      </c>
      <c r="D736" s="16" t="s">
        <v>184</v>
      </c>
      <c r="E736" s="16" t="s">
        <v>325</v>
      </c>
      <c r="F736" s="16" t="s">
        <v>346</v>
      </c>
      <c r="G736" s="16" t="s">
        <v>368</v>
      </c>
      <c r="H736" s="16" t="s">
        <v>463</v>
      </c>
    </row>
    <row r="737" ht="24.75" customHeight="1">
      <c r="A737" s="32" t="str">
        <f>IMAGE("https://gymvisual.com/4608-catalog_default/lever-row-plate-loaded.jpg",4,500,500)</f>
        <v/>
      </c>
      <c r="B737" s="30">
        <v>2736.0</v>
      </c>
      <c r="C737" s="16" t="s">
        <v>3483</v>
      </c>
      <c r="D737" s="16" t="s">
        <v>184</v>
      </c>
      <c r="E737" s="16" t="s">
        <v>192</v>
      </c>
      <c r="F737" s="16" t="s">
        <v>346</v>
      </c>
      <c r="G737" s="16" t="s">
        <v>329</v>
      </c>
      <c r="H737" s="16" t="s">
        <v>457</v>
      </c>
    </row>
    <row r="738" ht="24.75" customHeight="1">
      <c r="A738" s="32" t="str">
        <f>IMAGE("https://gymvisual.com/10055-catalog_default/lever-seated-calf-press.jpg",4,500,500)</f>
        <v/>
      </c>
      <c r="B738" s="30">
        <v>2737.0</v>
      </c>
      <c r="C738" s="16" t="s">
        <v>3484</v>
      </c>
      <c r="D738" s="16" t="s">
        <v>184</v>
      </c>
      <c r="E738" s="16" t="s">
        <v>325</v>
      </c>
      <c r="F738" s="16" t="s">
        <v>346</v>
      </c>
      <c r="G738" s="16" t="s">
        <v>368</v>
      </c>
      <c r="H738" s="16" t="s">
        <v>463</v>
      </c>
    </row>
    <row r="739" ht="24.75" customHeight="1">
      <c r="A739" s="32" t="str">
        <f>IMAGE("https://gymvisual.com/11233-catalog_default/lever-seated-calf-press-female.jpg",4,500,500)</f>
        <v/>
      </c>
      <c r="B739" s="30">
        <v>2738.0</v>
      </c>
      <c r="C739" s="16" t="s">
        <v>3485</v>
      </c>
      <c r="D739" s="16" t="s">
        <v>184</v>
      </c>
      <c r="E739" s="16" t="s">
        <v>325</v>
      </c>
      <c r="F739" s="16" t="s">
        <v>346</v>
      </c>
      <c r="G739" s="16" t="s">
        <v>368</v>
      </c>
      <c r="H739" s="16" t="s">
        <v>463</v>
      </c>
    </row>
    <row r="740" ht="24.75" customHeight="1">
      <c r="A740" s="32" t="str">
        <f>IMAGE("https://gymvisual.com/1786-catalog_default/3-4-sit-up.jpg",4,500,500)</f>
        <v/>
      </c>
      <c r="B740" s="30">
        <v>2739.0</v>
      </c>
      <c r="C740" s="16" t="s">
        <v>3486</v>
      </c>
      <c r="D740" s="16" t="s">
        <v>184</v>
      </c>
      <c r="E740" s="16" t="s">
        <v>325</v>
      </c>
      <c r="F740" s="16" t="s">
        <v>346</v>
      </c>
      <c r="G740" s="16" t="s">
        <v>463</v>
      </c>
      <c r="H740" s="16" t="s">
        <v>368</v>
      </c>
    </row>
    <row r="741" ht="24.75" customHeight="1">
      <c r="A741" s="32" t="str">
        <f>IMAGE("https://gymvisual.com/13481-catalog_default/lever-seated-calf-raise-plate-loaded-female.jpg",4,500,500)</f>
        <v/>
      </c>
      <c r="B741" s="30">
        <v>2740.0</v>
      </c>
      <c r="C741" s="16" t="s">
        <v>3487</v>
      </c>
      <c r="D741" s="16" t="s">
        <v>184</v>
      </c>
      <c r="E741" s="16" t="s">
        <v>325</v>
      </c>
      <c r="F741" s="16" t="s">
        <v>346</v>
      </c>
      <c r="G741" s="16" t="s">
        <v>368</v>
      </c>
      <c r="H741" s="16" t="s">
        <v>463</v>
      </c>
    </row>
    <row r="742" ht="24.75" customHeight="1">
      <c r="A742" s="32" t="str">
        <f>IMAGE("https://gymvisual.com/12229-catalog_default/lever-seated-calf-raise-plate-loaded-version-2.jpg",4,500,500)</f>
        <v/>
      </c>
      <c r="B742" s="30">
        <v>2741.0</v>
      </c>
      <c r="C742" s="16" t="s">
        <v>3488</v>
      </c>
      <c r="D742" s="16" t="s">
        <v>184</v>
      </c>
      <c r="E742" s="16" t="s">
        <v>325</v>
      </c>
      <c r="F742" s="16" t="s">
        <v>346</v>
      </c>
      <c r="G742" s="16" t="s">
        <v>368</v>
      </c>
      <c r="H742" s="16" t="s">
        <v>463</v>
      </c>
    </row>
    <row r="743" ht="24.75" customHeight="1">
      <c r="A743" s="32" t="str">
        <f>IMAGE("https://gymvisual.com/6462-catalog_default/lever-seated-crunch.jpg",4,500,500)</f>
        <v/>
      </c>
      <c r="B743" s="30">
        <v>2742.0</v>
      </c>
      <c r="C743" s="16" t="s">
        <v>3489</v>
      </c>
      <c r="D743" s="16" t="s">
        <v>184</v>
      </c>
      <c r="E743" s="16" t="s">
        <v>254</v>
      </c>
      <c r="F743" s="16" t="s">
        <v>346</v>
      </c>
      <c r="G743" s="16" t="s">
        <v>256</v>
      </c>
      <c r="H743" s="16" t="s">
        <v>257</v>
      </c>
    </row>
    <row r="744" ht="24.75" customHeight="1">
      <c r="A744" s="32" t="str">
        <f>IMAGE("https://gymvisual.com/1789-catalog_default/3-4-sit-up.jpg",4,500,500)</f>
        <v/>
      </c>
      <c r="B744" s="30">
        <v>2743.0</v>
      </c>
      <c r="C744" s="16" t="s">
        <v>3490</v>
      </c>
      <c r="D744" s="16" t="s">
        <v>184</v>
      </c>
      <c r="E744" s="16" t="s">
        <v>254</v>
      </c>
      <c r="F744" s="16" t="s">
        <v>346</v>
      </c>
      <c r="G744" s="16" t="s">
        <v>256</v>
      </c>
      <c r="H744" s="16" t="s">
        <v>257</v>
      </c>
    </row>
    <row r="745" ht="24.75" customHeight="1">
      <c r="A745" s="32" t="str">
        <f>IMAGE("https://gymvisual.com/16616-catalog_default/lever-seated-crunch-chest-pad-female.jpg",4,500,500)</f>
        <v/>
      </c>
      <c r="B745" s="30">
        <v>2744.0</v>
      </c>
      <c r="C745" s="16" t="s">
        <v>3491</v>
      </c>
      <c r="D745" s="16" t="s">
        <v>184</v>
      </c>
      <c r="E745" s="16" t="s">
        <v>254</v>
      </c>
      <c r="F745" s="16" t="s">
        <v>346</v>
      </c>
      <c r="G745" s="16" t="s">
        <v>256</v>
      </c>
      <c r="H745" s="16" t="s">
        <v>257</v>
      </c>
    </row>
    <row r="746" ht="24.75" customHeight="1">
      <c r="A746" s="32" t="str">
        <f>IMAGE("https://gymvisual.com/10960-catalog_default/lever-seated-crunch-female.jpg",4,500,500)</f>
        <v/>
      </c>
      <c r="B746" s="30">
        <v>2745.0</v>
      </c>
      <c r="C746" s="16" t="s">
        <v>3492</v>
      </c>
      <c r="D746" s="16" t="s">
        <v>184</v>
      </c>
      <c r="E746" s="16" t="s">
        <v>254</v>
      </c>
      <c r="F746" s="16" t="s">
        <v>346</v>
      </c>
      <c r="G746" s="16" t="s">
        <v>256</v>
      </c>
      <c r="H746" s="16" t="s">
        <v>257</v>
      </c>
    </row>
    <row r="747" ht="24.75" customHeight="1">
      <c r="A747" s="32" t="str">
        <f>IMAGE("https://gymvisual.com/9691-catalog_default/lever-seated-crunch-hands-pad.jpg",4,500,500)</f>
        <v/>
      </c>
      <c r="B747" s="30">
        <v>2746.0</v>
      </c>
      <c r="C747" s="16" t="s">
        <v>3493</v>
      </c>
      <c r="D747" s="16" t="s">
        <v>184</v>
      </c>
      <c r="E747" s="16" t="s">
        <v>254</v>
      </c>
      <c r="F747" s="16" t="s">
        <v>346</v>
      </c>
      <c r="G747" s="16" t="s">
        <v>256</v>
      </c>
      <c r="H747" s="16" t="s">
        <v>257</v>
      </c>
    </row>
    <row r="748" ht="24.75" customHeight="1">
      <c r="A748" s="32" t="str">
        <f>IMAGE("https://gymvisual.com/16676-catalog_default/lever-seated-crunch-version-2.jpg",4,500,500)</f>
        <v/>
      </c>
      <c r="B748" s="30">
        <v>2747.0</v>
      </c>
      <c r="C748" s="16" t="s">
        <v>3494</v>
      </c>
      <c r="D748" s="16" t="s">
        <v>184</v>
      </c>
      <c r="E748" s="16" t="s">
        <v>254</v>
      </c>
      <c r="F748" s="16" t="s">
        <v>346</v>
      </c>
      <c r="G748" s="16" t="s">
        <v>256</v>
      </c>
      <c r="H748" s="16" t="s">
        <v>257</v>
      </c>
    </row>
    <row r="749" ht="24.75" customHeight="1">
      <c r="A749" s="32" t="str">
        <f>IMAGE("https://gymvisual.com/6460-catalog_default/lever-seated-dip.jpg",4,500,500)</f>
        <v/>
      </c>
      <c r="B749" s="30">
        <v>2748.0</v>
      </c>
      <c r="C749" s="16" t="s">
        <v>3495</v>
      </c>
      <c r="D749" s="16" t="s">
        <v>184</v>
      </c>
      <c r="E749" s="16" t="s">
        <v>219</v>
      </c>
      <c r="F749" s="16" t="s">
        <v>346</v>
      </c>
      <c r="G749" s="16" t="s">
        <v>223</v>
      </c>
      <c r="H749" s="16" t="s">
        <v>394</v>
      </c>
    </row>
    <row r="750" ht="24.75" customHeight="1">
      <c r="A750" s="32" t="str">
        <f>IMAGE("https://gymvisual.com/9664-catalog_default/lever-seated-dip-female.jpg",4,500,500)</f>
        <v/>
      </c>
      <c r="B750" s="30">
        <v>2749.0</v>
      </c>
      <c r="C750" s="16" t="s">
        <v>3496</v>
      </c>
      <c r="D750" s="16" t="s">
        <v>184</v>
      </c>
      <c r="E750" s="16" t="s">
        <v>219</v>
      </c>
      <c r="F750" s="16" t="s">
        <v>346</v>
      </c>
      <c r="G750" s="16" t="s">
        <v>223</v>
      </c>
      <c r="H750" s="16" t="s">
        <v>394</v>
      </c>
    </row>
    <row r="751" ht="24.75" customHeight="1">
      <c r="A751" s="32" t="str">
        <f>IMAGE("https://gymvisual.com/1792-catalog_default/3-4-sit-up.jpg",4,500,500)</f>
        <v/>
      </c>
      <c r="B751" s="30">
        <v>2750.0</v>
      </c>
      <c r="C751" s="16" t="s">
        <v>3497</v>
      </c>
      <c r="D751" s="16" t="s">
        <v>184</v>
      </c>
      <c r="E751" s="16" t="s">
        <v>234</v>
      </c>
      <c r="F751" s="16" t="s">
        <v>346</v>
      </c>
      <c r="G751" s="16" t="s">
        <v>347</v>
      </c>
      <c r="H751" s="16" t="s">
        <v>2466</v>
      </c>
    </row>
    <row r="752" ht="24.75" customHeight="1">
      <c r="A752" s="32" t="str">
        <f>IMAGE("https://gymvisual.com/9679-catalog_default/lever-seated-fly-female.jpg",4,500,500)</f>
        <v/>
      </c>
      <c r="B752" s="30">
        <v>2751.0</v>
      </c>
      <c r="C752" s="16" t="s">
        <v>3498</v>
      </c>
      <c r="D752" s="16" t="s">
        <v>184</v>
      </c>
      <c r="E752" s="16" t="s">
        <v>234</v>
      </c>
      <c r="F752" s="16" t="s">
        <v>346</v>
      </c>
      <c r="G752" s="16" t="s">
        <v>235</v>
      </c>
      <c r="H752" s="16" t="s">
        <v>236</v>
      </c>
    </row>
    <row r="753" ht="24.75" customHeight="1">
      <c r="A753" s="32" t="str">
        <f>IMAGE("https://gymvisual.com/17761-catalog_default/lever-seated-full-crunch.jpg",4,500,500)</f>
        <v/>
      </c>
      <c r="B753" s="30">
        <v>2752.0</v>
      </c>
      <c r="C753" s="16" t="s">
        <v>3499</v>
      </c>
      <c r="D753" s="16" t="s">
        <v>184</v>
      </c>
      <c r="E753" s="16" t="s">
        <v>254</v>
      </c>
      <c r="F753" s="16" t="s">
        <v>346</v>
      </c>
      <c r="G753" s="16" t="s">
        <v>220</v>
      </c>
      <c r="H753" s="16" t="s">
        <v>220</v>
      </c>
    </row>
    <row r="754" ht="24.75" customHeight="1">
      <c r="A754" s="32" t="str">
        <f>IMAGE("https://gymvisual.com/16674-catalog_default/lever-seated-good-morning.jpg",4,500,500)</f>
        <v/>
      </c>
      <c r="B754" s="30">
        <v>2753.0</v>
      </c>
      <c r="C754" s="16" t="s">
        <v>3500</v>
      </c>
      <c r="D754" s="16" t="s">
        <v>184</v>
      </c>
      <c r="E754" s="16" t="s">
        <v>185</v>
      </c>
      <c r="F754" s="16" t="s">
        <v>346</v>
      </c>
      <c r="G754" s="16" t="s">
        <v>267</v>
      </c>
      <c r="H754" s="16" t="s">
        <v>220</v>
      </c>
    </row>
    <row r="755" ht="24.75" customHeight="1">
      <c r="A755" s="32" t="str">
        <f>IMAGE("https://gymvisual.com/12283-catalog_default/lever-seated-hammer-grip-shoulder-press.jpg",4,500,500)</f>
        <v/>
      </c>
      <c r="B755" s="30">
        <v>2754.0</v>
      </c>
      <c r="C755" s="16" t="s">
        <v>3501</v>
      </c>
      <c r="D755" s="16" t="s">
        <v>184</v>
      </c>
      <c r="E755" s="16" t="s">
        <v>228</v>
      </c>
      <c r="F755" s="16" t="s">
        <v>346</v>
      </c>
      <c r="G755" s="16" t="s">
        <v>229</v>
      </c>
      <c r="H755" s="16" t="s">
        <v>3502</v>
      </c>
    </row>
    <row r="756" ht="24.75" customHeight="1">
      <c r="A756" s="32" t="str">
        <f>IMAGE("https://gymvisual.com/12715-catalog_default/3-4-sit-up.jpg",4,500,500)</f>
        <v/>
      </c>
      <c r="B756" s="30">
        <v>2755.0</v>
      </c>
      <c r="C756" s="16" t="s">
        <v>3503</v>
      </c>
      <c r="D756" s="16" t="s">
        <v>184</v>
      </c>
      <c r="E756" s="16" t="s">
        <v>185</v>
      </c>
      <c r="F756" s="16" t="s">
        <v>346</v>
      </c>
      <c r="G756" s="16" t="s">
        <v>1240</v>
      </c>
      <c r="H756" s="16" t="s">
        <v>476</v>
      </c>
    </row>
    <row r="757" ht="24.75" customHeight="1">
      <c r="A757" s="32" t="str">
        <f>IMAGE("https://gymvisual.com/14286-catalog_default/lever-seated-hip-abduction-female.jpg",4,500,500)</f>
        <v/>
      </c>
      <c r="B757" s="30">
        <v>2756.0</v>
      </c>
      <c r="C757" s="16" t="s">
        <v>3504</v>
      </c>
      <c r="D757" s="16" t="s">
        <v>184</v>
      </c>
      <c r="E757" s="16" t="s">
        <v>185</v>
      </c>
      <c r="F757" s="16" t="s">
        <v>346</v>
      </c>
      <c r="G757" s="16" t="s">
        <v>475</v>
      </c>
      <c r="H757" s="16" t="s">
        <v>476</v>
      </c>
    </row>
    <row r="758" ht="24.75" customHeight="1">
      <c r="A758" s="32" t="str">
        <f>IMAGE("https://gymvisual.com/7721-catalog_default/lever-seated-hip-abduction-version-2.jpg",4,500,500)</f>
        <v/>
      </c>
      <c r="B758" s="30">
        <v>2757.0</v>
      </c>
      <c r="C758" s="16" t="s">
        <v>3505</v>
      </c>
      <c r="D758" s="16" t="s">
        <v>184</v>
      </c>
      <c r="E758" s="16" t="s">
        <v>185</v>
      </c>
      <c r="F758" s="16" t="s">
        <v>346</v>
      </c>
      <c r="G758" s="16" t="s">
        <v>220</v>
      </c>
      <c r="H758" s="16" t="s">
        <v>220</v>
      </c>
    </row>
    <row r="759" ht="24.75" customHeight="1">
      <c r="A759" s="32" t="str">
        <f>IMAGE("https://gymvisual.com/11218-catalog_default/lever-seated-hip-abduction-version-2-female.jpg",4,500,500)</f>
        <v/>
      </c>
      <c r="B759" s="30">
        <v>2758.0</v>
      </c>
      <c r="C759" s="16" t="s">
        <v>3506</v>
      </c>
      <c r="D759" s="16" t="s">
        <v>184</v>
      </c>
      <c r="E759" s="16" t="s">
        <v>185</v>
      </c>
      <c r="F759" s="16" t="s">
        <v>346</v>
      </c>
      <c r="G759" s="16" t="s">
        <v>220</v>
      </c>
      <c r="H759" s="16" t="s">
        <v>220</v>
      </c>
    </row>
    <row r="760" ht="24.75" customHeight="1">
      <c r="A760" s="32" t="str">
        <f>IMAGE("https://gymvisual.com/24924-catalog_default/3-4-sit-up.jpg",4,500,500)</f>
        <v/>
      </c>
      <c r="B760" s="30">
        <v>2759.0</v>
      </c>
      <c r="C760" s="16" t="s">
        <v>3507</v>
      </c>
      <c r="D760" s="16" t="s">
        <v>184</v>
      </c>
      <c r="E760" s="16" t="s">
        <v>285</v>
      </c>
      <c r="F760" s="16" t="s">
        <v>346</v>
      </c>
      <c r="G760" s="16" t="s">
        <v>511</v>
      </c>
      <c r="H760" s="16" t="s">
        <v>3508</v>
      </c>
    </row>
    <row r="761" ht="24.75" customHeight="1">
      <c r="A761" s="32" t="str">
        <f>IMAGE("https://gymvisual.com/14288-catalog_default/lever-seated-hip-adduction-female.jpg",4,500,500)</f>
        <v/>
      </c>
      <c r="B761" s="30">
        <v>2760.0</v>
      </c>
      <c r="C761" s="16" t="s">
        <v>3509</v>
      </c>
      <c r="D761" s="16" t="s">
        <v>184</v>
      </c>
      <c r="E761" s="16" t="s">
        <v>185</v>
      </c>
      <c r="F761" s="16" t="s">
        <v>346</v>
      </c>
      <c r="G761" s="16" t="s">
        <v>514</v>
      </c>
      <c r="H761" s="16" t="s">
        <v>515</v>
      </c>
    </row>
    <row r="762" ht="24.75" customHeight="1">
      <c r="A762" s="32" t="str">
        <f>IMAGE("https://gymvisual.com/7719-catalog_default/lever-seated-hip-adduction-version-2.jpg",4,500,500)</f>
        <v/>
      </c>
      <c r="B762" s="30">
        <v>2761.0</v>
      </c>
      <c r="C762" s="16" t="s">
        <v>3510</v>
      </c>
      <c r="D762" s="16" t="s">
        <v>184</v>
      </c>
      <c r="E762" s="16" t="s">
        <v>185</v>
      </c>
      <c r="F762" s="16" t="s">
        <v>346</v>
      </c>
      <c r="G762" s="16" t="s">
        <v>220</v>
      </c>
      <c r="H762" s="16" t="s">
        <v>220</v>
      </c>
    </row>
    <row r="763" ht="24.75" customHeight="1">
      <c r="A763" s="32" t="str">
        <f>IMAGE("https://gymvisual.com/11215-catalog_default/lever-seated-hip-adduction-version-2-female.jpg",4,500,500)</f>
        <v/>
      </c>
      <c r="B763" s="30">
        <v>2762.0</v>
      </c>
      <c r="C763" s="16" t="s">
        <v>3511</v>
      </c>
      <c r="D763" s="16" t="s">
        <v>184</v>
      </c>
      <c r="E763" s="16" t="s">
        <v>185</v>
      </c>
      <c r="F763" s="16" t="s">
        <v>346</v>
      </c>
      <c r="G763" s="16" t="s">
        <v>220</v>
      </c>
      <c r="H763" s="16" t="s">
        <v>220</v>
      </c>
    </row>
    <row r="764" ht="24.75" customHeight="1">
      <c r="A764" s="32" t="str">
        <f>IMAGE("https://gymvisual.com/16735-catalog_default/lever-seated-horizontal-leg-press.jpg",4,500,500)</f>
        <v/>
      </c>
      <c r="B764" s="30">
        <v>2763.0</v>
      </c>
      <c r="C764" s="16" t="s">
        <v>3512</v>
      </c>
      <c r="D764" s="16" t="s">
        <v>184</v>
      </c>
      <c r="E764" s="16" t="s">
        <v>294</v>
      </c>
      <c r="F764" s="16" t="s">
        <v>346</v>
      </c>
      <c r="G764" s="16" t="s">
        <v>189</v>
      </c>
      <c r="H764" s="16" t="s">
        <v>190</v>
      </c>
    </row>
    <row r="765" ht="24.75" customHeight="1">
      <c r="A765" s="32" t="str">
        <f>IMAGE("https://gymvisual.com/17763-catalog_default/lever-seated-left-side-crunch.jpg",4,500,500)</f>
        <v/>
      </c>
      <c r="B765" s="30">
        <v>2764.0</v>
      </c>
      <c r="C765" s="16" t="s">
        <v>3513</v>
      </c>
      <c r="D765" s="16" t="s">
        <v>184</v>
      </c>
      <c r="E765" s="16" t="s">
        <v>254</v>
      </c>
      <c r="F765" s="16" t="s">
        <v>346</v>
      </c>
      <c r="G765" s="16" t="s">
        <v>220</v>
      </c>
      <c r="H765" s="16" t="s">
        <v>220</v>
      </c>
    </row>
    <row r="766" ht="24.75" customHeight="1">
      <c r="A766" s="32" t="str">
        <f>IMAGE("https://gymvisual.com/10481-catalog_default/3-4-sit-up.jpg",4,500,500)</f>
        <v/>
      </c>
      <c r="B766" s="30">
        <v>2765.0</v>
      </c>
      <c r="C766" s="16" t="s">
        <v>3514</v>
      </c>
      <c r="D766" s="16" t="s">
        <v>184</v>
      </c>
      <c r="E766" s="16" t="s">
        <v>285</v>
      </c>
      <c r="F766" s="16" t="s">
        <v>346</v>
      </c>
      <c r="G766" s="16" t="s">
        <v>188</v>
      </c>
      <c r="H766" s="16" t="s">
        <v>2733</v>
      </c>
    </row>
    <row r="767" ht="24.75" customHeight="1">
      <c r="A767" s="32" t="str">
        <f>IMAGE("https://gymvisual.com/10483-catalog_default/lever-seated-leg-curl-female.jpg",4,500,500)</f>
        <v/>
      </c>
      <c r="B767" s="30">
        <v>2766.0</v>
      </c>
      <c r="C767" s="16" t="s">
        <v>3515</v>
      </c>
      <c r="D767" s="16" t="s">
        <v>184</v>
      </c>
      <c r="E767" s="16" t="s">
        <v>285</v>
      </c>
      <c r="F767" s="16" t="s">
        <v>346</v>
      </c>
      <c r="G767" s="16" t="s">
        <v>188</v>
      </c>
      <c r="H767" s="16" t="s">
        <v>2733</v>
      </c>
    </row>
    <row r="768" ht="24.75" customHeight="1">
      <c r="A768" s="32" t="str">
        <f>IMAGE("https://gymvisual.com/13735-catalog_default/lever-seated-leg-extension-version-2.jpg",4,500,500)</f>
        <v/>
      </c>
      <c r="B768" s="30">
        <v>2767.0</v>
      </c>
      <c r="C768" s="16" t="s">
        <v>3516</v>
      </c>
      <c r="D768" s="16" t="s">
        <v>184</v>
      </c>
      <c r="E768" s="16" t="s">
        <v>285</v>
      </c>
      <c r="F768" s="16" t="s">
        <v>346</v>
      </c>
      <c r="G768" s="16" t="s">
        <v>552</v>
      </c>
      <c r="H768" s="16" t="s">
        <v>220</v>
      </c>
    </row>
    <row r="769" ht="24.75" customHeight="1">
      <c r="A769" s="32" t="str">
        <f>IMAGE("https://gymvisual.com/9688-catalog_default/lever-seated-leg-press.jpg",4,500,500)</f>
        <v/>
      </c>
      <c r="B769" s="30">
        <v>2768.0</v>
      </c>
      <c r="C769" s="16" t="s">
        <v>3517</v>
      </c>
      <c r="D769" s="16" t="s">
        <v>184</v>
      </c>
      <c r="E769" s="16" t="s">
        <v>294</v>
      </c>
      <c r="F769" s="16" t="s">
        <v>346</v>
      </c>
      <c r="G769" s="16" t="s">
        <v>189</v>
      </c>
      <c r="H769" s="16" t="s">
        <v>190</v>
      </c>
    </row>
    <row r="770" ht="24.75" customHeight="1">
      <c r="A770" s="32" t="str">
        <f>IMAGE("https://gymvisual.com/11372-catalog_default/lever-seated-leg-press-female.jpg",4,500,500)</f>
        <v/>
      </c>
      <c r="B770" s="30">
        <v>2769.0</v>
      </c>
      <c r="C770" s="16" t="s">
        <v>3518</v>
      </c>
      <c r="D770" s="16" t="s">
        <v>184</v>
      </c>
      <c r="E770" s="16" t="s">
        <v>294</v>
      </c>
      <c r="F770" s="16" t="s">
        <v>346</v>
      </c>
      <c r="G770" s="16" t="s">
        <v>220</v>
      </c>
      <c r="H770" s="16" t="s">
        <v>220</v>
      </c>
    </row>
    <row r="771" ht="24.75" customHeight="1">
      <c r="A771" s="32" t="str">
        <f>IMAGE("https://gymvisual.com/13733-catalog_default/lever-seated-leg-press-version-2.jpg",4,500,500)</f>
        <v/>
      </c>
      <c r="B771" s="30">
        <v>2770.0</v>
      </c>
      <c r="C771" s="16" t="s">
        <v>3519</v>
      </c>
      <c r="D771" s="16" t="s">
        <v>184</v>
      </c>
      <c r="E771" s="16" t="s">
        <v>294</v>
      </c>
      <c r="F771" s="16" t="s">
        <v>346</v>
      </c>
      <c r="G771" s="16" t="s">
        <v>189</v>
      </c>
      <c r="H771" s="16" t="s">
        <v>190</v>
      </c>
    </row>
    <row r="772" ht="24.75" customHeight="1">
      <c r="A772" s="32" t="str">
        <f>IMAGE("https://gymvisual.com/1804-catalog_default/3-4-sit-up.jpg",4,500,500)</f>
        <v/>
      </c>
      <c r="B772" s="30">
        <v>2771.0</v>
      </c>
      <c r="C772" s="16" t="s">
        <v>3520</v>
      </c>
      <c r="D772" s="16" t="s">
        <v>184</v>
      </c>
      <c r="E772" s="16" t="s">
        <v>254</v>
      </c>
      <c r="F772" s="16" t="s">
        <v>346</v>
      </c>
      <c r="G772" s="16" t="s">
        <v>256</v>
      </c>
      <c r="H772" s="16" t="s">
        <v>257</v>
      </c>
    </row>
    <row r="773" ht="24.75" customHeight="1">
      <c r="A773" s="32" t="str">
        <f>IMAGE("https://gymvisual.com/14384-catalog_default/lever-seated-leg-raise-crunch-plate-loaded-female.jpg",4,500,500)</f>
        <v/>
      </c>
      <c r="B773" s="30">
        <v>2772.0</v>
      </c>
      <c r="C773" s="16" t="s">
        <v>3521</v>
      </c>
      <c r="D773" s="16" t="s">
        <v>184</v>
      </c>
      <c r="E773" s="16" t="s">
        <v>254</v>
      </c>
      <c r="F773" s="16" t="s">
        <v>346</v>
      </c>
      <c r="G773" s="16" t="s">
        <v>256</v>
      </c>
      <c r="H773" s="16" t="s">
        <v>257</v>
      </c>
    </row>
    <row r="774" ht="24.75" customHeight="1">
      <c r="A774" s="32" t="str">
        <f>IMAGE("https://gymvisual.com/4584-catalog_default/lever-seated-one-leg-calf-raise.jpg",4,500,500)</f>
        <v/>
      </c>
      <c r="B774" s="30">
        <v>2773.0</v>
      </c>
      <c r="C774" s="16" t="s">
        <v>3522</v>
      </c>
      <c r="D774" s="16" t="s">
        <v>184</v>
      </c>
      <c r="E774" s="16" t="s">
        <v>325</v>
      </c>
      <c r="F774" s="16" t="s">
        <v>346</v>
      </c>
      <c r="G774" s="16" t="s">
        <v>463</v>
      </c>
      <c r="H774" s="16" t="s">
        <v>368</v>
      </c>
    </row>
    <row r="775" ht="24.75" customHeight="1">
      <c r="A775" s="32" t="str">
        <f>IMAGE("https://gymvisual.com/26070-catalog_default/lever-seated-one-leg-curl.jpg",4,500,500)</f>
        <v/>
      </c>
      <c r="B775" s="30">
        <v>2774.0</v>
      </c>
      <c r="C775" s="16" t="s">
        <v>3523</v>
      </c>
      <c r="D775" s="16" t="s">
        <v>184</v>
      </c>
      <c r="E775" s="16" t="s">
        <v>285</v>
      </c>
      <c r="F775" s="16" t="s">
        <v>346</v>
      </c>
      <c r="G775" s="16" t="s">
        <v>188</v>
      </c>
      <c r="H775" s="16" t="s">
        <v>665</v>
      </c>
    </row>
    <row r="776" ht="24.75" customHeight="1">
      <c r="A776" s="32" t="str">
        <f>IMAGE("https://gymvisual.com/6820-catalog_default/lever-seated-one-leg-squat.jpg",4,500,500)</f>
        <v/>
      </c>
      <c r="B776" s="30">
        <v>2775.0</v>
      </c>
      <c r="C776" s="16" t="s">
        <v>3524</v>
      </c>
      <c r="D776" s="16" t="s">
        <v>184</v>
      </c>
      <c r="E776" s="16" t="s">
        <v>285</v>
      </c>
      <c r="F776" s="16" t="s">
        <v>346</v>
      </c>
      <c r="G776" s="16" t="s">
        <v>220</v>
      </c>
      <c r="H776" s="16" t="s">
        <v>220</v>
      </c>
    </row>
    <row r="777" ht="24.75" customHeight="1">
      <c r="A777" s="32" t="str">
        <f>IMAGE("https://gymvisual.com/6819-catalog_default/lever-seated-one-leg-wide-squat.jpg",4,500,500)</f>
        <v/>
      </c>
      <c r="B777" s="30">
        <v>2776.0</v>
      </c>
      <c r="C777" s="16" t="s">
        <v>3525</v>
      </c>
      <c r="D777" s="16" t="s">
        <v>184</v>
      </c>
      <c r="E777" s="16" t="s">
        <v>285</v>
      </c>
      <c r="F777" s="16" t="s">
        <v>346</v>
      </c>
      <c r="G777" s="16" t="s">
        <v>220</v>
      </c>
      <c r="H777" s="16" t="s">
        <v>220</v>
      </c>
    </row>
    <row r="778" ht="24.75" customHeight="1">
      <c r="A778" s="32" t="str">
        <f>IMAGE("https://gymvisual.com/1810-catalog_default/3-4-sit-up.jpg",4,500,500)</f>
        <v/>
      </c>
      <c r="B778" s="30">
        <v>2777.0</v>
      </c>
      <c r="C778" s="16" t="s">
        <v>3526</v>
      </c>
      <c r="D778" s="16" t="s">
        <v>184</v>
      </c>
      <c r="E778" s="16" t="s">
        <v>228</v>
      </c>
      <c r="F778" s="16" t="s">
        <v>346</v>
      </c>
      <c r="G778" s="16" t="s">
        <v>408</v>
      </c>
      <c r="H778" s="16" t="s">
        <v>452</v>
      </c>
    </row>
    <row r="779" ht="24.75" customHeight="1">
      <c r="A779" s="32" t="str">
        <f>IMAGE("https://gymvisual.com/12061-catalog_default/lever-seated-reverse-fly-female.jpg",4,500,500)</f>
        <v/>
      </c>
      <c r="B779" s="30">
        <v>2778.0</v>
      </c>
      <c r="C779" s="16" t="s">
        <v>3527</v>
      </c>
      <c r="D779" s="16" t="s">
        <v>184</v>
      </c>
      <c r="E779" s="16" t="s">
        <v>228</v>
      </c>
      <c r="F779" s="16" t="s">
        <v>346</v>
      </c>
      <c r="G779" s="16" t="s">
        <v>408</v>
      </c>
      <c r="H779" s="16" t="s">
        <v>452</v>
      </c>
    </row>
    <row r="780" ht="24.75" customHeight="1">
      <c r="A780" s="32" t="str">
        <f>IMAGE("https://gymvisual.com/1807-catalog_default/3-4-sit-up.jpg",4,500,500)</f>
        <v/>
      </c>
      <c r="B780" s="30">
        <v>2779.0</v>
      </c>
      <c r="C780" s="16" t="s">
        <v>3528</v>
      </c>
      <c r="D780" s="16" t="s">
        <v>184</v>
      </c>
      <c r="E780" s="16" t="s">
        <v>228</v>
      </c>
      <c r="F780" s="16" t="s">
        <v>346</v>
      </c>
      <c r="G780" s="16" t="s">
        <v>408</v>
      </c>
      <c r="H780" s="16" t="s">
        <v>731</v>
      </c>
    </row>
    <row r="781" ht="24.75" customHeight="1">
      <c r="A781" s="32" t="str">
        <f>IMAGE("https://gymvisual.com/17765-catalog_default/lever-seated-right-side-crunch.jpg",4,500,500)</f>
        <v/>
      </c>
      <c r="B781" s="30">
        <v>2780.0</v>
      </c>
      <c r="C781" s="16" t="s">
        <v>3529</v>
      </c>
      <c r="D781" s="16" t="s">
        <v>184</v>
      </c>
      <c r="E781" s="16" t="s">
        <v>254</v>
      </c>
      <c r="F781" s="16" t="s">
        <v>346</v>
      </c>
      <c r="G781" s="16" t="s">
        <v>220</v>
      </c>
      <c r="H781" s="16" t="s">
        <v>220</v>
      </c>
    </row>
    <row r="782" ht="24.75" customHeight="1">
      <c r="A782" s="32" t="str">
        <f>IMAGE("https://gymvisual.com/6041-catalog_default/lever-seated-row.jpg",4,500,500)</f>
        <v/>
      </c>
      <c r="B782" s="30">
        <v>2781.0</v>
      </c>
      <c r="C782" s="16" t="s">
        <v>3530</v>
      </c>
      <c r="D782" s="16" t="s">
        <v>184</v>
      </c>
      <c r="E782" s="16" t="s">
        <v>192</v>
      </c>
      <c r="F782" s="16" t="s">
        <v>346</v>
      </c>
      <c r="G782" s="16" t="s">
        <v>329</v>
      </c>
      <c r="H782" s="16" t="s">
        <v>457</v>
      </c>
    </row>
    <row r="783" ht="24.75" customHeight="1">
      <c r="A783" s="32" t="str">
        <f>IMAGE("https://gymvisual.com/9652-catalog_default/lever-seated-row-female.jpg",4,500,500)</f>
        <v/>
      </c>
      <c r="B783" s="30">
        <v>2782.0</v>
      </c>
      <c r="C783" s="16" t="s">
        <v>3531</v>
      </c>
      <c r="D783" s="16" t="s">
        <v>184</v>
      </c>
      <c r="E783" s="16" t="s">
        <v>192</v>
      </c>
      <c r="F783" s="16" t="s">
        <v>346</v>
      </c>
      <c r="G783" s="16" t="s">
        <v>570</v>
      </c>
      <c r="H783" s="16" t="s">
        <v>447</v>
      </c>
    </row>
    <row r="784" ht="24.75" customHeight="1">
      <c r="A784" s="32" t="str">
        <f>IMAGE("https://gymvisual.com/12227-catalog_default/lever-seated-row-plate-loaded.jpg",4,500,500)</f>
        <v/>
      </c>
      <c r="B784" s="30">
        <v>2783.0</v>
      </c>
      <c r="C784" s="16" t="s">
        <v>3532</v>
      </c>
      <c r="D784" s="16" t="s">
        <v>184</v>
      </c>
      <c r="E784" s="16" t="s">
        <v>192</v>
      </c>
      <c r="F784" s="16" t="s">
        <v>346</v>
      </c>
      <c r="G784" s="16" t="s">
        <v>570</v>
      </c>
      <c r="H784" s="16" t="s">
        <v>447</v>
      </c>
    </row>
    <row r="785" ht="24.75" customHeight="1">
      <c r="A785" s="32" t="str">
        <f>IMAGE("https://gymvisual.com/9682-catalog_default/lever-seated-row-version-2.jpg",4,500,500)</f>
        <v/>
      </c>
      <c r="B785" s="30">
        <v>2784.0</v>
      </c>
      <c r="C785" s="16" t="s">
        <v>3533</v>
      </c>
      <c r="D785" s="16" t="s">
        <v>184</v>
      </c>
      <c r="E785" s="16" t="s">
        <v>192</v>
      </c>
      <c r="F785" s="16" t="s">
        <v>346</v>
      </c>
      <c r="G785" s="16" t="s">
        <v>570</v>
      </c>
      <c r="H785" s="16" t="s">
        <v>447</v>
      </c>
    </row>
    <row r="786" ht="24.75" customHeight="1">
      <c r="A786" s="32" t="str">
        <f>IMAGE("https://gymvisual.com/6466-catalog_default/lever-seated-shoulder-press.jpg",4,500,500)</f>
        <v/>
      </c>
      <c r="B786" s="30">
        <v>2785.0</v>
      </c>
      <c r="C786" s="16" t="s">
        <v>3534</v>
      </c>
      <c r="D786" s="16" t="s">
        <v>184</v>
      </c>
      <c r="E786" s="16" t="s">
        <v>228</v>
      </c>
      <c r="F786" s="16" t="s">
        <v>346</v>
      </c>
      <c r="G786" s="16" t="s">
        <v>229</v>
      </c>
      <c r="H786" s="16" t="s">
        <v>626</v>
      </c>
    </row>
    <row r="787" ht="24.75" customHeight="1">
      <c r="A787" s="32" t="str">
        <f>IMAGE("https://gymvisual.com/12053-catalog_default/lever-seated-shoulder-press-female.jpg",4,500,500)</f>
        <v/>
      </c>
      <c r="B787" s="30">
        <v>2786.0</v>
      </c>
      <c r="C787" s="16" t="s">
        <v>3535</v>
      </c>
      <c r="D787" s="16" t="s">
        <v>184</v>
      </c>
      <c r="E787" s="16" t="s">
        <v>228</v>
      </c>
      <c r="F787" s="16" t="s">
        <v>346</v>
      </c>
      <c r="G787" s="16" t="s">
        <v>229</v>
      </c>
      <c r="H787" s="16" t="s">
        <v>230</v>
      </c>
    </row>
    <row r="788" ht="24.75" customHeight="1">
      <c r="A788" s="32" t="str">
        <f>IMAGE("https://gymvisual.com/4603-catalog_default/lever-seated-squat.jpg",4,500,500)</f>
        <v/>
      </c>
      <c r="B788" s="30">
        <v>2787.0</v>
      </c>
      <c r="C788" s="16" t="s">
        <v>3536</v>
      </c>
      <c r="D788" s="16" t="s">
        <v>184</v>
      </c>
      <c r="E788" s="16" t="s">
        <v>285</v>
      </c>
      <c r="F788" s="16" t="s">
        <v>346</v>
      </c>
      <c r="G788" s="16" t="s">
        <v>189</v>
      </c>
      <c r="H788" s="16" t="s">
        <v>190</v>
      </c>
    </row>
    <row r="789" ht="24.75" customHeight="1">
      <c r="A789" s="32" t="str">
        <f>IMAGE("https://gymvisual.com/11378-catalog_default/lever-seated-squat-calf-raise-on-leg-press-female.jpg",4,500,500)</f>
        <v/>
      </c>
      <c r="B789" s="30">
        <v>2788.0</v>
      </c>
      <c r="C789" s="16" t="s">
        <v>3537</v>
      </c>
      <c r="D789" s="16" t="s">
        <v>184</v>
      </c>
      <c r="E789" s="16" t="s">
        <v>294</v>
      </c>
      <c r="F789" s="16" t="s">
        <v>346</v>
      </c>
      <c r="G789" s="16" t="s">
        <v>220</v>
      </c>
      <c r="H789" s="16" t="s">
        <v>220</v>
      </c>
    </row>
    <row r="790" ht="24.75" customHeight="1">
      <c r="A790" s="32" t="str">
        <f>IMAGE("https://gymvisual.com/6082-catalog_default/lever-seated-squat-calf-raise-on-leg-press-machine.jpg",4,500,500)</f>
        <v/>
      </c>
      <c r="B790" s="30">
        <v>2789.0</v>
      </c>
      <c r="C790" s="16" t="s">
        <v>3538</v>
      </c>
      <c r="D790" s="16" t="s">
        <v>184</v>
      </c>
      <c r="E790" s="16" t="s">
        <v>325</v>
      </c>
      <c r="F790" s="16" t="s">
        <v>346</v>
      </c>
      <c r="G790" s="16" t="s">
        <v>3539</v>
      </c>
      <c r="H790" s="16" t="s">
        <v>3540</v>
      </c>
    </row>
    <row r="791" ht="24.75" customHeight="1">
      <c r="A791" s="32" t="str">
        <f>IMAGE("https://gymvisual.com/6464-catalog_default/lever-seated-twist.jpg",4,500,500)</f>
        <v/>
      </c>
      <c r="B791" s="30">
        <v>2790.0</v>
      </c>
      <c r="C791" s="16" t="s">
        <v>3541</v>
      </c>
      <c r="D791" s="16" t="s">
        <v>184</v>
      </c>
      <c r="E791" s="16" t="s">
        <v>254</v>
      </c>
      <c r="F791" s="16" t="s">
        <v>346</v>
      </c>
      <c r="G791" s="16" t="s">
        <v>257</v>
      </c>
      <c r="H791" s="16" t="s">
        <v>220</v>
      </c>
    </row>
    <row r="792" ht="24.75" customHeight="1">
      <c r="A792" s="32" t="str">
        <f>IMAGE("https://gymvisual.com/10957-catalog_default/lever-seated-twist-female.jpg",4,500,500)</f>
        <v/>
      </c>
      <c r="B792" s="30">
        <v>2791.0</v>
      </c>
      <c r="C792" s="16" t="s">
        <v>3542</v>
      </c>
      <c r="D792" s="16" t="s">
        <v>184</v>
      </c>
      <c r="E792" s="16" t="s">
        <v>254</v>
      </c>
      <c r="F792" s="16" t="s">
        <v>346</v>
      </c>
      <c r="G792" s="16" t="s">
        <v>220</v>
      </c>
      <c r="H792" s="16" t="s">
        <v>220</v>
      </c>
    </row>
    <row r="793" ht="24.75" customHeight="1">
      <c r="A793" s="32" t="str">
        <f>IMAGE("https://gymvisual.com/6821-catalog_default/lever-seated-wide-squat.jpg",4,500,500)</f>
        <v/>
      </c>
      <c r="B793" s="30">
        <v>2792.0</v>
      </c>
      <c r="C793" s="16" t="s">
        <v>3543</v>
      </c>
      <c r="D793" s="16" t="s">
        <v>184</v>
      </c>
      <c r="E793" s="16" t="s">
        <v>285</v>
      </c>
      <c r="F793" s="16" t="s">
        <v>346</v>
      </c>
      <c r="G793" s="16" t="s">
        <v>220</v>
      </c>
      <c r="H793" s="16" t="s">
        <v>220</v>
      </c>
    </row>
    <row r="794" ht="24.75" customHeight="1">
      <c r="A794" s="32" t="str">
        <f>IMAGE("https://gymvisual.com/1813-catalog_default/3-4-sit-up.jpg",4,500,500)</f>
        <v/>
      </c>
      <c r="B794" s="30">
        <v>2793.0</v>
      </c>
      <c r="C794" s="16" t="s">
        <v>3544</v>
      </c>
      <c r="D794" s="16" t="s">
        <v>184</v>
      </c>
      <c r="E794" s="16" t="s">
        <v>228</v>
      </c>
      <c r="F794" s="16" t="s">
        <v>346</v>
      </c>
      <c r="G794" s="16" t="s">
        <v>1224</v>
      </c>
      <c r="H794" s="16" t="s">
        <v>3545</v>
      </c>
    </row>
    <row r="795" ht="24.75" customHeight="1">
      <c r="A795" s="32" t="str">
        <f>IMAGE("https://gymvisual.com/9817-catalog_default/lever-shoulder-press-plate-loaded-version-3.jpg",4,500,500)</f>
        <v/>
      </c>
      <c r="B795" s="30">
        <v>2794.0</v>
      </c>
      <c r="C795" s="16" t="s">
        <v>3546</v>
      </c>
      <c r="D795" s="16" t="s">
        <v>184</v>
      </c>
      <c r="E795" s="16" t="s">
        <v>228</v>
      </c>
      <c r="F795" s="16" t="s">
        <v>346</v>
      </c>
      <c r="G795" s="16" t="s">
        <v>229</v>
      </c>
      <c r="H795" s="16" t="s">
        <v>626</v>
      </c>
    </row>
    <row r="796" ht="24.75" customHeight="1">
      <c r="A796" s="32" t="str">
        <f>IMAGE("https://gymvisual.com/2645-catalog_default/lever-shoulder-press-plate-loaded-version-2.jpg",4,500,500)</f>
        <v/>
      </c>
      <c r="B796" s="30">
        <v>2795.0</v>
      </c>
      <c r="C796" s="16" t="s">
        <v>3547</v>
      </c>
      <c r="D796" s="16" t="s">
        <v>184</v>
      </c>
      <c r="E796" s="16" t="s">
        <v>228</v>
      </c>
      <c r="F796" s="16" t="s">
        <v>346</v>
      </c>
      <c r="G796" s="16" t="s">
        <v>229</v>
      </c>
      <c r="H796" s="16" t="s">
        <v>626</v>
      </c>
    </row>
    <row r="797" ht="24.75" customHeight="1">
      <c r="A797" s="32" t="str">
        <f>IMAGE("https://gymvisual.com/4592-catalog_default/lever-shrug-bench-press-machine.jpg",4,500,500)</f>
        <v/>
      </c>
      <c r="B797" s="30">
        <v>2796.0</v>
      </c>
      <c r="C797" s="16" t="s">
        <v>3548</v>
      </c>
      <c r="D797" s="16" t="s">
        <v>184</v>
      </c>
      <c r="E797" s="16" t="s">
        <v>192</v>
      </c>
      <c r="F797" s="16" t="s">
        <v>346</v>
      </c>
      <c r="G797" s="16" t="s">
        <v>238</v>
      </c>
      <c r="H797" s="16" t="s">
        <v>618</v>
      </c>
    </row>
    <row r="798" ht="24.75" customHeight="1">
      <c r="A798" s="32" t="str">
        <f>IMAGE("https://gymvisual.com/1816-catalog_default/3-4-sit-up.jpg",4,500,500)</f>
        <v/>
      </c>
      <c r="B798" s="30">
        <v>2797.0</v>
      </c>
      <c r="C798" s="16" t="s">
        <v>3549</v>
      </c>
      <c r="D798" s="16" t="s">
        <v>184</v>
      </c>
      <c r="E798" s="16" t="s">
        <v>192</v>
      </c>
      <c r="F798" s="16" t="s">
        <v>346</v>
      </c>
      <c r="G798" s="16" t="s">
        <v>238</v>
      </c>
      <c r="H798" s="16" t="s">
        <v>618</v>
      </c>
    </row>
    <row r="799" ht="24.75" customHeight="1">
      <c r="A799" s="32" t="str">
        <f>IMAGE("https://gymvisual.com/13483-catalog_default/lever-shrug-plate-loaded-female.jpg",4,500,500)</f>
        <v/>
      </c>
      <c r="B799" s="30">
        <v>2798.0</v>
      </c>
      <c r="C799" s="16" t="s">
        <v>3550</v>
      </c>
      <c r="D799" s="16" t="s">
        <v>184</v>
      </c>
      <c r="E799" s="16" t="s">
        <v>192</v>
      </c>
      <c r="F799" s="16" t="s">
        <v>346</v>
      </c>
      <c r="G799" s="16" t="s">
        <v>238</v>
      </c>
      <c r="H799" s="16" t="s">
        <v>618</v>
      </c>
    </row>
    <row r="800" ht="24.75" customHeight="1">
      <c r="A800" s="32" t="str">
        <f>IMAGE("https://gymvisual.com/2932-catalog_default/lever-side-hip-abduction.jpg",4,500,500)</f>
        <v/>
      </c>
      <c r="B800" s="30">
        <v>2799.0</v>
      </c>
      <c r="C800" s="16" t="s">
        <v>3551</v>
      </c>
      <c r="D800" s="16" t="s">
        <v>184</v>
      </c>
      <c r="E800" s="16" t="s">
        <v>185</v>
      </c>
      <c r="F800" s="16" t="s">
        <v>346</v>
      </c>
      <c r="G800" s="16" t="s">
        <v>271</v>
      </c>
      <c r="H800" s="16" t="s">
        <v>3552</v>
      </c>
    </row>
    <row r="801" ht="24.75" customHeight="1">
      <c r="A801" s="32" t="str">
        <f>IMAGE("https://gymvisual.com/11836-catalog_default/lever-side-hip-abduction-female.jpg",4,500,500)</f>
        <v/>
      </c>
      <c r="B801" s="30">
        <v>2800.0</v>
      </c>
      <c r="C801" s="16" t="s">
        <v>3553</v>
      </c>
      <c r="D801" s="16" t="s">
        <v>184</v>
      </c>
      <c r="E801" s="16" t="s">
        <v>185</v>
      </c>
      <c r="F801" s="16" t="s">
        <v>346</v>
      </c>
      <c r="G801" s="16" t="s">
        <v>508</v>
      </c>
      <c r="H801" s="16" t="s">
        <v>220</v>
      </c>
    </row>
    <row r="802" ht="24.75" customHeight="1">
      <c r="A802" s="32" t="str">
        <f>IMAGE("https://gymvisual.com/2933-catalog_default/lever-side-hip-adduction.jpg",4,500,500)</f>
        <v/>
      </c>
      <c r="B802" s="30">
        <v>2801.0</v>
      </c>
      <c r="C802" s="16" t="s">
        <v>3554</v>
      </c>
      <c r="D802" s="16" t="s">
        <v>184</v>
      </c>
      <c r="E802" s="16" t="s">
        <v>185</v>
      </c>
      <c r="F802" s="16" t="s">
        <v>346</v>
      </c>
      <c r="G802" s="16" t="s">
        <v>187</v>
      </c>
      <c r="H802" s="16" t="s">
        <v>220</v>
      </c>
    </row>
    <row r="803" ht="24.75" customHeight="1">
      <c r="A803" s="32" t="str">
        <f>IMAGE("https://gymvisual.com/23436-catalog_default/lever-single-arm-neutral-grip-seated-row-plate-loaded.jpg",4,500,500)</f>
        <v/>
      </c>
      <c r="B803" s="30">
        <v>2802.0</v>
      </c>
      <c r="C803" s="16" t="s">
        <v>3555</v>
      </c>
      <c r="D803" s="16" t="s">
        <v>184</v>
      </c>
      <c r="E803" s="16" t="s">
        <v>192</v>
      </c>
      <c r="F803" s="16" t="s">
        <v>346</v>
      </c>
      <c r="G803" s="16" t="s">
        <v>329</v>
      </c>
      <c r="H803" s="16" t="s">
        <v>457</v>
      </c>
    </row>
    <row r="804" ht="24.75" customHeight="1">
      <c r="A804" s="32" t="str">
        <f>IMAGE("https://gymvisual.com/23945-catalog_default/lever-single-leg-extension-plate-loaded.jpg",4,500,500)</f>
        <v/>
      </c>
      <c r="B804" s="30">
        <v>2803.0</v>
      </c>
      <c r="C804" s="16" t="s">
        <v>3556</v>
      </c>
      <c r="D804" s="16" t="s">
        <v>184</v>
      </c>
      <c r="E804" s="16" t="s">
        <v>285</v>
      </c>
      <c r="F804" s="16" t="s">
        <v>346</v>
      </c>
      <c r="G804" s="16" t="s">
        <v>552</v>
      </c>
      <c r="H804" s="16" t="s">
        <v>220</v>
      </c>
    </row>
    <row r="805" ht="24.75" customHeight="1">
      <c r="A805" s="32" t="str">
        <f>IMAGE("https://gymvisual.com/8784-catalog_default/lever-single-leg-hip-thrust.jpg",4,500,500)</f>
        <v/>
      </c>
      <c r="B805" s="30">
        <v>2804.0</v>
      </c>
      <c r="C805" s="16" t="s">
        <v>3557</v>
      </c>
      <c r="D805" s="16" t="s">
        <v>184</v>
      </c>
      <c r="E805" s="16" t="s">
        <v>185</v>
      </c>
      <c r="F805" s="16" t="s">
        <v>346</v>
      </c>
      <c r="G805" s="16" t="s">
        <v>187</v>
      </c>
      <c r="H805" s="16" t="s">
        <v>854</v>
      </c>
    </row>
    <row r="806" ht="24.75" customHeight="1">
      <c r="A806" s="32" t="str">
        <f>IMAGE("https://gymvisual.com/7727-catalog_default/lever-squat-plate-loaded.jpg",4,500,500)</f>
        <v/>
      </c>
      <c r="B806" s="30">
        <v>2805.0</v>
      </c>
      <c r="C806" s="16" t="s">
        <v>3558</v>
      </c>
      <c r="D806" s="16" t="s">
        <v>184</v>
      </c>
      <c r="E806" s="16" t="s">
        <v>285</v>
      </c>
      <c r="F806" s="16" t="s">
        <v>346</v>
      </c>
      <c r="G806" s="16" t="s">
        <v>189</v>
      </c>
      <c r="H806" s="16" t="s">
        <v>190</v>
      </c>
    </row>
    <row r="807" ht="24.75" customHeight="1">
      <c r="A807" s="32" t="str">
        <f>IMAGE("https://gymvisual.com/1819-catalog_default/3-4-sit-up.jpg",4,500,500)</f>
        <v/>
      </c>
      <c r="B807" s="30">
        <v>2806.0</v>
      </c>
      <c r="C807" s="16" t="s">
        <v>3559</v>
      </c>
      <c r="D807" s="16" t="s">
        <v>184</v>
      </c>
      <c r="E807" s="16" t="s">
        <v>325</v>
      </c>
      <c r="F807" s="16" t="s">
        <v>346</v>
      </c>
      <c r="G807" s="16" t="s">
        <v>368</v>
      </c>
      <c r="H807" s="16" t="s">
        <v>463</v>
      </c>
    </row>
    <row r="808" ht="24.75" customHeight="1">
      <c r="A808" s="32" t="str">
        <f>IMAGE("https://gymvisual.com/9547-catalog_default/lever-standing-calf-raise-female.jpg",4,500,500)</f>
        <v/>
      </c>
      <c r="B808" s="30">
        <v>2807.0</v>
      </c>
      <c r="C808" s="16" t="s">
        <v>3560</v>
      </c>
      <c r="D808" s="16" t="s">
        <v>184</v>
      </c>
      <c r="E808" s="16" t="s">
        <v>325</v>
      </c>
      <c r="F808" s="16" t="s">
        <v>346</v>
      </c>
      <c r="G808" s="16" t="s">
        <v>368</v>
      </c>
      <c r="H808" s="16" t="s">
        <v>463</v>
      </c>
    </row>
    <row r="809" ht="24.75" customHeight="1">
      <c r="A809" s="32" t="str">
        <f>IMAGE("https://gymvisual.com/16672-catalog_default/lever-standing-chest-press.jpg",4,500,500)</f>
        <v/>
      </c>
      <c r="B809" s="30">
        <v>2808.0</v>
      </c>
      <c r="C809" s="16" t="s">
        <v>3561</v>
      </c>
      <c r="D809" s="16" t="s">
        <v>184</v>
      </c>
      <c r="E809" s="16" t="s">
        <v>234</v>
      </c>
      <c r="F809" s="16" t="s">
        <v>346</v>
      </c>
      <c r="G809" s="16" t="s">
        <v>235</v>
      </c>
      <c r="H809" s="16" t="s">
        <v>243</v>
      </c>
    </row>
    <row r="810" ht="24.75" customHeight="1">
      <c r="A810" s="32" t="str">
        <f>IMAGE("https://gymvisual.com/2929-catalog_default/lever-standing-hip-extension.jpg",4,500,500)</f>
        <v/>
      </c>
      <c r="B810" s="30">
        <v>2809.0</v>
      </c>
      <c r="C810" s="16" t="s">
        <v>3562</v>
      </c>
      <c r="D810" s="16" t="s">
        <v>184</v>
      </c>
      <c r="E810" s="16" t="s">
        <v>185</v>
      </c>
      <c r="F810" s="16" t="s">
        <v>346</v>
      </c>
      <c r="G810" s="16" t="s">
        <v>223</v>
      </c>
      <c r="H810" s="16" t="s">
        <v>220</v>
      </c>
    </row>
    <row r="811" ht="24.75" customHeight="1">
      <c r="A811" s="32" t="str">
        <f>IMAGE("https://gymvisual.com/14388-catalog_default/lever-standing-hip-extension-female.jpg",4,500,500)</f>
        <v/>
      </c>
      <c r="B811" s="30">
        <v>2810.0</v>
      </c>
      <c r="C811" s="16" t="s">
        <v>3563</v>
      </c>
      <c r="D811" s="16" t="s">
        <v>184</v>
      </c>
      <c r="E811" s="16" t="s">
        <v>185</v>
      </c>
      <c r="F811" s="16" t="s">
        <v>346</v>
      </c>
      <c r="G811" s="16" t="s">
        <v>187</v>
      </c>
      <c r="H811" s="16" t="s">
        <v>188</v>
      </c>
    </row>
    <row r="812" ht="24.75" customHeight="1">
      <c r="A812" s="32" t="str">
        <f>IMAGE("https://gymvisual.com/18766-catalog_default/lever-standing-leg-curl.jpg",4,500,500)</f>
        <v/>
      </c>
      <c r="B812" s="30">
        <v>2811.0</v>
      </c>
      <c r="C812" s="16" t="s">
        <v>3564</v>
      </c>
      <c r="D812" s="16" t="s">
        <v>184</v>
      </c>
      <c r="E812" s="16" t="s">
        <v>285</v>
      </c>
      <c r="F812" s="16" t="s">
        <v>346</v>
      </c>
      <c r="G812" s="16" t="s">
        <v>220</v>
      </c>
      <c r="H812" s="16" t="s">
        <v>220</v>
      </c>
    </row>
    <row r="813" ht="24.75" customHeight="1">
      <c r="A813" s="32" t="str">
        <f>IMAGE("https://gymvisual.com/2934-catalog_default/lever-standing-leg-raise.jpg",4,500,500)</f>
        <v/>
      </c>
      <c r="B813" s="30">
        <v>2812.0</v>
      </c>
      <c r="C813" s="16" t="s">
        <v>3565</v>
      </c>
      <c r="D813" s="16" t="s">
        <v>184</v>
      </c>
      <c r="E813" s="16" t="s">
        <v>185</v>
      </c>
      <c r="F813" s="16" t="s">
        <v>346</v>
      </c>
      <c r="G813" s="16" t="s">
        <v>189</v>
      </c>
      <c r="H813" s="16" t="s">
        <v>190</v>
      </c>
    </row>
    <row r="814" ht="24.75" customHeight="1">
      <c r="A814" s="32" t="str">
        <f>IMAGE("https://gymvisual.com/2935-catalog_default/lever-standing-rear-kick.jpg",4,500,500)</f>
        <v/>
      </c>
      <c r="B814" s="30">
        <v>2813.0</v>
      </c>
      <c r="C814" s="16" t="s">
        <v>3566</v>
      </c>
      <c r="D814" s="16" t="s">
        <v>184</v>
      </c>
      <c r="E814" s="16" t="s">
        <v>185</v>
      </c>
      <c r="F814" s="16" t="s">
        <v>346</v>
      </c>
      <c r="G814" s="16" t="s">
        <v>189</v>
      </c>
      <c r="H814" s="16" t="s">
        <v>190</v>
      </c>
    </row>
    <row r="815" ht="24.75" customHeight="1">
      <c r="A815" s="32" t="str">
        <f>IMAGE("https://gymvisual.com/14290-catalog_default/lever-standing-rear-kick-female.jpg",4,500,500)</f>
        <v/>
      </c>
      <c r="B815" s="30">
        <v>2814.0</v>
      </c>
      <c r="C815" s="16" t="s">
        <v>3567</v>
      </c>
      <c r="D815" s="16" t="s">
        <v>184</v>
      </c>
      <c r="E815" s="16" t="s">
        <v>185</v>
      </c>
      <c r="F815" s="16" t="s">
        <v>346</v>
      </c>
      <c r="G815" s="16" t="s">
        <v>187</v>
      </c>
      <c r="H815" s="16" t="s">
        <v>220</v>
      </c>
    </row>
    <row r="816" ht="24.75" customHeight="1">
      <c r="A816" s="32" t="str">
        <f>IMAGE("https://gymvisual.com/15656-catalog_default/3-4-sit-up.jpg",4,500,500)</f>
        <v/>
      </c>
      <c r="B816" s="30">
        <v>2815.0</v>
      </c>
      <c r="C816" s="16" t="s">
        <v>3568</v>
      </c>
      <c r="D816" s="16" t="s">
        <v>184</v>
      </c>
      <c r="E816" s="16" t="s">
        <v>192</v>
      </c>
      <c r="F816" s="16" t="s">
        <v>346</v>
      </c>
      <c r="G816" s="16" t="s">
        <v>329</v>
      </c>
      <c r="H816" s="16" t="s">
        <v>457</v>
      </c>
    </row>
    <row r="817" ht="24.75" customHeight="1">
      <c r="A817" s="32" t="str">
        <f>IMAGE("https://gymvisual.com/6042-catalog_default/lever-t-bar-reverse-grip-row.jpg",4,500,500)</f>
        <v/>
      </c>
      <c r="B817" s="30">
        <v>2816.0</v>
      </c>
      <c r="C817" s="16" t="s">
        <v>3569</v>
      </c>
      <c r="D817" s="16" t="s">
        <v>184</v>
      </c>
      <c r="E817" s="16" t="s">
        <v>192</v>
      </c>
      <c r="F817" s="16" t="s">
        <v>346</v>
      </c>
      <c r="G817" s="16" t="s">
        <v>329</v>
      </c>
      <c r="H817" s="16" t="s">
        <v>457</v>
      </c>
    </row>
    <row r="818" ht="24.75" customHeight="1">
      <c r="A818" s="32" t="str">
        <f>IMAGE("https://gymvisual.com/22554-catalog_default/lever-t-bar-romanian-deadlift.jpg",4,500,500)</f>
        <v/>
      </c>
      <c r="B818" s="30">
        <v>2817.0</v>
      </c>
      <c r="C818" s="16" t="s">
        <v>3570</v>
      </c>
      <c r="D818" s="16" t="s">
        <v>184</v>
      </c>
      <c r="E818" s="16" t="s">
        <v>185</v>
      </c>
      <c r="F818" s="16" t="s">
        <v>346</v>
      </c>
      <c r="G818" s="16" t="s">
        <v>220</v>
      </c>
      <c r="H818" s="16" t="s">
        <v>220</v>
      </c>
    </row>
    <row r="819" ht="24.75" customHeight="1">
      <c r="A819" s="32" t="str">
        <f>IMAGE("https://gymvisual.com/19373-catalog_default/lever-t-bar-row-plate-loaded-female.jpg",4,500,500)</f>
        <v/>
      </c>
      <c r="B819" s="30">
        <v>2818.0</v>
      </c>
      <c r="C819" s="16" t="s">
        <v>3571</v>
      </c>
      <c r="D819" s="16" t="s">
        <v>184</v>
      </c>
      <c r="E819" s="16" t="s">
        <v>192</v>
      </c>
      <c r="F819" s="16" t="s">
        <v>346</v>
      </c>
      <c r="G819" s="16" t="s">
        <v>570</v>
      </c>
      <c r="H819" s="16" t="s">
        <v>447</v>
      </c>
    </row>
    <row r="820" ht="24.75" customHeight="1">
      <c r="A820" s="32" t="str">
        <f>IMAGE("https://gymvisual.com/24053-catalog_default/lever-total-abdominal-crunch.jpg",4,500,500)</f>
        <v/>
      </c>
      <c r="B820" s="30">
        <v>2819.0</v>
      </c>
      <c r="C820" s="16" t="s">
        <v>3572</v>
      </c>
      <c r="D820" s="16" t="s">
        <v>184</v>
      </c>
      <c r="E820" s="16" t="s">
        <v>254</v>
      </c>
      <c r="F820" s="16" t="s">
        <v>346</v>
      </c>
      <c r="G820" s="16" t="s">
        <v>256</v>
      </c>
      <c r="H820" s="16" t="s">
        <v>257</v>
      </c>
    </row>
    <row r="821" ht="24.75" customHeight="1">
      <c r="A821" s="32" t="str">
        <f>IMAGE("https://gymvisual.com/7723-catalog_default/lever-triceps-dip-plate-loaded.jpg",4,500,500)</f>
        <v/>
      </c>
      <c r="B821" s="30">
        <v>2820.0</v>
      </c>
      <c r="C821" s="16" t="s">
        <v>3573</v>
      </c>
      <c r="D821" s="16" t="s">
        <v>184</v>
      </c>
      <c r="E821" s="16" t="s">
        <v>219</v>
      </c>
      <c r="F821" s="16" t="s">
        <v>346</v>
      </c>
      <c r="G821" s="16" t="s">
        <v>223</v>
      </c>
      <c r="H821" s="16" t="s">
        <v>394</v>
      </c>
    </row>
    <row r="822" ht="24.75" customHeight="1">
      <c r="A822" s="32" t="str">
        <f>IMAGE("https://gymvisual.com/1825-catalog_default/3-4-sit-up.jpg",4,500,500)</f>
        <v/>
      </c>
      <c r="B822" s="30">
        <v>2821.0</v>
      </c>
      <c r="C822" s="16" t="s">
        <v>3574</v>
      </c>
      <c r="D822" s="16" t="s">
        <v>184</v>
      </c>
      <c r="E822" s="16" t="s">
        <v>219</v>
      </c>
      <c r="F822" s="16" t="s">
        <v>346</v>
      </c>
      <c r="G822" s="16" t="s">
        <v>223</v>
      </c>
      <c r="H822" s="16" t="s">
        <v>220</v>
      </c>
    </row>
    <row r="823" ht="24.75" customHeight="1">
      <c r="A823" s="32" t="str">
        <f>IMAGE("https://gymvisual.com/2931-catalog_default/lever-triceps-extension.jpg",4,500,500)</f>
        <v/>
      </c>
      <c r="B823" s="30">
        <v>2822.0</v>
      </c>
      <c r="C823" s="16" t="s">
        <v>3574</v>
      </c>
      <c r="D823" s="16" t="s">
        <v>184</v>
      </c>
      <c r="E823" s="16" t="s">
        <v>219</v>
      </c>
      <c r="F823" s="16" t="s">
        <v>346</v>
      </c>
      <c r="G823" s="16" t="s">
        <v>511</v>
      </c>
      <c r="H823" s="16" t="s">
        <v>3575</v>
      </c>
    </row>
    <row r="824" ht="24.75" customHeight="1">
      <c r="A824" s="32" t="str">
        <f>IMAGE("https://gymvisual.com/14292-catalog_default/lever-triceps-extension-female.jpg",4,500,500)</f>
        <v/>
      </c>
      <c r="B824" s="30">
        <v>2823.0</v>
      </c>
      <c r="C824" s="16" t="s">
        <v>3576</v>
      </c>
      <c r="D824" s="16" t="s">
        <v>184</v>
      </c>
      <c r="E824" s="16" t="s">
        <v>219</v>
      </c>
      <c r="F824" s="16" t="s">
        <v>346</v>
      </c>
      <c r="G824" s="16" t="s">
        <v>223</v>
      </c>
      <c r="H824" s="16" t="s">
        <v>220</v>
      </c>
    </row>
    <row r="825" ht="24.75" customHeight="1">
      <c r="A825" s="32" t="str">
        <f>IMAGE("https://gymvisual.com/12059-catalog_default/lever-triceps-extension-version-2-female.jpg",4,500,500)</f>
        <v/>
      </c>
      <c r="B825" s="30">
        <v>2824.0</v>
      </c>
      <c r="C825" s="16" t="s">
        <v>3577</v>
      </c>
      <c r="D825" s="16" t="s">
        <v>184</v>
      </c>
      <c r="E825" s="16" t="s">
        <v>219</v>
      </c>
      <c r="F825" s="16" t="s">
        <v>346</v>
      </c>
      <c r="G825" s="16" t="s">
        <v>223</v>
      </c>
      <c r="H825" s="16" t="s">
        <v>220</v>
      </c>
    </row>
    <row r="826" ht="24.75" customHeight="1">
      <c r="A826" s="32" t="str">
        <f>IMAGE("https://gymvisual.com/22656-catalog_default/lever-trunk-rotation.jpg",4,500,500)</f>
        <v/>
      </c>
      <c r="B826" s="30">
        <v>2825.0</v>
      </c>
      <c r="C826" s="16" t="s">
        <v>3578</v>
      </c>
      <c r="D826" s="16" t="s">
        <v>184</v>
      </c>
      <c r="E826" s="16" t="s">
        <v>254</v>
      </c>
      <c r="F826" s="16" t="s">
        <v>346</v>
      </c>
      <c r="G826" s="16" t="s">
        <v>257</v>
      </c>
      <c r="H826" s="16" t="s">
        <v>256</v>
      </c>
    </row>
    <row r="827" ht="24.75" customHeight="1">
      <c r="A827" s="32" t="str">
        <f>IMAGE("https://gymvisual.com/1828-catalog_default/3-4-sit-up.jpg",4,500,500)</f>
        <v/>
      </c>
      <c r="B827" s="30">
        <v>2826.0</v>
      </c>
      <c r="C827" s="16" t="s">
        <v>3579</v>
      </c>
      <c r="D827" s="16" t="s">
        <v>184</v>
      </c>
      <c r="E827" s="16" t="s">
        <v>254</v>
      </c>
      <c r="F827" s="16" t="s">
        <v>346</v>
      </c>
      <c r="G827" s="16" t="s">
        <v>257</v>
      </c>
      <c r="H827" s="16" t="s">
        <v>271</v>
      </c>
    </row>
    <row r="828" ht="24.75" customHeight="1">
      <c r="A828" s="32" t="str">
        <f>IMAGE("https://gymvisual.com/6004-catalog_default/lever-unilateral-row.jpg",4,500,500)</f>
        <v/>
      </c>
      <c r="B828" s="30">
        <v>2827.0</v>
      </c>
      <c r="C828" s="16" t="s">
        <v>3580</v>
      </c>
      <c r="D828" s="16" t="s">
        <v>184</v>
      </c>
      <c r="E828" s="16" t="s">
        <v>192</v>
      </c>
      <c r="F828" s="16" t="s">
        <v>346</v>
      </c>
      <c r="G828" s="16" t="s">
        <v>329</v>
      </c>
      <c r="H828" s="16" t="s">
        <v>457</v>
      </c>
    </row>
    <row r="829" ht="24.75" customHeight="1">
      <c r="A829" s="32" t="str">
        <f>IMAGE("https://gymvisual.com/21008-catalog_default/lever-vmx-multy-mode-rope-lat-pulldown.jpg",4,500,500)</f>
        <v/>
      </c>
      <c r="B829" s="30">
        <v>2828.0</v>
      </c>
      <c r="C829" s="16" t="s">
        <v>3581</v>
      </c>
      <c r="D829" s="16" t="s">
        <v>184</v>
      </c>
      <c r="E829" s="16" t="s">
        <v>192</v>
      </c>
      <c r="F829" s="16" t="s">
        <v>346</v>
      </c>
      <c r="G829" s="16" t="s">
        <v>300</v>
      </c>
      <c r="H829" s="16" t="s">
        <v>3582</v>
      </c>
    </row>
    <row r="830" ht="24.75" customHeight="1">
      <c r="A830" s="32" t="str">
        <f>IMAGE("https://gymvisual.com/1831-catalog_default/3-4-sit-up.jpg",4,500,500)</f>
        <v/>
      </c>
      <c r="B830" s="30">
        <v>2829.0</v>
      </c>
      <c r="C830" s="16" t="s">
        <v>3583</v>
      </c>
      <c r="D830" s="16" t="s">
        <v>184</v>
      </c>
      <c r="E830" s="16" t="s">
        <v>192</v>
      </c>
      <c r="F830" s="16" t="s">
        <v>1160</v>
      </c>
      <c r="G830" s="16" t="s">
        <v>329</v>
      </c>
      <c r="H830" s="16" t="s">
        <v>457</v>
      </c>
    </row>
    <row r="831" ht="24.75" customHeight="1">
      <c r="A831" s="32" t="str">
        <f>IMAGE("https://gymvisual.com/22109-catalog_default/long-arm-crunch.jpg",4,500,500)</f>
        <v/>
      </c>
      <c r="B831" s="30">
        <v>2830.0</v>
      </c>
      <c r="C831" s="16" t="s">
        <v>3584</v>
      </c>
      <c r="D831" s="16" t="s">
        <v>184</v>
      </c>
      <c r="E831" s="16" t="s">
        <v>254</v>
      </c>
      <c r="F831" s="16" t="s">
        <v>255</v>
      </c>
      <c r="G831" s="16" t="s">
        <v>256</v>
      </c>
      <c r="H831" s="16" t="s">
        <v>257</v>
      </c>
    </row>
    <row r="832" ht="24.75" customHeight="1">
      <c r="A832" s="32" t="str">
        <f>IMAGE("https://gymvisual.com/22758-catalog_default/long-arm-crunch-female.jpg",4,500,500)</f>
        <v/>
      </c>
      <c r="B832" s="30">
        <v>2831.0</v>
      </c>
      <c r="C832" s="16" t="s">
        <v>3585</v>
      </c>
      <c r="D832" s="16" t="s">
        <v>184</v>
      </c>
      <c r="E832" s="16" t="s">
        <v>254</v>
      </c>
      <c r="F832" s="16" t="s">
        <v>255</v>
      </c>
      <c r="G832" s="16" t="s">
        <v>220</v>
      </c>
      <c r="H832" s="16" t="s">
        <v>220</v>
      </c>
    </row>
    <row r="833" ht="24.75" customHeight="1">
      <c r="A833" s="32" t="str">
        <f>IMAGE("https://gymvisual.com/22458-catalog_default/long-lever-decline-sit-up-female.jpg",4,500,500)</f>
        <v/>
      </c>
      <c r="B833" s="30">
        <v>2832.0</v>
      </c>
      <c r="C833" s="16" t="s">
        <v>3586</v>
      </c>
      <c r="D833" s="16" t="s">
        <v>184</v>
      </c>
      <c r="E833" s="16" t="s">
        <v>254</v>
      </c>
      <c r="F833" s="16" t="s">
        <v>346</v>
      </c>
      <c r="G833" s="16" t="s">
        <v>220</v>
      </c>
      <c r="H833" s="16" t="s">
        <v>220</v>
      </c>
    </row>
    <row r="834" ht="24.75" customHeight="1">
      <c r="A834" s="32" t="str">
        <f>IMAGE("https://gymvisual.com/22484-catalog_default/long-lever-lying-back-extension.jpg",4,500,500)</f>
        <v/>
      </c>
      <c r="B834" s="30">
        <v>2833.0</v>
      </c>
      <c r="C834" s="16" t="s">
        <v>3587</v>
      </c>
      <c r="D834" s="16" t="s">
        <v>184</v>
      </c>
      <c r="E834" s="16" t="s">
        <v>185</v>
      </c>
      <c r="F834" s="16" t="s">
        <v>346</v>
      </c>
      <c r="G834" s="16" t="s">
        <v>220</v>
      </c>
      <c r="H834" s="16" t="s">
        <v>220</v>
      </c>
    </row>
    <row r="835" ht="24.75" customHeight="1">
      <c r="A835" s="32" t="str">
        <f>IMAGE("https://gymvisual.com/12406-catalog_default/low-glute-bridge-on-floor.jpg",4,500,500)</f>
        <v/>
      </c>
      <c r="B835" s="30">
        <v>2834.0</v>
      </c>
      <c r="C835" s="16" t="s">
        <v>3588</v>
      </c>
      <c r="D835" s="16" t="s">
        <v>184</v>
      </c>
      <c r="E835" s="16" t="s">
        <v>185</v>
      </c>
      <c r="F835" s="16" t="s">
        <v>255</v>
      </c>
      <c r="G835" s="16" t="s">
        <v>187</v>
      </c>
      <c r="H835" s="16" t="s">
        <v>220</v>
      </c>
    </row>
    <row r="836" ht="24.75" customHeight="1">
      <c r="A836" s="32" t="str">
        <f>IMAGE("https://gymvisual.com/12409-catalog_default/low-glute-bridge-on-floor-female.jpg",4,500,500)</f>
        <v/>
      </c>
      <c r="B836" s="30">
        <v>2835.0</v>
      </c>
      <c r="C836" s="16" t="s">
        <v>3589</v>
      </c>
      <c r="D836" s="16" t="s">
        <v>184</v>
      </c>
      <c r="E836" s="16" t="s">
        <v>185</v>
      </c>
      <c r="F836" s="16" t="s">
        <v>255</v>
      </c>
      <c r="G836" s="16" t="s">
        <v>187</v>
      </c>
      <c r="H836" s="16" t="s">
        <v>220</v>
      </c>
    </row>
    <row r="837" ht="24.75" customHeight="1">
      <c r="A837" s="32" t="str">
        <f>IMAGE("https://gymvisual.com/6043-catalog_default/lower-back-curl.jpg",4,500,500)</f>
        <v/>
      </c>
      <c r="B837" s="30">
        <v>2836.0</v>
      </c>
      <c r="C837" s="16" t="s">
        <v>3590</v>
      </c>
      <c r="D837" s="16" t="s">
        <v>184</v>
      </c>
      <c r="E837" s="16" t="s">
        <v>192</v>
      </c>
      <c r="F837" s="16" t="s">
        <v>255</v>
      </c>
      <c r="G837" s="16" t="s">
        <v>275</v>
      </c>
      <c r="H837" s="16" t="s">
        <v>220</v>
      </c>
    </row>
    <row r="838" ht="24.75" customHeight="1">
      <c r="A838" s="32" t="str">
        <f>IMAGE("https://gymvisual.com/1839-catalog_default/3-4-sit-up.jpg",4,500,500)</f>
        <v/>
      </c>
      <c r="B838" s="30">
        <v>2837.0</v>
      </c>
      <c r="C838" s="16" t="s">
        <v>3591</v>
      </c>
      <c r="D838" s="16" t="s">
        <v>184</v>
      </c>
      <c r="E838" s="16" t="s">
        <v>185</v>
      </c>
      <c r="F838" s="16" t="s">
        <v>255</v>
      </c>
      <c r="G838" s="16" t="s">
        <v>189</v>
      </c>
      <c r="H838" s="16" t="s">
        <v>190</v>
      </c>
    </row>
    <row r="839" ht="24.75" customHeight="1">
      <c r="A839" s="32" t="str">
        <f>IMAGE("https://gymvisual.com/20060-catalog_default/lunge-thighs-wrong-right.jpg",4,500,500)</f>
        <v/>
      </c>
      <c r="B839" s="30">
        <v>2838.0</v>
      </c>
      <c r="C839" s="16" t="s">
        <v>3592</v>
      </c>
      <c r="D839" s="16" t="s">
        <v>184</v>
      </c>
      <c r="E839" s="16" t="s">
        <v>285</v>
      </c>
      <c r="F839" s="16" t="s">
        <v>255</v>
      </c>
      <c r="G839" s="16" t="s">
        <v>220</v>
      </c>
      <c r="H839" s="16" t="s">
        <v>220</v>
      </c>
    </row>
    <row r="840" ht="24.75" customHeight="1">
      <c r="A840" s="32" t="str">
        <f>IMAGE("https://gymvisual.com/1837-catalog_default/3-4-sit-up.jpg",4,500,500)</f>
        <v/>
      </c>
      <c r="B840" s="30">
        <v>2839.0</v>
      </c>
      <c r="C840" s="16" t="s">
        <v>3593</v>
      </c>
      <c r="D840" s="16" t="s">
        <v>184</v>
      </c>
      <c r="E840" s="16" t="s">
        <v>285</v>
      </c>
      <c r="F840" s="16" t="s">
        <v>255</v>
      </c>
      <c r="G840" s="16" t="s">
        <v>3594</v>
      </c>
      <c r="H840" s="16" t="s">
        <v>3595</v>
      </c>
    </row>
    <row r="841" ht="24.75" customHeight="1">
      <c r="A841" s="32" t="str">
        <f>IMAGE("https://gymvisual.com/14226-catalog_default/lunge-with-leg-lift.jpg",4,500,500)</f>
        <v/>
      </c>
      <c r="B841" s="30">
        <v>2840.0</v>
      </c>
      <c r="C841" s="16" t="s">
        <v>3596</v>
      </c>
      <c r="D841" s="16" t="s">
        <v>184</v>
      </c>
      <c r="E841" s="16" t="s">
        <v>285</v>
      </c>
      <c r="F841" s="16" t="s">
        <v>255</v>
      </c>
      <c r="G841" s="16" t="s">
        <v>189</v>
      </c>
      <c r="H841" s="16" t="s">
        <v>190</v>
      </c>
    </row>
    <row r="842" ht="24.75" customHeight="1">
      <c r="A842" s="32" t="str">
        <f>IMAGE("https://gymvisual.com/7310-catalog_default/lunge-with-twist.jpg",4,500,500)</f>
        <v/>
      </c>
      <c r="B842" s="30">
        <v>2841.0</v>
      </c>
      <c r="C842" s="16" t="s">
        <v>3597</v>
      </c>
      <c r="D842" s="16" t="s">
        <v>184</v>
      </c>
      <c r="E842" s="16" t="s">
        <v>254</v>
      </c>
      <c r="F842" s="16" t="s">
        <v>255</v>
      </c>
      <c r="G842" s="16" t="s">
        <v>524</v>
      </c>
      <c r="H842" s="16" t="s">
        <v>190</v>
      </c>
    </row>
    <row r="843" ht="24.75" customHeight="1">
      <c r="A843" s="32" t="str">
        <f>IMAGE("https://gymvisual.com/19033-catalog_default/lying-ab-press-female.jpg",4,500,500)</f>
        <v/>
      </c>
      <c r="B843" s="30">
        <v>2842.0</v>
      </c>
      <c r="C843" s="16" t="s">
        <v>3598</v>
      </c>
      <c r="D843" s="16" t="s">
        <v>184</v>
      </c>
      <c r="E843" s="16" t="s">
        <v>254</v>
      </c>
      <c r="F843" s="16" t="s">
        <v>255</v>
      </c>
      <c r="G843" s="16" t="s">
        <v>256</v>
      </c>
      <c r="H843" s="16" t="s">
        <v>271</v>
      </c>
    </row>
    <row r="844" ht="24.75" customHeight="1">
      <c r="A844" s="32" t="str">
        <f>IMAGE("https://gymvisual.com/19029-catalog_default/lying-ab-press-male.jpg",4,500,500)</f>
        <v/>
      </c>
      <c r="B844" s="30">
        <v>2843.0</v>
      </c>
      <c r="C844" s="16" t="s">
        <v>3599</v>
      </c>
      <c r="D844" s="16" t="s">
        <v>184</v>
      </c>
      <c r="E844" s="16" t="s">
        <v>254</v>
      </c>
      <c r="F844" s="16" t="s">
        <v>255</v>
      </c>
      <c r="G844" s="16" t="s">
        <v>256</v>
      </c>
      <c r="H844" s="16" t="s">
        <v>271</v>
      </c>
    </row>
    <row r="845" ht="24.75" customHeight="1">
      <c r="A845" s="32" t="str">
        <f>IMAGE("https://gymvisual.com/23679-catalog_default/lying-air-cycles.jpg",4,500,500)</f>
        <v/>
      </c>
      <c r="B845" s="30">
        <v>2844.0</v>
      </c>
      <c r="C845" s="16" t="s">
        <v>3600</v>
      </c>
      <c r="D845" s="16" t="s">
        <v>184</v>
      </c>
      <c r="E845" s="16" t="s">
        <v>321</v>
      </c>
      <c r="F845" s="16" t="s">
        <v>255</v>
      </c>
      <c r="G845" s="16" t="s">
        <v>220</v>
      </c>
      <c r="H845" s="16" t="s">
        <v>220</v>
      </c>
    </row>
    <row r="846" ht="24.75" customHeight="1">
      <c r="A846" s="32" t="str">
        <f>IMAGE("https://gymvisual.com/23681-catalog_default/lying-air-cycles-female.jpg",4,500,500)</f>
        <v/>
      </c>
      <c r="B846" s="30">
        <v>2845.0</v>
      </c>
      <c r="C846" s="16" t="s">
        <v>3601</v>
      </c>
      <c r="D846" s="16" t="s">
        <v>184</v>
      </c>
      <c r="E846" s="16" t="s">
        <v>321</v>
      </c>
      <c r="F846" s="16" t="s">
        <v>255</v>
      </c>
      <c r="G846" s="16" t="s">
        <v>220</v>
      </c>
      <c r="H846" s="16" t="s">
        <v>220</v>
      </c>
    </row>
    <row r="847" ht="24.75" customHeight="1">
      <c r="A847" s="32" t="str">
        <f>IMAGE("https://gymvisual.com/1845-catalog_default/3-4-sit-up.jpg",4,500,500)</f>
        <v/>
      </c>
      <c r="B847" s="30">
        <v>2846.0</v>
      </c>
      <c r="C847" s="16" t="s">
        <v>3602</v>
      </c>
      <c r="D847" s="16" t="s">
        <v>184</v>
      </c>
      <c r="E847" s="16" t="s">
        <v>185</v>
      </c>
      <c r="F847" s="16" t="s">
        <v>255</v>
      </c>
      <c r="G847" s="16" t="s">
        <v>187</v>
      </c>
      <c r="H847" s="16" t="s">
        <v>188</v>
      </c>
    </row>
    <row r="848" ht="24.75" customHeight="1">
      <c r="A848" s="32" t="str">
        <f>IMAGE("https://gymvisual.com/24081-catalog_default/lying-alternate-toe-touch-floor.jpg",4,500,500)</f>
        <v/>
      </c>
      <c r="B848" s="30">
        <v>2847.0</v>
      </c>
      <c r="C848" s="16" t="s">
        <v>3603</v>
      </c>
      <c r="D848" s="16" t="s">
        <v>184</v>
      </c>
      <c r="E848" s="16" t="s">
        <v>185</v>
      </c>
      <c r="F848" s="16" t="s">
        <v>255</v>
      </c>
      <c r="G848" s="16" t="s">
        <v>220</v>
      </c>
      <c r="H848" s="16" t="s">
        <v>220</v>
      </c>
    </row>
    <row r="849" ht="24.75" customHeight="1">
      <c r="A849" s="32" t="str">
        <f>IMAGE("https://gymvisual.com/23567-catalog_default/lying-around-the-world.jpg",4,500,500)</f>
        <v/>
      </c>
      <c r="B849" s="30">
        <v>2848.0</v>
      </c>
      <c r="C849" s="16" t="s">
        <v>3604</v>
      </c>
      <c r="D849" s="16" t="s">
        <v>184</v>
      </c>
      <c r="E849" s="16" t="s">
        <v>228</v>
      </c>
      <c r="F849" s="16" t="s">
        <v>255</v>
      </c>
      <c r="G849" s="16" t="s">
        <v>1997</v>
      </c>
      <c r="H849" s="16" t="s">
        <v>3605</v>
      </c>
    </row>
    <row r="850" ht="24.75" customHeight="1">
      <c r="A850" s="32" t="str">
        <f>IMAGE("https://gymvisual.com/23685-catalog_default/lying-around-the-world-female.jpg",4,500,500)</f>
        <v/>
      </c>
      <c r="B850" s="30">
        <v>2849.0</v>
      </c>
      <c r="C850" s="16" t="s">
        <v>3606</v>
      </c>
      <c r="D850" s="16" t="s">
        <v>184</v>
      </c>
      <c r="E850" s="16" t="s">
        <v>228</v>
      </c>
      <c r="F850" s="16" t="s">
        <v>255</v>
      </c>
      <c r="G850" s="16" t="s">
        <v>408</v>
      </c>
      <c r="H850" s="16" t="s">
        <v>3607</v>
      </c>
    </row>
    <row r="851" ht="24.75" customHeight="1">
      <c r="A851" s="32" t="str">
        <f>IMAGE("https://gymvisual.com/23875-catalog_default/lying-bent-knee-figure-8.jpg",4,500,500)</f>
        <v/>
      </c>
      <c r="B851" s="30">
        <v>2850.0</v>
      </c>
      <c r="C851" s="16" t="s">
        <v>3608</v>
      </c>
      <c r="D851" s="16" t="s">
        <v>184</v>
      </c>
      <c r="E851" s="16" t="s">
        <v>185</v>
      </c>
      <c r="F851" s="16" t="s">
        <v>255</v>
      </c>
      <c r="G851" s="16" t="s">
        <v>3609</v>
      </c>
      <c r="H851" s="16" t="s">
        <v>3610</v>
      </c>
    </row>
    <row r="852" ht="24.75" customHeight="1">
      <c r="A852" s="32" t="str">
        <f>IMAGE("https://gymvisual.com/23853-catalog_default/lying-bent-legs-raise.jpg",4,500,500)</f>
        <v/>
      </c>
      <c r="B852" s="30">
        <v>2851.0</v>
      </c>
      <c r="C852" s="16" t="s">
        <v>3611</v>
      </c>
      <c r="D852" s="16" t="s">
        <v>184</v>
      </c>
      <c r="E852" s="16" t="s">
        <v>254</v>
      </c>
      <c r="F852" s="16" t="s">
        <v>255</v>
      </c>
      <c r="G852" s="16" t="s">
        <v>220</v>
      </c>
      <c r="H852" s="16" t="s">
        <v>220</v>
      </c>
    </row>
    <row r="853" ht="24.75" customHeight="1">
      <c r="A853" s="32" t="str">
        <f>IMAGE("https://gymvisual.com/14143-catalog_default/lying-biceps-curl-with-towel.jpg",4,500,500)</f>
        <v/>
      </c>
      <c r="B853" s="30">
        <v>2852.0</v>
      </c>
      <c r="C853" s="16" t="s">
        <v>3612</v>
      </c>
      <c r="D853" s="16" t="s">
        <v>184</v>
      </c>
      <c r="E853" s="16" t="s">
        <v>219</v>
      </c>
      <c r="F853" s="16" t="s">
        <v>396</v>
      </c>
      <c r="G853" s="16" t="s">
        <v>217</v>
      </c>
      <c r="H853" s="16" t="s">
        <v>216</v>
      </c>
    </row>
    <row r="854" ht="24.75" customHeight="1">
      <c r="A854" s="32" t="str">
        <f>IMAGE("https://gymvisual.com/25831-catalog_default/lying-bicycle-crunch.jpg",4,500,500)</f>
        <v/>
      </c>
      <c r="B854" s="30">
        <v>2853.0</v>
      </c>
      <c r="C854" s="16" t="s">
        <v>3613</v>
      </c>
      <c r="D854" s="16" t="s">
        <v>184</v>
      </c>
      <c r="E854" s="16" t="s">
        <v>254</v>
      </c>
      <c r="F854" s="16" t="s">
        <v>255</v>
      </c>
      <c r="G854" s="16" t="s">
        <v>2868</v>
      </c>
      <c r="H854" s="16" t="s">
        <v>1306</v>
      </c>
    </row>
    <row r="855" ht="24.75" customHeight="1">
      <c r="A855" s="32" t="str">
        <f>IMAGE("https://gymvisual.com/24093-catalog_default/lying-chin-tucks.jpg",4,500,500)</f>
        <v/>
      </c>
      <c r="B855" s="30">
        <v>2854.0</v>
      </c>
      <c r="C855" s="16" t="s">
        <v>3614</v>
      </c>
      <c r="D855" s="16" t="s">
        <v>184</v>
      </c>
      <c r="E855" s="16" t="s">
        <v>351</v>
      </c>
      <c r="F855" s="16" t="s">
        <v>255</v>
      </c>
      <c r="G855" s="16" t="s">
        <v>220</v>
      </c>
      <c r="H855" s="16" t="s">
        <v>220</v>
      </c>
    </row>
    <row r="856" ht="24.75" customHeight="1">
      <c r="A856" s="32" t="str">
        <f>IMAGE("https://gymvisual.com/22803-catalog_default/lying-criss-cross-legs.jpg",4,500,500)</f>
        <v/>
      </c>
      <c r="B856" s="30">
        <v>2855.0</v>
      </c>
      <c r="C856" s="16" t="s">
        <v>3615</v>
      </c>
      <c r="D856" s="16" t="s">
        <v>184</v>
      </c>
      <c r="E856" s="16" t="s">
        <v>185</v>
      </c>
      <c r="F856" s="16" t="s">
        <v>255</v>
      </c>
      <c r="G856" s="16" t="s">
        <v>3616</v>
      </c>
      <c r="H856" s="16" t="s">
        <v>3617</v>
      </c>
    </row>
    <row r="857" ht="24.75" customHeight="1">
      <c r="A857" s="32" t="str">
        <f>IMAGE("https://gymvisual.com/16609-catalog_default/lying-double-legs-biceps-curl-with-towel.jpg",4,500,500)</f>
        <v/>
      </c>
      <c r="B857" s="30">
        <v>2856.0</v>
      </c>
      <c r="C857" s="16" t="s">
        <v>3618</v>
      </c>
      <c r="D857" s="16" t="s">
        <v>184</v>
      </c>
      <c r="E857" s="16" t="s">
        <v>219</v>
      </c>
      <c r="F857" s="16" t="s">
        <v>255</v>
      </c>
      <c r="G857" s="16" t="s">
        <v>241</v>
      </c>
      <c r="H857" s="16" t="s">
        <v>292</v>
      </c>
    </row>
    <row r="858" ht="24.75" customHeight="1">
      <c r="A858" s="32" t="str">
        <f>IMAGE("https://gymvisual.com/22097-catalog_default/lying-double-legs-hammer-curl-with-towel.jpg",4,500,500)</f>
        <v/>
      </c>
      <c r="B858" s="30">
        <v>2857.0</v>
      </c>
      <c r="C858" s="16" t="s">
        <v>3619</v>
      </c>
      <c r="D858" s="16" t="s">
        <v>184</v>
      </c>
      <c r="E858" s="16" t="s">
        <v>219</v>
      </c>
      <c r="F858" s="16" t="s">
        <v>255</v>
      </c>
      <c r="G858" s="16" t="s">
        <v>216</v>
      </c>
      <c r="H858" s="16" t="s">
        <v>217</v>
      </c>
    </row>
    <row r="859" ht="24.75" customHeight="1">
      <c r="A859" s="32" t="str">
        <f>IMAGE("https://gymvisual.com/9798-catalog_default/lying-elbow-to-knee.jpg",4,500,500)</f>
        <v/>
      </c>
      <c r="B859" s="30">
        <v>2858.0</v>
      </c>
      <c r="C859" s="16" t="s">
        <v>3620</v>
      </c>
      <c r="D859" s="16" t="s">
        <v>184</v>
      </c>
      <c r="E859" s="16" t="s">
        <v>254</v>
      </c>
      <c r="F859" s="16" t="s">
        <v>255</v>
      </c>
      <c r="G859" s="16" t="s">
        <v>257</v>
      </c>
      <c r="H859" s="16" t="s">
        <v>256</v>
      </c>
    </row>
    <row r="860" ht="24.75" customHeight="1">
      <c r="A860" s="32" t="str">
        <f>IMAGE("https://gymvisual.com/22422-catalog_default/lying-flat-hip-raise-female.jpg",4,500,500)</f>
        <v/>
      </c>
      <c r="B860" s="30">
        <v>2859.0</v>
      </c>
      <c r="C860" s="16" t="s">
        <v>3621</v>
      </c>
      <c r="D860" s="16" t="s">
        <v>184</v>
      </c>
      <c r="E860" s="16" t="s">
        <v>254</v>
      </c>
      <c r="F860" s="16" t="s">
        <v>255</v>
      </c>
      <c r="G860" s="16" t="s">
        <v>220</v>
      </c>
      <c r="H860" s="16" t="s">
        <v>220</v>
      </c>
    </row>
    <row r="861" ht="24.75" customHeight="1">
      <c r="A861" s="32" t="str">
        <f>IMAGE("https://gymvisual.com/24121-catalog_default/lying-floor-fly.jpg",4,500,500)</f>
        <v/>
      </c>
      <c r="B861" s="30">
        <v>2860.0</v>
      </c>
      <c r="C861" s="16" t="s">
        <v>3622</v>
      </c>
      <c r="D861" s="16" t="s">
        <v>184</v>
      </c>
      <c r="E861" s="16" t="s">
        <v>234</v>
      </c>
      <c r="F861" s="16" t="s">
        <v>255</v>
      </c>
      <c r="G861" s="16" t="s">
        <v>220</v>
      </c>
      <c r="H861" s="16" t="s">
        <v>220</v>
      </c>
    </row>
    <row r="862" ht="24.75" customHeight="1">
      <c r="A862" s="32" t="str">
        <f>IMAGE("https://gymvisual.com/22095-catalog_default/lying-floor-hyperextension.jpg",4,500,500)</f>
        <v/>
      </c>
      <c r="B862" s="30">
        <v>2861.0</v>
      </c>
      <c r="C862" s="16" t="s">
        <v>3623</v>
      </c>
      <c r="D862" s="16" t="s">
        <v>184</v>
      </c>
      <c r="E862" s="16" t="s">
        <v>185</v>
      </c>
      <c r="F862" s="16" t="s">
        <v>255</v>
      </c>
      <c r="G862" s="16" t="s">
        <v>275</v>
      </c>
      <c r="H862" s="16" t="s">
        <v>2412</v>
      </c>
    </row>
    <row r="863" ht="24.75" customHeight="1">
      <c r="A863" s="32" t="str">
        <f>IMAGE("https://gymvisual.com/22712-catalog_default/lying-floor-hyperextension-with-towel.jpg",4,500,500)</f>
        <v/>
      </c>
      <c r="B863" s="30">
        <v>2862.0</v>
      </c>
      <c r="C863" s="16" t="s">
        <v>3624</v>
      </c>
      <c r="D863" s="16" t="s">
        <v>184</v>
      </c>
      <c r="E863" s="16" t="s">
        <v>185</v>
      </c>
      <c r="F863" s="16" t="s">
        <v>255</v>
      </c>
      <c r="G863" s="16" t="s">
        <v>275</v>
      </c>
      <c r="H863" s="16" t="s">
        <v>2412</v>
      </c>
    </row>
    <row r="864" ht="24.75" customHeight="1">
      <c r="A864" s="32" t="str">
        <f>IMAGE("https://gymvisual.com/14006-catalog_default/lying-floor-row-with-bent-knee.jpg",4,500,500)</f>
        <v/>
      </c>
      <c r="B864" s="30">
        <v>2863.0</v>
      </c>
      <c r="C864" s="16" t="s">
        <v>3625</v>
      </c>
      <c r="D864" s="16" t="s">
        <v>184</v>
      </c>
      <c r="E864" s="16" t="s">
        <v>192</v>
      </c>
      <c r="F864" s="16" t="s">
        <v>255</v>
      </c>
      <c r="G864" s="16" t="s">
        <v>3626</v>
      </c>
      <c r="H864" s="16" t="s">
        <v>408</v>
      </c>
    </row>
    <row r="865" ht="24.75" customHeight="1">
      <c r="A865" s="32" t="str">
        <f>IMAGE("https://gymvisual.com/1854-catalog_default/3-4-sit-up.jpg",4,500,500)</f>
        <v/>
      </c>
      <c r="B865" s="30">
        <v>2864.0</v>
      </c>
      <c r="C865" s="16" t="s">
        <v>3627</v>
      </c>
      <c r="D865" s="16" t="s">
        <v>184</v>
      </c>
      <c r="E865" s="16" t="s">
        <v>185</v>
      </c>
      <c r="F865" s="16" t="s">
        <v>255</v>
      </c>
      <c r="G865" s="16" t="s">
        <v>271</v>
      </c>
      <c r="H865" s="16" t="s">
        <v>3552</v>
      </c>
    </row>
    <row r="866" ht="24.75" customHeight="1">
      <c r="A866" s="32" t="str">
        <f>IMAGE("https://gymvisual.com/1857-catalog_default/3-4-sit-up.jpg",4,500,500)</f>
        <v/>
      </c>
      <c r="B866" s="30">
        <v>2865.0</v>
      </c>
      <c r="C866" s="16" t="s">
        <v>3628</v>
      </c>
      <c r="D866" s="16" t="s">
        <v>184</v>
      </c>
      <c r="E866" s="16" t="s">
        <v>185</v>
      </c>
      <c r="F866" s="16" t="s">
        <v>399</v>
      </c>
      <c r="G866" s="16" t="s">
        <v>187</v>
      </c>
      <c r="H866" s="16" t="s">
        <v>188</v>
      </c>
    </row>
    <row r="867" ht="24.75" customHeight="1">
      <c r="A867" s="32" t="str">
        <f>IMAGE("https://gymvisual.com/26068-catalog_default/lying-hip-lift-on-stability-ball-ii.jpg",4,500,500)</f>
        <v/>
      </c>
      <c r="B867" s="30">
        <v>2866.0</v>
      </c>
      <c r="C867" s="16" t="s">
        <v>3629</v>
      </c>
      <c r="D867" s="16" t="s">
        <v>184</v>
      </c>
      <c r="E867" s="16" t="s">
        <v>185</v>
      </c>
      <c r="F867" s="16" t="s">
        <v>399</v>
      </c>
      <c r="G867" s="16" t="s">
        <v>187</v>
      </c>
      <c r="H867" s="16" t="s">
        <v>188</v>
      </c>
    </row>
    <row r="868" ht="24.75" customHeight="1">
      <c r="A868" s="32" t="str">
        <f>IMAGE("https://gymvisual.com/19017-catalog_default/3-4-sit-up.jpg",4,500,500)</f>
        <v/>
      </c>
      <c r="B868" s="30">
        <v>2867.0</v>
      </c>
      <c r="C868" s="16" t="s">
        <v>3630</v>
      </c>
      <c r="D868" s="16" t="s">
        <v>184</v>
      </c>
      <c r="E868" s="16" t="s">
        <v>185</v>
      </c>
      <c r="F868" s="16" t="s">
        <v>255</v>
      </c>
      <c r="G868" s="16" t="s">
        <v>271</v>
      </c>
      <c r="H868" s="16" t="s">
        <v>566</v>
      </c>
    </row>
    <row r="869" ht="24.75" customHeight="1">
      <c r="A869" s="32" t="str">
        <f>IMAGE("https://gymvisual.com/22420-catalog_default/lying-incline-hip-raise-female.jpg",4,500,500)</f>
        <v/>
      </c>
      <c r="B869" s="30">
        <v>2868.0</v>
      </c>
      <c r="C869" s="16" t="s">
        <v>3631</v>
      </c>
      <c r="D869" s="16" t="s">
        <v>184</v>
      </c>
      <c r="E869" s="16" t="s">
        <v>254</v>
      </c>
      <c r="F869" s="16" t="s">
        <v>255</v>
      </c>
      <c r="G869" s="16" t="s">
        <v>220</v>
      </c>
      <c r="H869" s="16" t="s">
        <v>220</v>
      </c>
    </row>
    <row r="870" ht="24.75" customHeight="1">
      <c r="A870" s="32" t="str">
        <f>IMAGE("https://gymvisual.com/22821-catalog_default/lying-lat-pulldown.jpg",4,500,500)</f>
        <v/>
      </c>
      <c r="B870" s="30">
        <v>2869.0</v>
      </c>
      <c r="C870" s="16" t="s">
        <v>3632</v>
      </c>
      <c r="D870" s="16" t="s">
        <v>184</v>
      </c>
      <c r="E870" s="16" t="s">
        <v>192</v>
      </c>
      <c r="F870" s="16" t="s">
        <v>255</v>
      </c>
      <c r="G870" s="16" t="s">
        <v>404</v>
      </c>
      <c r="H870" s="16" t="s">
        <v>447</v>
      </c>
    </row>
    <row r="871" ht="24.75" customHeight="1">
      <c r="A871" s="32" t="str">
        <f>IMAGE("https://gymvisual.com/22829-catalog_default/lying-leg-cross.jpg",4,500,500)</f>
        <v/>
      </c>
      <c r="B871" s="30">
        <v>2870.0</v>
      </c>
      <c r="C871" s="16" t="s">
        <v>3633</v>
      </c>
      <c r="D871" s="16" t="s">
        <v>184</v>
      </c>
      <c r="E871" s="16" t="s">
        <v>254</v>
      </c>
      <c r="F871" s="16" t="s">
        <v>255</v>
      </c>
      <c r="G871" s="16" t="s">
        <v>3634</v>
      </c>
      <c r="H871" s="16" t="s">
        <v>3635</v>
      </c>
    </row>
    <row r="872" ht="24.75" customHeight="1">
      <c r="A872" s="32" t="str">
        <f>IMAGE("https://gymvisual.com/22524-catalog_default/lying-leg-figure-eight.jpg",4,500,500)</f>
        <v/>
      </c>
      <c r="B872" s="30">
        <v>2871.0</v>
      </c>
      <c r="C872" s="16" t="s">
        <v>3636</v>
      </c>
      <c r="D872" s="16" t="s">
        <v>184</v>
      </c>
      <c r="E872" s="16" t="s">
        <v>254</v>
      </c>
      <c r="F872" s="16" t="s">
        <v>255</v>
      </c>
      <c r="G872" s="16" t="s">
        <v>220</v>
      </c>
      <c r="H872" s="16" t="s">
        <v>220</v>
      </c>
    </row>
    <row r="873" ht="24.75" customHeight="1">
      <c r="A873" s="32" t="str">
        <f>IMAGE("https://gymvisual.com/10966-catalog_default/lying-leg-hip-raise-female.jpg",4,500,500)</f>
        <v/>
      </c>
      <c r="B873" s="30">
        <v>2872.0</v>
      </c>
      <c r="C873" s="16" t="s">
        <v>3637</v>
      </c>
      <c r="D873" s="16" t="s">
        <v>184</v>
      </c>
      <c r="E873" s="16" t="s">
        <v>254</v>
      </c>
      <c r="F873" s="16" t="s">
        <v>255</v>
      </c>
      <c r="G873" s="16" t="s">
        <v>305</v>
      </c>
      <c r="H873" s="16" t="s">
        <v>600</v>
      </c>
    </row>
    <row r="874" ht="24.75" customHeight="1">
      <c r="A874" s="32" t="str">
        <f>IMAGE("https://gymvisual.com/13758-catalog_default/lying-leg-hip-raise-on-floor.jpg",4,500,500)</f>
        <v/>
      </c>
      <c r="B874" s="30">
        <v>2873.0</v>
      </c>
      <c r="C874" s="16" t="s">
        <v>3638</v>
      </c>
      <c r="D874" s="16" t="s">
        <v>184</v>
      </c>
      <c r="E874" s="16" t="s">
        <v>254</v>
      </c>
      <c r="F874" s="16" t="s">
        <v>255</v>
      </c>
      <c r="G874" s="16" t="s">
        <v>305</v>
      </c>
      <c r="H874" s="16" t="s">
        <v>220</v>
      </c>
    </row>
    <row r="875" ht="24.75" customHeight="1">
      <c r="A875" s="32" t="str">
        <f>IMAGE("https://gymvisual.com/22736-catalog_default/lying-leg-hip-raise-on-floor-version-2.jpg",4,500,500)</f>
        <v/>
      </c>
      <c r="B875" s="30">
        <v>2874.0</v>
      </c>
      <c r="C875" s="16" t="s">
        <v>3639</v>
      </c>
      <c r="D875" s="16" t="s">
        <v>184</v>
      </c>
      <c r="E875" s="16" t="s">
        <v>254</v>
      </c>
      <c r="F875" s="16" t="s">
        <v>255</v>
      </c>
      <c r="G875" s="16" t="s">
        <v>305</v>
      </c>
      <c r="H875" s="16" t="s">
        <v>600</v>
      </c>
    </row>
    <row r="876" ht="24.75" customHeight="1">
      <c r="A876" s="32" t="str">
        <f>IMAGE("https://gymvisual.com/17573-catalog_default/lying-leg-hip-side-raise-on-floor.jpg",4,500,500)</f>
        <v/>
      </c>
      <c r="B876" s="30">
        <v>2875.0</v>
      </c>
      <c r="C876" s="16" t="s">
        <v>3640</v>
      </c>
      <c r="D876" s="16" t="s">
        <v>184</v>
      </c>
      <c r="E876" s="16" t="s">
        <v>310</v>
      </c>
      <c r="F876" s="16" t="s">
        <v>255</v>
      </c>
      <c r="G876" s="16" t="s">
        <v>263</v>
      </c>
      <c r="H876" s="16" t="s">
        <v>3641</v>
      </c>
    </row>
    <row r="877" ht="24.75" customHeight="1">
      <c r="A877" s="32" t="str">
        <f>IMAGE("https://gymvisual.com/4376-catalog_default/lying-leg-raise.jpg",4,500,500)</f>
        <v/>
      </c>
      <c r="B877" s="30">
        <v>2876.0</v>
      </c>
      <c r="C877" s="16" t="s">
        <v>3642</v>
      </c>
      <c r="D877" s="16" t="s">
        <v>184</v>
      </c>
      <c r="E877" s="16" t="s">
        <v>254</v>
      </c>
      <c r="F877" s="16" t="s">
        <v>255</v>
      </c>
      <c r="G877" s="16" t="s">
        <v>256</v>
      </c>
      <c r="H877" s="16" t="s">
        <v>3643</v>
      </c>
    </row>
    <row r="878" ht="24.75" customHeight="1">
      <c r="A878" s="32" t="str">
        <f>IMAGE("https://gymvisual.com/22341-catalog_default/lying-leg-raise-female.jpg",4,500,500)</f>
        <v/>
      </c>
      <c r="B878" s="30">
        <v>2877.0</v>
      </c>
      <c r="C878" s="16" t="s">
        <v>3644</v>
      </c>
      <c r="D878" s="16" t="s">
        <v>184</v>
      </c>
      <c r="E878" s="16" t="s">
        <v>254</v>
      </c>
      <c r="F878" s="16" t="s">
        <v>255</v>
      </c>
      <c r="G878" s="16" t="s">
        <v>220</v>
      </c>
      <c r="H878" s="16" t="s">
        <v>220</v>
      </c>
    </row>
    <row r="879" ht="24.75" customHeight="1">
      <c r="A879" s="32" t="str">
        <f>IMAGE("https://gymvisual.com/22504-catalog_default/lying-leg-raise-female.jpg",4,500,500)</f>
        <v/>
      </c>
      <c r="B879" s="30">
        <v>2878.0</v>
      </c>
      <c r="C879" s="16" t="s">
        <v>3644</v>
      </c>
      <c r="D879" s="16" t="s">
        <v>184</v>
      </c>
      <c r="E879" s="16" t="s">
        <v>254</v>
      </c>
      <c r="F879" s="16" t="s">
        <v>255</v>
      </c>
      <c r="G879" s="16" t="s">
        <v>220</v>
      </c>
      <c r="H879" s="16" t="s">
        <v>220</v>
      </c>
    </row>
    <row r="880" ht="24.75" customHeight="1">
      <c r="A880" s="32" t="str">
        <f>IMAGE("https://gymvisual.com/23599-catalog_default/lying-leg-raise-modified.jpg",4,500,500)</f>
        <v/>
      </c>
      <c r="B880" s="30">
        <v>2879.0</v>
      </c>
      <c r="C880" s="16" t="s">
        <v>3645</v>
      </c>
      <c r="D880" s="16" t="s">
        <v>184</v>
      </c>
      <c r="E880" s="16" t="s">
        <v>185</v>
      </c>
      <c r="F880" s="16" t="s">
        <v>255</v>
      </c>
      <c r="G880" s="16" t="s">
        <v>305</v>
      </c>
      <c r="H880" s="16" t="s">
        <v>289</v>
      </c>
    </row>
    <row r="881" ht="24.75" customHeight="1">
      <c r="A881" s="32" t="str">
        <f>IMAGE("https://gymvisual.com/4621-catalog_default/lying-leg-raise-and-hold.jpg",4,500,500)</f>
        <v/>
      </c>
      <c r="B881" s="30">
        <v>2880.0</v>
      </c>
      <c r="C881" s="16" t="s">
        <v>3646</v>
      </c>
      <c r="D881" s="16" t="s">
        <v>184</v>
      </c>
      <c r="E881" s="16" t="s">
        <v>185</v>
      </c>
      <c r="F881" s="16" t="s">
        <v>255</v>
      </c>
      <c r="G881" s="16" t="s">
        <v>271</v>
      </c>
      <c r="H881" s="16" t="s">
        <v>3322</v>
      </c>
    </row>
    <row r="882" ht="24.75" customHeight="1">
      <c r="A882" s="32" t="str">
        <f>IMAGE("https://gymvisual.com/1863-catalog_default/3-4-sit-up.jpg",4,500,500)</f>
        <v/>
      </c>
      <c r="B882" s="30">
        <v>2881.0</v>
      </c>
      <c r="C882" s="16" t="s">
        <v>3647</v>
      </c>
      <c r="D882" s="16" t="s">
        <v>184</v>
      </c>
      <c r="E882" s="16" t="s">
        <v>254</v>
      </c>
      <c r="F882" s="16" t="s">
        <v>255</v>
      </c>
      <c r="G882" s="16" t="s">
        <v>305</v>
      </c>
      <c r="H882" s="16" t="s">
        <v>3648</v>
      </c>
    </row>
    <row r="883" ht="24.75" customHeight="1">
      <c r="A883" s="32" t="str">
        <f>IMAGE("https://gymvisual.com/2634-catalog_default/lying-leg-hip-raise.jpg",4,500,500)</f>
        <v/>
      </c>
      <c r="B883" s="30">
        <v>2882.0</v>
      </c>
      <c r="C883" s="16" t="s">
        <v>3649</v>
      </c>
      <c r="D883" s="16" t="s">
        <v>184</v>
      </c>
      <c r="E883" s="16" t="s">
        <v>254</v>
      </c>
      <c r="F883" s="16" t="s">
        <v>255</v>
      </c>
      <c r="G883" s="16" t="s">
        <v>305</v>
      </c>
      <c r="H883" s="16" t="s">
        <v>371</v>
      </c>
    </row>
    <row r="884" ht="24.75" customHeight="1">
      <c r="A884" s="32" t="str">
        <f>IMAGE("https://gymvisual.com/24061-catalog_default/lying-prone-a.jpg",4,500,500)</f>
        <v/>
      </c>
      <c r="B884" s="30">
        <v>2883.0</v>
      </c>
      <c r="C884" s="16" t="s">
        <v>3650</v>
      </c>
      <c r="D884" s="16" t="s">
        <v>184</v>
      </c>
      <c r="E884" s="16" t="s">
        <v>192</v>
      </c>
      <c r="F884" s="16" t="s">
        <v>255</v>
      </c>
      <c r="G884" s="16" t="s">
        <v>220</v>
      </c>
      <c r="H884" s="16" t="s">
        <v>220</v>
      </c>
    </row>
    <row r="885" ht="24.75" customHeight="1">
      <c r="A885" s="32" t="str">
        <f>IMAGE("https://gymvisual.com/24063-catalog_default/lying-prone-t.jpg",4,500,500)</f>
        <v/>
      </c>
      <c r="B885" s="30">
        <v>2884.0</v>
      </c>
      <c r="C885" s="16" t="s">
        <v>3651</v>
      </c>
      <c r="D885" s="16" t="s">
        <v>184</v>
      </c>
      <c r="E885" s="16" t="s">
        <v>192</v>
      </c>
      <c r="F885" s="16" t="s">
        <v>255</v>
      </c>
      <c r="G885" s="16" t="s">
        <v>220</v>
      </c>
      <c r="H885" s="16" t="s">
        <v>220</v>
      </c>
    </row>
    <row r="886" ht="24.75" customHeight="1">
      <c r="A886" s="32" t="str">
        <f>IMAGE("https://gymvisual.com/24065-catalog_default/lying-prone-w.jpg",4,500,500)</f>
        <v/>
      </c>
      <c r="B886" s="30">
        <v>2885.0</v>
      </c>
      <c r="C886" s="16" t="s">
        <v>3652</v>
      </c>
      <c r="D886" s="16" t="s">
        <v>184</v>
      </c>
      <c r="E886" s="16" t="s">
        <v>192</v>
      </c>
      <c r="F886" s="16" t="s">
        <v>255</v>
      </c>
      <c r="G886" s="16" t="s">
        <v>220</v>
      </c>
      <c r="H886" s="16" t="s">
        <v>220</v>
      </c>
    </row>
    <row r="887" ht="24.75" customHeight="1">
      <c r="A887" s="32" t="str">
        <f>IMAGE("https://gymvisual.com/24067-catalog_default/lying-prone-w-to-t.jpg",4,500,500)</f>
        <v/>
      </c>
      <c r="B887" s="30">
        <v>2886.0</v>
      </c>
      <c r="C887" s="16" t="s">
        <v>3653</v>
      </c>
      <c r="D887" s="16" t="s">
        <v>184</v>
      </c>
      <c r="E887" s="16" t="s">
        <v>192</v>
      </c>
      <c r="F887" s="16" t="s">
        <v>255</v>
      </c>
      <c r="G887" s="16" t="s">
        <v>220</v>
      </c>
      <c r="H887" s="16" t="s">
        <v>220</v>
      </c>
    </row>
    <row r="888" ht="24.75" customHeight="1">
      <c r="A888" s="32" t="str">
        <f>IMAGE("https://gymvisual.com/24069-catalog_default/lying-prone-w-to-y.jpg",4,500,500)</f>
        <v/>
      </c>
      <c r="B888" s="30">
        <v>2887.0</v>
      </c>
      <c r="C888" s="16" t="s">
        <v>3654</v>
      </c>
      <c r="D888" s="16" t="s">
        <v>184</v>
      </c>
      <c r="E888" s="16" t="s">
        <v>192</v>
      </c>
      <c r="F888" s="16" t="s">
        <v>255</v>
      </c>
      <c r="G888" s="16" t="s">
        <v>220</v>
      </c>
      <c r="H888" s="16" t="s">
        <v>220</v>
      </c>
    </row>
    <row r="889" ht="24.75" customHeight="1">
      <c r="A889" s="32" t="str">
        <f>IMAGE("https://gymvisual.com/19908-catalog_default/lying-rear-lateral-raise.jpg",4,500,500)</f>
        <v/>
      </c>
      <c r="B889" s="30">
        <v>2888.0</v>
      </c>
      <c r="C889" s="16" t="s">
        <v>3655</v>
      </c>
      <c r="D889" s="16" t="s">
        <v>184</v>
      </c>
      <c r="E889" s="16" t="s">
        <v>228</v>
      </c>
      <c r="F889" s="16" t="s">
        <v>255</v>
      </c>
      <c r="G889" s="16" t="s">
        <v>408</v>
      </c>
      <c r="H889" s="16" t="s">
        <v>731</v>
      </c>
    </row>
    <row r="890" ht="24.75" customHeight="1">
      <c r="A890" s="32" t="str">
        <f>IMAGE("https://gymvisual.com/1866-catalog_default/3-4-sit-up.jpg",4,500,500)</f>
        <v/>
      </c>
      <c r="B890" s="30">
        <v>2889.0</v>
      </c>
      <c r="C890" s="16" t="s">
        <v>3656</v>
      </c>
      <c r="D890" s="16" t="s">
        <v>184</v>
      </c>
      <c r="E890" s="16" t="s">
        <v>254</v>
      </c>
      <c r="F890" s="16" t="s">
        <v>255</v>
      </c>
      <c r="G890" s="16" t="s">
        <v>305</v>
      </c>
      <c r="H890" s="16" t="s">
        <v>2482</v>
      </c>
    </row>
    <row r="891" ht="24.75" customHeight="1">
      <c r="A891" s="32" t="str">
        <f>IMAGE("https://gymvisual.com/1869-catalog_default/3-4-sit-up.jpg",4,500,500)</f>
        <v/>
      </c>
      <c r="B891" s="30">
        <v>2890.0</v>
      </c>
      <c r="C891" s="16" t="s">
        <v>3657</v>
      </c>
      <c r="D891" s="16" t="s">
        <v>184</v>
      </c>
      <c r="E891" s="16" t="s">
        <v>185</v>
      </c>
      <c r="F891" s="16" t="s">
        <v>255</v>
      </c>
      <c r="G891" s="16" t="s">
        <v>271</v>
      </c>
      <c r="H891" s="16" t="s">
        <v>303</v>
      </c>
    </row>
    <row r="892" ht="24.75" customHeight="1">
      <c r="A892" s="32" t="str">
        <f>IMAGE("https://gymvisual.com/23625-catalog_default/lying-side-to-side-knee.jpg",4,500,500)</f>
        <v/>
      </c>
      <c r="B892" s="30">
        <v>2891.0</v>
      </c>
      <c r="C892" s="16" t="s">
        <v>3658</v>
      </c>
      <c r="D892" s="16" t="s">
        <v>184</v>
      </c>
      <c r="E892" s="16" t="s">
        <v>185</v>
      </c>
      <c r="F892" s="16" t="s">
        <v>255</v>
      </c>
      <c r="G892" s="16" t="s">
        <v>3634</v>
      </c>
      <c r="H892" s="16" t="s">
        <v>3659</v>
      </c>
    </row>
    <row r="893" ht="24.75" customHeight="1">
      <c r="A893" s="32" t="str">
        <f>IMAGE("https://gymvisual.com/2613-catalog_default/3-4-sit-up.jpg",4,500,500)</f>
        <v/>
      </c>
      <c r="B893" s="30">
        <v>2892.0</v>
      </c>
      <c r="C893" s="16" t="s">
        <v>3660</v>
      </c>
      <c r="D893" s="16" t="s">
        <v>184</v>
      </c>
      <c r="E893" s="16" t="s">
        <v>185</v>
      </c>
      <c r="F893" s="16" t="s">
        <v>255</v>
      </c>
      <c r="G893" s="16" t="s">
        <v>271</v>
      </c>
      <c r="H893" s="16" t="s">
        <v>563</v>
      </c>
    </row>
    <row r="894" ht="24.75" customHeight="1">
      <c r="A894" s="32" t="str">
        <f>IMAGE("https://gymvisual.com/4440-catalog_default/lying-simultaneous-alternating-straight-leg-raise.jpg",4,500,500)</f>
        <v/>
      </c>
      <c r="B894" s="30">
        <v>2893.0</v>
      </c>
      <c r="C894" s="16" t="s">
        <v>3661</v>
      </c>
      <c r="D894" s="16" t="s">
        <v>184</v>
      </c>
      <c r="E894" s="16" t="s">
        <v>185</v>
      </c>
      <c r="F894" s="16" t="s">
        <v>255</v>
      </c>
      <c r="G894" s="16" t="s">
        <v>271</v>
      </c>
      <c r="H894" s="16" t="s">
        <v>566</v>
      </c>
    </row>
    <row r="895" ht="24.75" customHeight="1">
      <c r="A895" s="32" t="str">
        <f>IMAGE("https://gymvisual.com/22099-catalog_default/lying-single-legs-reverse-biceps-curl-with-towel.jpg",4,500,500)</f>
        <v/>
      </c>
      <c r="B895" s="30">
        <v>2894.0</v>
      </c>
      <c r="C895" s="16" t="s">
        <v>3662</v>
      </c>
      <c r="D895" s="16" t="s">
        <v>184</v>
      </c>
      <c r="E895" s="16" t="s">
        <v>214</v>
      </c>
      <c r="F895" s="16" t="s">
        <v>255</v>
      </c>
      <c r="G895" s="16" t="s">
        <v>216</v>
      </c>
      <c r="H895" s="16" t="s">
        <v>217</v>
      </c>
    </row>
    <row r="896" ht="24.75" customHeight="1">
      <c r="A896" s="32" t="str">
        <f>IMAGE("https://gymvisual.com/7607-catalog_default/lying-single-straight-leg-hip-extension.jpg",4,500,500)</f>
        <v/>
      </c>
      <c r="B896" s="30">
        <v>2895.0</v>
      </c>
      <c r="C896" s="16" t="s">
        <v>3663</v>
      </c>
      <c r="D896" s="16" t="s">
        <v>184</v>
      </c>
      <c r="E896" s="16" t="s">
        <v>285</v>
      </c>
      <c r="F896" s="16" t="s">
        <v>255</v>
      </c>
      <c r="G896" s="16" t="s">
        <v>220</v>
      </c>
      <c r="H896" s="16" t="s">
        <v>220</v>
      </c>
    </row>
    <row r="897" ht="24.75" customHeight="1">
      <c r="A897" s="32" t="str">
        <f>IMAGE("https://gymvisual.com/14008-catalog_default/lying-straight-leg-marches.jpg",4,500,500)</f>
        <v/>
      </c>
      <c r="B897" s="30">
        <v>2896.0</v>
      </c>
      <c r="C897" s="16" t="s">
        <v>3664</v>
      </c>
      <c r="D897" s="16" t="s">
        <v>184</v>
      </c>
      <c r="E897" s="16" t="s">
        <v>310</v>
      </c>
      <c r="F897" s="16" t="s">
        <v>255</v>
      </c>
      <c r="G897" s="16" t="s">
        <v>2868</v>
      </c>
      <c r="H897" s="16" t="s">
        <v>1204</v>
      </c>
    </row>
    <row r="898" ht="24.75" customHeight="1">
      <c r="A898" s="32" t="str">
        <f>IMAGE("https://gymvisual.com/4443-catalog_default/lying-straight-leg-raise-version-2.jpg",4,500,500)</f>
        <v/>
      </c>
      <c r="B898" s="30">
        <v>2897.0</v>
      </c>
      <c r="C898" s="16" t="s">
        <v>3665</v>
      </c>
      <c r="D898" s="16" t="s">
        <v>184</v>
      </c>
      <c r="E898" s="16" t="s">
        <v>185</v>
      </c>
      <c r="F898" s="16" t="s">
        <v>255</v>
      </c>
      <c r="G898" s="16" t="s">
        <v>271</v>
      </c>
      <c r="H898" s="16" t="s">
        <v>566</v>
      </c>
    </row>
    <row r="899" ht="24.75" customHeight="1">
      <c r="A899" s="32" t="str">
        <f>IMAGE("https://gymvisual.com/5990-catalog_default/machine-inner-chest-press.jpg",4,500,500)</f>
        <v/>
      </c>
      <c r="B899" s="30">
        <v>2898.0</v>
      </c>
      <c r="C899" s="16" t="s">
        <v>3666</v>
      </c>
      <c r="D899" s="16" t="s">
        <v>184</v>
      </c>
      <c r="E899" s="16" t="s">
        <v>234</v>
      </c>
      <c r="F899" s="16" t="s">
        <v>346</v>
      </c>
      <c r="G899" s="16" t="s">
        <v>347</v>
      </c>
      <c r="H899" s="16" t="s">
        <v>382</v>
      </c>
    </row>
    <row r="900" ht="24.75" customHeight="1">
      <c r="A900" s="32" t="str">
        <f>IMAGE("https://gymvisual.com/1875-catalog_default/3-4-sit-up.jpg",4,500,500)</f>
        <v/>
      </c>
      <c r="B900" s="30">
        <v>2899.0</v>
      </c>
      <c r="C900" s="16" t="s">
        <v>3667</v>
      </c>
      <c r="D900" s="16" t="s">
        <v>184</v>
      </c>
      <c r="E900" s="16" t="s">
        <v>285</v>
      </c>
      <c r="F900" s="16" t="s">
        <v>255</v>
      </c>
      <c r="G900" s="16" t="s">
        <v>189</v>
      </c>
      <c r="H900" s="16" t="s">
        <v>190</v>
      </c>
    </row>
    <row r="901" ht="24.75" customHeight="1">
      <c r="A901" s="32" t="str">
        <f>IMAGE("https://gymvisual.com/23601-catalog_default/marching-on-spot.jpg",4,500,500)</f>
        <v/>
      </c>
      <c r="B901" s="30">
        <v>2900.0</v>
      </c>
      <c r="C901" s="16" t="s">
        <v>3668</v>
      </c>
      <c r="D901" s="16" t="s">
        <v>184</v>
      </c>
      <c r="E901" s="16" t="s">
        <v>1162</v>
      </c>
      <c r="F901" s="16" t="s">
        <v>255</v>
      </c>
      <c r="G901" s="16" t="s">
        <v>220</v>
      </c>
      <c r="H901" s="16" t="s">
        <v>220</v>
      </c>
    </row>
    <row r="902" ht="24.75" customHeight="1">
      <c r="A902" s="32" t="str">
        <f>IMAGE("https://gymvisual.com/19419-catalog_default/medicine-ball-around-head-rotation.jpg",4,500,500)</f>
        <v/>
      </c>
      <c r="B902" s="30">
        <v>2901.0</v>
      </c>
      <c r="C902" s="16" t="s">
        <v>3669</v>
      </c>
      <c r="D902" s="16" t="s">
        <v>184</v>
      </c>
      <c r="E902" s="16" t="s">
        <v>228</v>
      </c>
      <c r="F902" s="16" t="s">
        <v>373</v>
      </c>
      <c r="G902" s="16" t="s">
        <v>220</v>
      </c>
      <c r="H902" s="16" t="s">
        <v>220</v>
      </c>
    </row>
    <row r="903" ht="24.75" customHeight="1">
      <c r="A903" s="32" t="str">
        <f>IMAGE("https://gymvisual.com/13840-catalog_default/medicine-ball-backward-throw.jpg",4,500,500)</f>
        <v/>
      </c>
      <c r="B903" s="30">
        <v>2902.0</v>
      </c>
      <c r="C903" s="16" t="s">
        <v>3670</v>
      </c>
      <c r="D903" s="16" t="s">
        <v>184</v>
      </c>
      <c r="E903" s="16" t="s">
        <v>185</v>
      </c>
      <c r="F903" s="16" t="s">
        <v>373</v>
      </c>
      <c r="G903" s="16" t="s">
        <v>1114</v>
      </c>
      <c r="H903" s="16" t="s">
        <v>220</v>
      </c>
    </row>
    <row r="904" ht="24.75" customHeight="1">
      <c r="A904" s="32" t="str">
        <f>IMAGE("https://gymvisual.com/6044-catalog_default/medicine-ball-catch-and-overhead-throw.jpg",4,500,500)</f>
        <v/>
      </c>
      <c r="B904" s="30">
        <v>2903.0</v>
      </c>
      <c r="C904" s="16" t="s">
        <v>3671</v>
      </c>
      <c r="D904" s="16" t="s">
        <v>184</v>
      </c>
      <c r="E904" s="16" t="s">
        <v>192</v>
      </c>
      <c r="F904" s="16" t="s">
        <v>373</v>
      </c>
      <c r="G904" s="16" t="s">
        <v>3672</v>
      </c>
      <c r="H904" s="16" t="s">
        <v>3673</v>
      </c>
    </row>
    <row r="905" ht="24.75" customHeight="1">
      <c r="A905" s="32" t="str">
        <f>IMAGE("https://gymvisual.com/5991-catalog_default/medicine-ball-chest-pass.jpg",4,500,500)</f>
        <v/>
      </c>
      <c r="B905" s="30">
        <v>2904.0</v>
      </c>
      <c r="C905" s="16" t="s">
        <v>3674</v>
      </c>
      <c r="D905" s="16" t="s">
        <v>184</v>
      </c>
      <c r="E905" s="16" t="s">
        <v>234</v>
      </c>
      <c r="F905" s="16" t="s">
        <v>373</v>
      </c>
      <c r="G905" s="16" t="s">
        <v>347</v>
      </c>
      <c r="H905" s="16" t="s">
        <v>382</v>
      </c>
    </row>
    <row r="906" ht="24.75" customHeight="1">
      <c r="A906" s="32" t="str">
        <f>IMAGE("https://gymvisual.com/24486-catalog_default/medicine-ball-chest-pass-against-wall.jpg",4,500,500)</f>
        <v/>
      </c>
      <c r="B906" s="30">
        <v>2905.0</v>
      </c>
      <c r="C906" s="16" t="s">
        <v>3675</v>
      </c>
      <c r="D906" s="16" t="s">
        <v>184</v>
      </c>
      <c r="E906" s="16" t="s">
        <v>234</v>
      </c>
      <c r="F906" s="16" t="s">
        <v>373</v>
      </c>
      <c r="G906" s="16" t="s">
        <v>220</v>
      </c>
      <c r="H906" s="16" t="s">
        <v>220</v>
      </c>
    </row>
    <row r="907" ht="24.75" customHeight="1">
      <c r="A907" s="32" t="str">
        <f>IMAGE("https://gymvisual.com/6001-catalog_default/medicine-ball-chest-push-from-3-point-stance.jpg",4,500,500)</f>
        <v/>
      </c>
      <c r="B907" s="30">
        <v>2906.0</v>
      </c>
      <c r="C907" s="16" t="s">
        <v>3676</v>
      </c>
      <c r="D907" s="16" t="s">
        <v>184</v>
      </c>
      <c r="E907" s="16" t="s">
        <v>234</v>
      </c>
      <c r="F907" s="16" t="s">
        <v>373</v>
      </c>
      <c r="G907" s="16" t="s">
        <v>347</v>
      </c>
      <c r="H907" s="16" t="s">
        <v>3677</v>
      </c>
    </row>
    <row r="908" ht="24.75" customHeight="1">
      <c r="A908" s="32" t="str">
        <f>IMAGE("https://gymvisual.com/5993-catalog_default/medicine-ball-chest-push-multiple-response.jpg",4,500,500)</f>
        <v/>
      </c>
      <c r="B908" s="30">
        <v>2907.0</v>
      </c>
      <c r="C908" s="16" t="s">
        <v>3678</v>
      </c>
      <c r="D908" s="16" t="s">
        <v>184</v>
      </c>
      <c r="E908" s="16" t="s">
        <v>234</v>
      </c>
      <c r="F908" s="16" t="s">
        <v>373</v>
      </c>
      <c r="G908" s="16" t="s">
        <v>347</v>
      </c>
      <c r="H908" s="16" t="s">
        <v>3679</v>
      </c>
    </row>
    <row r="909" ht="24.75" customHeight="1">
      <c r="A909" s="32" t="str">
        <f>IMAGE("https://gymvisual.com/5994-catalog_default/medicine-ball-chest-push-single-response.jpg",4,500,500)</f>
        <v/>
      </c>
      <c r="B909" s="30">
        <v>2908.0</v>
      </c>
      <c r="C909" s="16" t="s">
        <v>823</v>
      </c>
      <c r="D909" s="16" t="s">
        <v>184</v>
      </c>
      <c r="E909" s="16" t="s">
        <v>234</v>
      </c>
      <c r="F909" s="16" t="s">
        <v>373</v>
      </c>
      <c r="G909" s="16" t="s">
        <v>347</v>
      </c>
      <c r="H909" s="16" t="s">
        <v>3680</v>
      </c>
    </row>
    <row r="910" ht="24.75" customHeight="1">
      <c r="A910" s="32" t="str">
        <f>IMAGE("https://gymvisual.com/6003-catalog_default/medicine-ball-chest-push-with-run-release.jpg",4,500,500)</f>
        <v/>
      </c>
      <c r="B910" s="30">
        <v>2909.0</v>
      </c>
      <c r="C910" s="16" t="s">
        <v>3681</v>
      </c>
      <c r="D910" s="16" t="s">
        <v>184</v>
      </c>
      <c r="E910" s="16" t="s">
        <v>234</v>
      </c>
      <c r="F910" s="16" t="s">
        <v>373</v>
      </c>
      <c r="G910" s="16" t="s">
        <v>347</v>
      </c>
      <c r="H910" s="16" t="s">
        <v>3673</v>
      </c>
    </row>
    <row r="911" ht="24.75" customHeight="1">
      <c r="A911" s="32" t="str">
        <f>IMAGE("https://gymvisual.com/7355-catalog_default/medicine-ball-close-grip-push-up.jpg",4,500,500)</f>
        <v/>
      </c>
      <c r="B911" s="30">
        <v>2910.0</v>
      </c>
      <c r="C911" s="16" t="s">
        <v>3682</v>
      </c>
      <c r="D911" s="16" t="s">
        <v>184</v>
      </c>
      <c r="E911" s="16" t="s">
        <v>219</v>
      </c>
      <c r="F911" s="16" t="s">
        <v>373</v>
      </c>
      <c r="G911" s="16" t="s">
        <v>223</v>
      </c>
      <c r="H911" s="16" t="s">
        <v>472</v>
      </c>
    </row>
    <row r="912" ht="24.75" customHeight="1">
      <c r="A912" s="32" t="str">
        <f>IMAGE("https://gymvisual.com/18720-catalog_default/medicine-ball-crunch.jpg",4,500,500)</f>
        <v/>
      </c>
      <c r="B912" s="30">
        <v>2911.0</v>
      </c>
      <c r="C912" s="16" t="s">
        <v>3683</v>
      </c>
      <c r="D912" s="16" t="s">
        <v>184</v>
      </c>
      <c r="E912" s="16" t="s">
        <v>254</v>
      </c>
      <c r="F912" s="16" t="s">
        <v>373</v>
      </c>
      <c r="G912" s="16" t="s">
        <v>220</v>
      </c>
      <c r="H912" s="16" t="s">
        <v>220</v>
      </c>
    </row>
    <row r="913" ht="24.75" customHeight="1">
      <c r="A913" s="32" t="str">
        <f>IMAGE("https://gymvisual.com/17899-catalog_default/medicine-ball-half-kneeling-chest-push-male.jpg",4,500,500)</f>
        <v/>
      </c>
      <c r="B913" s="30">
        <v>2912.0</v>
      </c>
      <c r="C913" s="16" t="s">
        <v>3684</v>
      </c>
      <c r="D913" s="16" t="s">
        <v>184</v>
      </c>
      <c r="E913" s="16" t="s">
        <v>234</v>
      </c>
      <c r="F913" s="16" t="s">
        <v>373</v>
      </c>
      <c r="G913" s="16" t="s">
        <v>220</v>
      </c>
      <c r="H913" s="16" t="s">
        <v>220</v>
      </c>
    </row>
    <row r="914" ht="24.75" customHeight="1">
      <c r="A914" s="32" t="str">
        <f>IMAGE("https://gymvisual.com/20471-catalog_default/medicine-ball-lunge-with-biceps-curl.jpg",4,500,500)</f>
        <v/>
      </c>
      <c r="B914" s="30">
        <v>2913.0</v>
      </c>
      <c r="C914" s="16" t="s">
        <v>3685</v>
      </c>
      <c r="D914" s="16" t="s">
        <v>184</v>
      </c>
      <c r="E914" s="16" t="s">
        <v>3686</v>
      </c>
      <c r="F914" s="16" t="s">
        <v>373</v>
      </c>
      <c r="G914" s="16" t="s">
        <v>2779</v>
      </c>
      <c r="H914" s="16" t="s">
        <v>3687</v>
      </c>
    </row>
    <row r="915" ht="24.75" customHeight="1">
      <c r="A915" s="32" t="str">
        <f>IMAGE("https://gymvisual.com/22837-catalog_default/medicine-ball-lying-leg-raise.jpg",4,500,500)</f>
        <v/>
      </c>
      <c r="B915" s="30">
        <v>2914.0</v>
      </c>
      <c r="C915" s="16" t="s">
        <v>3688</v>
      </c>
      <c r="D915" s="16" t="s">
        <v>184</v>
      </c>
      <c r="E915" s="16" t="s">
        <v>254</v>
      </c>
      <c r="F915" s="16" t="s">
        <v>373</v>
      </c>
      <c r="G915" s="16" t="s">
        <v>305</v>
      </c>
      <c r="H915" s="16" t="s">
        <v>1306</v>
      </c>
    </row>
    <row r="916" ht="24.75" customHeight="1">
      <c r="A916" s="32" t="str">
        <f>IMAGE("https://gymvisual.com/6045-catalog_default/medicine-ball-overhead-slam.jpg",4,500,500)</f>
        <v/>
      </c>
      <c r="B916" s="30">
        <v>2915.0</v>
      </c>
      <c r="C916" s="16" t="s">
        <v>3689</v>
      </c>
      <c r="D916" s="16" t="s">
        <v>184</v>
      </c>
      <c r="E916" s="16" t="s">
        <v>192</v>
      </c>
      <c r="F916" s="16" t="s">
        <v>373</v>
      </c>
      <c r="G916" s="16" t="s">
        <v>329</v>
      </c>
      <c r="H916" s="16" t="s">
        <v>3690</v>
      </c>
    </row>
    <row r="917" ht="24.75" customHeight="1">
      <c r="A917" s="32" t="str">
        <f>IMAGE("https://gymvisual.com/11194-catalog_default/medicine-ball-overhead-slam-female.jpg",4,500,500)</f>
        <v/>
      </c>
      <c r="B917" s="30">
        <v>2916.0</v>
      </c>
      <c r="C917" s="16" t="s">
        <v>3691</v>
      </c>
      <c r="D917" s="16" t="s">
        <v>184</v>
      </c>
      <c r="E917" s="16" t="s">
        <v>310</v>
      </c>
      <c r="F917" s="16" t="s">
        <v>373</v>
      </c>
      <c r="G917" s="16" t="s">
        <v>1230</v>
      </c>
      <c r="H917" s="16" t="s">
        <v>3692</v>
      </c>
    </row>
    <row r="918" ht="24.75" customHeight="1">
      <c r="A918" s="32" t="str">
        <f>IMAGE("https://gymvisual.com/7343-catalog_default/medicine-ball-reverse-wood-chop-squat.jpg",4,500,500)</f>
        <v/>
      </c>
      <c r="B918" s="30">
        <v>2917.0</v>
      </c>
      <c r="C918" s="16" t="s">
        <v>3693</v>
      </c>
      <c r="D918" s="16" t="s">
        <v>184</v>
      </c>
      <c r="E918" s="16" t="s">
        <v>254</v>
      </c>
      <c r="F918" s="16" t="s">
        <v>373</v>
      </c>
      <c r="G918" s="16" t="s">
        <v>220</v>
      </c>
      <c r="H918" s="16" t="s">
        <v>220</v>
      </c>
    </row>
    <row r="919" ht="24.75" customHeight="1">
      <c r="A919" s="32" t="str">
        <f>IMAGE("https://gymvisual.com/7349-catalog_default/medicine-ball-rotational-throw.jpg",4,500,500)</f>
        <v/>
      </c>
      <c r="B919" s="30">
        <v>2918.0</v>
      </c>
      <c r="C919" s="16" t="s">
        <v>3694</v>
      </c>
      <c r="D919" s="16" t="s">
        <v>184</v>
      </c>
      <c r="E919" s="16" t="s">
        <v>254</v>
      </c>
      <c r="F919" s="16" t="s">
        <v>373</v>
      </c>
      <c r="G919" s="16" t="s">
        <v>220</v>
      </c>
      <c r="H919" s="16" t="s">
        <v>220</v>
      </c>
    </row>
    <row r="920" ht="24.75" customHeight="1">
      <c r="A920" s="32" t="str">
        <f>IMAGE("https://gymvisual.com/7331-catalog_default/medicine-ball-single-leg-deadlift.jpg",4,500,500)</f>
        <v/>
      </c>
      <c r="B920" s="30">
        <v>2919.0</v>
      </c>
      <c r="C920" s="16" t="s">
        <v>3695</v>
      </c>
      <c r="D920" s="16" t="s">
        <v>184</v>
      </c>
      <c r="E920" s="16" t="s">
        <v>185</v>
      </c>
      <c r="F920" s="16" t="s">
        <v>373</v>
      </c>
      <c r="G920" s="16" t="s">
        <v>220</v>
      </c>
      <c r="H920" s="16" t="s">
        <v>220</v>
      </c>
    </row>
    <row r="921" ht="24.75" customHeight="1">
      <c r="A921" s="32" t="str">
        <f>IMAGE("https://gymvisual.com/1878-catalog_default/3-4-sit-up.jpg",4,500,500)</f>
        <v/>
      </c>
      <c r="B921" s="30">
        <v>2920.0</v>
      </c>
      <c r="C921" s="16" t="s">
        <v>3696</v>
      </c>
      <c r="D921" s="16" t="s">
        <v>184</v>
      </c>
      <c r="E921" s="16" t="s">
        <v>254</v>
      </c>
      <c r="F921" s="16" t="s">
        <v>373</v>
      </c>
      <c r="G921" s="16" t="s">
        <v>305</v>
      </c>
      <c r="H921" s="16" t="s">
        <v>3697</v>
      </c>
    </row>
    <row r="922" ht="24.75" customHeight="1">
      <c r="A922" s="32" t="str">
        <f>IMAGE("https://gymvisual.com/13842-catalog_default/medicine-ball-standing-overhead-throw.jpg",4,500,500)</f>
        <v/>
      </c>
      <c r="B922" s="30">
        <v>2921.0</v>
      </c>
      <c r="C922" s="16" t="s">
        <v>3698</v>
      </c>
      <c r="D922" s="16" t="s">
        <v>184</v>
      </c>
      <c r="E922" s="16" t="s">
        <v>1894</v>
      </c>
      <c r="F922" s="16" t="s">
        <v>373</v>
      </c>
      <c r="G922" s="16" t="s">
        <v>2400</v>
      </c>
      <c r="H922" s="16" t="s">
        <v>545</v>
      </c>
    </row>
    <row r="923" ht="24.75" customHeight="1">
      <c r="A923" s="32" t="str">
        <f>IMAGE("https://gymvisual.com/7469-catalog_default/medicine-ball-supine-chest-throw.jpg",4,500,500)</f>
        <v/>
      </c>
      <c r="B923" s="30">
        <v>2922.0</v>
      </c>
      <c r="C923" s="16" t="s">
        <v>3699</v>
      </c>
      <c r="D923" s="16" t="s">
        <v>184</v>
      </c>
      <c r="E923" s="16" t="s">
        <v>219</v>
      </c>
      <c r="F923" s="16" t="s">
        <v>373</v>
      </c>
      <c r="G923" s="16" t="s">
        <v>220</v>
      </c>
      <c r="H923" s="16" t="s">
        <v>220</v>
      </c>
    </row>
    <row r="924" ht="24.75" customHeight="1">
      <c r="A924" s="32" t="str">
        <f>IMAGE("https://gymvisual.com/24488-catalog_default/medicine-ball-throw-squat-with-wall.jpg",4,500,500)</f>
        <v/>
      </c>
      <c r="B924" s="30">
        <v>2923.0</v>
      </c>
      <c r="C924" s="16" t="s">
        <v>3700</v>
      </c>
      <c r="D924" s="16" t="s">
        <v>184</v>
      </c>
      <c r="E924" s="16" t="s">
        <v>228</v>
      </c>
      <c r="F924" s="16" t="s">
        <v>373</v>
      </c>
      <c r="G924" s="16" t="s">
        <v>220</v>
      </c>
      <c r="H924" s="16" t="s">
        <v>220</v>
      </c>
    </row>
    <row r="925" ht="24.75" customHeight="1">
      <c r="A925" s="32" t="str">
        <f>IMAGE("https://gymvisual.com/23565-catalog_default/mid-air-lateral-raises-with-switching-palms.jpg",4,500,500)</f>
        <v/>
      </c>
      <c r="B925" s="30">
        <v>2924.0</v>
      </c>
      <c r="C925" s="16" t="s">
        <v>3701</v>
      </c>
      <c r="D925" s="16" t="s">
        <v>184</v>
      </c>
      <c r="E925" s="16" t="s">
        <v>228</v>
      </c>
      <c r="F925" s="16" t="s">
        <v>255</v>
      </c>
      <c r="G925" s="16" t="s">
        <v>544</v>
      </c>
      <c r="H925" s="16" t="s">
        <v>545</v>
      </c>
    </row>
    <row r="926" ht="24.75" customHeight="1">
      <c r="A926" s="32" t="str">
        <f>IMAGE("https://gymvisual.com/1883-catalog_default/3-4-sit-up.jpg",4,500,500)</f>
        <v/>
      </c>
      <c r="B926" s="30">
        <v>2925.0</v>
      </c>
      <c r="C926" s="16" t="s">
        <v>3702</v>
      </c>
      <c r="D926" s="16" t="s">
        <v>184</v>
      </c>
      <c r="E926" s="16" t="s">
        <v>192</v>
      </c>
      <c r="F926" s="16" t="s">
        <v>255</v>
      </c>
      <c r="G926" s="16" t="s">
        <v>300</v>
      </c>
      <c r="H926" s="16" t="s">
        <v>3703</v>
      </c>
    </row>
    <row r="927" ht="24.75" customHeight="1">
      <c r="A927" s="32" t="str">
        <f>IMAGE("https://gymvisual.com/6273-catalog_default/modified-push-up-to-forearms.jpg",4,500,500)</f>
        <v/>
      </c>
      <c r="B927" s="30">
        <v>2926.0</v>
      </c>
      <c r="C927" s="16" t="s">
        <v>3704</v>
      </c>
      <c r="D927" s="16" t="s">
        <v>184</v>
      </c>
      <c r="E927" s="16" t="s">
        <v>214</v>
      </c>
      <c r="F927" s="16" t="s">
        <v>255</v>
      </c>
      <c r="G927" s="16" t="s">
        <v>3705</v>
      </c>
      <c r="H927" s="16" t="s">
        <v>804</v>
      </c>
    </row>
    <row r="928" ht="24.75" customHeight="1">
      <c r="A928" s="32" t="str">
        <f>IMAGE("https://gymvisual.com/1895-catalog_default/3-4-sit-up.jpg",4,500,500)</f>
        <v/>
      </c>
      <c r="B928" s="30">
        <v>2927.0</v>
      </c>
      <c r="C928" s="16" t="s">
        <v>3706</v>
      </c>
      <c r="D928" s="16" t="s">
        <v>184</v>
      </c>
      <c r="E928" s="16" t="s">
        <v>192</v>
      </c>
      <c r="F928" s="16" t="s">
        <v>255</v>
      </c>
      <c r="G928" s="16" t="s">
        <v>300</v>
      </c>
      <c r="H928" s="16" t="s">
        <v>3707</v>
      </c>
    </row>
    <row r="929" ht="24.75" customHeight="1">
      <c r="A929" s="32" t="str">
        <f>IMAGE("https://gymvisual.com/6242-catalog_default/muscle-up-on-vertical-bar.jpg",4,500,500)</f>
        <v/>
      </c>
      <c r="B929" s="30">
        <v>2928.0</v>
      </c>
      <c r="C929" s="16" t="s">
        <v>3708</v>
      </c>
      <c r="D929" s="16" t="s">
        <v>184</v>
      </c>
      <c r="E929" s="16" t="s">
        <v>192</v>
      </c>
      <c r="F929" s="16" t="s">
        <v>255</v>
      </c>
      <c r="G929" s="16" t="s">
        <v>3709</v>
      </c>
      <c r="H929" s="16" t="s">
        <v>220</v>
      </c>
    </row>
    <row r="930" ht="24.75" customHeight="1">
      <c r="A930" s="32" t="str">
        <f>IMAGE("https://gymvisual.com/21026-catalog_default/myotatic-crunch-on-bosu-ball.jpg",4,500,500)</f>
        <v/>
      </c>
      <c r="B930" s="30">
        <v>2929.0</v>
      </c>
      <c r="C930" s="16" t="s">
        <v>3710</v>
      </c>
      <c r="D930" s="16" t="s">
        <v>184</v>
      </c>
      <c r="E930" s="16" t="s">
        <v>254</v>
      </c>
      <c r="F930" s="16" t="s">
        <v>316</v>
      </c>
      <c r="G930" s="16" t="s">
        <v>256</v>
      </c>
      <c r="H930" s="16" t="s">
        <v>257</v>
      </c>
    </row>
    <row r="931" ht="24.75" customHeight="1">
      <c r="A931" s="32" t="str">
        <f>IMAGE("https://gymvisual.com/1898-catalog_default/3-4-sit-up.jpg",4,500,500)</f>
        <v/>
      </c>
      <c r="B931" s="30">
        <v>2930.0</v>
      </c>
      <c r="C931" s="16" t="s">
        <v>3711</v>
      </c>
      <c r="D931" s="16" t="s">
        <v>184</v>
      </c>
      <c r="E931" s="16" t="s">
        <v>254</v>
      </c>
      <c r="F931" s="16" t="s">
        <v>255</v>
      </c>
      <c r="G931" s="16" t="s">
        <v>256</v>
      </c>
      <c r="H931" s="16" t="s">
        <v>1316</v>
      </c>
    </row>
    <row r="932" ht="24.75" customHeight="1">
      <c r="A932" s="32" t="str">
        <f>IMAGE("https://gymvisual.com/10031-catalog_default/narrow-push-up-on-exercise-ball.jpg",4,500,500)</f>
        <v/>
      </c>
      <c r="B932" s="30">
        <v>2931.0</v>
      </c>
      <c r="C932" s="16" t="s">
        <v>3712</v>
      </c>
      <c r="D932" s="16" t="s">
        <v>184</v>
      </c>
      <c r="E932" s="16" t="s">
        <v>219</v>
      </c>
      <c r="F932" s="16" t="s">
        <v>399</v>
      </c>
      <c r="G932" s="16" t="s">
        <v>223</v>
      </c>
      <c r="H932" s="16" t="s">
        <v>472</v>
      </c>
    </row>
    <row r="933" ht="24.75" customHeight="1">
      <c r="A933" s="32" t="str">
        <f>IMAGE("https://gymvisual.com/20706-catalog_default/narrow-seated-chin-up.jpg",4,500,500)</f>
        <v/>
      </c>
      <c r="B933" s="30">
        <v>2932.0</v>
      </c>
      <c r="C933" s="16" t="s">
        <v>3713</v>
      </c>
      <c r="D933" s="16" t="s">
        <v>184</v>
      </c>
      <c r="E933" s="16" t="s">
        <v>192</v>
      </c>
      <c r="F933" s="16" t="s">
        <v>255</v>
      </c>
      <c r="G933" s="16" t="s">
        <v>329</v>
      </c>
      <c r="H933" s="16" t="s">
        <v>357</v>
      </c>
    </row>
    <row r="934" ht="24.75" customHeight="1">
      <c r="A934" s="32" t="str">
        <f>IMAGE("https://gymvisual.com/13747-catalog_default/narrow-squat-from-deficit.jpg",4,500,500)</f>
        <v/>
      </c>
      <c r="B934" s="30">
        <v>2933.0</v>
      </c>
      <c r="C934" s="16" t="s">
        <v>3714</v>
      </c>
      <c r="D934" s="16" t="s">
        <v>184</v>
      </c>
      <c r="E934" s="16" t="s">
        <v>294</v>
      </c>
      <c r="F934" s="16" t="s">
        <v>255</v>
      </c>
      <c r="G934" s="16" t="s">
        <v>189</v>
      </c>
      <c r="H934" s="16" t="s">
        <v>190</v>
      </c>
    </row>
    <row r="935" ht="24.75" customHeight="1">
      <c r="A935" s="32" t="str">
        <f>IMAGE("https://gymvisual.com/22472-catalog_default/narrow-top-half-pull-up-female.jpg",4,500,500)</f>
        <v/>
      </c>
      <c r="B935" s="30">
        <v>2934.0</v>
      </c>
      <c r="C935" s="16" t="s">
        <v>3715</v>
      </c>
      <c r="D935" s="16" t="s">
        <v>184</v>
      </c>
      <c r="E935" s="16" t="s">
        <v>192</v>
      </c>
      <c r="F935" s="16" t="s">
        <v>255</v>
      </c>
      <c r="G935" s="16" t="s">
        <v>220</v>
      </c>
      <c r="H935" s="16" t="s">
        <v>220</v>
      </c>
    </row>
    <row r="936" ht="24.75" customHeight="1">
      <c r="A936" s="32" t="str">
        <f>IMAGE("https://gymvisual.com/1901-catalog_default/3-4-sit-up.jpg",4,500,500)</f>
        <v/>
      </c>
      <c r="B936" s="30">
        <v>2935.0</v>
      </c>
      <c r="C936" s="16" t="s">
        <v>3716</v>
      </c>
      <c r="D936" s="16" t="s">
        <v>184</v>
      </c>
      <c r="E936" s="16" t="s">
        <v>351</v>
      </c>
      <c r="F936" s="16" t="s">
        <v>255</v>
      </c>
      <c r="G936" s="16" t="s">
        <v>3717</v>
      </c>
      <c r="H936" s="16" t="s">
        <v>238</v>
      </c>
    </row>
    <row r="937" ht="24.75" customHeight="1">
      <c r="A937" s="32" t="str">
        <f>IMAGE("https://gymvisual.com/1904-catalog_default/3-4-sit-up.jpg",4,500,500)</f>
        <v/>
      </c>
      <c r="B937" s="30">
        <v>2936.0</v>
      </c>
      <c r="C937" s="16" t="s">
        <v>3718</v>
      </c>
      <c r="D937" s="16" t="s">
        <v>184</v>
      </c>
      <c r="E937" s="16" t="s">
        <v>254</v>
      </c>
      <c r="F937" s="16" t="s">
        <v>255</v>
      </c>
      <c r="G937" s="16" t="s">
        <v>256</v>
      </c>
      <c r="H937" s="16" t="s">
        <v>257</v>
      </c>
    </row>
    <row r="938" ht="24.75" customHeight="1">
      <c r="A938" s="32" t="str">
        <f>IMAGE("https://gymvisual.com/22514-catalog_default/negative-dragon-flag.jpg",4,500,500)</f>
        <v/>
      </c>
      <c r="B938" s="30">
        <v>2937.0</v>
      </c>
      <c r="C938" s="16" t="s">
        <v>3719</v>
      </c>
      <c r="D938" s="16" t="s">
        <v>184</v>
      </c>
      <c r="E938" s="16" t="s">
        <v>254</v>
      </c>
      <c r="F938" s="16" t="s">
        <v>255</v>
      </c>
      <c r="G938" s="16" t="s">
        <v>305</v>
      </c>
      <c r="H938" s="16" t="s">
        <v>600</v>
      </c>
    </row>
    <row r="939" ht="24.75" customHeight="1">
      <c r="A939" s="32" t="str">
        <f>IMAGE("https://gymvisual.com/20540-catalog_default/negative-dragon-flag-female.jpg",4,500,500)</f>
        <v/>
      </c>
      <c r="B939" s="30">
        <v>2938.0</v>
      </c>
      <c r="C939" s="16" t="s">
        <v>3720</v>
      </c>
      <c r="D939" s="16" t="s">
        <v>184</v>
      </c>
      <c r="E939" s="16" t="s">
        <v>254</v>
      </c>
      <c r="F939" s="16" t="s">
        <v>255</v>
      </c>
      <c r="G939" s="16" t="s">
        <v>3721</v>
      </c>
      <c r="H939" s="16" t="s">
        <v>3722</v>
      </c>
    </row>
    <row r="940" ht="24.75" customHeight="1">
      <c r="A940" s="32" t="str">
        <f>IMAGE("https://gymvisual.com/24691-catalog_default/negative-push-up.jpg",4,500,500)</f>
        <v/>
      </c>
      <c r="B940" s="30">
        <v>2939.0</v>
      </c>
      <c r="C940" s="16" t="s">
        <v>3723</v>
      </c>
      <c r="D940" s="16" t="s">
        <v>184</v>
      </c>
      <c r="E940" s="16" t="s">
        <v>234</v>
      </c>
      <c r="F940" s="16" t="s">
        <v>255</v>
      </c>
      <c r="G940" s="16" t="s">
        <v>220</v>
      </c>
      <c r="H940" s="16" t="s">
        <v>220</v>
      </c>
    </row>
    <row r="941" ht="24.75" customHeight="1">
      <c r="A941" s="32" t="str">
        <f>IMAGE("https://gymvisual.com/6719-catalog_default/oblique-crunch-version-2.jpg",4,500,500)</f>
        <v/>
      </c>
      <c r="B941" s="30">
        <v>2940.0</v>
      </c>
      <c r="C941" s="16" t="s">
        <v>3724</v>
      </c>
      <c r="D941" s="16" t="s">
        <v>184</v>
      </c>
      <c r="E941" s="16" t="s">
        <v>254</v>
      </c>
      <c r="F941" s="16" t="s">
        <v>255</v>
      </c>
      <c r="G941" s="16" t="s">
        <v>257</v>
      </c>
      <c r="H941" s="16" t="s">
        <v>256</v>
      </c>
    </row>
    <row r="942" ht="24.75" customHeight="1">
      <c r="A942" s="32" t="str">
        <f>IMAGE("https://gymvisual.com/10954-catalog_default/oblique-crunch-version-2-female.jpg",4,500,500)</f>
        <v/>
      </c>
      <c r="B942" s="30">
        <v>2941.0</v>
      </c>
      <c r="C942" s="16" t="s">
        <v>3725</v>
      </c>
      <c r="D942" s="16" t="s">
        <v>184</v>
      </c>
      <c r="E942" s="16" t="s">
        <v>254</v>
      </c>
      <c r="F942" s="16" t="s">
        <v>255</v>
      </c>
      <c r="G942" s="16" t="s">
        <v>220</v>
      </c>
      <c r="H942" s="16" t="s">
        <v>220</v>
      </c>
    </row>
    <row r="943" ht="24.75" customHeight="1">
      <c r="A943" s="32" t="str">
        <f>IMAGE("https://gymvisual.com/1907-catalog_default/3-4-sit-up.jpg",4,500,500)</f>
        <v/>
      </c>
      <c r="B943" s="30">
        <v>2942.0</v>
      </c>
      <c r="C943" s="16" t="s">
        <v>3726</v>
      </c>
      <c r="D943" s="16" t="s">
        <v>184</v>
      </c>
      <c r="E943" s="16" t="s">
        <v>254</v>
      </c>
      <c r="F943" s="16" t="s">
        <v>255</v>
      </c>
      <c r="G943" s="16" t="s">
        <v>257</v>
      </c>
      <c r="H943" s="16" t="s">
        <v>256</v>
      </c>
    </row>
    <row r="944" ht="24.75" customHeight="1">
      <c r="A944" s="32" t="str">
        <f>IMAGE("https://gymvisual.com/13608-catalog_default/oblique-crunches-with-bent-knee-leg-lift.jpg",4,500,500)</f>
        <v/>
      </c>
      <c r="B944" s="30">
        <v>2943.0</v>
      </c>
      <c r="C944" s="16" t="s">
        <v>3727</v>
      </c>
      <c r="D944" s="16" t="s">
        <v>184</v>
      </c>
      <c r="E944" s="16" t="s">
        <v>254</v>
      </c>
      <c r="F944" s="16" t="s">
        <v>255</v>
      </c>
      <c r="G944" s="16" t="s">
        <v>3728</v>
      </c>
      <c r="H944" s="16" t="s">
        <v>3729</v>
      </c>
    </row>
    <row r="945" ht="24.75" customHeight="1">
      <c r="A945" s="32" t="str">
        <f>IMAGE("https://gymvisual.com/13610-catalog_default/oblique-crunches-with-straight-leg-lift.jpg",4,500,500)</f>
        <v/>
      </c>
      <c r="B945" s="30">
        <v>2944.0</v>
      </c>
      <c r="C945" s="16" t="s">
        <v>3730</v>
      </c>
      <c r="D945" s="16" t="s">
        <v>184</v>
      </c>
      <c r="E945" s="16" t="s">
        <v>254</v>
      </c>
      <c r="F945" s="16" t="s">
        <v>255</v>
      </c>
      <c r="G945" s="16" t="s">
        <v>3731</v>
      </c>
      <c r="H945" s="16" t="s">
        <v>256</v>
      </c>
    </row>
    <row r="946" ht="24.75" customHeight="1">
      <c r="A946" s="32" t="str">
        <f>IMAGE("https://gymvisual.com/14040-catalog_default/oblique-v-up-on-floor.jpg",4,500,500)</f>
        <v/>
      </c>
      <c r="B946" s="30">
        <v>2945.0</v>
      </c>
      <c r="C946" s="16" t="s">
        <v>3732</v>
      </c>
      <c r="D946" s="16" t="s">
        <v>184</v>
      </c>
      <c r="E946" s="16" t="s">
        <v>310</v>
      </c>
      <c r="F946" s="16" t="s">
        <v>255</v>
      </c>
      <c r="G946" s="16" t="s">
        <v>3733</v>
      </c>
      <c r="H946" s="16" t="s">
        <v>3734</v>
      </c>
    </row>
    <row r="947" ht="24.75" customHeight="1">
      <c r="A947" s="32" t="str">
        <f>IMAGE("https://gymvisual.com/20477-catalog_default/old-school-reverse-extensions.jpg",4,500,500)</f>
        <v/>
      </c>
      <c r="B947" s="30">
        <v>2946.0</v>
      </c>
      <c r="C947" s="16" t="s">
        <v>3735</v>
      </c>
      <c r="D947" s="16" t="s">
        <v>184</v>
      </c>
      <c r="E947" s="16" t="s">
        <v>3736</v>
      </c>
      <c r="F947" s="16" t="s">
        <v>186</v>
      </c>
      <c r="G947" s="16" t="s">
        <v>3737</v>
      </c>
      <c r="H947" s="16" t="s">
        <v>3738</v>
      </c>
    </row>
    <row r="948" ht="24.75" customHeight="1">
      <c r="A948" s="32" t="str">
        <f>IMAGE("https://gymvisual.com/20511-catalog_default/old-school-reverse-extensions-female.jpg",4,500,500)</f>
        <v/>
      </c>
      <c r="B948" s="30">
        <v>2947.0</v>
      </c>
      <c r="C948" s="16" t="s">
        <v>3739</v>
      </c>
      <c r="D948" s="16" t="s">
        <v>184</v>
      </c>
      <c r="E948" s="16" t="s">
        <v>3736</v>
      </c>
      <c r="F948" s="16" t="s">
        <v>186</v>
      </c>
      <c r="G948" s="16" t="s">
        <v>3737</v>
      </c>
      <c r="H948" s="16" t="s">
        <v>3740</v>
      </c>
    </row>
    <row r="949" ht="24.75" customHeight="1">
      <c r="A949" s="32" t="str">
        <f>IMAGE("https://gymvisual.com/1910-catalog_default/3-4-sit-up.jpg",4,500,500)</f>
        <v/>
      </c>
      <c r="B949" s="30">
        <v>2948.0</v>
      </c>
      <c r="C949" s="16" t="s">
        <v>3741</v>
      </c>
      <c r="D949" s="16" t="s">
        <v>184</v>
      </c>
      <c r="E949" s="16" t="s">
        <v>214</v>
      </c>
      <c r="F949" s="16" t="s">
        <v>3742</v>
      </c>
      <c r="G949" s="16" t="s">
        <v>216</v>
      </c>
      <c r="H949" s="16" t="s">
        <v>217</v>
      </c>
    </row>
    <row r="950" ht="24.75" customHeight="1">
      <c r="A950" s="32" t="str">
        <f>IMAGE("https://gymvisual.com/1913-catalog_default/3-4-sit-up.jpg",4,500,500)</f>
        <v/>
      </c>
      <c r="B950" s="30">
        <v>2949.0</v>
      </c>
      <c r="C950" s="16" t="s">
        <v>3743</v>
      </c>
      <c r="D950" s="16" t="s">
        <v>184</v>
      </c>
      <c r="E950" s="16" t="s">
        <v>219</v>
      </c>
      <c r="F950" s="16" t="s">
        <v>3742</v>
      </c>
      <c r="G950" s="16" t="s">
        <v>223</v>
      </c>
      <c r="H950" s="16" t="s">
        <v>220</v>
      </c>
    </row>
    <row r="951" ht="24.75" customHeight="1">
      <c r="A951" s="32" t="str">
        <f>IMAGE("https://gymvisual.com/6046-catalog_default/one-arm-against-wall.jpg",4,500,500)</f>
        <v/>
      </c>
      <c r="B951" s="30">
        <v>2950.0</v>
      </c>
      <c r="C951" s="16" t="s">
        <v>3744</v>
      </c>
      <c r="D951" s="16" t="s">
        <v>184</v>
      </c>
      <c r="E951" s="16" t="s">
        <v>192</v>
      </c>
      <c r="F951" s="16" t="s">
        <v>255</v>
      </c>
      <c r="G951" s="16" t="s">
        <v>1934</v>
      </c>
      <c r="H951" s="16" t="s">
        <v>220</v>
      </c>
    </row>
    <row r="952" ht="24.75" customHeight="1">
      <c r="A952" s="32" t="str">
        <f>IMAGE("https://gymvisual.com/1916-catalog_default/3-4-sit-up.jpg",4,500,500)</f>
        <v/>
      </c>
      <c r="B952" s="30">
        <v>2951.0</v>
      </c>
      <c r="C952" s="16" t="s">
        <v>3745</v>
      </c>
      <c r="D952" s="16" t="s">
        <v>184</v>
      </c>
      <c r="E952" s="16" t="s">
        <v>192</v>
      </c>
      <c r="F952" s="16" t="s">
        <v>255</v>
      </c>
      <c r="G952" s="16" t="s">
        <v>300</v>
      </c>
      <c r="H952" s="16" t="s">
        <v>535</v>
      </c>
    </row>
    <row r="953" ht="24.75" customHeight="1">
      <c r="A953" s="32" t="str">
        <f>IMAGE("https://gymvisual.com/1919-catalog_default/3-4-sit-up.jpg",4,500,500)</f>
        <v/>
      </c>
      <c r="B953" s="30">
        <v>2952.0</v>
      </c>
      <c r="C953" s="16" t="s">
        <v>3746</v>
      </c>
      <c r="D953" s="16" t="s">
        <v>184</v>
      </c>
      <c r="E953" s="16" t="s">
        <v>219</v>
      </c>
      <c r="F953" s="16" t="s">
        <v>255</v>
      </c>
      <c r="G953" s="16" t="s">
        <v>223</v>
      </c>
      <c r="H953" s="16" t="s">
        <v>3747</v>
      </c>
    </row>
    <row r="954" ht="24.75" customHeight="1">
      <c r="A954" s="32" t="str">
        <f>IMAGE("https://gymvisual.com/17389-catalog_default/one-arm-front-plank.jpg",4,500,500)</f>
        <v/>
      </c>
      <c r="B954" s="30">
        <v>2953.0</v>
      </c>
      <c r="C954" s="16" t="s">
        <v>3748</v>
      </c>
      <c r="D954" s="16" t="s">
        <v>184</v>
      </c>
      <c r="E954" s="16" t="s">
        <v>254</v>
      </c>
      <c r="F954" s="16" t="s">
        <v>255</v>
      </c>
      <c r="G954" s="16" t="s">
        <v>260</v>
      </c>
      <c r="H954" s="16" t="s">
        <v>3749</v>
      </c>
    </row>
    <row r="955" ht="24.75" customHeight="1">
      <c r="A955" s="32" t="str">
        <f>IMAGE("https://gymvisual.com/1922-catalog_default/3-4-sit-up.jpg",4,500,500)</f>
        <v/>
      </c>
      <c r="B955" s="30">
        <v>2954.0</v>
      </c>
      <c r="C955" s="16" t="s">
        <v>3750</v>
      </c>
      <c r="D955" s="16" t="s">
        <v>184</v>
      </c>
      <c r="E955" s="16" t="s">
        <v>254</v>
      </c>
      <c r="F955" s="16" t="s">
        <v>373</v>
      </c>
      <c r="G955" s="16" t="s">
        <v>260</v>
      </c>
      <c r="H955" s="16" t="s">
        <v>220</v>
      </c>
    </row>
    <row r="956" ht="24.75" customHeight="1">
      <c r="A956" s="32" t="str">
        <f>IMAGE("https://gymvisual.com/7613-catalog_default/one-arm-towel-row.jpg",4,500,500)</f>
        <v/>
      </c>
      <c r="B956" s="30">
        <v>2955.0</v>
      </c>
      <c r="C956" s="16" t="s">
        <v>3751</v>
      </c>
      <c r="D956" s="16" t="s">
        <v>184</v>
      </c>
      <c r="E956" s="16" t="s">
        <v>192</v>
      </c>
      <c r="F956" s="16" t="s">
        <v>255</v>
      </c>
      <c r="G956" s="16" t="s">
        <v>220</v>
      </c>
      <c r="H956" s="16" t="s">
        <v>220</v>
      </c>
    </row>
    <row r="957" ht="24.75" customHeight="1">
      <c r="A957" s="32" t="str">
        <f>IMAGE("https://gymvisual.com/24717-catalog_default/one-arm-twisted-clean-and-press.jpg",4,500,500)</f>
        <v/>
      </c>
      <c r="B957" s="30">
        <v>2956.0</v>
      </c>
      <c r="C957" s="16" t="s">
        <v>3752</v>
      </c>
      <c r="D957" s="16" t="s">
        <v>184</v>
      </c>
      <c r="E957" s="16" t="s">
        <v>764</v>
      </c>
      <c r="F957" s="16" t="s">
        <v>186</v>
      </c>
      <c r="G957" s="16" t="s">
        <v>220</v>
      </c>
      <c r="H957" s="16" t="s">
        <v>220</v>
      </c>
    </row>
    <row r="958" ht="24.75" customHeight="1">
      <c r="A958" s="32" t="str">
        <f>IMAGE("https://gymvisual.com/6048-catalog_default/one-handed-hang.jpg",4,500,500)</f>
        <v/>
      </c>
      <c r="B958" s="30">
        <v>2957.0</v>
      </c>
      <c r="C958" s="16" t="s">
        <v>3753</v>
      </c>
      <c r="D958" s="16" t="s">
        <v>184</v>
      </c>
      <c r="E958" s="16" t="s">
        <v>192</v>
      </c>
      <c r="F958" s="16" t="s">
        <v>255</v>
      </c>
      <c r="G958" s="16" t="s">
        <v>1934</v>
      </c>
      <c r="H958" s="16" t="s">
        <v>220</v>
      </c>
    </row>
    <row r="959" ht="24.75" customHeight="1">
      <c r="A959" s="32" t="str">
        <f>IMAGE("https://gymvisual.com/6083-catalog_default/one-leg-donkey-calf-raise.jpg",4,500,500)</f>
        <v/>
      </c>
      <c r="B959" s="30">
        <v>2958.0</v>
      </c>
      <c r="C959" s="16" t="s">
        <v>3754</v>
      </c>
      <c r="D959" s="16" t="s">
        <v>184</v>
      </c>
      <c r="E959" s="16" t="s">
        <v>325</v>
      </c>
      <c r="F959" s="16" t="s">
        <v>255</v>
      </c>
      <c r="G959" s="16" t="s">
        <v>368</v>
      </c>
      <c r="H959" s="16" t="s">
        <v>463</v>
      </c>
    </row>
    <row r="960" ht="24.75" customHeight="1">
      <c r="A960" s="32" t="str">
        <f>IMAGE("https://gymvisual.com/6084-catalog_default/one-leg-floor-calf-raise.jpg",4,500,500)</f>
        <v/>
      </c>
      <c r="B960" s="30">
        <v>2959.0</v>
      </c>
      <c r="C960" s="16" t="s">
        <v>3755</v>
      </c>
      <c r="D960" s="16" t="s">
        <v>184</v>
      </c>
      <c r="E960" s="16" t="s">
        <v>325</v>
      </c>
      <c r="F960" s="16" t="s">
        <v>255</v>
      </c>
      <c r="G960" s="16" t="s">
        <v>368</v>
      </c>
      <c r="H960" s="16" t="s">
        <v>463</v>
      </c>
    </row>
    <row r="961" ht="24.75" customHeight="1">
      <c r="A961" s="32" t="str">
        <f>IMAGE("https://gymvisual.com/11405-catalog_default/one-leg-floor-calf-raise-female.jpg",4,500,500)</f>
        <v/>
      </c>
      <c r="B961" s="30">
        <v>2960.0</v>
      </c>
      <c r="C961" s="16" t="s">
        <v>3756</v>
      </c>
      <c r="D961" s="16" t="s">
        <v>184</v>
      </c>
      <c r="E961" s="16" t="s">
        <v>325</v>
      </c>
      <c r="F961" s="16" t="s">
        <v>255</v>
      </c>
      <c r="G961" s="16" t="s">
        <v>368</v>
      </c>
      <c r="H961" s="16" t="s">
        <v>463</v>
      </c>
    </row>
    <row r="962" ht="24.75" customHeight="1">
      <c r="A962" s="32" t="str">
        <f>IMAGE("https://gymvisual.com/2960-catalog_default/one-leg-kickback-with-bench-support.jpg",4,500,500)</f>
        <v/>
      </c>
      <c r="B962" s="30">
        <v>2961.0</v>
      </c>
      <c r="C962" s="16" t="s">
        <v>3757</v>
      </c>
      <c r="D962" s="16" t="s">
        <v>184</v>
      </c>
      <c r="E962" s="16" t="s">
        <v>185</v>
      </c>
      <c r="F962" s="16" t="s">
        <v>255</v>
      </c>
      <c r="G962" s="16" t="s">
        <v>187</v>
      </c>
      <c r="H962" s="16" t="s">
        <v>188</v>
      </c>
    </row>
    <row r="963" ht="24.75" customHeight="1">
      <c r="A963" s="32" t="str">
        <f>IMAGE("https://gymvisual.com/6825-catalog_default/one-leg-quarter-squat.jpg",4,500,500)</f>
        <v/>
      </c>
      <c r="B963" s="30">
        <v>2962.0</v>
      </c>
      <c r="C963" s="16" t="s">
        <v>3758</v>
      </c>
      <c r="D963" s="16" t="s">
        <v>184</v>
      </c>
      <c r="E963" s="16" t="s">
        <v>285</v>
      </c>
      <c r="F963" s="16" t="s">
        <v>255</v>
      </c>
      <c r="G963" s="16" t="s">
        <v>189</v>
      </c>
      <c r="H963" s="16" t="s">
        <v>190</v>
      </c>
    </row>
    <row r="964" ht="24.75" customHeight="1">
      <c r="A964" s="32" t="str">
        <f>IMAGE("https://gymvisual.com/6419-catalog_default/one-leg-squat.jpg",4,500,500)</f>
        <v/>
      </c>
      <c r="B964" s="30">
        <v>2963.0</v>
      </c>
      <c r="C964" s="16" t="s">
        <v>3759</v>
      </c>
      <c r="D964" s="16" t="s">
        <v>184</v>
      </c>
      <c r="E964" s="16" t="s">
        <v>185</v>
      </c>
      <c r="F964" s="16" t="s">
        <v>255</v>
      </c>
      <c r="G964" s="16" t="s">
        <v>189</v>
      </c>
      <c r="H964" s="16" t="s">
        <v>190</v>
      </c>
    </row>
    <row r="965" ht="24.75" customHeight="1">
      <c r="A965" s="32" t="str">
        <f>IMAGE("https://gymvisual.com/18718-catalog_default/one-side-archer-push-up.jpg",4,500,500)</f>
        <v/>
      </c>
      <c r="B965" s="30">
        <v>2964.0</v>
      </c>
      <c r="C965" s="16" t="s">
        <v>3760</v>
      </c>
      <c r="D965" s="16" t="s">
        <v>184</v>
      </c>
      <c r="E965" s="16" t="s">
        <v>234</v>
      </c>
      <c r="F965" s="16" t="s">
        <v>255</v>
      </c>
      <c r="G965" s="16" t="s">
        <v>235</v>
      </c>
      <c r="H965" s="16" t="s">
        <v>3267</v>
      </c>
    </row>
    <row r="966" ht="24.75" customHeight="1">
      <c r="A966" s="32" t="str">
        <f>IMAGE("https://gymvisual.com/22827-catalog_default/opposite-crunch.jpg",4,500,500)</f>
        <v/>
      </c>
      <c r="B966" s="30">
        <v>2965.0</v>
      </c>
      <c r="C966" s="16" t="s">
        <v>3761</v>
      </c>
      <c r="D966" s="16" t="s">
        <v>184</v>
      </c>
      <c r="E966" s="16" t="s">
        <v>254</v>
      </c>
      <c r="F966" s="16" t="s">
        <v>255</v>
      </c>
      <c r="G966" s="16" t="s">
        <v>263</v>
      </c>
      <c r="H966" s="16" t="s">
        <v>1306</v>
      </c>
    </row>
    <row r="967" ht="24.75" customHeight="1">
      <c r="A967" s="32" t="str">
        <f>IMAGE("https://gymvisual.com/1925-catalog_default/3-4-sit-up.jpg",4,500,500)</f>
        <v/>
      </c>
      <c r="B967" s="30">
        <v>2966.0</v>
      </c>
      <c r="C967" s="16" t="s">
        <v>3762</v>
      </c>
      <c r="D967" s="16" t="s">
        <v>184</v>
      </c>
      <c r="E967" s="16" t="s">
        <v>254</v>
      </c>
      <c r="F967" s="16" t="s">
        <v>396</v>
      </c>
      <c r="G967" s="16" t="s">
        <v>305</v>
      </c>
      <c r="H967" s="16" t="s">
        <v>3763</v>
      </c>
    </row>
    <row r="968" ht="24.75" customHeight="1">
      <c r="A968" s="32" t="str">
        <f>IMAGE("https://gymvisual.com/17067-catalog_default/otis-up-female.jpg",4,500,500)</f>
        <v/>
      </c>
      <c r="B968" s="30">
        <v>2967.0</v>
      </c>
      <c r="C968" s="16" t="s">
        <v>3764</v>
      </c>
      <c r="D968" s="16" t="s">
        <v>184</v>
      </c>
      <c r="E968" s="16" t="s">
        <v>3765</v>
      </c>
      <c r="F968" s="16" t="s">
        <v>396</v>
      </c>
      <c r="G968" s="16" t="s">
        <v>3766</v>
      </c>
      <c r="H968" s="16" t="s">
        <v>3767</v>
      </c>
    </row>
    <row r="969" ht="24.75" customHeight="1">
      <c r="A969" s="32" t="str">
        <f>IMAGE("https://gymvisual.com/1928-catalog_default/3-4-sit-up.jpg",4,500,500)</f>
        <v/>
      </c>
      <c r="B969" s="30">
        <v>2968.0</v>
      </c>
      <c r="C969" s="16" t="s">
        <v>3768</v>
      </c>
      <c r="D969" s="16" t="s">
        <v>184</v>
      </c>
      <c r="E969" s="16" t="s">
        <v>185</v>
      </c>
      <c r="F969" s="16" t="s">
        <v>255</v>
      </c>
      <c r="G969" s="16" t="s">
        <v>2364</v>
      </c>
      <c r="H969" s="16" t="s">
        <v>3769</v>
      </c>
    </row>
    <row r="970" ht="24.75" customHeight="1">
      <c r="A970" s="32" t="str">
        <f>IMAGE("https://gymvisual.com/23647-catalog_default/overhead-clap-female.jpg",4,500,500)</f>
        <v/>
      </c>
      <c r="B970" s="30">
        <v>2969.0</v>
      </c>
      <c r="C970" s="16" t="s">
        <v>3770</v>
      </c>
      <c r="D970" s="16" t="s">
        <v>184</v>
      </c>
      <c r="E970" s="16" t="s">
        <v>228</v>
      </c>
      <c r="F970" s="16" t="s">
        <v>255</v>
      </c>
      <c r="G970" s="16" t="s">
        <v>454</v>
      </c>
      <c r="H970" s="16" t="s">
        <v>389</v>
      </c>
    </row>
    <row r="971" ht="24.75" customHeight="1">
      <c r="A971" s="32" t="str">
        <f>IMAGE("https://gymvisual.com/16532-catalog_default/overhead-triceps-extension-with-bed-sheet.jpg",4,500,500)</f>
        <v/>
      </c>
      <c r="B971" s="30">
        <v>2970.0</v>
      </c>
      <c r="C971" s="16" t="s">
        <v>3771</v>
      </c>
      <c r="D971" s="16" t="s">
        <v>184</v>
      </c>
      <c r="E971" s="16" t="s">
        <v>219</v>
      </c>
      <c r="F971" s="16" t="s">
        <v>255</v>
      </c>
      <c r="G971" s="16" t="s">
        <v>223</v>
      </c>
      <c r="H971" s="16" t="s">
        <v>220</v>
      </c>
    </row>
    <row r="972" ht="24.75" customHeight="1">
      <c r="A972" s="32" t="str">
        <f>IMAGE("https://gymvisual.com/23649-catalog_default/palm-up-palm-down-rotation-female.jpg",4,500,500)</f>
        <v/>
      </c>
      <c r="B972" s="30">
        <v>2971.0</v>
      </c>
      <c r="C972" s="16" t="s">
        <v>3772</v>
      </c>
      <c r="D972" s="16" t="s">
        <v>184</v>
      </c>
      <c r="E972" s="16" t="s">
        <v>228</v>
      </c>
      <c r="F972" s="16" t="s">
        <v>255</v>
      </c>
      <c r="G972" s="16" t="s">
        <v>3773</v>
      </c>
      <c r="H972" s="16" t="s">
        <v>220</v>
      </c>
    </row>
    <row r="973" ht="24.75" customHeight="1">
      <c r="A973" s="32" t="str">
        <f>IMAGE("https://gymvisual.com/24123-catalog_default/palm-up-palm-down-rotation-male.jpg",4,500,500)</f>
        <v/>
      </c>
      <c r="B973" s="30">
        <v>2972.0</v>
      </c>
      <c r="C973" s="16" t="s">
        <v>3774</v>
      </c>
      <c r="D973" s="16" t="s">
        <v>184</v>
      </c>
      <c r="E973" s="16" t="s">
        <v>228</v>
      </c>
      <c r="F973" s="16" t="s">
        <v>255</v>
      </c>
      <c r="G973" s="16" t="s">
        <v>220</v>
      </c>
      <c r="H973" s="16" t="s">
        <v>220</v>
      </c>
    </row>
    <row r="974" ht="24.75" customHeight="1">
      <c r="A974" s="32" t="str">
        <f>IMAGE("https://gymvisual.com/12553-catalog_default/pelvic-tilt.jpg",4,500,500)</f>
        <v/>
      </c>
      <c r="B974" s="30">
        <v>2973.0</v>
      </c>
      <c r="C974" s="16" t="s">
        <v>3775</v>
      </c>
      <c r="D974" s="16" t="s">
        <v>184</v>
      </c>
      <c r="E974" s="16" t="s">
        <v>254</v>
      </c>
      <c r="F974" s="16" t="s">
        <v>255</v>
      </c>
      <c r="G974" s="16" t="s">
        <v>2848</v>
      </c>
      <c r="H974" s="16" t="s">
        <v>3776</v>
      </c>
    </row>
    <row r="975" ht="24.75" customHeight="1">
      <c r="A975" s="32" t="str">
        <f>IMAGE("https://gymvisual.com/12554-catalog_default/pelvic-tilt-female.jpg",4,500,500)</f>
        <v/>
      </c>
      <c r="B975" s="30">
        <v>2974.0</v>
      </c>
      <c r="C975" s="16" t="s">
        <v>3777</v>
      </c>
      <c r="D975" s="16" t="s">
        <v>184</v>
      </c>
      <c r="E975" s="16" t="s">
        <v>310</v>
      </c>
      <c r="F975" s="16" t="s">
        <v>255</v>
      </c>
      <c r="G975" s="16" t="s">
        <v>2848</v>
      </c>
      <c r="H975" s="16" t="s">
        <v>3776</v>
      </c>
    </row>
    <row r="976" ht="24.75" customHeight="1">
      <c r="A976" s="32" t="str">
        <f>IMAGE("https://gymvisual.com/17152-catalog_default/pike-press-between-benches.jpg",4,500,500)</f>
        <v/>
      </c>
      <c r="B976" s="30">
        <v>2975.0</v>
      </c>
      <c r="C976" s="16" t="s">
        <v>3778</v>
      </c>
      <c r="D976" s="16" t="s">
        <v>184</v>
      </c>
      <c r="E976" s="16" t="s">
        <v>228</v>
      </c>
      <c r="F976" s="16" t="s">
        <v>255</v>
      </c>
      <c r="G976" s="16" t="s">
        <v>229</v>
      </c>
      <c r="H976" s="16" t="s">
        <v>3779</v>
      </c>
    </row>
    <row r="977" ht="24.75" customHeight="1">
      <c r="A977" s="32" t="str">
        <f>IMAGE("https://gymvisual.com/12186-catalog_default/pike-push-up.jpg",4,500,500)</f>
        <v/>
      </c>
      <c r="B977" s="30">
        <v>2976.0</v>
      </c>
      <c r="C977" s="16" t="s">
        <v>3780</v>
      </c>
      <c r="D977" s="16" t="s">
        <v>184</v>
      </c>
      <c r="E977" s="16" t="s">
        <v>234</v>
      </c>
      <c r="F977" s="16" t="s">
        <v>255</v>
      </c>
      <c r="G977" s="16" t="s">
        <v>229</v>
      </c>
      <c r="H977" s="16" t="s">
        <v>3781</v>
      </c>
    </row>
    <row r="978" ht="24.75" customHeight="1">
      <c r="A978" s="32" t="str">
        <f>IMAGE("https://gymvisual.com/13729-catalog_default/pike-push-up-on-bench-version-2.jpg",4,500,500)</f>
        <v/>
      </c>
      <c r="B978" s="30">
        <v>2977.0</v>
      </c>
      <c r="C978" s="16" t="s">
        <v>3782</v>
      </c>
      <c r="D978" s="16" t="s">
        <v>184</v>
      </c>
      <c r="E978" s="16" t="s">
        <v>234</v>
      </c>
      <c r="F978" s="16" t="s">
        <v>255</v>
      </c>
      <c r="G978" s="16" t="s">
        <v>235</v>
      </c>
      <c r="H978" s="16" t="s">
        <v>3783</v>
      </c>
    </row>
    <row r="979" ht="24.75" customHeight="1">
      <c r="A979" s="32" t="str">
        <f>IMAGE("https://gymvisual.com/13765-catalog_default/pike-push-up-between-benches.jpg",4,500,500)</f>
        <v/>
      </c>
      <c r="B979" s="30">
        <v>2978.0</v>
      </c>
      <c r="C979" s="16" t="s">
        <v>3784</v>
      </c>
      <c r="D979" s="16" t="s">
        <v>184</v>
      </c>
      <c r="E979" s="16" t="s">
        <v>228</v>
      </c>
      <c r="F979" s="16" t="s">
        <v>255</v>
      </c>
      <c r="G979" s="16" t="s">
        <v>229</v>
      </c>
      <c r="H979" s="16" t="s">
        <v>3785</v>
      </c>
    </row>
    <row r="980" ht="24.75" customHeight="1">
      <c r="A980" s="32" t="str">
        <f>IMAGE("https://gymvisual.com/13767-catalog_default/pike-push-up-between-chairs.jpg",4,500,500)</f>
        <v/>
      </c>
      <c r="B980" s="30">
        <v>2979.0</v>
      </c>
      <c r="C980" s="16" t="s">
        <v>3786</v>
      </c>
      <c r="D980" s="16" t="s">
        <v>184</v>
      </c>
      <c r="E980" s="16" t="s">
        <v>228</v>
      </c>
      <c r="F980" s="16" t="s">
        <v>255</v>
      </c>
      <c r="G980" s="16" t="s">
        <v>229</v>
      </c>
      <c r="H980" s="16" t="s">
        <v>3787</v>
      </c>
    </row>
    <row r="981" ht="24.75" customHeight="1">
      <c r="A981" s="32" t="str">
        <f>IMAGE("https://gymvisual.com/22631-catalog_default/pike-push-up-female.jpg",4,500,500)</f>
        <v/>
      </c>
      <c r="B981" s="30">
        <v>2980.0</v>
      </c>
      <c r="C981" s="16" t="s">
        <v>3788</v>
      </c>
      <c r="D981" s="16" t="s">
        <v>184</v>
      </c>
      <c r="E981" s="16" t="s">
        <v>234</v>
      </c>
      <c r="F981" s="16" t="s">
        <v>255</v>
      </c>
      <c r="G981" s="16" t="s">
        <v>472</v>
      </c>
      <c r="H981" s="16" t="s">
        <v>3789</v>
      </c>
    </row>
    <row r="982" ht="24.75" customHeight="1">
      <c r="A982" s="32" t="str">
        <f>IMAGE("https://gymvisual.com/11988-catalog_default/pike-push-up-on-bench.jpg",4,500,500)</f>
        <v/>
      </c>
      <c r="B982" s="30">
        <v>2981.0</v>
      </c>
      <c r="C982" s="16" t="s">
        <v>3790</v>
      </c>
      <c r="D982" s="16" t="s">
        <v>184</v>
      </c>
      <c r="E982" s="16" t="s">
        <v>234</v>
      </c>
      <c r="F982" s="16" t="s">
        <v>255</v>
      </c>
      <c r="G982" s="16" t="s">
        <v>220</v>
      </c>
      <c r="H982" s="16" t="s">
        <v>220</v>
      </c>
    </row>
    <row r="983" ht="24.75" customHeight="1">
      <c r="A983" s="32" t="str">
        <f>IMAGE("https://gymvisual.com/11989-catalog_default/pike-push-up-on-bench-female.jpg",4,500,500)</f>
        <v/>
      </c>
      <c r="B983" s="30">
        <v>2982.0</v>
      </c>
      <c r="C983" s="16" t="s">
        <v>3791</v>
      </c>
      <c r="D983" s="16" t="s">
        <v>184</v>
      </c>
      <c r="E983" s="16" t="s">
        <v>234</v>
      </c>
      <c r="F983" s="16" t="s">
        <v>255</v>
      </c>
      <c r="G983" s="16" t="s">
        <v>220</v>
      </c>
      <c r="H983" s="16" t="s">
        <v>220</v>
      </c>
    </row>
    <row r="984" ht="24.75" customHeight="1">
      <c r="A984" s="32" t="str">
        <f>IMAGE("https://gymvisual.com/13309-catalog_default/pistol-squat-to-box.jpg",4,500,500)</f>
        <v/>
      </c>
      <c r="B984" s="30">
        <v>2983.0</v>
      </c>
      <c r="C984" s="16" t="s">
        <v>3792</v>
      </c>
      <c r="D984" s="16" t="s">
        <v>184</v>
      </c>
      <c r="E984" s="16" t="s">
        <v>285</v>
      </c>
      <c r="F984" s="16" t="s">
        <v>255</v>
      </c>
      <c r="G984" s="16" t="s">
        <v>220</v>
      </c>
      <c r="H984" s="16" t="s">
        <v>220</v>
      </c>
    </row>
    <row r="985" ht="24.75" customHeight="1">
      <c r="A985" s="32" t="str">
        <f>IMAGE("https://gymvisual.com/13311-catalog_default/pistol-squat-to-box-female.jpg",4,500,500)</f>
        <v/>
      </c>
      <c r="B985" s="30">
        <v>2984.0</v>
      </c>
      <c r="C985" s="16" t="s">
        <v>3793</v>
      </c>
      <c r="D985" s="16" t="s">
        <v>184</v>
      </c>
      <c r="E985" s="16" t="s">
        <v>285</v>
      </c>
      <c r="F985" s="16" t="s">
        <v>255</v>
      </c>
      <c r="G985" s="16" t="s">
        <v>220</v>
      </c>
      <c r="H985" s="16" t="s">
        <v>220</v>
      </c>
    </row>
    <row r="986" ht="24.75" customHeight="1">
      <c r="A986" s="32" t="str">
        <f>IMAGE("https://gymvisual.com/10227-catalog_default/plank-butt-wrong-right.jpg",4,500,500)</f>
        <v/>
      </c>
      <c r="B986" s="30">
        <v>2985.0</v>
      </c>
      <c r="C986" s="16" t="s">
        <v>3794</v>
      </c>
      <c r="D986" s="16" t="s">
        <v>184</v>
      </c>
      <c r="E986" s="16" t="s">
        <v>254</v>
      </c>
      <c r="F986" s="16" t="s">
        <v>255</v>
      </c>
      <c r="G986" s="16" t="s">
        <v>220</v>
      </c>
      <c r="H986" s="16" t="s">
        <v>220</v>
      </c>
    </row>
    <row r="987" ht="24.75" customHeight="1">
      <c r="A987" s="32" t="str">
        <f>IMAGE("https://gymvisual.com/6456-catalog_default/plank-arm-lifts.jpg",4,500,500)</f>
        <v/>
      </c>
      <c r="B987" s="30">
        <v>2986.0</v>
      </c>
      <c r="C987" s="16" t="s">
        <v>3795</v>
      </c>
      <c r="D987" s="16" t="s">
        <v>184</v>
      </c>
      <c r="E987" s="16" t="s">
        <v>192</v>
      </c>
      <c r="F987" s="16" t="s">
        <v>255</v>
      </c>
      <c r="G987" s="16" t="s">
        <v>256</v>
      </c>
      <c r="H987" s="16" t="s">
        <v>300</v>
      </c>
    </row>
    <row r="988" ht="24.75" customHeight="1">
      <c r="A988" s="32" t="str">
        <f>IMAGE("https://gymvisual.com/24665-catalog_default/plank-jack-female.jpg",4,500,500)</f>
        <v/>
      </c>
      <c r="B988" s="30">
        <v>2987.0</v>
      </c>
      <c r="C988" s="16" t="s">
        <v>3796</v>
      </c>
      <c r="D988" s="16" t="s">
        <v>184</v>
      </c>
      <c r="E988" s="16" t="s">
        <v>254</v>
      </c>
      <c r="F988" s="16" t="s">
        <v>255</v>
      </c>
      <c r="G988" s="16" t="s">
        <v>220</v>
      </c>
      <c r="H988" s="16" t="s">
        <v>220</v>
      </c>
    </row>
    <row r="989" ht="24.75" customHeight="1">
      <c r="A989" s="32" t="str">
        <f>IMAGE("https://gymvisual.com/23575-catalog_default/plank-jack-male.jpg",4,500,500)</f>
        <v/>
      </c>
      <c r="B989" s="30">
        <v>2988.0</v>
      </c>
      <c r="C989" s="16" t="s">
        <v>3797</v>
      </c>
      <c r="D989" s="16" t="s">
        <v>184</v>
      </c>
      <c r="E989" s="16" t="s">
        <v>254</v>
      </c>
      <c r="F989" s="16" t="s">
        <v>255</v>
      </c>
      <c r="G989" s="16" t="s">
        <v>3798</v>
      </c>
      <c r="H989" s="16" t="s">
        <v>3799</v>
      </c>
    </row>
    <row r="990" ht="24.75" customHeight="1">
      <c r="A990" s="32" t="str">
        <f>IMAGE("https://gymvisual.com/23925-catalog_default/plank-jack-slide-with-towel.jpg",4,500,500)</f>
        <v/>
      </c>
      <c r="B990" s="30">
        <v>2989.0</v>
      </c>
      <c r="C990" s="16" t="s">
        <v>3800</v>
      </c>
      <c r="D990" s="16" t="s">
        <v>184</v>
      </c>
      <c r="E990" s="16" t="s">
        <v>254</v>
      </c>
      <c r="F990" s="16" t="s">
        <v>255</v>
      </c>
      <c r="G990" s="16" t="s">
        <v>2845</v>
      </c>
      <c r="H990" s="16" t="s">
        <v>3801</v>
      </c>
    </row>
    <row r="991" ht="24.75" customHeight="1">
      <c r="A991" s="32" t="str">
        <f>IMAGE("https://gymvisual.com/26072-catalog_default/plank-lateral-raise.jpg",4,500,500)</f>
        <v/>
      </c>
      <c r="B991" s="30">
        <v>2990.0</v>
      </c>
      <c r="C991" s="16" t="s">
        <v>3802</v>
      </c>
      <c r="D991" s="16" t="s">
        <v>184</v>
      </c>
      <c r="E991" s="16" t="s">
        <v>254</v>
      </c>
      <c r="F991" s="16" t="s">
        <v>255</v>
      </c>
      <c r="G991" s="16" t="s">
        <v>220</v>
      </c>
      <c r="H991" s="16" t="s">
        <v>220</v>
      </c>
    </row>
    <row r="992" ht="24.75" customHeight="1">
      <c r="A992" s="32" t="str">
        <f>IMAGE("https://gymvisual.com/23927-catalog_default/plank-on-hands.jpg",4,500,500)</f>
        <v/>
      </c>
      <c r="B992" s="30">
        <v>2991.0</v>
      </c>
      <c r="C992" s="16" t="s">
        <v>3803</v>
      </c>
      <c r="D992" s="16" t="s">
        <v>184</v>
      </c>
      <c r="E992" s="16" t="s">
        <v>254</v>
      </c>
      <c r="F992" s="16" t="s">
        <v>255</v>
      </c>
      <c r="G992" s="16" t="s">
        <v>256</v>
      </c>
      <c r="H992" s="16" t="s">
        <v>3801</v>
      </c>
    </row>
    <row r="993" ht="24.75" customHeight="1">
      <c r="A993" s="32" t="str">
        <f>IMAGE("https://gymvisual.com/4605-catalog_default/plate-hyperextension.jpg",4,500,500)</f>
        <v/>
      </c>
      <c r="B993" s="30">
        <v>2992.0</v>
      </c>
      <c r="C993" s="16" t="s">
        <v>3804</v>
      </c>
      <c r="D993" s="16" t="s">
        <v>184</v>
      </c>
      <c r="E993" s="16" t="s">
        <v>185</v>
      </c>
      <c r="F993" s="16" t="s">
        <v>396</v>
      </c>
      <c r="G993" s="16" t="s">
        <v>275</v>
      </c>
      <c r="H993" s="16" t="s">
        <v>2412</v>
      </c>
    </row>
    <row r="994" ht="24.75" customHeight="1">
      <c r="A994" s="32" t="str">
        <f>IMAGE("https://gymvisual.com/2955-catalog_default/plate-pinch.jpg",4,500,500)</f>
        <v/>
      </c>
      <c r="B994" s="30">
        <v>2993.0</v>
      </c>
      <c r="C994" s="16" t="s">
        <v>3805</v>
      </c>
      <c r="D994" s="16" t="s">
        <v>184</v>
      </c>
      <c r="E994" s="16" t="s">
        <v>214</v>
      </c>
      <c r="F994" s="16" t="s">
        <v>396</v>
      </c>
      <c r="G994" s="16" t="s">
        <v>604</v>
      </c>
      <c r="H994" s="16" t="s">
        <v>3806</v>
      </c>
    </row>
    <row r="995" ht="24.75" customHeight="1">
      <c r="A995" s="32" t="str">
        <f>IMAGE("https://gymvisual.com/5995-catalog_default/plyo-push-up.jpg",4,500,500)</f>
        <v/>
      </c>
      <c r="B995" s="30">
        <v>2994.0</v>
      </c>
      <c r="C995" s="16" t="s">
        <v>3807</v>
      </c>
      <c r="D995" s="16" t="s">
        <v>184</v>
      </c>
      <c r="E995" s="16" t="s">
        <v>234</v>
      </c>
      <c r="F995" s="16" t="s">
        <v>255</v>
      </c>
      <c r="G995" s="16" t="s">
        <v>347</v>
      </c>
      <c r="H995" s="16" t="s">
        <v>3808</v>
      </c>
    </row>
    <row r="996" ht="24.75" customHeight="1">
      <c r="A996" s="32" t="str">
        <f>IMAGE("https://gymvisual.com/1943-catalog_default/3-4-sit-up.jpg",4,500,500)</f>
        <v/>
      </c>
      <c r="B996" s="30">
        <v>2995.0</v>
      </c>
      <c r="C996" s="16" t="s">
        <v>3809</v>
      </c>
      <c r="D996" s="16" t="s">
        <v>184</v>
      </c>
      <c r="E996" s="16" t="s">
        <v>285</v>
      </c>
      <c r="F996" s="16" t="s">
        <v>255</v>
      </c>
      <c r="G996" s="16" t="s">
        <v>3810</v>
      </c>
      <c r="H996" s="16" t="s">
        <v>1115</v>
      </c>
    </row>
    <row r="997" ht="24.75" customHeight="1">
      <c r="A997" s="32" t="str">
        <f>IMAGE("https://gymvisual.com/23911-catalog_default/posterior-neck-isometric.jpg",4,500,500)</f>
        <v/>
      </c>
      <c r="B997" s="30">
        <v>2996.0</v>
      </c>
      <c r="C997" s="16" t="s">
        <v>3811</v>
      </c>
      <c r="D997" s="16" t="s">
        <v>184</v>
      </c>
      <c r="E997" s="16" t="s">
        <v>351</v>
      </c>
      <c r="F997" s="16" t="s">
        <v>255</v>
      </c>
      <c r="G997" s="16" t="s">
        <v>3717</v>
      </c>
      <c r="H997" s="16" t="s">
        <v>220</v>
      </c>
    </row>
    <row r="998" ht="24.75" customHeight="1">
      <c r="A998" s="32" t="str">
        <f>IMAGE("https://gymvisual.com/12492-catalog_default/potty-squat.jpg",4,500,500)</f>
        <v/>
      </c>
      <c r="B998" s="30">
        <v>2997.0</v>
      </c>
      <c r="C998" s="16" t="s">
        <v>3812</v>
      </c>
      <c r="D998" s="16" t="s">
        <v>184</v>
      </c>
      <c r="E998" s="16" t="s">
        <v>254</v>
      </c>
      <c r="F998" s="16" t="s">
        <v>255</v>
      </c>
      <c r="G998" s="16" t="s">
        <v>256</v>
      </c>
      <c r="H998" s="16" t="s">
        <v>257</v>
      </c>
    </row>
    <row r="999" ht="24.75" customHeight="1">
      <c r="A999" s="32" t="str">
        <f>IMAGE("https://gymvisual.com/12489-catalog_default/potty-squat-female.jpg",4,500,500)</f>
        <v/>
      </c>
      <c r="B999" s="30">
        <v>2998.0</v>
      </c>
      <c r="C999" s="16" t="s">
        <v>3813</v>
      </c>
      <c r="D999" s="16" t="s">
        <v>184</v>
      </c>
      <c r="E999" s="16" t="s">
        <v>254</v>
      </c>
      <c r="F999" s="16" t="s">
        <v>255</v>
      </c>
      <c r="G999" s="16" t="s">
        <v>256</v>
      </c>
      <c r="H999" s="16" t="s">
        <v>257</v>
      </c>
    </row>
    <row r="1000" ht="24.75" customHeight="1">
      <c r="A1000" s="32" t="str">
        <f>IMAGE("https://gymvisual.com/12527-catalog_default/potty-squat-with-support.jpg",4,500,500)</f>
        <v/>
      </c>
      <c r="B1000" s="30">
        <v>2999.0</v>
      </c>
      <c r="C1000" s="16" t="s">
        <v>3814</v>
      </c>
      <c r="D1000" s="16" t="s">
        <v>184</v>
      </c>
      <c r="E1000" s="16" t="s">
        <v>185</v>
      </c>
      <c r="F1000" s="16" t="s">
        <v>255</v>
      </c>
      <c r="G1000" s="16" t="s">
        <v>189</v>
      </c>
      <c r="H1000" s="16" t="s">
        <v>190</v>
      </c>
    </row>
    <row r="1001" ht="24.75" customHeight="1">
      <c r="A1001" s="32" t="str">
        <f>IMAGE("https://gymvisual.com/12526-catalog_default/potty-squat-with-support-female.jpg",4,500,500)</f>
        <v/>
      </c>
      <c r="B1001" s="30">
        <v>3000.0</v>
      </c>
      <c r="C1001" s="16" t="s">
        <v>3815</v>
      </c>
      <c r="D1001" s="16" t="s">
        <v>184</v>
      </c>
      <c r="E1001" s="16" t="s">
        <v>185</v>
      </c>
      <c r="F1001" s="16" t="s">
        <v>255</v>
      </c>
      <c r="G1001" s="16" t="s">
        <v>189</v>
      </c>
      <c r="H1001" s="16" t="s">
        <v>190</v>
      </c>
    </row>
    <row r="1002" ht="24.75" customHeight="1">
      <c r="A1002" s="32" t="str">
        <f>IMAGE("https://gymvisual.com/20636-catalog_default/3-4-sit-up.jpg",4,500,500)</f>
        <v/>
      </c>
      <c r="B1002" s="30">
        <v>3001.0</v>
      </c>
      <c r="C1002" s="16" t="s">
        <v>3816</v>
      </c>
      <c r="D1002" s="16" t="s">
        <v>184</v>
      </c>
      <c r="E1002" s="16" t="s">
        <v>285</v>
      </c>
      <c r="F1002" s="16" t="s">
        <v>186</v>
      </c>
      <c r="G1002" s="16" t="s">
        <v>795</v>
      </c>
      <c r="H1002" s="16" t="s">
        <v>220</v>
      </c>
    </row>
    <row r="1003" ht="24.75" customHeight="1">
      <c r="A1003" s="32" t="str">
        <f>IMAGE("https://gymvisual.com/14450-catalog_default/power-point-plank.jpg",4,500,500)</f>
        <v/>
      </c>
      <c r="B1003" s="30">
        <v>3002.0</v>
      </c>
      <c r="C1003" s="16" t="s">
        <v>3817</v>
      </c>
      <c r="D1003" s="16" t="s">
        <v>184</v>
      </c>
      <c r="E1003" s="16" t="s">
        <v>285</v>
      </c>
      <c r="F1003" s="16" t="s">
        <v>255</v>
      </c>
      <c r="G1003" s="16" t="s">
        <v>3818</v>
      </c>
      <c r="H1003" s="16" t="s">
        <v>220</v>
      </c>
    </row>
    <row r="1004" ht="24.75" customHeight="1">
      <c r="A1004" s="32" t="str">
        <f>IMAGE("https://gymvisual.com/14137-catalog_default/power-push-aways.jpg",4,500,500)</f>
        <v/>
      </c>
      <c r="B1004" s="30">
        <v>3003.0</v>
      </c>
      <c r="C1004" s="16" t="s">
        <v>3819</v>
      </c>
      <c r="D1004" s="16" t="s">
        <v>184</v>
      </c>
      <c r="E1004" s="16" t="s">
        <v>1888</v>
      </c>
      <c r="F1004" s="16" t="s">
        <v>255</v>
      </c>
      <c r="G1004" s="16" t="s">
        <v>3820</v>
      </c>
      <c r="H1004" s="16" t="s">
        <v>3821</v>
      </c>
    </row>
    <row r="1005" ht="24.75" customHeight="1">
      <c r="A1005" s="32" t="str">
        <f>IMAGE("https://gymvisual.com/12169-catalog_default/power-sled-backward-push.jpg",4,500,500)</f>
        <v/>
      </c>
      <c r="B1005" s="30">
        <v>3004.0</v>
      </c>
      <c r="C1005" s="16" t="s">
        <v>3822</v>
      </c>
      <c r="D1005" s="16" t="s">
        <v>184</v>
      </c>
      <c r="E1005" s="16" t="s">
        <v>285</v>
      </c>
      <c r="F1005" s="16" t="s">
        <v>3823</v>
      </c>
      <c r="G1005" s="16" t="s">
        <v>220</v>
      </c>
      <c r="H1005" s="16" t="s">
        <v>220</v>
      </c>
    </row>
    <row r="1006" ht="24.75" customHeight="1">
      <c r="A1006" s="32" t="str">
        <f>IMAGE("https://gymvisual.com/12163-catalog_default/power-sled-biceps-curl.jpg",4,500,500)</f>
        <v/>
      </c>
      <c r="B1006" s="30">
        <v>3005.0</v>
      </c>
      <c r="C1006" s="16" t="s">
        <v>3824</v>
      </c>
      <c r="D1006" s="16" t="s">
        <v>184</v>
      </c>
      <c r="E1006" s="16" t="s">
        <v>219</v>
      </c>
      <c r="F1006" s="16" t="s">
        <v>3823</v>
      </c>
      <c r="G1006" s="16" t="s">
        <v>220</v>
      </c>
      <c r="H1006" s="16" t="s">
        <v>220</v>
      </c>
    </row>
    <row r="1007" ht="24.75" customHeight="1">
      <c r="A1007" s="32" t="str">
        <f>IMAGE("https://gymvisual.com/24675-catalog_default/power-sled-drag.jpg",4,500,500)</f>
        <v/>
      </c>
      <c r="B1007" s="30">
        <v>3006.0</v>
      </c>
      <c r="C1007" s="16" t="s">
        <v>3825</v>
      </c>
      <c r="D1007" s="16" t="s">
        <v>184</v>
      </c>
      <c r="E1007" s="16" t="s">
        <v>764</v>
      </c>
      <c r="F1007" s="16" t="s">
        <v>3823</v>
      </c>
      <c r="G1007" s="16" t="s">
        <v>220</v>
      </c>
      <c r="H1007" s="16" t="s">
        <v>220</v>
      </c>
    </row>
    <row r="1008" ht="24.75" customHeight="1">
      <c r="A1008" s="32" t="str">
        <f>IMAGE("https://gymvisual.com/12171-catalog_default/power-sled-high-pull.jpg",4,500,500)</f>
        <v/>
      </c>
      <c r="B1008" s="30">
        <v>3007.0</v>
      </c>
      <c r="C1008" s="16" t="s">
        <v>3826</v>
      </c>
      <c r="D1008" s="16" t="s">
        <v>184</v>
      </c>
      <c r="E1008" s="16" t="s">
        <v>228</v>
      </c>
      <c r="F1008" s="16" t="s">
        <v>3823</v>
      </c>
      <c r="G1008" s="16" t="s">
        <v>220</v>
      </c>
      <c r="H1008" s="16" t="s">
        <v>220</v>
      </c>
    </row>
    <row r="1009" ht="24.75" customHeight="1">
      <c r="A1009" s="32" t="str">
        <f>IMAGE("https://gymvisual.com/11248-catalog_default/power-sled-pull-row-female.jpg",4,500,500)</f>
        <v/>
      </c>
      <c r="B1009" s="30">
        <v>3008.0</v>
      </c>
      <c r="C1009" s="16" t="s">
        <v>3827</v>
      </c>
      <c r="D1009" s="16" t="s">
        <v>184</v>
      </c>
      <c r="E1009" s="16" t="s">
        <v>484</v>
      </c>
      <c r="F1009" s="16" t="s">
        <v>3823</v>
      </c>
      <c r="G1009" s="16" t="s">
        <v>220</v>
      </c>
      <c r="H1009" s="16" t="s">
        <v>220</v>
      </c>
    </row>
    <row r="1010" ht="24.75" customHeight="1">
      <c r="A1010" s="32" t="str">
        <f>IMAGE("https://gymvisual.com/10677-catalog_default/power-sled-push-female.jpg",4,500,500)</f>
        <v/>
      </c>
      <c r="B1010" s="30">
        <v>3009.0</v>
      </c>
      <c r="C1010" s="16" t="s">
        <v>3828</v>
      </c>
      <c r="D1010" s="16" t="s">
        <v>184</v>
      </c>
      <c r="E1010" s="16" t="s">
        <v>285</v>
      </c>
      <c r="F1010" s="16" t="s">
        <v>3823</v>
      </c>
      <c r="G1010" s="16" t="s">
        <v>3829</v>
      </c>
      <c r="H1010" s="16" t="s">
        <v>220</v>
      </c>
    </row>
    <row r="1011" ht="24.75" customHeight="1">
      <c r="A1011" s="32" t="str">
        <f>IMAGE("https://gymvisual.com/12166-catalog_default/power-sled-rear-batwing.jpg",4,500,500)</f>
        <v/>
      </c>
      <c r="B1011" s="30">
        <v>3010.0</v>
      </c>
      <c r="C1011" s="16" t="s">
        <v>3830</v>
      </c>
      <c r="D1011" s="16" t="s">
        <v>184</v>
      </c>
      <c r="E1011" s="16" t="s">
        <v>285</v>
      </c>
      <c r="F1011" s="16" t="s">
        <v>3823</v>
      </c>
      <c r="G1011" s="16" t="s">
        <v>220</v>
      </c>
      <c r="H1011" s="16" t="s">
        <v>220</v>
      </c>
    </row>
    <row r="1012" ht="24.75" customHeight="1">
      <c r="A1012" s="32" t="str">
        <f>IMAGE("https://gymvisual.com/12168-catalog_default/power-sled-rear-drag.jpg",4,500,500)</f>
        <v/>
      </c>
      <c r="B1012" s="30">
        <v>3011.0</v>
      </c>
      <c r="C1012" s="16" t="s">
        <v>3831</v>
      </c>
      <c r="D1012" s="16" t="s">
        <v>184</v>
      </c>
      <c r="E1012" s="16" t="s">
        <v>285</v>
      </c>
      <c r="F1012" s="16" t="s">
        <v>3823</v>
      </c>
      <c r="G1012" s="16" t="s">
        <v>220</v>
      </c>
      <c r="H1012" s="16" t="s">
        <v>220</v>
      </c>
    </row>
    <row r="1013" ht="24.75" customHeight="1">
      <c r="A1013" s="32" t="str">
        <f>IMAGE("https://gymvisual.com/12167-catalog_default/power-sled-rear-fly.jpg",4,500,500)</f>
        <v/>
      </c>
      <c r="B1013" s="30">
        <v>3012.0</v>
      </c>
      <c r="C1013" s="16" t="s">
        <v>3832</v>
      </c>
      <c r="D1013" s="16" t="s">
        <v>184</v>
      </c>
      <c r="E1013" s="16" t="s">
        <v>228</v>
      </c>
      <c r="F1013" s="16" t="s">
        <v>3823</v>
      </c>
      <c r="G1013" s="16" t="s">
        <v>220</v>
      </c>
      <c r="H1013" s="16" t="s">
        <v>220</v>
      </c>
    </row>
    <row r="1014" ht="24.75" customHeight="1">
      <c r="A1014" s="32" t="str">
        <f>IMAGE("https://gymvisual.com/11984-catalog_default/power-sled-rear-lunge.jpg",4,500,500)</f>
        <v/>
      </c>
      <c r="B1014" s="30">
        <v>3013.0</v>
      </c>
      <c r="C1014" s="16" t="s">
        <v>3833</v>
      </c>
      <c r="D1014" s="16" t="s">
        <v>184</v>
      </c>
      <c r="E1014" s="16" t="s">
        <v>285</v>
      </c>
      <c r="F1014" s="16" t="s">
        <v>3823</v>
      </c>
      <c r="G1014" s="16" t="s">
        <v>220</v>
      </c>
      <c r="H1014" s="16" t="s">
        <v>220</v>
      </c>
    </row>
    <row r="1015" ht="24.75" customHeight="1">
      <c r="A1015" s="32" t="str">
        <f>IMAGE("https://gymvisual.com/12165-catalog_default/power-sled-rear-lunge.jpg",4,500,500)</f>
        <v/>
      </c>
      <c r="B1015" s="30">
        <v>3014.0</v>
      </c>
      <c r="C1015" s="16" t="s">
        <v>3833</v>
      </c>
      <c r="D1015" s="16" t="s">
        <v>184</v>
      </c>
      <c r="E1015" s="16" t="s">
        <v>185</v>
      </c>
      <c r="F1015" s="16" t="s">
        <v>3823</v>
      </c>
      <c r="G1015" s="16" t="s">
        <v>220</v>
      </c>
      <c r="H1015" s="16" t="s">
        <v>220</v>
      </c>
    </row>
    <row r="1016" ht="24.75" customHeight="1">
      <c r="A1016" s="32" t="str">
        <f>IMAGE("https://gymvisual.com/11983-catalog_default/power-sled-rear-lunge-female.jpg",4,500,500)</f>
        <v/>
      </c>
      <c r="B1016" s="30">
        <v>3015.0</v>
      </c>
      <c r="C1016" s="16" t="s">
        <v>3834</v>
      </c>
      <c r="D1016" s="16" t="s">
        <v>184</v>
      </c>
      <c r="E1016" s="16" t="s">
        <v>285</v>
      </c>
      <c r="F1016" s="16" t="s">
        <v>3823</v>
      </c>
      <c r="G1016" s="16" t="s">
        <v>220</v>
      </c>
      <c r="H1016" s="16" t="s">
        <v>220</v>
      </c>
    </row>
    <row r="1017" ht="24.75" customHeight="1">
      <c r="A1017" s="32" t="str">
        <f>IMAGE("https://gymvisual.com/12164-catalog_default/power-sled-rear-lunge-row.jpg",4,500,500)</f>
        <v/>
      </c>
      <c r="B1017" s="30">
        <v>3016.0</v>
      </c>
      <c r="C1017" s="16" t="s">
        <v>3835</v>
      </c>
      <c r="D1017" s="16" t="s">
        <v>184</v>
      </c>
      <c r="E1017" s="16" t="s">
        <v>192</v>
      </c>
      <c r="F1017" s="16" t="s">
        <v>3823</v>
      </c>
      <c r="G1017" s="16" t="s">
        <v>220</v>
      </c>
      <c r="H1017" s="16" t="s">
        <v>220</v>
      </c>
    </row>
    <row r="1018" ht="24.75" customHeight="1">
      <c r="A1018" s="32" t="str">
        <f>IMAGE("https://gymvisual.com/17939-catalog_default/power-sled-triceps-extension-male.jpg",4,500,500)</f>
        <v/>
      </c>
      <c r="B1018" s="30">
        <v>3017.0</v>
      </c>
      <c r="C1018" s="16" t="s">
        <v>3836</v>
      </c>
      <c r="D1018" s="16" t="s">
        <v>184</v>
      </c>
      <c r="E1018" s="16" t="s">
        <v>219</v>
      </c>
      <c r="F1018" s="16" t="s">
        <v>3823</v>
      </c>
      <c r="G1018" s="16" t="s">
        <v>220</v>
      </c>
      <c r="H1018" s="16" t="s">
        <v>220</v>
      </c>
    </row>
    <row r="1019" ht="24.75" customHeight="1">
      <c r="A1019" s="32" t="str">
        <f>IMAGE("https://gymvisual.com/23677-catalog_default/prayer-push-female.jpg",4,500,500)</f>
        <v/>
      </c>
      <c r="B1019" s="30">
        <v>3018.0</v>
      </c>
      <c r="C1019" s="16" t="s">
        <v>3837</v>
      </c>
      <c r="D1019" s="16" t="s">
        <v>184</v>
      </c>
      <c r="E1019" s="16" t="s">
        <v>228</v>
      </c>
      <c r="F1019" s="16" t="s">
        <v>255</v>
      </c>
      <c r="G1019" s="16" t="s">
        <v>454</v>
      </c>
      <c r="H1019" s="16" t="s">
        <v>3448</v>
      </c>
    </row>
    <row r="1020" ht="24.75" customHeight="1">
      <c r="A1020" s="32" t="str">
        <f>IMAGE("https://gymvisual.com/10196-catalog_default/preacher-curl-wrists-wrong-right.jpg",4,500,500)</f>
        <v/>
      </c>
      <c r="B1020" s="30">
        <v>3019.0</v>
      </c>
      <c r="C1020" s="16" t="s">
        <v>3838</v>
      </c>
      <c r="D1020" s="16" t="s">
        <v>184</v>
      </c>
      <c r="E1020" s="16" t="s">
        <v>219</v>
      </c>
      <c r="F1020" s="16" t="s">
        <v>2745</v>
      </c>
      <c r="G1020" s="16" t="s">
        <v>220</v>
      </c>
      <c r="H1020" s="16" t="s">
        <v>220</v>
      </c>
    </row>
    <row r="1021" ht="24.75" customHeight="1">
      <c r="A1021" s="32" t="str">
        <f>IMAGE("https://gymvisual.com/24055-catalog_default/press-under.jpg",4,500,500)</f>
        <v/>
      </c>
      <c r="B1021" s="30">
        <v>3020.0</v>
      </c>
      <c r="C1021" s="16" t="s">
        <v>3839</v>
      </c>
      <c r="D1021" s="16" t="s">
        <v>184</v>
      </c>
      <c r="E1021" s="16" t="s">
        <v>764</v>
      </c>
      <c r="F1021" s="16" t="s">
        <v>255</v>
      </c>
      <c r="G1021" s="16" t="s">
        <v>220</v>
      </c>
      <c r="H1021" s="16" t="s">
        <v>220</v>
      </c>
    </row>
    <row r="1022" ht="24.75" customHeight="1">
      <c r="A1022" s="32" t="str">
        <f>IMAGE("https://gymvisual.com/19445-catalog_default/prisoner-get-up.jpg",4,500,500)</f>
        <v/>
      </c>
      <c r="B1022" s="30">
        <v>3021.0</v>
      </c>
      <c r="C1022" s="16" t="s">
        <v>3840</v>
      </c>
      <c r="D1022" s="16" t="s">
        <v>184</v>
      </c>
      <c r="E1022" s="16" t="s">
        <v>285</v>
      </c>
      <c r="F1022" s="16" t="s">
        <v>255</v>
      </c>
      <c r="G1022" s="16" t="s">
        <v>220</v>
      </c>
      <c r="H1022" s="16" t="s">
        <v>220</v>
      </c>
    </row>
    <row r="1023" ht="24.75" customHeight="1">
      <c r="A1023" s="32" t="str">
        <f>IMAGE("https://gymvisual.com/12881-catalog_default/prisoner-half-sit-up-male.jpg",4,500,500)</f>
        <v/>
      </c>
      <c r="B1023" s="30">
        <v>3022.0</v>
      </c>
      <c r="C1023" s="16" t="s">
        <v>3841</v>
      </c>
      <c r="D1023" s="16" t="s">
        <v>184</v>
      </c>
      <c r="E1023" s="16" t="s">
        <v>254</v>
      </c>
      <c r="F1023" s="16" t="s">
        <v>255</v>
      </c>
      <c r="G1023" s="16" t="s">
        <v>305</v>
      </c>
      <c r="H1023" s="16" t="s">
        <v>3842</v>
      </c>
    </row>
    <row r="1024" ht="24.75" customHeight="1">
      <c r="A1024" s="32" t="str">
        <f>IMAGE("https://gymvisual.com/6827-catalog_default/prisoner-squat.jpg",4,500,500)</f>
        <v/>
      </c>
      <c r="B1024" s="30">
        <v>3023.0</v>
      </c>
      <c r="C1024" s="16" t="s">
        <v>3843</v>
      </c>
      <c r="D1024" s="16" t="s">
        <v>184</v>
      </c>
      <c r="E1024" s="16" t="s">
        <v>285</v>
      </c>
      <c r="F1024" s="16" t="s">
        <v>255</v>
      </c>
      <c r="G1024" s="16" t="s">
        <v>220</v>
      </c>
      <c r="H1024" s="16" t="s">
        <v>220</v>
      </c>
    </row>
    <row r="1025" ht="24.75" customHeight="1">
      <c r="A1025" s="32" t="str">
        <f>IMAGE("https://gymvisual.com/24089-catalog_default/prone-cervical-extension.jpg",4,500,500)</f>
        <v/>
      </c>
      <c r="B1025" s="30">
        <v>3024.0</v>
      </c>
      <c r="C1025" s="16" t="s">
        <v>3844</v>
      </c>
      <c r="D1025" s="16" t="s">
        <v>184</v>
      </c>
      <c r="E1025" s="16" t="s">
        <v>351</v>
      </c>
      <c r="F1025" s="16" t="s">
        <v>255</v>
      </c>
      <c r="G1025" s="16" t="s">
        <v>220</v>
      </c>
      <c r="H1025" s="16" t="s">
        <v>220</v>
      </c>
    </row>
    <row r="1026" ht="24.75" customHeight="1">
      <c r="A1026" s="32" t="str">
        <f>IMAGE("https://gymvisual.com/24091-catalog_default/prone-cervical-extension-isometric-hold.jpg",4,500,500)</f>
        <v/>
      </c>
      <c r="B1026" s="30">
        <v>3025.0</v>
      </c>
      <c r="C1026" s="16" t="s">
        <v>3845</v>
      </c>
      <c r="D1026" s="16" t="s">
        <v>184</v>
      </c>
      <c r="E1026" s="16" t="s">
        <v>351</v>
      </c>
      <c r="F1026" s="16" t="s">
        <v>255</v>
      </c>
      <c r="G1026" s="16" t="s">
        <v>220</v>
      </c>
      <c r="H1026" s="16" t="s">
        <v>220</v>
      </c>
    </row>
    <row r="1027" ht="24.75" customHeight="1">
      <c r="A1027" s="32" t="str">
        <f>IMAGE("https://gymvisual.com/12205-catalog_default/prone-single-arm-trap-raise.jpg",4,500,500)</f>
        <v/>
      </c>
      <c r="B1027" s="30">
        <v>3026.0</v>
      </c>
      <c r="C1027" s="16" t="s">
        <v>3846</v>
      </c>
      <c r="D1027" s="16" t="s">
        <v>184</v>
      </c>
      <c r="E1027" s="16" t="s">
        <v>192</v>
      </c>
      <c r="F1027" s="16" t="s">
        <v>255</v>
      </c>
      <c r="G1027" s="16" t="s">
        <v>220</v>
      </c>
      <c r="H1027" s="16" t="s">
        <v>220</v>
      </c>
    </row>
    <row r="1028" ht="24.75" customHeight="1">
      <c r="A1028" s="32" t="str">
        <f>IMAGE("https://gymvisual.com/7373-catalog_default/prone-twist-on-stability-ball.jpg",4,500,500)</f>
        <v/>
      </c>
      <c r="B1028" s="30">
        <v>3027.0</v>
      </c>
      <c r="C1028" s="16" t="s">
        <v>3847</v>
      </c>
      <c r="D1028" s="16" t="s">
        <v>184</v>
      </c>
      <c r="E1028" s="16" t="s">
        <v>254</v>
      </c>
      <c r="F1028" s="16" t="s">
        <v>399</v>
      </c>
      <c r="G1028" s="16" t="s">
        <v>220</v>
      </c>
      <c r="H1028" s="16" t="s">
        <v>220</v>
      </c>
    </row>
    <row r="1029" ht="24.75" customHeight="1">
      <c r="A1029" s="32" t="str">
        <f>IMAGE("https://gymvisual.com/25671-catalog_default/prone-y-raise-male.jpg",4,500,500)</f>
        <v/>
      </c>
      <c r="B1029" s="30">
        <v>3028.0</v>
      </c>
      <c r="C1029" s="16" t="s">
        <v>3848</v>
      </c>
      <c r="D1029" s="16" t="s">
        <v>184</v>
      </c>
      <c r="E1029" s="16" t="s">
        <v>192</v>
      </c>
      <c r="F1029" s="16" t="s">
        <v>255</v>
      </c>
      <c r="G1029" s="16" t="s">
        <v>220</v>
      </c>
      <c r="H1029" s="16" t="s">
        <v>220</v>
      </c>
    </row>
    <row r="1030" ht="24.75" customHeight="1">
      <c r="A1030" s="32" t="str">
        <f>IMAGE("https://gymvisual.com/22710-catalog_default/pseudo-planche-push-up.jpg",4,500,500)</f>
        <v/>
      </c>
      <c r="B1030" s="30">
        <v>3029.0</v>
      </c>
      <c r="C1030" s="16" t="s">
        <v>3849</v>
      </c>
      <c r="D1030" s="16" t="s">
        <v>184</v>
      </c>
      <c r="E1030" s="16" t="s">
        <v>234</v>
      </c>
      <c r="F1030" s="16" t="s">
        <v>255</v>
      </c>
      <c r="G1030" s="16" t="s">
        <v>3850</v>
      </c>
      <c r="H1030" s="16" t="s">
        <v>3851</v>
      </c>
    </row>
    <row r="1031" ht="24.75" customHeight="1">
      <c r="A1031" s="32" t="str">
        <f>IMAGE("https://gymvisual.com/1953-catalog_default/3-4-sit-up.jpg",4,500,500)</f>
        <v/>
      </c>
      <c r="B1031" s="30">
        <v>3030.0</v>
      </c>
      <c r="C1031" s="16" t="s">
        <v>3852</v>
      </c>
      <c r="D1031" s="16" t="s">
        <v>184</v>
      </c>
      <c r="E1031" s="16" t="s">
        <v>192</v>
      </c>
      <c r="F1031" s="16" t="s">
        <v>255</v>
      </c>
      <c r="G1031" s="16" t="s">
        <v>300</v>
      </c>
      <c r="H1031" s="16" t="s">
        <v>3853</v>
      </c>
    </row>
    <row r="1032" ht="24.75" customHeight="1">
      <c r="A1032" s="32" t="str">
        <f>IMAGE("https://gymvisual.com/1950-catalog_default/3-4-sit-up.jpg",4,500,500)</f>
        <v/>
      </c>
      <c r="B1032" s="30">
        <v>3031.0</v>
      </c>
      <c r="C1032" s="16" t="s">
        <v>3854</v>
      </c>
      <c r="D1032" s="16" t="s">
        <v>184</v>
      </c>
      <c r="E1032" s="16" t="s">
        <v>254</v>
      </c>
      <c r="F1032" s="16" t="s">
        <v>399</v>
      </c>
      <c r="G1032" s="16" t="s">
        <v>305</v>
      </c>
      <c r="H1032" s="16" t="s">
        <v>3855</v>
      </c>
    </row>
    <row r="1033" ht="24.75" customHeight="1">
      <c r="A1033" s="32" t="str">
        <f>IMAGE("https://gymvisual.com/1956-catalog_default/3-4-sit-up.jpg",4,500,500)</f>
        <v/>
      </c>
      <c r="B1033" s="30">
        <v>3032.0</v>
      </c>
      <c r="C1033" s="16" t="s">
        <v>3856</v>
      </c>
      <c r="D1033" s="16" t="s">
        <v>184</v>
      </c>
      <c r="E1033" s="16" t="s">
        <v>192</v>
      </c>
      <c r="F1033" s="16" t="s">
        <v>255</v>
      </c>
      <c r="G1033" s="16" t="s">
        <v>300</v>
      </c>
      <c r="H1033" s="16" t="s">
        <v>387</v>
      </c>
    </row>
    <row r="1034" ht="24.75" customHeight="1">
      <c r="A1034" s="32" t="str">
        <f>IMAGE("https://gymvisual.com/22289-catalog_default/pull-up-negative-female.jpg",4,500,500)</f>
        <v/>
      </c>
      <c r="B1034" s="30">
        <v>3033.0</v>
      </c>
      <c r="C1034" s="16" t="s">
        <v>3857</v>
      </c>
      <c r="D1034" s="16" t="s">
        <v>184</v>
      </c>
      <c r="E1034" s="16" t="s">
        <v>192</v>
      </c>
      <c r="F1034" s="16" t="s">
        <v>255</v>
      </c>
      <c r="G1034" s="16" t="s">
        <v>220</v>
      </c>
      <c r="H1034" s="16" t="s">
        <v>220</v>
      </c>
    </row>
    <row r="1035" ht="24.75" customHeight="1">
      <c r="A1035" s="32" t="str">
        <f>IMAGE("https://gymvisual.com/13990-catalog_default/pull-up-with-bent-knee-between-chairs.jpg",4,500,500)</f>
        <v/>
      </c>
      <c r="B1035" s="30">
        <v>3034.0</v>
      </c>
      <c r="C1035" s="16" t="s">
        <v>3858</v>
      </c>
      <c r="D1035" s="16" t="s">
        <v>184</v>
      </c>
      <c r="E1035" s="16" t="s">
        <v>192</v>
      </c>
      <c r="F1035" s="16" t="s">
        <v>255</v>
      </c>
      <c r="G1035" s="16" t="s">
        <v>300</v>
      </c>
      <c r="H1035" s="16" t="s">
        <v>445</v>
      </c>
    </row>
    <row r="1036" ht="24.75" customHeight="1">
      <c r="A1036" s="32" t="str">
        <f>IMAGE("https://gymvisual.com/12188-catalog_default/pulse-row-female.jpg",4,500,500)</f>
        <v/>
      </c>
      <c r="B1036" s="30">
        <v>3035.0</v>
      </c>
      <c r="C1036" s="16" t="s">
        <v>3859</v>
      </c>
      <c r="D1036" s="16" t="s">
        <v>184</v>
      </c>
      <c r="E1036" s="16" t="s">
        <v>192</v>
      </c>
      <c r="F1036" s="16" t="s">
        <v>255</v>
      </c>
      <c r="G1036" s="16" t="s">
        <v>570</v>
      </c>
      <c r="H1036" s="16" t="s">
        <v>447</v>
      </c>
    </row>
    <row r="1037" ht="24.75" customHeight="1">
      <c r="A1037" s="32" t="str">
        <f>IMAGE("https://gymvisual.com/22576-catalog_default/pulse-row-male.jpg",4,500,500)</f>
        <v/>
      </c>
      <c r="B1037" s="30">
        <v>3036.0</v>
      </c>
      <c r="C1037" s="16" t="s">
        <v>3860</v>
      </c>
      <c r="D1037" s="16" t="s">
        <v>184</v>
      </c>
      <c r="E1037" s="16" t="s">
        <v>192</v>
      </c>
      <c r="F1037" s="16" t="s">
        <v>255</v>
      </c>
      <c r="G1037" s="16" t="s">
        <v>731</v>
      </c>
      <c r="H1037" s="16" t="s">
        <v>408</v>
      </c>
    </row>
    <row r="1038" ht="24.75" customHeight="1">
      <c r="A1038" s="32" t="str">
        <f>IMAGE("https://gymvisual.com/13936-catalog_default/pulse-up.jpg",4,500,500)</f>
        <v/>
      </c>
      <c r="B1038" s="30">
        <v>3037.0</v>
      </c>
      <c r="C1038" s="16" t="s">
        <v>3861</v>
      </c>
      <c r="D1038" s="16" t="s">
        <v>184</v>
      </c>
      <c r="E1038" s="16" t="s">
        <v>254</v>
      </c>
      <c r="F1038" s="16" t="s">
        <v>255</v>
      </c>
      <c r="G1038" s="16" t="s">
        <v>256</v>
      </c>
      <c r="H1038" s="16" t="s">
        <v>3862</v>
      </c>
    </row>
    <row r="1039" ht="24.75" customHeight="1">
      <c r="A1039" s="32" t="str">
        <f>IMAGE("https://gymvisual.com/4568-catalog_default/push-press.jpg",4,500,500)</f>
        <v/>
      </c>
      <c r="B1039" s="30">
        <v>3038.0</v>
      </c>
      <c r="C1039" s="16" t="s">
        <v>3863</v>
      </c>
      <c r="D1039" s="16" t="s">
        <v>184</v>
      </c>
      <c r="E1039" s="16" t="s">
        <v>228</v>
      </c>
      <c r="F1039" s="16" t="s">
        <v>186</v>
      </c>
      <c r="G1039" s="16" t="s">
        <v>3864</v>
      </c>
      <c r="H1039" s="16" t="s">
        <v>220</v>
      </c>
    </row>
    <row r="1040" ht="24.75" customHeight="1">
      <c r="A1040" s="32" t="str">
        <f>IMAGE("https://gymvisual.com/11534-catalog_default/push-up-on-stability-ball-female.jpg",4,500,500)</f>
        <v/>
      </c>
      <c r="B1040" s="30">
        <v>3039.0</v>
      </c>
      <c r="C1040" s="16" t="s">
        <v>3865</v>
      </c>
      <c r="D1040" s="16" t="s">
        <v>184</v>
      </c>
      <c r="E1040" s="16" t="s">
        <v>234</v>
      </c>
      <c r="F1040" s="16" t="s">
        <v>399</v>
      </c>
      <c r="G1040" s="16" t="s">
        <v>220</v>
      </c>
      <c r="H1040" s="16" t="s">
        <v>220</v>
      </c>
    </row>
    <row r="1041" ht="24.75" customHeight="1">
      <c r="A1041" s="32" t="str">
        <f>IMAGE("https://gymvisual.com/5996-catalog_default/push-up-on-bosu-ball.jpg",4,500,500)</f>
        <v/>
      </c>
      <c r="B1041" s="30">
        <v>3040.0</v>
      </c>
      <c r="C1041" s="16" t="s">
        <v>3866</v>
      </c>
      <c r="D1041" s="16" t="s">
        <v>184</v>
      </c>
      <c r="E1041" s="16" t="s">
        <v>234</v>
      </c>
      <c r="F1041" s="16" t="s">
        <v>316</v>
      </c>
      <c r="G1041" s="16" t="s">
        <v>347</v>
      </c>
      <c r="H1041" s="16" t="s">
        <v>3020</v>
      </c>
    </row>
    <row r="1042" ht="24.75" customHeight="1">
      <c r="A1042" s="32" t="str">
        <f>IMAGE("https://gymvisual.com/18740-catalog_default/push-with-chair.jpg",4,500,500)</f>
        <v/>
      </c>
      <c r="B1042" s="30">
        <v>3041.0</v>
      </c>
      <c r="C1042" s="16" t="s">
        <v>3867</v>
      </c>
      <c r="D1042" s="16" t="s">
        <v>184</v>
      </c>
      <c r="E1042" s="16" t="s">
        <v>234</v>
      </c>
      <c r="F1042" s="16" t="s">
        <v>255</v>
      </c>
      <c r="G1042" s="16" t="s">
        <v>220</v>
      </c>
      <c r="H1042" s="16" t="s">
        <v>220</v>
      </c>
    </row>
    <row r="1043" ht="24.75" customHeight="1">
      <c r="A1043" s="32" t="str">
        <f>IMAGE("https://gymvisual.com/10080-catalog_default/3-4-sit-up.jpg",4,500,500)</f>
        <v/>
      </c>
      <c r="B1043" s="30">
        <v>3042.0</v>
      </c>
      <c r="C1043" s="16" t="s">
        <v>3868</v>
      </c>
      <c r="D1043" s="16" t="s">
        <v>184</v>
      </c>
      <c r="E1043" s="16" t="s">
        <v>234</v>
      </c>
      <c r="F1043" s="16" t="s">
        <v>255</v>
      </c>
      <c r="G1043" s="16" t="s">
        <v>347</v>
      </c>
      <c r="H1043" s="16" t="s">
        <v>382</v>
      </c>
    </row>
    <row r="1044" ht="24.75" customHeight="1">
      <c r="A1044" s="32" t="str">
        <f>IMAGE("https://gymvisual.com/1995-catalog_default/3-4-sit-up.jpg",4,500,500)</f>
        <v/>
      </c>
      <c r="B1044" s="30">
        <v>3043.0</v>
      </c>
      <c r="C1044" s="16" t="s">
        <v>3868</v>
      </c>
      <c r="D1044" s="16" t="s">
        <v>184</v>
      </c>
      <c r="E1044" s="16" t="s">
        <v>234</v>
      </c>
      <c r="F1044" s="16" t="s">
        <v>255</v>
      </c>
      <c r="G1044" s="16" t="s">
        <v>347</v>
      </c>
      <c r="H1044" s="16" t="s">
        <v>382</v>
      </c>
    </row>
    <row r="1045" ht="24.75" customHeight="1">
      <c r="A1045" s="32" t="str">
        <f>IMAGE("https://gymvisual.com/20755-catalog_default/3-4-sit-up.jpg",4,500,500)</f>
        <v/>
      </c>
      <c r="B1045" s="30">
        <v>3044.0</v>
      </c>
      <c r="C1045" s="16" t="s">
        <v>3869</v>
      </c>
      <c r="D1045" s="16" t="s">
        <v>184</v>
      </c>
      <c r="E1045" s="16" t="s">
        <v>234</v>
      </c>
      <c r="F1045" s="16" t="s">
        <v>316</v>
      </c>
      <c r="G1045" s="16" t="s">
        <v>347</v>
      </c>
      <c r="H1045" s="16" t="s">
        <v>382</v>
      </c>
    </row>
    <row r="1046" ht="24.75" customHeight="1">
      <c r="A1046" s="32" t="str">
        <f>IMAGE("https://gymvisual.com/4446-catalog_default/push-up-on-knees.jpg",4,500,500)</f>
        <v/>
      </c>
      <c r="B1046" s="30">
        <v>3045.0</v>
      </c>
      <c r="C1046" s="16" t="s">
        <v>3870</v>
      </c>
      <c r="D1046" s="16" t="s">
        <v>184</v>
      </c>
      <c r="E1046" s="16" t="s">
        <v>234</v>
      </c>
      <c r="F1046" s="16" t="s">
        <v>255</v>
      </c>
      <c r="G1046" s="16" t="s">
        <v>347</v>
      </c>
      <c r="H1046" s="16" t="s">
        <v>382</v>
      </c>
    </row>
    <row r="1047" ht="24.75" customHeight="1">
      <c r="A1047" s="32" t="str">
        <f>IMAGE("https://gymvisual.com/1965-catalog_default/3-4-sit-up.jpg",4,500,500)</f>
        <v/>
      </c>
      <c r="B1047" s="30">
        <v>3046.0</v>
      </c>
      <c r="C1047" s="16" t="s">
        <v>3871</v>
      </c>
      <c r="D1047" s="16" t="s">
        <v>184</v>
      </c>
      <c r="E1047" s="16" t="s">
        <v>234</v>
      </c>
      <c r="F1047" s="16" t="s">
        <v>399</v>
      </c>
      <c r="G1047" s="16" t="s">
        <v>347</v>
      </c>
      <c r="H1047" s="16" t="s">
        <v>382</v>
      </c>
    </row>
    <row r="1048" ht="24.75" customHeight="1">
      <c r="A1048" s="32" t="str">
        <f>IMAGE("https://gymvisual.com/1968-catalog_default/3-4-sit-up.jpg",4,500,500)</f>
        <v/>
      </c>
      <c r="B1048" s="30">
        <v>3047.0</v>
      </c>
      <c r="C1048" s="16" t="s">
        <v>3872</v>
      </c>
      <c r="D1048" s="16" t="s">
        <v>184</v>
      </c>
      <c r="E1048" s="16" t="s">
        <v>234</v>
      </c>
      <c r="F1048" s="16" t="s">
        <v>399</v>
      </c>
      <c r="G1048" s="16" t="s">
        <v>235</v>
      </c>
      <c r="H1048" s="16" t="s">
        <v>243</v>
      </c>
    </row>
    <row r="1049" ht="24.75" customHeight="1">
      <c r="A1049" s="32" t="str">
        <f>IMAGE("https://gymvisual.com/1971-catalog_default/3-4-sit-up.jpg",4,500,500)</f>
        <v/>
      </c>
      <c r="B1049" s="30">
        <v>3048.0</v>
      </c>
      <c r="C1049" s="16" t="s">
        <v>3873</v>
      </c>
      <c r="D1049" s="16" t="s">
        <v>184</v>
      </c>
      <c r="E1049" s="16" t="s">
        <v>234</v>
      </c>
      <c r="F1049" s="16" t="s">
        <v>399</v>
      </c>
      <c r="G1049" s="16" t="s">
        <v>347</v>
      </c>
      <c r="H1049" s="16" t="s">
        <v>382</v>
      </c>
    </row>
    <row r="1050" ht="24.75" customHeight="1">
      <c r="A1050" s="32" t="str">
        <f>IMAGE("https://gymvisual.com/1977-catalog_default/3-4-sit-up.jpg",4,500,500)</f>
        <v/>
      </c>
      <c r="B1050" s="30">
        <v>3049.0</v>
      </c>
      <c r="C1050" s="16" t="s">
        <v>3874</v>
      </c>
      <c r="D1050" s="16" t="s">
        <v>184</v>
      </c>
      <c r="E1050" s="16" t="s">
        <v>234</v>
      </c>
      <c r="F1050" s="16" t="s">
        <v>255</v>
      </c>
      <c r="G1050" s="16" t="s">
        <v>347</v>
      </c>
      <c r="H1050" s="16" t="s">
        <v>382</v>
      </c>
    </row>
    <row r="1051" ht="24.75" customHeight="1">
      <c r="A1051" s="32" t="str">
        <f>IMAGE("https://gymvisual.com/10768-catalog_default/push-up-wall-female.jpg",4,500,500)</f>
        <v/>
      </c>
      <c r="B1051" s="30">
        <v>3050.0</v>
      </c>
      <c r="C1051" s="16" t="s">
        <v>3875</v>
      </c>
      <c r="D1051" s="16" t="s">
        <v>184</v>
      </c>
      <c r="E1051" s="16" t="s">
        <v>234</v>
      </c>
      <c r="F1051" s="16" t="s">
        <v>255</v>
      </c>
      <c r="G1051" s="16" t="s">
        <v>235</v>
      </c>
      <c r="H1051" s="16" t="s">
        <v>243</v>
      </c>
    </row>
    <row r="1052" ht="24.75" customHeight="1">
      <c r="A1052" s="32" t="str">
        <f>IMAGE("https://gymvisual.com/1974-catalog_default/3-4-sit-up.jpg",4,500,500)</f>
        <v/>
      </c>
      <c r="B1052" s="30">
        <v>3051.0</v>
      </c>
      <c r="C1052" s="16" t="s">
        <v>3876</v>
      </c>
      <c r="D1052" s="16" t="s">
        <v>184</v>
      </c>
      <c r="E1052" s="16" t="s">
        <v>234</v>
      </c>
      <c r="F1052" s="16" t="s">
        <v>255</v>
      </c>
      <c r="G1052" s="16" t="s">
        <v>347</v>
      </c>
      <c r="H1052" s="16" t="s">
        <v>382</v>
      </c>
    </row>
    <row r="1053" ht="24.75" customHeight="1">
      <c r="A1053" s="32" t="str">
        <f>IMAGE("https://gymvisual.com/6502-catalog_default/push-up-with-push-up-handles.jpg",4,500,500)</f>
        <v/>
      </c>
      <c r="B1053" s="30">
        <v>3052.0</v>
      </c>
      <c r="C1053" s="16" t="s">
        <v>3877</v>
      </c>
      <c r="D1053" s="16" t="s">
        <v>184</v>
      </c>
      <c r="E1053" s="16" t="s">
        <v>234</v>
      </c>
      <c r="F1053" s="16" t="s">
        <v>255</v>
      </c>
      <c r="G1053" s="16" t="s">
        <v>347</v>
      </c>
      <c r="H1053" s="16" t="s">
        <v>382</v>
      </c>
    </row>
    <row r="1054" ht="24.75" customHeight="1">
      <c r="A1054" s="32" t="str">
        <f>IMAGE("https://gymvisual.com/10202-catalog_default/push-up-end-position-wrong-right.jpg",4,500,500)</f>
        <v/>
      </c>
      <c r="B1054" s="30">
        <v>3053.0</v>
      </c>
      <c r="C1054" s="16" t="s">
        <v>3878</v>
      </c>
      <c r="D1054" s="16" t="s">
        <v>184</v>
      </c>
      <c r="E1054" s="16" t="s">
        <v>234</v>
      </c>
      <c r="F1054" s="16" t="s">
        <v>255</v>
      </c>
      <c r="G1054" s="16" t="s">
        <v>220</v>
      </c>
      <c r="H1054" s="16" t="s">
        <v>220</v>
      </c>
    </row>
    <row r="1055" ht="24.75" customHeight="1">
      <c r="A1055" s="32" t="str">
        <f>IMAGE("https://gymvisual.com/10200-catalog_default/push-up-start-position-wrong-right.jpg",4,500,500)</f>
        <v/>
      </c>
      <c r="B1055" s="30">
        <v>3054.0</v>
      </c>
      <c r="C1055" s="16" t="s">
        <v>3879</v>
      </c>
      <c r="D1055" s="16" t="s">
        <v>184</v>
      </c>
      <c r="E1055" s="16" t="s">
        <v>234</v>
      </c>
      <c r="F1055" s="16" t="s">
        <v>255</v>
      </c>
      <c r="G1055" s="16" t="s">
        <v>220</v>
      </c>
      <c r="H1055" s="16" t="s">
        <v>220</v>
      </c>
    </row>
    <row r="1056" ht="24.75" customHeight="1">
      <c r="A1056" s="32" t="str">
        <f>IMAGE("https://gymvisual.com/22291-catalog_default/push-up-and-triceps-dip-on-parallel-bars.jpg",4,500,500)</f>
        <v/>
      </c>
      <c r="B1056" s="30">
        <v>3055.0</v>
      </c>
      <c r="C1056" s="16" t="s">
        <v>3880</v>
      </c>
      <c r="D1056" s="16" t="s">
        <v>184</v>
      </c>
      <c r="E1056" s="16" t="s">
        <v>234</v>
      </c>
      <c r="F1056" s="16" t="s">
        <v>255</v>
      </c>
      <c r="G1056" s="16" t="s">
        <v>220</v>
      </c>
      <c r="H1056" s="16" t="s">
        <v>220</v>
      </c>
    </row>
    <row r="1057" ht="24.75" customHeight="1">
      <c r="A1057" s="32" t="str">
        <f>IMAGE("https://gymvisual.com/1980-catalog_default/3-4-sit-up.jpg",4,500,500)</f>
        <v/>
      </c>
      <c r="B1057" s="30">
        <v>3056.0</v>
      </c>
      <c r="C1057" s="16" t="s">
        <v>3881</v>
      </c>
      <c r="D1057" s="16" t="s">
        <v>184</v>
      </c>
      <c r="E1057" s="16" t="s">
        <v>228</v>
      </c>
      <c r="F1057" s="16" t="s">
        <v>222</v>
      </c>
      <c r="G1057" s="16" t="s">
        <v>223</v>
      </c>
      <c r="H1057" s="16" t="s">
        <v>472</v>
      </c>
    </row>
    <row r="1058" ht="24.75" customHeight="1">
      <c r="A1058" s="32" t="str">
        <f>IMAGE("https://gymvisual.com/20692-catalog_default/push-up-hand-by-hand.jpg",4,500,500)</f>
        <v/>
      </c>
      <c r="B1058" s="30">
        <v>3057.0</v>
      </c>
      <c r="C1058" s="16" t="s">
        <v>3882</v>
      </c>
      <c r="D1058" s="16" t="s">
        <v>184</v>
      </c>
      <c r="E1058" s="16" t="s">
        <v>1894</v>
      </c>
      <c r="F1058" s="16" t="s">
        <v>255</v>
      </c>
      <c r="G1058" s="16" t="s">
        <v>2400</v>
      </c>
      <c r="H1058" s="16" t="s">
        <v>229</v>
      </c>
    </row>
    <row r="1059" ht="24.75" customHeight="1">
      <c r="A1059" s="32" t="str">
        <f>IMAGE("https://gymvisual.com/24669-catalog_default/push-up-in-child-pose.jpg",4,500,500)</f>
        <v/>
      </c>
      <c r="B1059" s="30">
        <v>3058.0</v>
      </c>
      <c r="C1059" s="16" t="s">
        <v>3883</v>
      </c>
      <c r="D1059" s="16" t="s">
        <v>184</v>
      </c>
      <c r="E1059" s="16" t="s">
        <v>234</v>
      </c>
      <c r="F1059" s="16" t="s">
        <v>255</v>
      </c>
      <c r="G1059" s="16" t="s">
        <v>220</v>
      </c>
      <c r="H1059" s="16" t="s">
        <v>220</v>
      </c>
    </row>
    <row r="1060" ht="24.75" customHeight="1">
      <c r="A1060" s="32" t="str">
        <f>IMAGE("https://gymvisual.com/1983-catalog_default/3-4-sit-up.jpg",4,500,500)</f>
        <v/>
      </c>
      <c r="B1060" s="30">
        <v>3059.0</v>
      </c>
      <c r="C1060" s="16" t="s">
        <v>3884</v>
      </c>
      <c r="D1060" s="16" t="s">
        <v>184</v>
      </c>
      <c r="E1060" s="16" t="s">
        <v>185</v>
      </c>
      <c r="F1060" s="16" t="s">
        <v>255</v>
      </c>
      <c r="G1060" s="16" t="s">
        <v>3885</v>
      </c>
      <c r="H1060" s="16" t="s">
        <v>382</v>
      </c>
    </row>
    <row r="1061" ht="24.75" customHeight="1">
      <c r="A1061" s="32" t="str">
        <f>IMAGE("https://gymvisual.com/24671-catalog_default/push-up-jack.jpg",4,500,500)</f>
        <v/>
      </c>
      <c r="B1061" s="30">
        <v>3060.0</v>
      </c>
      <c r="C1061" s="16" t="s">
        <v>3886</v>
      </c>
      <c r="D1061" s="16" t="s">
        <v>184</v>
      </c>
      <c r="E1061" s="16" t="s">
        <v>234</v>
      </c>
      <c r="F1061" s="16" t="s">
        <v>255</v>
      </c>
      <c r="G1061" s="16" t="s">
        <v>220</v>
      </c>
      <c r="H1061" s="16" t="s">
        <v>220</v>
      </c>
    </row>
    <row r="1062" ht="24.75" customHeight="1">
      <c r="A1062" s="32" t="str">
        <f>IMAGE("https://gymvisual.com/1989-catalog_default/3-4-sit-up.jpg",4,500,500)</f>
        <v/>
      </c>
      <c r="B1062" s="30">
        <v>3061.0</v>
      </c>
      <c r="C1062" s="16" t="s">
        <v>3887</v>
      </c>
      <c r="D1062" s="16" t="s">
        <v>184</v>
      </c>
      <c r="E1062" s="16" t="s">
        <v>234</v>
      </c>
      <c r="F1062" s="16" t="s">
        <v>373</v>
      </c>
      <c r="G1062" s="16" t="s">
        <v>347</v>
      </c>
      <c r="H1062" s="16" t="s">
        <v>382</v>
      </c>
    </row>
    <row r="1063" ht="24.75" customHeight="1">
      <c r="A1063" s="32" t="str">
        <f>IMAGE("https://gymvisual.com/6401-catalog_default/push-up-on-forearms.jpg",4,500,500)</f>
        <v/>
      </c>
      <c r="B1063" s="30">
        <v>3062.0</v>
      </c>
      <c r="C1063" s="16" t="s">
        <v>3888</v>
      </c>
      <c r="D1063" s="16" t="s">
        <v>184</v>
      </c>
      <c r="E1063" s="16" t="s">
        <v>219</v>
      </c>
      <c r="F1063" s="16" t="s">
        <v>255</v>
      </c>
      <c r="G1063" s="16" t="s">
        <v>223</v>
      </c>
      <c r="H1063" s="16" t="s">
        <v>472</v>
      </c>
    </row>
    <row r="1064" ht="24.75" customHeight="1">
      <c r="A1064" s="32" t="str">
        <f>IMAGE("https://gymvisual.com/12551-catalog_default/push-up-plus.jpg",4,500,500)</f>
        <v/>
      </c>
      <c r="B1064" s="30">
        <v>3063.0</v>
      </c>
      <c r="C1064" s="16" t="s">
        <v>3889</v>
      </c>
      <c r="D1064" s="16" t="s">
        <v>184</v>
      </c>
      <c r="E1064" s="16" t="s">
        <v>234</v>
      </c>
      <c r="F1064" s="16" t="s">
        <v>255</v>
      </c>
      <c r="G1064" s="16" t="s">
        <v>3890</v>
      </c>
      <c r="H1064" s="16" t="s">
        <v>3891</v>
      </c>
    </row>
    <row r="1065" ht="24.75" customHeight="1">
      <c r="A1065" s="32" t="str">
        <f>IMAGE("https://gymvisual.com/12552-catalog_default/push-up-plus-female.jpg",4,500,500)</f>
        <v/>
      </c>
      <c r="B1065" s="30">
        <v>3064.0</v>
      </c>
      <c r="C1065" s="16" t="s">
        <v>3892</v>
      </c>
      <c r="D1065" s="16" t="s">
        <v>184</v>
      </c>
      <c r="E1065" s="16" t="s">
        <v>234</v>
      </c>
      <c r="F1065" s="16" t="s">
        <v>255</v>
      </c>
      <c r="G1065" s="16" t="s">
        <v>3890</v>
      </c>
      <c r="H1065" s="16" t="s">
        <v>3891</v>
      </c>
    </row>
    <row r="1066" ht="24.75" customHeight="1">
      <c r="A1066" s="32" t="str">
        <f>IMAGE("https://gymvisual.com/14177-catalog_default/3-4-sit-up.jpg",4,500,500)</f>
        <v/>
      </c>
      <c r="B1066" s="30">
        <v>3065.0</v>
      </c>
      <c r="C1066" s="16" t="s">
        <v>3893</v>
      </c>
      <c r="D1066" s="16" t="s">
        <v>184</v>
      </c>
      <c r="E1066" s="16" t="s">
        <v>234</v>
      </c>
      <c r="F1066" s="16" t="s">
        <v>255</v>
      </c>
      <c r="G1066" s="16" t="s">
        <v>1874</v>
      </c>
      <c r="H1066" s="16" t="s">
        <v>3894</v>
      </c>
    </row>
    <row r="1067" ht="24.75" customHeight="1">
      <c r="A1067" s="32" t="str">
        <f>IMAGE("https://gymvisual.com/22402-catalog_default/push-up-to-side-plank-version-2.jpg",4,500,500)</f>
        <v/>
      </c>
      <c r="B1067" s="30">
        <v>3066.0</v>
      </c>
      <c r="C1067" s="16" t="s">
        <v>3895</v>
      </c>
      <c r="D1067" s="16" t="s">
        <v>184</v>
      </c>
      <c r="E1067" s="16" t="s">
        <v>234</v>
      </c>
      <c r="F1067" s="16" t="s">
        <v>255</v>
      </c>
      <c r="G1067" s="16" t="s">
        <v>220</v>
      </c>
      <c r="H1067" s="16" t="s">
        <v>220</v>
      </c>
    </row>
    <row r="1068" ht="24.75" customHeight="1">
      <c r="A1068" s="32" t="str">
        <f>IMAGE("https://gymvisual.com/22404-catalog_default/push-up-with-knee-drive.jpg",4,500,500)</f>
        <v/>
      </c>
      <c r="B1068" s="30">
        <v>3067.0</v>
      </c>
      <c r="C1068" s="16" t="s">
        <v>3896</v>
      </c>
      <c r="D1068" s="16" t="s">
        <v>184</v>
      </c>
      <c r="E1068" s="16" t="s">
        <v>254</v>
      </c>
      <c r="F1068" s="16" t="s">
        <v>255</v>
      </c>
      <c r="G1068" s="16" t="s">
        <v>220</v>
      </c>
      <c r="H1068" s="16" t="s">
        <v>220</v>
      </c>
    </row>
    <row r="1069" ht="24.75" customHeight="1">
      <c r="A1069" s="32" t="str">
        <f>IMAGE("https://gymvisual.com/23617-catalog_default/pvc-external-rotation.jpg",4,500,500)</f>
        <v/>
      </c>
      <c r="B1069" s="30">
        <v>3068.0</v>
      </c>
      <c r="C1069" s="16" t="s">
        <v>3897</v>
      </c>
      <c r="D1069" s="16" t="s">
        <v>184</v>
      </c>
      <c r="E1069" s="16" t="s">
        <v>192</v>
      </c>
      <c r="F1069" s="16" t="s">
        <v>255</v>
      </c>
      <c r="G1069" s="16" t="s">
        <v>3898</v>
      </c>
      <c r="H1069" s="16" t="s">
        <v>220</v>
      </c>
    </row>
    <row r="1070" ht="24.75" customHeight="1">
      <c r="A1070" s="32" t="str">
        <f>IMAGE("https://gymvisual.com/22608-catalog_default/pvc-good-morning.jpg",4,500,500)</f>
        <v/>
      </c>
      <c r="B1070" s="30">
        <v>3069.0</v>
      </c>
      <c r="C1070" s="16" t="s">
        <v>3899</v>
      </c>
      <c r="D1070" s="16" t="s">
        <v>184</v>
      </c>
      <c r="E1070" s="16" t="s">
        <v>185</v>
      </c>
      <c r="F1070" s="16" t="s">
        <v>727</v>
      </c>
      <c r="G1070" s="16" t="s">
        <v>188</v>
      </c>
      <c r="H1070" s="16" t="s">
        <v>857</v>
      </c>
    </row>
    <row r="1071" ht="24.75" customHeight="1">
      <c r="A1071" s="32" t="str">
        <f>IMAGE("https://gymvisual.com/22612-catalog_default/pvc-hip-hinge.jpg",4,500,500)</f>
        <v/>
      </c>
      <c r="B1071" s="30">
        <v>3070.0</v>
      </c>
      <c r="C1071" s="16" t="s">
        <v>3900</v>
      </c>
      <c r="D1071" s="16" t="s">
        <v>184</v>
      </c>
      <c r="E1071" s="16" t="s">
        <v>185</v>
      </c>
      <c r="F1071" s="16" t="s">
        <v>727</v>
      </c>
      <c r="G1071" s="16" t="s">
        <v>187</v>
      </c>
      <c r="H1071" s="16" t="s">
        <v>188</v>
      </c>
    </row>
    <row r="1072" ht="24.75" customHeight="1">
      <c r="A1072" s="32" t="str">
        <f>IMAGE("https://gymvisual.com/23621-catalog_default/pvc-overhead-squat.jpg",4,500,500)</f>
        <v/>
      </c>
      <c r="B1072" s="30">
        <v>3071.0</v>
      </c>
      <c r="C1072" s="16" t="s">
        <v>3901</v>
      </c>
      <c r="D1072" s="16" t="s">
        <v>184</v>
      </c>
      <c r="E1072" s="16" t="s">
        <v>285</v>
      </c>
      <c r="F1072" s="16" t="s">
        <v>255</v>
      </c>
      <c r="G1072" s="16" t="s">
        <v>189</v>
      </c>
      <c r="H1072" s="16" t="s">
        <v>190</v>
      </c>
    </row>
    <row r="1073" ht="24.75" customHeight="1">
      <c r="A1073" s="32" t="str">
        <f>IMAGE("https://gymvisual.com/23623-catalog_default/pvc-pass-through.jpg",4,500,500)</f>
        <v/>
      </c>
      <c r="B1073" s="30">
        <v>3072.0</v>
      </c>
      <c r="C1073" s="16" t="s">
        <v>3902</v>
      </c>
      <c r="D1073" s="16" t="s">
        <v>184</v>
      </c>
      <c r="E1073" s="16" t="s">
        <v>228</v>
      </c>
      <c r="F1073" s="16" t="s">
        <v>255</v>
      </c>
      <c r="G1073" s="16" t="s">
        <v>333</v>
      </c>
      <c r="H1073" s="16" t="s">
        <v>3903</v>
      </c>
    </row>
    <row r="1074" ht="24.75" customHeight="1">
      <c r="A1074" s="32" t="str">
        <f>IMAGE("https://gymvisual.com/22823-catalog_default/quadruped-leg-curl.jpg",4,500,500)</f>
        <v/>
      </c>
      <c r="B1074" s="30">
        <v>3073.0</v>
      </c>
      <c r="C1074" s="16" t="s">
        <v>3904</v>
      </c>
      <c r="D1074" s="16" t="s">
        <v>184</v>
      </c>
      <c r="E1074" s="16" t="s">
        <v>285</v>
      </c>
      <c r="F1074" s="16" t="s">
        <v>255</v>
      </c>
      <c r="G1074" s="16" t="s">
        <v>188</v>
      </c>
      <c r="H1074" s="16" t="s">
        <v>665</v>
      </c>
    </row>
    <row r="1075" ht="24.75" customHeight="1">
      <c r="A1075" s="32" t="str">
        <f>IMAGE("https://gymvisual.com/12877-catalog_default/quarter-sit-up.jpg",4,500,500)</f>
        <v/>
      </c>
      <c r="B1075" s="30">
        <v>3074.0</v>
      </c>
      <c r="C1075" s="16" t="s">
        <v>3905</v>
      </c>
      <c r="D1075" s="16" t="s">
        <v>184</v>
      </c>
      <c r="E1075" s="16" t="s">
        <v>254</v>
      </c>
      <c r="F1075" s="16" t="s">
        <v>255</v>
      </c>
      <c r="G1075" s="16" t="s">
        <v>256</v>
      </c>
      <c r="H1075" s="16" t="s">
        <v>257</v>
      </c>
    </row>
    <row r="1076" ht="24.75" customHeight="1">
      <c r="A1076" s="32" t="str">
        <f>IMAGE("https://gymvisual.com/1998-catalog_default/3-4-sit-up.jpg",4,500,500)</f>
        <v/>
      </c>
      <c r="B1076" s="30">
        <v>3075.0</v>
      </c>
      <c r="C1076" s="16" t="s">
        <v>3906</v>
      </c>
      <c r="D1076" s="16" t="s">
        <v>184</v>
      </c>
      <c r="E1076" s="16" t="s">
        <v>234</v>
      </c>
      <c r="F1076" s="16" t="s">
        <v>255</v>
      </c>
      <c r="G1076" s="16" t="s">
        <v>347</v>
      </c>
      <c r="H1076" s="16" t="s">
        <v>3907</v>
      </c>
    </row>
    <row r="1077" ht="24.75" customHeight="1">
      <c r="A1077" s="32" t="str">
        <f>IMAGE("https://gymvisual.com/2001-catalog_default/3-4-sit-up.jpg",4,500,500)</f>
        <v/>
      </c>
      <c r="B1077" s="30">
        <v>3076.0</v>
      </c>
      <c r="C1077" s="16" t="s">
        <v>3908</v>
      </c>
      <c r="D1077" s="16" t="s">
        <v>184</v>
      </c>
      <c r="E1077" s="16" t="s">
        <v>234</v>
      </c>
      <c r="F1077" s="16" t="s">
        <v>255</v>
      </c>
      <c r="G1077" s="16" t="s">
        <v>347</v>
      </c>
      <c r="H1077" s="16" t="s">
        <v>3909</v>
      </c>
    </row>
    <row r="1078" ht="24.75" customHeight="1">
      <c r="A1078" s="32" t="str">
        <f>IMAGE("https://gymvisual.com/25118-catalog_default/3-4-sit-up.jpg",4,500,500)</f>
        <v/>
      </c>
      <c r="B1078" s="30">
        <v>3077.0</v>
      </c>
      <c r="C1078" s="16" t="s">
        <v>3910</v>
      </c>
      <c r="D1078" s="16" t="s">
        <v>184</v>
      </c>
      <c r="E1078" s="16" t="s">
        <v>254</v>
      </c>
      <c r="F1078" s="16" t="s">
        <v>255</v>
      </c>
      <c r="G1078" s="16" t="s">
        <v>187</v>
      </c>
      <c r="H1078" s="16" t="s">
        <v>854</v>
      </c>
    </row>
    <row r="1079" ht="24.75" customHeight="1">
      <c r="A1079" s="32" t="str">
        <f>IMAGE("https://gymvisual.com/16530-catalog_default/rear-delt-fly-with-bed-sheet.jpg",4,500,500)</f>
        <v/>
      </c>
      <c r="B1079" s="30">
        <v>3078.0</v>
      </c>
      <c r="C1079" s="16" t="s">
        <v>3911</v>
      </c>
      <c r="D1079" s="16" t="s">
        <v>184</v>
      </c>
      <c r="E1079" s="16" t="s">
        <v>228</v>
      </c>
      <c r="F1079" s="16" t="s">
        <v>255</v>
      </c>
      <c r="G1079" s="16" t="s">
        <v>408</v>
      </c>
      <c r="H1079" s="16" t="s">
        <v>452</v>
      </c>
    </row>
    <row r="1080" ht="24.75" customHeight="1">
      <c r="A1080" s="32" t="str">
        <f>IMAGE("https://gymvisual.com/16534-catalog_default/rear-delt-row-with-bed-sheet.jpg",4,500,500)</f>
        <v/>
      </c>
      <c r="B1080" s="30">
        <v>3079.0</v>
      </c>
      <c r="C1080" s="16" t="s">
        <v>3912</v>
      </c>
      <c r="D1080" s="16" t="s">
        <v>184</v>
      </c>
      <c r="E1080" s="16" t="s">
        <v>192</v>
      </c>
      <c r="F1080" s="16" t="s">
        <v>255</v>
      </c>
      <c r="G1080" s="16" t="s">
        <v>329</v>
      </c>
      <c r="H1080" s="16" t="s">
        <v>447</v>
      </c>
    </row>
    <row r="1081" ht="24.75" customHeight="1">
      <c r="A1081" s="32" t="str">
        <f>IMAGE("https://gymvisual.com/20986-catalog_default/rear-lunge-from-deficit.jpg",4,500,500)</f>
        <v/>
      </c>
      <c r="B1081" s="30">
        <v>3080.0</v>
      </c>
      <c r="C1081" s="16" t="s">
        <v>3913</v>
      </c>
      <c r="D1081" s="16" t="s">
        <v>184</v>
      </c>
      <c r="E1081" s="16" t="s">
        <v>294</v>
      </c>
      <c r="F1081" s="16" t="s">
        <v>255</v>
      </c>
      <c r="G1081" s="16" t="s">
        <v>189</v>
      </c>
      <c r="H1081" s="16" t="s">
        <v>190</v>
      </c>
    </row>
    <row r="1082" ht="24.75" customHeight="1">
      <c r="A1082" s="32" t="str">
        <f>IMAGE("https://gymvisual.com/12198-catalog_default/rear-lunge-with-battling-ropes.jpg",4,500,500)</f>
        <v/>
      </c>
      <c r="B1082" s="30">
        <v>3081.0</v>
      </c>
      <c r="C1082" s="16" t="s">
        <v>3914</v>
      </c>
      <c r="D1082" s="16" t="s">
        <v>184</v>
      </c>
      <c r="E1082" s="16" t="s">
        <v>321</v>
      </c>
      <c r="F1082" s="16" t="s">
        <v>1160</v>
      </c>
      <c r="G1082" s="16" t="s">
        <v>220</v>
      </c>
      <c r="H1082" s="16" t="s">
        <v>220</v>
      </c>
    </row>
    <row r="1083" ht="24.75" customHeight="1">
      <c r="A1083" s="32" t="str">
        <f>IMAGE("https://gymvisual.com/2010-catalog_default/3-4-sit-up.jpg",4,500,500)</f>
        <v/>
      </c>
      <c r="B1083" s="30">
        <v>3082.0</v>
      </c>
      <c r="C1083" s="16" t="s">
        <v>3915</v>
      </c>
      <c r="D1083" s="16" t="s">
        <v>184</v>
      </c>
      <c r="E1083" s="16" t="s">
        <v>192</v>
      </c>
      <c r="F1083" s="16" t="s">
        <v>255</v>
      </c>
      <c r="G1083" s="16" t="s">
        <v>300</v>
      </c>
      <c r="H1083" s="16" t="s">
        <v>3916</v>
      </c>
    </row>
    <row r="1084" ht="24.75" customHeight="1">
      <c r="A1084" s="32" t="str">
        <f>IMAGE("https://gymvisual.com/24770-catalog_default/rear-shift-lunge-from-deficit.jpg",4,500,500)</f>
        <v/>
      </c>
      <c r="B1084" s="30">
        <v>3083.0</v>
      </c>
      <c r="C1084" s="16" t="s">
        <v>3917</v>
      </c>
      <c r="D1084" s="16" t="s">
        <v>184</v>
      </c>
      <c r="E1084" s="16" t="s">
        <v>285</v>
      </c>
      <c r="F1084" s="16" t="s">
        <v>255</v>
      </c>
      <c r="G1084" s="16" t="s">
        <v>220</v>
      </c>
      <c r="H1084" s="16" t="s">
        <v>220</v>
      </c>
    </row>
    <row r="1085" ht="24.75" customHeight="1">
      <c r="A1085" s="32" t="str">
        <f>IMAGE("https://gymvisual.com/17749-catalog_default/resistance-band-45-degrees-hyperextension.jpg",4,500,500)</f>
        <v/>
      </c>
      <c r="B1085" s="30">
        <v>3084.0</v>
      </c>
      <c r="C1085" s="16" t="s">
        <v>3918</v>
      </c>
      <c r="D1085" s="16" t="s">
        <v>184</v>
      </c>
      <c r="E1085" s="16" t="s">
        <v>185</v>
      </c>
      <c r="F1085" s="16" t="s">
        <v>523</v>
      </c>
      <c r="G1085" s="16" t="s">
        <v>220</v>
      </c>
      <c r="H1085" s="16" t="s">
        <v>220</v>
      </c>
    </row>
    <row r="1086" ht="24.75" customHeight="1">
      <c r="A1086" s="32" t="str">
        <f>IMAGE("https://gymvisual.com/17919-catalog_default/resistance-band-adduction-split-squat-male.jpg",4,500,500)</f>
        <v/>
      </c>
      <c r="B1086" s="30">
        <v>3085.0</v>
      </c>
      <c r="C1086" s="16" t="s">
        <v>3919</v>
      </c>
      <c r="D1086" s="16" t="s">
        <v>184</v>
      </c>
      <c r="E1086" s="16" t="s">
        <v>285</v>
      </c>
      <c r="F1086" s="16" t="s">
        <v>523</v>
      </c>
      <c r="G1086" s="16" t="s">
        <v>220</v>
      </c>
      <c r="H1086" s="16" t="s">
        <v>220</v>
      </c>
    </row>
    <row r="1087" ht="24.75" customHeight="1">
      <c r="A1087" s="32" t="str">
        <f>IMAGE("https://gymvisual.com/10503-catalog_default/resistance-band-air-bike.jpg",4,500,500)</f>
        <v/>
      </c>
      <c r="B1087" s="30">
        <v>3086.0</v>
      </c>
      <c r="C1087" s="16" t="s">
        <v>3920</v>
      </c>
      <c r="D1087" s="16" t="s">
        <v>184</v>
      </c>
      <c r="E1087" s="16" t="s">
        <v>254</v>
      </c>
      <c r="F1087" s="16" t="s">
        <v>523</v>
      </c>
      <c r="G1087" s="16" t="s">
        <v>1328</v>
      </c>
      <c r="H1087" s="16" t="s">
        <v>3921</v>
      </c>
    </row>
    <row r="1088" ht="24.75" customHeight="1">
      <c r="A1088" s="32" t="str">
        <f>IMAGE("https://gymvisual.com/17731-catalog_default/resistance-band-anti-rotation-dead-bug.jpg",4,500,500)</f>
        <v/>
      </c>
      <c r="B1088" s="30">
        <v>3087.0</v>
      </c>
      <c r="C1088" s="16" t="s">
        <v>3922</v>
      </c>
      <c r="D1088" s="16" t="s">
        <v>184</v>
      </c>
      <c r="E1088" s="16" t="s">
        <v>254</v>
      </c>
      <c r="F1088" s="16" t="s">
        <v>523</v>
      </c>
      <c r="G1088" s="16" t="s">
        <v>220</v>
      </c>
      <c r="H1088" s="16" t="s">
        <v>220</v>
      </c>
    </row>
    <row r="1089" ht="24.75" customHeight="1">
      <c r="A1089" s="32" t="str">
        <f>IMAGE("https://gymvisual.com/18043-catalog_default/resistance-band-assisted-nordic-hamstring-curl.jpg",4,500,500)</f>
        <v/>
      </c>
      <c r="B1089" s="30">
        <v>3088.0</v>
      </c>
      <c r="C1089" s="16" t="s">
        <v>3923</v>
      </c>
      <c r="D1089" s="16" t="s">
        <v>184</v>
      </c>
      <c r="E1089" s="16" t="s">
        <v>285</v>
      </c>
      <c r="F1089" s="16" t="s">
        <v>523</v>
      </c>
      <c r="G1089" s="16" t="s">
        <v>220</v>
      </c>
      <c r="H1089" s="16" t="s">
        <v>220</v>
      </c>
    </row>
    <row r="1090" ht="24.75" customHeight="1">
      <c r="A1090" s="32" t="str">
        <f>IMAGE("https://gymvisual.com/8785-catalog_default/resistance-band-bent-leg-kickback-kneeling.jpg",4,500,500)</f>
        <v/>
      </c>
      <c r="B1090" s="30">
        <v>3089.0</v>
      </c>
      <c r="C1090" s="16" t="s">
        <v>3924</v>
      </c>
      <c r="D1090" s="16" t="s">
        <v>184</v>
      </c>
      <c r="E1090" s="16" t="s">
        <v>185</v>
      </c>
      <c r="F1090" s="16" t="s">
        <v>523</v>
      </c>
      <c r="G1090" s="16" t="s">
        <v>187</v>
      </c>
      <c r="H1090" s="16" t="s">
        <v>188</v>
      </c>
    </row>
    <row r="1091" ht="24.75" customHeight="1">
      <c r="A1091" s="32" t="str">
        <f>IMAGE("https://gymvisual.com/10501-catalog_default/resistance-band-bent-leg-side-kick-kneeling.jpg",4,500,500)</f>
        <v/>
      </c>
      <c r="B1091" s="30">
        <v>3090.0</v>
      </c>
      <c r="C1091" s="16" t="s">
        <v>3925</v>
      </c>
      <c r="D1091" s="16" t="s">
        <v>184</v>
      </c>
      <c r="E1091" s="16" t="s">
        <v>185</v>
      </c>
      <c r="F1091" s="16" t="s">
        <v>523</v>
      </c>
      <c r="G1091" s="16" t="s">
        <v>475</v>
      </c>
      <c r="H1091" s="16" t="s">
        <v>1206</v>
      </c>
    </row>
    <row r="1092" ht="24.75" customHeight="1">
      <c r="A1092" s="32" t="str">
        <f>IMAGE("https://gymvisual.com/19229-catalog_default/resistance-band-bent-over-neutral-grip-row.jpg",4,500,500)</f>
        <v/>
      </c>
      <c r="B1092" s="30">
        <v>3091.0</v>
      </c>
      <c r="C1092" s="16" t="s">
        <v>3926</v>
      </c>
      <c r="D1092" s="16" t="s">
        <v>184</v>
      </c>
      <c r="E1092" s="16" t="s">
        <v>192</v>
      </c>
      <c r="F1092" s="16" t="s">
        <v>523</v>
      </c>
      <c r="G1092" s="16" t="s">
        <v>329</v>
      </c>
      <c r="H1092" s="16" t="s">
        <v>357</v>
      </c>
    </row>
    <row r="1093" ht="24.75" customHeight="1">
      <c r="A1093" s="32" t="str">
        <f>IMAGE("https://gymvisual.com/17929-catalog_default/resistance-band-bent-over-rear-delt-fly-male.jpg",4,500,500)</f>
        <v/>
      </c>
      <c r="B1093" s="30">
        <v>3092.0</v>
      </c>
      <c r="C1093" s="16" t="s">
        <v>3927</v>
      </c>
      <c r="D1093" s="16" t="s">
        <v>184</v>
      </c>
      <c r="E1093" s="16" t="s">
        <v>228</v>
      </c>
      <c r="F1093" s="16" t="s">
        <v>523</v>
      </c>
      <c r="G1093" s="16" t="s">
        <v>220</v>
      </c>
      <c r="H1093" s="16" t="s">
        <v>220</v>
      </c>
    </row>
    <row r="1094" ht="24.75" customHeight="1">
      <c r="A1094" s="32" t="str">
        <f>IMAGE("https://gymvisual.com/17715-catalog_default/resistance-band-bent-over-row.jpg",4,500,500)</f>
        <v/>
      </c>
      <c r="B1094" s="30">
        <v>3093.0</v>
      </c>
      <c r="C1094" s="16" t="s">
        <v>3928</v>
      </c>
      <c r="D1094" s="16" t="s">
        <v>184</v>
      </c>
      <c r="E1094" s="16" t="s">
        <v>192</v>
      </c>
      <c r="F1094" s="16" t="s">
        <v>523</v>
      </c>
      <c r="G1094" s="16" t="s">
        <v>220</v>
      </c>
      <c r="H1094" s="16" t="s">
        <v>220</v>
      </c>
    </row>
    <row r="1095" ht="24.75" customHeight="1">
      <c r="A1095" s="32" t="str">
        <f>IMAGE("https://gymvisual.com/14032-catalog_default/resistance-band-bird-dog.jpg",4,500,500)</f>
        <v/>
      </c>
      <c r="B1095" s="30">
        <v>3094.0</v>
      </c>
      <c r="C1095" s="16" t="s">
        <v>3929</v>
      </c>
      <c r="D1095" s="16" t="s">
        <v>184</v>
      </c>
      <c r="E1095" s="16" t="s">
        <v>185</v>
      </c>
      <c r="F1095" s="16" t="s">
        <v>523</v>
      </c>
      <c r="G1095" s="16" t="s">
        <v>267</v>
      </c>
      <c r="H1095" s="16" t="s">
        <v>220</v>
      </c>
    </row>
    <row r="1096" ht="24.75" customHeight="1">
      <c r="A1096" s="32" t="str">
        <f>IMAGE("https://gymvisual.com/17713-catalog_default/resistance-band-cable-squat.jpg",4,500,500)</f>
        <v/>
      </c>
      <c r="B1096" s="30">
        <v>3095.0</v>
      </c>
      <c r="C1096" s="16" t="s">
        <v>3930</v>
      </c>
      <c r="D1096" s="16" t="s">
        <v>184</v>
      </c>
      <c r="E1096" s="16" t="s">
        <v>285</v>
      </c>
      <c r="F1096" s="16" t="s">
        <v>215</v>
      </c>
      <c r="G1096" s="16" t="s">
        <v>220</v>
      </c>
      <c r="H1096" s="16" t="s">
        <v>220</v>
      </c>
    </row>
    <row r="1097" ht="24.75" customHeight="1">
      <c r="A1097" s="32" t="str">
        <f>IMAGE("https://gymvisual.com/10508-catalog_default/resistance-band-calf-raise.jpg",4,500,500)</f>
        <v/>
      </c>
      <c r="B1097" s="30">
        <v>3096.0</v>
      </c>
      <c r="C1097" s="16" t="s">
        <v>3931</v>
      </c>
      <c r="D1097" s="16" t="s">
        <v>184</v>
      </c>
      <c r="E1097" s="16" t="s">
        <v>325</v>
      </c>
      <c r="F1097" s="16" t="s">
        <v>523</v>
      </c>
      <c r="G1097" s="16" t="s">
        <v>368</v>
      </c>
      <c r="H1097" s="16" t="s">
        <v>463</v>
      </c>
    </row>
    <row r="1098" ht="24.75" customHeight="1">
      <c r="A1098" s="32" t="str">
        <f>IMAGE("https://gymvisual.com/8786-catalog_default/resistance-band-clam.jpg",4,500,500)</f>
        <v/>
      </c>
      <c r="B1098" s="30">
        <v>3097.0</v>
      </c>
      <c r="C1098" s="16" t="s">
        <v>3932</v>
      </c>
      <c r="D1098" s="16" t="s">
        <v>184</v>
      </c>
      <c r="E1098" s="16" t="s">
        <v>185</v>
      </c>
      <c r="F1098" s="16" t="s">
        <v>523</v>
      </c>
      <c r="G1098" s="16" t="s">
        <v>475</v>
      </c>
      <c r="H1098" s="16" t="s">
        <v>476</v>
      </c>
    </row>
    <row r="1099" ht="24.75" customHeight="1">
      <c r="A1099" s="32" t="str">
        <f>IMAGE("https://gymvisual.com/17673-catalog_default/resistance-band-deadlift-with-single-arm-row.jpg",4,500,500)</f>
        <v/>
      </c>
      <c r="B1099" s="30">
        <v>3098.0</v>
      </c>
      <c r="C1099" s="16" t="s">
        <v>3933</v>
      </c>
      <c r="D1099" s="16" t="s">
        <v>184</v>
      </c>
      <c r="E1099" s="16" t="s">
        <v>192</v>
      </c>
      <c r="F1099" s="16" t="s">
        <v>523</v>
      </c>
      <c r="G1099" s="16" t="s">
        <v>220</v>
      </c>
      <c r="H1099" s="16" t="s">
        <v>220</v>
      </c>
    </row>
    <row r="1100" ht="24.75" customHeight="1">
      <c r="A1100" s="32" t="str">
        <f>IMAGE("https://gymvisual.com/19515-catalog_default/resistance-band-elevated-glute-bridge.jpg",4,500,500)</f>
        <v/>
      </c>
      <c r="B1100" s="30">
        <v>3099.0</v>
      </c>
      <c r="C1100" s="16" t="s">
        <v>3934</v>
      </c>
      <c r="D1100" s="16" t="s">
        <v>184</v>
      </c>
      <c r="E1100" s="16" t="s">
        <v>185</v>
      </c>
      <c r="F1100" s="16" t="s">
        <v>523</v>
      </c>
      <c r="G1100" s="16" t="s">
        <v>220</v>
      </c>
      <c r="H1100" s="16" t="s">
        <v>220</v>
      </c>
    </row>
    <row r="1101" ht="24.75" customHeight="1">
      <c r="A1101" s="32" t="str">
        <f>IMAGE("https://gymvisual.com/8787-catalog_default/resistance-band-external-rotation.jpg",4,500,500)</f>
        <v/>
      </c>
      <c r="B1101" s="30">
        <v>3100.0</v>
      </c>
      <c r="C1101" s="16" t="s">
        <v>3935</v>
      </c>
      <c r="D1101" s="16" t="s">
        <v>184</v>
      </c>
      <c r="E1101" s="16" t="s">
        <v>192</v>
      </c>
      <c r="F1101" s="16" t="s">
        <v>523</v>
      </c>
      <c r="G1101" s="16" t="s">
        <v>2197</v>
      </c>
      <c r="H1101" s="16" t="s">
        <v>1541</v>
      </c>
    </row>
    <row r="1102" ht="24.75" customHeight="1">
      <c r="A1102" s="32" t="str">
        <f>IMAGE("https://gymvisual.com/10506-catalog_default/resistance-band-floor-hyperextension.jpg",4,500,500)</f>
        <v/>
      </c>
      <c r="B1102" s="30">
        <v>3101.0</v>
      </c>
      <c r="C1102" s="16" t="s">
        <v>3936</v>
      </c>
      <c r="D1102" s="16" t="s">
        <v>184</v>
      </c>
      <c r="E1102" s="16" t="s">
        <v>192</v>
      </c>
      <c r="F1102" s="16" t="s">
        <v>523</v>
      </c>
      <c r="G1102" s="16" t="s">
        <v>275</v>
      </c>
      <c r="H1102" s="16" t="s">
        <v>2412</v>
      </c>
    </row>
    <row r="1103" ht="24.75" customHeight="1">
      <c r="A1103" s="32" t="str">
        <f>IMAGE("https://gymvisual.com/12513-catalog_default/resistance-band-foot-eversion.jpg",4,500,500)</f>
        <v/>
      </c>
      <c r="B1103" s="30">
        <v>3102.0</v>
      </c>
      <c r="C1103" s="16" t="s">
        <v>3937</v>
      </c>
      <c r="D1103" s="16" t="s">
        <v>184</v>
      </c>
      <c r="E1103" s="16" t="s">
        <v>325</v>
      </c>
      <c r="F1103" s="16" t="s">
        <v>523</v>
      </c>
      <c r="G1103" s="16" t="s">
        <v>220</v>
      </c>
      <c r="H1103" s="16" t="s">
        <v>220</v>
      </c>
    </row>
    <row r="1104" ht="24.75" customHeight="1">
      <c r="A1104" s="32" t="str">
        <f>IMAGE("https://gymvisual.com/12511-catalog_default/resistance-band-foot-external-rotation.jpg",4,500,500)</f>
        <v/>
      </c>
      <c r="B1104" s="30">
        <v>3103.0</v>
      </c>
      <c r="C1104" s="16" t="s">
        <v>3938</v>
      </c>
      <c r="D1104" s="16" t="s">
        <v>184</v>
      </c>
      <c r="E1104" s="16" t="s">
        <v>325</v>
      </c>
      <c r="F1104" s="16" t="s">
        <v>523</v>
      </c>
      <c r="G1104" s="16" t="s">
        <v>220</v>
      </c>
      <c r="H1104" s="16" t="s">
        <v>220</v>
      </c>
    </row>
    <row r="1105" ht="24.75" customHeight="1">
      <c r="A1105" s="32" t="str">
        <f>IMAGE("https://gymvisual.com/12514-catalog_default/resistance-band-foot-inversion.jpg",4,500,500)</f>
        <v/>
      </c>
      <c r="B1105" s="30">
        <v>3104.0</v>
      </c>
      <c r="C1105" s="16" t="s">
        <v>3939</v>
      </c>
      <c r="D1105" s="16" t="s">
        <v>184</v>
      </c>
      <c r="E1105" s="16" t="s">
        <v>325</v>
      </c>
      <c r="F1105" s="16" t="s">
        <v>523</v>
      </c>
      <c r="G1105" s="16" t="s">
        <v>220</v>
      </c>
      <c r="H1105" s="16" t="s">
        <v>220</v>
      </c>
    </row>
    <row r="1106" ht="24.75" customHeight="1">
      <c r="A1106" s="32" t="str">
        <f>IMAGE("https://gymvisual.com/12512-catalog_default/resistance-band-foot-plantar-flexion.jpg",4,500,500)</f>
        <v/>
      </c>
      <c r="B1106" s="30">
        <v>3105.0</v>
      </c>
      <c r="C1106" s="16" t="s">
        <v>3940</v>
      </c>
      <c r="D1106" s="16" t="s">
        <v>184</v>
      </c>
      <c r="E1106" s="16" t="s">
        <v>325</v>
      </c>
      <c r="F1106" s="16" t="s">
        <v>523</v>
      </c>
      <c r="G1106" s="16" t="s">
        <v>220</v>
      </c>
      <c r="H1106" s="16" t="s">
        <v>220</v>
      </c>
    </row>
    <row r="1107" ht="24.75" customHeight="1">
      <c r="A1107" s="32" t="str">
        <f>IMAGE("https://gymvisual.com/8788-catalog_default/resistance-band-front-plank-with-kicked-leg.jpg",4,500,500)</f>
        <v/>
      </c>
      <c r="B1107" s="30">
        <v>3106.0</v>
      </c>
      <c r="C1107" s="16" t="s">
        <v>3941</v>
      </c>
      <c r="D1107" s="16" t="s">
        <v>184</v>
      </c>
      <c r="E1107" s="16" t="s">
        <v>310</v>
      </c>
      <c r="F1107" s="16" t="s">
        <v>523</v>
      </c>
      <c r="G1107" s="16" t="s">
        <v>3942</v>
      </c>
      <c r="H1107" s="16" t="s">
        <v>3943</v>
      </c>
    </row>
    <row r="1108" ht="24.75" customHeight="1">
      <c r="A1108" s="32" t="str">
        <f>IMAGE("https://gymvisual.com/17681-catalog_default/resistance-band-front-plank-with-single-arm-pulldown.jpg",4,500,500)</f>
        <v/>
      </c>
      <c r="B1108" s="30">
        <v>3107.0</v>
      </c>
      <c r="C1108" s="16" t="s">
        <v>3944</v>
      </c>
      <c r="D1108" s="16" t="s">
        <v>184</v>
      </c>
      <c r="E1108" s="16" t="s">
        <v>192</v>
      </c>
      <c r="F1108" s="16" t="s">
        <v>523</v>
      </c>
      <c r="G1108" s="16" t="s">
        <v>220</v>
      </c>
      <c r="H1108" s="16" t="s">
        <v>220</v>
      </c>
    </row>
    <row r="1109" ht="24.75" customHeight="1">
      <c r="A1109" s="32" t="str">
        <f>IMAGE("https://gymvisual.com/8789-catalog_default/resistance-band-full-squat.jpg",4,500,500)</f>
        <v/>
      </c>
      <c r="B1109" s="30">
        <v>3108.0</v>
      </c>
      <c r="C1109" s="16" t="s">
        <v>3945</v>
      </c>
      <c r="D1109" s="16" t="s">
        <v>184</v>
      </c>
      <c r="E1109" s="16" t="s">
        <v>294</v>
      </c>
      <c r="F1109" s="16" t="s">
        <v>3946</v>
      </c>
      <c r="G1109" s="16" t="s">
        <v>189</v>
      </c>
      <c r="H1109" s="16" t="s">
        <v>190</v>
      </c>
    </row>
    <row r="1110" ht="24.75" customHeight="1">
      <c r="A1110" s="32" t="str">
        <f>IMAGE("https://gymvisual.com/8790-catalog_default/resistance-band-glute-bridge.jpg",4,500,500)</f>
        <v/>
      </c>
      <c r="B1110" s="30">
        <v>3109.0</v>
      </c>
      <c r="C1110" s="16" t="s">
        <v>3947</v>
      </c>
      <c r="D1110" s="16" t="s">
        <v>184</v>
      </c>
      <c r="E1110" s="16" t="s">
        <v>185</v>
      </c>
      <c r="F1110" s="16" t="s">
        <v>523</v>
      </c>
      <c r="G1110" s="16" t="s">
        <v>187</v>
      </c>
      <c r="H1110" s="16" t="s">
        <v>854</v>
      </c>
    </row>
    <row r="1111" ht="24.75" customHeight="1">
      <c r="A1111" s="32" t="str">
        <f>IMAGE("https://gymvisual.com/11224-catalog_default/resistance-band-glute-bridge-female.jpg",4,500,500)</f>
        <v/>
      </c>
      <c r="B1111" s="30">
        <v>3110.0</v>
      </c>
      <c r="C1111" s="16" t="s">
        <v>3948</v>
      </c>
      <c r="D1111" s="16" t="s">
        <v>184</v>
      </c>
      <c r="E1111" s="16" t="s">
        <v>185</v>
      </c>
      <c r="F1111" s="16" t="s">
        <v>523</v>
      </c>
      <c r="G1111" s="16" t="s">
        <v>220</v>
      </c>
      <c r="H1111" s="16" t="s">
        <v>220</v>
      </c>
    </row>
    <row r="1112" ht="24.75" customHeight="1">
      <c r="A1112" s="32" t="str">
        <f>IMAGE("https://gymvisual.com/18025-catalog_default/resistance-band-half-kneeling-face-pull.jpg",4,500,500)</f>
        <v/>
      </c>
      <c r="B1112" s="30">
        <v>3111.0</v>
      </c>
      <c r="C1112" s="16" t="s">
        <v>3949</v>
      </c>
      <c r="D1112" s="16" t="s">
        <v>184</v>
      </c>
      <c r="E1112" s="16" t="s">
        <v>228</v>
      </c>
      <c r="F1112" s="16" t="s">
        <v>523</v>
      </c>
      <c r="G1112" s="16" t="s">
        <v>408</v>
      </c>
      <c r="H1112" s="16" t="s">
        <v>3950</v>
      </c>
    </row>
    <row r="1113" ht="24.75" customHeight="1">
      <c r="A1113" s="32" t="str">
        <f>IMAGE("https://gymvisual.com/19727-catalog_default/resistance-band-hammer-curl.jpg",4,500,500)</f>
        <v/>
      </c>
      <c r="B1113" s="30">
        <v>3112.0</v>
      </c>
      <c r="C1113" s="16" t="s">
        <v>3951</v>
      </c>
      <c r="D1113" s="16" t="s">
        <v>184</v>
      </c>
      <c r="E1113" s="16" t="s">
        <v>214</v>
      </c>
      <c r="F1113" s="16" t="s">
        <v>523</v>
      </c>
      <c r="G1113" s="16" t="s">
        <v>216</v>
      </c>
      <c r="H1113" s="16" t="s">
        <v>217</v>
      </c>
    </row>
    <row r="1114" ht="24.75" customHeight="1">
      <c r="A1114" s="32" t="str">
        <f>IMAGE("https://gymvisual.com/11837-catalog_default/resistance-band-hip-thrust.jpg",4,500,500)</f>
        <v/>
      </c>
      <c r="B1114" s="30">
        <v>3113.0</v>
      </c>
      <c r="C1114" s="16" t="s">
        <v>3952</v>
      </c>
      <c r="D1114" s="16" t="s">
        <v>184</v>
      </c>
      <c r="E1114" s="16" t="s">
        <v>185</v>
      </c>
      <c r="F1114" s="16" t="s">
        <v>523</v>
      </c>
      <c r="G1114" s="16" t="s">
        <v>187</v>
      </c>
      <c r="H1114" s="16" t="s">
        <v>188</v>
      </c>
    </row>
    <row r="1115" ht="24.75" customHeight="1">
      <c r="A1115" s="32" t="str">
        <f>IMAGE("https://gymvisual.com/17833-catalog_default/resistance-band-hip-thrusts.jpg",4,500,500)</f>
        <v/>
      </c>
      <c r="B1115" s="30">
        <v>3114.0</v>
      </c>
      <c r="C1115" s="16" t="s">
        <v>3953</v>
      </c>
      <c r="D1115" s="16" t="s">
        <v>184</v>
      </c>
      <c r="E1115" s="16" t="s">
        <v>185</v>
      </c>
      <c r="F1115" s="16" t="s">
        <v>523</v>
      </c>
      <c r="G1115" s="16" t="s">
        <v>187</v>
      </c>
      <c r="H1115" s="16" t="s">
        <v>854</v>
      </c>
    </row>
    <row r="1116" ht="24.75" customHeight="1">
      <c r="A1116" s="32" t="str">
        <f>IMAGE("https://gymvisual.com/12988-catalog_default/resistance-band-hip-thrusts-on-knees-female.jpg",4,500,500)</f>
        <v/>
      </c>
      <c r="B1116" s="30">
        <v>3115.0</v>
      </c>
      <c r="C1116" s="16" t="s">
        <v>3954</v>
      </c>
      <c r="D1116" s="16" t="s">
        <v>184</v>
      </c>
      <c r="E1116" s="16" t="s">
        <v>185</v>
      </c>
      <c r="F1116" s="16" t="s">
        <v>523</v>
      </c>
      <c r="G1116" s="16" t="s">
        <v>187</v>
      </c>
      <c r="H1116" s="16" t="s">
        <v>188</v>
      </c>
    </row>
    <row r="1117" ht="24.75" customHeight="1">
      <c r="A1117" s="32" t="str">
        <f>IMAGE("https://gymvisual.com/18095-catalog_default/resistance-band-horizontal-pallof-press.jpg",4,500,500)</f>
        <v/>
      </c>
      <c r="B1117" s="30">
        <v>3116.0</v>
      </c>
      <c r="C1117" s="16" t="s">
        <v>3955</v>
      </c>
      <c r="D1117" s="16" t="s">
        <v>184</v>
      </c>
      <c r="E1117" s="16" t="s">
        <v>254</v>
      </c>
      <c r="F1117" s="16" t="s">
        <v>523</v>
      </c>
      <c r="G1117" s="16" t="s">
        <v>257</v>
      </c>
      <c r="H1117" s="16" t="s">
        <v>220</v>
      </c>
    </row>
    <row r="1118" ht="24.75" customHeight="1">
      <c r="A1118" s="32" t="str">
        <f>IMAGE("https://gymvisual.com/19427-catalog_default/resistance-band-inverted-row.jpg",4,500,500)</f>
        <v/>
      </c>
      <c r="B1118" s="30">
        <v>3117.0</v>
      </c>
      <c r="C1118" s="16" t="s">
        <v>3956</v>
      </c>
      <c r="D1118" s="16" t="s">
        <v>184</v>
      </c>
      <c r="E1118" s="16" t="s">
        <v>192</v>
      </c>
      <c r="F1118" s="16" t="s">
        <v>523</v>
      </c>
      <c r="G1118" s="16" t="s">
        <v>220</v>
      </c>
      <c r="H1118" s="16" t="s">
        <v>220</v>
      </c>
    </row>
    <row r="1119" ht="24.75" customHeight="1">
      <c r="A1119" s="32" t="str">
        <f>IMAGE("https://gymvisual.com/20397-catalog_default/resistance-band-kneeling-ab-crunch.jpg",4,500,500)</f>
        <v/>
      </c>
      <c r="B1119" s="30">
        <v>3118.0</v>
      </c>
      <c r="C1119" s="16" t="s">
        <v>3957</v>
      </c>
      <c r="D1119" s="16" t="s">
        <v>184</v>
      </c>
      <c r="E1119" s="16" t="s">
        <v>254</v>
      </c>
      <c r="F1119" s="16" t="s">
        <v>523</v>
      </c>
      <c r="G1119" s="16" t="s">
        <v>256</v>
      </c>
      <c r="H1119" s="16" t="s">
        <v>257</v>
      </c>
    </row>
    <row r="1120" ht="24.75" customHeight="1">
      <c r="A1120" s="32" t="str">
        <f>IMAGE("https://gymvisual.com/20407-catalog_default/resistance-band-kneeling-ab-crunch-version-2.jpg",4,500,500)</f>
        <v/>
      </c>
      <c r="B1120" s="30">
        <v>3119.0</v>
      </c>
      <c r="C1120" s="16" t="s">
        <v>3958</v>
      </c>
      <c r="D1120" s="16" t="s">
        <v>184</v>
      </c>
      <c r="E1120" s="16" t="s">
        <v>254</v>
      </c>
      <c r="F1120" s="16" t="s">
        <v>523</v>
      </c>
      <c r="G1120" s="16" t="s">
        <v>256</v>
      </c>
      <c r="H1120" s="16" t="s">
        <v>257</v>
      </c>
    </row>
    <row r="1121" ht="24.75" customHeight="1">
      <c r="A1121" s="32" t="str">
        <f>IMAGE("https://gymvisual.com/8791-catalog_default/resistance-band-kneeling-side-plank.jpg",4,500,500)</f>
        <v/>
      </c>
      <c r="B1121" s="30">
        <v>3120.0</v>
      </c>
      <c r="C1121" s="16" t="s">
        <v>3959</v>
      </c>
      <c r="D1121" s="16" t="s">
        <v>184</v>
      </c>
      <c r="E1121" s="16" t="s">
        <v>185</v>
      </c>
      <c r="F1121" s="16" t="s">
        <v>523</v>
      </c>
      <c r="G1121" s="16" t="s">
        <v>475</v>
      </c>
      <c r="H1121" s="16" t="s">
        <v>1206</v>
      </c>
    </row>
    <row r="1122" ht="24.75" customHeight="1">
      <c r="A1122" s="32" t="str">
        <f>IMAGE("https://gymvisual.com/20409-catalog_default/resistance-band-kneeling-woodchop.jpg",4,500,500)</f>
        <v/>
      </c>
      <c r="B1122" s="30">
        <v>3121.0</v>
      </c>
      <c r="C1122" s="16" t="s">
        <v>3960</v>
      </c>
      <c r="D1122" s="16" t="s">
        <v>184</v>
      </c>
      <c r="E1122" s="16" t="s">
        <v>254</v>
      </c>
      <c r="F1122" s="16" t="s">
        <v>523</v>
      </c>
      <c r="G1122" s="16" t="s">
        <v>1697</v>
      </c>
      <c r="H1122" s="16" t="s">
        <v>3961</v>
      </c>
    </row>
    <row r="1123" ht="24.75" customHeight="1">
      <c r="A1123" s="32" t="str">
        <f>IMAGE("https://gymvisual.com/10505-catalog_default/resistance-band-leg-curl.jpg",4,500,500)</f>
        <v/>
      </c>
      <c r="B1123" s="30">
        <v>3122.0</v>
      </c>
      <c r="C1123" s="16" t="s">
        <v>3962</v>
      </c>
      <c r="D1123" s="16" t="s">
        <v>184</v>
      </c>
      <c r="E1123" s="16" t="s">
        <v>285</v>
      </c>
      <c r="F1123" s="16" t="s">
        <v>523</v>
      </c>
      <c r="G1123" s="16" t="s">
        <v>188</v>
      </c>
      <c r="H1123" s="16" t="s">
        <v>552</v>
      </c>
    </row>
    <row r="1124" ht="24.75" customHeight="1">
      <c r="A1124" s="32" t="str">
        <f>IMAGE("https://gymvisual.com/17519-catalog_default/resistance-band-leg-curl-male.jpg",4,500,500)</f>
        <v/>
      </c>
      <c r="B1124" s="30">
        <v>3123.0</v>
      </c>
      <c r="C1124" s="16" t="s">
        <v>3963</v>
      </c>
      <c r="D1124" s="16" t="s">
        <v>184</v>
      </c>
      <c r="E1124" s="16" t="s">
        <v>285</v>
      </c>
      <c r="F1124" s="16" t="s">
        <v>523</v>
      </c>
      <c r="G1124" s="16" t="s">
        <v>188</v>
      </c>
      <c r="H1124" s="16" t="s">
        <v>561</v>
      </c>
    </row>
    <row r="1125" ht="24.75" customHeight="1">
      <c r="A1125" s="32" t="str">
        <f>IMAGE("https://gymvisual.com/12468-catalog_default/resistance-band-leg-extension.jpg",4,500,500)</f>
        <v/>
      </c>
      <c r="B1125" s="30">
        <v>3124.0</v>
      </c>
      <c r="C1125" s="16" t="s">
        <v>3964</v>
      </c>
      <c r="D1125" s="16" t="s">
        <v>184</v>
      </c>
      <c r="E1125" s="16" t="s">
        <v>285</v>
      </c>
      <c r="F1125" s="16" t="s">
        <v>523</v>
      </c>
      <c r="G1125" s="16" t="s">
        <v>552</v>
      </c>
      <c r="H1125" s="16" t="s">
        <v>3965</v>
      </c>
    </row>
    <row r="1126" ht="24.75" customHeight="1">
      <c r="A1126" s="32" t="str">
        <f>IMAGE("https://gymvisual.com/12471-catalog_default/resistance-band-leg-extension-female.jpg",4,500,500)</f>
        <v/>
      </c>
      <c r="B1126" s="30">
        <v>3125.0</v>
      </c>
      <c r="C1126" s="16" t="s">
        <v>3966</v>
      </c>
      <c r="D1126" s="16" t="s">
        <v>184</v>
      </c>
      <c r="E1126" s="16" t="s">
        <v>285</v>
      </c>
      <c r="F1126" s="16" t="s">
        <v>523</v>
      </c>
      <c r="G1126" s="16" t="s">
        <v>552</v>
      </c>
      <c r="H1126" s="16" t="s">
        <v>3965</v>
      </c>
    </row>
    <row r="1127" ht="24.75" customHeight="1">
      <c r="A1127" s="32" t="str">
        <f>IMAGE("https://gymvisual.com/8792-catalog_default/resistance-band-leg-kickback.jpg",4,500,500)</f>
        <v/>
      </c>
      <c r="B1127" s="30">
        <v>3126.0</v>
      </c>
      <c r="C1127" s="16" t="s">
        <v>3967</v>
      </c>
      <c r="D1127" s="16" t="s">
        <v>184</v>
      </c>
      <c r="E1127" s="16" t="s">
        <v>185</v>
      </c>
      <c r="F1127" s="16" t="s">
        <v>523</v>
      </c>
      <c r="G1127" s="16" t="s">
        <v>187</v>
      </c>
      <c r="H1127" s="16" t="s">
        <v>188</v>
      </c>
    </row>
    <row r="1128" ht="24.75" customHeight="1">
      <c r="A1128" s="32" t="str">
        <f>IMAGE("https://gymvisual.com/10502-catalog_default/resistance-band-leg-lift.jpg",4,500,500)</f>
        <v/>
      </c>
      <c r="B1128" s="30">
        <v>3127.0</v>
      </c>
      <c r="C1128" s="16" t="s">
        <v>3968</v>
      </c>
      <c r="D1128" s="16" t="s">
        <v>184</v>
      </c>
      <c r="E1128" s="16" t="s">
        <v>285</v>
      </c>
      <c r="F1128" s="16" t="s">
        <v>523</v>
      </c>
      <c r="G1128" s="16" t="s">
        <v>552</v>
      </c>
      <c r="H1128" s="16" t="s">
        <v>553</v>
      </c>
    </row>
    <row r="1129" ht="24.75" customHeight="1">
      <c r="A1129" s="32" t="str">
        <f>IMAGE("https://gymvisual.com/10507-catalog_default/resistance-band-lunge.jpg",4,500,500)</f>
        <v/>
      </c>
      <c r="B1129" s="30">
        <v>3128.0</v>
      </c>
      <c r="C1129" s="16" t="s">
        <v>3969</v>
      </c>
      <c r="D1129" s="16" t="s">
        <v>184</v>
      </c>
      <c r="E1129" s="16" t="s">
        <v>285</v>
      </c>
      <c r="F1129" s="16" t="s">
        <v>523</v>
      </c>
      <c r="G1129" s="16" t="s">
        <v>189</v>
      </c>
      <c r="H1129" s="16" t="s">
        <v>190</v>
      </c>
    </row>
    <row r="1130" ht="24.75" customHeight="1">
      <c r="A1130" s="32" t="str">
        <f>IMAGE("https://gymvisual.com/10504-catalog_default/resistance-band-lying-abduction.jpg",4,500,500)</f>
        <v/>
      </c>
      <c r="B1130" s="30">
        <v>3129.0</v>
      </c>
      <c r="C1130" s="16" t="s">
        <v>3970</v>
      </c>
      <c r="D1130" s="16" t="s">
        <v>184</v>
      </c>
      <c r="E1130" s="16" t="s">
        <v>185</v>
      </c>
      <c r="F1130" s="16" t="s">
        <v>523</v>
      </c>
      <c r="G1130" s="16" t="s">
        <v>475</v>
      </c>
      <c r="H1130" s="16" t="s">
        <v>476</v>
      </c>
    </row>
    <row r="1131" ht="24.75" customHeight="1">
      <c r="A1131" s="32" t="str">
        <f>IMAGE("https://gymvisual.com/8793-catalog_default/resistance-band-lying-leg-raise.jpg",4,500,500)</f>
        <v/>
      </c>
      <c r="B1131" s="30">
        <v>3130.0</v>
      </c>
      <c r="C1131" s="16" t="s">
        <v>3971</v>
      </c>
      <c r="D1131" s="16" t="s">
        <v>184</v>
      </c>
      <c r="E1131" s="16" t="s">
        <v>185</v>
      </c>
      <c r="F1131" s="16" t="s">
        <v>523</v>
      </c>
      <c r="G1131" s="16" t="s">
        <v>475</v>
      </c>
      <c r="H1131" s="16" t="s">
        <v>476</v>
      </c>
    </row>
    <row r="1132" ht="24.75" customHeight="1">
      <c r="A1132" s="32" t="str">
        <f>IMAGE("https://gymvisual.com/19227-catalog_default/resistance-band-one-arm-bent-over-row.jpg",4,500,500)</f>
        <v/>
      </c>
      <c r="B1132" s="30">
        <v>3131.0</v>
      </c>
      <c r="C1132" s="16" t="s">
        <v>3972</v>
      </c>
      <c r="D1132" s="16" t="s">
        <v>184</v>
      </c>
      <c r="E1132" s="16" t="s">
        <v>192</v>
      </c>
      <c r="F1132" s="16" t="s">
        <v>523</v>
      </c>
      <c r="G1132" s="16" t="s">
        <v>329</v>
      </c>
      <c r="H1132" s="16" t="s">
        <v>447</v>
      </c>
    </row>
    <row r="1133" ht="24.75" customHeight="1">
      <c r="A1133" s="32" t="str">
        <f>IMAGE("https://gymvisual.com/8795-catalog_default/resistance-band-one-leg-glute-bridge.jpg",4,500,500)</f>
        <v/>
      </c>
      <c r="B1133" s="30">
        <v>3132.0</v>
      </c>
      <c r="C1133" s="16" t="s">
        <v>3973</v>
      </c>
      <c r="D1133" s="16" t="s">
        <v>184</v>
      </c>
      <c r="E1133" s="16" t="s">
        <v>185</v>
      </c>
      <c r="F1133" s="16" t="s">
        <v>523</v>
      </c>
      <c r="G1133" s="16" t="s">
        <v>187</v>
      </c>
      <c r="H1133" s="16" t="s">
        <v>854</v>
      </c>
    </row>
    <row r="1134" ht="24.75" customHeight="1">
      <c r="A1134" s="32" t="str">
        <f>IMAGE("https://gymvisual.com/11227-catalog_default/resistance-band-one-leg-glute-bridge-female.jpg",4,500,500)</f>
        <v/>
      </c>
      <c r="B1134" s="30">
        <v>3133.0</v>
      </c>
      <c r="C1134" s="16" t="s">
        <v>3974</v>
      </c>
      <c r="D1134" s="16" t="s">
        <v>184</v>
      </c>
      <c r="E1134" s="16" t="s">
        <v>185</v>
      </c>
      <c r="F1134" s="16" t="s">
        <v>523</v>
      </c>
      <c r="G1134" s="16" t="s">
        <v>220</v>
      </c>
      <c r="H1134" s="16" t="s">
        <v>220</v>
      </c>
    </row>
    <row r="1135" ht="24.75" customHeight="1">
      <c r="A1135" s="32" t="str">
        <f>IMAGE("https://gymvisual.com/8794-catalog_default/resistance-band-one-leg-glute-bridge-with-straight-leg.jpg",4,500,500)</f>
        <v/>
      </c>
      <c r="B1135" s="30">
        <v>3134.0</v>
      </c>
      <c r="C1135" s="16" t="s">
        <v>3975</v>
      </c>
      <c r="D1135" s="16" t="s">
        <v>184</v>
      </c>
      <c r="E1135" s="16" t="s">
        <v>185</v>
      </c>
      <c r="F1135" s="16" t="s">
        <v>523</v>
      </c>
      <c r="G1135" s="16" t="s">
        <v>187</v>
      </c>
      <c r="H1135" s="16" t="s">
        <v>854</v>
      </c>
    </row>
    <row r="1136" ht="24.75" customHeight="1">
      <c r="A1136" s="32" t="str">
        <f>IMAGE("https://gymvisual.com/8797-catalog_default/resistance-band-one-leg-kickback.jpg",4,500,500)</f>
        <v/>
      </c>
      <c r="B1136" s="30">
        <v>3135.0</v>
      </c>
      <c r="C1136" s="16" t="s">
        <v>3976</v>
      </c>
      <c r="D1136" s="16" t="s">
        <v>184</v>
      </c>
      <c r="E1136" s="16" t="s">
        <v>185</v>
      </c>
      <c r="F1136" s="16" t="s">
        <v>523</v>
      </c>
      <c r="G1136" s="16" t="s">
        <v>187</v>
      </c>
      <c r="H1136" s="16" t="s">
        <v>188</v>
      </c>
    </row>
    <row r="1137" ht="24.75" customHeight="1">
      <c r="A1137" s="32" t="str">
        <f>IMAGE("https://gymvisual.com/8796-catalog_default/resistance-band-one-leg-kickback-bent-position.jpg",4,500,500)</f>
        <v/>
      </c>
      <c r="B1137" s="30">
        <v>3136.0</v>
      </c>
      <c r="C1137" s="16" t="s">
        <v>3977</v>
      </c>
      <c r="D1137" s="16" t="s">
        <v>184</v>
      </c>
      <c r="E1137" s="16" t="s">
        <v>185</v>
      </c>
      <c r="F1137" s="16" t="s">
        <v>523</v>
      </c>
      <c r="G1137" s="16" t="s">
        <v>187</v>
      </c>
      <c r="H1137" s="16" t="s">
        <v>188</v>
      </c>
    </row>
    <row r="1138" ht="24.75" customHeight="1">
      <c r="A1138" s="32" t="str">
        <f>IMAGE("https://gymvisual.com/17150-catalog_default/resistance-band-one-leg-kickback-bent-position-male.jpg",4,500,500)</f>
        <v/>
      </c>
      <c r="B1138" s="30">
        <v>3137.0</v>
      </c>
      <c r="C1138" s="16" t="s">
        <v>3978</v>
      </c>
      <c r="D1138" s="16" t="s">
        <v>184</v>
      </c>
      <c r="E1138" s="16" t="s">
        <v>185</v>
      </c>
      <c r="F1138" s="16" t="s">
        <v>523</v>
      </c>
      <c r="G1138" s="16" t="s">
        <v>187</v>
      </c>
      <c r="H1138" s="16" t="s">
        <v>188</v>
      </c>
    </row>
    <row r="1139" ht="24.75" customHeight="1">
      <c r="A1139" s="32" t="str">
        <f>IMAGE("https://gymvisual.com/20403-catalog_default/resistance-band-overhead-shoulder-press.jpg",4,500,500)</f>
        <v/>
      </c>
      <c r="B1139" s="30">
        <v>3138.0</v>
      </c>
      <c r="C1139" s="16" t="s">
        <v>3979</v>
      </c>
      <c r="D1139" s="16" t="s">
        <v>184</v>
      </c>
      <c r="E1139" s="16" t="s">
        <v>228</v>
      </c>
      <c r="F1139" s="16" t="s">
        <v>523</v>
      </c>
      <c r="G1139" s="16" t="s">
        <v>229</v>
      </c>
      <c r="H1139" s="16" t="s">
        <v>626</v>
      </c>
    </row>
    <row r="1140" ht="24.75" customHeight="1">
      <c r="A1140" s="32" t="str">
        <f>IMAGE("https://gymvisual.com/18015-catalog_default/resistance-band-overhead-squat.jpg",4,500,500)</f>
        <v/>
      </c>
      <c r="B1140" s="30">
        <v>3139.0</v>
      </c>
      <c r="C1140" s="16" t="s">
        <v>3980</v>
      </c>
      <c r="D1140" s="16" t="s">
        <v>184</v>
      </c>
      <c r="E1140" s="16" t="s">
        <v>185</v>
      </c>
      <c r="F1140" s="16" t="s">
        <v>523</v>
      </c>
      <c r="G1140" s="16" t="s">
        <v>220</v>
      </c>
      <c r="H1140" s="16" t="s">
        <v>220</v>
      </c>
    </row>
    <row r="1141" ht="24.75" customHeight="1">
      <c r="A1141" s="32" t="str">
        <f>IMAGE("https://gymvisual.com/8798-catalog_default/resistance-band-plank-march.jpg",4,500,500)</f>
        <v/>
      </c>
      <c r="B1141" s="30">
        <v>3140.0</v>
      </c>
      <c r="C1141" s="16" t="s">
        <v>3981</v>
      </c>
      <c r="D1141" s="16" t="s">
        <v>184</v>
      </c>
      <c r="E1141" s="16" t="s">
        <v>285</v>
      </c>
      <c r="F1141" s="16" t="s">
        <v>523</v>
      </c>
      <c r="G1141" s="16" t="s">
        <v>188</v>
      </c>
      <c r="H1141" s="16" t="s">
        <v>1332</v>
      </c>
    </row>
    <row r="1142" ht="24.75" customHeight="1">
      <c r="A1142" s="32" t="str">
        <f>IMAGE("https://gymvisual.com/11230-catalog_default/resistance-band-plank-march-female.jpg",4,500,500)</f>
        <v/>
      </c>
      <c r="B1142" s="30">
        <v>3141.0</v>
      </c>
      <c r="C1142" s="16" t="s">
        <v>3982</v>
      </c>
      <c r="D1142" s="16" t="s">
        <v>184</v>
      </c>
      <c r="E1142" s="16" t="s">
        <v>185</v>
      </c>
      <c r="F1142" s="16" t="s">
        <v>523</v>
      </c>
      <c r="G1142" s="16" t="s">
        <v>220</v>
      </c>
      <c r="H1142" s="16" t="s">
        <v>220</v>
      </c>
    </row>
    <row r="1143" ht="24.75" customHeight="1">
      <c r="A1143" s="32" t="str">
        <f>IMAGE("https://gymvisual.com/19225-catalog_default/resistance-band-pull-apart.jpg",4,500,500)</f>
        <v/>
      </c>
      <c r="B1143" s="30">
        <v>3142.0</v>
      </c>
      <c r="C1143" s="16" t="s">
        <v>3983</v>
      </c>
      <c r="D1143" s="16" t="s">
        <v>184</v>
      </c>
      <c r="E1143" s="16" t="s">
        <v>228</v>
      </c>
      <c r="F1143" s="16" t="s">
        <v>523</v>
      </c>
      <c r="G1143" s="16" t="s">
        <v>408</v>
      </c>
      <c r="H1143" s="16" t="s">
        <v>731</v>
      </c>
    </row>
    <row r="1144" ht="24.75" customHeight="1">
      <c r="A1144" s="32" t="str">
        <f>IMAGE("https://gymvisual.com/20996-catalog_default/resistance-band-pull-apart-45-degrees.jpg",4,500,500)</f>
        <v/>
      </c>
      <c r="B1144" s="30">
        <v>3143.0</v>
      </c>
      <c r="C1144" s="16" t="s">
        <v>3984</v>
      </c>
      <c r="D1144" s="16" t="s">
        <v>184</v>
      </c>
      <c r="E1144" s="16" t="s">
        <v>228</v>
      </c>
      <c r="F1144" s="16" t="s">
        <v>523</v>
      </c>
      <c r="G1144" s="16" t="s">
        <v>408</v>
      </c>
      <c r="H1144" s="16" t="s">
        <v>731</v>
      </c>
    </row>
    <row r="1145" ht="24.75" customHeight="1">
      <c r="A1145" s="32" t="str">
        <f>IMAGE("https://gymvisual.com/25725-catalog_default/resistance-band-pull-through-female.jpg",4,500,500)</f>
        <v/>
      </c>
      <c r="B1145" s="30">
        <v>3144.0</v>
      </c>
      <c r="C1145" s="16" t="s">
        <v>3985</v>
      </c>
      <c r="D1145" s="16" t="s">
        <v>184</v>
      </c>
      <c r="E1145" s="16" t="s">
        <v>185</v>
      </c>
      <c r="F1145" s="16" t="s">
        <v>523</v>
      </c>
      <c r="G1145" s="16" t="s">
        <v>187</v>
      </c>
      <c r="H1145" s="16" t="s">
        <v>188</v>
      </c>
    </row>
    <row r="1146" ht="24.75" customHeight="1">
      <c r="A1146" s="32" t="str">
        <f>IMAGE("https://gymvisual.com/19493-catalog_default/resistance-band-pullapart-pronated-at-90-degrees.jpg",4,500,500)</f>
        <v/>
      </c>
      <c r="B1146" s="30">
        <v>3145.0</v>
      </c>
      <c r="C1146" s="16" t="s">
        <v>3986</v>
      </c>
      <c r="D1146" s="16" t="s">
        <v>184</v>
      </c>
      <c r="E1146" s="16" t="s">
        <v>228</v>
      </c>
      <c r="F1146" s="16" t="s">
        <v>523</v>
      </c>
      <c r="G1146" s="16" t="s">
        <v>220</v>
      </c>
      <c r="H1146" s="16" t="s">
        <v>220</v>
      </c>
    </row>
    <row r="1147" ht="24.75" customHeight="1">
      <c r="A1147" s="32" t="str">
        <f>IMAGE("https://gymvisual.com/12195-catalog_default/resistance-band-pullapart-supination-at-90-degrees.jpg",4,500,500)</f>
        <v/>
      </c>
      <c r="B1147" s="30">
        <v>3146.0</v>
      </c>
      <c r="C1147" s="16" t="s">
        <v>3987</v>
      </c>
      <c r="D1147" s="16" t="s">
        <v>184</v>
      </c>
      <c r="E1147" s="16" t="s">
        <v>192</v>
      </c>
      <c r="F1147" s="16" t="s">
        <v>523</v>
      </c>
      <c r="G1147" s="16" t="s">
        <v>220</v>
      </c>
      <c r="H1147" s="16" t="s">
        <v>220</v>
      </c>
    </row>
    <row r="1148" ht="24.75" customHeight="1">
      <c r="A1148" s="32" t="str">
        <f>IMAGE("https://gymvisual.com/17695-catalog_default/resistance-band-punch.jpg",4,500,500)</f>
        <v/>
      </c>
      <c r="B1148" s="30">
        <v>3147.0</v>
      </c>
      <c r="C1148" s="16" t="s">
        <v>3988</v>
      </c>
      <c r="D1148" s="16" t="s">
        <v>184</v>
      </c>
      <c r="E1148" s="16" t="s">
        <v>234</v>
      </c>
      <c r="F1148" s="16" t="s">
        <v>523</v>
      </c>
      <c r="G1148" s="16" t="s">
        <v>220</v>
      </c>
      <c r="H1148" s="16" t="s">
        <v>220</v>
      </c>
    </row>
    <row r="1149" ht="24.75" customHeight="1">
      <c r="A1149" s="32" t="str">
        <f>IMAGE("https://gymvisual.com/19231-catalog_default/resistance-band-push-up.jpg",4,500,500)</f>
        <v/>
      </c>
      <c r="B1149" s="30">
        <v>3148.0</v>
      </c>
      <c r="C1149" s="16" t="s">
        <v>3989</v>
      </c>
      <c r="D1149" s="16" t="s">
        <v>184</v>
      </c>
      <c r="E1149" s="16" t="s">
        <v>234</v>
      </c>
      <c r="F1149" s="16" t="s">
        <v>523</v>
      </c>
      <c r="G1149" s="16" t="s">
        <v>235</v>
      </c>
      <c r="H1149" s="16" t="s">
        <v>1907</v>
      </c>
    </row>
    <row r="1150" ht="24.75" customHeight="1">
      <c r="A1150" s="32" t="str">
        <f>IMAGE("https://gymvisual.com/18007-catalog_default/resistance-band-rear-delt-row-male.jpg",4,500,500)</f>
        <v/>
      </c>
      <c r="B1150" s="30">
        <v>3149.0</v>
      </c>
      <c r="C1150" s="16" t="s">
        <v>3990</v>
      </c>
      <c r="D1150" s="16" t="s">
        <v>184</v>
      </c>
      <c r="E1150" s="16" t="s">
        <v>192</v>
      </c>
      <c r="F1150" s="16" t="s">
        <v>523</v>
      </c>
      <c r="G1150" s="16" t="s">
        <v>220</v>
      </c>
      <c r="H1150" s="16" t="s">
        <v>220</v>
      </c>
    </row>
    <row r="1151" ht="24.75" customHeight="1">
      <c r="A1151" s="32" t="str">
        <f>IMAGE("https://gymvisual.com/13211-catalog_default/resistance-band-rear-fly.jpg",4,500,500)</f>
        <v/>
      </c>
      <c r="B1151" s="30">
        <v>3150.0</v>
      </c>
      <c r="C1151" s="16" t="s">
        <v>3991</v>
      </c>
      <c r="D1151" s="16" t="s">
        <v>184</v>
      </c>
      <c r="E1151" s="16" t="s">
        <v>228</v>
      </c>
      <c r="F1151" s="16" t="s">
        <v>523</v>
      </c>
      <c r="G1151" s="16" t="s">
        <v>408</v>
      </c>
      <c r="H1151" s="16" t="s">
        <v>3992</v>
      </c>
    </row>
    <row r="1152" ht="24.75" customHeight="1">
      <c r="A1152" s="32" t="str">
        <f>IMAGE("https://gymvisual.com/8799-catalog_default/resistance-band-reverse-hyperextension.jpg",4,500,500)</f>
        <v/>
      </c>
      <c r="B1152" s="30">
        <v>3151.0</v>
      </c>
      <c r="C1152" s="16" t="s">
        <v>3993</v>
      </c>
      <c r="D1152" s="16" t="s">
        <v>184</v>
      </c>
      <c r="E1152" s="16" t="s">
        <v>185</v>
      </c>
      <c r="F1152" s="16" t="s">
        <v>523</v>
      </c>
      <c r="G1152" s="16" t="s">
        <v>187</v>
      </c>
      <c r="H1152" s="16" t="s">
        <v>188</v>
      </c>
    </row>
    <row r="1153" ht="24.75" customHeight="1">
      <c r="A1153" s="32" t="str">
        <f>IMAGE("https://gymvisual.com/12509-catalog_default/resistance-band-seated-biceps-curl.jpg",4,500,500)</f>
        <v/>
      </c>
      <c r="B1153" s="30">
        <v>3152.0</v>
      </c>
      <c r="C1153" s="16" t="s">
        <v>3994</v>
      </c>
      <c r="D1153" s="16" t="s">
        <v>184</v>
      </c>
      <c r="E1153" s="16" t="s">
        <v>219</v>
      </c>
      <c r="F1153" s="16" t="s">
        <v>523</v>
      </c>
      <c r="G1153" s="16" t="s">
        <v>220</v>
      </c>
      <c r="H1153" s="16" t="s">
        <v>220</v>
      </c>
    </row>
    <row r="1154" ht="24.75" customHeight="1">
      <c r="A1154" s="32" t="str">
        <f>IMAGE("https://gymvisual.com/12529-catalog_default/resistance-band-seated-biceps-curl-female.jpg",4,500,500)</f>
        <v/>
      </c>
      <c r="B1154" s="30">
        <v>3153.0</v>
      </c>
      <c r="C1154" s="16" t="s">
        <v>3995</v>
      </c>
      <c r="D1154" s="16" t="s">
        <v>184</v>
      </c>
      <c r="E1154" s="16" t="s">
        <v>219</v>
      </c>
      <c r="F1154" s="16" t="s">
        <v>523</v>
      </c>
      <c r="G1154" s="16" t="s">
        <v>241</v>
      </c>
      <c r="H1154" s="16" t="s">
        <v>292</v>
      </c>
    </row>
    <row r="1155" ht="24.75" customHeight="1">
      <c r="A1155" s="32" t="str">
        <f>IMAGE("https://gymvisual.com/12510-catalog_default/resistance-band-seated-chest-press.jpg",4,500,500)</f>
        <v/>
      </c>
      <c r="B1155" s="30">
        <v>3154.0</v>
      </c>
      <c r="C1155" s="16" t="s">
        <v>3996</v>
      </c>
      <c r="D1155" s="16" t="s">
        <v>184</v>
      </c>
      <c r="E1155" s="16" t="s">
        <v>234</v>
      </c>
      <c r="F1155" s="16" t="s">
        <v>523</v>
      </c>
      <c r="G1155" s="16" t="s">
        <v>220</v>
      </c>
      <c r="H1155" s="16" t="s">
        <v>220</v>
      </c>
    </row>
    <row r="1156" ht="24.75" customHeight="1">
      <c r="A1156" s="32" t="str">
        <f>IMAGE("https://gymvisual.com/12530-catalog_default/resistance-band-seated-chest-press-female.jpg",4,500,500)</f>
        <v/>
      </c>
      <c r="B1156" s="30">
        <v>3155.0</v>
      </c>
      <c r="C1156" s="16" t="s">
        <v>3997</v>
      </c>
      <c r="D1156" s="16" t="s">
        <v>184</v>
      </c>
      <c r="E1156" s="16" t="s">
        <v>234</v>
      </c>
      <c r="F1156" s="16" t="s">
        <v>523</v>
      </c>
      <c r="G1156" s="16" t="s">
        <v>235</v>
      </c>
      <c r="H1156" s="16" t="s">
        <v>243</v>
      </c>
    </row>
    <row r="1157" ht="24.75" customHeight="1">
      <c r="A1157" s="32" t="str">
        <f>IMAGE("https://gymvisual.com/19511-catalog_default/resistance-band-seated-face-pull.jpg",4,500,500)</f>
        <v/>
      </c>
      <c r="B1157" s="30">
        <v>3156.0</v>
      </c>
      <c r="C1157" s="16" t="s">
        <v>3998</v>
      </c>
      <c r="D1157" s="16" t="s">
        <v>184</v>
      </c>
      <c r="E1157" s="16" t="s">
        <v>228</v>
      </c>
      <c r="F1157" s="16" t="s">
        <v>523</v>
      </c>
      <c r="G1157" s="16" t="s">
        <v>220</v>
      </c>
      <c r="H1157" s="16" t="s">
        <v>220</v>
      </c>
    </row>
    <row r="1158" ht="24.75" customHeight="1">
      <c r="A1158" s="32" t="str">
        <f>IMAGE("https://gymvisual.com/12465-catalog_default/resistance-band-seated-hip-abduction.jpg",4,500,500)</f>
        <v/>
      </c>
      <c r="B1158" s="30">
        <v>3157.0</v>
      </c>
      <c r="C1158" s="16" t="s">
        <v>3999</v>
      </c>
      <c r="D1158" s="16" t="s">
        <v>184</v>
      </c>
      <c r="E1158" s="16" t="s">
        <v>185</v>
      </c>
      <c r="F1158" s="16" t="s">
        <v>523</v>
      </c>
      <c r="G1158" s="16" t="s">
        <v>475</v>
      </c>
      <c r="H1158" s="16" t="s">
        <v>476</v>
      </c>
    </row>
    <row r="1159" ht="24.75" customHeight="1">
      <c r="A1159" s="32" t="str">
        <f>IMAGE("https://gymvisual.com/12462-catalog_default/resistance-band-seated-hip-abduction-female.jpg",4,500,500)</f>
        <v/>
      </c>
      <c r="B1159" s="30">
        <v>3158.0</v>
      </c>
      <c r="C1159" s="16" t="s">
        <v>4000</v>
      </c>
      <c r="D1159" s="16" t="s">
        <v>184</v>
      </c>
      <c r="E1159" s="16" t="s">
        <v>185</v>
      </c>
      <c r="F1159" s="16" t="s">
        <v>523</v>
      </c>
      <c r="G1159" s="16" t="s">
        <v>475</v>
      </c>
      <c r="H1159" s="16" t="s">
        <v>476</v>
      </c>
    </row>
    <row r="1160" ht="24.75" customHeight="1">
      <c r="A1160" s="32" t="str">
        <f>IMAGE("https://gymvisual.com/20405-catalog_default/resistance-band-seated-leg-curl.jpg",4,500,500)</f>
        <v/>
      </c>
      <c r="B1160" s="30">
        <v>3159.0</v>
      </c>
      <c r="C1160" s="16" t="s">
        <v>4001</v>
      </c>
      <c r="D1160" s="16" t="s">
        <v>184</v>
      </c>
      <c r="E1160" s="16" t="s">
        <v>285</v>
      </c>
      <c r="F1160" s="16" t="s">
        <v>523</v>
      </c>
      <c r="G1160" s="16" t="s">
        <v>188</v>
      </c>
      <c r="H1160" s="16" t="s">
        <v>561</v>
      </c>
    </row>
    <row r="1161" ht="24.75" customHeight="1">
      <c r="A1161" s="32" t="str">
        <f>IMAGE("https://gymvisual.com/12508-catalog_default/resistance-band-seated-shoulder-press.jpg",4,500,500)</f>
        <v/>
      </c>
      <c r="B1161" s="30">
        <v>3160.0</v>
      </c>
      <c r="C1161" s="16" t="s">
        <v>4002</v>
      </c>
      <c r="D1161" s="16" t="s">
        <v>184</v>
      </c>
      <c r="E1161" s="16" t="s">
        <v>228</v>
      </c>
      <c r="F1161" s="16" t="s">
        <v>523</v>
      </c>
      <c r="G1161" s="16" t="s">
        <v>220</v>
      </c>
      <c r="H1161" s="16" t="s">
        <v>220</v>
      </c>
    </row>
    <row r="1162" ht="24.75" customHeight="1">
      <c r="A1162" s="32" t="str">
        <f>IMAGE("https://gymvisual.com/12528-catalog_default/resistance-band-seated-shoulder-press-female.jpg",4,500,500)</f>
        <v/>
      </c>
      <c r="B1162" s="30">
        <v>3161.0</v>
      </c>
      <c r="C1162" s="16" t="s">
        <v>4003</v>
      </c>
      <c r="D1162" s="16" t="s">
        <v>184</v>
      </c>
      <c r="E1162" s="16" t="s">
        <v>228</v>
      </c>
      <c r="F1162" s="16" t="s">
        <v>523</v>
      </c>
      <c r="G1162" s="16" t="s">
        <v>229</v>
      </c>
      <c r="H1162" s="16" t="s">
        <v>626</v>
      </c>
    </row>
    <row r="1163" ht="24.75" customHeight="1">
      <c r="A1163" s="32" t="str">
        <f>IMAGE("https://gymvisual.com/13795-catalog_default/resistance-band-seated-single-leg-curl.jpg",4,500,500)</f>
        <v/>
      </c>
      <c r="B1163" s="30">
        <v>3162.0</v>
      </c>
      <c r="C1163" s="16" t="s">
        <v>4004</v>
      </c>
      <c r="D1163" s="16" t="s">
        <v>184</v>
      </c>
      <c r="E1163" s="16" t="s">
        <v>285</v>
      </c>
      <c r="F1163" s="16" t="s">
        <v>523</v>
      </c>
      <c r="G1163" s="16" t="s">
        <v>188</v>
      </c>
      <c r="H1163" s="16" t="s">
        <v>3539</v>
      </c>
    </row>
    <row r="1164" ht="24.75" customHeight="1">
      <c r="A1164" s="32" t="str">
        <f>IMAGE("https://gymvisual.com/12550-catalog_default/resistance-band-seated-straight-back-row.jpg",4,500,500)</f>
        <v/>
      </c>
      <c r="B1164" s="30">
        <v>3163.0</v>
      </c>
      <c r="C1164" s="16" t="s">
        <v>4005</v>
      </c>
      <c r="D1164" s="16" t="s">
        <v>184</v>
      </c>
      <c r="E1164" s="16" t="s">
        <v>192</v>
      </c>
      <c r="F1164" s="16" t="s">
        <v>523</v>
      </c>
      <c r="G1164" s="16" t="s">
        <v>329</v>
      </c>
      <c r="H1164" s="16" t="s">
        <v>447</v>
      </c>
    </row>
    <row r="1165" ht="24.75" customHeight="1">
      <c r="A1165" s="32" t="str">
        <f>IMAGE("https://gymvisual.com/12549-catalog_default/resistance-band-seated-straight-back-row-female.jpg",4,500,500)</f>
        <v/>
      </c>
      <c r="B1165" s="30">
        <v>3164.0</v>
      </c>
      <c r="C1165" s="16" t="s">
        <v>4006</v>
      </c>
      <c r="D1165" s="16" t="s">
        <v>184</v>
      </c>
      <c r="E1165" s="16" t="s">
        <v>192</v>
      </c>
      <c r="F1165" s="16" t="s">
        <v>523</v>
      </c>
      <c r="G1165" s="16" t="s">
        <v>329</v>
      </c>
      <c r="H1165" s="16" t="s">
        <v>447</v>
      </c>
    </row>
    <row r="1166" ht="24.75" customHeight="1">
      <c r="A1166" s="32" t="str">
        <f>IMAGE("https://gymvisual.com/20167-catalog_default/resistance-band-serratus-wall-slide.jpg",4,500,500)</f>
        <v/>
      </c>
      <c r="B1166" s="30">
        <v>3165.0</v>
      </c>
      <c r="C1166" s="16" t="s">
        <v>4007</v>
      </c>
      <c r="D1166" s="16" t="s">
        <v>184</v>
      </c>
      <c r="E1166" s="16" t="s">
        <v>192</v>
      </c>
      <c r="F1166" s="16" t="s">
        <v>523</v>
      </c>
      <c r="G1166" s="16" t="s">
        <v>4008</v>
      </c>
      <c r="H1166" s="16" t="s">
        <v>1621</v>
      </c>
    </row>
    <row r="1167" ht="24.75" customHeight="1">
      <c r="A1167" s="32" t="str">
        <f>IMAGE("https://gymvisual.com/18097-catalog_default/resistance-band-shuttle.jpg",4,500,500)</f>
        <v/>
      </c>
      <c r="B1167" s="30">
        <v>3166.0</v>
      </c>
      <c r="C1167" s="16" t="s">
        <v>4009</v>
      </c>
      <c r="D1167" s="16" t="s">
        <v>184</v>
      </c>
      <c r="E1167" s="16" t="s">
        <v>185</v>
      </c>
      <c r="F1167" s="16" t="s">
        <v>523</v>
      </c>
      <c r="G1167" s="16" t="s">
        <v>220</v>
      </c>
      <c r="H1167" s="16" t="s">
        <v>220</v>
      </c>
    </row>
    <row r="1168" ht="24.75" customHeight="1">
      <c r="A1168" s="32" t="str">
        <f>IMAGE("https://gymvisual.com/8800-catalog_default/resistance-band-side-plank.jpg",4,500,500)</f>
        <v/>
      </c>
      <c r="B1168" s="30">
        <v>3167.0</v>
      </c>
      <c r="C1168" s="16" t="s">
        <v>4010</v>
      </c>
      <c r="D1168" s="16" t="s">
        <v>184</v>
      </c>
      <c r="E1168" s="16" t="s">
        <v>310</v>
      </c>
      <c r="F1168" s="16" t="s">
        <v>523</v>
      </c>
      <c r="G1168" s="16" t="s">
        <v>4011</v>
      </c>
      <c r="H1168" s="16" t="s">
        <v>476</v>
      </c>
    </row>
    <row r="1169" ht="24.75" customHeight="1">
      <c r="A1169" s="32" t="str">
        <f>IMAGE("https://gymvisual.com/17679-catalog_default/resistance-band-side-step-with-horizontal-pallof-hold.jpg",4,500,500)</f>
        <v/>
      </c>
      <c r="B1169" s="30">
        <v>3168.0</v>
      </c>
      <c r="C1169" s="16" t="s">
        <v>4012</v>
      </c>
      <c r="D1169" s="16" t="s">
        <v>184</v>
      </c>
      <c r="E1169" s="16" t="s">
        <v>254</v>
      </c>
      <c r="F1169" s="16" t="s">
        <v>523</v>
      </c>
      <c r="G1169" s="16" t="s">
        <v>220</v>
      </c>
      <c r="H1169" s="16" t="s">
        <v>220</v>
      </c>
    </row>
    <row r="1170" ht="24.75" customHeight="1">
      <c r="A1170" s="32" t="str">
        <f>IMAGE("https://gymvisual.com/20401-catalog_default/resistance-band-single-arm-overhead-shoulder-press.jpg",4,500,500)</f>
        <v/>
      </c>
      <c r="B1170" s="30">
        <v>3169.0</v>
      </c>
      <c r="C1170" s="16" t="s">
        <v>4013</v>
      </c>
      <c r="D1170" s="16" t="s">
        <v>184</v>
      </c>
      <c r="E1170" s="16" t="s">
        <v>228</v>
      </c>
      <c r="F1170" s="16" t="s">
        <v>523</v>
      </c>
      <c r="G1170" s="16" t="s">
        <v>229</v>
      </c>
      <c r="H1170" s="16" t="s">
        <v>626</v>
      </c>
    </row>
    <row r="1171" ht="24.75" customHeight="1">
      <c r="A1171" s="32" t="str">
        <f>IMAGE("https://gymvisual.com/17677-catalog_default/resistance-band-single-stiff-leg-deadlift-with-single-arm-row.jpg",4,500,500)</f>
        <v/>
      </c>
      <c r="B1171" s="30">
        <v>3170.0</v>
      </c>
      <c r="C1171" s="16" t="s">
        <v>4014</v>
      </c>
      <c r="D1171" s="16" t="s">
        <v>184</v>
      </c>
      <c r="E1171" s="16" t="s">
        <v>192</v>
      </c>
      <c r="F1171" s="16" t="s">
        <v>523</v>
      </c>
      <c r="G1171" s="16" t="s">
        <v>220</v>
      </c>
      <c r="H1171" s="16" t="s">
        <v>220</v>
      </c>
    </row>
    <row r="1172" ht="24.75" customHeight="1">
      <c r="A1172" s="32" t="str">
        <f>IMAGE("https://gymvisual.com/17689-catalog_default/resistance-band-skier.jpg",4,500,500)</f>
        <v/>
      </c>
      <c r="B1172" s="30">
        <v>3171.0</v>
      </c>
      <c r="C1172" s="16" t="s">
        <v>4015</v>
      </c>
      <c r="D1172" s="16" t="s">
        <v>184</v>
      </c>
      <c r="E1172" s="16" t="s">
        <v>192</v>
      </c>
      <c r="F1172" s="16" t="s">
        <v>523</v>
      </c>
      <c r="G1172" s="16" t="s">
        <v>220</v>
      </c>
      <c r="H1172" s="16" t="s">
        <v>220</v>
      </c>
    </row>
    <row r="1173" ht="24.75" customHeight="1">
      <c r="A1173" s="32" t="str">
        <f>IMAGE("https://gymvisual.com/17711-catalog_default/resistance-band-smith-squat.jpg",4,500,500)</f>
        <v/>
      </c>
      <c r="B1173" s="30">
        <v>3172.0</v>
      </c>
      <c r="C1173" s="16" t="s">
        <v>4016</v>
      </c>
      <c r="D1173" s="16" t="s">
        <v>184</v>
      </c>
      <c r="E1173" s="16" t="s">
        <v>285</v>
      </c>
      <c r="F1173" s="16" t="s">
        <v>4017</v>
      </c>
      <c r="G1173" s="16" t="s">
        <v>220</v>
      </c>
      <c r="H1173" s="16" t="s">
        <v>220</v>
      </c>
    </row>
    <row r="1174" ht="24.75" customHeight="1">
      <c r="A1174" s="32" t="str">
        <f>IMAGE("https://gymvisual.com/12208-catalog_default/resistance-band-spider-crawls.jpg",4,500,500)</f>
        <v/>
      </c>
      <c r="B1174" s="30">
        <v>3173.0</v>
      </c>
      <c r="C1174" s="16" t="s">
        <v>4018</v>
      </c>
      <c r="D1174" s="16" t="s">
        <v>184</v>
      </c>
      <c r="E1174" s="16" t="s">
        <v>192</v>
      </c>
      <c r="F1174" s="16" t="s">
        <v>523</v>
      </c>
      <c r="G1174" s="16" t="s">
        <v>220</v>
      </c>
      <c r="H1174" s="16" t="s">
        <v>220</v>
      </c>
    </row>
    <row r="1175" ht="24.75" customHeight="1">
      <c r="A1175" s="32" t="str">
        <f>IMAGE("https://gymvisual.com/19731-catalog_default/resistance-band-split-squat.jpg",4,500,500)</f>
        <v/>
      </c>
      <c r="B1175" s="30">
        <v>3174.0</v>
      </c>
      <c r="C1175" s="16" t="s">
        <v>4019</v>
      </c>
      <c r="D1175" s="16" t="s">
        <v>184</v>
      </c>
      <c r="E1175" s="16" t="s">
        <v>285</v>
      </c>
      <c r="F1175" s="16" t="s">
        <v>523</v>
      </c>
      <c r="G1175" s="16" t="s">
        <v>189</v>
      </c>
      <c r="H1175" s="16" t="s">
        <v>190</v>
      </c>
    </row>
    <row r="1176" ht="24.75" customHeight="1">
      <c r="A1176" s="32" t="str">
        <f>IMAGE("https://gymvisual.com/17693-catalog_default/resistance-band-split-squat-with-horizontal-pallof-hold.jpg",4,500,500)</f>
        <v/>
      </c>
      <c r="B1176" s="30">
        <v>3175.0</v>
      </c>
      <c r="C1176" s="16" t="s">
        <v>4020</v>
      </c>
      <c r="D1176" s="16" t="s">
        <v>184</v>
      </c>
      <c r="E1176" s="16" t="s">
        <v>254</v>
      </c>
      <c r="F1176" s="16" t="s">
        <v>523</v>
      </c>
      <c r="G1176" s="16" t="s">
        <v>220</v>
      </c>
      <c r="H1176" s="16" t="s">
        <v>220</v>
      </c>
    </row>
    <row r="1177" ht="24.75" customHeight="1">
      <c r="A1177" s="32" t="str">
        <f>IMAGE("https://gymvisual.com/19465-catalog_default/resistance-band-squat.jpg",4,500,500)</f>
        <v/>
      </c>
      <c r="B1177" s="30">
        <v>3176.0</v>
      </c>
      <c r="C1177" s="16" t="s">
        <v>4021</v>
      </c>
      <c r="D1177" s="16" t="s">
        <v>184</v>
      </c>
      <c r="E1177" s="16" t="s">
        <v>285</v>
      </c>
      <c r="F1177" s="16" t="s">
        <v>523</v>
      </c>
      <c r="G1177" s="16" t="s">
        <v>220</v>
      </c>
      <c r="H1177" s="16" t="s">
        <v>220</v>
      </c>
    </row>
    <row r="1178" ht="24.75" customHeight="1">
      <c r="A1178" s="32" t="str">
        <f>IMAGE("https://gymvisual.com/17691-catalog_default/resistance-band-squat-with-horizontal-pallof-hold.jpg",4,500,500)</f>
        <v/>
      </c>
      <c r="B1178" s="30">
        <v>3177.0</v>
      </c>
      <c r="C1178" s="16" t="s">
        <v>4022</v>
      </c>
      <c r="D1178" s="16" t="s">
        <v>184</v>
      </c>
      <c r="E1178" s="16" t="s">
        <v>254</v>
      </c>
      <c r="F1178" s="16" t="s">
        <v>523</v>
      </c>
      <c r="G1178" s="16" t="s">
        <v>220</v>
      </c>
      <c r="H1178" s="16" t="s">
        <v>220</v>
      </c>
    </row>
    <row r="1179" ht="24.75" customHeight="1">
      <c r="A1179" s="32" t="str">
        <f>IMAGE("https://gymvisual.com/17671-catalog_default/resistance-band-squat-with-single-arm-row.jpg",4,500,500)</f>
        <v/>
      </c>
      <c r="B1179" s="30">
        <v>3178.0</v>
      </c>
      <c r="C1179" s="16" t="s">
        <v>4023</v>
      </c>
      <c r="D1179" s="16" t="s">
        <v>184</v>
      </c>
      <c r="E1179" s="16" t="s">
        <v>192</v>
      </c>
      <c r="F1179" s="16" t="s">
        <v>523</v>
      </c>
      <c r="G1179" s="16" t="s">
        <v>220</v>
      </c>
      <c r="H1179" s="16" t="s">
        <v>220</v>
      </c>
    </row>
    <row r="1180" ht="24.75" customHeight="1">
      <c r="A1180" s="32" t="str">
        <f>IMAGE("https://gymvisual.com/20399-catalog_default/resistance-band-standing-ab-crunch.jpg",4,500,500)</f>
        <v/>
      </c>
      <c r="B1180" s="30">
        <v>3179.0</v>
      </c>
      <c r="C1180" s="16" t="s">
        <v>4024</v>
      </c>
      <c r="D1180" s="16" t="s">
        <v>184</v>
      </c>
      <c r="E1180" s="16" t="s">
        <v>254</v>
      </c>
      <c r="F1180" s="16" t="s">
        <v>523</v>
      </c>
      <c r="G1180" s="16" t="s">
        <v>256</v>
      </c>
      <c r="H1180" s="16" t="s">
        <v>257</v>
      </c>
    </row>
    <row r="1181" ht="24.75" customHeight="1">
      <c r="A1181" s="32" t="str">
        <f>IMAGE("https://gymvisual.com/17705-catalog_default/resistance-band-standing-hip-abduction.jpg",4,500,500)</f>
        <v/>
      </c>
      <c r="B1181" s="30">
        <v>3180.0</v>
      </c>
      <c r="C1181" s="16" t="s">
        <v>4025</v>
      </c>
      <c r="D1181" s="16" t="s">
        <v>184</v>
      </c>
      <c r="E1181" s="16" t="s">
        <v>185</v>
      </c>
      <c r="F1181" s="16" t="s">
        <v>523</v>
      </c>
      <c r="G1181" s="16" t="s">
        <v>220</v>
      </c>
      <c r="H1181" s="16" t="s">
        <v>220</v>
      </c>
    </row>
    <row r="1182" ht="24.75" customHeight="1">
      <c r="A1182" s="32" t="str">
        <f>IMAGE("https://gymvisual.com/19365-catalog_default/resistance-band-supine-hip-bridge-march.jpg",4,500,500)</f>
        <v/>
      </c>
      <c r="B1182" s="30">
        <v>3181.0</v>
      </c>
      <c r="C1182" s="16" t="s">
        <v>4026</v>
      </c>
      <c r="D1182" s="16" t="s">
        <v>184</v>
      </c>
      <c r="E1182" s="16" t="s">
        <v>294</v>
      </c>
      <c r="F1182" s="16" t="s">
        <v>523</v>
      </c>
      <c r="G1182" s="16" t="s">
        <v>2412</v>
      </c>
      <c r="H1182" s="16" t="s">
        <v>552</v>
      </c>
    </row>
    <row r="1183" ht="24.75" customHeight="1">
      <c r="A1183" s="32" t="str">
        <f>IMAGE("https://gymvisual.com/10570-catalog_default/resistance-band-toe-touch.jpg",4,500,500)</f>
        <v/>
      </c>
      <c r="B1183" s="30">
        <v>3182.0</v>
      </c>
      <c r="C1183" s="16" t="s">
        <v>4027</v>
      </c>
      <c r="D1183" s="16" t="s">
        <v>184</v>
      </c>
      <c r="E1183" s="16" t="s">
        <v>185</v>
      </c>
      <c r="F1183" s="16" t="s">
        <v>523</v>
      </c>
      <c r="G1183" s="16" t="s">
        <v>1240</v>
      </c>
      <c r="H1183" s="16" t="s">
        <v>220</v>
      </c>
    </row>
    <row r="1184" ht="24.75" customHeight="1">
      <c r="A1184" s="32" t="str">
        <f>IMAGE("https://gymvisual.com/19729-catalog_default/resistance-band-triceps-pushdown.jpg",4,500,500)</f>
        <v/>
      </c>
      <c r="B1184" s="30">
        <v>3183.0</v>
      </c>
      <c r="C1184" s="16" t="s">
        <v>4028</v>
      </c>
      <c r="D1184" s="16" t="s">
        <v>184</v>
      </c>
      <c r="E1184" s="16" t="s">
        <v>219</v>
      </c>
      <c r="F1184" s="16" t="s">
        <v>523</v>
      </c>
      <c r="G1184" s="16" t="s">
        <v>223</v>
      </c>
      <c r="H1184" s="16" t="s">
        <v>220</v>
      </c>
    </row>
    <row r="1185" ht="24.75" customHeight="1">
      <c r="A1185" s="32" t="str">
        <f>IMAGE("https://gymvisual.com/20519-catalog_default/resistance-band-triceps-pushdown-female.jpg",4,500,500)</f>
        <v/>
      </c>
      <c r="B1185" s="30">
        <v>3184.0</v>
      </c>
      <c r="C1185" s="16" t="s">
        <v>4029</v>
      </c>
      <c r="D1185" s="16" t="s">
        <v>184</v>
      </c>
      <c r="E1185" s="16" t="s">
        <v>219</v>
      </c>
      <c r="F1185" s="16" t="s">
        <v>523</v>
      </c>
      <c r="G1185" s="16" t="s">
        <v>223</v>
      </c>
      <c r="H1185" s="16" t="s">
        <v>220</v>
      </c>
    </row>
    <row r="1186" ht="24.75" customHeight="1">
      <c r="A1186" s="32" t="str">
        <f>IMAGE("https://gymvisual.com/14034-catalog_default/resistance-band-upper-body-dead-bug.jpg",4,500,500)</f>
        <v/>
      </c>
      <c r="B1186" s="30">
        <v>3185.0</v>
      </c>
      <c r="C1186" s="16" t="s">
        <v>4030</v>
      </c>
      <c r="D1186" s="16" t="s">
        <v>184</v>
      </c>
      <c r="E1186" s="16" t="s">
        <v>310</v>
      </c>
      <c r="F1186" s="16" t="s">
        <v>523</v>
      </c>
      <c r="G1186" s="16" t="s">
        <v>305</v>
      </c>
      <c r="H1186" s="16" t="s">
        <v>4031</v>
      </c>
    </row>
    <row r="1187" ht="24.75" customHeight="1">
      <c r="A1187" s="32" t="str">
        <f>IMAGE("https://gymvisual.com/17683-catalog_default/resistance-band-upper-body-lying-air-bike.jpg",4,500,500)</f>
        <v/>
      </c>
      <c r="B1187" s="30">
        <v>3186.0</v>
      </c>
      <c r="C1187" s="16" t="s">
        <v>4032</v>
      </c>
      <c r="D1187" s="16" t="s">
        <v>184</v>
      </c>
      <c r="E1187" s="16" t="s">
        <v>254</v>
      </c>
      <c r="F1187" s="16" t="s">
        <v>523</v>
      </c>
      <c r="G1187" s="16" t="s">
        <v>220</v>
      </c>
      <c r="H1187" s="16" t="s">
        <v>220</v>
      </c>
    </row>
    <row r="1188" ht="24.75" customHeight="1">
      <c r="A1188" s="32" t="str">
        <f>IMAGE("https://gymvisual.com/22293-catalog_default/reverse-back-extension-on-floor.jpg",4,500,500)</f>
        <v/>
      </c>
      <c r="B1188" s="30">
        <v>3187.0</v>
      </c>
      <c r="C1188" s="16" t="s">
        <v>4033</v>
      </c>
      <c r="D1188" s="16" t="s">
        <v>184</v>
      </c>
      <c r="E1188" s="16" t="s">
        <v>185</v>
      </c>
      <c r="F1188" s="16" t="s">
        <v>255</v>
      </c>
      <c r="G1188" s="16" t="s">
        <v>220</v>
      </c>
      <c r="H1188" s="16" t="s">
        <v>220</v>
      </c>
    </row>
    <row r="1189" ht="24.75" customHeight="1">
      <c r="A1189" s="32" t="str">
        <f>IMAGE("https://gymvisual.com/2013-catalog_default/3-4-sit-up.jpg",4,500,500)</f>
        <v/>
      </c>
      <c r="B1189" s="30">
        <v>3188.0</v>
      </c>
      <c r="C1189" s="16" t="s">
        <v>4034</v>
      </c>
      <c r="D1189" s="16" t="s">
        <v>184</v>
      </c>
      <c r="E1189" s="16" t="s">
        <v>254</v>
      </c>
      <c r="F1189" s="16" t="s">
        <v>255</v>
      </c>
      <c r="G1189" s="16" t="s">
        <v>256</v>
      </c>
      <c r="H1189" s="16" t="s">
        <v>257</v>
      </c>
    </row>
    <row r="1190" ht="24.75" customHeight="1">
      <c r="A1190" s="32" t="str">
        <f>IMAGE("https://gymvisual.com/7635-catalog_default/reverse-crunch.jpg",4,500,500)</f>
        <v/>
      </c>
      <c r="B1190" s="30">
        <v>3189.0</v>
      </c>
      <c r="C1190" s="16" t="s">
        <v>4034</v>
      </c>
      <c r="D1190" s="16" t="s">
        <v>184</v>
      </c>
      <c r="E1190" s="16" t="s">
        <v>254</v>
      </c>
      <c r="F1190" s="16" t="s">
        <v>255</v>
      </c>
      <c r="G1190" s="16" t="s">
        <v>256</v>
      </c>
      <c r="H1190" s="16" t="s">
        <v>257</v>
      </c>
    </row>
    <row r="1191" ht="24.75" customHeight="1">
      <c r="A1191" s="32" t="str">
        <f>IMAGE("https://gymvisual.com/22738-catalog_default/reverse-crunch-version-2.jpg",4,500,500)</f>
        <v/>
      </c>
      <c r="B1191" s="30">
        <v>3190.0</v>
      </c>
      <c r="C1191" s="16" t="s">
        <v>4035</v>
      </c>
      <c r="D1191" s="16" t="s">
        <v>184</v>
      </c>
      <c r="E1191" s="16" t="s">
        <v>254</v>
      </c>
      <c r="F1191" s="16" t="s">
        <v>255</v>
      </c>
      <c r="G1191" s="16" t="s">
        <v>305</v>
      </c>
      <c r="H1191" s="16" t="s">
        <v>600</v>
      </c>
    </row>
    <row r="1192" ht="24.75" customHeight="1">
      <c r="A1192" s="32" t="str">
        <f>IMAGE("https://gymvisual.com/22295-catalog_default/reverse-crunch-version-3.jpg",4,500,500)</f>
        <v/>
      </c>
      <c r="B1192" s="30">
        <v>3191.0</v>
      </c>
      <c r="C1192" s="16" t="s">
        <v>4036</v>
      </c>
      <c r="D1192" s="16" t="s">
        <v>184</v>
      </c>
      <c r="E1192" s="16" t="s">
        <v>254</v>
      </c>
      <c r="F1192" s="16" t="s">
        <v>255</v>
      </c>
      <c r="G1192" s="16" t="s">
        <v>220</v>
      </c>
      <c r="H1192" s="16" t="s">
        <v>220</v>
      </c>
    </row>
    <row r="1193" ht="24.75" customHeight="1">
      <c r="A1193" s="32" t="str">
        <f>IMAGE("https://gymvisual.com/18250-catalog_default/reverse-crunch-kick.jpg",4,500,500)</f>
        <v/>
      </c>
      <c r="B1193" s="30">
        <v>3192.0</v>
      </c>
      <c r="C1193" s="16" t="s">
        <v>4037</v>
      </c>
      <c r="D1193" s="16" t="s">
        <v>184</v>
      </c>
      <c r="E1193" s="16" t="s">
        <v>254</v>
      </c>
      <c r="F1193" s="16" t="s">
        <v>255</v>
      </c>
      <c r="G1193" s="16" t="s">
        <v>2640</v>
      </c>
      <c r="H1193" s="16" t="s">
        <v>1840</v>
      </c>
    </row>
    <row r="1194" ht="24.75" customHeight="1">
      <c r="A1194" s="32" t="str">
        <f>IMAGE("https://gymvisual.com/17895-catalog_default/reverse-crunch-to-dead-bug-male.jpg",4,500,500)</f>
        <v/>
      </c>
      <c r="B1194" s="30">
        <v>3193.0</v>
      </c>
      <c r="C1194" s="16" t="s">
        <v>4038</v>
      </c>
      <c r="D1194" s="16" t="s">
        <v>184</v>
      </c>
      <c r="E1194" s="16" t="s">
        <v>254</v>
      </c>
      <c r="F1194" s="16" t="s">
        <v>255</v>
      </c>
      <c r="G1194" s="16" t="s">
        <v>220</v>
      </c>
      <c r="H1194" s="16" t="s">
        <v>220</v>
      </c>
    </row>
    <row r="1195" ht="24.75" customHeight="1">
      <c r="A1195" s="32" t="str">
        <f>IMAGE("https://gymvisual.com/2016-catalog_default/3-4-sit-up.jpg",4,500,500)</f>
        <v/>
      </c>
      <c r="B1195" s="30">
        <v>3194.0</v>
      </c>
      <c r="C1195" s="16" t="s">
        <v>4039</v>
      </c>
      <c r="D1195" s="16" t="s">
        <v>184</v>
      </c>
      <c r="E1195" s="16" t="s">
        <v>219</v>
      </c>
      <c r="F1195" s="16" t="s">
        <v>255</v>
      </c>
      <c r="G1195" s="16" t="s">
        <v>223</v>
      </c>
      <c r="H1195" s="16" t="s">
        <v>472</v>
      </c>
    </row>
    <row r="1196" ht="24.75" customHeight="1">
      <c r="A1196" s="32" t="str">
        <f>IMAGE("https://gymvisual.com/18820-catalog_default/reverse-dip-female.jpg",4,500,500)</f>
        <v/>
      </c>
      <c r="B1196" s="30">
        <v>3195.0</v>
      </c>
      <c r="C1196" s="16" t="s">
        <v>4040</v>
      </c>
      <c r="D1196" s="16" t="s">
        <v>184</v>
      </c>
      <c r="E1196" s="16" t="s">
        <v>219</v>
      </c>
      <c r="F1196" s="16" t="s">
        <v>255</v>
      </c>
      <c r="G1196" s="16" t="s">
        <v>223</v>
      </c>
      <c r="H1196" s="16" t="s">
        <v>394</v>
      </c>
    </row>
    <row r="1197" ht="24.75" customHeight="1">
      <c r="A1197" s="32" t="str">
        <f>IMAGE("https://gymvisual.com/22297-catalog_default/reverse-flutter-kick-on-floor-hand-under-head.jpg",4,500,500)</f>
        <v/>
      </c>
      <c r="B1197" s="30">
        <v>3196.0</v>
      </c>
      <c r="C1197" s="16" t="s">
        <v>4041</v>
      </c>
      <c r="D1197" s="16" t="s">
        <v>184</v>
      </c>
      <c r="E1197" s="16" t="s">
        <v>185</v>
      </c>
      <c r="F1197" s="16" t="s">
        <v>255</v>
      </c>
      <c r="G1197" s="16" t="s">
        <v>220</v>
      </c>
      <c r="H1197" s="16" t="s">
        <v>220</v>
      </c>
    </row>
    <row r="1198" ht="24.75" customHeight="1">
      <c r="A1198" s="32" t="str">
        <f>IMAGE("https://gymvisual.com/22510-catalog_default/reverse-flutter-kick-on-floor-hand-under-head.jpg",4,500,500)</f>
        <v/>
      </c>
      <c r="B1198" s="30">
        <v>3197.0</v>
      </c>
      <c r="C1198" s="16" t="s">
        <v>4041</v>
      </c>
      <c r="D1198" s="16" t="s">
        <v>184</v>
      </c>
      <c r="E1198" s="16" t="s">
        <v>185</v>
      </c>
      <c r="F1198" s="16" t="s">
        <v>255</v>
      </c>
      <c r="G1198" s="16" t="s">
        <v>220</v>
      </c>
      <c r="H1198" s="16" t="s">
        <v>220</v>
      </c>
    </row>
    <row r="1199" ht="24.75" customHeight="1">
      <c r="A1199" s="32" t="str">
        <f>IMAGE("https://gymvisual.com/2019-catalog_default/3-4-sit-up.jpg",4,500,500)</f>
        <v/>
      </c>
      <c r="B1199" s="30">
        <v>3198.0</v>
      </c>
      <c r="C1199" s="16" t="s">
        <v>4042</v>
      </c>
      <c r="D1199" s="16" t="s">
        <v>184</v>
      </c>
      <c r="E1199" s="16" t="s">
        <v>192</v>
      </c>
      <c r="F1199" s="16" t="s">
        <v>346</v>
      </c>
      <c r="G1199" s="16" t="s">
        <v>300</v>
      </c>
      <c r="H1199" s="16" t="s">
        <v>1733</v>
      </c>
    </row>
    <row r="1200" ht="24.75" customHeight="1">
      <c r="A1200" s="32" t="str">
        <f>IMAGE("https://gymvisual.com/14294-catalog_default/reverse-grip-machine-lat-pulldown-female.jpg",4,500,500)</f>
        <v/>
      </c>
      <c r="B1200" s="30">
        <v>3199.0</v>
      </c>
      <c r="C1200" s="16" t="s">
        <v>4043</v>
      </c>
      <c r="D1200" s="16" t="s">
        <v>184</v>
      </c>
      <c r="E1200" s="16" t="s">
        <v>192</v>
      </c>
      <c r="F1200" s="16" t="s">
        <v>346</v>
      </c>
      <c r="G1200" s="16" t="s">
        <v>300</v>
      </c>
      <c r="H1200" s="16" t="s">
        <v>1733</v>
      </c>
    </row>
    <row r="1201" ht="24.75" customHeight="1">
      <c r="A1201" s="32" t="str">
        <f>IMAGE("https://gymvisual.com/2022-catalog_default/3-4-sit-up.jpg",4,500,500)</f>
        <v/>
      </c>
      <c r="B1201" s="30">
        <v>3200.0</v>
      </c>
      <c r="C1201" s="16" t="s">
        <v>4044</v>
      </c>
      <c r="D1201" s="16" t="s">
        <v>184</v>
      </c>
      <c r="E1201" s="16" t="s">
        <v>192</v>
      </c>
      <c r="F1201" s="16" t="s">
        <v>255</v>
      </c>
      <c r="G1201" s="16" t="s">
        <v>300</v>
      </c>
      <c r="H1201" s="16" t="s">
        <v>4045</v>
      </c>
    </row>
    <row r="1202" ht="24.75" customHeight="1">
      <c r="A1202" s="32" t="str">
        <f>IMAGE("https://gymvisual.com/17134-catalog_default/reverse-grip-pull-up-female.jpg",4,500,500)</f>
        <v/>
      </c>
      <c r="B1202" s="30">
        <v>3201.0</v>
      </c>
      <c r="C1202" s="16" t="s">
        <v>4046</v>
      </c>
      <c r="D1202" s="16" t="s">
        <v>184</v>
      </c>
      <c r="E1202" s="16" t="s">
        <v>192</v>
      </c>
      <c r="F1202" s="16" t="s">
        <v>255</v>
      </c>
      <c r="G1202" s="16" t="s">
        <v>329</v>
      </c>
      <c r="H1202" s="16" t="s">
        <v>357</v>
      </c>
    </row>
    <row r="1203" ht="24.75" customHeight="1">
      <c r="A1203" s="32" t="str">
        <f>IMAGE("https://gymvisual.com/2025-catalog_default/3-4-sit-up.jpg",4,500,500)</f>
        <v/>
      </c>
      <c r="B1203" s="30">
        <v>3202.0</v>
      </c>
      <c r="C1203" s="16" t="s">
        <v>4047</v>
      </c>
      <c r="D1203" s="16" t="s">
        <v>184</v>
      </c>
      <c r="E1203" s="16" t="s">
        <v>285</v>
      </c>
      <c r="F1203" s="16" t="s">
        <v>399</v>
      </c>
      <c r="G1203" s="16" t="s">
        <v>267</v>
      </c>
      <c r="H1203" s="16" t="s">
        <v>188</v>
      </c>
    </row>
    <row r="1204" ht="24.75" customHeight="1">
      <c r="A1204" s="32" t="str">
        <f>IMAGE("https://gymvisual.com/6275-catalog_default/reverse-hyper-on-flat-bench.jpg",4,500,500)</f>
        <v/>
      </c>
      <c r="B1204" s="30">
        <v>3203.0</v>
      </c>
      <c r="C1204" s="16" t="s">
        <v>4048</v>
      </c>
      <c r="D1204" s="16" t="s">
        <v>184</v>
      </c>
      <c r="E1204" s="16" t="s">
        <v>185</v>
      </c>
      <c r="F1204" s="16" t="s">
        <v>255</v>
      </c>
      <c r="G1204" s="16" t="s">
        <v>187</v>
      </c>
      <c r="H1204" s="16" t="s">
        <v>188</v>
      </c>
    </row>
    <row r="1205" ht="24.75" customHeight="1">
      <c r="A1205" s="32" t="str">
        <f>IMAGE("https://gymvisual.com/22474-catalog_default/reverse-leg-extension-female.jpg",4,500,500)</f>
        <v/>
      </c>
      <c r="B1205" s="30">
        <v>3204.0</v>
      </c>
      <c r="C1205" s="16" t="s">
        <v>4049</v>
      </c>
      <c r="D1205" s="16" t="s">
        <v>184</v>
      </c>
      <c r="E1205" s="16" t="s">
        <v>185</v>
      </c>
      <c r="F1205" s="16" t="s">
        <v>255</v>
      </c>
      <c r="G1205" s="16" t="s">
        <v>220</v>
      </c>
      <c r="H1205" s="16" t="s">
        <v>220</v>
      </c>
    </row>
    <row r="1206" ht="24.75" customHeight="1">
      <c r="A1206" s="32" t="str">
        <f>IMAGE("https://gymvisual.com/2028-catalog_default/3-4-sit-up.jpg",4,500,500)</f>
        <v/>
      </c>
      <c r="B1206" s="30">
        <v>3205.0</v>
      </c>
      <c r="C1206" s="16" t="s">
        <v>4050</v>
      </c>
      <c r="D1206" s="16" t="s">
        <v>184</v>
      </c>
      <c r="E1206" s="16" t="s">
        <v>285</v>
      </c>
      <c r="F1206" s="16" t="s">
        <v>255</v>
      </c>
      <c r="G1206" s="16" t="s">
        <v>189</v>
      </c>
      <c r="H1206" s="16" t="s">
        <v>683</v>
      </c>
    </row>
    <row r="1207" ht="24.75" customHeight="1">
      <c r="A1207" s="32" t="str">
        <f>IMAGE("https://gymvisual.com/20644-catalog_default/reverse-plank.jpg",4,500,500)</f>
        <v/>
      </c>
      <c r="B1207" s="30">
        <v>3206.0</v>
      </c>
      <c r="C1207" s="16" t="s">
        <v>4051</v>
      </c>
      <c r="D1207" s="16" t="s">
        <v>184</v>
      </c>
      <c r="E1207" s="16" t="s">
        <v>192</v>
      </c>
      <c r="F1207" s="16" t="s">
        <v>255</v>
      </c>
      <c r="G1207" s="16" t="s">
        <v>2848</v>
      </c>
      <c r="H1207" s="16" t="s">
        <v>4052</v>
      </c>
    </row>
    <row r="1208" ht="24.75" customHeight="1">
      <c r="A1208" s="32" t="str">
        <f>IMAGE("https://gymvisual.com/22486-catalog_default/reverse-plank-version-2.jpg",4,500,500)</f>
        <v/>
      </c>
      <c r="B1208" s="30">
        <v>3207.0</v>
      </c>
      <c r="C1208" s="16" t="s">
        <v>4053</v>
      </c>
      <c r="D1208" s="16" t="s">
        <v>184</v>
      </c>
      <c r="E1208" s="16" t="s">
        <v>254</v>
      </c>
      <c r="F1208" s="16" t="s">
        <v>255</v>
      </c>
      <c r="G1208" s="16" t="s">
        <v>220</v>
      </c>
      <c r="H1208" s="16" t="s">
        <v>220</v>
      </c>
    </row>
    <row r="1209" ht="24.75" customHeight="1">
      <c r="A1209" s="32" t="str">
        <f>IMAGE("https://gymvisual.com/24071-catalog_default/reverse-plank-on-elbows.jpg",4,500,500)</f>
        <v/>
      </c>
      <c r="B1209" s="30">
        <v>3208.0</v>
      </c>
      <c r="C1209" s="16" t="s">
        <v>4054</v>
      </c>
      <c r="D1209" s="16" t="s">
        <v>184</v>
      </c>
      <c r="E1209" s="16" t="s">
        <v>254</v>
      </c>
      <c r="F1209" s="16" t="s">
        <v>255</v>
      </c>
      <c r="G1209" s="16" t="s">
        <v>220</v>
      </c>
      <c r="H1209" s="16" t="s">
        <v>220</v>
      </c>
    </row>
    <row r="1210" ht="24.75" customHeight="1">
      <c r="A1210" s="32" t="str">
        <f>IMAGE("https://gymvisual.com/16607-catalog_default/reverse-push-up.jpg",4,500,500)</f>
        <v/>
      </c>
      <c r="B1210" s="30">
        <v>3209.0</v>
      </c>
      <c r="C1210" s="16" t="s">
        <v>4055</v>
      </c>
      <c r="D1210" s="16" t="s">
        <v>184</v>
      </c>
      <c r="E1210" s="16" t="s">
        <v>219</v>
      </c>
      <c r="F1210" s="16" t="s">
        <v>255</v>
      </c>
      <c r="G1210" s="16" t="s">
        <v>223</v>
      </c>
      <c r="H1210" s="16" t="s">
        <v>1817</v>
      </c>
    </row>
    <row r="1211" ht="24.75" customHeight="1">
      <c r="A1211" s="32" t="str">
        <f>IMAGE("https://gymvisual.com/22442-catalog_default/reverse-sliding-leg-curl-on-floor-with-towel.jpg",4,500,500)</f>
        <v/>
      </c>
      <c r="B1211" s="30">
        <v>3210.0</v>
      </c>
      <c r="C1211" s="16" t="s">
        <v>4056</v>
      </c>
      <c r="D1211" s="16" t="s">
        <v>184</v>
      </c>
      <c r="E1211" s="16" t="s">
        <v>285</v>
      </c>
      <c r="F1211" s="16" t="s">
        <v>255</v>
      </c>
      <c r="G1211" s="16" t="s">
        <v>220</v>
      </c>
      <c r="H1211" s="16" t="s">
        <v>220</v>
      </c>
    </row>
    <row r="1212" ht="24.75" customHeight="1">
      <c r="A1212" s="32" t="str">
        <f>IMAGE("https://gymvisual.com/22508-catalog_default/ring-alternate-superman-female.jpg",4,500,500)</f>
        <v/>
      </c>
      <c r="B1212" s="30">
        <v>3211.0</v>
      </c>
      <c r="C1212" s="16" t="s">
        <v>4057</v>
      </c>
      <c r="D1212" s="16" t="s">
        <v>184</v>
      </c>
      <c r="E1212" s="16" t="s">
        <v>254</v>
      </c>
      <c r="F1212" s="16" t="s">
        <v>255</v>
      </c>
      <c r="G1212" s="16" t="s">
        <v>220</v>
      </c>
      <c r="H1212" s="16" t="s">
        <v>220</v>
      </c>
    </row>
    <row r="1213" ht="24.75" customHeight="1">
      <c r="A1213" s="32" t="str">
        <f>IMAGE("https://gymvisual.com/22480-catalog_default/ring-chest-fly.jpg",4,500,500)</f>
        <v/>
      </c>
      <c r="B1213" s="30">
        <v>3212.0</v>
      </c>
      <c r="C1213" s="16" t="s">
        <v>4058</v>
      </c>
      <c r="D1213" s="16" t="s">
        <v>184</v>
      </c>
      <c r="E1213" s="16" t="s">
        <v>234</v>
      </c>
      <c r="F1213" s="16" t="s">
        <v>255</v>
      </c>
      <c r="G1213" s="16" t="s">
        <v>220</v>
      </c>
      <c r="H1213" s="16" t="s">
        <v>220</v>
      </c>
    </row>
    <row r="1214" ht="24.75" customHeight="1">
      <c r="A1214" s="32" t="str">
        <f>IMAGE("https://gymvisual.com/20638-catalog_default/3-4-sit-up.jpg",4,500,500)</f>
        <v/>
      </c>
      <c r="B1214" s="30">
        <v>3213.0</v>
      </c>
      <c r="C1214" s="16" t="s">
        <v>4059</v>
      </c>
      <c r="D1214" s="16" t="s">
        <v>184</v>
      </c>
      <c r="E1214" s="16" t="s">
        <v>219</v>
      </c>
      <c r="F1214" s="16" t="s">
        <v>255</v>
      </c>
      <c r="G1214" s="16" t="s">
        <v>223</v>
      </c>
      <c r="H1214" s="16" t="s">
        <v>472</v>
      </c>
    </row>
    <row r="1215" ht="24.75" customHeight="1">
      <c r="A1215" s="32" t="str">
        <f>IMAGE("https://gymvisual.com/22343-catalog_default/ring-elevated-row.jpg",4,500,500)</f>
        <v/>
      </c>
      <c r="B1215" s="30">
        <v>3214.0</v>
      </c>
      <c r="C1215" s="16" t="s">
        <v>4060</v>
      </c>
      <c r="D1215" s="16" t="s">
        <v>184</v>
      </c>
      <c r="E1215" s="16" t="s">
        <v>192</v>
      </c>
      <c r="F1215" s="16" t="s">
        <v>255</v>
      </c>
      <c r="G1215" s="16" t="s">
        <v>220</v>
      </c>
      <c r="H1215" s="16" t="s">
        <v>220</v>
      </c>
    </row>
    <row r="1216" ht="24.75" customHeight="1">
      <c r="A1216" s="32" t="str">
        <f>IMAGE("https://gymvisual.com/20507-catalog_default/ring-high-row.jpg",4,500,500)</f>
        <v/>
      </c>
      <c r="B1216" s="30">
        <v>3215.0</v>
      </c>
      <c r="C1216" s="16" t="s">
        <v>4061</v>
      </c>
      <c r="D1216" s="16" t="s">
        <v>184</v>
      </c>
      <c r="E1216" s="16" t="s">
        <v>192</v>
      </c>
      <c r="F1216" s="16" t="s">
        <v>3009</v>
      </c>
      <c r="G1216" s="16" t="s">
        <v>329</v>
      </c>
      <c r="H1216" s="16" t="s">
        <v>447</v>
      </c>
    </row>
    <row r="1217" ht="24.75" customHeight="1">
      <c r="A1217" s="32" t="str">
        <f>IMAGE("https://gymvisual.com/20521-catalog_default/ring-high-row-female.jpg",4,500,500)</f>
        <v/>
      </c>
      <c r="B1217" s="30">
        <v>3216.0</v>
      </c>
      <c r="C1217" s="16" t="s">
        <v>4062</v>
      </c>
      <c r="D1217" s="16" t="s">
        <v>184</v>
      </c>
      <c r="E1217" s="16" t="s">
        <v>192</v>
      </c>
      <c r="F1217" s="16" t="s">
        <v>3009</v>
      </c>
      <c r="G1217" s="16" t="s">
        <v>329</v>
      </c>
      <c r="H1217" s="16" t="s">
        <v>447</v>
      </c>
    </row>
    <row r="1218" ht="24.75" customHeight="1">
      <c r="A1218" s="32" t="str">
        <f>IMAGE("https://gymvisual.com/20728-catalog_default/ring-kneeling-ab-rollout.jpg",4,500,500)</f>
        <v/>
      </c>
      <c r="B1218" s="30">
        <v>3217.0</v>
      </c>
      <c r="C1218" s="16" t="s">
        <v>4063</v>
      </c>
      <c r="D1218" s="16" t="s">
        <v>184</v>
      </c>
      <c r="E1218" s="16" t="s">
        <v>254</v>
      </c>
      <c r="F1218" s="16" t="s">
        <v>3009</v>
      </c>
      <c r="G1218" s="16" t="s">
        <v>260</v>
      </c>
      <c r="H1218" s="16" t="s">
        <v>220</v>
      </c>
    </row>
    <row r="1219" ht="24.75" customHeight="1">
      <c r="A1219" s="32" t="str">
        <f>IMAGE("https://gymvisual.com/22345-catalog_default/ring-leg-curl.jpg",4,500,500)</f>
        <v/>
      </c>
      <c r="B1219" s="30">
        <v>3218.0</v>
      </c>
      <c r="C1219" s="16" t="s">
        <v>4064</v>
      </c>
      <c r="D1219" s="16" t="s">
        <v>184</v>
      </c>
      <c r="E1219" s="16" t="s">
        <v>285</v>
      </c>
      <c r="F1219" s="16" t="s">
        <v>255</v>
      </c>
      <c r="G1219" s="16" t="s">
        <v>220</v>
      </c>
      <c r="H1219" s="16" t="s">
        <v>220</v>
      </c>
    </row>
    <row r="1220" ht="24.75" customHeight="1">
      <c r="A1220" s="32" t="str">
        <f>IMAGE("https://gymvisual.com/22470-catalog_default/ring-leg-curl-version-2.jpg",4,500,500)</f>
        <v/>
      </c>
      <c r="B1220" s="30">
        <v>3219.0</v>
      </c>
      <c r="C1220" s="16" t="s">
        <v>4065</v>
      </c>
      <c r="D1220" s="16" t="s">
        <v>184</v>
      </c>
      <c r="E1220" s="16" t="s">
        <v>285</v>
      </c>
      <c r="F1220" s="16" t="s">
        <v>255</v>
      </c>
      <c r="G1220" s="16" t="s">
        <v>220</v>
      </c>
      <c r="H1220" s="16" t="s">
        <v>220</v>
      </c>
    </row>
    <row r="1221" ht="24.75" customHeight="1">
      <c r="A1221" s="32" t="str">
        <f>IMAGE("https://gymvisual.com/22347-catalog_default/ring-reverse-ab-rollout.jpg",4,500,500)</f>
        <v/>
      </c>
      <c r="B1221" s="30">
        <v>3220.0</v>
      </c>
      <c r="C1221" s="16" t="s">
        <v>4066</v>
      </c>
      <c r="D1221" s="16" t="s">
        <v>184</v>
      </c>
      <c r="E1221" s="16" t="s">
        <v>254</v>
      </c>
      <c r="F1221" s="16" t="s">
        <v>255</v>
      </c>
      <c r="G1221" s="16" t="s">
        <v>220</v>
      </c>
      <c r="H1221" s="16" t="s">
        <v>220</v>
      </c>
    </row>
    <row r="1222" ht="24.75" customHeight="1">
      <c r="A1222" s="32" t="str">
        <f>IMAGE("https://gymvisual.com/22482-catalog_default/ring-reverse-fly.jpg",4,500,500)</f>
        <v/>
      </c>
      <c r="B1222" s="30">
        <v>3221.0</v>
      </c>
      <c r="C1222" s="16" t="s">
        <v>4067</v>
      </c>
      <c r="D1222" s="16" t="s">
        <v>184</v>
      </c>
      <c r="E1222" s="16" t="s">
        <v>228</v>
      </c>
      <c r="F1222" s="16" t="s">
        <v>255</v>
      </c>
      <c r="G1222" s="16" t="s">
        <v>220</v>
      </c>
      <c r="H1222" s="16" t="s">
        <v>220</v>
      </c>
    </row>
    <row r="1223" ht="24.75" customHeight="1">
      <c r="A1223" s="32" t="str">
        <f>IMAGE("https://gymvisual.com/20732-catalog_default/ring-rollout-female.jpg",4,500,500)</f>
        <v/>
      </c>
      <c r="B1223" s="30">
        <v>3222.0</v>
      </c>
      <c r="C1223" s="16" t="s">
        <v>4068</v>
      </c>
      <c r="D1223" s="16" t="s">
        <v>184</v>
      </c>
      <c r="E1223" s="16" t="s">
        <v>254</v>
      </c>
      <c r="F1223" s="16" t="s">
        <v>3009</v>
      </c>
      <c r="G1223" s="16" t="s">
        <v>260</v>
      </c>
      <c r="H1223" s="16" t="s">
        <v>220</v>
      </c>
    </row>
    <row r="1224" ht="24.75" customHeight="1">
      <c r="A1224" s="32" t="str">
        <f>IMAGE("https://gymvisual.com/11613-catalog_default/rocky-pull-up-pulldown-female.jpg",4,500,500)</f>
        <v/>
      </c>
      <c r="B1224" s="30">
        <v>3223.0</v>
      </c>
      <c r="C1224" s="16" t="s">
        <v>4069</v>
      </c>
      <c r="D1224" s="16" t="s">
        <v>184</v>
      </c>
      <c r="E1224" s="16" t="s">
        <v>192</v>
      </c>
      <c r="F1224" s="16" t="s">
        <v>255</v>
      </c>
      <c r="G1224" s="16" t="s">
        <v>220</v>
      </c>
      <c r="H1224" s="16" t="s">
        <v>220</v>
      </c>
    </row>
    <row r="1225" ht="24.75" customHeight="1">
      <c r="A1225" s="32" t="str">
        <f>IMAGE("https://gymvisual.com/2034-catalog_default/3-4-sit-up.jpg",4,500,500)</f>
        <v/>
      </c>
      <c r="B1225" s="30">
        <v>3224.0</v>
      </c>
      <c r="C1225" s="16" t="s">
        <v>4070</v>
      </c>
      <c r="D1225" s="16" t="s">
        <v>184</v>
      </c>
      <c r="E1225" s="16" t="s">
        <v>192</v>
      </c>
      <c r="F1225" s="16" t="s">
        <v>255</v>
      </c>
      <c r="G1225" s="16" t="s">
        <v>300</v>
      </c>
      <c r="H1225" s="16" t="s">
        <v>535</v>
      </c>
    </row>
    <row r="1226" ht="24.75" customHeight="1">
      <c r="A1226" s="32" t="str">
        <f>IMAGE("https://gymvisual.com/2037-catalog_default/3-4-sit-up.jpg",4,500,500)</f>
        <v/>
      </c>
      <c r="B1226" s="30">
        <v>3225.0</v>
      </c>
      <c r="C1226" s="16" t="s">
        <v>4071</v>
      </c>
      <c r="D1226" s="16" t="s">
        <v>184</v>
      </c>
      <c r="E1226" s="16" t="s">
        <v>254</v>
      </c>
      <c r="F1226" s="16" t="s">
        <v>255</v>
      </c>
      <c r="G1226" s="16" t="s">
        <v>260</v>
      </c>
      <c r="H1226" s="16" t="s">
        <v>4072</v>
      </c>
    </row>
    <row r="1227" ht="24.75" customHeight="1">
      <c r="A1227" s="32" t="str">
        <f>IMAGE("https://gymvisual.com/13604-catalog_default/roman-chair-sit-up.jpg",4,500,500)</f>
        <v/>
      </c>
      <c r="B1227" s="30">
        <v>3226.0</v>
      </c>
      <c r="C1227" s="16" t="s">
        <v>4073</v>
      </c>
      <c r="D1227" s="16" t="s">
        <v>184</v>
      </c>
      <c r="E1227" s="16" t="s">
        <v>254</v>
      </c>
      <c r="F1227" s="16" t="s">
        <v>255</v>
      </c>
      <c r="G1227" s="16" t="s">
        <v>256</v>
      </c>
      <c r="H1227" s="16" t="s">
        <v>257</v>
      </c>
    </row>
    <row r="1228" ht="24.75" customHeight="1">
      <c r="A1228" s="32" t="str">
        <f>IMAGE("https://gymvisual.com/17781-catalog_default/romanian-chair-sit-up-version-2.jpg",4,500,500)</f>
        <v/>
      </c>
      <c r="B1228" s="30">
        <v>3227.0</v>
      </c>
      <c r="C1228" s="16" t="s">
        <v>4074</v>
      </c>
      <c r="D1228" s="16" t="s">
        <v>184</v>
      </c>
      <c r="E1228" s="16" t="s">
        <v>185</v>
      </c>
      <c r="F1228" s="16" t="s">
        <v>255</v>
      </c>
      <c r="G1228" s="16" t="s">
        <v>220</v>
      </c>
      <c r="H1228" s="16" t="s">
        <v>220</v>
      </c>
    </row>
    <row r="1229" ht="24.75" customHeight="1">
      <c r="A1229" s="32" t="str">
        <f>IMAGE("https://gymvisual.com/2039-catalog_default/3-4-sit-up.jpg",4,500,500)</f>
        <v/>
      </c>
      <c r="B1229" s="30">
        <v>3228.0</v>
      </c>
      <c r="C1229" s="16" t="s">
        <v>4075</v>
      </c>
      <c r="D1229" s="16" t="s">
        <v>184</v>
      </c>
      <c r="E1229" s="16" t="s">
        <v>192</v>
      </c>
      <c r="F1229" s="16" t="s">
        <v>1160</v>
      </c>
      <c r="G1229" s="16" t="s">
        <v>329</v>
      </c>
      <c r="H1229" s="16" t="s">
        <v>457</v>
      </c>
    </row>
    <row r="1230" ht="24.75" customHeight="1">
      <c r="A1230" s="32" t="str">
        <f>IMAGE("https://gymvisual.com/19341-catalog_default/3-4-sit-up.jpg",4,500,500)</f>
        <v/>
      </c>
      <c r="B1230" s="30">
        <v>3229.0</v>
      </c>
      <c r="C1230" s="16" t="s">
        <v>4076</v>
      </c>
      <c r="D1230" s="16" t="s">
        <v>184</v>
      </c>
      <c r="E1230" s="16" t="s">
        <v>254</v>
      </c>
      <c r="F1230" s="16" t="s">
        <v>255</v>
      </c>
      <c r="G1230" s="16" t="s">
        <v>1874</v>
      </c>
      <c r="H1230" s="16" t="s">
        <v>4077</v>
      </c>
    </row>
    <row r="1231" ht="24.75" customHeight="1">
      <c r="A1231" s="32" t="str">
        <f>IMAGE("https://gymvisual.com/2042-catalog_default/3-4-sit-up.jpg",4,500,500)</f>
        <v/>
      </c>
      <c r="B1231" s="30">
        <v>3230.0</v>
      </c>
      <c r="C1231" s="16" t="s">
        <v>4078</v>
      </c>
      <c r="D1231" s="16" t="s">
        <v>184</v>
      </c>
      <c r="E1231" s="16" t="s">
        <v>254</v>
      </c>
      <c r="F1231" s="16" t="s">
        <v>255</v>
      </c>
      <c r="G1231" s="16" t="s">
        <v>4079</v>
      </c>
      <c r="H1231" s="16" t="s">
        <v>4080</v>
      </c>
    </row>
    <row r="1232" ht="24.75" customHeight="1">
      <c r="A1232" s="32" t="str">
        <f>IMAGE("https://gymvisual.com/14133-catalog_default/rotational-push-up.jpg",4,500,500)</f>
        <v/>
      </c>
      <c r="B1232" s="30">
        <v>3231.0</v>
      </c>
      <c r="C1232" s="16" t="s">
        <v>4081</v>
      </c>
      <c r="D1232" s="16" t="s">
        <v>184</v>
      </c>
      <c r="E1232" s="16" t="s">
        <v>3260</v>
      </c>
      <c r="F1232" s="16" t="s">
        <v>255</v>
      </c>
      <c r="G1232" s="16" t="s">
        <v>1874</v>
      </c>
      <c r="H1232" s="16" t="s">
        <v>3261</v>
      </c>
    </row>
    <row r="1233" ht="24.75" customHeight="1">
      <c r="A1233" s="32" t="str">
        <f>IMAGE("https://gymvisual.com/23851-catalog_default/rounded-back-extension.jpg",4,500,500)</f>
        <v/>
      </c>
      <c r="B1233" s="30">
        <v>3232.0</v>
      </c>
      <c r="C1233" s="16" t="s">
        <v>4082</v>
      </c>
      <c r="D1233" s="16" t="s">
        <v>184</v>
      </c>
      <c r="E1233" s="16" t="s">
        <v>185</v>
      </c>
      <c r="F1233" s="16" t="s">
        <v>255</v>
      </c>
      <c r="G1233" s="16" t="s">
        <v>220</v>
      </c>
      <c r="H1233" s="16" t="s">
        <v>220</v>
      </c>
    </row>
    <row r="1234" ht="24.75" customHeight="1">
      <c r="A1234" s="32" t="str">
        <f>IMAGE("https://gymvisual.com/17542-catalog_default/3-4-sit-up.jpg",4,500,500)</f>
        <v/>
      </c>
      <c r="B1234" s="30">
        <v>3233.0</v>
      </c>
      <c r="C1234" s="16" t="s">
        <v>4083</v>
      </c>
      <c r="D1234" s="16" t="s">
        <v>184</v>
      </c>
      <c r="E1234" s="16" t="s">
        <v>254</v>
      </c>
      <c r="F1234" s="16" t="s">
        <v>255</v>
      </c>
      <c r="G1234" s="16" t="s">
        <v>257</v>
      </c>
      <c r="H1234" s="16" t="s">
        <v>271</v>
      </c>
    </row>
    <row r="1235" ht="24.75" customHeight="1">
      <c r="A1235" s="32" t="str">
        <f>IMAGE("https://gymvisual.com/11173-catalog_default/russian-twist-female.jpg",4,500,500)</f>
        <v/>
      </c>
      <c r="B1235" s="30">
        <v>3234.0</v>
      </c>
      <c r="C1235" s="16" t="s">
        <v>4084</v>
      </c>
      <c r="D1235" s="16" t="s">
        <v>184</v>
      </c>
      <c r="E1235" s="16" t="s">
        <v>254</v>
      </c>
      <c r="F1235" s="16" t="s">
        <v>255</v>
      </c>
      <c r="G1235" s="16" t="s">
        <v>257</v>
      </c>
      <c r="H1235" s="16" t="s">
        <v>271</v>
      </c>
    </row>
    <row r="1236" ht="24.75" customHeight="1">
      <c r="A1236" s="32" t="str">
        <f>IMAGE("https://gymvisual.com/2057-catalog_default/3-4-sit-up.jpg",4,500,500)</f>
        <v/>
      </c>
      <c r="B1236" s="30">
        <v>3235.0</v>
      </c>
      <c r="C1236" s="16" t="s">
        <v>4085</v>
      </c>
      <c r="D1236" s="16" t="s">
        <v>184</v>
      </c>
      <c r="E1236" s="16" t="s">
        <v>254</v>
      </c>
      <c r="F1236" s="16" t="s">
        <v>399</v>
      </c>
      <c r="G1236" s="16" t="s">
        <v>257</v>
      </c>
      <c r="H1236" s="16" t="s">
        <v>271</v>
      </c>
    </row>
    <row r="1237" ht="24.75" customHeight="1">
      <c r="A1237" s="32" t="str">
        <f>IMAGE("https://gymvisual.com/4623-catalog_default/russian-twist-with-medicine-ball.jpg",4,500,500)</f>
        <v/>
      </c>
      <c r="B1237" s="30">
        <v>3236.0</v>
      </c>
      <c r="C1237" s="16" t="s">
        <v>4086</v>
      </c>
      <c r="D1237" s="16" t="s">
        <v>184</v>
      </c>
      <c r="E1237" s="16" t="s">
        <v>254</v>
      </c>
      <c r="F1237" s="16" t="s">
        <v>373</v>
      </c>
      <c r="G1237" s="16" t="s">
        <v>257</v>
      </c>
      <c r="H1237" s="16" t="s">
        <v>256</v>
      </c>
    </row>
    <row r="1238" ht="24.75" customHeight="1">
      <c r="A1238" s="32" t="str">
        <f>IMAGE("https://gymvisual.com/22781-catalog_default/russian-twist-with-hands-on-chest-female.jpg",4,500,500)</f>
        <v/>
      </c>
      <c r="B1238" s="30">
        <v>3237.0</v>
      </c>
      <c r="C1238" s="16" t="s">
        <v>4087</v>
      </c>
      <c r="D1238" s="16" t="s">
        <v>184</v>
      </c>
      <c r="E1238" s="16" t="s">
        <v>254</v>
      </c>
      <c r="F1238" s="16" t="s">
        <v>255</v>
      </c>
      <c r="G1238" s="16" t="s">
        <v>257</v>
      </c>
      <c r="H1238" s="16" t="s">
        <v>271</v>
      </c>
    </row>
    <row r="1239" ht="24.75" customHeight="1">
      <c r="A1239" s="32" t="str">
        <f>IMAGE("https://gymvisual.com/18071-catalog_default/safety-bar-elevated-heel-squat.jpg",4,500,500)</f>
        <v/>
      </c>
      <c r="B1239" s="30">
        <v>3238.0</v>
      </c>
      <c r="C1239" s="16" t="s">
        <v>4088</v>
      </c>
      <c r="D1239" s="16" t="s">
        <v>184</v>
      </c>
      <c r="E1239" s="16" t="s">
        <v>285</v>
      </c>
      <c r="F1239" s="16" t="s">
        <v>255</v>
      </c>
      <c r="G1239" s="16" t="s">
        <v>220</v>
      </c>
      <c r="H1239" s="16" t="s">
        <v>220</v>
      </c>
    </row>
    <row r="1240" ht="24.75" customHeight="1">
      <c r="A1240" s="32" t="str">
        <f>IMAGE("https://gymvisual.com/18069-catalog_default/safety-bar-front-squat.jpg",4,500,500)</f>
        <v/>
      </c>
      <c r="B1240" s="30">
        <v>3239.0</v>
      </c>
      <c r="C1240" s="16" t="s">
        <v>4089</v>
      </c>
      <c r="D1240" s="16" t="s">
        <v>184</v>
      </c>
      <c r="E1240" s="16" t="s">
        <v>285</v>
      </c>
      <c r="F1240" s="16" t="s">
        <v>255</v>
      </c>
      <c r="G1240" s="16" t="s">
        <v>220</v>
      </c>
      <c r="H1240" s="16" t="s">
        <v>220</v>
      </c>
    </row>
    <row r="1241" ht="24.75" customHeight="1">
      <c r="A1241" s="32" t="str">
        <f>IMAGE("https://gymvisual.com/26126-catalog_default/safety-bar-good-morning-male.jpg",4,500,500)</f>
        <v/>
      </c>
      <c r="B1241" s="30">
        <v>3240.0</v>
      </c>
      <c r="C1241" s="16" t="s">
        <v>4090</v>
      </c>
      <c r="D1241" s="16" t="s">
        <v>184</v>
      </c>
      <c r="E1241" s="16" t="s">
        <v>185</v>
      </c>
      <c r="F1241" s="16" t="s">
        <v>255</v>
      </c>
      <c r="G1241" s="16" t="s">
        <v>220</v>
      </c>
      <c r="H1241" s="16" t="s">
        <v>220</v>
      </c>
    </row>
    <row r="1242" ht="24.75" customHeight="1">
      <c r="A1242" s="32" t="str">
        <f>IMAGE("https://gymvisual.com/7328-catalog_default/sagittal-plane-lunge-with-overhead-medicine-ball-press.jpg",4,500,500)</f>
        <v/>
      </c>
      <c r="B1242" s="30">
        <v>3241.0</v>
      </c>
      <c r="C1242" s="16" t="s">
        <v>4091</v>
      </c>
      <c r="D1242" s="16" t="s">
        <v>184</v>
      </c>
      <c r="E1242" s="16" t="s">
        <v>285</v>
      </c>
      <c r="F1242" s="16" t="s">
        <v>373</v>
      </c>
      <c r="G1242" s="16" t="s">
        <v>220</v>
      </c>
      <c r="H1242" s="16" t="s">
        <v>220</v>
      </c>
    </row>
    <row r="1243" ht="24.75" customHeight="1">
      <c r="A1243" s="32" t="str">
        <f>IMAGE("https://gymvisual.com/12403-catalog_default/scapula-dips.jpg",4,500,500)</f>
        <v/>
      </c>
      <c r="B1243" s="30">
        <v>3242.0</v>
      </c>
      <c r="C1243" s="16" t="s">
        <v>4092</v>
      </c>
      <c r="D1243" s="16" t="s">
        <v>184</v>
      </c>
      <c r="E1243" s="16" t="s">
        <v>192</v>
      </c>
      <c r="F1243" s="16" t="s">
        <v>255</v>
      </c>
      <c r="G1243" s="16" t="s">
        <v>239</v>
      </c>
      <c r="H1243" s="16" t="s">
        <v>4008</v>
      </c>
    </row>
    <row r="1244" ht="24.75" customHeight="1">
      <c r="A1244" s="32" t="str">
        <f>IMAGE("https://gymvisual.com/17274-catalog_default/scapula-dips-female.jpg",4,500,500)</f>
        <v/>
      </c>
      <c r="B1244" s="30">
        <v>3243.0</v>
      </c>
      <c r="C1244" s="16" t="s">
        <v>4093</v>
      </c>
      <c r="D1244" s="16" t="s">
        <v>184</v>
      </c>
      <c r="E1244" s="16" t="s">
        <v>192</v>
      </c>
      <c r="F1244" s="16" t="s">
        <v>255</v>
      </c>
      <c r="G1244" s="16" t="s">
        <v>239</v>
      </c>
      <c r="H1244" s="16" t="s">
        <v>4008</v>
      </c>
    </row>
    <row r="1245" ht="24.75" customHeight="1">
      <c r="A1245" s="32" t="str">
        <f>IMAGE("https://gymvisual.com/12430-catalog_default/scapula-push-up.jpg",4,500,500)</f>
        <v/>
      </c>
      <c r="B1245" s="30">
        <v>3244.0</v>
      </c>
      <c r="C1245" s="16" t="s">
        <v>4094</v>
      </c>
      <c r="D1245" s="16" t="s">
        <v>184</v>
      </c>
      <c r="E1245" s="16" t="s">
        <v>234</v>
      </c>
      <c r="F1245" s="16" t="s">
        <v>255</v>
      </c>
      <c r="G1245" s="16" t="s">
        <v>885</v>
      </c>
      <c r="H1245" s="16" t="s">
        <v>1621</v>
      </c>
    </row>
    <row r="1246" ht="24.75" customHeight="1">
      <c r="A1246" s="32" t="str">
        <f>IMAGE("https://gymvisual.com/2063-catalog_default/3-4-sit-up.jpg",4,500,500)</f>
        <v/>
      </c>
      <c r="B1246" s="30">
        <v>3245.0</v>
      </c>
      <c r="C1246" s="16" t="s">
        <v>4095</v>
      </c>
      <c r="D1246" s="16" t="s">
        <v>184</v>
      </c>
      <c r="E1246" s="16" t="s">
        <v>192</v>
      </c>
      <c r="F1246" s="16" t="s">
        <v>255</v>
      </c>
      <c r="G1246" s="16" t="s">
        <v>4096</v>
      </c>
      <c r="H1246" s="16" t="s">
        <v>300</v>
      </c>
    </row>
    <row r="1247" ht="24.75" customHeight="1">
      <c r="A1247" s="32" t="str">
        <f>IMAGE("https://gymvisual.com/12210-catalog_default/scapular-slide-back-to-wall.jpg",4,500,500)</f>
        <v/>
      </c>
      <c r="B1247" s="30">
        <v>3246.0</v>
      </c>
      <c r="C1247" s="16" t="s">
        <v>4097</v>
      </c>
      <c r="D1247" s="16" t="s">
        <v>184</v>
      </c>
      <c r="E1247" s="16" t="s">
        <v>192</v>
      </c>
      <c r="F1247" s="16" t="s">
        <v>255</v>
      </c>
      <c r="G1247" s="16" t="s">
        <v>4008</v>
      </c>
      <c r="H1247" s="16" t="s">
        <v>408</v>
      </c>
    </row>
    <row r="1248" ht="24.75" customHeight="1">
      <c r="A1248" s="32" t="str">
        <f>IMAGE("https://gymvisual.com/12084-catalog_default/scissors-advanced-female.jpg",4,500,500)</f>
        <v/>
      </c>
      <c r="B1248" s="30">
        <v>3247.0</v>
      </c>
      <c r="C1248" s="16" t="s">
        <v>4098</v>
      </c>
      <c r="D1248" s="16" t="s">
        <v>184</v>
      </c>
      <c r="E1248" s="16" t="s">
        <v>254</v>
      </c>
      <c r="F1248" s="16" t="s">
        <v>255</v>
      </c>
      <c r="G1248" s="16" t="s">
        <v>220</v>
      </c>
      <c r="H1248" s="16" t="s">
        <v>220</v>
      </c>
    </row>
    <row r="1249" ht="24.75" customHeight="1">
      <c r="A1249" s="32" t="str">
        <f>IMAGE("https://gymvisual.com/14236-catalog_default/scissors-advanced-male.jpg",4,500,500)</f>
        <v/>
      </c>
      <c r="B1249" s="30">
        <v>3248.0</v>
      </c>
      <c r="C1249" s="16" t="s">
        <v>4099</v>
      </c>
      <c r="D1249" s="16" t="s">
        <v>184</v>
      </c>
      <c r="E1249" s="16" t="s">
        <v>310</v>
      </c>
      <c r="F1249" s="16" t="s">
        <v>255</v>
      </c>
      <c r="G1249" s="16" t="s">
        <v>2845</v>
      </c>
      <c r="H1249" s="16" t="s">
        <v>4100</v>
      </c>
    </row>
    <row r="1250" ht="24.75" customHeight="1">
      <c r="A1250" s="32" t="str">
        <f>IMAGE("https://gymvisual.com/12083-catalog_default/scissors-beginner-female.jpg",4,500,500)</f>
        <v/>
      </c>
      <c r="B1250" s="30">
        <v>3249.0</v>
      </c>
      <c r="C1250" s="16" t="s">
        <v>4101</v>
      </c>
      <c r="D1250" s="16" t="s">
        <v>184</v>
      </c>
      <c r="E1250" s="16" t="s">
        <v>185</v>
      </c>
      <c r="F1250" s="16" t="s">
        <v>255</v>
      </c>
      <c r="G1250" s="16" t="s">
        <v>220</v>
      </c>
      <c r="H1250" s="16" t="s">
        <v>220</v>
      </c>
    </row>
    <row r="1251" ht="24.75" customHeight="1">
      <c r="A1251" s="32" t="str">
        <f>IMAGE("https://gymvisual.com/22111-catalog_default/seated-8-leg-crunch.jpg",4,500,500)</f>
        <v/>
      </c>
      <c r="B1251" s="30">
        <v>3250.0</v>
      </c>
      <c r="C1251" s="16" t="s">
        <v>4102</v>
      </c>
      <c r="D1251" s="16" t="s">
        <v>184</v>
      </c>
      <c r="E1251" s="16" t="s">
        <v>254</v>
      </c>
      <c r="F1251" s="16" t="s">
        <v>255</v>
      </c>
      <c r="G1251" s="16" t="s">
        <v>4103</v>
      </c>
      <c r="H1251" s="16" t="s">
        <v>4104</v>
      </c>
    </row>
    <row r="1252" ht="24.75" customHeight="1">
      <c r="A1252" s="32" t="str">
        <f>IMAGE("https://gymvisual.com/17294-catalog_default/seated-alternate-crunch.jpg",4,500,500)</f>
        <v/>
      </c>
      <c r="B1252" s="30">
        <v>3251.0</v>
      </c>
      <c r="C1252" s="16" t="s">
        <v>4105</v>
      </c>
      <c r="D1252" s="16" t="s">
        <v>184</v>
      </c>
      <c r="E1252" s="16" t="s">
        <v>310</v>
      </c>
      <c r="F1252" s="16" t="s">
        <v>255</v>
      </c>
      <c r="G1252" s="16" t="s">
        <v>305</v>
      </c>
      <c r="H1252" s="16" t="s">
        <v>1306</v>
      </c>
    </row>
    <row r="1253" ht="24.75" customHeight="1">
      <c r="A1253" s="32" t="str">
        <f>IMAGE("https://gymvisual.com/24129-catalog_default/seated-back-squeeze-female.jpg",4,500,500)</f>
        <v/>
      </c>
      <c r="B1253" s="30">
        <v>3252.0</v>
      </c>
      <c r="C1253" s="16" t="s">
        <v>4106</v>
      </c>
      <c r="D1253" s="16" t="s">
        <v>184</v>
      </c>
      <c r="E1253" s="16" t="s">
        <v>192</v>
      </c>
      <c r="F1253" s="16" t="s">
        <v>2745</v>
      </c>
      <c r="G1253" s="16" t="s">
        <v>220</v>
      </c>
      <c r="H1253" s="16" t="s">
        <v>220</v>
      </c>
    </row>
    <row r="1254" ht="24.75" customHeight="1">
      <c r="A1254" s="32" t="str">
        <f>IMAGE("https://gymvisual.com/24133-catalog_default/seated-back-twist-female.jpg",4,500,500)</f>
        <v/>
      </c>
      <c r="B1254" s="30">
        <v>3253.0</v>
      </c>
      <c r="C1254" s="16" t="s">
        <v>4107</v>
      </c>
      <c r="D1254" s="16" t="s">
        <v>184</v>
      </c>
      <c r="E1254" s="16" t="s">
        <v>254</v>
      </c>
      <c r="F1254" s="16" t="s">
        <v>255</v>
      </c>
      <c r="G1254" s="16" t="s">
        <v>220</v>
      </c>
      <c r="H1254" s="16" t="s">
        <v>220</v>
      </c>
    </row>
    <row r="1255" ht="24.75" customHeight="1">
      <c r="A1255" s="32" t="str">
        <f>IMAGE("https://gymvisual.com/24141-catalog_default/seated-ballerina-female.jpg",4,500,500)</f>
        <v/>
      </c>
      <c r="B1255" s="30">
        <v>3254.0</v>
      </c>
      <c r="C1255" s="16" t="s">
        <v>4108</v>
      </c>
      <c r="D1255" s="16" t="s">
        <v>184</v>
      </c>
      <c r="E1255" s="16" t="s">
        <v>228</v>
      </c>
      <c r="F1255" s="16" t="s">
        <v>399</v>
      </c>
      <c r="G1255" s="16" t="s">
        <v>220</v>
      </c>
      <c r="H1255" s="16" t="s">
        <v>220</v>
      </c>
    </row>
    <row r="1256" ht="24.75" customHeight="1">
      <c r="A1256" s="32" t="str">
        <f>IMAGE("https://gymvisual.com/24139-catalog_default/seated-behind-back-raise-female.jpg",4,500,500)</f>
        <v/>
      </c>
      <c r="B1256" s="30">
        <v>3255.0</v>
      </c>
      <c r="C1256" s="16" t="s">
        <v>4109</v>
      </c>
      <c r="D1256" s="16" t="s">
        <v>184</v>
      </c>
      <c r="E1256" s="16" t="s">
        <v>192</v>
      </c>
      <c r="F1256" s="16" t="s">
        <v>255</v>
      </c>
      <c r="G1256" s="16" t="s">
        <v>220</v>
      </c>
      <c r="H1256" s="16" t="s">
        <v>220</v>
      </c>
    </row>
    <row r="1257" ht="24.75" customHeight="1">
      <c r="A1257" s="32" t="str">
        <f>IMAGE("https://gymvisual.com/23689-catalog_default/seated-chest-clam.jpg",4,500,500)</f>
        <v/>
      </c>
      <c r="B1257" s="30">
        <v>3256.0</v>
      </c>
      <c r="C1257" s="16" t="s">
        <v>4110</v>
      </c>
      <c r="D1257" s="16" t="s">
        <v>184</v>
      </c>
      <c r="E1257" s="16" t="s">
        <v>234</v>
      </c>
      <c r="F1257" s="16" t="s">
        <v>255</v>
      </c>
      <c r="G1257" s="16" t="s">
        <v>472</v>
      </c>
      <c r="H1257" s="16" t="s">
        <v>220</v>
      </c>
    </row>
    <row r="1258" ht="24.75" customHeight="1">
      <c r="A1258" s="32" t="str">
        <f>IMAGE("https://gymvisual.com/24095-catalog_default/seated-chin-tuck.jpg",4,500,500)</f>
        <v/>
      </c>
      <c r="B1258" s="30">
        <v>3257.0</v>
      </c>
      <c r="C1258" s="16" t="s">
        <v>4111</v>
      </c>
      <c r="D1258" s="16" t="s">
        <v>184</v>
      </c>
      <c r="E1258" s="16" t="s">
        <v>351</v>
      </c>
      <c r="F1258" s="16" t="s">
        <v>255</v>
      </c>
      <c r="G1258" s="16" t="s">
        <v>220</v>
      </c>
      <c r="H1258" s="16" t="s">
        <v>220</v>
      </c>
    </row>
    <row r="1259" ht="24.75" customHeight="1">
      <c r="A1259" s="32" t="str">
        <f>IMAGE("https://gymvisual.com/20710-catalog_default/seated-chin-up.jpg",4,500,500)</f>
        <v/>
      </c>
      <c r="B1259" s="30">
        <v>3258.0</v>
      </c>
      <c r="C1259" s="16" t="s">
        <v>4112</v>
      </c>
      <c r="D1259" s="16" t="s">
        <v>184</v>
      </c>
      <c r="E1259" s="16" t="s">
        <v>192</v>
      </c>
      <c r="F1259" s="16" t="s">
        <v>255</v>
      </c>
      <c r="G1259" s="16" t="s">
        <v>329</v>
      </c>
      <c r="H1259" s="16" t="s">
        <v>447</v>
      </c>
    </row>
    <row r="1260" ht="24.75" customHeight="1">
      <c r="A1260" s="32" t="str">
        <f>IMAGE("https://gymvisual.com/20708-catalog_default/seated-chin-up-low-bar-position.jpg",4,500,500)</f>
        <v/>
      </c>
      <c r="B1260" s="30">
        <v>3259.0</v>
      </c>
      <c r="C1260" s="16" t="s">
        <v>4113</v>
      </c>
      <c r="D1260" s="16" t="s">
        <v>184</v>
      </c>
      <c r="E1260" s="16" t="s">
        <v>192</v>
      </c>
      <c r="F1260" s="16" t="s">
        <v>255</v>
      </c>
      <c r="G1260" s="16" t="s">
        <v>329</v>
      </c>
      <c r="H1260" s="16" t="s">
        <v>447</v>
      </c>
    </row>
    <row r="1261" ht="24.75" customHeight="1">
      <c r="A1261" s="32" t="str">
        <f>IMAGE("https://gymvisual.com/20505-catalog_default/seated-commando-pull-up.jpg",4,500,500)</f>
        <v/>
      </c>
      <c r="B1261" s="30">
        <v>3260.0</v>
      </c>
      <c r="C1261" s="16" t="s">
        <v>4114</v>
      </c>
      <c r="D1261" s="16" t="s">
        <v>184</v>
      </c>
      <c r="E1261" s="16" t="s">
        <v>361</v>
      </c>
      <c r="F1261" s="16" t="s">
        <v>255</v>
      </c>
      <c r="G1261" s="16" t="s">
        <v>329</v>
      </c>
      <c r="H1261" s="16" t="s">
        <v>357</v>
      </c>
    </row>
    <row r="1262" ht="24.75" customHeight="1">
      <c r="A1262" s="32" t="str">
        <f>IMAGE("https://gymvisual.com/13906-catalog_default/seated-flexion-and-extension-neck-male.jpg",4,500,500)</f>
        <v/>
      </c>
      <c r="B1262" s="30">
        <v>3261.0</v>
      </c>
      <c r="C1262" s="16" t="s">
        <v>4115</v>
      </c>
      <c r="D1262" s="16" t="s">
        <v>184</v>
      </c>
      <c r="E1262" s="16" t="s">
        <v>351</v>
      </c>
      <c r="F1262" s="16" t="s">
        <v>255</v>
      </c>
      <c r="G1262" s="16" t="s">
        <v>4116</v>
      </c>
      <c r="H1262" s="16" t="s">
        <v>220</v>
      </c>
    </row>
    <row r="1263" ht="24.75" customHeight="1">
      <c r="A1263" s="32" t="str">
        <f>IMAGE("https://gymvisual.com/17300-catalog_default/seated-flutter-kick.jpg",4,500,500)</f>
        <v/>
      </c>
      <c r="B1263" s="30">
        <v>3262.0</v>
      </c>
      <c r="C1263" s="16" t="s">
        <v>4117</v>
      </c>
      <c r="D1263" s="16" t="s">
        <v>184</v>
      </c>
      <c r="E1263" s="16" t="s">
        <v>254</v>
      </c>
      <c r="F1263" s="16" t="s">
        <v>255</v>
      </c>
      <c r="G1263" s="16" t="s">
        <v>305</v>
      </c>
      <c r="H1263" s="16" t="s">
        <v>600</v>
      </c>
    </row>
    <row r="1264" ht="24.75" customHeight="1">
      <c r="A1264" s="32" t="str">
        <f>IMAGE("https://gymvisual.com/24149-catalog_default/seated-foot-slide.jpg",4,500,500)</f>
        <v/>
      </c>
      <c r="B1264" s="30">
        <v>3263.0</v>
      </c>
      <c r="C1264" s="16" t="s">
        <v>4118</v>
      </c>
      <c r="D1264" s="16" t="s">
        <v>184</v>
      </c>
      <c r="E1264" s="16" t="s">
        <v>325</v>
      </c>
      <c r="F1264" s="16" t="s">
        <v>255</v>
      </c>
      <c r="G1264" s="16" t="s">
        <v>220</v>
      </c>
      <c r="H1264" s="16" t="s">
        <v>220</v>
      </c>
    </row>
    <row r="1265" ht="24.75" customHeight="1">
      <c r="A1265" s="32" t="str">
        <f>IMAGE("https://gymvisual.com/14028-catalog_default/seated-in-out-leg-raise-on-floor.jpg",4,500,500)</f>
        <v/>
      </c>
      <c r="B1265" s="30">
        <v>3264.0</v>
      </c>
      <c r="C1265" s="16" t="s">
        <v>4119</v>
      </c>
      <c r="D1265" s="16" t="s">
        <v>184</v>
      </c>
      <c r="E1265" s="16" t="s">
        <v>522</v>
      </c>
      <c r="F1265" s="16" t="s">
        <v>255</v>
      </c>
      <c r="G1265" s="16" t="s">
        <v>2640</v>
      </c>
      <c r="H1265" s="16" t="s">
        <v>1206</v>
      </c>
    </row>
    <row r="1266" ht="24.75" customHeight="1">
      <c r="A1266" s="32" t="str">
        <f>IMAGE("https://gymvisual.com/23589-catalog_default/seated-in-out-leg-raise-on-floor-female.jpg",4,500,500)</f>
        <v/>
      </c>
      <c r="B1266" s="30">
        <v>3265.0</v>
      </c>
      <c r="C1266" s="16" t="s">
        <v>4120</v>
      </c>
      <c r="D1266" s="16" t="s">
        <v>184</v>
      </c>
      <c r="E1266" s="16" t="s">
        <v>254</v>
      </c>
      <c r="F1266" s="16" t="s">
        <v>255</v>
      </c>
      <c r="G1266" s="16" t="s">
        <v>305</v>
      </c>
      <c r="H1266" s="16" t="s">
        <v>600</v>
      </c>
    </row>
    <row r="1267" ht="24.75" customHeight="1">
      <c r="A1267" s="32" t="str">
        <f>IMAGE("https://gymvisual.com/2066-catalog_default/3-4-sit-up.jpg",4,500,500)</f>
        <v/>
      </c>
      <c r="B1267" s="30">
        <v>3266.0</v>
      </c>
      <c r="C1267" s="16" t="s">
        <v>4121</v>
      </c>
      <c r="D1267" s="16" t="s">
        <v>184</v>
      </c>
      <c r="E1267" s="16" t="s">
        <v>254</v>
      </c>
      <c r="F1267" s="16" t="s">
        <v>255</v>
      </c>
      <c r="G1267" s="16" t="s">
        <v>256</v>
      </c>
      <c r="H1267" s="16" t="s">
        <v>424</v>
      </c>
    </row>
    <row r="1268" ht="24.75" customHeight="1">
      <c r="A1268" s="32" t="str">
        <f>IMAGE("https://gymvisual.com/11176-catalog_default/seated-leg-raise-female.jpg",4,500,500)</f>
        <v/>
      </c>
      <c r="B1268" s="30">
        <v>3267.0</v>
      </c>
      <c r="C1268" s="16" t="s">
        <v>4122</v>
      </c>
      <c r="D1268" s="16" t="s">
        <v>184</v>
      </c>
      <c r="E1268" s="16" t="s">
        <v>310</v>
      </c>
      <c r="F1268" s="16" t="s">
        <v>255</v>
      </c>
      <c r="G1268" s="16" t="s">
        <v>220</v>
      </c>
      <c r="H1268" s="16" t="s">
        <v>220</v>
      </c>
    </row>
    <row r="1269" ht="24.75" customHeight="1">
      <c r="A1269" s="32" t="str">
        <f>IMAGE("https://gymvisual.com/24135-catalog_default/seated-neck-tap-female.jpg",4,500,500)</f>
        <v/>
      </c>
      <c r="B1269" s="30">
        <v>3268.0</v>
      </c>
      <c r="C1269" s="16" t="s">
        <v>4123</v>
      </c>
      <c r="D1269" s="16" t="s">
        <v>184</v>
      </c>
      <c r="E1269" s="16" t="s">
        <v>219</v>
      </c>
      <c r="F1269" s="16" t="s">
        <v>255</v>
      </c>
      <c r="G1269" s="16" t="s">
        <v>220</v>
      </c>
      <c r="H1269" s="16" t="s">
        <v>220</v>
      </c>
    </row>
    <row r="1270" ht="24.75" customHeight="1">
      <c r="A1270" s="32" t="str">
        <f>IMAGE("https://gymvisual.com/20714-catalog_default/seated-pull-up.jpg",4,500,500)</f>
        <v/>
      </c>
      <c r="B1270" s="30">
        <v>3269.0</v>
      </c>
      <c r="C1270" s="16" t="s">
        <v>4124</v>
      </c>
      <c r="D1270" s="16" t="s">
        <v>184</v>
      </c>
      <c r="E1270" s="16" t="s">
        <v>192</v>
      </c>
      <c r="F1270" s="16" t="s">
        <v>255</v>
      </c>
      <c r="G1270" s="16" t="s">
        <v>329</v>
      </c>
      <c r="H1270" s="16" t="s">
        <v>447</v>
      </c>
    </row>
    <row r="1271" ht="24.75" customHeight="1">
      <c r="A1271" s="32" t="str">
        <f>IMAGE("https://gymvisual.com/22299-catalog_default/seated-pull-up-legs-elevated.jpg",4,500,500)</f>
        <v/>
      </c>
      <c r="B1271" s="30">
        <v>3270.0</v>
      </c>
      <c r="C1271" s="16" t="s">
        <v>4125</v>
      </c>
      <c r="D1271" s="16" t="s">
        <v>184</v>
      </c>
      <c r="E1271" s="16" t="s">
        <v>192</v>
      </c>
      <c r="F1271" s="16" t="s">
        <v>255</v>
      </c>
      <c r="G1271" s="16" t="s">
        <v>220</v>
      </c>
      <c r="H1271" s="16" t="s">
        <v>220</v>
      </c>
    </row>
    <row r="1272" ht="24.75" customHeight="1">
      <c r="A1272" s="32" t="str">
        <f>IMAGE("https://gymvisual.com/20712-catalog_default/seated-pull-up-low-bar-position.jpg",4,500,500)</f>
        <v/>
      </c>
      <c r="B1272" s="30">
        <v>3271.0</v>
      </c>
      <c r="C1272" s="16" t="s">
        <v>4126</v>
      </c>
      <c r="D1272" s="16" t="s">
        <v>184</v>
      </c>
      <c r="E1272" s="16" t="s">
        <v>192</v>
      </c>
      <c r="F1272" s="16" t="s">
        <v>255</v>
      </c>
      <c r="G1272" s="16" t="s">
        <v>329</v>
      </c>
      <c r="H1272" s="16" t="s">
        <v>447</v>
      </c>
    </row>
    <row r="1273" ht="24.75" customHeight="1">
      <c r="A1273" s="32" t="str">
        <f>IMAGE("https://gymvisual.com/14127-catalog_default/seated-pull-up-between-chairs.jpg",4,500,500)</f>
        <v/>
      </c>
      <c r="B1273" s="30">
        <v>3272.0</v>
      </c>
      <c r="C1273" s="16" t="s">
        <v>4127</v>
      </c>
      <c r="D1273" s="16" t="s">
        <v>184</v>
      </c>
      <c r="E1273" s="16" t="s">
        <v>192</v>
      </c>
      <c r="F1273" s="16" t="s">
        <v>255</v>
      </c>
      <c r="G1273" s="16" t="s">
        <v>300</v>
      </c>
      <c r="H1273" s="16" t="s">
        <v>3413</v>
      </c>
    </row>
    <row r="1274" ht="24.75" customHeight="1">
      <c r="A1274" s="32" t="str">
        <f>IMAGE("https://gymvisual.com/24137-catalog_default/seated-pulse-back-squeeze-female.jpg",4,500,500)</f>
        <v/>
      </c>
      <c r="B1274" s="30">
        <v>3273.0</v>
      </c>
      <c r="C1274" s="16" t="s">
        <v>4128</v>
      </c>
      <c r="D1274" s="16" t="s">
        <v>184</v>
      </c>
      <c r="E1274" s="16" t="s">
        <v>192</v>
      </c>
      <c r="F1274" s="16" t="s">
        <v>2745</v>
      </c>
      <c r="G1274" s="16" t="s">
        <v>220</v>
      </c>
      <c r="H1274" s="16" t="s">
        <v>220</v>
      </c>
    </row>
    <row r="1275" ht="24.75" customHeight="1">
      <c r="A1275" s="32" t="str">
        <f>IMAGE("https://gymvisual.com/22101-catalog_default/seated-row-with-towel.jpg",4,500,500)</f>
        <v/>
      </c>
      <c r="B1275" s="30">
        <v>3274.0</v>
      </c>
      <c r="C1275" s="16" t="s">
        <v>4129</v>
      </c>
      <c r="D1275" s="16" t="s">
        <v>184</v>
      </c>
      <c r="E1275" s="16" t="s">
        <v>192</v>
      </c>
      <c r="F1275" s="16" t="s">
        <v>255</v>
      </c>
      <c r="G1275" s="16" t="s">
        <v>570</v>
      </c>
      <c r="H1275" s="16" t="s">
        <v>447</v>
      </c>
    </row>
    <row r="1276" ht="24.75" customHeight="1">
      <c r="A1276" s="32" t="str">
        <f>IMAGE("https://gymvisual.com/2072-catalog_default/3-4-sit-up.jpg",4,500,500)</f>
        <v/>
      </c>
      <c r="B1276" s="30">
        <v>3275.0</v>
      </c>
      <c r="C1276" s="16" t="s">
        <v>4130</v>
      </c>
      <c r="D1276" s="16" t="s">
        <v>184</v>
      </c>
      <c r="E1276" s="16" t="s">
        <v>254</v>
      </c>
      <c r="F1276" s="16" t="s">
        <v>255</v>
      </c>
      <c r="G1276" s="16" t="s">
        <v>1328</v>
      </c>
      <c r="H1276" s="16" t="s">
        <v>190</v>
      </c>
    </row>
    <row r="1277" ht="24.75" customHeight="1">
      <c r="A1277" s="32" t="str">
        <f>IMAGE("https://gymvisual.com/17379-catalog_default/seated-side-to-side-leg-raise-crunch-on-floor.jpg",4,500,500)</f>
        <v/>
      </c>
      <c r="B1277" s="30">
        <v>3276.0</v>
      </c>
      <c r="C1277" s="16" t="s">
        <v>4131</v>
      </c>
      <c r="D1277" s="16" t="s">
        <v>184</v>
      </c>
      <c r="E1277" s="16" t="s">
        <v>254</v>
      </c>
      <c r="F1277" s="16" t="s">
        <v>255</v>
      </c>
      <c r="G1277" s="16" t="s">
        <v>263</v>
      </c>
      <c r="H1277" s="16" t="s">
        <v>4132</v>
      </c>
    </row>
    <row r="1278" ht="24.75" customHeight="1">
      <c r="A1278" s="32" t="str">
        <f>IMAGE("https://gymvisual.com/23691-catalog_default/seated-sky-look.jpg",4,500,500)</f>
        <v/>
      </c>
      <c r="B1278" s="30">
        <v>3277.0</v>
      </c>
      <c r="C1278" s="16" t="s">
        <v>4133</v>
      </c>
      <c r="D1278" s="16" t="s">
        <v>184</v>
      </c>
      <c r="E1278" s="16" t="s">
        <v>234</v>
      </c>
      <c r="F1278" s="16" t="s">
        <v>255</v>
      </c>
      <c r="G1278" s="16" t="s">
        <v>472</v>
      </c>
      <c r="H1278" s="16" t="s">
        <v>220</v>
      </c>
    </row>
    <row r="1279" ht="24.75" customHeight="1">
      <c r="A1279" s="32" t="str">
        <f>IMAGE("https://gymvisual.com/2080-catalog_default/3-4-sit-up.jpg",4,500,500)</f>
        <v/>
      </c>
      <c r="B1279" s="30">
        <v>3278.0</v>
      </c>
      <c r="C1279" s="16" t="s">
        <v>4134</v>
      </c>
      <c r="D1279" s="16" t="s">
        <v>184</v>
      </c>
      <c r="E1279" s="16" t="s">
        <v>254</v>
      </c>
      <c r="F1279" s="16" t="s">
        <v>399</v>
      </c>
      <c r="G1279" s="16" t="s">
        <v>257</v>
      </c>
      <c r="H1279" s="16" t="s">
        <v>271</v>
      </c>
    </row>
    <row r="1280" ht="24.75" customHeight="1">
      <c r="A1280" s="32" t="str">
        <f>IMAGE("https://gymvisual.com/2083-catalog_default/3-4-sit-up.jpg",4,500,500)</f>
        <v/>
      </c>
      <c r="B1280" s="30">
        <v>3279.0</v>
      </c>
      <c r="C1280" s="16" t="s">
        <v>4135</v>
      </c>
      <c r="D1280" s="16" t="s">
        <v>184</v>
      </c>
      <c r="E1280" s="16" t="s">
        <v>254</v>
      </c>
      <c r="F1280" s="16" t="s">
        <v>255</v>
      </c>
      <c r="G1280" s="16" t="s">
        <v>257</v>
      </c>
      <c r="H1280" s="16" t="s">
        <v>256</v>
      </c>
    </row>
    <row r="1281" ht="24.75" customHeight="1">
      <c r="A1281" s="32" t="str">
        <f>IMAGE("https://gymvisual.com/18828-catalog_default/seated-twist-straight-arm-male.jpg",4,500,500)</f>
        <v/>
      </c>
      <c r="B1281" s="30">
        <v>3280.0</v>
      </c>
      <c r="C1281" s="16" t="s">
        <v>4136</v>
      </c>
      <c r="D1281" s="16" t="s">
        <v>184</v>
      </c>
      <c r="E1281" s="16" t="s">
        <v>254</v>
      </c>
      <c r="F1281" s="16" t="s">
        <v>255</v>
      </c>
      <c r="G1281" s="16" t="s">
        <v>257</v>
      </c>
      <c r="H1281" s="16" t="s">
        <v>256</v>
      </c>
    </row>
    <row r="1282" ht="24.75" customHeight="1">
      <c r="A1282" s="32" t="str">
        <f>IMAGE("https://gymvisual.com/24131-catalog_default/seated-upper-body-rotation-female.jpg",4,500,500)</f>
        <v/>
      </c>
      <c r="B1282" s="30">
        <v>3281.0</v>
      </c>
      <c r="C1282" s="16" t="s">
        <v>4137</v>
      </c>
      <c r="D1282" s="16" t="s">
        <v>184</v>
      </c>
      <c r="E1282" s="16" t="s">
        <v>254</v>
      </c>
      <c r="F1282" s="16" t="s">
        <v>255</v>
      </c>
      <c r="G1282" s="16" t="s">
        <v>220</v>
      </c>
      <c r="H1282" s="16" t="s">
        <v>220</v>
      </c>
    </row>
    <row r="1283" ht="24.75" customHeight="1">
      <c r="A1283" s="32" t="str">
        <f>IMAGE("https://gymvisual.com/2089-catalog_default/3-4-sit-up.jpg",4,500,500)</f>
        <v/>
      </c>
      <c r="B1283" s="30">
        <v>3282.0</v>
      </c>
      <c r="C1283" s="16" t="s">
        <v>4138</v>
      </c>
      <c r="D1283" s="16" t="s">
        <v>184</v>
      </c>
      <c r="E1283" s="16" t="s">
        <v>285</v>
      </c>
      <c r="F1283" s="16" t="s">
        <v>255</v>
      </c>
      <c r="G1283" s="16" t="s">
        <v>188</v>
      </c>
      <c r="H1283" s="16" t="s">
        <v>4139</v>
      </c>
    </row>
    <row r="1284" ht="24.75" customHeight="1">
      <c r="A1284" s="32" t="str">
        <f>IMAGE("https://gymvisual.com/7594-catalog_default/self-assisted-inverse-leg-curl.jpg",4,500,500)</f>
        <v/>
      </c>
      <c r="B1284" s="30">
        <v>3283.0</v>
      </c>
      <c r="C1284" s="16" t="s">
        <v>4138</v>
      </c>
      <c r="D1284" s="16" t="s">
        <v>184</v>
      </c>
      <c r="E1284" s="16" t="s">
        <v>285</v>
      </c>
      <c r="F1284" s="16" t="s">
        <v>255</v>
      </c>
      <c r="G1284" s="16" t="s">
        <v>220</v>
      </c>
      <c r="H1284" s="16" t="s">
        <v>220</v>
      </c>
    </row>
    <row r="1285" ht="24.75" customHeight="1">
      <c r="A1285" s="32" t="str">
        <f>IMAGE("https://gymvisual.com/2086-catalog_default/3-4-sit-up.jpg",4,500,500)</f>
        <v/>
      </c>
      <c r="B1285" s="30">
        <v>3284.0</v>
      </c>
      <c r="C1285" s="16" t="s">
        <v>4140</v>
      </c>
      <c r="D1285" s="16" t="s">
        <v>184</v>
      </c>
      <c r="E1285" s="16" t="s">
        <v>285</v>
      </c>
      <c r="F1285" s="16" t="s">
        <v>255</v>
      </c>
      <c r="G1285" s="16" t="s">
        <v>188</v>
      </c>
      <c r="H1285" s="16" t="s">
        <v>4141</v>
      </c>
    </row>
    <row r="1286" ht="24.75" customHeight="1">
      <c r="A1286" s="32" t="str">
        <f>IMAGE("https://gymvisual.com/14014-catalog_default/self-assisted-inverted-pullover.jpg",4,500,500)</f>
        <v/>
      </c>
      <c r="B1286" s="30">
        <v>3285.0</v>
      </c>
      <c r="C1286" s="16" t="s">
        <v>4142</v>
      </c>
      <c r="D1286" s="16" t="s">
        <v>184</v>
      </c>
      <c r="E1286" s="16" t="s">
        <v>361</v>
      </c>
      <c r="F1286" s="16" t="s">
        <v>255</v>
      </c>
      <c r="G1286" s="16" t="s">
        <v>1230</v>
      </c>
      <c r="H1286" s="16" t="s">
        <v>220</v>
      </c>
    </row>
    <row r="1287" ht="24.75" customHeight="1">
      <c r="A1287" s="32" t="str">
        <f>IMAGE("https://gymvisual.com/13793-catalog_default/self-assisted-inverse-leg-curl-version-2.jpg",4,500,500)</f>
        <v/>
      </c>
      <c r="B1287" s="30">
        <v>3286.0</v>
      </c>
      <c r="C1287" s="16" t="s">
        <v>4143</v>
      </c>
      <c r="D1287" s="16" t="s">
        <v>184</v>
      </c>
      <c r="E1287" s="16" t="s">
        <v>285</v>
      </c>
      <c r="F1287" s="16" t="s">
        <v>255</v>
      </c>
      <c r="G1287" s="16" t="s">
        <v>188</v>
      </c>
      <c r="H1287" s="16" t="s">
        <v>368</v>
      </c>
    </row>
    <row r="1288" ht="24.75" customHeight="1">
      <c r="A1288" s="32" t="str">
        <f>IMAGE("https://gymvisual.com/20169-catalog_default/serratus-wall-slide.jpg",4,500,500)</f>
        <v/>
      </c>
      <c r="B1288" s="30">
        <v>3287.0</v>
      </c>
      <c r="C1288" s="16" t="s">
        <v>4144</v>
      </c>
      <c r="D1288" s="16" t="s">
        <v>184</v>
      </c>
      <c r="E1288" s="16" t="s">
        <v>192</v>
      </c>
      <c r="F1288" s="16" t="s">
        <v>255</v>
      </c>
      <c r="G1288" s="16" t="s">
        <v>4008</v>
      </c>
      <c r="H1288" s="16" t="s">
        <v>1621</v>
      </c>
    </row>
    <row r="1289" ht="24.75" customHeight="1">
      <c r="A1289" s="32" t="str">
        <f>IMAGE("https://gymvisual.com/12196-catalog_default/shoulder-flexion-back-to-wall.jpg",4,500,500)</f>
        <v/>
      </c>
      <c r="B1289" s="30">
        <v>3288.0</v>
      </c>
      <c r="C1289" s="16" t="s">
        <v>4145</v>
      </c>
      <c r="D1289" s="16" t="s">
        <v>184</v>
      </c>
      <c r="E1289" s="16" t="s">
        <v>192</v>
      </c>
      <c r="F1289" s="16" t="s">
        <v>255</v>
      </c>
      <c r="G1289" s="16" t="s">
        <v>220</v>
      </c>
      <c r="H1289" s="16" t="s">
        <v>220</v>
      </c>
    </row>
    <row r="1290" ht="24.75" customHeight="1">
      <c r="A1290" s="32" t="str">
        <f>IMAGE("https://gymvisual.com/7588-catalog_default/shoulder-grip-pull-up.jpg",4,500,500)</f>
        <v/>
      </c>
      <c r="B1290" s="30">
        <v>3289.0</v>
      </c>
      <c r="C1290" s="16" t="s">
        <v>4146</v>
      </c>
      <c r="D1290" s="16" t="s">
        <v>184</v>
      </c>
      <c r="E1290" s="16" t="s">
        <v>192</v>
      </c>
      <c r="F1290" s="16" t="s">
        <v>255</v>
      </c>
      <c r="G1290" s="16" t="s">
        <v>300</v>
      </c>
      <c r="H1290" s="16" t="s">
        <v>387</v>
      </c>
    </row>
    <row r="1291" ht="24.75" customHeight="1">
      <c r="A1291" s="32" t="str">
        <f>IMAGE("https://gymvisual.com/17144-catalog_default/shoulder-grip-pull-up-female.jpg",4,500,500)</f>
        <v/>
      </c>
      <c r="B1291" s="30">
        <v>3290.0</v>
      </c>
      <c r="C1291" s="16" t="s">
        <v>4147</v>
      </c>
      <c r="D1291" s="16" t="s">
        <v>184</v>
      </c>
      <c r="E1291" s="16" t="s">
        <v>192</v>
      </c>
      <c r="F1291" s="16" t="s">
        <v>255</v>
      </c>
      <c r="G1291" s="16" t="s">
        <v>300</v>
      </c>
      <c r="H1291" s="16" t="s">
        <v>535</v>
      </c>
    </row>
    <row r="1292" ht="24.75" customHeight="1">
      <c r="A1292" s="32" t="str">
        <f>IMAGE("https://gymvisual.com/2092-catalog_default/3-4-sit-up.jpg",4,500,500)</f>
        <v/>
      </c>
      <c r="B1292" s="30">
        <v>3291.0</v>
      </c>
      <c r="C1292" s="16" t="s">
        <v>4148</v>
      </c>
      <c r="D1292" s="16" t="s">
        <v>184</v>
      </c>
      <c r="E1292" s="16" t="s">
        <v>228</v>
      </c>
      <c r="F1292" s="16" t="s">
        <v>291</v>
      </c>
      <c r="G1292" s="16" t="s">
        <v>229</v>
      </c>
      <c r="H1292" s="16" t="s">
        <v>626</v>
      </c>
    </row>
    <row r="1293" ht="24.75" customHeight="1">
      <c r="A1293" s="32" t="str">
        <f>IMAGE("https://gymvisual.com/15149-catalog_default/shoulder-tap.jpg",4,500,500)</f>
        <v/>
      </c>
      <c r="B1293" s="30">
        <v>3292.0</v>
      </c>
      <c r="C1293" s="16" t="s">
        <v>4149</v>
      </c>
      <c r="D1293" s="16" t="s">
        <v>184</v>
      </c>
      <c r="E1293" s="16" t="s">
        <v>3260</v>
      </c>
      <c r="F1293" s="16" t="s">
        <v>255</v>
      </c>
      <c r="G1293" s="16" t="s">
        <v>4150</v>
      </c>
      <c r="H1293" s="16" t="s">
        <v>3267</v>
      </c>
    </row>
    <row r="1294" ht="24.75" customHeight="1">
      <c r="A1294" s="32" t="str">
        <f>IMAGE("https://gymvisual.com/23639-catalog_default/shoulder-tap-female.jpg",4,500,500)</f>
        <v/>
      </c>
      <c r="B1294" s="30">
        <v>3293.0</v>
      </c>
      <c r="C1294" s="16" t="s">
        <v>4151</v>
      </c>
      <c r="D1294" s="16" t="s">
        <v>184</v>
      </c>
      <c r="E1294" s="16" t="s">
        <v>254</v>
      </c>
      <c r="F1294" s="16" t="s">
        <v>255</v>
      </c>
      <c r="G1294" s="16" t="s">
        <v>235</v>
      </c>
      <c r="H1294" s="16" t="s">
        <v>3265</v>
      </c>
    </row>
    <row r="1295" ht="24.75" customHeight="1">
      <c r="A1295" s="32" t="str">
        <f>IMAGE("https://gymvisual.com/22632-catalog_default/shoulder-tap-push-up-female.jpg",4,500,500)</f>
        <v/>
      </c>
      <c r="B1295" s="30">
        <v>3294.0</v>
      </c>
      <c r="C1295" s="16" t="s">
        <v>4152</v>
      </c>
      <c r="D1295" s="16" t="s">
        <v>184</v>
      </c>
      <c r="E1295" s="16" t="s">
        <v>234</v>
      </c>
      <c r="F1295" s="16" t="s">
        <v>255</v>
      </c>
      <c r="G1295" s="16" t="s">
        <v>235</v>
      </c>
      <c r="H1295" s="16" t="s">
        <v>3267</v>
      </c>
    </row>
    <row r="1296" ht="24.75" customHeight="1">
      <c r="A1296" s="32" t="str">
        <f>IMAGE("https://gymvisual.com/23697-catalog_default/shoulder-width-neutral-grip-pull-up.jpg",4,500,500)</f>
        <v/>
      </c>
      <c r="B1296" s="30">
        <v>3295.0</v>
      </c>
      <c r="C1296" s="16" t="s">
        <v>4153</v>
      </c>
      <c r="D1296" s="16" t="s">
        <v>184</v>
      </c>
      <c r="E1296" s="16" t="s">
        <v>192</v>
      </c>
      <c r="F1296" s="16" t="s">
        <v>255</v>
      </c>
      <c r="G1296" s="16" t="s">
        <v>220</v>
      </c>
      <c r="H1296" s="16" t="s">
        <v>220</v>
      </c>
    </row>
    <row r="1297" ht="24.75" customHeight="1">
      <c r="A1297" s="32" t="str">
        <f>IMAGE("https://gymvisual.com/13695-catalog_default/shrimp-squat.jpg",4,500,500)</f>
        <v/>
      </c>
      <c r="B1297" s="30">
        <v>3296.0</v>
      </c>
      <c r="C1297" s="16" t="s">
        <v>4154</v>
      </c>
      <c r="D1297" s="16" t="s">
        <v>184</v>
      </c>
      <c r="E1297" s="16" t="s">
        <v>294</v>
      </c>
      <c r="F1297" s="16" t="s">
        <v>255</v>
      </c>
      <c r="G1297" s="16" t="s">
        <v>189</v>
      </c>
      <c r="H1297" s="16" t="s">
        <v>190</v>
      </c>
    </row>
    <row r="1298" ht="24.75" customHeight="1">
      <c r="A1298" s="32" t="str">
        <f>IMAGE("https://gymvisual.com/17995-catalog_default/shrug-on-parallel-bars.jpg",4,500,500)</f>
        <v/>
      </c>
      <c r="B1298" s="30">
        <v>3297.0</v>
      </c>
      <c r="C1298" s="16" t="s">
        <v>4155</v>
      </c>
      <c r="D1298" s="16" t="s">
        <v>184</v>
      </c>
      <c r="E1298" s="16" t="s">
        <v>192</v>
      </c>
      <c r="F1298" s="16" t="s">
        <v>255</v>
      </c>
      <c r="G1298" s="16" t="s">
        <v>220</v>
      </c>
      <c r="H1298" s="16" t="s">
        <v>220</v>
      </c>
    </row>
    <row r="1299" ht="24.75" customHeight="1">
      <c r="A1299" s="32" t="str">
        <f>IMAGE("https://gymvisual.com/22301-catalog_default/side-bench-squat.jpg",4,500,500)</f>
        <v/>
      </c>
      <c r="B1299" s="30">
        <v>3298.0</v>
      </c>
      <c r="C1299" s="16" t="s">
        <v>4156</v>
      </c>
      <c r="D1299" s="16" t="s">
        <v>184</v>
      </c>
      <c r="E1299" s="16" t="s">
        <v>285</v>
      </c>
      <c r="F1299" s="16" t="s">
        <v>255</v>
      </c>
      <c r="G1299" s="16" t="s">
        <v>220</v>
      </c>
      <c r="H1299" s="16" t="s">
        <v>220</v>
      </c>
    </row>
    <row r="1300" ht="24.75" customHeight="1">
      <c r="A1300" s="32" t="str">
        <f>IMAGE("https://gymvisual.com/2098-catalog_default/3-4-sit-up.jpg",4,500,500)</f>
        <v/>
      </c>
      <c r="B1300" s="30">
        <v>3299.0</v>
      </c>
      <c r="C1300" s="16" t="s">
        <v>4157</v>
      </c>
      <c r="D1300" s="16" t="s">
        <v>184</v>
      </c>
      <c r="E1300" s="16" t="s">
        <v>254</v>
      </c>
      <c r="F1300" s="16" t="s">
        <v>399</v>
      </c>
      <c r="G1300" s="16" t="s">
        <v>257</v>
      </c>
      <c r="H1300" s="16" t="s">
        <v>271</v>
      </c>
    </row>
    <row r="1301" ht="24.75" customHeight="1">
      <c r="A1301" s="32" t="str">
        <f>IMAGE("https://gymvisual.com/2116-catalog_default/3-4-sit-up.jpg",4,500,500)</f>
        <v/>
      </c>
      <c r="B1301" s="30">
        <v>3300.0</v>
      </c>
      <c r="C1301" s="16" t="s">
        <v>4158</v>
      </c>
      <c r="D1301" s="16" t="s">
        <v>184</v>
      </c>
      <c r="E1301" s="16" t="s">
        <v>254</v>
      </c>
      <c r="F1301" s="16" t="s">
        <v>255</v>
      </c>
      <c r="G1301" s="16" t="s">
        <v>257</v>
      </c>
      <c r="H1301" s="16" t="s">
        <v>4159</v>
      </c>
    </row>
    <row r="1302" ht="24.75" customHeight="1">
      <c r="A1302" s="32" t="str">
        <f>IMAGE("https://gymvisual.com/2101-catalog_default/3-4-sit-up.jpg",4,500,500)</f>
        <v/>
      </c>
      <c r="B1302" s="30">
        <v>3301.0</v>
      </c>
      <c r="C1302" s="16" t="s">
        <v>4160</v>
      </c>
      <c r="D1302" s="16" t="s">
        <v>184</v>
      </c>
      <c r="E1302" s="16" t="s">
        <v>285</v>
      </c>
      <c r="F1302" s="16" t="s">
        <v>255</v>
      </c>
      <c r="G1302" s="16" t="s">
        <v>2482</v>
      </c>
      <c r="H1302" s="16" t="s">
        <v>4161</v>
      </c>
    </row>
    <row r="1303" ht="24.75" customHeight="1">
      <c r="A1303" s="32" t="str">
        <f>IMAGE("https://gymvisual.com/2104-catalog_default/3-4-sit-up.jpg",4,500,500)</f>
        <v/>
      </c>
      <c r="B1303" s="30">
        <v>3302.0</v>
      </c>
      <c r="C1303" s="16" t="s">
        <v>4162</v>
      </c>
      <c r="D1303" s="16" t="s">
        <v>184</v>
      </c>
      <c r="E1303" s="16" t="s">
        <v>285</v>
      </c>
      <c r="F1303" s="16" t="s">
        <v>255</v>
      </c>
      <c r="G1303" s="16" t="s">
        <v>1328</v>
      </c>
      <c r="H1303" s="16" t="s">
        <v>4163</v>
      </c>
    </row>
    <row r="1304" ht="24.75" customHeight="1">
      <c r="A1304" s="32" t="str">
        <f>IMAGE("https://gymvisual.com/2113-catalog_default/3-4-sit-up.jpg",4,500,500)</f>
        <v/>
      </c>
      <c r="B1304" s="30">
        <v>3303.0</v>
      </c>
      <c r="C1304" s="16" t="s">
        <v>4164</v>
      </c>
      <c r="D1304" s="16" t="s">
        <v>184</v>
      </c>
      <c r="E1304" s="16" t="s">
        <v>254</v>
      </c>
      <c r="F1304" s="16" t="s">
        <v>255</v>
      </c>
      <c r="G1304" s="16" t="s">
        <v>257</v>
      </c>
      <c r="H1304" s="16" t="s">
        <v>4165</v>
      </c>
    </row>
    <row r="1305" ht="24.75" customHeight="1">
      <c r="A1305" s="32" t="str">
        <f>IMAGE("https://gymvisual.com/2110-catalog_default/3-4-sit-up.jpg",4,500,500)</f>
        <v/>
      </c>
      <c r="B1305" s="30">
        <v>3304.0</v>
      </c>
      <c r="C1305" s="16" t="s">
        <v>4166</v>
      </c>
      <c r="D1305" s="16" t="s">
        <v>184</v>
      </c>
      <c r="E1305" s="16" t="s">
        <v>185</v>
      </c>
      <c r="F1305" s="16" t="s">
        <v>255</v>
      </c>
      <c r="G1305" s="16" t="s">
        <v>508</v>
      </c>
      <c r="H1305" s="16" t="s">
        <v>424</v>
      </c>
    </row>
    <row r="1306" ht="24.75" customHeight="1">
      <c r="A1306" s="32" t="str">
        <f>IMAGE("https://gymvisual.com/7611-catalog_default/side-bridge-hip-abduction.jpg",4,500,500)</f>
        <v/>
      </c>
      <c r="B1306" s="30">
        <v>3305.0</v>
      </c>
      <c r="C1306" s="16" t="s">
        <v>4166</v>
      </c>
      <c r="D1306" s="16" t="s">
        <v>184</v>
      </c>
      <c r="E1306" s="16" t="s">
        <v>185</v>
      </c>
      <c r="F1306" s="16" t="s">
        <v>255</v>
      </c>
      <c r="G1306" s="16" t="s">
        <v>257</v>
      </c>
      <c r="H1306" s="16" t="s">
        <v>734</v>
      </c>
    </row>
    <row r="1307" ht="24.75" customHeight="1">
      <c r="A1307" s="32" t="str">
        <f>IMAGE("https://gymvisual.com/2107-catalog_default/3-4-sit-up.jpg",4,500,500)</f>
        <v/>
      </c>
      <c r="B1307" s="30">
        <v>3306.0</v>
      </c>
      <c r="C1307" s="16" t="s">
        <v>4167</v>
      </c>
      <c r="D1307" s="16" t="s">
        <v>184</v>
      </c>
      <c r="E1307" s="16" t="s">
        <v>185</v>
      </c>
      <c r="F1307" s="16" t="s">
        <v>255</v>
      </c>
      <c r="G1307" s="16" t="s">
        <v>1206</v>
      </c>
      <c r="H1307" s="16" t="s">
        <v>220</v>
      </c>
    </row>
    <row r="1308" ht="24.75" customHeight="1">
      <c r="A1308" s="32" t="str">
        <f>IMAGE("https://gymvisual.com/14232-catalog_default/side-bridge-with-arm-leg-swing.jpg",4,500,500)</f>
        <v/>
      </c>
      <c r="B1308" s="30">
        <v>3307.0</v>
      </c>
      <c r="C1308" s="16" t="s">
        <v>4168</v>
      </c>
      <c r="D1308" s="16" t="s">
        <v>184</v>
      </c>
      <c r="E1308" s="16" t="s">
        <v>1720</v>
      </c>
      <c r="F1308" s="16" t="s">
        <v>255</v>
      </c>
      <c r="G1308" s="16" t="s">
        <v>4169</v>
      </c>
      <c r="H1308" s="16" t="s">
        <v>4170</v>
      </c>
    </row>
    <row r="1309" ht="24.75" customHeight="1">
      <c r="A1309" s="32" t="str">
        <f>IMAGE("https://gymvisual.com/19039-catalog_default/side-bridge-with-bent-leg-female.jpg",4,500,500)</f>
        <v/>
      </c>
      <c r="B1309" s="30">
        <v>3308.0</v>
      </c>
      <c r="C1309" s="16" t="s">
        <v>4171</v>
      </c>
      <c r="D1309" s="16" t="s">
        <v>184</v>
      </c>
      <c r="E1309" s="16" t="s">
        <v>254</v>
      </c>
      <c r="F1309" s="16" t="s">
        <v>255</v>
      </c>
      <c r="G1309" s="16" t="s">
        <v>257</v>
      </c>
      <c r="H1309" s="16" t="s">
        <v>220</v>
      </c>
    </row>
    <row r="1310" ht="24.75" customHeight="1">
      <c r="A1310" s="32" t="str">
        <f>IMAGE("https://gymvisual.com/24075-catalog_default/side-bridge-with-bent-leg-male.jpg",4,500,500)</f>
        <v/>
      </c>
      <c r="B1310" s="30">
        <v>3309.0</v>
      </c>
      <c r="C1310" s="16" t="s">
        <v>4172</v>
      </c>
      <c r="D1310" s="16" t="s">
        <v>184</v>
      </c>
      <c r="E1310" s="16" t="s">
        <v>185</v>
      </c>
      <c r="F1310" s="16" t="s">
        <v>255</v>
      </c>
      <c r="G1310" s="16" t="s">
        <v>220</v>
      </c>
      <c r="H1310" s="16" t="s">
        <v>220</v>
      </c>
    </row>
    <row r="1311" ht="24.75" customHeight="1">
      <c r="A1311" s="32" t="str">
        <f>IMAGE("https://gymvisual.com/19025-catalog_default/side-bridge-with-straight-legs-female.jpg",4,500,500)</f>
        <v/>
      </c>
      <c r="B1311" s="30">
        <v>3310.0</v>
      </c>
      <c r="C1311" s="16" t="s">
        <v>4173</v>
      </c>
      <c r="D1311" s="16" t="s">
        <v>184</v>
      </c>
      <c r="E1311" s="16" t="s">
        <v>254</v>
      </c>
      <c r="F1311" s="16" t="s">
        <v>255</v>
      </c>
      <c r="G1311" s="16" t="s">
        <v>257</v>
      </c>
      <c r="H1311" s="16" t="s">
        <v>220</v>
      </c>
    </row>
    <row r="1312" ht="24.75" customHeight="1">
      <c r="A1312" s="32" t="str">
        <f>IMAGE("https://gymvisual.com/2122-catalog_default/3-4-sit-up.jpg",4,500,500)</f>
        <v/>
      </c>
      <c r="B1312" s="30">
        <v>3311.0</v>
      </c>
      <c r="C1312" s="16" t="s">
        <v>4174</v>
      </c>
      <c r="D1312" s="16" t="s">
        <v>184</v>
      </c>
      <c r="E1312" s="16" t="s">
        <v>254</v>
      </c>
      <c r="F1312" s="16" t="s">
        <v>255</v>
      </c>
      <c r="G1312" s="16" t="s">
        <v>257</v>
      </c>
      <c r="H1312" s="16" t="s">
        <v>256</v>
      </c>
    </row>
    <row r="1313" ht="24.75" customHeight="1">
      <c r="A1313" s="32" t="str">
        <f>IMAGE("https://gymvisual.com/2119-catalog_default/3-4-sit-up.jpg",4,500,500)</f>
        <v/>
      </c>
      <c r="B1313" s="30">
        <v>3312.0</v>
      </c>
      <c r="C1313" s="16" t="s">
        <v>4175</v>
      </c>
      <c r="D1313" s="16" t="s">
        <v>184</v>
      </c>
      <c r="E1313" s="16" t="s">
        <v>254</v>
      </c>
      <c r="F1313" s="16" t="s">
        <v>255</v>
      </c>
      <c r="G1313" s="16" t="s">
        <v>257</v>
      </c>
      <c r="H1313" s="16" t="s">
        <v>256</v>
      </c>
    </row>
    <row r="1314" ht="24.75" customHeight="1">
      <c r="A1314" s="32" t="str">
        <f>IMAGE("https://gymvisual.com/22793-catalog_default/side-crunch-version-2-female.jpg",4,500,500)</f>
        <v/>
      </c>
      <c r="B1314" s="30">
        <v>3313.0</v>
      </c>
      <c r="C1314" s="16" t="s">
        <v>4176</v>
      </c>
      <c r="D1314" s="16" t="s">
        <v>184</v>
      </c>
      <c r="E1314" s="16" t="s">
        <v>254</v>
      </c>
      <c r="F1314" s="16" t="s">
        <v>255</v>
      </c>
      <c r="G1314" s="16" t="s">
        <v>256</v>
      </c>
      <c r="H1314" s="16" t="s">
        <v>257</v>
      </c>
    </row>
    <row r="1315" ht="24.75" customHeight="1">
      <c r="A1315" s="32" t="str">
        <f>IMAGE("https://gymvisual.com/22303-catalog_default/side-crunch-with-hands-on-chest-female.jpg",4,500,500)</f>
        <v/>
      </c>
      <c r="B1315" s="30">
        <v>3314.0</v>
      </c>
      <c r="C1315" s="16" t="s">
        <v>4177</v>
      </c>
      <c r="D1315" s="16" t="s">
        <v>184</v>
      </c>
      <c r="E1315" s="16" t="s">
        <v>254</v>
      </c>
      <c r="F1315" s="16" t="s">
        <v>255</v>
      </c>
      <c r="G1315" s="16" t="s">
        <v>220</v>
      </c>
      <c r="H1315" s="16" t="s">
        <v>220</v>
      </c>
    </row>
    <row r="1316" ht="24.75" customHeight="1">
      <c r="A1316" s="32" t="str">
        <f>IMAGE("https://gymvisual.com/2125-catalog_default/3-4-sit-up.jpg",4,500,500)</f>
        <v/>
      </c>
      <c r="B1316" s="30">
        <v>3315.0</v>
      </c>
      <c r="C1316" s="16" t="s">
        <v>4178</v>
      </c>
      <c r="D1316" s="16" t="s">
        <v>184</v>
      </c>
      <c r="E1316" s="16" t="s">
        <v>254</v>
      </c>
      <c r="F1316" s="16" t="s">
        <v>255</v>
      </c>
      <c r="G1316" s="16" t="s">
        <v>257</v>
      </c>
      <c r="H1316" s="16" t="s">
        <v>220</v>
      </c>
    </row>
    <row r="1317" ht="24.75" customHeight="1">
      <c r="A1317" s="32" t="str">
        <f>IMAGE("https://gymvisual.com/14723-catalog_default/side-hip-abduction.jpg",4,500,500)</f>
        <v/>
      </c>
      <c r="B1317" s="30">
        <v>3316.0</v>
      </c>
      <c r="C1317" s="16" t="s">
        <v>4179</v>
      </c>
      <c r="D1317" s="16" t="s">
        <v>184</v>
      </c>
      <c r="E1317" s="16" t="s">
        <v>185</v>
      </c>
      <c r="F1317" s="16" t="s">
        <v>255</v>
      </c>
      <c r="G1317" s="16" t="s">
        <v>475</v>
      </c>
      <c r="H1317" s="16" t="s">
        <v>220</v>
      </c>
    </row>
    <row r="1318" ht="24.75" customHeight="1">
      <c r="A1318" s="32" t="str">
        <f>IMAGE("https://gymvisual.com/13287-catalog_default/side-lunge.jpg",4,500,500)</f>
        <v/>
      </c>
      <c r="B1318" s="30">
        <v>3317.0</v>
      </c>
      <c r="C1318" s="16" t="s">
        <v>4180</v>
      </c>
      <c r="D1318" s="16" t="s">
        <v>184</v>
      </c>
      <c r="E1318" s="16" t="s">
        <v>294</v>
      </c>
      <c r="F1318" s="16" t="s">
        <v>255</v>
      </c>
      <c r="G1318" s="16" t="s">
        <v>189</v>
      </c>
      <c r="H1318" s="16" t="s">
        <v>902</v>
      </c>
    </row>
    <row r="1319" ht="24.75" customHeight="1">
      <c r="A1319" s="32" t="str">
        <f>IMAGE("https://gymvisual.com/13289-catalog_default/side-lunge-female.jpg",4,500,500)</f>
        <v/>
      </c>
      <c r="B1319" s="30">
        <v>3318.0</v>
      </c>
      <c r="C1319" s="16" t="s">
        <v>4181</v>
      </c>
      <c r="D1319" s="16" t="s">
        <v>184</v>
      </c>
      <c r="E1319" s="16" t="s">
        <v>294</v>
      </c>
      <c r="F1319" s="16" t="s">
        <v>255</v>
      </c>
      <c r="G1319" s="16" t="s">
        <v>189</v>
      </c>
      <c r="H1319" s="16" t="s">
        <v>902</v>
      </c>
    </row>
    <row r="1320" ht="24.75" customHeight="1">
      <c r="A1320" s="32" t="str">
        <f>IMAGE("https://gymvisual.com/10568-catalog_default/side-lying-clam.jpg",4,500,500)</f>
        <v/>
      </c>
      <c r="B1320" s="30">
        <v>3319.0</v>
      </c>
      <c r="C1320" s="16" t="s">
        <v>4182</v>
      </c>
      <c r="D1320" s="16" t="s">
        <v>184</v>
      </c>
      <c r="E1320" s="16" t="s">
        <v>185</v>
      </c>
      <c r="F1320" s="16" t="s">
        <v>255</v>
      </c>
      <c r="G1320" s="16" t="s">
        <v>475</v>
      </c>
      <c r="H1320" s="16" t="s">
        <v>476</v>
      </c>
    </row>
    <row r="1321" ht="24.75" customHeight="1">
      <c r="A1321" s="32" t="str">
        <f>IMAGE("https://gymvisual.com/2134-catalog_default/side-lying-feet-raise.jpg",4,500,500)</f>
        <v/>
      </c>
      <c r="B1321" s="30">
        <v>3320.0</v>
      </c>
      <c r="C1321" s="16" t="s">
        <v>4183</v>
      </c>
      <c r="D1321" s="16" t="s">
        <v>184</v>
      </c>
      <c r="E1321" s="16" t="s">
        <v>285</v>
      </c>
      <c r="F1321" s="16" t="s">
        <v>255</v>
      </c>
      <c r="G1321" s="16" t="s">
        <v>4184</v>
      </c>
      <c r="H1321" s="16" t="s">
        <v>4185</v>
      </c>
    </row>
    <row r="1322" ht="24.75" customHeight="1">
      <c r="A1322" s="32" t="str">
        <f>IMAGE("https://gymvisual.com/23635-catalog_default/side-lying-hip-adduction-female.jpg",4,500,500)</f>
        <v/>
      </c>
      <c r="B1322" s="30">
        <v>3321.0</v>
      </c>
      <c r="C1322" s="16" t="s">
        <v>4186</v>
      </c>
      <c r="D1322" s="16" t="s">
        <v>184</v>
      </c>
      <c r="E1322" s="16" t="s">
        <v>185</v>
      </c>
      <c r="F1322" s="16" t="s">
        <v>255</v>
      </c>
      <c r="G1322" s="16" t="s">
        <v>4187</v>
      </c>
      <c r="H1322" s="16" t="s">
        <v>220</v>
      </c>
    </row>
    <row r="1323" ht="24.75" customHeight="1">
      <c r="A1323" s="32" t="str">
        <f>IMAGE("https://gymvisual.com/14552-catalog_default/side-lying-hip-adduction-male.jpg",4,500,500)</f>
        <v/>
      </c>
      <c r="B1323" s="30">
        <v>3322.0</v>
      </c>
      <c r="C1323" s="16" t="s">
        <v>4188</v>
      </c>
      <c r="D1323" s="16" t="s">
        <v>184</v>
      </c>
      <c r="E1323" s="16" t="s">
        <v>185</v>
      </c>
      <c r="F1323" s="16" t="s">
        <v>255</v>
      </c>
      <c r="G1323" s="16" t="s">
        <v>4187</v>
      </c>
      <c r="H1323" s="16" t="s">
        <v>3965</v>
      </c>
    </row>
    <row r="1324" ht="24.75" customHeight="1">
      <c r="A1324" s="32" t="str">
        <f>IMAGE("https://gymvisual.com/22720-catalog_default/side-lying-leg-circle.jpg",4,500,500)</f>
        <v/>
      </c>
      <c r="B1324" s="30">
        <v>3323.0</v>
      </c>
      <c r="C1324" s="16" t="s">
        <v>4189</v>
      </c>
      <c r="D1324" s="16" t="s">
        <v>184</v>
      </c>
      <c r="E1324" s="16" t="s">
        <v>185</v>
      </c>
      <c r="F1324" s="16" t="s">
        <v>255</v>
      </c>
      <c r="G1324" s="16" t="s">
        <v>1322</v>
      </c>
      <c r="H1324" s="16" t="s">
        <v>3617</v>
      </c>
    </row>
    <row r="1325" ht="24.75" customHeight="1">
      <c r="A1325" s="32" t="str">
        <f>IMAGE("https://gymvisual.com/17835-catalog_default/side-lying-leg-raise.jpg",4,500,500)</f>
        <v/>
      </c>
      <c r="B1325" s="30">
        <v>3324.0</v>
      </c>
      <c r="C1325" s="16" t="s">
        <v>4190</v>
      </c>
      <c r="D1325" s="16" t="s">
        <v>184</v>
      </c>
      <c r="E1325" s="16" t="s">
        <v>185</v>
      </c>
      <c r="F1325" s="16" t="s">
        <v>255</v>
      </c>
      <c r="G1325" s="16" t="s">
        <v>220</v>
      </c>
      <c r="H1325" s="16" t="s">
        <v>220</v>
      </c>
    </row>
    <row r="1326" ht="24.75" customHeight="1">
      <c r="A1326" s="32" t="str">
        <f>IMAGE("https://gymvisual.com/22809-catalog_default/side-lying-outward-knee-kick.jpg",4,500,500)</f>
        <v/>
      </c>
      <c r="B1326" s="30">
        <v>3325.0</v>
      </c>
      <c r="C1326" s="16" t="s">
        <v>4191</v>
      </c>
      <c r="D1326" s="16" t="s">
        <v>184</v>
      </c>
      <c r="E1326" s="16" t="s">
        <v>185</v>
      </c>
      <c r="F1326" s="16" t="s">
        <v>255</v>
      </c>
      <c r="G1326" s="16" t="s">
        <v>295</v>
      </c>
      <c r="H1326" s="16" t="s">
        <v>476</v>
      </c>
    </row>
    <row r="1327" ht="24.75" customHeight="1">
      <c r="A1327" s="32" t="str">
        <f>IMAGE("https://gymvisual.com/23631-catalog_default/side-lying-scissors.jpg",4,500,500)</f>
        <v/>
      </c>
      <c r="B1327" s="30">
        <v>3326.0</v>
      </c>
      <c r="C1327" s="16" t="s">
        <v>4192</v>
      </c>
      <c r="D1327" s="16" t="s">
        <v>184</v>
      </c>
      <c r="E1327" s="16" t="s">
        <v>185</v>
      </c>
      <c r="F1327" s="16" t="s">
        <v>255</v>
      </c>
      <c r="G1327" s="16" t="s">
        <v>475</v>
      </c>
      <c r="H1327" s="16" t="s">
        <v>476</v>
      </c>
    </row>
    <row r="1328" ht="24.75" customHeight="1">
      <c r="A1328" s="32" t="str">
        <f>IMAGE("https://gymvisual.com/22807-catalog_default/side-lying-scissors-male.jpg",4,500,500)</f>
        <v/>
      </c>
      <c r="B1328" s="30">
        <v>3327.0</v>
      </c>
      <c r="C1328" s="16" t="s">
        <v>4193</v>
      </c>
      <c r="D1328" s="16" t="s">
        <v>184</v>
      </c>
      <c r="E1328" s="16" t="s">
        <v>185</v>
      </c>
      <c r="F1328" s="16" t="s">
        <v>255</v>
      </c>
      <c r="G1328" s="16" t="s">
        <v>475</v>
      </c>
      <c r="H1328" s="16" t="s">
        <v>476</v>
      </c>
    </row>
    <row r="1329" ht="24.75" customHeight="1">
      <c r="A1329" s="32" t="str">
        <f>IMAGE("https://gymvisual.com/24301-catalog_default/side-plank.jpg",4,500,500)</f>
        <v/>
      </c>
      <c r="B1329" s="30">
        <v>3328.0</v>
      </c>
      <c r="C1329" s="16" t="s">
        <v>4194</v>
      </c>
      <c r="D1329" s="16" t="s">
        <v>184</v>
      </c>
      <c r="E1329" s="16" t="s">
        <v>254</v>
      </c>
      <c r="F1329" s="16" t="s">
        <v>255</v>
      </c>
      <c r="G1329" s="16" t="s">
        <v>257</v>
      </c>
      <c r="H1329" s="16" t="s">
        <v>220</v>
      </c>
    </row>
    <row r="1330" ht="24.75" customHeight="1">
      <c r="A1330" s="32" t="str">
        <f>IMAGE("https://gymvisual.com/12090-catalog_default/side-plank-beginner-female.jpg",4,500,500)</f>
        <v/>
      </c>
      <c r="B1330" s="30">
        <v>3329.0</v>
      </c>
      <c r="C1330" s="16" t="s">
        <v>4195</v>
      </c>
      <c r="D1330" s="16" t="s">
        <v>184</v>
      </c>
      <c r="E1330" s="16" t="s">
        <v>254</v>
      </c>
      <c r="F1330" s="16" t="s">
        <v>255</v>
      </c>
      <c r="G1330" s="16" t="s">
        <v>257</v>
      </c>
      <c r="H1330" s="16" t="s">
        <v>2066</v>
      </c>
    </row>
    <row r="1331" ht="24.75" customHeight="1">
      <c r="A1331" s="32" t="str">
        <f>IMAGE("https://gymvisual.com/2140-catalog_default/side-plank-version-2.jpg",4,500,500)</f>
        <v/>
      </c>
      <c r="B1331" s="30">
        <v>3330.0</v>
      </c>
      <c r="C1331" s="16" t="s">
        <v>4196</v>
      </c>
      <c r="D1331" s="16" t="s">
        <v>184</v>
      </c>
      <c r="E1331" s="16" t="s">
        <v>254</v>
      </c>
      <c r="F1331" s="16" t="s">
        <v>255</v>
      </c>
      <c r="G1331" s="16" t="s">
        <v>257</v>
      </c>
      <c r="H1331" s="16" t="s">
        <v>220</v>
      </c>
    </row>
    <row r="1332" ht="24.75" customHeight="1">
      <c r="A1332" s="32" t="str">
        <f>IMAGE("https://gymvisual.com/23665-catalog_default/side-plank-version-2-female.jpg",4,500,500)</f>
        <v/>
      </c>
      <c r="B1332" s="30">
        <v>3331.0</v>
      </c>
      <c r="C1332" s="16" t="s">
        <v>4197</v>
      </c>
      <c r="D1332" s="16" t="s">
        <v>184</v>
      </c>
      <c r="E1332" s="16" t="s">
        <v>254</v>
      </c>
      <c r="F1332" s="16" t="s">
        <v>255</v>
      </c>
      <c r="G1332" s="16" t="s">
        <v>4011</v>
      </c>
      <c r="H1332" s="16" t="s">
        <v>4198</v>
      </c>
    </row>
    <row r="1333" ht="24.75" customHeight="1">
      <c r="A1333" s="32" t="str">
        <f>IMAGE("https://gymvisual.com/10198-catalog_default/side-plank-butt-wrong-right.jpg",4,500,500)</f>
        <v/>
      </c>
      <c r="B1333" s="30">
        <v>3332.0</v>
      </c>
      <c r="C1333" s="16" t="s">
        <v>4199</v>
      </c>
      <c r="D1333" s="16" t="s">
        <v>184</v>
      </c>
      <c r="E1333" s="16" t="s">
        <v>254</v>
      </c>
      <c r="F1333" s="16" t="s">
        <v>255</v>
      </c>
      <c r="G1333" s="16" t="s">
        <v>220</v>
      </c>
      <c r="H1333" s="16" t="s">
        <v>220</v>
      </c>
    </row>
    <row r="1334" ht="24.75" customHeight="1">
      <c r="A1334" s="32" t="str">
        <f>IMAGE("https://gymvisual.com/7609-catalog_default/side-plank-hip-adduction.jpg",4,500,500)</f>
        <v/>
      </c>
      <c r="B1334" s="30">
        <v>3333.0</v>
      </c>
      <c r="C1334" s="16" t="s">
        <v>4200</v>
      </c>
      <c r="D1334" s="16" t="s">
        <v>184</v>
      </c>
      <c r="E1334" s="16" t="s">
        <v>185</v>
      </c>
      <c r="F1334" s="16" t="s">
        <v>255</v>
      </c>
      <c r="G1334" s="16" t="s">
        <v>3634</v>
      </c>
      <c r="H1334" s="16" t="s">
        <v>3617</v>
      </c>
    </row>
    <row r="1335" ht="24.75" customHeight="1">
      <c r="A1335" s="32" t="str">
        <f>IMAGE("https://gymvisual.com/13938-catalog_default/side-plank-hip-adduction-bent-knee.jpg",4,500,500)</f>
        <v/>
      </c>
      <c r="B1335" s="30">
        <v>3334.0</v>
      </c>
      <c r="C1335" s="16" t="s">
        <v>4201</v>
      </c>
      <c r="D1335" s="16" t="s">
        <v>184</v>
      </c>
      <c r="E1335" s="16" t="s">
        <v>185</v>
      </c>
      <c r="F1335" s="16" t="s">
        <v>255</v>
      </c>
      <c r="G1335" s="16" t="s">
        <v>4202</v>
      </c>
      <c r="H1335" s="16" t="s">
        <v>4203</v>
      </c>
    </row>
    <row r="1336" ht="24.75" customHeight="1">
      <c r="A1336" s="32" t="str">
        <f>IMAGE("https://gymvisual.com/22410-catalog_default/side-plank-leg-lift.jpg",4,500,500)</f>
        <v/>
      </c>
      <c r="B1336" s="30">
        <v>3335.0</v>
      </c>
      <c r="C1336" s="16" t="s">
        <v>4204</v>
      </c>
      <c r="D1336" s="16" t="s">
        <v>184</v>
      </c>
      <c r="E1336" s="16" t="s">
        <v>254</v>
      </c>
      <c r="F1336" s="16" t="s">
        <v>255</v>
      </c>
      <c r="G1336" s="16" t="s">
        <v>220</v>
      </c>
      <c r="H1336" s="16" t="s">
        <v>220</v>
      </c>
    </row>
    <row r="1337" ht="24.75" customHeight="1">
      <c r="A1337" s="32" t="str">
        <f>IMAGE("https://gymvisual.com/18258-catalog_default/side-plank-oblique-crunch.jpg",4,500,500)</f>
        <v/>
      </c>
      <c r="B1337" s="30">
        <v>3336.0</v>
      </c>
      <c r="C1337" s="16" t="s">
        <v>4205</v>
      </c>
      <c r="D1337" s="16" t="s">
        <v>184</v>
      </c>
      <c r="E1337" s="16" t="s">
        <v>254</v>
      </c>
      <c r="F1337" s="16" t="s">
        <v>255</v>
      </c>
      <c r="G1337" s="16" t="s">
        <v>3728</v>
      </c>
      <c r="H1337" s="16" t="s">
        <v>4206</v>
      </c>
    </row>
    <row r="1338" ht="24.75" customHeight="1">
      <c r="A1338" s="32" t="str">
        <f>IMAGE("https://gymvisual.com/22460-catalog_default/side-plank-with-raised-leg-version-2-female.jpg",4,500,500)</f>
        <v/>
      </c>
      <c r="B1338" s="30">
        <v>3337.0</v>
      </c>
      <c r="C1338" s="16" t="s">
        <v>4207</v>
      </c>
      <c r="D1338" s="16" t="s">
        <v>184</v>
      </c>
      <c r="E1338" s="16" t="s">
        <v>254</v>
      </c>
      <c r="F1338" s="16" t="s">
        <v>255</v>
      </c>
      <c r="G1338" s="16" t="s">
        <v>220</v>
      </c>
      <c r="H1338" s="16" t="s">
        <v>220</v>
      </c>
    </row>
    <row r="1339" ht="24.75" customHeight="1">
      <c r="A1339" s="32" t="str">
        <f>IMAGE("https://gymvisual.com/13263-catalog_default/side-push-up.jpg",4,500,500)</f>
        <v/>
      </c>
      <c r="B1339" s="30">
        <v>3338.0</v>
      </c>
      <c r="C1339" s="16" t="s">
        <v>4208</v>
      </c>
      <c r="D1339" s="16" t="s">
        <v>184</v>
      </c>
      <c r="E1339" s="16" t="s">
        <v>219</v>
      </c>
      <c r="F1339" s="16" t="s">
        <v>255</v>
      </c>
      <c r="G1339" s="16" t="s">
        <v>223</v>
      </c>
      <c r="H1339" s="16" t="s">
        <v>220</v>
      </c>
    </row>
    <row r="1340" ht="24.75" customHeight="1">
      <c r="A1340" s="32" t="str">
        <f>IMAGE("https://gymvisual.com/17191-catalog_default/side-push-up-with-towel.jpg",4,500,500)</f>
        <v/>
      </c>
      <c r="B1340" s="30">
        <v>3339.0</v>
      </c>
      <c r="C1340" s="16" t="s">
        <v>4209</v>
      </c>
      <c r="D1340" s="16" t="s">
        <v>184</v>
      </c>
      <c r="E1340" s="16" t="s">
        <v>234</v>
      </c>
      <c r="F1340" s="16" t="s">
        <v>255</v>
      </c>
      <c r="G1340" s="16" t="s">
        <v>235</v>
      </c>
      <c r="H1340" s="16" t="s">
        <v>4210</v>
      </c>
    </row>
    <row r="1341" ht="24.75" customHeight="1">
      <c r="A1341" s="32" t="str">
        <f>IMAGE("https://gymvisual.com/2150-catalog_default/side-sit-up.jpg",4,500,500)</f>
        <v/>
      </c>
      <c r="B1341" s="30">
        <v>3340.0</v>
      </c>
      <c r="C1341" s="16" t="s">
        <v>4211</v>
      </c>
      <c r="D1341" s="16" t="s">
        <v>184</v>
      </c>
      <c r="E1341" s="16" t="s">
        <v>254</v>
      </c>
      <c r="F1341" s="16" t="s">
        <v>255</v>
      </c>
      <c r="G1341" s="16" t="s">
        <v>257</v>
      </c>
      <c r="H1341" s="16" t="s">
        <v>256</v>
      </c>
    </row>
    <row r="1342" ht="24.75" customHeight="1">
      <c r="A1342" s="32" t="str">
        <f>IMAGE("https://gymvisual.com/22305-catalog_default/side-split-squat.jpg",4,500,500)</f>
        <v/>
      </c>
      <c r="B1342" s="30">
        <v>3341.0</v>
      </c>
      <c r="C1342" s="16" t="s">
        <v>4212</v>
      </c>
      <c r="D1342" s="16" t="s">
        <v>184</v>
      </c>
      <c r="E1342" s="16" t="s">
        <v>285</v>
      </c>
      <c r="F1342" s="16" t="s">
        <v>255</v>
      </c>
      <c r="G1342" s="16" t="s">
        <v>220</v>
      </c>
      <c r="H1342" s="16" t="s">
        <v>220</v>
      </c>
    </row>
    <row r="1343" ht="24.75" customHeight="1">
      <c r="A1343" s="32" t="str">
        <f>IMAGE("https://gymvisual.com/22307-catalog_default/side-squat.jpg",4,500,500)</f>
        <v/>
      </c>
      <c r="B1343" s="30">
        <v>3342.0</v>
      </c>
      <c r="C1343" s="16" t="s">
        <v>4213</v>
      </c>
      <c r="D1343" s="16" t="s">
        <v>184</v>
      </c>
      <c r="E1343" s="16" t="s">
        <v>285</v>
      </c>
      <c r="F1343" s="16" t="s">
        <v>255</v>
      </c>
      <c r="G1343" s="16" t="s">
        <v>189</v>
      </c>
      <c r="H1343" s="16" t="s">
        <v>902</v>
      </c>
    </row>
    <row r="1344" ht="24.75" customHeight="1">
      <c r="A1344" s="32" t="str">
        <f>IMAGE("https://gymvisual.com/17803-catalog_default/side-step-front-plank-female.jpg",4,500,500)</f>
        <v/>
      </c>
      <c r="B1344" s="30">
        <v>3343.0</v>
      </c>
      <c r="C1344" s="16" t="s">
        <v>4214</v>
      </c>
      <c r="D1344" s="16" t="s">
        <v>184</v>
      </c>
      <c r="E1344" s="16" t="s">
        <v>185</v>
      </c>
      <c r="F1344" s="16" t="s">
        <v>255</v>
      </c>
      <c r="G1344" s="16" t="s">
        <v>220</v>
      </c>
      <c r="H1344" s="16" t="s">
        <v>220</v>
      </c>
    </row>
    <row r="1345" ht="24.75" customHeight="1">
      <c r="A1345" s="32" t="str">
        <f>IMAGE("https://gymvisual.com/11276-catalog_default/side-to-side-leg-swings-female.jpg",4,500,500)</f>
        <v/>
      </c>
      <c r="B1345" s="30">
        <v>3344.0</v>
      </c>
      <c r="C1345" s="16" t="s">
        <v>4215</v>
      </c>
      <c r="D1345" s="16" t="s">
        <v>184</v>
      </c>
      <c r="E1345" s="16" t="s">
        <v>185</v>
      </c>
      <c r="F1345" s="16" t="s">
        <v>255</v>
      </c>
      <c r="G1345" s="16" t="s">
        <v>3616</v>
      </c>
      <c r="H1345" s="16" t="s">
        <v>3617</v>
      </c>
    </row>
    <row r="1346" ht="24.75" customHeight="1">
      <c r="A1346" s="32" t="str">
        <f>IMAGE("https://gymvisual.com/22777-catalog_default/side-to-side-leg-swings-male.jpg",4,500,500)</f>
        <v/>
      </c>
      <c r="B1346" s="30">
        <v>3345.0</v>
      </c>
      <c r="C1346" s="16" t="s">
        <v>4216</v>
      </c>
      <c r="D1346" s="16" t="s">
        <v>184</v>
      </c>
      <c r="E1346" s="16" t="s">
        <v>185</v>
      </c>
      <c r="F1346" s="16" t="s">
        <v>255</v>
      </c>
      <c r="G1346" s="16" t="s">
        <v>3616</v>
      </c>
      <c r="H1346" s="16" t="s">
        <v>3617</v>
      </c>
    </row>
    <row r="1347" ht="24.75" customHeight="1">
      <c r="A1347" s="32" t="str">
        <f>IMAGE("https://gymvisual.com/22464-catalog_default/side-to-wide-squat.jpg",4,500,500)</f>
        <v/>
      </c>
      <c r="B1347" s="30">
        <v>3346.0</v>
      </c>
      <c r="C1347" s="16" t="s">
        <v>4217</v>
      </c>
      <c r="D1347" s="16" t="s">
        <v>184</v>
      </c>
      <c r="E1347" s="16" t="s">
        <v>185</v>
      </c>
      <c r="F1347" s="16" t="s">
        <v>255</v>
      </c>
      <c r="G1347" s="16" t="s">
        <v>220</v>
      </c>
      <c r="H1347" s="16" t="s">
        <v>220</v>
      </c>
    </row>
    <row r="1348" ht="24.75" customHeight="1">
      <c r="A1348" s="32" t="str">
        <f>IMAGE("https://gymvisual.com/2156-catalog_default/side-to-side-chin.jpg",4,500,500)</f>
        <v/>
      </c>
      <c r="B1348" s="30">
        <v>3347.0</v>
      </c>
      <c r="C1348" s="16" t="s">
        <v>4218</v>
      </c>
      <c r="D1348" s="16" t="s">
        <v>184</v>
      </c>
      <c r="E1348" s="16" t="s">
        <v>192</v>
      </c>
      <c r="F1348" s="16" t="s">
        <v>255</v>
      </c>
      <c r="G1348" s="16" t="s">
        <v>300</v>
      </c>
      <c r="H1348" s="16" t="s">
        <v>535</v>
      </c>
    </row>
    <row r="1349" ht="24.75" customHeight="1">
      <c r="A1349" s="32" t="str">
        <f>IMAGE("https://gymvisual.com/2162-catalog_default/sideway-leg-bridge.jpg",4,500,500)</f>
        <v/>
      </c>
      <c r="B1349" s="30">
        <v>3348.0</v>
      </c>
      <c r="C1349" s="16" t="s">
        <v>4219</v>
      </c>
      <c r="D1349" s="16" t="s">
        <v>184</v>
      </c>
      <c r="E1349" s="16" t="s">
        <v>185</v>
      </c>
      <c r="F1349" s="16" t="s">
        <v>255</v>
      </c>
      <c r="G1349" s="16" t="s">
        <v>4220</v>
      </c>
      <c r="H1349" s="16" t="s">
        <v>4221</v>
      </c>
    </row>
    <row r="1350" ht="24.75" customHeight="1">
      <c r="A1350" s="32" t="str">
        <f>IMAGE("https://gymvisual.com/2165-catalog_default/sideways-lifts-vertical-straight-legs.jpg",4,500,500)</f>
        <v/>
      </c>
      <c r="B1350" s="30">
        <v>3349.0</v>
      </c>
      <c r="C1350" s="16" t="s">
        <v>4222</v>
      </c>
      <c r="D1350" s="16" t="s">
        <v>184</v>
      </c>
      <c r="E1350" s="16" t="s">
        <v>254</v>
      </c>
      <c r="F1350" s="16" t="s">
        <v>255</v>
      </c>
      <c r="G1350" s="16" t="s">
        <v>256</v>
      </c>
      <c r="H1350" s="16" t="s">
        <v>257</v>
      </c>
    </row>
    <row r="1351" ht="24.75" customHeight="1">
      <c r="A1351" s="32" t="str">
        <f>IMAGE("https://gymvisual.com/2168-catalog_default/sideways-lifts-vertical-turn-straight-legs.jpg",4,500,500)</f>
        <v/>
      </c>
      <c r="B1351" s="30">
        <v>3350.0</v>
      </c>
      <c r="C1351" s="16" t="s">
        <v>4223</v>
      </c>
      <c r="D1351" s="16" t="s">
        <v>184</v>
      </c>
      <c r="E1351" s="16" t="s">
        <v>254</v>
      </c>
      <c r="F1351" s="16" t="s">
        <v>255</v>
      </c>
      <c r="G1351" s="16" t="s">
        <v>257</v>
      </c>
      <c r="H1351" s="16" t="s">
        <v>256</v>
      </c>
    </row>
    <row r="1352" ht="24.75" customHeight="1">
      <c r="A1352" s="32" t="str">
        <f>IMAGE("https://gymvisual.com/23901-catalog_default/single-arm-overhead-dumbbell-squat.jpg",4,500,500)</f>
        <v/>
      </c>
      <c r="B1352" s="30">
        <v>3351.0</v>
      </c>
      <c r="C1352" s="16" t="s">
        <v>4224</v>
      </c>
      <c r="D1352" s="16" t="s">
        <v>184</v>
      </c>
      <c r="E1352" s="16" t="s">
        <v>285</v>
      </c>
      <c r="F1352" s="16" t="s">
        <v>222</v>
      </c>
      <c r="G1352" s="16" t="s">
        <v>189</v>
      </c>
      <c r="H1352" s="16" t="s">
        <v>190</v>
      </c>
    </row>
    <row r="1353" ht="24.75" customHeight="1">
      <c r="A1353" s="32" t="str">
        <f>IMAGE("https://gymvisual.com/2171-catalog_default/single-arm-push-up.jpg",4,500,500)</f>
        <v/>
      </c>
      <c r="B1353" s="30">
        <v>3352.0</v>
      </c>
      <c r="C1353" s="16" t="s">
        <v>4225</v>
      </c>
      <c r="D1353" s="16" t="s">
        <v>184</v>
      </c>
      <c r="E1353" s="16" t="s">
        <v>234</v>
      </c>
      <c r="F1353" s="16" t="s">
        <v>255</v>
      </c>
      <c r="G1353" s="16" t="s">
        <v>1895</v>
      </c>
      <c r="H1353" s="16" t="s">
        <v>2981</v>
      </c>
    </row>
    <row r="1354" ht="24.75" customHeight="1">
      <c r="A1354" s="32" t="str">
        <f>IMAGE("https://gymvisual.com/12371-catalog_default/single-arm-push-up-on-knees.jpg",4,500,500)</f>
        <v/>
      </c>
      <c r="B1354" s="30">
        <v>3353.0</v>
      </c>
      <c r="C1354" s="16" t="s">
        <v>4226</v>
      </c>
      <c r="D1354" s="16" t="s">
        <v>184</v>
      </c>
      <c r="E1354" s="16" t="s">
        <v>234</v>
      </c>
      <c r="F1354" s="16" t="s">
        <v>255</v>
      </c>
      <c r="G1354" s="16" t="s">
        <v>347</v>
      </c>
      <c r="H1354" s="16" t="s">
        <v>382</v>
      </c>
    </row>
    <row r="1355" ht="24.75" customHeight="1">
      <c r="A1355" s="32" t="str">
        <f>IMAGE("https://gymvisual.com/17943-catalog_default/single-arm-push-up-on-medicine-ball-male.jpg",4,500,500)</f>
        <v/>
      </c>
      <c r="B1355" s="30">
        <v>3354.0</v>
      </c>
      <c r="C1355" s="16" t="s">
        <v>4227</v>
      </c>
      <c r="D1355" s="16" t="s">
        <v>184</v>
      </c>
      <c r="E1355" s="16" t="s">
        <v>234</v>
      </c>
      <c r="F1355" s="16" t="s">
        <v>373</v>
      </c>
      <c r="G1355" s="16" t="s">
        <v>220</v>
      </c>
      <c r="H1355" s="16" t="s">
        <v>220</v>
      </c>
    </row>
    <row r="1356" ht="24.75" customHeight="1">
      <c r="A1356" s="32" t="str">
        <f>IMAGE("https://gymvisual.com/22179-catalog_default/single-arm-push-up-supported-wall.jpg",4,500,500)</f>
        <v/>
      </c>
      <c r="B1356" s="30">
        <v>3355.0</v>
      </c>
      <c r="C1356" s="16" t="s">
        <v>4228</v>
      </c>
      <c r="D1356" s="16" t="s">
        <v>184</v>
      </c>
      <c r="E1356" s="16" t="s">
        <v>234</v>
      </c>
      <c r="F1356" s="16" t="s">
        <v>255</v>
      </c>
      <c r="G1356" s="16" t="s">
        <v>235</v>
      </c>
      <c r="H1356" s="16" t="s">
        <v>243</v>
      </c>
    </row>
    <row r="1357" ht="24.75" customHeight="1">
      <c r="A1357" s="32" t="str">
        <f>IMAGE("https://gymvisual.com/12211-catalog_default/single-arm-scapula-push-up.jpg",4,500,500)</f>
        <v/>
      </c>
      <c r="B1357" s="30">
        <v>3356.0</v>
      </c>
      <c r="C1357" s="16" t="s">
        <v>4229</v>
      </c>
      <c r="D1357" s="16" t="s">
        <v>184</v>
      </c>
      <c r="E1357" s="16" t="s">
        <v>192</v>
      </c>
      <c r="F1357" s="16" t="s">
        <v>255</v>
      </c>
      <c r="G1357" s="16" t="s">
        <v>220</v>
      </c>
      <c r="H1357" s="16" t="s">
        <v>220</v>
      </c>
    </row>
    <row r="1358" ht="24.75" customHeight="1">
      <c r="A1358" s="32" t="str">
        <f>IMAGE("https://gymvisual.com/25899-catalog_default/single-arm-side-straight-arm-lat-pulldown-male.jpg",4,500,500)</f>
        <v/>
      </c>
      <c r="B1358" s="30">
        <v>3357.0</v>
      </c>
      <c r="C1358" s="16" t="s">
        <v>4230</v>
      </c>
      <c r="D1358" s="16" t="s">
        <v>184</v>
      </c>
      <c r="E1358" s="16" t="s">
        <v>192</v>
      </c>
      <c r="F1358" s="16" t="s">
        <v>215</v>
      </c>
      <c r="G1358" s="16" t="s">
        <v>300</v>
      </c>
      <c r="H1358" s="16" t="s">
        <v>4231</v>
      </c>
    </row>
    <row r="1359" ht="24.75" customHeight="1">
      <c r="A1359" s="32" t="str">
        <f>IMAGE("https://gymvisual.com/21032-catalog_default/single-dumbbell-decline-overhead-sit-up.jpg",4,500,500)</f>
        <v/>
      </c>
      <c r="B1359" s="30">
        <v>3358.0</v>
      </c>
      <c r="C1359" s="16" t="s">
        <v>4232</v>
      </c>
      <c r="D1359" s="16" t="s">
        <v>184</v>
      </c>
      <c r="E1359" s="16" t="s">
        <v>254</v>
      </c>
      <c r="F1359" s="16" t="s">
        <v>222</v>
      </c>
      <c r="G1359" s="16" t="s">
        <v>220</v>
      </c>
      <c r="H1359" s="16" t="s">
        <v>220</v>
      </c>
    </row>
    <row r="1360" ht="24.75" customHeight="1">
      <c r="A1360" s="32" t="str">
        <f>IMAGE("https://gymvisual.com/20716-catalog_default/single-leg-bench-squat.jpg",4,500,500)</f>
        <v/>
      </c>
      <c r="B1360" s="30">
        <v>3359.0</v>
      </c>
      <c r="C1360" s="16" t="s">
        <v>4233</v>
      </c>
      <c r="D1360" s="16" t="s">
        <v>184</v>
      </c>
      <c r="E1360" s="16" t="s">
        <v>285</v>
      </c>
      <c r="F1360" s="16" t="s">
        <v>255</v>
      </c>
      <c r="G1360" s="16" t="s">
        <v>189</v>
      </c>
      <c r="H1360" s="16" t="s">
        <v>190</v>
      </c>
    </row>
    <row r="1361" ht="24.75" customHeight="1">
      <c r="A1361" s="32" t="str">
        <f>IMAGE("https://gymvisual.com/12185-catalog_default/single-leg-bodyweight-deadlift-with-arm-and-leg-extended-female.jpg",4,500,500)</f>
        <v/>
      </c>
      <c r="B1361" s="30">
        <v>3360.0</v>
      </c>
      <c r="C1361" s="16" t="s">
        <v>4234</v>
      </c>
      <c r="D1361" s="16" t="s">
        <v>184</v>
      </c>
      <c r="E1361" s="16" t="s">
        <v>185</v>
      </c>
      <c r="F1361" s="16" t="s">
        <v>255</v>
      </c>
      <c r="G1361" s="16" t="s">
        <v>187</v>
      </c>
      <c r="H1361" s="16" t="s">
        <v>4235</v>
      </c>
    </row>
    <row r="1362" ht="24.75" customHeight="1">
      <c r="A1362" s="32" t="str">
        <f>IMAGE("https://gymvisual.com/2174-catalog_default/single-leg-bridge.jpg",4,500,500)</f>
        <v/>
      </c>
      <c r="B1362" s="30">
        <v>3361.0</v>
      </c>
      <c r="C1362" s="16" t="s">
        <v>4236</v>
      </c>
      <c r="D1362" s="16" t="s">
        <v>184</v>
      </c>
      <c r="E1362" s="16" t="s">
        <v>185</v>
      </c>
      <c r="F1362" s="16" t="s">
        <v>255</v>
      </c>
      <c r="G1362" s="16" t="s">
        <v>2848</v>
      </c>
      <c r="H1362" s="16" t="s">
        <v>4237</v>
      </c>
    </row>
    <row r="1363" ht="24.75" customHeight="1">
      <c r="A1363" s="32" t="str">
        <f>IMAGE("https://gymvisual.com/14230-catalog_default/single-leg-bridge-with-hip-flexion.jpg",4,500,500)</f>
        <v/>
      </c>
      <c r="B1363" s="30">
        <v>3362.0</v>
      </c>
      <c r="C1363" s="16" t="s">
        <v>4238</v>
      </c>
      <c r="D1363" s="16" t="s">
        <v>184</v>
      </c>
      <c r="E1363" s="16" t="s">
        <v>185</v>
      </c>
      <c r="F1363" s="16" t="s">
        <v>255</v>
      </c>
      <c r="G1363" s="16" t="s">
        <v>1332</v>
      </c>
      <c r="H1363" s="16" t="s">
        <v>188</v>
      </c>
    </row>
    <row r="1364" ht="24.75" customHeight="1">
      <c r="A1364" s="32" t="str">
        <f>IMAGE("https://gymvisual.com/2176-catalog_default/single-leg-calf-raise-on-a-dumbbell.jpg",4,500,500)</f>
        <v/>
      </c>
      <c r="B1364" s="30">
        <v>3363.0</v>
      </c>
      <c r="C1364" s="16" t="s">
        <v>4239</v>
      </c>
      <c r="D1364" s="16" t="s">
        <v>184</v>
      </c>
      <c r="E1364" s="16" t="s">
        <v>325</v>
      </c>
      <c r="F1364" s="16" t="s">
        <v>222</v>
      </c>
      <c r="G1364" s="16" t="s">
        <v>368</v>
      </c>
      <c r="H1364" s="16" t="s">
        <v>463</v>
      </c>
    </row>
    <row r="1365" ht="24.75" customHeight="1">
      <c r="A1365" s="32" t="str">
        <f>IMAGE("https://gymvisual.com/23879-catalog_default/single-leg-calf-raise-off-step.jpg",4,500,500)</f>
        <v/>
      </c>
      <c r="B1365" s="30">
        <v>3364.0</v>
      </c>
      <c r="C1365" s="16" t="s">
        <v>4240</v>
      </c>
      <c r="D1365" s="16" t="s">
        <v>184</v>
      </c>
      <c r="E1365" s="16" t="s">
        <v>325</v>
      </c>
      <c r="F1365" s="16" t="s">
        <v>255</v>
      </c>
      <c r="G1365" s="16" t="s">
        <v>368</v>
      </c>
      <c r="H1365" s="16" t="s">
        <v>463</v>
      </c>
    </row>
    <row r="1366" ht="24.75" customHeight="1">
      <c r="A1366" s="32" t="str">
        <f>IMAGE("https://gymvisual.com/14234-catalog_default/single-leg-deadlift-with-knee-lift.jpg",4,500,500)</f>
        <v/>
      </c>
      <c r="B1366" s="30">
        <v>3365.0</v>
      </c>
      <c r="C1366" s="16" t="s">
        <v>4241</v>
      </c>
      <c r="D1366" s="16" t="s">
        <v>184</v>
      </c>
      <c r="E1366" s="16" t="s">
        <v>691</v>
      </c>
      <c r="F1366" s="16" t="s">
        <v>255</v>
      </c>
      <c r="G1366" s="16" t="s">
        <v>2288</v>
      </c>
      <c r="H1366" s="16" t="s">
        <v>4242</v>
      </c>
    </row>
    <row r="1367" ht="24.75" customHeight="1">
      <c r="A1367" s="32" t="str">
        <f>IMAGE("https://gymvisual.com/23597-catalog_default/single-leg-dip-on-floor.jpg",4,500,500)</f>
        <v/>
      </c>
      <c r="B1367" s="30">
        <v>3366.0</v>
      </c>
      <c r="C1367" s="16" t="s">
        <v>4243</v>
      </c>
      <c r="D1367" s="16" t="s">
        <v>184</v>
      </c>
      <c r="E1367" s="16" t="s">
        <v>219</v>
      </c>
      <c r="F1367" s="16" t="s">
        <v>255</v>
      </c>
      <c r="G1367" s="16" t="s">
        <v>223</v>
      </c>
      <c r="H1367" s="16" t="s">
        <v>394</v>
      </c>
    </row>
    <row r="1368" ht="24.75" customHeight="1">
      <c r="A1368" s="32" t="str">
        <f>IMAGE("https://gymvisual.com/2179-catalog_default/single-leg-extension-on-stability-ball.jpg",4,500,500)</f>
        <v/>
      </c>
      <c r="B1368" s="30">
        <v>3367.0</v>
      </c>
      <c r="C1368" s="16" t="s">
        <v>4244</v>
      </c>
      <c r="D1368" s="16" t="s">
        <v>184</v>
      </c>
      <c r="E1368" s="16" t="s">
        <v>285</v>
      </c>
      <c r="F1368" s="16" t="s">
        <v>399</v>
      </c>
      <c r="G1368" s="16" t="s">
        <v>188</v>
      </c>
      <c r="H1368" s="16" t="s">
        <v>2733</v>
      </c>
    </row>
    <row r="1369" ht="24.75" customHeight="1">
      <c r="A1369" s="32" t="str">
        <f>IMAGE("https://gymvisual.com/7358-catalog_default/single-leg-foot-touch.jpg",4,500,500)</f>
        <v/>
      </c>
      <c r="B1369" s="30">
        <v>3368.0</v>
      </c>
      <c r="C1369" s="16" t="s">
        <v>4245</v>
      </c>
      <c r="D1369" s="16" t="s">
        <v>184</v>
      </c>
      <c r="E1369" s="16" t="s">
        <v>185</v>
      </c>
      <c r="F1369" s="16" t="s">
        <v>255</v>
      </c>
      <c r="G1369" s="16" t="s">
        <v>267</v>
      </c>
      <c r="H1369" s="16" t="s">
        <v>188</v>
      </c>
    </row>
    <row r="1370" ht="24.75" customHeight="1">
      <c r="A1370" s="32" t="str">
        <f>IMAGE("https://gymvisual.com/22309-catalog_default/single-leg-glute-bridge-arms-on-chest-female.jpg",4,500,500)</f>
        <v/>
      </c>
      <c r="B1370" s="30">
        <v>3369.0</v>
      </c>
      <c r="C1370" s="16" t="s">
        <v>4246</v>
      </c>
      <c r="D1370" s="16" t="s">
        <v>184</v>
      </c>
      <c r="E1370" s="16" t="s">
        <v>185</v>
      </c>
      <c r="F1370" s="16" t="s">
        <v>255</v>
      </c>
      <c r="G1370" s="16" t="s">
        <v>220</v>
      </c>
      <c r="H1370" s="16" t="s">
        <v>220</v>
      </c>
    </row>
    <row r="1371" ht="24.75" customHeight="1">
      <c r="A1371" s="32" t="str">
        <f>IMAGE("https://gymvisual.com/23933-catalog_default/single-leg-glute-bridge-with-external-rotation.jpg",4,500,500)</f>
        <v/>
      </c>
      <c r="B1371" s="30">
        <v>3370.0</v>
      </c>
      <c r="C1371" s="16" t="s">
        <v>4247</v>
      </c>
      <c r="D1371" s="16" t="s">
        <v>184</v>
      </c>
      <c r="E1371" s="16" t="s">
        <v>185</v>
      </c>
      <c r="F1371" s="16" t="s">
        <v>255</v>
      </c>
      <c r="G1371" s="16" t="s">
        <v>1322</v>
      </c>
      <c r="H1371" s="16" t="s">
        <v>3610</v>
      </c>
    </row>
    <row r="1372" ht="24.75" customHeight="1">
      <c r="A1372" s="32" t="str">
        <f>IMAGE("https://gymvisual.com/17821-catalog_default/single-leg-glute-bridge-with-knee-to-chest.jpg",4,500,500)</f>
        <v/>
      </c>
      <c r="B1372" s="30">
        <v>3371.0</v>
      </c>
      <c r="C1372" s="16" t="s">
        <v>4248</v>
      </c>
      <c r="D1372" s="16" t="s">
        <v>184</v>
      </c>
      <c r="E1372" s="16" t="s">
        <v>185</v>
      </c>
      <c r="F1372" s="16" t="s">
        <v>255</v>
      </c>
      <c r="G1372" s="16" t="s">
        <v>187</v>
      </c>
      <c r="H1372" s="16" t="s">
        <v>854</v>
      </c>
    </row>
    <row r="1373" ht="24.75" customHeight="1">
      <c r="A1373" s="32" t="str">
        <f>IMAGE("https://gymvisual.com/14004-catalog_default/single-leg-heel-touch-squat.jpg",4,500,500)</f>
        <v/>
      </c>
      <c r="B1373" s="30">
        <v>3372.0</v>
      </c>
      <c r="C1373" s="16" t="s">
        <v>4249</v>
      </c>
      <c r="D1373" s="16" t="s">
        <v>184</v>
      </c>
      <c r="E1373" s="16" t="s">
        <v>294</v>
      </c>
      <c r="F1373" s="16" t="s">
        <v>255</v>
      </c>
      <c r="G1373" s="16" t="s">
        <v>189</v>
      </c>
      <c r="H1373" s="16" t="s">
        <v>2046</v>
      </c>
    </row>
    <row r="1374" ht="24.75" customHeight="1">
      <c r="A1374" s="32" t="str">
        <f>IMAGE("https://gymvisual.com/2182-catalog_default/single-leg-hip-bridge-straight-leg.jpg",4,500,500)</f>
        <v/>
      </c>
      <c r="B1374" s="30">
        <v>3373.0</v>
      </c>
      <c r="C1374" s="16" t="s">
        <v>4250</v>
      </c>
      <c r="D1374" s="16" t="s">
        <v>184</v>
      </c>
      <c r="E1374" s="16" t="s">
        <v>185</v>
      </c>
      <c r="F1374" s="16" t="s">
        <v>255</v>
      </c>
      <c r="G1374" s="16" t="s">
        <v>187</v>
      </c>
      <c r="H1374" s="16" t="s">
        <v>552</v>
      </c>
    </row>
    <row r="1375" ht="24.75" customHeight="1">
      <c r="A1375" s="32" t="str">
        <f>IMAGE("https://gymvisual.com/13776-catalog_default/single-leg-hip-bridge-straight-leg-male.jpg",4,500,500)</f>
        <v/>
      </c>
      <c r="B1375" s="30">
        <v>3374.0</v>
      </c>
      <c r="C1375" s="16" t="s">
        <v>4251</v>
      </c>
      <c r="D1375" s="16" t="s">
        <v>184</v>
      </c>
      <c r="E1375" s="16" t="s">
        <v>185</v>
      </c>
      <c r="F1375" s="16" t="s">
        <v>255</v>
      </c>
      <c r="G1375" s="16" t="s">
        <v>187</v>
      </c>
      <c r="H1375" s="16" t="s">
        <v>188</v>
      </c>
    </row>
    <row r="1376" ht="24.75" customHeight="1">
      <c r="A1376" s="32" t="str">
        <f>IMAGE("https://gymvisual.com/20718-catalog_default/single-leg-hip-thrust-version-2-female.jpg",4,500,500)</f>
        <v/>
      </c>
      <c r="B1376" s="30">
        <v>3375.0</v>
      </c>
      <c r="C1376" s="16" t="s">
        <v>4252</v>
      </c>
      <c r="D1376" s="16" t="s">
        <v>184</v>
      </c>
      <c r="E1376" s="16" t="s">
        <v>185</v>
      </c>
      <c r="F1376" s="16" t="s">
        <v>255</v>
      </c>
      <c r="G1376" s="16" t="s">
        <v>187</v>
      </c>
      <c r="H1376" s="16" t="s">
        <v>854</v>
      </c>
    </row>
    <row r="1377" ht="24.75" customHeight="1">
      <c r="A1377" s="32" t="str">
        <f>IMAGE("https://gymvisual.com/8638-catalog_default/single-leg-hip-thrusts.jpg",4,500,500)</f>
        <v/>
      </c>
      <c r="B1377" s="30">
        <v>3376.0</v>
      </c>
      <c r="C1377" s="16" t="s">
        <v>4253</v>
      </c>
      <c r="D1377" s="16" t="s">
        <v>184</v>
      </c>
      <c r="E1377" s="16"/>
      <c r="F1377" s="16"/>
      <c r="G1377" s="16" t="s">
        <v>187</v>
      </c>
      <c r="H1377" s="16" t="s">
        <v>854</v>
      </c>
    </row>
    <row r="1378" ht="24.75" customHeight="1">
      <c r="A1378" s="32" t="str">
        <f>IMAGE("https://gymvisual.com/14002-catalog_default/single-leg-low-box-squat.jpg",4,500,500)</f>
        <v/>
      </c>
      <c r="B1378" s="30">
        <v>3377.0</v>
      </c>
      <c r="C1378" s="16" t="s">
        <v>4254</v>
      </c>
      <c r="D1378" s="16" t="s">
        <v>184</v>
      </c>
      <c r="E1378" s="16" t="s">
        <v>294</v>
      </c>
      <c r="F1378" s="16" t="s">
        <v>255</v>
      </c>
      <c r="G1378" s="16" t="s">
        <v>189</v>
      </c>
      <c r="H1378" s="16" t="s">
        <v>190</v>
      </c>
    </row>
    <row r="1379" ht="24.75" customHeight="1">
      <c r="A1379" s="32" t="str">
        <f>IMAGE("https://gymvisual.com/2185-catalog_default/single-leg-platform-slide.jpg",4,500,500)</f>
        <v/>
      </c>
      <c r="B1379" s="30">
        <v>3378.0</v>
      </c>
      <c r="C1379" s="16" t="s">
        <v>4255</v>
      </c>
      <c r="D1379" s="16" t="s">
        <v>184</v>
      </c>
      <c r="E1379" s="16" t="s">
        <v>285</v>
      </c>
      <c r="F1379" s="16" t="s">
        <v>255</v>
      </c>
      <c r="G1379" s="16" t="s">
        <v>188</v>
      </c>
      <c r="H1379" s="16" t="s">
        <v>368</v>
      </c>
    </row>
    <row r="1380" ht="24.75" customHeight="1">
      <c r="A1380" s="32" t="str">
        <f>IMAGE("https://gymvisual.com/6838-catalog_default/single-leg-push-off.jpg",4,500,500)</f>
        <v/>
      </c>
      <c r="B1380" s="30">
        <v>3379.0</v>
      </c>
      <c r="C1380" s="16" t="s">
        <v>4256</v>
      </c>
      <c r="D1380" s="16" t="s">
        <v>184</v>
      </c>
      <c r="E1380" s="16" t="s">
        <v>285</v>
      </c>
      <c r="F1380" s="16" t="s">
        <v>255</v>
      </c>
      <c r="G1380" s="16" t="s">
        <v>220</v>
      </c>
      <c r="H1380" s="16" t="s">
        <v>220</v>
      </c>
    </row>
    <row r="1381" ht="24.75" customHeight="1">
      <c r="A1381" s="32" t="str">
        <f>IMAGE("https://gymvisual.com/2188-catalog_default/single-leg-sit-wall.jpg",4,500,500)</f>
        <v/>
      </c>
      <c r="B1381" s="30">
        <v>3380.0</v>
      </c>
      <c r="C1381" s="16" t="s">
        <v>4257</v>
      </c>
      <c r="D1381" s="16" t="s">
        <v>184</v>
      </c>
      <c r="E1381" s="16" t="s">
        <v>285</v>
      </c>
      <c r="F1381" s="16" t="s">
        <v>255</v>
      </c>
      <c r="G1381" s="16" t="s">
        <v>552</v>
      </c>
      <c r="H1381" s="16" t="s">
        <v>4258</v>
      </c>
    </row>
    <row r="1382" ht="24.75" customHeight="1">
      <c r="A1382" s="32" t="str">
        <f>IMAGE("https://gymvisual.com/14038-catalog_default/single-leg-sliding-floor-bridge-curl-on-towel.jpg",4,500,500)</f>
        <v/>
      </c>
      <c r="B1382" s="30">
        <v>3381.0</v>
      </c>
      <c r="C1382" s="16" t="s">
        <v>4259</v>
      </c>
      <c r="D1382" s="16" t="s">
        <v>184</v>
      </c>
      <c r="E1382" s="16" t="s">
        <v>522</v>
      </c>
      <c r="F1382" s="16" t="s">
        <v>255</v>
      </c>
      <c r="G1382" s="16" t="s">
        <v>4260</v>
      </c>
      <c r="H1382" s="16" t="s">
        <v>220</v>
      </c>
    </row>
    <row r="1383" ht="24.75" customHeight="1">
      <c r="A1383" s="32" t="str">
        <f>IMAGE("https://gymvisual.com/2190-catalog_default/single-leg-squat-pistol.jpg",4,500,500)</f>
        <v/>
      </c>
      <c r="B1383" s="30">
        <v>3382.0</v>
      </c>
      <c r="C1383" s="16" t="s">
        <v>4261</v>
      </c>
      <c r="D1383" s="16" t="s">
        <v>184</v>
      </c>
      <c r="E1383" s="16" t="s">
        <v>185</v>
      </c>
      <c r="F1383" s="16" t="s">
        <v>255</v>
      </c>
      <c r="G1383" s="16" t="s">
        <v>189</v>
      </c>
      <c r="H1383" s="16" t="s">
        <v>190</v>
      </c>
    </row>
    <row r="1384" ht="24.75" customHeight="1">
      <c r="A1384" s="32" t="str">
        <f>IMAGE("https://gymvisual.com/7567-catalog_default/single-leg-squat-pistol-male.jpg",4,500,500)</f>
        <v/>
      </c>
      <c r="B1384" s="30">
        <v>3383.0</v>
      </c>
      <c r="C1384" s="16" t="s">
        <v>4262</v>
      </c>
      <c r="D1384" s="16" t="s">
        <v>184</v>
      </c>
      <c r="E1384" s="16" t="s">
        <v>285</v>
      </c>
      <c r="F1384" s="16" t="s">
        <v>255</v>
      </c>
      <c r="G1384" s="16" t="s">
        <v>189</v>
      </c>
      <c r="H1384" s="16" t="s">
        <v>190</v>
      </c>
    </row>
    <row r="1385" ht="24.75" customHeight="1">
      <c r="A1385" s="32" t="str">
        <f>IMAGE("https://gymvisual.com/20660-catalog_default/single-leg-squat-with-support-female.jpg",4,500,500)</f>
        <v/>
      </c>
      <c r="B1385" s="30">
        <v>3384.0</v>
      </c>
      <c r="C1385" s="16" t="s">
        <v>4263</v>
      </c>
      <c r="D1385" s="16" t="s">
        <v>184</v>
      </c>
      <c r="E1385" s="16" t="s">
        <v>285</v>
      </c>
      <c r="F1385" s="16" t="s">
        <v>255</v>
      </c>
      <c r="G1385" s="16" t="s">
        <v>189</v>
      </c>
      <c r="H1385" s="16" t="s">
        <v>190</v>
      </c>
    </row>
    <row r="1386" ht="24.75" customHeight="1">
      <c r="A1386" s="32" t="str">
        <f>IMAGE("https://gymvisual.com/10096-catalog_default/single-leg-squat-with-support-pistol.jpg",4,500,500)</f>
        <v/>
      </c>
      <c r="B1386" s="30">
        <v>3385.0</v>
      </c>
      <c r="C1386" s="16" t="s">
        <v>4264</v>
      </c>
      <c r="D1386" s="16" t="s">
        <v>184</v>
      </c>
      <c r="E1386" s="16" t="s">
        <v>285</v>
      </c>
      <c r="F1386" s="16" t="s">
        <v>255</v>
      </c>
      <c r="G1386" s="16" t="s">
        <v>189</v>
      </c>
      <c r="H1386" s="16" t="s">
        <v>190</v>
      </c>
    </row>
    <row r="1387" ht="24.75" customHeight="1">
      <c r="A1387" s="32" t="str">
        <f>IMAGE("https://gymvisual.com/16035-catalog_default/single-leg-step-up-female.jpg",4,500,500)</f>
        <v/>
      </c>
      <c r="B1387" s="30">
        <v>3386.0</v>
      </c>
      <c r="C1387" s="16" t="s">
        <v>4265</v>
      </c>
      <c r="D1387" s="16" t="s">
        <v>184</v>
      </c>
      <c r="E1387" s="16" t="s">
        <v>294</v>
      </c>
      <c r="F1387" s="16" t="s">
        <v>255</v>
      </c>
      <c r="G1387" s="16" t="s">
        <v>189</v>
      </c>
      <c r="H1387" s="16" t="s">
        <v>190</v>
      </c>
    </row>
    <row r="1388" ht="24.75" customHeight="1">
      <c r="A1388" s="32" t="str">
        <f>IMAGE("https://gymvisual.com/2193-catalog_default/single-leg-step-up.jpg",4,500,500)</f>
        <v/>
      </c>
      <c r="B1388" s="30">
        <v>3387.0</v>
      </c>
      <c r="C1388" s="16" t="s">
        <v>4266</v>
      </c>
      <c r="D1388" s="16" t="s">
        <v>184</v>
      </c>
      <c r="E1388" s="16" t="s">
        <v>285</v>
      </c>
      <c r="F1388" s="16" t="s">
        <v>255</v>
      </c>
      <c r="G1388" s="16" t="s">
        <v>189</v>
      </c>
      <c r="H1388" s="16" t="s">
        <v>2046</v>
      </c>
    </row>
    <row r="1389" ht="24.75" customHeight="1">
      <c r="A1389" s="32" t="str">
        <f>IMAGE("https://gymvisual.com/22315-catalog_default/single-leg-step-up-on-bench-female.jpg",4,500,500)</f>
        <v/>
      </c>
      <c r="B1389" s="30">
        <v>3388.0</v>
      </c>
      <c r="C1389" s="16" t="s">
        <v>4267</v>
      </c>
      <c r="D1389" s="16" t="s">
        <v>184</v>
      </c>
      <c r="E1389" s="16" t="s">
        <v>285</v>
      </c>
      <c r="F1389" s="16" t="s">
        <v>255</v>
      </c>
      <c r="G1389" s="16" t="s">
        <v>220</v>
      </c>
      <c r="H1389" s="16" t="s">
        <v>220</v>
      </c>
    </row>
    <row r="1390" ht="24.75" customHeight="1">
      <c r="A1390" s="32" t="str">
        <f>IMAGE("https://gymvisual.com/24494-catalog_default/single-straight-leg-glute-bridge-hold-female.jpg",4,500,500)</f>
        <v/>
      </c>
      <c r="B1390" s="30">
        <v>3389.0</v>
      </c>
      <c r="C1390" s="16" t="s">
        <v>4268</v>
      </c>
      <c r="D1390" s="16" t="s">
        <v>184</v>
      </c>
      <c r="E1390" s="16" t="s">
        <v>185</v>
      </c>
      <c r="F1390" s="16" t="s">
        <v>255</v>
      </c>
      <c r="G1390" s="16" t="s">
        <v>220</v>
      </c>
      <c r="H1390" s="16" t="s">
        <v>220</v>
      </c>
    </row>
    <row r="1391" ht="24.75" customHeight="1">
      <c r="A1391" s="32" t="str">
        <f>IMAGE("https://gymvisual.com/6508-catalog_default/sissy-squat.jpg",4,500,500)</f>
        <v/>
      </c>
      <c r="B1391" s="30">
        <v>3390.0</v>
      </c>
      <c r="C1391" s="16" t="s">
        <v>4269</v>
      </c>
      <c r="D1391" s="16" t="s">
        <v>184</v>
      </c>
      <c r="E1391" s="16" t="s">
        <v>285</v>
      </c>
      <c r="F1391" s="16" t="s">
        <v>255</v>
      </c>
      <c r="G1391" s="16" t="s">
        <v>552</v>
      </c>
      <c r="H1391" s="16" t="s">
        <v>220</v>
      </c>
    </row>
    <row r="1392" ht="24.75" customHeight="1">
      <c r="A1392" s="32" t="str">
        <f>IMAGE("https://gymvisual.com/2196-catalog_default/sit-wall.jpg",4,500,500)</f>
        <v/>
      </c>
      <c r="B1392" s="30">
        <v>3391.0</v>
      </c>
      <c r="C1392" s="16" t="s">
        <v>4270</v>
      </c>
      <c r="D1392" s="16" t="s">
        <v>184</v>
      </c>
      <c r="E1392" s="16" t="s">
        <v>285</v>
      </c>
      <c r="F1392" s="16" t="s">
        <v>255</v>
      </c>
      <c r="G1392" s="16" t="s">
        <v>189</v>
      </c>
      <c r="H1392" s="16" t="s">
        <v>190</v>
      </c>
    </row>
    <row r="1393" ht="24.75" customHeight="1">
      <c r="A1393" s="32" t="str">
        <f>IMAGE("https://gymvisual.com/6840-catalog_default/sit-squat.jpg",4,500,500)</f>
        <v/>
      </c>
      <c r="B1393" s="30">
        <v>3392.0</v>
      </c>
      <c r="C1393" s="16" t="s">
        <v>4271</v>
      </c>
      <c r="D1393" s="16" t="s">
        <v>184</v>
      </c>
      <c r="E1393" s="16" t="s">
        <v>285</v>
      </c>
      <c r="F1393" s="16" t="s">
        <v>255</v>
      </c>
      <c r="G1393" s="16" t="s">
        <v>220</v>
      </c>
      <c r="H1393" s="16" t="s">
        <v>220</v>
      </c>
    </row>
    <row r="1394" ht="24.75" customHeight="1">
      <c r="A1394" s="32" t="str">
        <f>IMAGE("https://gymvisual.com/13741-catalog_default/sit-up-with-chair-assisted.jpg",4,500,500)</f>
        <v/>
      </c>
      <c r="B1394" s="30">
        <v>3393.0</v>
      </c>
      <c r="C1394" s="16" t="s">
        <v>4272</v>
      </c>
      <c r="D1394" s="16" t="s">
        <v>184</v>
      </c>
      <c r="E1394" s="16" t="s">
        <v>254</v>
      </c>
      <c r="F1394" s="16" t="s">
        <v>255</v>
      </c>
      <c r="G1394" s="16" t="s">
        <v>256</v>
      </c>
      <c r="H1394" s="16" t="s">
        <v>257</v>
      </c>
    </row>
    <row r="1395" ht="24.75" customHeight="1">
      <c r="A1395" s="32" t="str">
        <f>IMAGE("https://gymvisual.com/2202-catalog_default/sit-up.jpg",4,500,500)</f>
        <v/>
      </c>
      <c r="B1395" s="30">
        <v>3394.0</v>
      </c>
      <c r="C1395" s="16" t="s">
        <v>4273</v>
      </c>
      <c r="D1395" s="16" t="s">
        <v>184</v>
      </c>
      <c r="E1395" s="16" t="s">
        <v>254</v>
      </c>
      <c r="F1395" s="16" t="s">
        <v>255</v>
      </c>
      <c r="G1395" s="16" t="s">
        <v>256</v>
      </c>
      <c r="H1395" s="16" t="s">
        <v>424</v>
      </c>
    </row>
    <row r="1396" ht="24.75" customHeight="1">
      <c r="A1396" s="32" t="str">
        <f>IMAGE("https://gymvisual.com/2199-catalog_default/sit-up-version-2.jpg",4,500,500)</f>
        <v/>
      </c>
      <c r="B1396" s="30">
        <v>3395.0</v>
      </c>
      <c r="C1396" s="16" t="s">
        <v>4274</v>
      </c>
      <c r="D1396" s="16" t="s">
        <v>184</v>
      </c>
      <c r="E1396" s="16" t="s">
        <v>254</v>
      </c>
      <c r="F1396" s="16" t="s">
        <v>255</v>
      </c>
      <c r="G1396" s="16" t="s">
        <v>305</v>
      </c>
      <c r="H1396" s="16" t="s">
        <v>593</v>
      </c>
    </row>
    <row r="1397" ht="24.75" customHeight="1">
      <c r="A1397" s="32" t="str">
        <f>IMAGE("https://gymvisual.com/14643-catalog_default/sit-up-with-arms-on-chest.jpg",4,500,500)</f>
        <v/>
      </c>
      <c r="B1397" s="30">
        <v>3396.0</v>
      </c>
      <c r="C1397" s="16" t="s">
        <v>4275</v>
      </c>
      <c r="D1397" s="16" t="s">
        <v>184</v>
      </c>
      <c r="E1397" s="16" t="s">
        <v>254</v>
      </c>
      <c r="F1397" s="16" t="s">
        <v>255</v>
      </c>
      <c r="G1397" s="16" t="s">
        <v>305</v>
      </c>
      <c r="H1397" s="16" t="s">
        <v>257</v>
      </c>
    </row>
    <row r="1398" ht="24.75" customHeight="1">
      <c r="A1398" s="32" t="str">
        <f>IMAGE("https://gymvisual.com/13697-catalog_default/skater-squat.jpg",4,500,500)</f>
        <v/>
      </c>
      <c r="B1398" s="30">
        <v>3397.0</v>
      </c>
      <c r="C1398" s="16" t="s">
        <v>4276</v>
      </c>
      <c r="D1398" s="16" t="s">
        <v>184</v>
      </c>
      <c r="E1398" s="16" t="s">
        <v>294</v>
      </c>
      <c r="F1398" s="16" t="s">
        <v>255</v>
      </c>
      <c r="G1398" s="16" t="s">
        <v>189</v>
      </c>
      <c r="H1398" s="16" t="s">
        <v>190</v>
      </c>
    </row>
    <row r="1399" ht="24.75" customHeight="1">
      <c r="A1399" s="32" t="str">
        <f>IMAGE("https://gymvisual.com/9586-catalog_default/sled-45-degrees-leg-press-female.jpg",4,500,500)</f>
        <v/>
      </c>
      <c r="B1399" s="30">
        <v>3398.0</v>
      </c>
      <c r="C1399" s="16" t="s">
        <v>4277</v>
      </c>
      <c r="D1399" s="16" t="s">
        <v>184</v>
      </c>
      <c r="E1399" s="16" t="s">
        <v>294</v>
      </c>
      <c r="F1399" s="16" t="s">
        <v>2893</v>
      </c>
      <c r="G1399" s="16" t="s">
        <v>189</v>
      </c>
      <c r="H1399" s="16" t="s">
        <v>190</v>
      </c>
    </row>
    <row r="1400" ht="24.75" customHeight="1">
      <c r="A1400" s="32" t="str">
        <f>IMAGE("https://gymvisual.com/14296-catalog_default/sled-45-degrees-narrow-stance-leg-press-female.jpg",4,500,500)</f>
        <v/>
      </c>
      <c r="B1400" s="30">
        <v>3399.0</v>
      </c>
      <c r="C1400" s="16" t="s">
        <v>4278</v>
      </c>
      <c r="D1400" s="16" t="s">
        <v>184</v>
      </c>
      <c r="E1400" s="16" t="s">
        <v>294</v>
      </c>
      <c r="F1400" s="16" t="s">
        <v>2893</v>
      </c>
      <c r="G1400" s="16" t="s">
        <v>189</v>
      </c>
      <c r="H1400" s="16" t="s">
        <v>190</v>
      </c>
    </row>
    <row r="1401" ht="24.75" customHeight="1">
      <c r="A1401" s="32" t="str">
        <f>IMAGE("https://gymvisual.com/6277-catalog_default/sled-45-degrees-one-leg-press.jpg",4,500,500)</f>
        <v/>
      </c>
      <c r="B1401" s="30">
        <v>3400.0</v>
      </c>
      <c r="C1401" s="16" t="s">
        <v>4279</v>
      </c>
      <c r="D1401" s="16" t="s">
        <v>184</v>
      </c>
      <c r="E1401" s="16" t="s">
        <v>185</v>
      </c>
      <c r="F1401" s="16" t="s">
        <v>2893</v>
      </c>
      <c r="G1401" s="16" t="s">
        <v>189</v>
      </c>
      <c r="H1401" s="16" t="s">
        <v>190</v>
      </c>
    </row>
    <row r="1402" ht="24.75" customHeight="1">
      <c r="A1402" s="32" t="str">
        <f>IMAGE("https://gymvisual.com/11375-catalog_default/sled-45-degrees-one-leg-press-female.jpg",4,500,500)</f>
        <v/>
      </c>
      <c r="B1402" s="30">
        <v>3401.0</v>
      </c>
      <c r="C1402" s="16" t="s">
        <v>4280</v>
      </c>
      <c r="D1402" s="16" t="s">
        <v>184</v>
      </c>
      <c r="E1402" s="16" t="s">
        <v>294</v>
      </c>
      <c r="F1402" s="16" t="s">
        <v>2893</v>
      </c>
      <c r="G1402" s="16" t="s">
        <v>220</v>
      </c>
      <c r="H1402" s="16" t="s">
        <v>220</v>
      </c>
    </row>
    <row r="1403" ht="24.75" customHeight="1">
      <c r="A1403" s="32" t="str">
        <f>IMAGE("https://gymvisual.com/14298-catalog_default/sled-45-degrees-wide-stance-leg-press-female.jpg",4,500,500)</f>
        <v/>
      </c>
      <c r="B1403" s="30">
        <v>3402.0</v>
      </c>
      <c r="C1403" s="16" t="s">
        <v>4281</v>
      </c>
      <c r="D1403" s="16" t="s">
        <v>184</v>
      </c>
      <c r="E1403" s="16" t="s">
        <v>294</v>
      </c>
      <c r="F1403" s="16" t="s">
        <v>2893</v>
      </c>
      <c r="G1403" s="16" t="s">
        <v>189</v>
      </c>
      <c r="H1403" s="16" t="s">
        <v>190</v>
      </c>
    </row>
    <row r="1404" ht="24.75" customHeight="1">
      <c r="A1404" s="32" t="str">
        <f>IMAGE("https://gymvisual.com/2208-catalog_default/sled-45-calf-press.jpg",4,500,500)</f>
        <v/>
      </c>
      <c r="B1404" s="30">
        <v>3403.0</v>
      </c>
      <c r="C1404" s="16" t="s">
        <v>4282</v>
      </c>
      <c r="D1404" s="16" t="s">
        <v>184</v>
      </c>
      <c r="E1404" s="16" t="s">
        <v>325</v>
      </c>
      <c r="F1404" s="16" t="s">
        <v>2893</v>
      </c>
      <c r="G1404" s="16" t="s">
        <v>368</v>
      </c>
      <c r="H1404" s="16" t="s">
        <v>463</v>
      </c>
    </row>
    <row r="1405" ht="24.75" customHeight="1">
      <c r="A1405" s="32" t="str">
        <f>IMAGE("https://gymvisual.com/2211-catalog_default/sled-45-leg-press.jpg",4,500,500)</f>
        <v/>
      </c>
      <c r="B1405" s="30">
        <v>3404.0</v>
      </c>
      <c r="C1405" s="16" t="s">
        <v>4283</v>
      </c>
      <c r="D1405" s="16" t="s">
        <v>184</v>
      </c>
      <c r="E1405" s="16" t="s">
        <v>185</v>
      </c>
      <c r="F1405" s="16" t="s">
        <v>2893</v>
      </c>
      <c r="G1405" s="16" t="s">
        <v>189</v>
      </c>
      <c r="H1405" s="16" t="s">
        <v>190</v>
      </c>
    </row>
    <row r="1406" ht="24.75" customHeight="1">
      <c r="A1406" s="32" t="str">
        <f>IMAGE("https://gymvisual.com/6474-catalog_default/sled-45-leg-press-back-pov.jpg",4,500,500)</f>
        <v/>
      </c>
      <c r="B1406" s="30">
        <v>3405.0</v>
      </c>
      <c r="C1406" s="16" t="s">
        <v>4284</v>
      </c>
      <c r="D1406" s="16" t="s">
        <v>184</v>
      </c>
      <c r="E1406" s="16" t="s">
        <v>285</v>
      </c>
      <c r="F1406" s="16" t="s">
        <v>2893</v>
      </c>
      <c r="G1406" s="16" t="s">
        <v>189</v>
      </c>
      <c r="H1406" s="16" t="s">
        <v>190</v>
      </c>
    </row>
    <row r="1407" ht="24.75" customHeight="1">
      <c r="A1407" s="32" t="str">
        <f>IMAGE("https://gymvisual.com/6476-catalog_default/sled-45-leg-press-side-pov.jpg",4,500,500)</f>
        <v/>
      </c>
      <c r="B1407" s="30">
        <v>3406.0</v>
      </c>
      <c r="C1407" s="16" t="s">
        <v>4285</v>
      </c>
      <c r="D1407" s="16" t="s">
        <v>184</v>
      </c>
      <c r="E1407" s="16" t="s">
        <v>285</v>
      </c>
      <c r="F1407" s="16" t="s">
        <v>2893</v>
      </c>
      <c r="G1407" s="16" t="s">
        <v>189</v>
      </c>
      <c r="H1407" s="16" t="s">
        <v>190</v>
      </c>
    </row>
    <row r="1408" ht="24.75" customHeight="1">
      <c r="A1408" s="32" t="str">
        <f>IMAGE("https://gymvisual.com/2214-catalog_default/sled-45-leg-wide-press.jpg",4,500,500)</f>
        <v/>
      </c>
      <c r="B1408" s="30">
        <v>3407.0</v>
      </c>
      <c r="C1408" s="16" t="s">
        <v>4286</v>
      </c>
      <c r="D1408" s="16" t="s">
        <v>184</v>
      </c>
      <c r="E1408" s="16" t="s">
        <v>285</v>
      </c>
      <c r="F1408" s="16" t="s">
        <v>2893</v>
      </c>
      <c r="G1408" s="16" t="s">
        <v>189</v>
      </c>
      <c r="H1408" s="16" t="s">
        <v>1121</v>
      </c>
    </row>
    <row r="1409" ht="24.75" customHeight="1">
      <c r="A1409" s="32" t="str">
        <f>IMAGE("https://gymvisual.com/6822-catalog_default/sled-45o-narrow-stance-leg-press.jpg",4,500,500)</f>
        <v/>
      </c>
      <c r="B1409" s="30">
        <v>3408.0</v>
      </c>
      <c r="C1409" s="16" t="s">
        <v>4287</v>
      </c>
      <c r="D1409" s="16" t="s">
        <v>184</v>
      </c>
      <c r="E1409" s="16" t="s">
        <v>285</v>
      </c>
      <c r="F1409" s="16" t="s">
        <v>2893</v>
      </c>
      <c r="G1409" s="16" t="s">
        <v>189</v>
      </c>
      <c r="H1409" s="16" t="s">
        <v>190</v>
      </c>
    </row>
    <row r="1410" ht="24.75" customHeight="1">
      <c r="A1410" s="32" t="str">
        <f>IMAGE("https://gymvisual.com/6088-catalog_default/sled-calf-press-on-leg-press.jpg",4,500,500)</f>
        <v/>
      </c>
      <c r="B1410" s="30">
        <v>3409.0</v>
      </c>
      <c r="C1410" s="16" t="s">
        <v>4288</v>
      </c>
      <c r="D1410" s="16" t="s">
        <v>184</v>
      </c>
      <c r="E1410" s="16" t="s">
        <v>325</v>
      </c>
      <c r="F1410" s="16" t="s">
        <v>2893</v>
      </c>
      <c r="G1410" s="16" t="s">
        <v>368</v>
      </c>
      <c r="H1410" s="16" t="s">
        <v>463</v>
      </c>
    </row>
    <row r="1411" ht="24.75" customHeight="1">
      <c r="A1411" s="32" t="str">
        <f>IMAGE("https://gymvisual.com/9550-catalog_default/sled-calf-press-on-leg-press-female.jpg",4,500,500)</f>
        <v/>
      </c>
      <c r="B1411" s="30">
        <v>3410.0</v>
      </c>
      <c r="C1411" s="16" t="s">
        <v>4289</v>
      </c>
      <c r="D1411" s="16" t="s">
        <v>184</v>
      </c>
      <c r="E1411" s="16" t="s">
        <v>325</v>
      </c>
      <c r="F1411" s="16" t="s">
        <v>2893</v>
      </c>
      <c r="G1411" s="16" t="s">
        <v>368</v>
      </c>
      <c r="H1411" s="16" t="s">
        <v>463</v>
      </c>
    </row>
    <row r="1412" ht="24.75" customHeight="1">
      <c r="A1412" s="32" t="str">
        <f>IMAGE("https://gymvisual.com/2217-catalog_default/sled-closer-hack-squat.jpg",4,500,500)</f>
        <v/>
      </c>
      <c r="B1412" s="30">
        <v>3411.0</v>
      </c>
      <c r="C1412" s="16" t="s">
        <v>4290</v>
      </c>
      <c r="D1412" s="16" t="s">
        <v>184</v>
      </c>
      <c r="E1412" s="16" t="s">
        <v>285</v>
      </c>
      <c r="F1412" s="16" t="s">
        <v>2893</v>
      </c>
      <c r="G1412" s="16" t="s">
        <v>189</v>
      </c>
      <c r="H1412" s="16" t="s">
        <v>190</v>
      </c>
    </row>
    <row r="1413" ht="24.75" customHeight="1">
      <c r="A1413" s="32" t="str">
        <f>IMAGE("https://gymvisual.com/20543-catalog_default/sled-forward-angled-calf-raise.jpg",4,500,500)</f>
        <v/>
      </c>
      <c r="B1413" s="30">
        <v>3412.0</v>
      </c>
      <c r="C1413" s="16" t="s">
        <v>4291</v>
      </c>
      <c r="D1413" s="16" t="s">
        <v>184</v>
      </c>
      <c r="E1413" s="16" t="s">
        <v>325</v>
      </c>
      <c r="F1413" s="16" t="s">
        <v>2893</v>
      </c>
      <c r="G1413" s="16" t="s">
        <v>368</v>
      </c>
      <c r="H1413" s="16" t="s">
        <v>463</v>
      </c>
    </row>
    <row r="1414" ht="24.75" customHeight="1">
      <c r="A1414" s="32" t="str">
        <f>IMAGE("https://gymvisual.com/8038-catalog_default/sled-full-hack-squat.jpg",4,500,500)</f>
        <v/>
      </c>
      <c r="B1414" s="30">
        <v>3413.0</v>
      </c>
      <c r="C1414" s="16" t="s">
        <v>4292</v>
      </c>
      <c r="D1414" s="16" t="s">
        <v>184</v>
      </c>
      <c r="E1414" s="16" t="s">
        <v>285</v>
      </c>
      <c r="F1414" s="16" t="s">
        <v>2893</v>
      </c>
      <c r="G1414" s="16" t="s">
        <v>220</v>
      </c>
      <c r="H1414" s="16" t="s">
        <v>220</v>
      </c>
    </row>
    <row r="1415" ht="24.75" customHeight="1">
      <c r="A1415" s="32" t="str">
        <f>IMAGE("https://gymvisual.com/11221-catalog_default/sled-full-hack-squat-female.jpg",4,500,500)</f>
        <v/>
      </c>
      <c r="B1415" s="30">
        <v>3414.0</v>
      </c>
      <c r="C1415" s="16" t="s">
        <v>4293</v>
      </c>
      <c r="D1415" s="16" t="s">
        <v>184</v>
      </c>
      <c r="E1415" s="16" t="s">
        <v>294</v>
      </c>
      <c r="F1415" s="16" t="s">
        <v>2893</v>
      </c>
      <c r="G1415" s="16" t="s">
        <v>220</v>
      </c>
      <c r="H1415" s="16" t="s">
        <v>220</v>
      </c>
    </row>
    <row r="1416" ht="24.75" customHeight="1">
      <c r="A1416" s="32" t="str">
        <f>IMAGE("https://gymvisual.com/25077-catalog_default/sled-hack-squat.jpg",4,500,500)</f>
        <v/>
      </c>
      <c r="B1416" s="30">
        <v>3415.0</v>
      </c>
      <c r="C1416" s="16" t="s">
        <v>4294</v>
      </c>
      <c r="D1416" s="16" t="s">
        <v>184</v>
      </c>
      <c r="E1416" s="16" t="s">
        <v>185</v>
      </c>
      <c r="F1416" s="16" t="s">
        <v>2893</v>
      </c>
      <c r="G1416" s="16" t="s">
        <v>189</v>
      </c>
      <c r="H1416" s="16" t="s">
        <v>190</v>
      </c>
    </row>
    <row r="1417" ht="24.75" customHeight="1">
      <c r="A1417" s="32" t="str">
        <f>IMAGE("https://gymvisual.com/10362-catalog_default/sled-hack-squat-female.jpg",4,500,500)</f>
        <v/>
      </c>
      <c r="B1417" s="30">
        <v>3416.0</v>
      </c>
      <c r="C1417" s="16" t="s">
        <v>4295</v>
      </c>
      <c r="D1417" s="16" t="s">
        <v>184</v>
      </c>
      <c r="E1417" s="16" t="s">
        <v>285</v>
      </c>
      <c r="F1417" s="16" t="s">
        <v>2893</v>
      </c>
      <c r="G1417" s="16" t="s">
        <v>189</v>
      </c>
      <c r="H1417" s="16" t="s">
        <v>190</v>
      </c>
    </row>
    <row r="1418" ht="24.75" customHeight="1">
      <c r="A1418" s="32" t="str">
        <f>IMAGE("https://gymvisual.com/10190-catalog_default/sled-hack-squat-legs-wrong-right.jpg",4,500,500)</f>
        <v/>
      </c>
      <c r="B1418" s="30">
        <v>3417.0</v>
      </c>
      <c r="C1418" s="16" t="s">
        <v>4296</v>
      </c>
      <c r="D1418" s="16" t="s">
        <v>184</v>
      </c>
      <c r="E1418" s="16" t="s">
        <v>285</v>
      </c>
      <c r="F1418" s="16" t="s">
        <v>2893</v>
      </c>
      <c r="G1418" s="16" t="s">
        <v>220</v>
      </c>
      <c r="H1418" s="16" t="s">
        <v>220</v>
      </c>
    </row>
    <row r="1419" ht="24.75" customHeight="1">
      <c r="A1419" s="32" t="str">
        <f>IMAGE("https://gymvisual.com/10052-catalog_default/sled-lying-calf-press.jpg",4,500,500)</f>
        <v/>
      </c>
      <c r="B1419" s="30">
        <v>3418.0</v>
      </c>
      <c r="C1419" s="16" t="s">
        <v>4297</v>
      </c>
      <c r="D1419" s="16" t="s">
        <v>184</v>
      </c>
      <c r="E1419" s="16" t="s">
        <v>325</v>
      </c>
      <c r="F1419" s="16" t="s">
        <v>2893</v>
      </c>
      <c r="G1419" s="16" t="s">
        <v>368</v>
      </c>
      <c r="H1419" s="16" t="s">
        <v>463</v>
      </c>
    </row>
    <row r="1420" ht="24.75" customHeight="1">
      <c r="A1420" s="32" t="str">
        <f>IMAGE("https://gymvisual.com/2226-catalog_default/sled-lying-squat.jpg",4,500,500)</f>
        <v/>
      </c>
      <c r="B1420" s="30">
        <v>3419.0</v>
      </c>
      <c r="C1420" s="16" t="s">
        <v>4298</v>
      </c>
      <c r="D1420" s="16" t="s">
        <v>184</v>
      </c>
      <c r="E1420" s="16" t="s">
        <v>285</v>
      </c>
      <c r="F1420" s="16" t="s">
        <v>2893</v>
      </c>
      <c r="G1420" s="16" t="s">
        <v>189</v>
      </c>
      <c r="H1420" s="16" t="s">
        <v>190</v>
      </c>
    </row>
    <row r="1421" ht="24.75" customHeight="1">
      <c r="A1421" s="32" t="str">
        <f>IMAGE("https://gymvisual.com/6089-catalog_default/sled-one-leg-calf-press-on-leg-press.jpg",4,500,500)</f>
        <v/>
      </c>
      <c r="B1421" s="30">
        <v>3420.0</v>
      </c>
      <c r="C1421" s="16" t="s">
        <v>4299</v>
      </c>
      <c r="D1421" s="16" t="s">
        <v>184</v>
      </c>
      <c r="E1421" s="16" t="s">
        <v>325</v>
      </c>
      <c r="F1421" s="16" t="s">
        <v>2893</v>
      </c>
      <c r="G1421" s="16" t="s">
        <v>368</v>
      </c>
      <c r="H1421" s="16" t="s">
        <v>463</v>
      </c>
    </row>
    <row r="1422" ht="24.75" customHeight="1">
      <c r="A1422" s="32" t="str">
        <f>IMAGE("https://gymvisual.com/6826-catalog_default/sled-one-leg-hack-squat.jpg",4,500,500)</f>
        <v/>
      </c>
      <c r="B1422" s="30">
        <v>3421.0</v>
      </c>
      <c r="C1422" s="16" t="s">
        <v>4300</v>
      </c>
      <c r="D1422" s="16" t="s">
        <v>184</v>
      </c>
      <c r="E1422" s="16" t="s">
        <v>285</v>
      </c>
      <c r="F1422" s="16" t="s">
        <v>2893</v>
      </c>
      <c r="G1422" s="16" t="s">
        <v>220</v>
      </c>
      <c r="H1422" s="16" t="s">
        <v>220</v>
      </c>
    </row>
    <row r="1423" ht="24.75" customHeight="1">
      <c r="A1423" s="32" t="str">
        <f>IMAGE("https://gymvisual.com/6830-catalog_default/sled-reverse-hack-squat.jpg",4,500,500)</f>
        <v/>
      </c>
      <c r="B1423" s="30">
        <v>3422.0</v>
      </c>
      <c r="C1423" s="16" t="s">
        <v>4301</v>
      </c>
      <c r="D1423" s="16" t="s">
        <v>184</v>
      </c>
      <c r="E1423" s="16" t="s">
        <v>285</v>
      </c>
      <c r="F1423" s="16" t="s">
        <v>2893</v>
      </c>
      <c r="G1423" s="16" t="s">
        <v>189</v>
      </c>
      <c r="H1423" s="16" t="s">
        <v>190</v>
      </c>
    </row>
    <row r="1424" ht="24.75" customHeight="1">
      <c r="A1424" s="32" t="str">
        <f>IMAGE("https://gymvisual.com/18736-catalog_default/sled-vertical-leg-press.jpg",4,500,500)</f>
        <v/>
      </c>
      <c r="B1424" s="30">
        <v>3423.0</v>
      </c>
      <c r="C1424" s="16" t="s">
        <v>4302</v>
      </c>
      <c r="D1424" s="16" t="s">
        <v>184</v>
      </c>
      <c r="E1424" s="16" t="s">
        <v>285</v>
      </c>
      <c r="F1424" s="16" t="s">
        <v>2893</v>
      </c>
      <c r="G1424" s="16" t="s">
        <v>220</v>
      </c>
      <c r="H1424" s="16" t="s">
        <v>220</v>
      </c>
    </row>
    <row r="1425" ht="24.75" customHeight="1">
      <c r="A1425" s="32" t="str">
        <f>IMAGE("https://gymvisual.com/17901-catalog_default/sled-wide-hack-squat-male.jpg",4,500,500)</f>
        <v/>
      </c>
      <c r="B1425" s="30">
        <v>3424.0</v>
      </c>
      <c r="C1425" s="16" t="s">
        <v>4303</v>
      </c>
      <c r="D1425" s="16" t="s">
        <v>184</v>
      </c>
      <c r="E1425" s="16" t="s">
        <v>285</v>
      </c>
      <c r="F1425" s="16" t="s">
        <v>2893</v>
      </c>
      <c r="G1425" s="16" t="s">
        <v>189</v>
      </c>
      <c r="H1425" s="16" t="s">
        <v>902</v>
      </c>
    </row>
    <row r="1426" ht="24.75" customHeight="1">
      <c r="A1426" s="32" t="str">
        <f>IMAGE("https://gymvisual.com/6722-catalog_default/sledge-hammer.jpg",4,500,500)</f>
        <v/>
      </c>
      <c r="B1426" s="30">
        <v>3425.0</v>
      </c>
      <c r="C1426" s="16" t="s">
        <v>4304</v>
      </c>
      <c r="D1426" s="16" t="s">
        <v>184</v>
      </c>
      <c r="E1426" s="16" t="s">
        <v>254</v>
      </c>
      <c r="F1426" s="16" t="s">
        <v>4305</v>
      </c>
      <c r="G1426" s="16" t="s">
        <v>260</v>
      </c>
      <c r="H1426" s="16" t="s">
        <v>4306</v>
      </c>
    </row>
    <row r="1427" ht="24.75" customHeight="1">
      <c r="A1427" s="32" t="str">
        <f>IMAGE("https://gymvisual.com/14012-catalog_default/sliding-floor-bridge-curl-on-towel.jpg",4,500,500)</f>
        <v/>
      </c>
      <c r="B1427" s="30">
        <v>3426.0</v>
      </c>
      <c r="C1427" s="16" t="s">
        <v>4307</v>
      </c>
      <c r="D1427" s="16" t="s">
        <v>184</v>
      </c>
      <c r="E1427" s="16" t="s">
        <v>522</v>
      </c>
      <c r="F1427" s="16" t="s">
        <v>255</v>
      </c>
      <c r="G1427" s="16" t="s">
        <v>4260</v>
      </c>
      <c r="H1427" s="16" t="s">
        <v>220</v>
      </c>
    </row>
    <row r="1428" ht="24.75" customHeight="1">
      <c r="A1428" s="32" t="str">
        <f>IMAGE("https://gymvisual.com/14010-catalog_default/sliding-floor-pulldown-on-towel.jpg",4,500,500)</f>
        <v/>
      </c>
      <c r="B1428" s="30">
        <v>3427.0</v>
      </c>
      <c r="C1428" s="16" t="s">
        <v>4308</v>
      </c>
      <c r="D1428" s="16" t="s">
        <v>184</v>
      </c>
      <c r="E1428" s="16" t="s">
        <v>192</v>
      </c>
      <c r="F1428" s="16" t="s">
        <v>255</v>
      </c>
      <c r="G1428" s="16" t="s">
        <v>300</v>
      </c>
      <c r="H1428" s="16" t="s">
        <v>4309</v>
      </c>
    </row>
    <row r="1429" ht="24.75" customHeight="1">
      <c r="A1429" s="32" t="str">
        <f>IMAGE("https://gymvisual.com/19906-catalog_default/sliding-floor-pulldown-on-towel-version-2.jpg",4,500,500)</f>
        <v/>
      </c>
      <c r="B1429" s="30">
        <v>3428.0</v>
      </c>
      <c r="C1429" s="16" t="s">
        <v>4310</v>
      </c>
      <c r="D1429" s="16" t="s">
        <v>184</v>
      </c>
      <c r="E1429" s="16" t="s">
        <v>192</v>
      </c>
      <c r="F1429" s="16" t="s">
        <v>255</v>
      </c>
      <c r="G1429" s="16" t="s">
        <v>300</v>
      </c>
      <c r="H1429" s="16" t="s">
        <v>4311</v>
      </c>
    </row>
    <row r="1430" ht="24.75" customHeight="1">
      <c r="A1430" s="32" t="str">
        <f>IMAGE("https://gymvisual.com/24659-catalog_default/sliding-leg-bird-dog.jpg",4,500,500)</f>
        <v/>
      </c>
      <c r="B1430" s="30">
        <v>3429.0</v>
      </c>
      <c r="C1430" s="16" t="s">
        <v>4312</v>
      </c>
      <c r="D1430" s="16" t="s">
        <v>184</v>
      </c>
      <c r="E1430" s="16" t="s">
        <v>192</v>
      </c>
      <c r="F1430" s="16" t="s">
        <v>255</v>
      </c>
      <c r="G1430" s="16" t="s">
        <v>220</v>
      </c>
      <c r="H1430" s="16" t="s">
        <v>220</v>
      </c>
    </row>
    <row r="1431" ht="24.75" customHeight="1">
      <c r="A1431" s="32" t="str">
        <f>IMAGE("https://gymvisual.com/16522-catalog_default/sliding-leg-curl-on-floor-with-towel.jpg",4,500,500)</f>
        <v/>
      </c>
      <c r="B1431" s="30">
        <v>3430.0</v>
      </c>
      <c r="C1431" s="16" t="s">
        <v>4313</v>
      </c>
      <c r="D1431" s="16" t="s">
        <v>184</v>
      </c>
      <c r="E1431" s="16" t="s">
        <v>285</v>
      </c>
      <c r="F1431" s="16" t="s">
        <v>255</v>
      </c>
      <c r="G1431" s="16" t="s">
        <v>2412</v>
      </c>
      <c r="H1431" s="16" t="s">
        <v>561</v>
      </c>
    </row>
    <row r="1432" ht="24.75" customHeight="1">
      <c r="A1432" s="32" t="str">
        <f>IMAGE("https://gymvisual.com/22089-catalog_default/sliding-leg-curl-on-floor-with-towel.jpg",4,500,500)</f>
        <v/>
      </c>
      <c r="B1432" s="30">
        <v>3431.0</v>
      </c>
      <c r="C1432" s="16" t="s">
        <v>4313</v>
      </c>
      <c r="D1432" s="16" t="s">
        <v>184</v>
      </c>
      <c r="E1432" s="16" t="s">
        <v>185</v>
      </c>
      <c r="F1432" s="16" t="s">
        <v>255</v>
      </c>
      <c r="G1432" s="16" t="s">
        <v>188</v>
      </c>
      <c r="H1432" s="16" t="s">
        <v>665</v>
      </c>
    </row>
    <row r="1433" ht="24.75" customHeight="1">
      <c r="A1433" s="32" t="str">
        <f>IMAGE("https://gymvisual.com/2232-catalog_default/smith-back-shrug.jpg",4,500,500)</f>
        <v/>
      </c>
      <c r="B1433" s="30">
        <v>3432.0</v>
      </c>
      <c r="C1433" s="16" t="s">
        <v>4314</v>
      </c>
      <c r="D1433" s="16" t="s">
        <v>184</v>
      </c>
      <c r="E1433" s="16" t="s">
        <v>192</v>
      </c>
      <c r="F1433" s="16" t="s">
        <v>4017</v>
      </c>
      <c r="G1433" s="16" t="s">
        <v>238</v>
      </c>
      <c r="H1433" s="16" t="s">
        <v>618</v>
      </c>
    </row>
    <row r="1434" ht="24.75" customHeight="1">
      <c r="A1434" s="32" t="str">
        <f>IMAGE("https://gymvisual.com/20415-catalog_default/smith-back-wide-shrug.jpg",4,500,500)</f>
        <v/>
      </c>
      <c r="B1434" s="30">
        <v>3433.0</v>
      </c>
      <c r="C1434" s="16" t="s">
        <v>4315</v>
      </c>
      <c r="D1434" s="16" t="s">
        <v>184</v>
      </c>
      <c r="E1434" s="16" t="s">
        <v>192</v>
      </c>
      <c r="F1434" s="16" t="s">
        <v>4017</v>
      </c>
      <c r="G1434" s="16" t="s">
        <v>238</v>
      </c>
      <c r="H1434" s="16" t="s">
        <v>239</v>
      </c>
    </row>
    <row r="1435" ht="24.75" customHeight="1">
      <c r="A1435" s="32" t="str">
        <f>IMAGE("https://gymvisual.com/18001-catalog_default/smith-banded-full-squat.jpg",4,500,500)</f>
        <v/>
      </c>
      <c r="B1435" s="30">
        <v>3434.0</v>
      </c>
      <c r="C1435" s="16" t="s">
        <v>4316</v>
      </c>
      <c r="D1435" s="16" t="s">
        <v>184</v>
      </c>
      <c r="E1435" s="16" t="s">
        <v>285</v>
      </c>
      <c r="F1435" s="16" t="s">
        <v>4017</v>
      </c>
      <c r="G1435" s="16" t="s">
        <v>220</v>
      </c>
      <c r="H1435" s="16" t="s">
        <v>220</v>
      </c>
    </row>
    <row r="1436" ht="24.75" customHeight="1">
      <c r="A1436" s="32" t="str">
        <f>IMAGE("https://gymvisual.com/2235-catalog_default/smith-behind-neck-press.jpg",4,500,500)</f>
        <v/>
      </c>
      <c r="B1436" s="30">
        <v>3435.0</v>
      </c>
      <c r="C1436" s="16" t="s">
        <v>4317</v>
      </c>
      <c r="D1436" s="16" t="s">
        <v>184</v>
      </c>
      <c r="E1436" s="16" t="s">
        <v>228</v>
      </c>
      <c r="F1436" s="16" t="s">
        <v>4017</v>
      </c>
      <c r="G1436" s="16" t="s">
        <v>229</v>
      </c>
      <c r="H1436" s="16" t="s">
        <v>230</v>
      </c>
    </row>
    <row r="1437" ht="24.75" customHeight="1">
      <c r="A1437" s="32" t="str">
        <f>IMAGE("https://gymvisual.com/19345-catalog_default/smith-bench-press.jpg",4,500,500)</f>
        <v/>
      </c>
      <c r="B1437" s="30">
        <v>3436.0</v>
      </c>
      <c r="C1437" s="16" t="s">
        <v>4318</v>
      </c>
      <c r="D1437" s="16" t="s">
        <v>184</v>
      </c>
      <c r="E1437" s="16" t="s">
        <v>234</v>
      </c>
      <c r="F1437" s="16" t="s">
        <v>4017</v>
      </c>
      <c r="G1437" s="16" t="s">
        <v>235</v>
      </c>
      <c r="H1437" s="16" t="s">
        <v>243</v>
      </c>
    </row>
    <row r="1438" ht="24.75" customHeight="1">
      <c r="A1438" s="32" t="str">
        <f>IMAGE("https://gymvisual.com/2241-catalog_default/smith-bent-knee-good-morning.jpg",4,500,500)</f>
        <v/>
      </c>
      <c r="B1438" s="30">
        <v>3437.0</v>
      </c>
      <c r="C1438" s="16" t="s">
        <v>4319</v>
      </c>
      <c r="D1438" s="16" t="s">
        <v>184</v>
      </c>
      <c r="E1438" s="16" t="s">
        <v>185</v>
      </c>
      <c r="F1438" s="16" t="s">
        <v>4017</v>
      </c>
      <c r="G1438" s="16" t="s">
        <v>267</v>
      </c>
      <c r="H1438" s="16" t="s">
        <v>188</v>
      </c>
    </row>
    <row r="1439" ht="24.75" customHeight="1">
      <c r="A1439" s="32" t="str">
        <f>IMAGE("https://gymvisual.com/20994-catalog_default/smith-bent-over-narrow-pronated-grip-row.jpg",4,500,500)</f>
        <v/>
      </c>
      <c r="B1439" s="30">
        <v>3438.0</v>
      </c>
      <c r="C1439" s="16" t="s">
        <v>4320</v>
      </c>
      <c r="D1439" s="16" t="s">
        <v>184</v>
      </c>
      <c r="E1439" s="16" t="s">
        <v>192</v>
      </c>
      <c r="F1439" s="16" t="s">
        <v>4017</v>
      </c>
      <c r="G1439" s="16" t="s">
        <v>329</v>
      </c>
      <c r="H1439" s="16" t="s">
        <v>447</v>
      </c>
    </row>
    <row r="1440" ht="24.75" customHeight="1">
      <c r="A1440" s="32" t="str">
        <f>IMAGE("https://gymvisual.com/20980-catalog_default/smith-bent-over-narrow-supinated-grip-row.jpg",4,500,500)</f>
        <v/>
      </c>
      <c r="B1440" s="30">
        <v>3439.0</v>
      </c>
      <c r="C1440" s="16" t="s">
        <v>4321</v>
      </c>
      <c r="D1440" s="16" t="s">
        <v>184</v>
      </c>
      <c r="E1440" s="16" t="s">
        <v>192</v>
      </c>
      <c r="F1440" s="16" t="s">
        <v>4017</v>
      </c>
      <c r="G1440" s="16" t="s">
        <v>329</v>
      </c>
      <c r="H1440" s="16" t="s">
        <v>457</v>
      </c>
    </row>
    <row r="1441" ht="24.75" customHeight="1">
      <c r="A1441" s="32" t="str">
        <f>IMAGE("https://gymvisual.com/21106-catalog_default/smith-bent-over-row.jpg",4,500,500)</f>
        <v/>
      </c>
      <c r="B1441" s="30">
        <v>3440.0</v>
      </c>
      <c r="C1441" s="16" t="s">
        <v>4322</v>
      </c>
      <c r="D1441" s="16" t="s">
        <v>184</v>
      </c>
      <c r="E1441" s="16" t="s">
        <v>192</v>
      </c>
      <c r="F1441" s="16" t="s">
        <v>4017</v>
      </c>
      <c r="G1441" s="16" t="s">
        <v>329</v>
      </c>
      <c r="H1441" s="16" t="s">
        <v>457</v>
      </c>
    </row>
    <row r="1442" ht="24.75" customHeight="1">
      <c r="A1442" s="32" t="str">
        <f>IMAGE("https://gymvisual.com/24467-catalog_default/smith-bent-over-row-version-2.jpg",4,500,500)</f>
        <v/>
      </c>
      <c r="B1442" s="30">
        <v>3441.0</v>
      </c>
      <c r="C1442" s="16" t="s">
        <v>4323</v>
      </c>
      <c r="D1442" s="16" t="s">
        <v>184</v>
      </c>
      <c r="E1442" s="16"/>
      <c r="F1442" s="16" t="s">
        <v>4017</v>
      </c>
      <c r="G1442" s="16" t="s">
        <v>408</v>
      </c>
      <c r="H1442" s="16" t="s">
        <v>490</v>
      </c>
    </row>
    <row r="1443" ht="24.75" customHeight="1">
      <c r="A1443" s="32" t="str">
        <f>IMAGE("https://gymvisual.com/4377-catalog_default/smith-calf-raise-version-2.jpg",4,500,500)</f>
        <v/>
      </c>
      <c r="B1443" s="30">
        <v>3442.0</v>
      </c>
      <c r="C1443" s="16" t="s">
        <v>4324</v>
      </c>
      <c r="D1443" s="16" t="s">
        <v>184</v>
      </c>
      <c r="E1443" s="16" t="s">
        <v>325</v>
      </c>
      <c r="F1443" s="16" t="s">
        <v>4017</v>
      </c>
      <c r="G1443" s="16" t="s">
        <v>368</v>
      </c>
      <c r="H1443" s="16" t="s">
        <v>463</v>
      </c>
    </row>
    <row r="1444" ht="24.75" customHeight="1">
      <c r="A1444" s="32" t="str">
        <f>IMAGE("https://gymvisual.com/2961-catalog_default/smith-calf-raise-with-block.jpg",4,500,500)</f>
        <v/>
      </c>
      <c r="B1444" s="30">
        <v>3443.0</v>
      </c>
      <c r="C1444" s="16" t="s">
        <v>4325</v>
      </c>
      <c r="D1444" s="16" t="s">
        <v>184</v>
      </c>
      <c r="E1444" s="16" t="s">
        <v>325</v>
      </c>
      <c r="F1444" s="16" t="s">
        <v>4017</v>
      </c>
      <c r="G1444" s="16" t="s">
        <v>368</v>
      </c>
      <c r="H1444" s="16" t="s">
        <v>463</v>
      </c>
    </row>
    <row r="1445" ht="24.75" customHeight="1">
      <c r="A1445" s="32" t="str">
        <f>IMAGE("https://gymvisual.com/2244-catalog_default/smith-chair-squat.jpg",4,500,500)</f>
        <v/>
      </c>
      <c r="B1445" s="30">
        <v>3444.0</v>
      </c>
      <c r="C1445" s="16" t="s">
        <v>4326</v>
      </c>
      <c r="D1445" s="16" t="s">
        <v>184</v>
      </c>
      <c r="E1445" s="16" t="s">
        <v>285</v>
      </c>
      <c r="F1445" s="16" t="s">
        <v>4017</v>
      </c>
      <c r="G1445" s="16" t="s">
        <v>2413</v>
      </c>
      <c r="H1445" s="16" t="s">
        <v>857</v>
      </c>
    </row>
    <row r="1446" ht="24.75" customHeight="1">
      <c r="A1446" s="32" t="str">
        <f>IMAGE("https://gymvisual.com/11381-catalog_default/smith-chair-squat-female.jpg",4,500,500)</f>
        <v/>
      </c>
      <c r="B1446" s="30">
        <v>3445.0</v>
      </c>
      <c r="C1446" s="16" t="s">
        <v>4327</v>
      </c>
      <c r="D1446" s="16" t="s">
        <v>184</v>
      </c>
      <c r="E1446" s="16" t="s">
        <v>285</v>
      </c>
      <c r="F1446" s="16" t="s">
        <v>4017</v>
      </c>
      <c r="G1446" s="16" t="s">
        <v>189</v>
      </c>
      <c r="H1446" s="16" t="s">
        <v>190</v>
      </c>
    </row>
    <row r="1447" ht="24.75" customHeight="1">
      <c r="A1447" s="32" t="str">
        <f>IMAGE("https://gymvisual.com/2247-catalog_default/smith-close-grip-bench-press.jpg",4,500,500)</f>
        <v/>
      </c>
      <c r="B1447" s="30">
        <v>3446.0</v>
      </c>
      <c r="C1447" s="16" t="s">
        <v>4328</v>
      </c>
      <c r="D1447" s="16" t="s">
        <v>184</v>
      </c>
      <c r="E1447" s="16" t="s">
        <v>219</v>
      </c>
      <c r="F1447" s="16" t="s">
        <v>4017</v>
      </c>
      <c r="G1447" s="16" t="s">
        <v>223</v>
      </c>
      <c r="H1447" s="16" t="s">
        <v>472</v>
      </c>
    </row>
    <row r="1448" ht="24.75" customHeight="1">
      <c r="A1448" s="32" t="str">
        <f>IMAGE("https://gymvisual.com/24643-catalog_default/smith-deadlift.jpg",4,500,500)</f>
        <v/>
      </c>
      <c r="B1448" s="30">
        <v>3447.0</v>
      </c>
      <c r="C1448" s="16" t="s">
        <v>4329</v>
      </c>
      <c r="D1448" s="16" t="s">
        <v>184</v>
      </c>
      <c r="E1448" s="16" t="s">
        <v>185</v>
      </c>
      <c r="F1448" s="16" t="s">
        <v>4017</v>
      </c>
      <c r="G1448" s="16" t="s">
        <v>267</v>
      </c>
      <c r="H1448" s="16" t="s">
        <v>975</v>
      </c>
    </row>
    <row r="1449" ht="24.75" customHeight="1">
      <c r="A1449" s="32" t="str">
        <f>IMAGE("https://gymvisual.com/14300-catalog_default/smith-deadlift-female.jpg",4,500,500)</f>
        <v/>
      </c>
      <c r="B1449" s="30">
        <v>3448.0</v>
      </c>
      <c r="C1449" s="16" t="s">
        <v>4330</v>
      </c>
      <c r="D1449" s="16" t="s">
        <v>184</v>
      </c>
      <c r="E1449" s="16" t="s">
        <v>294</v>
      </c>
      <c r="F1449" s="16" t="s">
        <v>4017</v>
      </c>
      <c r="G1449" s="16" t="s">
        <v>2010</v>
      </c>
      <c r="H1449" s="16" t="s">
        <v>2076</v>
      </c>
    </row>
    <row r="1450" ht="24.75" customHeight="1">
      <c r="A1450" s="32" t="str">
        <f>IMAGE("https://gymvisual.com/2253-catalog_default/smith-decline-bench-press.jpg",4,500,500)</f>
        <v/>
      </c>
      <c r="B1450" s="30">
        <v>3449.0</v>
      </c>
      <c r="C1450" s="16" t="s">
        <v>4331</v>
      </c>
      <c r="D1450" s="16" t="s">
        <v>184</v>
      </c>
      <c r="E1450" s="16"/>
      <c r="F1450" s="16"/>
      <c r="G1450" s="16" t="s">
        <v>347</v>
      </c>
      <c r="H1450" s="16" t="s">
        <v>382</v>
      </c>
    </row>
    <row r="1451" ht="24.75" customHeight="1">
      <c r="A1451" s="32" t="str">
        <f>IMAGE("https://gymvisual.com/2256-catalog_default/smith-decline-reverse-grip-press.jpg",4,500,500)</f>
        <v/>
      </c>
      <c r="B1451" s="30">
        <v>3450.0</v>
      </c>
      <c r="C1451" s="16" t="s">
        <v>4332</v>
      </c>
      <c r="D1451" s="16" t="s">
        <v>184</v>
      </c>
      <c r="E1451" s="16" t="s">
        <v>234</v>
      </c>
      <c r="F1451" s="16" t="s">
        <v>4017</v>
      </c>
      <c r="G1451" s="16" t="s">
        <v>347</v>
      </c>
      <c r="H1451" s="16" t="s">
        <v>382</v>
      </c>
    </row>
    <row r="1452" ht="24.75" customHeight="1">
      <c r="A1452" s="32" t="str">
        <f>IMAGE("https://gymvisual.com/19569-catalog_default/smith-drag-curl.jpg",4,500,500)</f>
        <v/>
      </c>
      <c r="B1452" s="30">
        <v>3451.0</v>
      </c>
      <c r="C1452" s="16" t="s">
        <v>4333</v>
      </c>
      <c r="D1452" s="16" t="s">
        <v>184</v>
      </c>
      <c r="E1452" s="16" t="s">
        <v>219</v>
      </c>
      <c r="F1452" s="16" t="s">
        <v>4017</v>
      </c>
      <c r="G1452" s="16" t="s">
        <v>220</v>
      </c>
      <c r="H1452" s="16" t="s">
        <v>220</v>
      </c>
    </row>
    <row r="1453" ht="24.75" customHeight="1">
      <c r="A1453" s="32" t="str">
        <f>IMAGE("https://gymvisual.com/6841-catalog_default/smith-frankenstein-squat.jpg",4,500,500)</f>
        <v/>
      </c>
      <c r="B1453" s="30">
        <v>3452.0</v>
      </c>
      <c r="C1453" s="16" t="s">
        <v>4334</v>
      </c>
      <c r="D1453" s="16" t="s">
        <v>184</v>
      </c>
      <c r="E1453" s="16" t="s">
        <v>285</v>
      </c>
      <c r="F1453" s="16" t="s">
        <v>4017</v>
      </c>
      <c r="G1453" s="16" t="s">
        <v>220</v>
      </c>
      <c r="H1453" s="16" t="s">
        <v>220</v>
      </c>
    </row>
    <row r="1454" ht="24.75" customHeight="1">
      <c r="A1454" s="32" t="str">
        <f>IMAGE("https://gymvisual.com/6842-catalog_default/smith-front-squat.jpg",4,500,500)</f>
        <v/>
      </c>
      <c r="B1454" s="30">
        <v>3453.0</v>
      </c>
      <c r="C1454" s="16" t="s">
        <v>4335</v>
      </c>
      <c r="D1454" s="16" t="s">
        <v>184</v>
      </c>
      <c r="E1454" s="16" t="s">
        <v>285</v>
      </c>
      <c r="F1454" s="16" t="s">
        <v>4017</v>
      </c>
      <c r="G1454" s="16" t="s">
        <v>220</v>
      </c>
      <c r="H1454" s="16" t="s">
        <v>220</v>
      </c>
    </row>
    <row r="1455" ht="24.75" customHeight="1">
      <c r="A1455" s="32" t="str">
        <f>IMAGE("https://gymvisual.com/6442-catalog_default/smith-front-squat-clean-grip.jpg",4,500,500)</f>
        <v/>
      </c>
      <c r="B1455" s="30">
        <v>3454.0</v>
      </c>
      <c r="C1455" s="16" t="s">
        <v>4336</v>
      </c>
      <c r="D1455" s="16" t="s">
        <v>184</v>
      </c>
      <c r="E1455" s="16" t="s">
        <v>285</v>
      </c>
      <c r="F1455" s="16" t="s">
        <v>4017</v>
      </c>
      <c r="G1455" s="16" t="s">
        <v>189</v>
      </c>
      <c r="H1455" s="16" t="s">
        <v>190</v>
      </c>
    </row>
    <row r="1456" ht="24.75" customHeight="1">
      <c r="A1456" s="32" t="str">
        <f>IMAGE("https://gymvisual.com/12063-catalog_default/smith-front-squat-clean-grip-female.jpg",4,500,500)</f>
        <v/>
      </c>
      <c r="B1456" s="30">
        <v>3455.0</v>
      </c>
      <c r="C1456" s="16" t="s">
        <v>4337</v>
      </c>
      <c r="D1456" s="16" t="s">
        <v>184</v>
      </c>
      <c r="E1456" s="16" t="s">
        <v>285</v>
      </c>
      <c r="F1456" s="16" t="s">
        <v>4017</v>
      </c>
      <c r="G1456" s="16" t="s">
        <v>220</v>
      </c>
      <c r="H1456" s="16" t="s">
        <v>220</v>
      </c>
    </row>
    <row r="1457" ht="24.75" customHeight="1">
      <c r="A1457" s="32" t="str">
        <f>IMAGE("https://gymvisual.com/13123-catalog_default/smith-full-squat.jpg",4,500,500)</f>
        <v/>
      </c>
      <c r="B1457" s="30">
        <v>3456.0</v>
      </c>
      <c r="C1457" s="16" t="s">
        <v>4338</v>
      </c>
      <c r="D1457" s="16" t="s">
        <v>184</v>
      </c>
      <c r="E1457" s="16" t="s">
        <v>285</v>
      </c>
      <c r="F1457" s="16" t="s">
        <v>4017</v>
      </c>
      <c r="G1457" s="16" t="s">
        <v>189</v>
      </c>
      <c r="H1457" s="16" t="s">
        <v>190</v>
      </c>
    </row>
    <row r="1458" ht="24.75" customHeight="1">
      <c r="A1458" s="32" t="str">
        <f>IMAGE("https://gymvisual.com/6767-catalog_default/smith-good-morning-off-pins.jpg",4,500,500)</f>
        <v/>
      </c>
      <c r="B1458" s="30">
        <v>3457.0</v>
      </c>
      <c r="C1458" s="16" t="s">
        <v>4339</v>
      </c>
      <c r="D1458" s="16" t="s">
        <v>184</v>
      </c>
      <c r="E1458" s="16" t="s">
        <v>185</v>
      </c>
      <c r="F1458" s="16" t="s">
        <v>4017</v>
      </c>
      <c r="G1458" s="16" t="s">
        <v>220</v>
      </c>
      <c r="H1458" s="16" t="s">
        <v>220</v>
      </c>
    </row>
    <row r="1459" ht="24.75" customHeight="1">
      <c r="A1459" s="32" t="str">
        <f>IMAGE("https://gymvisual.com/2259-catalog_default/smith-hack-squat.jpg",4,500,500)</f>
        <v/>
      </c>
      <c r="B1459" s="30">
        <v>3458.0</v>
      </c>
      <c r="C1459" s="16" t="s">
        <v>4340</v>
      </c>
      <c r="D1459" s="16" t="s">
        <v>184</v>
      </c>
      <c r="E1459" s="16" t="s">
        <v>185</v>
      </c>
      <c r="F1459" s="16" t="s">
        <v>4017</v>
      </c>
      <c r="G1459" s="16" t="s">
        <v>189</v>
      </c>
      <c r="H1459" s="16" t="s">
        <v>190</v>
      </c>
    </row>
    <row r="1460" ht="24.75" customHeight="1">
      <c r="A1460" s="32" t="str">
        <f>IMAGE("https://gymvisual.com/24145-catalog_default/smith-hang-clean.jpg",4,500,500)</f>
        <v/>
      </c>
      <c r="B1460" s="30">
        <v>3459.0</v>
      </c>
      <c r="C1460" s="16" t="s">
        <v>4341</v>
      </c>
      <c r="D1460" s="16" t="s">
        <v>184</v>
      </c>
      <c r="E1460" s="16" t="s">
        <v>764</v>
      </c>
      <c r="F1460" s="16" t="s">
        <v>4017</v>
      </c>
      <c r="G1460" s="16" t="s">
        <v>220</v>
      </c>
      <c r="H1460" s="16" t="s">
        <v>220</v>
      </c>
    </row>
    <row r="1461" ht="24.75" customHeight="1">
      <c r="A1461" s="32" t="str">
        <f>IMAGE("https://gymvisual.com/12184-catalog_default/smith-hex-press.jpg",4,500,500)</f>
        <v/>
      </c>
      <c r="B1461" s="30">
        <v>3460.0</v>
      </c>
      <c r="C1461" s="16" t="s">
        <v>4342</v>
      </c>
      <c r="D1461" s="16" t="s">
        <v>184</v>
      </c>
      <c r="E1461" s="16" t="s">
        <v>234</v>
      </c>
      <c r="F1461" s="16" t="s">
        <v>4017</v>
      </c>
      <c r="G1461" s="16" t="s">
        <v>347</v>
      </c>
      <c r="H1461" s="16" t="s">
        <v>382</v>
      </c>
    </row>
    <row r="1462" ht="24.75" customHeight="1">
      <c r="A1462" s="32" t="str">
        <f>IMAGE("https://gymvisual.com/2262-catalog_default/smith-hip-raise.jpg",4,500,500)</f>
        <v/>
      </c>
      <c r="B1462" s="30">
        <v>3461.0</v>
      </c>
      <c r="C1462" s="16" t="s">
        <v>4343</v>
      </c>
      <c r="D1462" s="16" t="s">
        <v>184</v>
      </c>
      <c r="E1462" s="16" t="s">
        <v>254</v>
      </c>
      <c r="F1462" s="16" t="s">
        <v>4017</v>
      </c>
      <c r="G1462" s="16" t="s">
        <v>256</v>
      </c>
      <c r="H1462" s="16" t="s">
        <v>257</v>
      </c>
    </row>
    <row r="1463" ht="24.75" customHeight="1">
      <c r="A1463" s="32" t="str">
        <f>IMAGE("https://gymvisual.com/13489-catalog_default/smith-hip-thrust.jpg",4,500,500)</f>
        <v/>
      </c>
      <c r="B1463" s="30">
        <v>3462.0</v>
      </c>
      <c r="C1463" s="16" t="s">
        <v>4344</v>
      </c>
      <c r="D1463" s="16" t="s">
        <v>184</v>
      </c>
      <c r="E1463" s="16" t="s">
        <v>185</v>
      </c>
      <c r="F1463" s="16" t="s">
        <v>4017</v>
      </c>
      <c r="G1463" s="16" t="s">
        <v>187</v>
      </c>
      <c r="H1463" s="16" t="s">
        <v>854</v>
      </c>
    </row>
    <row r="1464" ht="24.75" customHeight="1">
      <c r="A1464" s="32" t="str">
        <f>IMAGE("https://gymvisual.com/13265-catalog_default/smith-incline-bench-press.jpg",4,500,500)</f>
        <v/>
      </c>
      <c r="B1464" s="30">
        <v>3463.0</v>
      </c>
      <c r="C1464" s="16" t="s">
        <v>4345</v>
      </c>
      <c r="D1464" s="16" t="s">
        <v>184</v>
      </c>
      <c r="E1464" s="16" t="s">
        <v>234</v>
      </c>
      <c r="F1464" s="16" t="s">
        <v>4017</v>
      </c>
      <c r="G1464" s="16" t="s">
        <v>415</v>
      </c>
      <c r="H1464" s="16" t="s">
        <v>243</v>
      </c>
    </row>
    <row r="1465" ht="24.75" customHeight="1">
      <c r="A1465" s="32" t="str">
        <f>IMAGE("https://gymvisual.com/2268-catalog_default/smith-incline-reverse-grip-press.jpg",4,500,500)</f>
        <v/>
      </c>
      <c r="B1465" s="30">
        <v>3464.0</v>
      </c>
      <c r="C1465" s="16" t="s">
        <v>4346</v>
      </c>
      <c r="D1465" s="16" t="s">
        <v>184</v>
      </c>
      <c r="E1465" s="16" t="s">
        <v>234</v>
      </c>
      <c r="F1465" s="16" t="s">
        <v>4017</v>
      </c>
      <c r="G1465" s="16" t="s">
        <v>415</v>
      </c>
      <c r="H1465" s="16" t="s">
        <v>243</v>
      </c>
    </row>
    <row r="1466" ht="24.75" customHeight="1">
      <c r="A1466" s="32" t="str">
        <f>IMAGE("https://gymvisual.com/2271-catalog_default/smith-incline-shoulder-raises.jpg",4,500,500)</f>
        <v/>
      </c>
      <c r="B1466" s="30">
        <v>3465.0</v>
      </c>
      <c r="C1466" s="16" t="s">
        <v>4347</v>
      </c>
      <c r="D1466" s="16" t="s">
        <v>184</v>
      </c>
      <c r="E1466" s="16" t="s">
        <v>234</v>
      </c>
      <c r="F1466" s="16" t="s">
        <v>4017</v>
      </c>
      <c r="G1466" s="16" t="s">
        <v>885</v>
      </c>
      <c r="H1466" s="16" t="s">
        <v>882</v>
      </c>
    </row>
    <row r="1467" ht="24.75" customHeight="1">
      <c r="A1467" s="32" t="str">
        <f>IMAGE("https://gymvisual.com/17747-catalog_default/smith-kneeling-hip-thrust.jpg",4,500,500)</f>
        <v/>
      </c>
      <c r="B1467" s="30">
        <v>3466.0</v>
      </c>
      <c r="C1467" s="16" t="s">
        <v>4348</v>
      </c>
      <c r="D1467" s="16" t="s">
        <v>184</v>
      </c>
      <c r="E1467" s="16" t="s">
        <v>185</v>
      </c>
      <c r="F1467" s="16" t="s">
        <v>4017</v>
      </c>
      <c r="G1467" s="16" t="s">
        <v>220</v>
      </c>
      <c r="H1467" s="16" t="s">
        <v>220</v>
      </c>
    </row>
    <row r="1468" ht="24.75" customHeight="1">
      <c r="A1468" s="32" t="str">
        <f>IMAGE("https://gymvisual.com/4449-catalog_default/smith-kneeling-rear-kick.jpg",4,500,500)</f>
        <v/>
      </c>
      <c r="B1468" s="30">
        <v>3467.0</v>
      </c>
      <c r="C1468" s="16" t="s">
        <v>4349</v>
      </c>
      <c r="D1468" s="16" t="s">
        <v>184</v>
      </c>
      <c r="E1468" s="16" t="s">
        <v>185</v>
      </c>
      <c r="F1468" s="16" t="s">
        <v>4017</v>
      </c>
      <c r="G1468" s="16" t="s">
        <v>187</v>
      </c>
      <c r="H1468" s="16" t="s">
        <v>188</v>
      </c>
    </row>
    <row r="1469" ht="24.75" customHeight="1">
      <c r="A1469" s="32" t="str">
        <f>IMAGE("https://gymvisual.com/12232-catalog_default/smith-kneeling-rear-kick-with-partner.jpg",4,500,500)</f>
        <v/>
      </c>
      <c r="B1469" s="30">
        <v>3468.0</v>
      </c>
      <c r="C1469" s="16" t="s">
        <v>4350</v>
      </c>
      <c r="D1469" s="16" t="s">
        <v>184</v>
      </c>
      <c r="E1469" s="16" t="s">
        <v>185</v>
      </c>
      <c r="F1469" s="16" t="s">
        <v>4017</v>
      </c>
      <c r="G1469" s="16" t="s">
        <v>220</v>
      </c>
      <c r="H1469" s="16" t="s">
        <v>220</v>
      </c>
    </row>
    <row r="1470" ht="24.75" customHeight="1">
      <c r="A1470" s="32" t="str">
        <f>IMAGE("https://gymvisual.com/2774-catalog_default/smith-lateral-step-up.jpg",4,500,500)</f>
        <v/>
      </c>
      <c r="B1470" s="30">
        <v>3469.0</v>
      </c>
      <c r="C1470" s="16" t="s">
        <v>4351</v>
      </c>
      <c r="D1470" s="16" t="s">
        <v>184</v>
      </c>
      <c r="E1470" s="16" t="s">
        <v>285</v>
      </c>
      <c r="F1470" s="16" t="s">
        <v>4017</v>
      </c>
      <c r="G1470" s="16" t="s">
        <v>189</v>
      </c>
      <c r="H1470" s="16" t="s">
        <v>2046</v>
      </c>
    </row>
    <row r="1471" ht="24.75" customHeight="1">
      <c r="A1471" s="32" t="str">
        <f>IMAGE("https://gymvisual.com/2274-catalog_default/smith-leg-press.jpg",4,500,500)</f>
        <v/>
      </c>
      <c r="B1471" s="30">
        <v>3470.0</v>
      </c>
      <c r="C1471" s="16" t="s">
        <v>4352</v>
      </c>
      <c r="D1471" s="16" t="s">
        <v>184</v>
      </c>
      <c r="E1471" s="16" t="s">
        <v>285</v>
      </c>
      <c r="F1471" s="16" t="s">
        <v>4017</v>
      </c>
      <c r="G1471" s="16" t="s">
        <v>189</v>
      </c>
      <c r="H1471" s="16" t="s">
        <v>190</v>
      </c>
    </row>
    <row r="1472" ht="24.75" customHeight="1">
      <c r="A1472" s="32" t="str">
        <f>IMAGE("https://gymvisual.com/14302-catalog_default/smith-leg-press-female.jpg",4,500,500)</f>
        <v/>
      </c>
      <c r="B1472" s="30">
        <v>3471.0</v>
      </c>
      <c r="C1472" s="16" t="s">
        <v>4353</v>
      </c>
      <c r="D1472" s="16" t="s">
        <v>184</v>
      </c>
      <c r="E1472" s="16" t="s">
        <v>294</v>
      </c>
      <c r="F1472" s="16" t="s">
        <v>4017</v>
      </c>
      <c r="G1472" s="16" t="s">
        <v>189</v>
      </c>
      <c r="H1472" s="16" t="s">
        <v>190</v>
      </c>
    </row>
    <row r="1473" ht="24.75" customHeight="1">
      <c r="A1473" s="32" t="str">
        <f>IMAGE("https://gymvisual.com/6444-catalog_default/smith-low-bar-squat.jpg",4,500,500)</f>
        <v/>
      </c>
      <c r="B1473" s="30">
        <v>3472.0</v>
      </c>
      <c r="C1473" s="16" t="s">
        <v>4354</v>
      </c>
      <c r="D1473" s="16" t="s">
        <v>184</v>
      </c>
      <c r="E1473" s="16" t="s">
        <v>285</v>
      </c>
      <c r="F1473" s="16" t="s">
        <v>4017</v>
      </c>
      <c r="G1473" s="16" t="s">
        <v>189</v>
      </c>
      <c r="H1473" s="16" t="s">
        <v>190</v>
      </c>
    </row>
    <row r="1474" ht="24.75" customHeight="1">
      <c r="A1474" s="32" t="str">
        <f>IMAGE("https://gymvisual.com/2775-catalog_default/smith-lying-lift-on-hip.jpg",4,500,500)</f>
        <v/>
      </c>
      <c r="B1474" s="30">
        <v>3473.0</v>
      </c>
      <c r="C1474" s="16" t="s">
        <v>4355</v>
      </c>
      <c r="D1474" s="16" t="s">
        <v>184</v>
      </c>
      <c r="E1474" s="16" t="s">
        <v>185</v>
      </c>
      <c r="F1474" s="16" t="s">
        <v>4017</v>
      </c>
      <c r="G1474" s="16" t="s">
        <v>187</v>
      </c>
      <c r="H1474" s="16" t="s">
        <v>2733</v>
      </c>
    </row>
    <row r="1475" ht="24.75" customHeight="1">
      <c r="A1475" s="32" t="str">
        <f>IMAGE("https://gymvisual.com/7156-catalog_default/smith-machine-bicep-curl.jpg",4,500,500)</f>
        <v/>
      </c>
      <c r="B1475" s="30">
        <v>3474.0</v>
      </c>
      <c r="C1475" s="16" t="s">
        <v>4356</v>
      </c>
      <c r="D1475" s="16" t="s">
        <v>184</v>
      </c>
      <c r="E1475" s="16" t="s">
        <v>219</v>
      </c>
      <c r="F1475" s="16" t="s">
        <v>4017</v>
      </c>
      <c r="G1475" s="16" t="s">
        <v>241</v>
      </c>
      <c r="H1475" s="16" t="s">
        <v>292</v>
      </c>
    </row>
    <row r="1476" ht="24.75" customHeight="1">
      <c r="A1476" s="32" t="str">
        <f>IMAGE("https://gymvisual.com/7100-catalog_default/smith-machine-decline-close-grip-bench-press.jpg",4,500,500)</f>
        <v/>
      </c>
      <c r="B1476" s="30">
        <v>3475.0</v>
      </c>
      <c r="C1476" s="16" t="s">
        <v>4357</v>
      </c>
      <c r="D1476" s="16" t="s">
        <v>184</v>
      </c>
      <c r="E1476" s="16" t="s">
        <v>219</v>
      </c>
      <c r="F1476" s="16" t="s">
        <v>4017</v>
      </c>
      <c r="G1476" s="16" t="s">
        <v>220</v>
      </c>
      <c r="H1476" s="16" t="s">
        <v>220</v>
      </c>
    </row>
    <row r="1477" ht="24.75" customHeight="1">
      <c r="A1477" s="32" t="str">
        <f>IMAGE("https://gymvisual.com/7471-catalog_default/smith-machine-incline-tricep-extension.jpg",4,500,500)</f>
        <v/>
      </c>
      <c r="B1477" s="30">
        <v>3476.0</v>
      </c>
      <c r="C1477" s="16" t="s">
        <v>4358</v>
      </c>
      <c r="D1477" s="16" t="s">
        <v>184</v>
      </c>
      <c r="E1477" s="16" t="s">
        <v>219</v>
      </c>
      <c r="F1477" s="16" t="s">
        <v>4017</v>
      </c>
      <c r="G1477" s="16" t="s">
        <v>220</v>
      </c>
      <c r="H1477" s="16" t="s">
        <v>220</v>
      </c>
    </row>
    <row r="1478" ht="24.75" customHeight="1">
      <c r="A1478" s="32" t="str">
        <f>IMAGE("https://gymvisual.com/7101-catalog_default/smith-machine-reverse-decline-close-grip-bench-press.jpg",4,500,500)</f>
        <v/>
      </c>
      <c r="B1478" s="30">
        <v>3477.0</v>
      </c>
      <c r="C1478" s="16" t="s">
        <v>4359</v>
      </c>
      <c r="D1478" s="16" t="s">
        <v>184</v>
      </c>
      <c r="E1478" s="16" t="s">
        <v>234</v>
      </c>
      <c r="F1478" s="16" t="s">
        <v>4017</v>
      </c>
      <c r="G1478" s="16" t="s">
        <v>220</v>
      </c>
      <c r="H1478" s="16" t="s">
        <v>220</v>
      </c>
    </row>
    <row r="1479" ht="24.75" customHeight="1">
      <c r="A1479" s="32" t="str">
        <f>IMAGE("https://gymvisual.com/11510-catalog_default/smith-narrow-row-female.jpg",4,500,500)</f>
        <v/>
      </c>
      <c r="B1479" s="30">
        <v>3478.0</v>
      </c>
      <c r="C1479" s="16" t="s">
        <v>4360</v>
      </c>
      <c r="D1479" s="16" t="s">
        <v>184</v>
      </c>
      <c r="E1479" s="16" t="s">
        <v>192</v>
      </c>
      <c r="F1479" s="16" t="s">
        <v>4017</v>
      </c>
      <c r="G1479" s="16" t="s">
        <v>220</v>
      </c>
      <c r="H1479" s="16" t="s">
        <v>220</v>
      </c>
    </row>
    <row r="1480" ht="24.75" customHeight="1">
      <c r="A1480" s="32" t="str">
        <f>IMAGE("https://gymvisual.com/6051-catalog_default/smith-one-arm-row.jpg",4,500,500)</f>
        <v/>
      </c>
      <c r="B1480" s="30">
        <v>3479.0</v>
      </c>
      <c r="C1480" s="16" t="s">
        <v>4361</v>
      </c>
      <c r="D1480" s="16" t="s">
        <v>184</v>
      </c>
      <c r="E1480" s="16" t="s">
        <v>192</v>
      </c>
      <c r="F1480" s="16" t="s">
        <v>4017</v>
      </c>
      <c r="G1480" s="16" t="s">
        <v>329</v>
      </c>
      <c r="H1480" s="16" t="s">
        <v>457</v>
      </c>
    </row>
    <row r="1481" ht="24.75" customHeight="1">
      <c r="A1481" s="32" t="str">
        <f>IMAGE("https://gymvisual.com/2776-catalog_default/smith-one-leg-deadlift.jpg",4,500,500)</f>
        <v/>
      </c>
      <c r="B1481" s="30">
        <v>3480.0</v>
      </c>
      <c r="C1481" s="16" t="s">
        <v>4362</v>
      </c>
      <c r="D1481" s="16" t="s">
        <v>184</v>
      </c>
      <c r="E1481" s="16" t="s">
        <v>192</v>
      </c>
      <c r="F1481" s="16" t="s">
        <v>4017</v>
      </c>
      <c r="G1481" s="16" t="s">
        <v>267</v>
      </c>
      <c r="H1481" s="16" t="s">
        <v>188</v>
      </c>
    </row>
    <row r="1482" ht="24.75" customHeight="1">
      <c r="A1482" s="32" t="str">
        <f>IMAGE("https://gymvisual.com/6090-catalog_default/smith-one-leg-floor-calf-raise.jpg",4,500,500)</f>
        <v/>
      </c>
      <c r="B1482" s="30">
        <v>3481.0</v>
      </c>
      <c r="C1482" s="16" t="s">
        <v>4363</v>
      </c>
      <c r="D1482" s="16" t="s">
        <v>184</v>
      </c>
      <c r="E1482" s="16" t="s">
        <v>325</v>
      </c>
      <c r="F1482" s="16" t="s">
        <v>4017</v>
      </c>
      <c r="G1482" s="16" t="s">
        <v>368</v>
      </c>
      <c r="H1482" s="16" t="s">
        <v>463</v>
      </c>
    </row>
    <row r="1483" ht="24.75" customHeight="1">
      <c r="A1483" s="32" t="str">
        <f>IMAGE("https://gymvisual.com/11513-catalog_default/smith-one-leg-floor-calf-raise-female.jpg",4,500,500)</f>
        <v/>
      </c>
      <c r="B1483" s="30">
        <v>3482.0</v>
      </c>
      <c r="C1483" s="16" t="s">
        <v>4364</v>
      </c>
      <c r="D1483" s="16" t="s">
        <v>184</v>
      </c>
      <c r="E1483" s="16" t="s">
        <v>325</v>
      </c>
      <c r="F1483" s="16" t="s">
        <v>4017</v>
      </c>
      <c r="G1483" s="16" t="s">
        <v>220</v>
      </c>
      <c r="H1483" s="16" t="s">
        <v>220</v>
      </c>
    </row>
    <row r="1484" ht="24.75" customHeight="1">
      <c r="A1484" s="32" t="str">
        <f>IMAGE("https://gymvisual.com/17985-catalog_default/smith-rack-pull.jpg",4,500,500)</f>
        <v/>
      </c>
      <c r="B1484" s="30">
        <v>3483.0</v>
      </c>
      <c r="C1484" s="16" t="s">
        <v>4365</v>
      </c>
      <c r="D1484" s="16" t="s">
        <v>184</v>
      </c>
      <c r="E1484" s="16" t="s">
        <v>185</v>
      </c>
      <c r="F1484" s="16" t="s">
        <v>4017</v>
      </c>
      <c r="G1484" s="16" t="s">
        <v>220</v>
      </c>
      <c r="H1484" s="16" t="s">
        <v>220</v>
      </c>
    </row>
    <row r="1485" ht="24.75" customHeight="1">
      <c r="A1485" s="32" t="str">
        <f>IMAGE("https://gymvisual.com/2777-catalog_default/smith-rear-lunge-version-2.jpg",4,500,500)</f>
        <v/>
      </c>
      <c r="B1485" s="30">
        <v>3484.0</v>
      </c>
      <c r="C1485" s="16" t="s">
        <v>4366</v>
      </c>
      <c r="D1485" s="16" t="s">
        <v>184</v>
      </c>
      <c r="E1485" s="16" t="s">
        <v>285</v>
      </c>
      <c r="F1485" s="16" t="s">
        <v>4017</v>
      </c>
      <c r="G1485" s="16" t="s">
        <v>189</v>
      </c>
      <c r="H1485" s="16" t="s">
        <v>190</v>
      </c>
    </row>
    <row r="1486" ht="24.75" customHeight="1">
      <c r="A1486" s="32" t="str">
        <f>IMAGE("https://gymvisual.com/2283-catalog_default/smith-reverse-calf-raises.jpg",4,500,500)</f>
        <v/>
      </c>
      <c r="B1486" s="30">
        <v>3485.0</v>
      </c>
      <c r="C1486" s="16" t="s">
        <v>4367</v>
      </c>
      <c r="D1486" s="16" t="s">
        <v>184</v>
      </c>
      <c r="E1486" s="16" t="s">
        <v>325</v>
      </c>
      <c r="F1486" s="16" t="s">
        <v>4017</v>
      </c>
      <c r="G1486" s="16" t="s">
        <v>1100</v>
      </c>
      <c r="H1486" s="16" t="s">
        <v>463</v>
      </c>
    </row>
    <row r="1487" ht="24.75" customHeight="1">
      <c r="A1487" s="32" t="str">
        <f>IMAGE("https://gymvisual.com/6091-catalog_default/smith-reverse-calf-raises.jpg",4,500,500)</f>
        <v/>
      </c>
      <c r="B1487" s="30">
        <v>3486.0</v>
      </c>
      <c r="C1487" s="16" t="s">
        <v>4367</v>
      </c>
      <c r="D1487" s="16" t="s">
        <v>184</v>
      </c>
      <c r="E1487" s="16" t="s">
        <v>325</v>
      </c>
      <c r="F1487" s="16" t="s">
        <v>4017</v>
      </c>
      <c r="G1487" s="16" t="s">
        <v>368</v>
      </c>
      <c r="H1487" s="16" t="s">
        <v>463</v>
      </c>
    </row>
    <row r="1488" ht="24.75" customHeight="1">
      <c r="A1488" s="32" t="str">
        <f>IMAGE("https://gymvisual.com/11498-catalog_default/smith-reverse-calf-raises-female.jpg",4,500,500)</f>
        <v/>
      </c>
      <c r="B1488" s="30">
        <v>3487.0</v>
      </c>
      <c r="C1488" s="16" t="s">
        <v>4368</v>
      </c>
      <c r="D1488" s="16" t="s">
        <v>184</v>
      </c>
      <c r="E1488" s="16" t="s">
        <v>325</v>
      </c>
      <c r="F1488" s="16" t="s">
        <v>4017</v>
      </c>
      <c r="G1488" s="16" t="s">
        <v>220</v>
      </c>
      <c r="H1488" s="16" t="s">
        <v>220</v>
      </c>
    </row>
    <row r="1489" ht="24.75" customHeight="1">
      <c r="A1489" s="32" t="str">
        <f>IMAGE("https://gymvisual.com/6052-catalog_default/smith-reverse-grip-bent-over-row.jpg",4,500,500)</f>
        <v/>
      </c>
      <c r="B1489" s="30">
        <v>3488.0</v>
      </c>
      <c r="C1489" s="16" t="s">
        <v>4369</v>
      </c>
      <c r="D1489" s="16" t="s">
        <v>184</v>
      </c>
      <c r="E1489" s="16" t="s">
        <v>192</v>
      </c>
      <c r="F1489" s="16" t="s">
        <v>4017</v>
      </c>
      <c r="G1489" s="16" t="s">
        <v>329</v>
      </c>
      <c r="H1489" s="16" t="s">
        <v>4370</v>
      </c>
    </row>
    <row r="1490" ht="24.75" customHeight="1">
      <c r="A1490" s="32" t="str">
        <f>IMAGE("https://gymvisual.com/11804-catalog_default/smith-reverse-hyperextension-female.jpg",4,500,500)</f>
        <v/>
      </c>
      <c r="B1490" s="30">
        <v>3489.0</v>
      </c>
      <c r="C1490" s="16" t="s">
        <v>4371</v>
      </c>
      <c r="D1490" s="16" t="s">
        <v>184</v>
      </c>
      <c r="E1490" s="16" t="s">
        <v>185</v>
      </c>
      <c r="F1490" s="16" t="s">
        <v>4017</v>
      </c>
      <c r="G1490" s="16" t="s">
        <v>220</v>
      </c>
      <c r="H1490" s="16" t="s">
        <v>220</v>
      </c>
    </row>
    <row r="1491" ht="24.75" customHeight="1">
      <c r="A1491" s="32" t="str">
        <f>IMAGE("https://gymvisual.com/2286-catalog_default/smith-reverse-grip-press.jpg",4,500,500)</f>
        <v/>
      </c>
      <c r="B1491" s="30">
        <v>3490.0</v>
      </c>
      <c r="C1491" s="16" t="s">
        <v>4372</v>
      </c>
      <c r="D1491" s="16" t="s">
        <v>184</v>
      </c>
      <c r="E1491" s="16" t="s">
        <v>234</v>
      </c>
      <c r="F1491" s="16" t="s">
        <v>4017</v>
      </c>
      <c r="G1491" s="16" t="s">
        <v>235</v>
      </c>
      <c r="H1491" s="16" t="s">
        <v>243</v>
      </c>
    </row>
    <row r="1492" ht="24.75" customHeight="1">
      <c r="A1492" s="32" t="str">
        <f>IMAGE("https://gymvisual.com/19409-catalog_default/smith-seated-calf-raise.jpg",4,500,500)</f>
        <v/>
      </c>
      <c r="B1492" s="30">
        <v>3491.0</v>
      </c>
      <c r="C1492" s="16" t="s">
        <v>4373</v>
      </c>
      <c r="D1492" s="16" t="s">
        <v>184</v>
      </c>
      <c r="E1492" s="16" t="s">
        <v>325</v>
      </c>
      <c r="F1492" s="16" t="s">
        <v>4017</v>
      </c>
      <c r="G1492" s="16" t="s">
        <v>220</v>
      </c>
      <c r="H1492" s="16" t="s">
        <v>220</v>
      </c>
    </row>
    <row r="1493" ht="24.75" customHeight="1">
      <c r="A1493" s="32" t="str">
        <f>IMAGE("https://gymvisual.com/6092-catalog_default/smith-seated-one-leg-calf-raise.jpg",4,500,500)</f>
        <v/>
      </c>
      <c r="B1493" s="30">
        <v>3492.0</v>
      </c>
      <c r="C1493" s="16" t="s">
        <v>4374</v>
      </c>
      <c r="D1493" s="16" t="s">
        <v>184</v>
      </c>
      <c r="E1493" s="16" t="s">
        <v>325</v>
      </c>
      <c r="F1493" s="16" t="s">
        <v>4017</v>
      </c>
      <c r="G1493" s="16" t="s">
        <v>368</v>
      </c>
      <c r="H1493" s="16" t="s">
        <v>463</v>
      </c>
    </row>
    <row r="1494" ht="24.75" customHeight="1">
      <c r="A1494" s="32" t="str">
        <f>IMAGE("https://gymvisual.com/2289-catalog_default/smith-seated-shoulder-press.jpg",4,500,500)</f>
        <v/>
      </c>
      <c r="B1494" s="30">
        <v>3493.0</v>
      </c>
      <c r="C1494" s="16" t="s">
        <v>4375</v>
      </c>
      <c r="D1494" s="16" t="s">
        <v>184</v>
      </c>
      <c r="E1494" s="16" t="s">
        <v>228</v>
      </c>
      <c r="F1494" s="16" t="s">
        <v>4017</v>
      </c>
      <c r="G1494" s="16" t="s">
        <v>229</v>
      </c>
      <c r="H1494" s="16" t="s">
        <v>626</v>
      </c>
    </row>
    <row r="1495" ht="24.75" customHeight="1">
      <c r="A1495" s="32" t="str">
        <f>IMAGE("https://gymvisual.com/14304-catalog_default/smith-seated-shoulder-press-female.jpg",4,500,500)</f>
        <v/>
      </c>
      <c r="B1495" s="30">
        <v>3494.0</v>
      </c>
      <c r="C1495" s="16" t="s">
        <v>4376</v>
      </c>
      <c r="D1495" s="16" t="s">
        <v>184</v>
      </c>
      <c r="E1495" s="16" t="s">
        <v>228</v>
      </c>
      <c r="F1495" s="16" t="s">
        <v>4017</v>
      </c>
      <c r="G1495" s="16" t="s">
        <v>229</v>
      </c>
      <c r="H1495" s="16" t="s">
        <v>626</v>
      </c>
    </row>
    <row r="1496" ht="24.75" customHeight="1">
      <c r="A1496" s="32" t="str">
        <f>IMAGE("https://gymvisual.com/6278-catalog_default/smith-seated-wrist-curl.jpg",4,500,500)</f>
        <v/>
      </c>
      <c r="B1496" s="30">
        <v>3495.0</v>
      </c>
      <c r="C1496" s="16" t="s">
        <v>4377</v>
      </c>
      <c r="D1496" s="16" t="s">
        <v>184</v>
      </c>
      <c r="E1496" s="16" t="s">
        <v>214</v>
      </c>
      <c r="F1496" s="16" t="s">
        <v>4017</v>
      </c>
      <c r="G1496" s="16" t="s">
        <v>720</v>
      </c>
      <c r="H1496" s="16" t="s">
        <v>220</v>
      </c>
    </row>
    <row r="1497" ht="24.75" customHeight="1">
      <c r="A1497" s="32" t="str">
        <f>IMAGE("https://gymvisual.com/2292-catalog_default/smith-shoulder-press.jpg",4,500,500)</f>
        <v/>
      </c>
      <c r="B1497" s="30">
        <v>3496.0</v>
      </c>
      <c r="C1497" s="16" t="s">
        <v>4378</v>
      </c>
      <c r="D1497" s="16" t="s">
        <v>184</v>
      </c>
      <c r="E1497" s="16" t="s">
        <v>228</v>
      </c>
      <c r="F1497" s="16" t="s">
        <v>4017</v>
      </c>
      <c r="G1497" s="16" t="s">
        <v>229</v>
      </c>
      <c r="H1497" s="16" t="s">
        <v>626</v>
      </c>
    </row>
    <row r="1498" ht="24.75" customHeight="1">
      <c r="A1498" s="32" t="str">
        <f>IMAGE("https://gymvisual.com/2295-catalog_default/smith-shrug.jpg",4,500,500)</f>
        <v/>
      </c>
      <c r="B1498" s="30">
        <v>3497.0</v>
      </c>
      <c r="C1498" s="16" t="s">
        <v>4379</v>
      </c>
      <c r="D1498" s="16" t="s">
        <v>184</v>
      </c>
      <c r="E1498" s="16" t="s">
        <v>192</v>
      </c>
      <c r="F1498" s="16" t="s">
        <v>4017</v>
      </c>
      <c r="G1498" s="16" t="s">
        <v>238</v>
      </c>
      <c r="H1498" s="16" t="s">
        <v>618</v>
      </c>
    </row>
    <row r="1499" ht="24.75" customHeight="1">
      <c r="A1499" s="32" t="str">
        <f>IMAGE("https://gymvisual.com/17296-catalog_default/smith-single-arm-bent-over-row.jpg",4,500,500)</f>
        <v/>
      </c>
      <c r="B1499" s="30">
        <v>3498.0</v>
      </c>
      <c r="C1499" s="16" t="s">
        <v>4380</v>
      </c>
      <c r="D1499" s="16" t="s">
        <v>184</v>
      </c>
      <c r="E1499" s="16" t="s">
        <v>192</v>
      </c>
      <c r="F1499" s="16" t="s">
        <v>4017</v>
      </c>
      <c r="G1499" s="16" t="s">
        <v>329</v>
      </c>
      <c r="H1499" s="16" t="s">
        <v>447</v>
      </c>
    </row>
    <row r="1500" ht="24.75" customHeight="1">
      <c r="A1500" s="32" t="str">
        <f>IMAGE("https://gymvisual.com/2298-catalog_default/smith-single-leg-split-squat.jpg",4,500,500)</f>
        <v/>
      </c>
      <c r="B1500" s="30">
        <v>3499.0</v>
      </c>
      <c r="C1500" s="16" t="s">
        <v>4381</v>
      </c>
      <c r="D1500" s="16" t="s">
        <v>184</v>
      </c>
      <c r="E1500" s="16" t="s">
        <v>285</v>
      </c>
      <c r="F1500" s="16" t="s">
        <v>4017</v>
      </c>
      <c r="G1500" s="16" t="s">
        <v>189</v>
      </c>
      <c r="H1500" s="16" t="s">
        <v>190</v>
      </c>
    </row>
    <row r="1501" ht="24.75" customHeight="1">
      <c r="A1501" s="32" t="str">
        <f>IMAGE("https://gymvisual.com/11507-catalog_default/smith-single-leg-split-squat-female.jpg",4,500,500)</f>
        <v/>
      </c>
      <c r="B1501" s="30">
        <v>3500.0</v>
      </c>
      <c r="C1501" s="16" t="s">
        <v>4382</v>
      </c>
      <c r="D1501" s="16" t="s">
        <v>184</v>
      </c>
      <c r="E1501" s="16" t="s">
        <v>294</v>
      </c>
      <c r="F1501" s="16" t="s">
        <v>4017</v>
      </c>
      <c r="G1501" s="16" t="s">
        <v>189</v>
      </c>
      <c r="H1501" s="16" t="s">
        <v>190</v>
      </c>
    </row>
    <row r="1502" ht="24.75" customHeight="1">
      <c r="A1502" s="32" t="str">
        <f>IMAGE("https://gymvisual.com/13491-catalog_default/smith-split-squat-female.jpg",4,500,500)</f>
        <v/>
      </c>
      <c r="B1502" s="30">
        <v>3501.0</v>
      </c>
      <c r="C1502" s="16" t="s">
        <v>4383</v>
      </c>
      <c r="D1502" s="16" t="s">
        <v>184</v>
      </c>
      <c r="E1502" s="16" t="s">
        <v>294</v>
      </c>
      <c r="F1502" s="16" t="s">
        <v>4017</v>
      </c>
      <c r="G1502" s="16" t="s">
        <v>220</v>
      </c>
      <c r="H1502" s="16" t="s">
        <v>220</v>
      </c>
    </row>
    <row r="1503" ht="24.75" customHeight="1">
      <c r="A1503" s="32" t="str">
        <f>IMAGE("https://gymvisual.com/10276-catalog_default/smith-sprint-lunge.jpg",4,500,500)</f>
        <v/>
      </c>
      <c r="B1503" s="30">
        <v>3502.0</v>
      </c>
      <c r="C1503" s="16" t="s">
        <v>4384</v>
      </c>
      <c r="D1503" s="16" t="s">
        <v>184</v>
      </c>
      <c r="E1503" s="16" t="s">
        <v>285</v>
      </c>
      <c r="F1503" s="16" t="s">
        <v>4017</v>
      </c>
      <c r="G1503" s="16" t="s">
        <v>189</v>
      </c>
      <c r="H1503" s="16" t="s">
        <v>190</v>
      </c>
    </row>
    <row r="1504" ht="24.75" customHeight="1">
      <c r="A1504" s="32" t="str">
        <f>IMAGE("https://gymvisual.com/2304-catalog_default/smith-squat.jpg",4,500,500)</f>
        <v/>
      </c>
      <c r="B1504" s="30">
        <v>3503.0</v>
      </c>
      <c r="C1504" s="16" t="s">
        <v>4385</v>
      </c>
      <c r="D1504" s="16" t="s">
        <v>184</v>
      </c>
      <c r="E1504" s="16" t="s">
        <v>185</v>
      </c>
      <c r="F1504" s="16" t="s">
        <v>4017</v>
      </c>
      <c r="G1504" s="16" t="s">
        <v>189</v>
      </c>
      <c r="H1504" s="16" t="s">
        <v>190</v>
      </c>
    </row>
    <row r="1505" ht="24.75" customHeight="1">
      <c r="A1505" s="32" t="str">
        <f>IMAGE("https://gymvisual.com/6843-catalog_default/smith-squat-to-bench.jpg",4,500,500)</f>
        <v/>
      </c>
      <c r="B1505" s="30">
        <v>3504.0</v>
      </c>
      <c r="C1505" s="16" t="s">
        <v>4386</v>
      </c>
      <c r="D1505" s="16" t="s">
        <v>184</v>
      </c>
      <c r="E1505" s="16" t="s">
        <v>285</v>
      </c>
      <c r="F1505" s="16" t="s">
        <v>4017</v>
      </c>
      <c r="G1505" s="16" t="s">
        <v>220</v>
      </c>
      <c r="H1505" s="16" t="s">
        <v>220</v>
      </c>
    </row>
    <row r="1506" ht="24.75" customHeight="1">
      <c r="A1506" s="32" t="str">
        <f>IMAGE("https://gymvisual.com/2307-catalog_default/smith-standing-back-wrist-curl.jpg",4,500,500)</f>
        <v/>
      </c>
      <c r="B1506" s="30">
        <v>3505.0</v>
      </c>
      <c r="C1506" s="16" t="s">
        <v>4387</v>
      </c>
      <c r="D1506" s="16" t="s">
        <v>184</v>
      </c>
      <c r="E1506" s="16" t="s">
        <v>214</v>
      </c>
      <c r="F1506" s="16" t="s">
        <v>4017</v>
      </c>
      <c r="G1506" s="16" t="s">
        <v>720</v>
      </c>
      <c r="H1506" s="16" t="s">
        <v>220</v>
      </c>
    </row>
    <row r="1507" ht="24.75" customHeight="1">
      <c r="A1507" s="32" t="str">
        <f>IMAGE("https://gymvisual.com/2310-catalog_default/smith-standing-behind-head-military-press.jpg",4,500,500)</f>
        <v/>
      </c>
      <c r="B1507" s="30">
        <v>3506.0</v>
      </c>
      <c r="C1507" s="16" t="s">
        <v>4388</v>
      </c>
      <c r="D1507" s="16" t="s">
        <v>184</v>
      </c>
      <c r="E1507" s="16" t="s">
        <v>228</v>
      </c>
      <c r="F1507" s="16" t="s">
        <v>4017</v>
      </c>
      <c r="G1507" s="16" t="s">
        <v>229</v>
      </c>
      <c r="H1507" s="16" t="s">
        <v>230</v>
      </c>
    </row>
    <row r="1508" ht="24.75" customHeight="1">
      <c r="A1508" s="32" t="str">
        <f>IMAGE("https://gymvisual.com/2313-catalog_default/smith-standing-leg-calf-raise.jpg",4,500,500)</f>
        <v/>
      </c>
      <c r="B1508" s="30">
        <v>3507.0</v>
      </c>
      <c r="C1508" s="16" t="s">
        <v>4389</v>
      </c>
      <c r="D1508" s="16" t="s">
        <v>184</v>
      </c>
      <c r="E1508" s="16" t="s">
        <v>325</v>
      </c>
      <c r="F1508" s="16" t="s">
        <v>4017</v>
      </c>
      <c r="G1508" s="16" t="s">
        <v>368</v>
      </c>
      <c r="H1508" s="16" t="s">
        <v>463</v>
      </c>
    </row>
    <row r="1509" ht="24.75" customHeight="1">
      <c r="A1509" s="32" t="str">
        <f>IMAGE("https://gymvisual.com/11495-catalog_default/smith-standing-leg-calf-raise-female.jpg",4,500,500)</f>
        <v/>
      </c>
      <c r="B1509" s="30">
        <v>3508.0</v>
      </c>
      <c r="C1509" s="16" t="s">
        <v>4390</v>
      </c>
      <c r="D1509" s="16" t="s">
        <v>184</v>
      </c>
      <c r="E1509" s="16" t="s">
        <v>325</v>
      </c>
      <c r="F1509" s="16" t="s">
        <v>4017</v>
      </c>
      <c r="G1509" s="16" t="s">
        <v>368</v>
      </c>
      <c r="H1509" s="16" t="s">
        <v>463</v>
      </c>
    </row>
    <row r="1510" ht="24.75" customHeight="1">
      <c r="A1510" s="32" t="str">
        <f>IMAGE("https://gymvisual.com/2316-catalog_default/smith-standing-military-press.jpg",4,500,500)</f>
        <v/>
      </c>
      <c r="B1510" s="30">
        <v>3509.0</v>
      </c>
      <c r="C1510" s="16" t="s">
        <v>4391</v>
      </c>
      <c r="D1510" s="16" t="s">
        <v>184</v>
      </c>
      <c r="E1510" s="16" t="s">
        <v>228</v>
      </c>
      <c r="F1510" s="16" t="s">
        <v>4017</v>
      </c>
      <c r="G1510" s="16" t="s">
        <v>229</v>
      </c>
      <c r="H1510" s="16" t="s">
        <v>230</v>
      </c>
    </row>
    <row r="1511" ht="24.75" customHeight="1">
      <c r="A1511" s="32" t="str">
        <f>IMAGE("https://gymvisual.com/4595-catalog_default/smith-standing-shoulder-press.jpg",4,500,500)</f>
        <v/>
      </c>
      <c r="B1511" s="30">
        <v>3510.0</v>
      </c>
      <c r="C1511" s="16" t="s">
        <v>4392</v>
      </c>
      <c r="D1511" s="16" t="s">
        <v>184</v>
      </c>
      <c r="E1511" s="16" t="s">
        <v>228</v>
      </c>
      <c r="F1511" s="16" t="s">
        <v>4017</v>
      </c>
      <c r="G1511" s="16" t="s">
        <v>229</v>
      </c>
      <c r="H1511" s="16" t="s">
        <v>230</v>
      </c>
    </row>
    <row r="1512" ht="24.75" customHeight="1">
      <c r="A1512" s="32" t="str">
        <f>IMAGE("https://gymvisual.com/6844-catalog_default/smith-stiff-legged-deadlift.jpg",4,500,500)</f>
        <v/>
      </c>
      <c r="B1512" s="30">
        <v>3511.0</v>
      </c>
      <c r="C1512" s="16" t="s">
        <v>4393</v>
      </c>
      <c r="D1512" s="16" t="s">
        <v>184</v>
      </c>
      <c r="E1512" s="16" t="s">
        <v>185</v>
      </c>
      <c r="F1512" s="16" t="s">
        <v>4017</v>
      </c>
      <c r="G1512" s="16" t="s">
        <v>220</v>
      </c>
      <c r="H1512" s="16" t="s">
        <v>220</v>
      </c>
    </row>
    <row r="1513" ht="24.75" customHeight="1">
      <c r="A1513" s="32" t="str">
        <f>IMAGE("https://gymvisual.com/12545-catalog_default/smith-sumo-squat.jpg",4,500,500)</f>
        <v/>
      </c>
      <c r="B1513" s="30">
        <v>3512.0</v>
      </c>
      <c r="C1513" s="16" t="s">
        <v>4394</v>
      </c>
      <c r="D1513" s="16" t="s">
        <v>184</v>
      </c>
      <c r="E1513" s="16" t="s">
        <v>185</v>
      </c>
      <c r="F1513" s="16" t="s">
        <v>4017</v>
      </c>
      <c r="G1513" s="16" t="s">
        <v>189</v>
      </c>
      <c r="H1513" s="16" t="s">
        <v>902</v>
      </c>
    </row>
    <row r="1514" ht="24.75" customHeight="1">
      <c r="A1514" s="32" t="str">
        <f>IMAGE("https://gymvisual.com/17813-catalog_default/smith-sumo-squat-female.jpg",4,500,500)</f>
        <v/>
      </c>
      <c r="B1514" s="30">
        <v>3513.0</v>
      </c>
      <c r="C1514" s="16" t="s">
        <v>4395</v>
      </c>
      <c r="D1514" s="16" t="s">
        <v>184</v>
      </c>
      <c r="E1514" s="16" t="s">
        <v>185</v>
      </c>
      <c r="F1514" s="16" t="s">
        <v>4017</v>
      </c>
      <c r="G1514" s="16" t="s">
        <v>220</v>
      </c>
      <c r="H1514" s="16" t="s">
        <v>220</v>
      </c>
    </row>
    <row r="1515" ht="24.75" customHeight="1">
      <c r="A1515" s="32" t="str">
        <f>IMAGE("https://gymvisual.com/6093-catalog_default/smith-toe-raise.jpg",4,500,500)</f>
        <v/>
      </c>
      <c r="B1515" s="30">
        <v>3514.0</v>
      </c>
      <c r="C1515" s="16" t="s">
        <v>4396</v>
      </c>
      <c r="D1515" s="16" t="s">
        <v>184</v>
      </c>
      <c r="E1515" s="16" t="s">
        <v>325</v>
      </c>
      <c r="F1515" s="16" t="s">
        <v>4017</v>
      </c>
      <c r="G1515" s="16" t="s">
        <v>368</v>
      </c>
      <c r="H1515" s="16" t="s">
        <v>463</v>
      </c>
    </row>
    <row r="1516" ht="24.75" customHeight="1">
      <c r="A1516" s="32" t="str">
        <f>IMAGE("https://gymvisual.com/13493-catalog_default/smith-toe-raise-female.jpg",4,500,500)</f>
        <v/>
      </c>
      <c r="B1516" s="30">
        <v>3515.0</v>
      </c>
      <c r="C1516" s="16" t="s">
        <v>4397</v>
      </c>
      <c r="D1516" s="16" t="s">
        <v>184</v>
      </c>
      <c r="E1516" s="16" t="s">
        <v>325</v>
      </c>
      <c r="F1516" s="16" t="s">
        <v>4017</v>
      </c>
      <c r="G1516" s="16" t="s">
        <v>220</v>
      </c>
      <c r="H1516" s="16" t="s">
        <v>220</v>
      </c>
    </row>
    <row r="1517" ht="24.75" customHeight="1">
      <c r="A1517" s="32" t="str">
        <f>IMAGE("https://gymvisual.com/2319-catalog_default/smith-upright-row.jpg",4,500,500)</f>
        <v/>
      </c>
      <c r="B1517" s="30">
        <v>3516.0</v>
      </c>
      <c r="C1517" s="16" t="s">
        <v>4398</v>
      </c>
      <c r="D1517" s="16" t="s">
        <v>184</v>
      </c>
      <c r="E1517" s="16" t="s">
        <v>228</v>
      </c>
      <c r="F1517" s="16" t="s">
        <v>4017</v>
      </c>
      <c r="G1517" s="16" t="s">
        <v>544</v>
      </c>
      <c r="H1517" s="16" t="s">
        <v>713</v>
      </c>
    </row>
    <row r="1518" ht="24.75" customHeight="1">
      <c r="A1518" s="32" t="str">
        <f>IMAGE("https://gymvisual.com/5997-catalog_default/smith-wide-grip-bench-press.jpg",4,500,500)</f>
        <v/>
      </c>
      <c r="B1518" s="30">
        <v>3517.0</v>
      </c>
      <c r="C1518" s="16" t="s">
        <v>4399</v>
      </c>
      <c r="D1518" s="16" t="s">
        <v>184</v>
      </c>
      <c r="E1518" s="16" t="s">
        <v>234</v>
      </c>
      <c r="F1518" s="16" t="s">
        <v>4017</v>
      </c>
      <c r="G1518" s="16" t="s">
        <v>347</v>
      </c>
      <c r="H1518" s="16" t="s">
        <v>382</v>
      </c>
    </row>
    <row r="1519" ht="24.75" customHeight="1">
      <c r="A1519" s="32" t="str">
        <f>IMAGE("https://gymvisual.com/5998-catalog_default/smith-wide-grip-decline-bench-press.jpg",4,500,500)</f>
        <v/>
      </c>
      <c r="B1519" s="30">
        <v>3518.0</v>
      </c>
      <c r="C1519" s="16" t="s">
        <v>4400</v>
      </c>
      <c r="D1519" s="16" t="s">
        <v>184</v>
      </c>
      <c r="E1519" s="16" t="s">
        <v>234</v>
      </c>
      <c r="F1519" s="16" t="s">
        <v>4017</v>
      </c>
      <c r="G1519" s="16" t="s">
        <v>347</v>
      </c>
      <c r="H1519" s="16" t="s">
        <v>382</v>
      </c>
    </row>
    <row r="1520" ht="24.75" customHeight="1">
      <c r="A1520" s="32" t="str">
        <f>IMAGE("https://gymvisual.com/20411-catalog_default/smith-wide-shrug.jpg",4,500,500)</f>
        <v/>
      </c>
      <c r="B1520" s="30">
        <v>3519.0</v>
      </c>
      <c r="C1520" s="16" t="s">
        <v>4401</v>
      </c>
      <c r="D1520" s="16" t="s">
        <v>184</v>
      </c>
      <c r="E1520" s="16" t="s">
        <v>192</v>
      </c>
      <c r="F1520" s="16" t="s">
        <v>4017</v>
      </c>
      <c r="G1520" s="16" t="s">
        <v>238</v>
      </c>
      <c r="H1520" s="16" t="s">
        <v>239</v>
      </c>
    </row>
    <row r="1521" ht="24.75" customHeight="1">
      <c r="A1521" s="32" t="str">
        <f>IMAGE("https://gymvisual.com/6845-catalog_default/smith-zercher-squat.jpg",4,500,500)</f>
        <v/>
      </c>
      <c r="B1521" s="30">
        <v>3520.0</v>
      </c>
      <c r="C1521" s="16" t="s">
        <v>4402</v>
      </c>
      <c r="D1521" s="16" t="s">
        <v>184</v>
      </c>
      <c r="E1521" s="16" t="s">
        <v>285</v>
      </c>
      <c r="F1521" s="16" t="s">
        <v>4017</v>
      </c>
      <c r="G1521" s="16" t="s">
        <v>220</v>
      </c>
      <c r="H1521" s="16" t="s">
        <v>220</v>
      </c>
    </row>
    <row r="1522" ht="24.75" customHeight="1">
      <c r="A1522" s="32" t="str">
        <f>IMAGE("https://gymvisual.com/2322-catalog_default/snatch-pull.jpg",4,500,500)</f>
        <v/>
      </c>
      <c r="B1522" s="30">
        <v>3521.0</v>
      </c>
      <c r="C1522" s="16" t="s">
        <v>4403</v>
      </c>
      <c r="D1522" s="16" t="s">
        <v>184</v>
      </c>
      <c r="E1522" s="16" t="s">
        <v>285</v>
      </c>
      <c r="F1522" s="16" t="s">
        <v>186</v>
      </c>
      <c r="G1522" s="16" t="s">
        <v>4404</v>
      </c>
      <c r="H1522" s="16" t="s">
        <v>220</v>
      </c>
    </row>
    <row r="1523" ht="24.75" customHeight="1">
      <c r="A1523" s="32" t="str">
        <f>IMAGE("https://gymvisual.com/2324-catalog_default/spell-caster.jpg",4,500,500)</f>
        <v/>
      </c>
      <c r="B1523" s="30">
        <v>3522.0</v>
      </c>
      <c r="C1523" s="16" t="s">
        <v>4405</v>
      </c>
      <c r="D1523" s="16" t="s">
        <v>184</v>
      </c>
      <c r="E1523" s="16" t="s">
        <v>254</v>
      </c>
      <c r="F1523" s="16" t="s">
        <v>222</v>
      </c>
      <c r="G1523" s="16" t="s">
        <v>260</v>
      </c>
      <c r="H1523" s="16" t="s">
        <v>2577</v>
      </c>
    </row>
    <row r="1524" ht="24.75" customHeight="1">
      <c r="A1524" s="32" t="str">
        <f>IMAGE("https://gymvisual.com/17085-catalog_default/spell-caster-female.jpg",4,500,500)</f>
        <v/>
      </c>
      <c r="B1524" s="30">
        <v>3523.0</v>
      </c>
      <c r="C1524" s="16" t="s">
        <v>4406</v>
      </c>
      <c r="D1524" s="16" t="s">
        <v>184</v>
      </c>
      <c r="E1524" s="16" t="s">
        <v>254</v>
      </c>
      <c r="F1524" s="16" t="s">
        <v>222</v>
      </c>
      <c r="G1524" s="16" t="s">
        <v>260</v>
      </c>
      <c r="H1524" s="16" t="s">
        <v>4407</v>
      </c>
    </row>
    <row r="1525" ht="24.75" customHeight="1">
      <c r="A1525" s="32" t="str">
        <f>IMAGE("https://gymvisual.com/19349-catalog_default/spider-crawl-push-up.jpg",4,500,500)</f>
        <v/>
      </c>
      <c r="B1525" s="30">
        <v>3524.0</v>
      </c>
      <c r="C1525" s="16" t="s">
        <v>4408</v>
      </c>
      <c r="D1525" s="16" t="s">
        <v>184</v>
      </c>
      <c r="E1525" s="16" t="s">
        <v>185</v>
      </c>
      <c r="F1525" s="16" t="s">
        <v>255</v>
      </c>
      <c r="G1525" s="16" t="s">
        <v>2845</v>
      </c>
      <c r="H1525" s="16" t="s">
        <v>4409</v>
      </c>
    </row>
    <row r="1526" ht="24.75" customHeight="1">
      <c r="A1526" s="32" t="str">
        <f>IMAGE("https://gymvisual.com/13778-catalog_default/spider-crawl-push-up-female.jpg",4,500,500)</f>
        <v/>
      </c>
      <c r="B1526" s="30">
        <v>3525.0</v>
      </c>
      <c r="C1526" s="16" t="s">
        <v>4410</v>
      </c>
      <c r="D1526" s="16" t="s">
        <v>184</v>
      </c>
      <c r="E1526" s="16" t="s">
        <v>1798</v>
      </c>
      <c r="F1526" s="16" t="s">
        <v>255</v>
      </c>
      <c r="G1526" s="16" t="s">
        <v>4411</v>
      </c>
      <c r="H1526" s="16" t="s">
        <v>220</v>
      </c>
    </row>
    <row r="1527" ht="24.75" customHeight="1">
      <c r="A1527" s="32" t="str">
        <f>IMAGE("https://gymvisual.com/17795-catalog_default/spider-plank-female.jpg",4,500,500)</f>
        <v/>
      </c>
      <c r="B1527" s="30">
        <v>3526.0</v>
      </c>
      <c r="C1527" s="16" t="s">
        <v>4412</v>
      </c>
      <c r="D1527" s="16" t="s">
        <v>184</v>
      </c>
      <c r="E1527" s="16" t="s">
        <v>185</v>
      </c>
      <c r="F1527" s="16" t="s">
        <v>255</v>
      </c>
      <c r="G1527" s="16" t="s">
        <v>220</v>
      </c>
      <c r="H1527" s="16" t="s">
        <v>220</v>
      </c>
    </row>
    <row r="1528" ht="24.75" customHeight="1">
      <c r="A1528" s="32" t="str">
        <f>IMAGE("https://gymvisual.com/10034-catalog_default/spine-twist.jpg",4,500,500)</f>
        <v/>
      </c>
      <c r="B1528" s="30">
        <v>3527.0</v>
      </c>
      <c r="C1528" s="16" t="s">
        <v>4413</v>
      </c>
      <c r="D1528" s="16" t="s">
        <v>184</v>
      </c>
      <c r="E1528" s="16" t="s">
        <v>254</v>
      </c>
      <c r="F1528" s="16" t="s">
        <v>255</v>
      </c>
      <c r="G1528" s="16" t="s">
        <v>257</v>
      </c>
      <c r="H1528" s="16" t="s">
        <v>220</v>
      </c>
    </row>
    <row r="1529" ht="24.75" customHeight="1">
      <c r="A1529" s="32" t="str">
        <f>IMAGE("https://gymvisual.com/16049-catalog_default/split-lateral-squat-with-roll.jpg",4,500,500)</f>
        <v/>
      </c>
      <c r="B1529" s="30">
        <v>3528.0</v>
      </c>
      <c r="C1529" s="16" t="s">
        <v>4414</v>
      </c>
      <c r="D1529" s="16" t="s">
        <v>184</v>
      </c>
      <c r="E1529" s="16" t="s">
        <v>294</v>
      </c>
      <c r="F1529" s="16" t="s">
        <v>255</v>
      </c>
      <c r="G1529" s="16" t="s">
        <v>4415</v>
      </c>
      <c r="H1529" s="16" t="s">
        <v>4416</v>
      </c>
    </row>
    <row r="1530" ht="24.75" customHeight="1">
      <c r="A1530" s="32" t="str">
        <f>IMAGE("https://gymvisual.com/13980-catalog_default/split-sprinter-high-lunge.jpg",4,500,500)</f>
        <v/>
      </c>
      <c r="B1530" s="30">
        <v>3529.0</v>
      </c>
      <c r="C1530" s="16" t="s">
        <v>4417</v>
      </c>
      <c r="D1530" s="16" t="s">
        <v>184</v>
      </c>
      <c r="E1530" s="16" t="s">
        <v>294</v>
      </c>
      <c r="F1530" s="16" t="s">
        <v>255</v>
      </c>
      <c r="G1530" s="16" t="s">
        <v>189</v>
      </c>
      <c r="H1530" s="16" t="s">
        <v>314</v>
      </c>
    </row>
    <row r="1531" ht="24.75" customHeight="1">
      <c r="A1531" s="32" t="str">
        <f>IMAGE("https://gymvisual.com/13978-catalog_default/split-sprinter-low-lunge.jpg",4,500,500)</f>
        <v/>
      </c>
      <c r="B1531" s="30">
        <v>3530.0</v>
      </c>
      <c r="C1531" s="16" t="s">
        <v>4418</v>
      </c>
      <c r="D1531" s="16" t="s">
        <v>184</v>
      </c>
      <c r="E1531" s="16" t="s">
        <v>294</v>
      </c>
      <c r="F1531" s="16" t="s">
        <v>255</v>
      </c>
      <c r="G1531" s="16" t="s">
        <v>189</v>
      </c>
      <c r="H1531" s="16" t="s">
        <v>314</v>
      </c>
    </row>
    <row r="1532" ht="24.75" customHeight="1">
      <c r="A1532" s="32" t="str">
        <f>IMAGE("https://gymvisual.com/2336-catalog_default/split-squat.jpg",4,500,500)</f>
        <v/>
      </c>
      <c r="B1532" s="30">
        <v>3531.0</v>
      </c>
      <c r="C1532" s="16" t="s">
        <v>4419</v>
      </c>
      <c r="D1532" s="16" t="s">
        <v>184</v>
      </c>
      <c r="E1532" s="16" t="s">
        <v>185</v>
      </c>
      <c r="F1532" s="16" t="s">
        <v>255</v>
      </c>
      <c r="G1532" s="16" t="s">
        <v>189</v>
      </c>
      <c r="H1532" s="16" t="s">
        <v>190</v>
      </c>
    </row>
    <row r="1533" ht="24.75" customHeight="1">
      <c r="A1533" s="32" t="str">
        <f>IMAGE("https://gymvisual.com/20676-catalog_default/split-squat-female.jpg",4,500,500)</f>
        <v/>
      </c>
      <c r="B1533" s="30">
        <v>3532.0</v>
      </c>
      <c r="C1533" s="16" t="s">
        <v>4420</v>
      </c>
      <c r="D1533" s="16" t="s">
        <v>184</v>
      </c>
      <c r="E1533" s="16"/>
      <c r="F1533" s="16"/>
      <c r="G1533" s="16" t="s">
        <v>189</v>
      </c>
      <c r="H1533" s="16" t="s">
        <v>190</v>
      </c>
    </row>
    <row r="1534" ht="24.75" customHeight="1">
      <c r="A1534" s="32" t="str">
        <f>IMAGE("https://gymvisual.com/16047-catalog_default/split-squat-with-roll.jpg",4,500,500)</f>
        <v/>
      </c>
      <c r="B1534" s="30">
        <v>3533.0</v>
      </c>
      <c r="C1534" s="16" t="s">
        <v>4421</v>
      </c>
      <c r="D1534" s="16" t="s">
        <v>184</v>
      </c>
      <c r="E1534" s="16" t="s">
        <v>294</v>
      </c>
      <c r="F1534" s="16" t="s">
        <v>255</v>
      </c>
      <c r="G1534" s="16" t="s">
        <v>189</v>
      </c>
      <c r="H1534" s="16" t="s">
        <v>190</v>
      </c>
    </row>
    <row r="1535" ht="24.75" customHeight="1">
      <c r="A1535" s="32" t="str">
        <f>IMAGE("https://gymvisual.com/20658-catalog_default/split-squats.jpg",4,500,500)</f>
        <v/>
      </c>
      <c r="B1535" s="30">
        <v>3534.0</v>
      </c>
      <c r="C1535" s="16" t="s">
        <v>4422</v>
      </c>
      <c r="D1535" s="16" t="s">
        <v>184</v>
      </c>
      <c r="E1535" s="16" t="s">
        <v>294</v>
      </c>
      <c r="F1535" s="16" t="s">
        <v>255</v>
      </c>
      <c r="G1535" s="16" t="s">
        <v>189</v>
      </c>
      <c r="H1535" s="16" t="s">
        <v>190</v>
      </c>
    </row>
    <row r="1536" ht="24.75" customHeight="1">
      <c r="A1536" s="32" t="str">
        <f>IMAGE("https://gymvisual.com/17729-catalog_default/sprinter-crunch.jpg",4,500,500)</f>
        <v/>
      </c>
      <c r="B1536" s="30">
        <v>3535.0</v>
      </c>
      <c r="C1536" s="16" t="s">
        <v>4423</v>
      </c>
      <c r="D1536" s="16" t="s">
        <v>184</v>
      </c>
      <c r="E1536" s="16" t="s">
        <v>254</v>
      </c>
      <c r="F1536" s="16" t="s">
        <v>255</v>
      </c>
      <c r="G1536" s="16" t="s">
        <v>220</v>
      </c>
      <c r="H1536" s="16" t="s">
        <v>220</v>
      </c>
    </row>
    <row r="1537" ht="24.75" customHeight="1">
      <c r="A1537" s="32" t="str">
        <f>IMAGE("https://gymvisual.com/2353-catalog_default/squat.jpg",4,500,500)</f>
        <v/>
      </c>
      <c r="B1537" s="30">
        <v>3536.0</v>
      </c>
      <c r="C1537" s="16" t="s">
        <v>75</v>
      </c>
      <c r="D1537" s="16" t="s">
        <v>184</v>
      </c>
      <c r="E1537" s="16" t="s">
        <v>185</v>
      </c>
      <c r="F1537" s="16" t="s">
        <v>255</v>
      </c>
      <c r="G1537" s="16" t="s">
        <v>189</v>
      </c>
      <c r="H1537" s="16" t="s">
        <v>190</v>
      </c>
    </row>
    <row r="1538" ht="24.75" customHeight="1">
      <c r="A1538" s="32" t="str">
        <f>IMAGE("https://gymvisual.com/2342-catalog_default/squat-arms-overhead.jpg",4,500,500)</f>
        <v/>
      </c>
      <c r="B1538" s="30">
        <v>3537.0</v>
      </c>
      <c r="C1538" s="16" t="s">
        <v>4424</v>
      </c>
      <c r="D1538" s="16" t="s">
        <v>184</v>
      </c>
      <c r="E1538" s="16" t="s">
        <v>285</v>
      </c>
      <c r="F1538" s="16" t="s">
        <v>255</v>
      </c>
      <c r="G1538" s="16" t="s">
        <v>189</v>
      </c>
      <c r="H1538" s="16" t="s">
        <v>190</v>
      </c>
    </row>
    <row r="1539" ht="24.75" customHeight="1">
      <c r="A1539" s="32" t="str">
        <f>IMAGE("https://gymvisual.com/4529-catalog_default/squat-male.jpg",4,500,500)</f>
        <v/>
      </c>
      <c r="B1539" s="30">
        <v>3538.0</v>
      </c>
      <c r="C1539" s="16" t="s">
        <v>4425</v>
      </c>
      <c r="D1539" s="16" t="s">
        <v>184</v>
      </c>
      <c r="E1539" s="16" t="s">
        <v>285</v>
      </c>
      <c r="F1539" s="16" t="s">
        <v>255</v>
      </c>
      <c r="G1539" s="16" t="s">
        <v>189</v>
      </c>
      <c r="H1539" s="16" t="s">
        <v>190</v>
      </c>
    </row>
    <row r="1540" ht="24.75" customHeight="1">
      <c r="A1540" s="32" t="str">
        <f>IMAGE("https://gymvisual.com/2345-catalog_default/squat-with-band.jpg",4,500,500)</f>
        <v/>
      </c>
      <c r="B1540" s="30">
        <v>3539.0</v>
      </c>
      <c r="C1540" s="16" t="s">
        <v>4426</v>
      </c>
      <c r="D1540" s="16" t="s">
        <v>184</v>
      </c>
      <c r="E1540" s="16" t="s">
        <v>285</v>
      </c>
      <c r="F1540" s="16" t="s">
        <v>291</v>
      </c>
      <c r="G1540" s="16" t="s">
        <v>189</v>
      </c>
      <c r="H1540" s="16" t="s">
        <v>190</v>
      </c>
    </row>
    <row r="1541" ht="24.75" customHeight="1">
      <c r="A1541" s="32" t="str">
        <f>IMAGE("https://gymvisual.com/10235-catalog_default/squat-back-wrong-right.jpg",4,500,500)</f>
        <v/>
      </c>
      <c r="B1541" s="30">
        <v>3540.0</v>
      </c>
      <c r="C1541" s="16" t="s">
        <v>4427</v>
      </c>
      <c r="D1541" s="16" t="s">
        <v>184</v>
      </c>
      <c r="E1541" s="16" t="s">
        <v>294</v>
      </c>
      <c r="F1541" s="16" t="s">
        <v>255</v>
      </c>
      <c r="G1541" s="16" t="s">
        <v>220</v>
      </c>
      <c r="H1541" s="16" t="s">
        <v>220</v>
      </c>
    </row>
    <row r="1542" ht="24.75" customHeight="1">
      <c r="A1542" s="32" t="str">
        <f>IMAGE("https://gymvisual.com/17581-catalog_default/squat-hold-calf-raise.jpg",4,500,500)</f>
        <v/>
      </c>
      <c r="B1542" s="30">
        <v>3541.0</v>
      </c>
      <c r="C1542" s="16" t="s">
        <v>4428</v>
      </c>
      <c r="D1542" s="16" t="s">
        <v>184</v>
      </c>
      <c r="E1542" s="16" t="s">
        <v>325</v>
      </c>
      <c r="F1542" s="16" t="s">
        <v>255</v>
      </c>
      <c r="G1542" s="16" t="s">
        <v>368</v>
      </c>
      <c r="H1542" s="16" t="s">
        <v>4429</v>
      </c>
    </row>
    <row r="1543" ht="24.75" customHeight="1">
      <c r="A1543" s="32" t="str">
        <f>IMAGE("https://gymvisual.com/2351-catalog_default/squat-jerk.jpg",4,500,500)</f>
        <v/>
      </c>
      <c r="B1543" s="30">
        <v>3542.0</v>
      </c>
      <c r="C1543" s="16" t="s">
        <v>4430</v>
      </c>
      <c r="D1543" s="16" t="s">
        <v>184</v>
      </c>
      <c r="E1543" s="16" t="s">
        <v>285</v>
      </c>
      <c r="F1543" s="16" t="s">
        <v>186</v>
      </c>
      <c r="G1543" s="16" t="s">
        <v>220</v>
      </c>
      <c r="H1543" s="16" t="s">
        <v>220</v>
      </c>
    </row>
    <row r="1544" ht="24.75" customHeight="1">
      <c r="A1544" s="32" t="str">
        <f>IMAGE("https://gymvisual.com/12323-catalog_default/squat-mobility-female.jpg",4,500,500)</f>
        <v/>
      </c>
      <c r="B1544" s="30">
        <v>3543.0</v>
      </c>
      <c r="C1544" s="16" t="s">
        <v>4431</v>
      </c>
      <c r="D1544" s="16" t="s">
        <v>184</v>
      </c>
      <c r="E1544" s="16" t="s">
        <v>285</v>
      </c>
      <c r="F1544" s="16" t="s">
        <v>186</v>
      </c>
      <c r="G1544" s="16" t="s">
        <v>189</v>
      </c>
      <c r="H1544" s="16" t="s">
        <v>2046</v>
      </c>
    </row>
    <row r="1545" ht="24.75" customHeight="1">
      <c r="A1545" s="32" t="str">
        <f>IMAGE("https://gymvisual.com/7367-catalog_default/squat-on-bosu-ball.jpg",4,500,500)</f>
        <v/>
      </c>
      <c r="B1545" s="30">
        <v>3544.0</v>
      </c>
      <c r="C1545" s="16" t="s">
        <v>4432</v>
      </c>
      <c r="D1545" s="16" t="s">
        <v>184</v>
      </c>
      <c r="E1545" s="16" t="s">
        <v>285</v>
      </c>
      <c r="F1545" s="16" t="s">
        <v>316</v>
      </c>
      <c r="G1545" s="16" t="s">
        <v>189</v>
      </c>
      <c r="H1545" s="16" t="s">
        <v>190</v>
      </c>
    </row>
    <row r="1546" ht="24.75" customHeight="1">
      <c r="A1546" s="32" t="str">
        <f>IMAGE("https://gymvisual.com/16016-catalog_default/squat-thrust.jpg",4,500,500)</f>
        <v/>
      </c>
      <c r="B1546" s="30">
        <v>3545.0</v>
      </c>
      <c r="C1546" s="16" t="s">
        <v>4433</v>
      </c>
      <c r="D1546" s="16" t="s">
        <v>184</v>
      </c>
      <c r="E1546" s="16" t="s">
        <v>321</v>
      </c>
      <c r="F1546" s="16" t="s">
        <v>255</v>
      </c>
      <c r="G1546" s="16" t="s">
        <v>220</v>
      </c>
      <c r="H1546" s="16" t="s">
        <v>220</v>
      </c>
    </row>
    <row r="1547" ht="24.75" customHeight="1">
      <c r="A1547" s="32" t="str">
        <f>IMAGE("https://gymvisual.com/23571-catalog_default/squat-tip-toe.jpg",4,500,500)</f>
        <v/>
      </c>
      <c r="B1547" s="30">
        <v>3546.0</v>
      </c>
      <c r="C1547" s="16" t="s">
        <v>4434</v>
      </c>
      <c r="D1547" s="16" t="s">
        <v>184</v>
      </c>
      <c r="E1547" s="16" t="s">
        <v>285</v>
      </c>
      <c r="F1547" s="16" t="s">
        <v>255</v>
      </c>
      <c r="G1547" s="16" t="s">
        <v>295</v>
      </c>
      <c r="H1547" s="16" t="s">
        <v>314</v>
      </c>
    </row>
    <row r="1548" ht="24.75" customHeight="1">
      <c r="A1548" s="32" t="str">
        <f>IMAGE("https://gymvisual.com/12365-catalog_default/squats-knee-position.jpg",4,500,500)</f>
        <v/>
      </c>
      <c r="B1548" s="30">
        <v>3547.0</v>
      </c>
      <c r="C1548" s="16" t="s">
        <v>4435</v>
      </c>
      <c r="D1548" s="16" t="s">
        <v>184</v>
      </c>
      <c r="E1548" s="16" t="s">
        <v>285</v>
      </c>
      <c r="F1548" s="16" t="s">
        <v>255</v>
      </c>
      <c r="G1548" s="16" t="s">
        <v>220</v>
      </c>
      <c r="H1548" s="16" t="s">
        <v>220</v>
      </c>
    </row>
    <row r="1549" ht="24.75" customHeight="1">
      <c r="A1549" s="32" t="str">
        <f>IMAGE("https://gymvisual.com/9758-catalog_default/stability-ball-crunch-full-range-hands-behind-head.jpg",4,500,500)</f>
        <v/>
      </c>
      <c r="B1549" s="30">
        <v>3548.0</v>
      </c>
      <c r="C1549" s="16" t="s">
        <v>4436</v>
      </c>
      <c r="D1549" s="16" t="s">
        <v>184</v>
      </c>
      <c r="E1549" s="16" t="s">
        <v>254</v>
      </c>
      <c r="F1549" s="16" t="s">
        <v>399</v>
      </c>
      <c r="G1549" s="16" t="s">
        <v>256</v>
      </c>
      <c r="H1549" s="16" t="s">
        <v>257</v>
      </c>
    </row>
    <row r="1550" ht="24.75" customHeight="1">
      <c r="A1550" s="32" t="str">
        <f>IMAGE("https://gymvisual.com/7370-catalog_default/stability-ball-front-plank.jpg",4,500,500)</f>
        <v/>
      </c>
      <c r="B1550" s="30">
        <v>3549.0</v>
      </c>
      <c r="C1550" s="16" t="s">
        <v>4437</v>
      </c>
      <c r="D1550" s="16" t="s">
        <v>184</v>
      </c>
      <c r="E1550" s="16" t="s">
        <v>254</v>
      </c>
      <c r="F1550" s="16" t="s">
        <v>399</v>
      </c>
      <c r="G1550" s="16" t="s">
        <v>220</v>
      </c>
      <c r="H1550" s="16" t="s">
        <v>220</v>
      </c>
    </row>
    <row r="1551" ht="24.75" customHeight="1">
      <c r="A1551" s="32" t="str">
        <f>IMAGE("https://gymvisual.com/12750-catalog_default/stability-ball-reverse-hyperextension-off-a-bench-female.jpg",4,500,500)</f>
        <v/>
      </c>
      <c r="B1551" s="30">
        <v>3550.0</v>
      </c>
      <c r="C1551" s="16" t="s">
        <v>4438</v>
      </c>
      <c r="D1551" s="16" t="s">
        <v>184</v>
      </c>
      <c r="E1551" s="16" t="s">
        <v>185</v>
      </c>
      <c r="F1551" s="16" t="s">
        <v>399</v>
      </c>
      <c r="G1551" s="16" t="s">
        <v>267</v>
      </c>
      <c r="H1551" s="16" t="s">
        <v>188</v>
      </c>
    </row>
    <row r="1552" ht="24.75" customHeight="1">
      <c r="A1552" s="32" t="str">
        <f>IMAGE("https://gymvisual.com/9757-catalog_default/stability-ball-rollout-female.jpg",4,500,500)</f>
        <v/>
      </c>
      <c r="B1552" s="30">
        <v>3551.0</v>
      </c>
      <c r="C1552" s="16" t="s">
        <v>4439</v>
      </c>
      <c r="D1552" s="16" t="s">
        <v>184</v>
      </c>
      <c r="E1552" s="16" t="s">
        <v>185</v>
      </c>
      <c r="F1552" s="16" t="s">
        <v>399</v>
      </c>
      <c r="G1552" s="16" t="s">
        <v>305</v>
      </c>
      <c r="H1552" s="16" t="s">
        <v>4440</v>
      </c>
    </row>
    <row r="1553" ht="24.75" customHeight="1">
      <c r="A1553" s="32" t="str">
        <f>IMAGE("https://gymvisual.com/9756-catalog_default/stability-ball-rollout-on-knees-female.jpg",4,500,500)</f>
        <v/>
      </c>
      <c r="B1553" s="30">
        <v>3552.0</v>
      </c>
      <c r="C1553" s="16" t="s">
        <v>4441</v>
      </c>
      <c r="D1553" s="16" t="s">
        <v>184</v>
      </c>
      <c r="E1553" s="16" t="s">
        <v>185</v>
      </c>
      <c r="F1553" s="16" t="s">
        <v>399</v>
      </c>
      <c r="G1553" s="16" t="s">
        <v>305</v>
      </c>
      <c r="H1553" s="16" t="s">
        <v>4442</v>
      </c>
    </row>
    <row r="1554" ht="24.75" customHeight="1">
      <c r="A1554" s="32" t="str">
        <f>IMAGE("https://gymvisual.com/12202-catalog_default/stability-ball-rounded-rollout-female.jpg",4,500,500)</f>
        <v/>
      </c>
      <c r="B1554" s="30">
        <v>3553.0</v>
      </c>
      <c r="C1554" s="16" t="s">
        <v>4443</v>
      </c>
      <c r="D1554" s="16" t="s">
        <v>184</v>
      </c>
      <c r="E1554" s="16" t="s">
        <v>254</v>
      </c>
      <c r="F1554" s="16" t="s">
        <v>399</v>
      </c>
      <c r="G1554" s="16" t="s">
        <v>305</v>
      </c>
      <c r="H1554" s="16" t="s">
        <v>1002</v>
      </c>
    </row>
    <row r="1555" ht="24.75" customHeight="1">
      <c r="A1555" s="32" t="str">
        <f>IMAGE("https://gymvisual.com/7337-catalog_default/stability-ball-single-leg-squat.jpg",4,500,500)</f>
        <v/>
      </c>
      <c r="B1555" s="30">
        <v>3554.0</v>
      </c>
      <c r="C1555" s="16" t="s">
        <v>4444</v>
      </c>
      <c r="D1555" s="16" t="s">
        <v>184</v>
      </c>
      <c r="E1555" s="16" t="s">
        <v>285</v>
      </c>
      <c r="F1555" s="16" t="s">
        <v>399</v>
      </c>
      <c r="G1555" s="16" t="s">
        <v>189</v>
      </c>
      <c r="H1555" s="16" t="s">
        <v>190</v>
      </c>
    </row>
    <row r="1556" ht="24.75" customHeight="1">
      <c r="A1556" s="32" t="str">
        <f>IMAGE("https://gymvisual.com/22436-catalog_default/staggered-leg-side-bridge.jpg",4,500,500)</f>
        <v/>
      </c>
      <c r="B1556" s="30">
        <v>3555.0</v>
      </c>
      <c r="C1556" s="16" t="s">
        <v>4445</v>
      </c>
      <c r="D1556" s="16" t="s">
        <v>184</v>
      </c>
      <c r="E1556" s="16" t="s">
        <v>254</v>
      </c>
      <c r="F1556" s="16" t="s">
        <v>255</v>
      </c>
      <c r="G1556" s="16" t="s">
        <v>220</v>
      </c>
      <c r="H1556" s="16" t="s">
        <v>220</v>
      </c>
    </row>
    <row r="1557" ht="24.75" customHeight="1">
      <c r="A1557" s="32" t="str">
        <f>IMAGE("https://gymvisual.com/12394-catalog_default/stair-up-female.jpg",4,500,500)</f>
        <v/>
      </c>
      <c r="B1557" s="30">
        <v>3556.0</v>
      </c>
      <c r="C1557" s="16" t="s">
        <v>4446</v>
      </c>
      <c r="D1557" s="16" t="s">
        <v>184</v>
      </c>
      <c r="E1557" s="16" t="s">
        <v>285</v>
      </c>
      <c r="F1557" s="16" t="s">
        <v>255</v>
      </c>
      <c r="G1557" s="16" t="s">
        <v>189</v>
      </c>
      <c r="H1557" s="16" t="s">
        <v>190</v>
      </c>
    </row>
    <row r="1558" ht="24.75" customHeight="1">
      <c r="A1558" s="32" t="str">
        <f>IMAGE("https://gymvisual.com/24127-catalog_default/standing-ab-twist-female.jpg",4,500,500)</f>
        <v/>
      </c>
      <c r="B1558" s="30">
        <v>3557.0</v>
      </c>
      <c r="C1558" s="16" t="s">
        <v>4447</v>
      </c>
      <c r="D1558" s="16" t="s">
        <v>184</v>
      </c>
      <c r="E1558" s="16" t="s">
        <v>254</v>
      </c>
      <c r="F1558" s="16" t="s">
        <v>255</v>
      </c>
      <c r="G1558" s="16" t="s">
        <v>220</v>
      </c>
      <c r="H1558" s="16" t="s">
        <v>220</v>
      </c>
    </row>
    <row r="1559" ht="24.75" customHeight="1">
      <c r="A1559" s="32" t="str">
        <f>IMAGE("https://gymvisual.com/21024-catalog_default/standing-ab-twist-male.jpg",4,500,500)</f>
        <v/>
      </c>
      <c r="B1559" s="30">
        <v>3558.0</v>
      </c>
      <c r="C1559" s="16" t="s">
        <v>4448</v>
      </c>
      <c r="D1559" s="16" t="s">
        <v>184</v>
      </c>
      <c r="E1559" s="16" t="s">
        <v>254</v>
      </c>
      <c r="F1559" s="16" t="s">
        <v>255</v>
      </c>
      <c r="G1559" s="16" t="s">
        <v>257</v>
      </c>
      <c r="H1559" s="16" t="s">
        <v>256</v>
      </c>
    </row>
    <row r="1560" ht="24.75" customHeight="1">
      <c r="A1560" s="32" t="str">
        <f>IMAGE("https://gymvisual.com/17709-catalog_default/standing-back-extension-and-flexion.jpg",4,500,500)</f>
        <v/>
      </c>
      <c r="B1560" s="30">
        <v>3559.0</v>
      </c>
      <c r="C1560" s="16" t="s">
        <v>4449</v>
      </c>
      <c r="D1560" s="16" t="s">
        <v>184</v>
      </c>
      <c r="E1560" s="16" t="s">
        <v>185</v>
      </c>
      <c r="F1560" s="16" t="s">
        <v>255</v>
      </c>
      <c r="G1560" s="16" t="s">
        <v>220</v>
      </c>
      <c r="H1560" s="16" t="s">
        <v>220</v>
      </c>
    </row>
    <row r="1561" ht="24.75" customHeight="1">
      <c r="A1561" s="32" t="str">
        <f>IMAGE("https://gymvisual.com/2356-catalog_default/standing-behind-neck-press.jpg",4,500,500)</f>
        <v/>
      </c>
      <c r="B1561" s="30">
        <v>3560.0</v>
      </c>
      <c r="C1561" s="16" t="s">
        <v>4450</v>
      </c>
      <c r="D1561" s="16" t="s">
        <v>184</v>
      </c>
      <c r="E1561" s="16" t="s">
        <v>228</v>
      </c>
      <c r="F1561" s="16" t="s">
        <v>186</v>
      </c>
      <c r="G1561" s="16" t="s">
        <v>229</v>
      </c>
      <c r="H1561" s="16" t="s">
        <v>230</v>
      </c>
    </row>
    <row r="1562" ht="24.75" customHeight="1">
      <c r="A1562" s="32" t="str">
        <f>IMAGE("https://gymvisual.com/23877-catalog_default/standing-bent-knee-figure-8.jpg",4,500,500)</f>
        <v/>
      </c>
      <c r="B1562" s="30">
        <v>3561.0</v>
      </c>
      <c r="C1562" s="16" t="s">
        <v>4451</v>
      </c>
      <c r="D1562" s="16" t="s">
        <v>184</v>
      </c>
      <c r="E1562" s="16" t="s">
        <v>185</v>
      </c>
      <c r="F1562" s="16" t="s">
        <v>255</v>
      </c>
      <c r="G1562" s="16" t="s">
        <v>3609</v>
      </c>
      <c r="H1562" s="16" t="s">
        <v>1202</v>
      </c>
    </row>
    <row r="1563" ht="24.75" customHeight="1">
      <c r="A1563" s="32" t="str">
        <f>IMAGE("https://gymvisual.com/20682-catalog_default/standing-calf-raise-female.jpg",4,500,500)</f>
        <v/>
      </c>
      <c r="B1563" s="30">
        <v>3562.0</v>
      </c>
      <c r="C1563" s="16" t="s">
        <v>4452</v>
      </c>
      <c r="D1563" s="16" t="s">
        <v>184</v>
      </c>
      <c r="E1563" s="16" t="s">
        <v>325</v>
      </c>
      <c r="F1563" s="16" t="s">
        <v>255</v>
      </c>
      <c r="G1563" s="16" t="s">
        <v>368</v>
      </c>
      <c r="H1563" s="16" t="s">
        <v>463</v>
      </c>
    </row>
    <row r="1564" ht="24.75" customHeight="1">
      <c r="A1564" s="32" t="str">
        <f>IMAGE("https://gymvisual.com/6510-catalog_default/standing-calf-raise-on-a-staircase.jpg",4,500,500)</f>
        <v/>
      </c>
      <c r="B1564" s="30">
        <v>3563.0</v>
      </c>
      <c r="C1564" s="16" t="s">
        <v>4453</v>
      </c>
      <c r="D1564" s="16" t="s">
        <v>184</v>
      </c>
      <c r="E1564" s="16" t="s">
        <v>325</v>
      </c>
      <c r="F1564" s="16" t="s">
        <v>255</v>
      </c>
      <c r="G1564" s="16" t="s">
        <v>368</v>
      </c>
      <c r="H1564" s="16" t="s">
        <v>463</v>
      </c>
    </row>
    <row r="1565" ht="24.75" customHeight="1">
      <c r="A1565" s="32" t="str">
        <f>IMAGE("https://gymvisual.com/10305-catalog_default/standing-calf-raise-on-a-staircase-female.jpg",4,500,500)</f>
        <v/>
      </c>
      <c r="B1565" s="30">
        <v>3564.0</v>
      </c>
      <c r="C1565" s="16" t="s">
        <v>4454</v>
      </c>
      <c r="D1565" s="16" t="s">
        <v>184</v>
      </c>
      <c r="E1565" s="16" t="s">
        <v>325</v>
      </c>
      <c r="F1565" s="16" t="s">
        <v>255</v>
      </c>
      <c r="G1565" s="16" t="s">
        <v>552</v>
      </c>
      <c r="H1565" s="16" t="s">
        <v>463</v>
      </c>
    </row>
    <row r="1566" ht="24.75" customHeight="1">
      <c r="A1566" s="32" t="str">
        <f>IMAGE("https://gymvisual.com/22438-catalog_default/standing-calf-raise-circle.jpg",4,500,500)</f>
        <v/>
      </c>
      <c r="B1566" s="30">
        <v>3565.0</v>
      </c>
      <c r="C1566" s="16" t="s">
        <v>4455</v>
      </c>
      <c r="D1566" s="16" t="s">
        <v>184</v>
      </c>
      <c r="E1566" s="16" t="s">
        <v>325</v>
      </c>
      <c r="F1566" s="16" t="s">
        <v>255</v>
      </c>
      <c r="G1566" s="16" t="s">
        <v>220</v>
      </c>
      <c r="H1566" s="16" t="s">
        <v>220</v>
      </c>
    </row>
    <row r="1567" ht="24.75" customHeight="1">
      <c r="A1567" s="32" t="str">
        <f>IMAGE("https://gymvisual.com/12495-catalog_default/standing-calf-raise-with-support-female.jpg",4,500,500)</f>
        <v/>
      </c>
      <c r="B1567" s="30">
        <v>3566.0</v>
      </c>
      <c r="C1567" s="16" t="s">
        <v>4456</v>
      </c>
      <c r="D1567" s="16" t="s">
        <v>184</v>
      </c>
      <c r="E1567" s="16" t="s">
        <v>325</v>
      </c>
      <c r="F1567" s="16" t="s">
        <v>255</v>
      </c>
      <c r="G1567" s="16" t="s">
        <v>368</v>
      </c>
      <c r="H1567" s="16" t="s">
        <v>463</v>
      </c>
    </row>
    <row r="1568" ht="24.75" customHeight="1">
      <c r="A1568" s="32" t="str">
        <f>IMAGE("https://gymvisual.com/6094-catalog_default/standing-gastrocnemius.jpg",4,500,500)</f>
        <v/>
      </c>
      <c r="B1568" s="30">
        <v>3567.0</v>
      </c>
      <c r="C1568" s="16" t="s">
        <v>4457</v>
      </c>
      <c r="D1568" s="16" t="s">
        <v>184</v>
      </c>
      <c r="E1568" s="16"/>
      <c r="F1568" s="16"/>
      <c r="G1568" s="16" t="s">
        <v>561</v>
      </c>
      <c r="H1568" s="16" t="s">
        <v>220</v>
      </c>
    </row>
    <row r="1569" ht="24.75" customHeight="1">
      <c r="A1569" s="32" t="str">
        <f>IMAGE("https://gymvisual.com/20565-catalog_default/standing-hands-position-pronation-supination-neutral.jpg",4,500,500)</f>
        <v/>
      </c>
      <c r="B1569" s="30">
        <v>3568.0</v>
      </c>
      <c r="C1569" s="16" t="s">
        <v>4458</v>
      </c>
      <c r="D1569" s="16" t="s">
        <v>184</v>
      </c>
      <c r="E1569" s="16" t="s">
        <v>214</v>
      </c>
      <c r="F1569" s="16" t="s">
        <v>255</v>
      </c>
      <c r="G1569" s="16" t="s">
        <v>220</v>
      </c>
      <c r="H1569" s="16" t="s">
        <v>220</v>
      </c>
    </row>
    <row r="1570" ht="24.75" customHeight="1">
      <c r="A1570" s="32" t="str">
        <f>IMAGE("https://gymvisual.com/2365-catalog_default/standing-hip-abduction.jpg",4,500,500)</f>
        <v/>
      </c>
      <c r="B1570" s="30">
        <v>3569.0</v>
      </c>
      <c r="C1570" s="16" t="s">
        <v>4459</v>
      </c>
      <c r="D1570" s="16" t="s">
        <v>184</v>
      </c>
      <c r="E1570" s="16" t="s">
        <v>185</v>
      </c>
      <c r="F1570" s="16" t="s">
        <v>255</v>
      </c>
      <c r="G1570" s="16" t="s">
        <v>508</v>
      </c>
      <c r="H1570" s="16" t="s">
        <v>220</v>
      </c>
    </row>
    <row r="1571" ht="24.75" customHeight="1">
      <c r="A1571" s="32" t="str">
        <f>IMAGE("https://gymvisual.com/2362-catalog_default/standing-hip-abduction-bent-knee.jpg",4,500,500)</f>
        <v/>
      </c>
      <c r="B1571" s="30">
        <v>3570.0</v>
      </c>
      <c r="C1571" s="16" t="s">
        <v>4460</v>
      </c>
      <c r="D1571" s="16" t="s">
        <v>184</v>
      </c>
      <c r="E1571" s="16" t="s">
        <v>185</v>
      </c>
      <c r="F1571" s="16" t="s">
        <v>255</v>
      </c>
      <c r="G1571" s="16" t="s">
        <v>508</v>
      </c>
      <c r="H1571" s="16" t="s">
        <v>220</v>
      </c>
    </row>
    <row r="1572" ht="24.75" customHeight="1">
      <c r="A1572" s="32" t="str">
        <f>IMAGE("https://gymvisual.com/23935-catalog_default/standing-hip-adduction-version-2.jpg",4,500,500)</f>
        <v/>
      </c>
      <c r="B1572" s="30">
        <v>3571.0</v>
      </c>
      <c r="C1572" s="16" t="s">
        <v>4461</v>
      </c>
      <c r="D1572" s="16" t="s">
        <v>184</v>
      </c>
      <c r="E1572" s="16" t="s">
        <v>185</v>
      </c>
      <c r="F1572" s="16" t="s">
        <v>255</v>
      </c>
      <c r="G1572" s="16" t="s">
        <v>514</v>
      </c>
      <c r="H1572" s="16" t="s">
        <v>515</v>
      </c>
    </row>
    <row r="1573" ht="24.75" customHeight="1">
      <c r="A1573" s="32" t="str">
        <f>IMAGE("https://gymvisual.com/2368-catalog_default/standing-hip-extension-bent-knee.jpg",4,500,500)</f>
        <v/>
      </c>
      <c r="B1573" s="30">
        <v>3572.0</v>
      </c>
      <c r="C1573" s="16" t="s">
        <v>4462</v>
      </c>
      <c r="D1573" s="16" t="s">
        <v>184</v>
      </c>
      <c r="E1573" s="16" t="s">
        <v>185</v>
      </c>
      <c r="F1573" s="16" t="s">
        <v>255</v>
      </c>
      <c r="G1573" s="16" t="s">
        <v>187</v>
      </c>
      <c r="H1573" s="16" t="s">
        <v>188</v>
      </c>
    </row>
    <row r="1574" ht="24.75" customHeight="1">
      <c r="A1574" s="32" t="str">
        <f>IMAGE("https://gymvisual.com/10902-catalog_default/standing-hip-extension-straight-leg-female.jpg",4,500,500)</f>
        <v/>
      </c>
      <c r="B1574" s="30">
        <v>3573.0</v>
      </c>
      <c r="C1574" s="16" t="s">
        <v>4463</v>
      </c>
      <c r="D1574" s="16" t="s">
        <v>184</v>
      </c>
      <c r="E1574" s="16" t="s">
        <v>185</v>
      </c>
      <c r="F1574" s="16" t="s">
        <v>255</v>
      </c>
      <c r="G1574" s="16" t="s">
        <v>187</v>
      </c>
      <c r="H1574" s="16" t="s">
        <v>188</v>
      </c>
    </row>
    <row r="1575" ht="24.75" customHeight="1">
      <c r="A1575" s="32" t="str">
        <f>IMAGE("https://gymvisual.com/2371-catalog_default/standing-lateral-raise-with-band.jpg",4,500,500)</f>
        <v/>
      </c>
      <c r="B1575" s="30">
        <v>3574.0</v>
      </c>
      <c r="C1575" s="16" t="s">
        <v>4464</v>
      </c>
      <c r="D1575" s="16" t="s">
        <v>184</v>
      </c>
      <c r="E1575" s="16" t="s">
        <v>228</v>
      </c>
      <c r="F1575" s="16" t="s">
        <v>291</v>
      </c>
      <c r="G1575" s="16" t="s">
        <v>229</v>
      </c>
      <c r="H1575" s="16" t="s">
        <v>244</v>
      </c>
    </row>
    <row r="1576" ht="24.75" customHeight="1">
      <c r="A1576" s="32" t="str">
        <f>IMAGE("https://gymvisual.com/19941-catalog_default/standing-leg-circle.jpg",4,500,500)</f>
        <v/>
      </c>
      <c r="B1576" s="30">
        <v>3575.0</v>
      </c>
      <c r="C1576" s="16" t="s">
        <v>4465</v>
      </c>
      <c r="D1576" s="16" t="s">
        <v>184</v>
      </c>
      <c r="E1576" s="16" t="s">
        <v>185</v>
      </c>
      <c r="F1576" s="16" t="s">
        <v>255</v>
      </c>
      <c r="G1576" s="16" t="s">
        <v>2066</v>
      </c>
      <c r="H1576" s="16" t="s">
        <v>220</v>
      </c>
    </row>
    <row r="1577" ht="24.75" customHeight="1">
      <c r="A1577" s="32" t="str">
        <f>IMAGE("https://gymvisual.com/19429-catalog_default/standing-leg-slide-with-towel.jpg",4,500,500)</f>
        <v/>
      </c>
      <c r="B1577" s="30">
        <v>3576.0</v>
      </c>
      <c r="C1577" s="16" t="s">
        <v>4466</v>
      </c>
      <c r="D1577" s="16" t="s">
        <v>184</v>
      </c>
      <c r="E1577" s="16" t="s">
        <v>285</v>
      </c>
      <c r="F1577" s="16" t="s">
        <v>255</v>
      </c>
      <c r="G1577" s="16" t="s">
        <v>220</v>
      </c>
      <c r="H1577" s="16" t="s">
        <v>220</v>
      </c>
    </row>
    <row r="1578" ht="24.75" customHeight="1">
      <c r="A1578" s="32" t="str">
        <f>IMAGE("https://gymvisual.com/4596-catalog_default/standing-plate-presses.jpg",4,500,500)</f>
        <v/>
      </c>
      <c r="B1578" s="30">
        <v>3577.0</v>
      </c>
      <c r="C1578" s="16" t="s">
        <v>4467</v>
      </c>
      <c r="D1578" s="16" t="s">
        <v>184</v>
      </c>
      <c r="E1578" s="16" t="s">
        <v>228</v>
      </c>
      <c r="F1578" s="16" t="s">
        <v>396</v>
      </c>
      <c r="G1578" s="16" t="s">
        <v>229</v>
      </c>
      <c r="H1578" s="16" t="s">
        <v>2400</v>
      </c>
    </row>
    <row r="1579" ht="24.75" customHeight="1">
      <c r="A1579" s="32" t="str">
        <f>IMAGE("https://gymvisual.com/18856-catalog_default/standing-side-bend-bent-arm-male.jpg",4,500,500)</f>
        <v/>
      </c>
      <c r="B1579" s="30">
        <v>3578.0</v>
      </c>
      <c r="C1579" s="16" t="s">
        <v>4468</v>
      </c>
      <c r="D1579" s="16" t="s">
        <v>184</v>
      </c>
      <c r="E1579" s="16" t="s">
        <v>254</v>
      </c>
      <c r="F1579" s="16" t="s">
        <v>255</v>
      </c>
      <c r="G1579" s="16" t="s">
        <v>257</v>
      </c>
      <c r="H1579" s="16" t="s">
        <v>271</v>
      </c>
    </row>
    <row r="1580" ht="24.75" customHeight="1">
      <c r="A1580" s="32" t="str">
        <f>IMAGE("https://gymvisual.com/22728-catalog_default/standing-side-bend-bent-arm-male.jpg",4,500,500)</f>
        <v/>
      </c>
      <c r="B1580" s="30">
        <v>3579.0</v>
      </c>
      <c r="C1580" s="16" t="s">
        <v>4468</v>
      </c>
      <c r="D1580" s="16" t="s">
        <v>184</v>
      </c>
      <c r="E1580" s="16" t="s">
        <v>254</v>
      </c>
      <c r="F1580" s="16" t="s">
        <v>255</v>
      </c>
      <c r="G1580" s="16" t="s">
        <v>257</v>
      </c>
      <c r="H1580" s="16" t="s">
        <v>271</v>
      </c>
    </row>
    <row r="1581" ht="24.75" customHeight="1">
      <c r="A1581" s="32" t="str">
        <f>IMAGE("https://gymvisual.com/23663-catalog_default/standing-side-bend-version-2-female.jpg",4,500,500)</f>
        <v/>
      </c>
      <c r="B1581" s="30">
        <v>3580.0</v>
      </c>
      <c r="C1581" s="16" t="s">
        <v>4469</v>
      </c>
      <c r="D1581" s="16" t="s">
        <v>184</v>
      </c>
      <c r="E1581" s="16" t="s">
        <v>254</v>
      </c>
      <c r="F1581" s="16" t="s">
        <v>255</v>
      </c>
      <c r="G1581" s="16" t="s">
        <v>257</v>
      </c>
      <c r="H1581" s="16" t="s">
        <v>271</v>
      </c>
    </row>
    <row r="1582" ht="24.75" customHeight="1">
      <c r="A1582" s="32" t="str">
        <f>IMAGE("https://gymvisual.com/23573-catalog_default/standing-side-leg-raise.jpg",4,500,500)</f>
        <v/>
      </c>
      <c r="B1582" s="30">
        <v>3581.0</v>
      </c>
      <c r="C1582" s="16" t="s">
        <v>4470</v>
      </c>
      <c r="D1582" s="16" t="s">
        <v>184</v>
      </c>
      <c r="E1582" s="16" t="s">
        <v>185</v>
      </c>
      <c r="F1582" s="16" t="s">
        <v>255</v>
      </c>
      <c r="G1582" s="16" t="s">
        <v>4011</v>
      </c>
      <c r="H1582" s="16" t="s">
        <v>296</v>
      </c>
    </row>
    <row r="1583" ht="24.75" customHeight="1">
      <c r="A1583" s="32" t="str">
        <f>IMAGE("https://gymvisual.com/20090-catalog_default/standing-single-leg-calf-raise-on-a-staircase.jpg",4,500,500)</f>
        <v/>
      </c>
      <c r="B1583" s="30">
        <v>3582.0</v>
      </c>
      <c r="C1583" s="16" t="s">
        <v>4471</v>
      </c>
      <c r="D1583" s="16" t="s">
        <v>184</v>
      </c>
      <c r="E1583" s="16" t="s">
        <v>325</v>
      </c>
      <c r="F1583" s="16" t="s">
        <v>255</v>
      </c>
      <c r="G1583" s="16" t="s">
        <v>368</v>
      </c>
      <c r="H1583" s="16" t="s">
        <v>463</v>
      </c>
    </row>
    <row r="1584" ht="24.75" customHeight="1">
      <c r="A1584" s="32" t="str">
        <f>IMAGE("https://gymvisual.com/22317-catalog_default/standing-single-leg-calf-raise-balance.jpg",4,500,500)</f>
        <v/>
      </c>
      <c r="B1584" s="30">
        <v>3583.0</v>
      </c>
      <c r="C1584" s="16" t="s">
        <v>4472</v>
      </c>
      <c r="D1584" s="16" t="s">
        <v>184</v>
      </c>
      <c r="E1584" s="16" t="s">
        <v>325</v>
      </c>
      <c r="F1584" s="16" t="s">
        <v>255</v>
      </c>
      <c r="G1584" s="16" t="s">
        <v>220</v>
      </c>
      <c r="H1584" s="16" t="s">
        <v>220</v>
      </c>
    </row>
    <row r="1585" ht="24.75" customHeight="1">
      <c r="A1585" s="32" t="str">
        <f>IMAGE("https://gymvisual.com/16038-catalog_default/standing-single-leg-calf-raise-with-support-female.jpg",4,500,500)</f>
        <v/>
      </c>
      <c r="B1585" s="30">
        <v>3584.0</v>
      </c>
      <c r="C1585" s="16" t="s">
        <v>4473</v>
      </c>
      <c r="D1585" s="16" t="s">
        <v>184</v>
      </c>
      <c r="E1585" s="16" t="s">
        <v>325</v>
      </c>
      <c r="F1585" s="16" t="s">
        <v>255</v>
      </c>
      <c r="G1585" s="16" t="s">
        <v>368</v>
      </c>
      <c r="H1585" s="16" t="s">
        <v>463</v>
      </c>
    </row>
    <row r="1586" ht="24.75" customHeight="1">
      <c r="A1586" s="32" t="str">
        <f>IMAGE("https://gymvisual.com/20495-catalog_default/standing-single-leg-curl.jpg",4,500,500)</f>
        <v/>
      </c>
      <c r="B1586" s="30">
        <v>3585.0</v>
      </c>
      <c r="C1586" s="16" t="s">
        <v>4474</v>
      </c>
      <c r="D1586" s="16" t="s">
        <v>184</v>
      </c>
      <c r="E1586" s="16" t="s">
        <v>285</v>
      </c>
      <c r="F1586" s="16" t="s">
        <v>255</v>
      </c>
      <c r="G1586" s="16" t="s">
        <v>188</v>
      </c>
      <c r="H1586" s="16" t="s">
        <v>368</v>
      </c>
    </row>
    <row r="1587" ht="24.75" customHeight="1">
      <c r="A1587" s="32" t="str">
        <f>IMAGE("https://gymvisual.com/22783-catalog_default/standing-single-leg-high-knee-to-butt-kick-with-support.jpg",4,500,500)</f>
        <v/>
      </c>
      <c r="B1587" s="30">
        <v>3586.0</v>
      </c>
      <c r="C1587" s="16" t="s">
        <v>4475</v>
      </c>
      <c r="D1587" s="16" t="s">
        <v>184</v>
      </c>
      <c r="E1587" s="16" t="s">
        <v>185</v>
      </c>
      <c r="F1587" s="16" t="s">
        <v>255</v>
      </c>
      <c r="G1587" s="16" t="s">
        <v>4476</v>
      </c>
      <c r="H1587" s="16" t="s">
        <v>1115</v>
      </c>
    </row>
    <row r="1588" ht="24.75" customHeight="1">
      <c r="A1588" s="32" t="str">
        <f>IMAGE("https://gymvisual.com/2380-catalog_default/standing-wheel-rollout.jpg",4,500,500)</f>
        <v/>
      </c>
      <c r="B1588" s="30">
        <v>3587.0</v>
      </c>
      <c r="C1588" s="16" t="s">
        <v>4477</v>
      </c>
      <c r="D1588" s="16" t="s">
        <v>184</v>
      </c>
      <c r="E1588" s="16" t="s">
        <v>254</v>
      </c>
      <c r="F1588" s="16" t="s">
        <v>4478</v>
      </c>
      <c r="G1588" s="16" t="s">
        <v>305</v>
      </c>
      <c r="H1588" s="16" t="s">
        <v>1005</v>
      </c>
    </row>
    <row r="1589" ht="24.75" customHeight="1">
      <c r="A1589" s="32" t="str">
        <f>IMAGE("https://gymvisual.com/18860-catalog_default/standing-wheel-rollout-female.jpg",4,500,500)</f>
        <v/>
      </c>
      <c r="B1589" s="30">
        <v>3588.0</v>
      </c>
      <c r="C1589" s="16" t="s">
        <v>4479</v>
      </c>
      <c r="D1589" s="16" t="s">
        <v>184</v>
      </c>
      <c r="E1589" s="16" t="s">
        <v>254</v>
      </c>
      <c r="F1589" s="16" t="s">
        <v>255</v>
      </c>
      <c r="G1589" s="16" t="s">
        <v>305</v>
      </c>
      <c r="H1589" s="16" t="s">
        <v>1005</v>
      </c>
    </row>
    <row r="1590" ht="24.75" customHeight="1">
      <c r="A1590" s="32" t="str">
        <f>IMAGE("https://gymvisual.com/12080-catalog_default/starfish-crunch-advanced-female.jpg",4,500,500)</f>
        <v/>
      </c>
      <c r="B1590" s="30">
        <v>3589.0</v>
      </c>
      <c r="C1590" s="16" t="s">
        <v>4480</v>
      </c>
      <c r="D1590" s="16" t="s">
        <v>184</v>
      </c>
      <c r="E1590" s="16" t="s">
        <v>254</v>
      </c>
      <c r="F1590" s="16" t="s">
        <v>255</v>
      </c>
      <c r="G1590" s="16" t="s">
        <v>220</v>
      </c>
      <c r="H1590" s="16" t="s">
        <v>220</v>
      </c>
    </row>
    <row r="1591" ht="24.75" customHeight="1">
      <c r="A1591" s="32" t="str">
        <f>IMAGE("https://gymvisual.com/12079-catalog_default/starfish-crunch-beginner-female.jpg",4,500,500)</f>
        <v/>
      </c>
      <c r="B1591" s="30">
        <v>3590.0</v>
      </c>
      <c r="C1591" s="16" t="s">
        <v>4481</v>
      </c>
      <c r="D1591" s="16" t="s">
        <v>184</v>
      </c>
      <c r="E1591" s="16" t="s">
        <v>254</v>
      </c>
      <c r="F1591" s="16" t="s">
        <v>255</v>
      </c>
      <c r="G1591" s="16" t="s">
        <v>263</v>
      </c>
      <c r="H1591" s="16" t="s">
        <v>4482</v>
      </c>
    </row>
    <row r="1592" ht="24.75" customHeight="1">
      <c r="A1592" s="32" t="str">
        <f>IMAGE("https://gymvisual.com/17701-catalog_default/starfish-crunch-beginner-male.jpg",4,500,500)</f>
        <v/>
      </c>
      <c r="B1592" s="30">
        <v>3591.0</v>
      </c>
      <c r="C1592" s="16" t="s">
        <v>4483</v>
      </c>
      <c r="D1592" s="16" t="s">
        <v>184</v>
      </c>
      <c r="E1592" s="16" t="s">
        <v>254</v>
      </c>
      <c r="F1592" s="16" t="s">
        <v>255</v>
      </c>
      <c r="G1592" s="16" t="s">
        <v>263</v>
      </c>
      <c r="H1592" s="16" t="s">
        <v>4484</v>
      </c>
    </row>
    <row r="1593" ht="24.75" customHeight="1">
      <c r="A1593" s="32" t="str">
        <f>IMAGE("https://gymvisual.com/22730-catalog_default/static-lunge.jpg",4,500,500)</f>
        <v/>
      </c>
      <c r="B1593" s="30">
        <v>3592.0</v>
      </c>
      <c r="C1593" s="16" t="s">
        <v>4485</v>
      </c>
      <c r="D1593" s="16" t="s">
        <v>184</v>
      </c>
      <c r="E1593" s="16" t="s">
        <v>285</v>
      </c>
      <c r="F1593" s="16" t="s">
        <v>255</v>
      </c>
      <c r="G1593" s="16" t="s">
        <v>189</v>
      </c>
      <c r="H1593" s="16" t="s">
        <v>4486</v>
      </c>
    </row>
    <row r="1594" ht="24.75" customHeight="1">
      <c r="A1594" s="32" t="str">
        <f>IMAGE("https://gymvisual.com/23683-catalog_default/stationary-arms-throw.jpg",4,500,500)</f>
        <v/>
      </c>
      <c r="B1594" s="30">
        <v>3593.0</v>
      </c>
      <c r="C1594" s="16" t="s">
        <v>4487</v>
      </c>
      <c r="D1594" s="16" t="s">
        <v>184</v>
      </c>
      <c r="E1594" s="16" t="s">
        <v>192</v>
      </c>
      <c r="F1594" s="16" t="s">
        <v>255</v>
      </c>
      <c r="G1594" s="16" t="s">
        <v>300</v>
      </c>
      <c r="H1594" s="16" t="s">
        <v>4309</v>
      </c>
    </row>
    <row r="1595" ht="24.75" customHeight="1">
      <c r="A1595" s="32" t="str">
        <f>IMAGE("https://gymvisual.com/18919-catalog_default/step-up.jpg",4,500,500)</f>
        <v/>
      </c>
      <c r="B1595" s="30">
        <v>3594.0</v>
      </c>
      <c r="C1595" s="16" t="s">
        <v>4488</v>
      </c>
      <c r="D1595" s="16" t="s">
        <v>184</v>
      </c>
      <c r="E1595" s="16" t="s">
        <v>185</v>
      </c>
      <c r="F1595" s="16" t="s">
        <v>255</v>
      </c>
      <c r="G1595" s="16" t="s">
        <v>189</v>
      </c>
      <c r="H1595" s="16" t="s">
        <v>2046</v>
      </c>
    </row>
    <row r="1596" ht="24.75" customHeight="1">
      <c r="A1596" s="32" t="str">
        <f>IMAGE("https://gymvisual.com/13910-catalog_default/step-up-on-chair.jpg",4,500,500)</f>
        <v/>
      </c>
      <c r="B1596" s="30">
        <v>3595.0</v>
      </c>
      <c r="C1596" s="16" t="s">
        <v>4489</v>
      </c>
      <c r="D1596" s="16" t="s">
        <v>184</v>
      </c>
      <c r="E1596" s="16"/>
      <c r="F1596" s="16"/>
      <c r="G1596" s="16" t="s">
        <v>189</v>
      </c>
      <c r="H1596" s="16" t="s">
        <v>2046</v>
      </c>
    </row>
    <row r="1597" ht="24.75" customHeight="1">
      <c r="A1597" s="32" t="str">
        <f>IMAGE("https://gymvisual.com/18726-catalog_default/stepdown-squat.jpg",4,500,500)</f>
        <v/>
      </c>
      <c r="B1597" s="30">
        <v>3596.0</v>
      </c>
      <c r="C1597" s="16" t="s">
        <v>4490</v>
      </c>
      <c r="D1597" s="16" t="s">
        <v>184</v>
      </c>
      <c r="E1597" s="16" t="s">
        <v>285</v>
      </c>
      <c r="F1597" s="16" t="s">
        <v>255</v>
      </c>
      <c r="G1597" s="16" t="s">
        <v>220</v>
      </c>
      <c r="H1597" s="16" t="s">
        <v>220</v>
      </c>
    </row>
    <row r="1598" ht="24.75" customHeight="1">
      <c r="A1598" s="32" t="str">
        <f>IMAGE("https://gymvisual.com/22365-catalog_default/straight-leg-dead-bug.jpg",4,500,500)</f>
        <v/>
      </c>
      <c r="B1598" s="30">
        <v>3597.0</v>
      </c>
      <c r="C1598" s="16" t="s">
        <v>4491</v>
      </c>
      <c r="D1598" s="16" t="s">
        <v>184</v>
      </c>
      <c r="E1598" s="16" t="s">
        <v>254</v>
      </c>
      <c r="F1598" s="16" t="s">
        <v>255</v>
      </c>
      <c r="G1598" s="16" t="s">
        <v>220</v>
      </c>
      <c r="H1598" s="16" t="s">
        <v>220</v>
      </c>
    </row>
    <row r="1599" ht="24.75" customHeight="1">
      <c r="A1599" s="32" t="str">
        <f>IMAGE("https://gymvisual.com/18724-catalog_default/straight-leg-hip-bridge.jpg",4,500,500)</f>
        <v/>
      </c>
      <c r="B1599" s="30">
        <v>3598.0</v>
      </c>
      <c r="C1599" s="16" t="s">
        <v>4492</v>
      </c>
      <c r="D1599" s="16" t="s">
        <v>184</v>
      </c>
      <c r="E1599" s="16" t="s">
        <v>185</v>
      </c>
      <c r="F1599" s="16" t="s">
        <v>255</v>
      </c>
      <c r="G1599" s="16" t="s">
        <v>220</v>
      </c>
      <c r="H1599" s="16" t="s">
        <v>220</v>
      </c>
    </row>
    <row r="1600" ht="24.75" customHeight="1">
      <c r="A1600" s="32" t="str">
        <f>IMAGE("https://gymvisual.com/6421-catalog_default/straight-leg-kickback-kneeling.jpg",4,500,500)</f>
        <v/>
      </c>
      <c r="B1600" s="30">
        <v>3599.0</v>
      </c>
      <c r="C1600" s="16" t="s">
        <v>4493</v>
      </c>
      <c r="D1600" s="16" t="s">
        <v>184</v>
      </c>
      <c r="E1600" s="16" t="s">
        <v>185</v>
      </c>
      <c r="F1600" s="16" t="s">
        <v>255</v>
      </c>
      <c r="G1600" s="16" t="s">
        <v>187</v>
      </c>
      <c r="H1600" s="16" t="s">
        <v>188</v>
      </c>
    </row>
    <row r="1601" ht="24.75" customHeight="1">
      <c r="A1601" s="32" t="str">
        <f>IMAGE("https://gymvisual.com/13497-catalog_default/straight-leg-kickback-kneeling-male.jpg",4,500,500)</f>
        <v/>
      </c>
      <c r="B1601" s="30">
        <v>3600.0</v>
      </c>
      <c r="C1601" s="16" t="s">
        <v>4494</v>
      </c>
      <c r="D1601" s="16" t="s">
        <v>184</v>
      </c>
      <c r="E1601" s="16" t="s">
        <v>185</v>
      </c>
      <c r="F1601" s="16" t="s">
        <v>255</v>
      </c>
      <c r="G1601" s="16" t="s">
        <v>187</v>
      </c>
      <c r="H1601" s="16" t="s">
        <v>188</v>
      </c>
    </row>
    <row r="1602" ht="24.75" customHeight="1">
      <c r="A1602" s="32" t="str">
        <f>IMAGE("https://gymvisual.com/6279-catalog_default/straight-leg-outer-hip-abductor.jpg",4,500,500)</f>
        <v/>
      </c>
      <c r="B1602" s="30">
        <v>3601.0</v>
      </c>
      <c r="C1602" s="16" t="s">
        <v>4495</v>
      </c>
      <c r="D1602" s="16" t="s">
        <v>184</v>
      </c>
      <c r="E1602" s="16" t="s">
        <v>185</v>
      </c>
      <c r="F1602" s="16" t="s">
        <v>255</v>
      </c>
      <c r="G1602" s="16" t="s">
        <v>508</v>
      </c>
      <c r="H1602" s="16" t="s">
        <v>220</v>
      </c>
    </row>
    <row r="1603" ht="24.75" customHeight="1">
      <c r="A1603" s="32" t="str">
        <f>IMAGE("https://gymvisual.com/22734-catalog_default/straight-leg-sit-up.jpg",4,500,500)</f>
        <v/>
      </c>
      <c r="B1603" s="30">
        <v>3602.0</v>
      </c>
      <c r="C1603" s="16" t="s">
        <v>4496</v>
      </c>
      <c r="D1603" s="16" t="s">
        <v>184</v>
      </c>
      <c r="E1603" s="16" t="s">
        <v>254</v>
      </c>
      <c r="F1603" s="16" t="s">
        <v>255</v>
      </c>
      <c r="G1603" s="16" t="s">
        <v>305</v>
      </c>
      <c r="H1603" s="16" t="s">
        <v>600</v>
      </c>
    </row>
    <row r="1604" ht="24.75" customHeight="1">
      <c r="A1604" s="32" t="str">
        <f>IMAGE("https://gymvisual.com/22833-catalog_default/straight-leg-sit-up-female.jpg",4,500,500)</f>
        <v/>
      </c>
      <c r="B1604" s="30">
        <v>3603.0</v>
      </c>
      <c r="C1604" s="16" t="s">
        <v>4497</v>
      </c>
      <c r="D1604" s="16" t="s">
        <v>184</v>
      </c>
      <c r="E1604" s="16" t="s">
        <v>254</v>
      </c>
      <c r="F1604" s="16" t="s">
        <v>255</v>
      </c>
      <c r="G1604" s="16" t="s">
        <v>305</v>
      </c>
      <c r="H1604" s="16" t="s">
        <v>319</v>
      </c>
    </row>
    <row r="1605" ht="24.75" customHeight="1">
      <c r="A1605" s="32" t="str">
        <f>IMAGE("https://gymvisual.com/10888-catalog_default/strongman-apollons-axle.jpg",4,500,500)</f>
        <v/>
      </c>
      <c r="B1605" s="30">
        <v>3604.0</v>
      </c>
      <c r="C1605" s="16" t="s">
        <v>4498</v>
      </c>
      <c r="D1605" s="16" t="s">
        <v>184</v>
      </c>
      <c r="E1605" s="16"/>
      <c r="F1605" s="16"/>
      <c r="G1605" s="16" t="s">
        <v>220</v>
      </c>
      <c r="H1605" s="16" t="s">
        <v>220</v>
      </c>
    </row>
    <row r="1606" ht="24.75" customHeight="1">
      <c r="A1606" s="32" t="str">
        <f>IMAGE("https://gymvisual.com/10816-catalog_default/strongman-arm-over-arm.jpg",4,500,500)</f>
        <v/>
      </c>
      <c r="B1606" s="30">
        <v>3605.0</v>
      </c>
      <c r="C1606" s="16" t="s">
        <v>4499</v>
      </c>
      <c r="D1606" s="16" t="s">
        <v>184</v>
      </c>
      <c r="E1606" s="16" t="s">
        <v>764</v>
      </c>
      <c r="F1606" s="16" t="s">
        <v>255</v>
      </c>
      <c r="G1606" s="16" t="s">
        <v>220</v>
      </c>
      <c r="H1606" s="16" t="s">
        <v>220</v>
      </c>
    </row>
    <row r="1607" ht="24.75" customHeight="1">
      <c r="A1607" s="32" t="str">
        <f>IMAGE("https://gymvisual.com/10861-catalog_default/strongman-atlas-stones.jpg",4,500,500)</f>
        <v/>
      </c>
      <c r="B1607" s="30">
        <v>3606.0</v>
      </c>
      <c r="C1607" s="16" t="s">
        <v>4500</v>
      </c>
      <c r="D1607" s="16" t="s">
        <v>184</v>
      </c>
      <c r="E1607" s="16" t="s">
        <v>645</v>
      </c>
      <c r="F1607" s="16" t="s">
        <v>396</v>
      </c>
      <c r="G1607" s="16" t="s">
        <v>220</v>
      </c>
      <c r="H1607" s="16" t="s">
        <v>220</v>
      </c>
    </row>
    <row r="1608" ht="24.75" customHeight="1">
      <c r="A1608" s="32" t="str">
        <f>IMAGE("https://gymvisual.com/10891-catalog_default/strongman-barbell-farmers-walk.jpg",4,500,500)</f>
        <v/>
      </c>
      <c r="B1608" s="30">
        <v>3607.0</v>
      </c>
      <c r="C1608" s="16" t="s">
        <v>4501</v>
      </c>
      <c r="D1608" s="16" t="s">
        <v>184</v>
      </c>
      <c r="E1608" s="16" t="s">
        <v>285</v>
      </c>
      <c r="F1608" s="16" t="s">
        <v>186</v>
      </c>
      <c r="G1608" s="16" t="s">
        <v>220</v>
      </c>
      <c r="H1608" s="16" t="s">
        <v>220</v>
      </c>
    </row>
    <row r="1609" ht="24.75" customHeight="1">
      <c r="A1609" s="32" t="str">
        <f>IMAGE("https://gymvisual.com/13563-catalog_default/strongman-car-flip.jpg",4,500,500)</f>
        <v/>
      </c>
      <c r="B1609" s="30">
        <v>3608.0</v>
      </c>
      <c r="C1609" s="16" t="s">
        <v>4502</v>
      </c>
      <c r="D1609" s="16" t="s">
        <v>184</v>
      </c>
      <c r="E1609" s="16" t="s">
        <v>4503</v>
      </c>
      <c r="F1609" s="16" t="s">
        <v>396</v>
      </c>
      <c r="G1609" s="16" t="s">
        <v>220</v>
      </c>
      <c r="H1609" s="16" t="s">
        <v>220</v>
      </c>
    </row>
    <row r="1610" ht="24.75" customHeight="1">
      <c r="A1610" s="32" t="str">
        <f>IMAGE("https://gymvisual.com/10837-catalog_default/strongman-circle-of-conan.jpg",4,500,500)</f>
        <v/>
      </c>
      <c r="B1610" s="30">
        <v>3609.0</v>
      </c>
      <c r="C1610" s="16" t="s">
        <v>4504</v>
      </c>
      <c r="D1610" s="16" t="s">
        <v>184</v>
      </c>
      <c r="E1610" s="16" t="s">
        <v>285</v>
      </c>
      <c r="F1610" s="16" t="s">
        <v>396</v>
      </c>
      <c r="G1610" s="16" t="s">
        <v>220</v>
      </c>
      <c r="H1610" s="16" t="s">
        <v>220</v>
      </c>
    </row>
    <row r="1611" ht="24.75" customHeight="1">
      <c r="A1611" s="32" t="str">
        <f>IMAGE("https://gymvisual.com/10840-catalog_default/strongman-crucifix-hold.jpg",4,500,500)</f>
        <v/>
      </c>
      <c r="B1611" s="30">
        <v>3610.0</v>
      </c>
      <c r="C1611" s="16" t="s">
        <v>4505</v>
      </c>
      <c r="D1611" s="16" t="s">
        <v>184</v>
      </c>
      <c r="E1611" s="16" t="s">
        <v>228</v>
      </c>
      <c r="F1611" s="16" t="s">
        <v>396</v>
      </c>
      <c r="G1611" s="16" t="s">
        <v>220</v>
      </c>
      <c r="H1611" s="16" t="s">
        <v>220</v>
      </c>
    </row>
    <row r="1612" ht="24.75" customHeight="1">
      <c r="A1612" s="32" t="str">
        <f>IMAGE("https://gymvisual.com/10876-catalog_default/strongman-deadlift.jpg",4,500,500)</f>
        <v/>
      </c>
      <c r="B1612" s="30">
        <v>3611.0</v>
      </c>
      <c r="C1612" s="16" t="s">
        <v>4506</v>
      </c>
      <c r="D1612" s="16" t="s">
        <v>184</v>
      </c>
      <c r="E1612" s="16" t="s">
        <v>294</v>
      </c>
      <c r="F1612" s="16" t="s">
        <v>186</v>
      </c>
      <c r="G1612" s="16" t="s">
        <v>220</v>
      </c>
      <c r="H1612" s="16" t="s">
        <v>220</v>
      </c>
    </row>
    <row r="1613" ht="24.75" customHeight="1">
      <c r="A1613" s="32" t="str">
        <f>IMAGE("https://gymvisual.com/10822-catalog_default/strongman-duck-walk.jpg",4,500,500)</f>
        <v/>
      </c>
      <c r="B1613" s="30">
        <v>3612.0</v>
      </c>
      <c r="C1613" s="16" t="s">
        <v>4507</v>
      </c>
      <c r="D1613" s="16" t="s">
        <v>184</v>
      </c>
      <c r="E1613" s="16" t="s">
        <v>285</v>
      </c>
      <c r="F1613" s="16" t="s">
        <v>396</v>
      </c>
      <c r="G1613" s="16" t="s">
        <v>220</v>
      </c>
      <c r="H1613" s="16" t="s">
        <v>220</v>
      </c>
    </row>
    <row r="1614" ht="24.75" customHeight="1">
      <c r="A1614" s="32" t="str">
        <f>IMAGE("https://gymvisual.com/10885-catalog_default/strongman-dumbbell-one-arm-clean-and-jerk.jpg",4,500,500)</f>
        <v/>
      </c>
      <c r="B1614" s="30">
        <v>3613.0</v>
      </c>
      <c r="C1614" s="16" t="s">
        <v>4508</v>
      </c>
      <c r="D1614" s="16" t="s">
        <v>184</v>
      </c>
      <c r="E1614" s="16" t="s">
        <v>691</v>
      </c>
      <c r="F1614" s="16" t="s">
        <v>222</v>
      </c>
      <c r="G1614" s="16" t="s">
        <v>220</v>
      </c>
      <c r="H1614" s="16" t="s">
        <v>220</v>
      </c>
    </row>
    <row r="1615" ht="24.75" customHeight="1">
      <c r="A1615" s="32" t="str">
        <f>IMAGE("https://gymvisual.com/13549-catalog_default/strongman-fingals-fingers.jpg",4,500,500)</f>
        <v/>
      </c>
      <c r="B1615" s="30">
        <v>3614.0</v>
      </c>
      <c r="C1615" s="16" t="s">
        <v>4509</v>
      </c>
      <c r="D1615" s="16" t="s">
        <v>184</v>
      </c>
      <c r="E1615" s="16" t="s">
        <v>1172</v>
      </c>
      <c r="F1615" s="16" t="s">
        <v>396</v>
      </c>
      <c r="G1615" s="16" t="s">
        <v>220</v>
      </c>
      <c r="H1615" s="16" t="s">
        <v>220</v>
      </c>
    </row>
    <row r="1616" ht="24.75" customHeight="1">
      <c r="A1616" s="32" t="str">
        <f>IMAGE("https://gymvisual.com/10873-catalog_default/strongman-front-chest-squat.jpg",4,500,500)</f>
        <v/>
      </c>
      <c r="B1616" s="30">
        <v>3615.0</v>
      </c>
      <c r="C1616" s="16" t="s">
        <v>4510</v>
      </c>
      <c r="D1616" s="16" t="s">
        <v>184</v>
      </c>
      <c r="E1616" s="16" t="s">
        <v>294</v>
      </c>
      <c r="F1616" s="16" t="s">
        <v>186</v>
      </c>
      <c r="G1616" s="16" t="s">
        <v>220</v>
      </c>
      <c r="H1616" s="16" t="s">
        <v>220</v>
      </c>
    </row>
    <row r="1617" ht="24.75" customHeight="1">
      <c r="A1617" s="32" t="str">
        <f>IMAGE("https://gymvisual.com/10843-catalog_default/strongman-front-hold.jpg",4,500,500)</f>
        <v/>
      </c>
      <c r="B1617" s="30">
        <v>3616.0</v>
      </c>
      <c r="C1617" s="16" t="s">
        <v>4511</v>
      </c>
      <c r="D1617" s="16" t="s">
        <v>184</v>
      </c>
      <c r="E1617" s="16" t="s">
        <v>228</v>
      </c>
      <c r="F1617" s="16" t="s">
        <v>396</v>
      </c>
      <c r="G1617" s="16" t="s">
        <v>220</v>
      </c>
      <c r="H1617" s="16" t="s">
        <v>220</v>
      </c>
    </row>
    <row r="1618" ht="24.75" customHeight="1">
      <c r="A1618" s="32" t="str">
        <f>IMAGE("https://gymvisual.com/10867-catalog_default/strongman-hercules-hold.jpg",4,500,500)</f>
        <v/>
      </c>
      <c r="B1618" s="30">
        <v>3617.0</v>
      </c>
      <c r="C1618" s="16" t="s">
        <v>4512</v>
      </c>
      <c r="D1618" s="16" t="s">
        <v>184</v>
      </c>
      <c r="E1618" s="16" t="s">
        <v>4513</v>
      </c>
      <c r="F1618" s="16" t="s">
        <v>396</v>
      </c>
      <c r="G1618" s="16" t="s">
        <v>220</v>
      </c>
      <c r="H1618" s="16" t="s">
        <v>220</v>
      </c>
    </row>
    <row r="1619" ht="24.75" customHeight="1">
      <c r="A1619" s="32" t="str">
        <f>IMAGE("https://gymvisual.com/10855-catalog_default/strongman-hood-stones.jpg",4,500,500)</f>
        <v/>
      </c>
      <c r="B1619" s="30">
        <v>3618.0</v>
      </c>
      <c r="C1619" s="16" t="s">
        <v>4514</v>
      </c>
      <c r="D1619" s="16" t="s">
        <v>184</v>
      </c>
      <c r="E1619" s="16" t="s">
        <v>4515</v>
      </c>
      <c r="F1619" s="16" t="s">
        <v>396</v>
      </c>
      <c r="G1619" s="16" t="s">
        <v>220</v>
      </c>
      <c r="H1619" s="16" t="s">
        <v>220</v>
      </c>
    </row>
    <row r="1620" ht="24.75" customHeight="1">
      <c r="A1620" s="32" t="str">
        <f>IMAGE("https://gymvisual.com/10831-catalog_default/strongman-iceland-cross.jpg",4,500,500)</f>
        <v/>
      </c>
      <c r="B1620" s="30">
        <v>3619.0</v>
      </c>
      <c r="C1620" s="16" t="s">
        <v>4516</v>
      </c>
      <c r="D1620" s="16" t="s">
        <v>184</v>
      </c>
      <c r="E1620" s="16" t="s">
        <v>285</v>
      </c>
      <c r="F1620" s="16" t="s">
        <v>396</v>
      </c>
      <c r="G1620" s="16" t="s">
        <v>220</v>
      </c>
      <c r="H1620" s="16" t="s">
        <v>220</v>
      </c>
    </row>
    <row r="1621" ht="24.75" customHeight="1">
      <c r="A1621" s="32" t="str">
        <f>IMAGE("https://gymvisual.com/10828-catalog_default/strongman-iron-block-press.jpg",4,500,500)</f>
        <v/>
      </c>
      <c r="B1621" s="30">
        <v>3620.0</v>
      </c>
      <c r="C1621" s="16" t="s">
        <v>4517</v>
      </c>
      <c r="D1621" s="16" t="s">
        <v>184</v>
      </c>
      <c r="E1621" s="16" t="s">
        <v>228</v>
      </c>
      <c r="F1621" s="16" t="s">
        <v>396</v>
      </c>
      <c r="G1621" s="16" t="s">
        <v>220</v>
      </c>
      <c r="H1621" s="16" t="s">
        <v>220</v>
      </c>
    </row>
    <row r="1622" ht="24.75" customHeight="1">
      <c r="A1622" s="32" t="str">
        <f>IMAGE("https://gymvisual.com/13551-catalog_default/strongman-keg-toss.jpg",4,500,500)</f>
        <v/>
      </c>
      <c r="B1622" s="30">
        <v>3621.0</v>
      </c>
      <c r="C1622" s="16" t="s">
        <v>4518</v>
      </c>
      <c r="D1622" s="16" t="s">
        <v>184</v>
      </c>
      <c r="E1622" s="16" t="s">
        <v>4519</v>
      </c>
      <c r="F1622" s="16" t="s">
        <v>396</v>
      </c>
      <c r="G1622" s="16" t="s">
        <v>220</v>
      </c>
      <c r="H1622" s="16" t="s">
        <v>220</v>
      </c>
    </row>
    <row r="1623" ht="24.75" customHeight="1">
      <c r="A1623" s="32" t="str">
        <f>IMAGE("https://gymvisual.com/10852-catalog_default/strongman-loading.jpg",4,500,500)</f>
        <v/>
      </c>
      <c r="B1623" s="30">
        <v>3622.0</v>
      </c>
      <c r="C1623" s="16" t="s">
        <v>4520</v>
      </c>
      <c r="D1623" s="16" t="s">
        <v>184</v>
      </c>
      <c r="E1623" s="16" t="s">
        <v>484</v>
      </c>
      <c r="F1623" s="16" t="s">
        <v>396</v>
      </c>
      <c r="G1623" s="16" t="s">
        <v>220</v>
      </c>
      <c r="H1623" s="16" t="s">
        <v>220</v>
      </c>
    </row>
    <row r="1624" ht="24.75" customHeight="1">
      <c r="A1624" s="32" t="str">
        <f>IMAGE("https://gymvisual.com/10810-catalog_default/strongman-log-lift.jpg",4,500,500)</f>
        <v/>
      </c>
      <c r="B1624" s="30">
        <v>3623.0</v>
      </c>
      <c r="C1624" s="16" t="s">
        <v>4521</v>
      </c>
      <c r="D1624" s="16" t="s">
        <v>184</v>
      </c>
      <c r="E1624" s="16" t="s">
        <v>764</v>
      </c>
      <c r="F1624" s="16" t="s">
        <v>255</v>
      </c>
      <c r="G1624" s="16" t="s">
        <v>220</v>
      </c>
      <c r="H1624" s="16" t="s">
        <v>220</v>
      </c>
    </row>
    <row r="1625" ht="24.75" customHeight="1">
      <c r="A1625" s="32" t="str">
        <f>IMAGE("https://gymvisual.com/10813-catalog_default/strongman-mas-wrestling.jpg",4,500,500)</f>
        <v/>
      </c>
      <c r="B1625" s="30">
        <v>3624.0</v>
      </c>
      <c r="C1625" s="16" t="s">
        <v>4522</v>
      </c>
      <c r="D1625" s="16" t="s">
        <v>184</v>
      </c>
      <c r="E1625" s="16" t="s">
        <v>764</v>
      </c>
      <c r="F1625" s="16" t="s">
        <v>255</v>
      </c>
      <c r="G1625" s="16" t="s">
        <v>220</v>
      </c>
      <c r="H1625" s="16" t="s">
        <v>220</v>
      </c>
    </row>
    <row r="1626" ht="24.75" customHeight="1">
      <c r="A1626" s="32" t="str">
        <f>IMAGE("https://gymvisual.com/10864-catalog_default/strongman-power-stairs.jpg",4,500,500)</f>
        <v/>
      </c>
      <c r="B1626" s="30">
        <v>3625.0</v>
      </c>
      <c r="C1626" s="16" t="s">
        <v>4523</v>
      </c>
      <c r="D1626" s="16" t="s">
        <v>184</v>
      </c>
      <c r="E1626" s="16" t="s">
        <v>294</v>
      </c>
      <c r="F1626" s="16" t="s">
        <v>396</v>
      </c>
      <c r="G1626" s="16" t="s">
        <v>220</v>
      </c>
      <c r="H1626" s="16" t="s">
        <v>220</v>
      </c>
    </row>
    <row r="1627" ht="24.75" customHeight="1">
      <c r="A1627" s="32" t="str">
        <f>IMAGE("https://gymvisual.com/10825-catalog_default/strongman-sandbag-walk.jpg",4,500,500)</f>
        <v/>
      </c>
      <c r="B1627" s="30">
        <v>3626.0</v>
      </c>
      <c r="C1627" s="16" t="s">
        <v>4524</v>
      </c>
      <c r="D1627" s="16" t="s">
        <v>184</v>
      </c>
      <c r="E1627" s="16" t="s">
        <v>285</v>
      </c>
      <c r="F1627" s="16" t="s">
        <v>396</v>
      </c>
      <c r="G1627" s="16" t="s">
        <v>220</v>
      </c>
      <c r="H1627" s="16" t="s">
        <v>220</v>
      </c>
    </row>
    <row r="1628" ht="24.75" customHeight="1">
      <c r="A1628" s="32" t="str">
        <f>IMAGE("https://gymvisual.com/10870-catalog_default/strongman-shield-carry.jpg",4,500,500)</f>
        <v/>
      </c>
      <c r="B1628" s="30">
        <v>3627.0</v>
      </c>
      <c r="C1628" s="16" t="s">
        <v>4525</v>
      </c>
      <c r="D1628" s="16" t="s">
        <v>184</v>
      </c>
      <c r="E1628" s="16" t="s">
        <v>285</v>
      </c>
      <c r="F1628" s="16" t="s">
        <v>396</v>
      </c>
      <c r="G1628" s="16" t="s">
        <v>220</v>
      </c>
      <c r="H1628" s="16" t="s">
        <v>220</v>
      </c>
    </row>
    <row r="1629" ht="24.75" customHeight="1">
      <c r="A1629" s="32" t="str">
        <f>IMAGE("https://gymvisual.com/10849-catalog_default/strongman-squats-with-platform.jpg",4,500,500)</f>
        <v/>
      </c>
      <c r="B1629" s="30">
        <v>3628.0</v>
      </c>
      <c r="C1629" s="16" t="s">
        <v>4526</v>
      </c>
      <c r="D1629" s="16" t="s">
        <v>184</v>
      </c>
      <c r="E1629" s="16" t="s">
        <v>294</v>
      </c>
      <c r="F1629" s="16" t="s">
        <v>396</v>
      </c>
      <c r="G1629" s="16" t="s">
        <v>220</v>
      </c>
      <c r="H1629" s="16" t="s">
        <v>220</v>
      </c>
    </row>
    <row r="1630" ht="24.75" customHeight="1">
      <c r="A1630" s="32" t="str">
        <f>IMAGE("https://gymvisual.com/10834-catalog_default/strongman-timber-carry.jpg",4,500,500)</f>
        <v/>
      </c>
      <c r="B1630" s="30">
        <v>3629.0</v>
      </c>
      <c r="C1630" s="16" t="s">
        <v>4527</v>
      </c>
      <c r="D1630" s="16" t="s">
        <v>184</v>
      </c>
      <c r="E1630" s="16" t="s">
        <v>285</v>
      </c>
      <c r="F1630" s="16" t="s">
        <v>396</v>
      </c>
      <c r="G1630" s="16" t="s">
        <v>220</v>
      </c>
      <c r="H1630" s="16" t="s">
        <v>220</v>
      </c>
    </row>
    <row r="1631" ht="24.75" customHeight="1">
      <c r="A1631" s="32" t="str">
        <f>IMAGE("https://gymvisual.com/10879-catalog_default/strongman-tire-flip.jpg",4,500,500)</f>
        <v/>
      </c>
      <c r="B1631" s="30">
        <v>3630.0</v>
      </c>
      <c r="C1631" s="16" t="s">
        <v>4528</v>
      </c>
      <c r="D1631" s="16" t="s">
        <v>184</v>
      </c>
      <c r="E1631" s="16" t="s">
        <v>764</v>
      </c>
      <c r="F1631" s="16" t="s">
        <v>396</v>
      </c>
      <c r="G1631" s="16" t="s">
        <v>220</v>
      </c>
      <c r="H1631" s="16" t="s">
        <v>220</v>
      </c>
    </row>
    <row r="1632" ht="24.75" customHeight="1">
      <c r="A1632" s="32" t="str">
        <f>IMAGE("https://gymvisual.com/10819-catalog_default/strongman-truck-pull.jpg",4,500,500)</f>
        <v/>
      </c>
      <c r="B1632" s="30">
        <v>3631.0</v>
      </c>
      <c r="C1632" s="16" t="s">
        <v>4529</v>
      </c>
      <c r="D1632" s="16" t="s">
        <v>184</v>
      </c>
      <c r="E1632" s="16" t="s">
        <v>764</v>
      </c>
      <c r="F1632" s="16" t="s">
        <v>255</v>
      </c>
      <c r="G1632" s="16" t="s">
        <v>220</v>
      </c>
      <c r="H1632" s="16" t="s">
        <v>220</v>
      </c>
    </row>
    <row r="1633" ht="24.75" customHeight="1">
      <c r="A1633" s="32" t="str">
        <f>IMAGE("https://gymvisual.com/10846-catalog_default/strongman-viking-press.jpg",4,500,500)</f>
        <v/>
      </c>
      <c r="B1633" s="30">
        <v>3632.0</v>
      </c>
      <c r="C1633" s="16" t="s">
        <v>4530</v>
      </c>
      <c r="D1633" s="16" t="s">
        <v>184</v>
      </c>
      <c r="E1633" s="16" t="s">
        <v>1129</v>
      </c>
      <c r="F1633" s="16" t="s">
        <v>396</v>
      </c>
      <c r="G1633" s="16" t="s">
        <v>220</v>
      </c>
      <c r="H1633" s="16" t="s">
        <v>220</v>
      </c>
    </row>
    <row r="1634" ht="24.75" customHeight="1">
      <c r="A1634" s="32" t="str">
        <f>IMAGE("https://gymvisual.com/10882-catalog_default/strongman-weight-for-height.jpg",4,500,500)</f>
        <v/>
      </c>
      <c r="B1634" s="30">
        <v>3633.0</v>
      </c>
      <c r="C1634" s="16" t="s">
        <v>4531</v>
      </c>
      <c r="D1634" s="16" t="s">
        <v>184</v>
      </c>
      <c r="E1634" s="16" t="s">
        <v>185</v>
      </c>
      <c r="F1634" s="16" t="s">
        <v>396</v>
      </c>
      <c r="G1634" s="16" t="s">
        <v>220</v>
      </c>
      <c r="H1634" s="16" t="s">
        <v>220</v>
      </c>
    </row>
    <row r="1635" ht="24.75" customHeight="1">
      <c r="A1635" s="32" t="str">
        <f>IMAGE("https://gymvisual.com/10858-catalog_default/strongman-wheelbarrow.jpg",4,500,500)</f>
        <v/>
      </c>
      <c r="B1635" s="30">
        <v>3634.0</v>
      </c>
      <c r="C1635" s="16" t="s">
        <v>4532</v>
      </c>
      <c r="D1635" s="16" t="s">
        <v>184</v>
      </c>
      <c r="E1635" s="16" t="s">
        <v>285</v>
      </c>
      <c r="F1635" s="16" t="s">
        <v>396</v>
      </c>
      <c r="G1635" s="16" t="s">
        <v>220</v>
      </c>
      <c r="H1635" s="16" t="s">
        <v>220</v>
      </c>
    </row>
    <row r="1636" ht="24.75" customHeight="1">
      <c r="A1636" s="32" t="str">
        <f>IMAGE("https://gymvisual.com/10894-catalog_default/strongman-yoke-walk.jpg",4,500,500)</f>
        <v/>
      </c>
      <c r="B1636" s="30">
        <v>3635.0</v>
      </c>
      <c r="C1636" s="16" t="s">
        <v>4533</v>
      </c>
      <c r="D1636" s="16" t="s">
        <v>184</v>
      </c>
      <c r="E1636" s="16" t="s">
        <v>294</v>
      </c>
      <c r="F1636" s="16" t="s">
        <v>396</v>
      </c>
      <c r="G1636" s="16" t="s">
        <v>220</v>
      </c>
      <c r="H1636" s="16" t="s">
        <v>220</v>
      </c>
    </row>
    <row r="1637" ht="24.75" customHeight="1">
      <c r="A1637" s="32" t="str">
        <f>IMAGE("https://gymvisual.com/22490-catalog_default/sumo-air-squat.jpg",4,500,500)</f>
        <v/>
      </c>
      <c r="B1637" s="30">
        <v>3636.0</v>
      </c>
      <c r="C1637" s="16" t="s">
        <v>4534</v>
      </c>
      <c r="D1637" s="16" t="s">
        <v>184</v>
      </c>
      <c r="E1637" s="16" t="s">
        <v>185</v>
      </c>
      <c r="F1637" s="16" t="s">
        <v>255</v>
      </c>
      <c r="G1637" s="16" t="s">
        <v>220</v>
      </c>
      <c r="H1637" s="16" t="s">
        <v>220</v>
      </c>
    </row>
    <row r="1638" ht="24.75" customHeight="1">
      <c r="A1638" s="32" t="str">
        <f>IMAGE("https://gymvisual.com/4567-catalog_default/sumo-deadlift-high-pull.jpg",4,500,500)</f>
        <v/>
      </c>
      <c r="B1638" s="30">
        <v>3637.0</v>
      </c>
      <c r="C1638" s="16" t="s">
        <v>4535</v>
      </c>
      <c r="D1638" s="16" t="s">
        <v>184</v>
      </c>
      <c r="E1638" s="16" t="s">
        <v>228</v>
      </c>
      <c r="F1638" s="16" t="s">
        <v>186</v>
      </c>
      <c r="G1638" s="16" t="s">
        <v>799</v>
      </c>
      <c r="H1638" s="16" t="s">
        <v>4536</v>
      </c>
    </row>
    <row r="1639" ht="24.75" customHeight="1">
      <c r="A1639" s="32" t="str">
        <f>IMAGE("https://gymvisual.com/9814-catalog_default/sumo-squat.jpg",4,500,500)</f>
        <v/>
      </c>
      <c r="B1639" s="30">
        <v>3638.0</v>
      </c>
      <c r="C1639" s="16" t="s">
        <v>4537</v>
      </c>
      <c r="D1639" s="16" t="s">
        <v>184</v>
      </c>
      <c r="E1639" s="16" t="s">
        <v>285</v>
      </c>
      <c r="F1639" s="16" t="s">
        <v>255</v>
      </c>
      <c r="G1639" s="16" t="s">
        <v>189</v>
      </c>
      <c r="H1639" s="16" t="s">
        <v>902</v>
      </c>
    </row>
    <row r="1640" ht="24.75" customHeight="1">
      <c r="A1640" s="32" t="str">
        <f>IMAGE("https://gymvisual.com/4085-catalog_default/sumo-squat.jpg",4,500,500)</f>
        <v/>
      </c>
      <c r="B1640" s="30">
        <v>3639.0</v>
      </c>
      <c r="C1640" s="16" t="s">
        <v>4537</v>
      </c>
      <c r="D1640" s="16" t="s">
        <v>184</v>
      </c>
      <c r="E1640" s="16" t="s">
        <v>285</v>
      </c>
      <c r="F1640" s="16" t="s">
        <v>255</v>
      </c>
      <c r="G1640" s="16" t="s">
        <v>189</v>
      </c>
      <c r="H1640" s="16" t="s">
        <v>1127</v>
      </c>
    </row>
    <row r="1641" ht="24.75" customHeight="1">
      <c r="A1641" s="32" t="str">
        <f>IMAGE("https://gymvisual.com/22764-catalog_default/sumo-squat-floor-touch.jpg",4,500,500)</f>
        <v/>
      </c>
      <c r="B1641" s="30">
        <v>3640.0</v>
      </c>
      <c r="C1641" s="16" t="s">
        <v>4538</v>
      </c>
      <c r="D1641" s="16" t="s">
        <v>184</v>
      </c>
      <c r="E1641" s="16" t="s">
        <v>185</v>
      </c>
      <c r="F1641" s="16" t="s">
        <v>255</v>
      </c>
      <c r="G1641" s="16" t="s">
        <v>189</v>
      </c>
      <c r="H1641" s="16" t="s">
        <v>902</v>
      </c>
    </row>
    <row r="1642" ht="24.75" customHeight="1">
      <c r="A1642" s="32" t="str">
        <f>IMAGE("https://gymvisual.com/2403-catalog_default/superman.jpg",4,500,500)</f>
        <v/>
      </c>
      <c r="B1642" s="30">
        <v>3641.0</v>
      </c>
      <c r="C1642" s="16" t="s">
        <v>4539</v>
      </c>
      <c r="D1642" s="16" t="s">
        <v>184</v>
      </c>
      <c r="E1642" s="16" t="s">
        <v>254</v>
      </c>
      <c r="F1642" s="16" t="s">
        <v>255</v>
      </c>
      <c r="G1642" s="16" t="s">
        <v>275</v>
      </c>
      <c r="H1642" s="16" t="s">
        <v>2412</v>
      </c>
    </row>
    <row r="1643" ht="24.75" customHeight="1">
      <c r="A1643" s="32" t="str">
        <f>IMAGE("https://gymvisual.com/13777-catalog_default/superman-male.jpg",4,500,500)</f>
        <v/>
      </c>
      <c r="B1643" s="30">
        <v>3642.0</v>
      </c>
      <c r="C1643" s="16" t="s">
        <v>4540</v>
      </c>
      <c r="D1643" s="16" t="s">
        <v>184</v>
      </c>
      <c r="E1643" s="16" t="s">
        <v>185</v>
      </c>
      <c r="F1643" s="16" t="s">
        <v>255</v>
      </c>
      <c r="G1643" s="16" t="s">
        <v>275</v>
      </c>
      <c r="H1643" s="16" t="s">
        <v>2412</v>
      </c>
    </row>
    <row r="1644" ht="24.75" customHeight="1">
      <c r="A1644" s="32" t="str">
        <f>IMAGE("https://gymvisual.com/2400-catalog_default/superman-push-up.jpg",4,500,500)</f>
        <v/>
      </c>
      <c r="B1644" s="30">
        <v>3643.0</v>
      </c>
      <c r="C1644" s="16" t="s">
        <v>4541</v>
      </c>
      <c r="D1644" s="16" t="s">
        <v>184</v>
      </c>
      <c r="E1644" s="16" t="s">
        <v>234</v>
      </c>
      <c r="F1644" s="16" t="s">
        <v>255</v>
      </c>
      <c r="G1644" s="16" t="s">
        <v>4542</v>
      </c>
      <c r="H1644" s="16" t="s">
        <v>4543</v>
      </c>
    </row>
    <row r="1645" ht="24.75" customHeight="1">
      <c r="A1645" s="32" t="str">
        <f>IMAGE("https://gymvisual.com/22819-catalog_default/superman-row-female.jpg",4,500,500)</f>
        <v/>
      </c>
      <c r="B1645" s="30">
        <v>3644.0</v>
      </c>
      <c r="C1645" s="16" t="s">
        <v>4544</v>
      </c>
      <c r="D1645" s="16" t="s">
        <v>184</v>
      </c>
      <c r="E1645" s="16" t="s">
        <v>192</v>
      </c>
      <c r="F1645" s="16" t="s">
        <v>255</v>
      </c>
      <c r="G1645" s="16" t="s">
        <v>4545</v>
      </c>
      <c r="H1645" s="16" t="s">
        <v>4546</v>
      </c>
    </row>
    <row r="1646" ht="24.75" customHeight="1">
      <c r="A1646" s="32" t="str">
        <f>IMAGE("https://gymvisual.com/14145-catalog_default/superman-row-with-towel.jpg",4,500,500)</f>
        <v/>
      </c>
      <c r="B1646" s="30">
        <v>3645.0</v>
      </c>
      <c r="C1646" s="16" t="s">
        <v>4547</v>
      </c>
      <c r="D1646" s="16" t="s">
        <v>184</v>
      </c>
      <c r="E1646" s="16" t="s">
        <v>3183</v>
      </c>
      <c r="F1646" s="16" t="s">
        <v>255</v>
      </c>
      <c r="G1646" s="16" t="s">
        <v>4548</v>
      </c>
      <c r="H1646" s="16" t="s">
        <v>4549</v>
      </c>
    </row>
    <row r="1647" ht="24.75" customHeight="1">
      <c r="A1647" s="32" t="str">
        <f>IMAGE("https://gymvisual.com/24079-catalog_default/superman-w.jpg",4,500,500)</f>
        <v/>
      </c>
      <c r="B1647" s="30">
        <v>3646.0</v>
      </c>
      <c r="C1647" s="16" t="s">
        <v>4550</v>
      </c>
      <c r="D1647" s="16" t="s">
        <v>184</v>
      </c>
      <c r="E1647" s="16" t="s">
        <v>185</v>
      </c>
      <c r="F1647" s="16" t="s">
        <v>255</v>
      </c>
      <c r="G1647" s="16" t="s">
        <v>220</v>
      </c>
      <c r="H1647" s="16" t="s">
        <v>220</v>
      </c>
    </row>
    <row r="1648" ht="24.75" customHeight="1">
      <c r="A1648" s="32" t="str">
        <f>IMAGE("https://gymvisual.com/24077-catalog_default/superman-w-to-y.jpg",4,500,500)</f>
        <v/>
      </c>
      <c r="B1648" s="30">
        <v>3647.0</v>
      </c>
      <c r="C1648" s="16" t="s">
        <v>4551</v>
      </c>
      <c r="D1648" s="16" t="s">
        <v>184</v>
      </c>
      <c r="E1648" s="16" t="s">
        <v>185</v>
      </c>
      <c r="F1648" s="16" t="s">
        <v>255</v>
      </c>
      <c r="G1648" s="16" t="s">
        <v>220</v>
      </c>
      <c r="H1648" s="16" t="s">
        <v>220</v>
      </c>
    </row>
    <row r="1649" ht="24.75" customHeight="1">
      <c r="A1649" s="32" t="str">
        <f>IMAGE("https://gymvisual.com/24334-catalog_default/supinated-grip-inverted-row-female.jpg",4,500,500)</f>
        <v/>
      </c>
      <c r="B1649" s="30">
        <v>3648.0</v>
      </c>
      <c r="C1649" s="16" t="s">
        <v>4552</v>
      </c>
      <c r="D1649" s="16" t="s">
        <v>184</v>
      </c>
      <c r="E1649" s="16" t="s">
        <v>192</v>
      </c>
      <c r="F1649" s="16" t="s">
        <v>255</v>
      </c>
      <c r="G1649" s="16" t="s">
        <v>220</v>
      </c>
      <c r="H1649" s="16" t="s">
        <v>220</v>
      </c>
    </row>
    <row r="1650" ht="24.75" customHeight="1">
      <c r="A1650" s="32" t="str">
        <f>IMAGE("https://gymvisual.com/23855-catalog_default/supinated-narrow-grip-pull-up.jpg",4,500,500)</f>
        <v/>
      </c>
      <c r="B1650" s="30">
        <v>3649.0</v>
      </c>
      <c r="C1650" s="16" t="s">
        <v>4553</v>
      </c>
      <c r="D1650" s="16" t="s">
        <v>184</v>
      </c>
      <c r="E1650" s="16" t="s">
        <v>192</v>
      </c>
      <c r="F1650" s="16" t="s">
        <v>255</v>
      </c>
      <c r="G1650" s="16" t="s">
        <v>220</v>
      </c>
      <c r="H1650" s="16" t="s">
        <v>220</v>
      </c>
    </row>
    <row r="1651" ht="24.75" customHeight="1">
      <c r="A1651" s="32" t="str">
        <f>IMAGE("https://gymvisual.com/22319-catalog_default/supported-squat-female.jpg",4,500,500)</f>
        <v/>
      </c>
      <c r="B1651" s="30">
        <v>3650.0</v>
      </c>
      <c r="C1651" s="16" t="s">
        <v>4554</v>
      </c>
      <c r="D1651" s="16" t="s">
        <v>184</v>
      </c>
      <c r="E1651" s="16" t="s">
        <v>285</v>
      </c>
      <c r="F1651" s="16" t="s">
        <v>255</v>
      </c>
      <c r="G1651" s="16" t="s">
        <v>220</v>
      </c>
      <c r="H1651" s="16" t="s">
        <v>220</v>
      </c>
    </row>
    <row r="1652" ht="24.75" customHeight="1">
      <c r="A1652" s="32" t="str">
        <f>IMAGE("https://gymvisual.com/2406-catalog_default/suspended-abdominal-fallout.jpg",4,500,500)</f>
        <v/>
      </c>
      <c r="B1652" s="30">
        <v>3651.0</v>
      </c>
      <c r="C1652" s="16" t="s">
        <v>4555</v>
      </c>
      <c r="D1652" s="16" t="s">
        <v>184</v>
      </c>
      <c r="E1652" s="16" t="s">
        <v>254</v>
      </c>
      <c r="F1652" s="16" t="s">
        <v>255</v>
      </c>
      <c r="G1652" s="16" t="s">
        <v>256</v>
      </c>
      <c r="H1652" s="16" t="s">
        <v>4556</v>
      </c>
    </row>
    <row r="1653" ht="24.75" customHeight="1">
      <c r="A1653" s="32" t="str">
        <f>IMAGE("https://gymvisual.com/2409-catalog_default/suspended-push-up.jpg",4,500,500)</f>
        <v/>
      </c>
      <c r="B1653" s="30">
        <v>3652.0</v>
      </c>
      <c r="C1653" s="16" t="s">
        <v>4557</v>
      </c>
      <c r="D1653" s="16" t="s">
        <v>184</v>
      </c>
      <c r="E1653" s="16" t="s">
        <v>234</v>
      </c>
      <c r="F1653" s="16" t="s">
        <v>255</v>
      </c>
      <c r="G1653" s="16" t="s">
        <v>347</v>
      </c>
      <c r="H1653" s="16" t="s">
        <v>3020</v>
      </c>
    </row>
    <row r="1654" ht="24.75" customHeight="1">
      <c r="A1654" s="32" t="str">
        <f>IMAGE("https://gymvisual.com/2412-catalog_default/suspended-reverse-crunch.jpg",4,500,500)</f>
        <v/>
      </c>
      <c r="B1654" s="30">
        <v>3653.0</v>
      </c>
      <c r="C1654" s="16" t="s">
        <v>4558</v>
      </c>
      <c r="D1654" s="16" t="s">
        <v>184</v>
      </c>
      <c r="E1654" s="16" t="s">
        <v>254</v>
      </c>
      <c r="F1654" s="16" t="s">
        <v>255</v>
      </c>
      <c r="G1654" s="16" t="s">
        <v>256</v>
      </c>
      <c r="H1654" s="16" t="s">
        <v>4203</v>
      </c>
    </row>
    <row r="1655" ht="24.75" customHeight="1">
      <c r="A1655" s="32" t="str">
        <f>IMAGE("https://gymvisual.com/2415-catalog_default/suspended-row.jpg",4,500,500)</f>
        <v/>
      </c>
      <c r="B1655" s="30">
        <v>3654.0</v>
      </c>
      <c r="C1655" s="16" t="s">
        <v>4559</v>
      </c>
      <c r="D1655" s="16" t="s">
        <v>184</v>
      </c>
      <c r="E1655" s="16" t="s">
        <v>192</v>
      </c>
      <c r="F1655" s="16" t="s">
        <v>255</v>
      </c>
      <c r="G1655" s="16" t="s">
        <v>3041</v>
      </c>
      <c r="H1655" s="16" t="s">
        <v>330</v>
      </c>
    </row>
    <row r="1656" ht="24.75" customHeight="1">
      <c r="A1656" s="32" t="str">
        <f>IMAGE("https://gymvisual.com/2418-catalog_default/suspended-split-squat.jpg",4,500,500)</f>
        <v/>
      </c>
      <c r="B1656" s="30">
        <v>3655.0</v>
      </c>
      <c r="C1656" s="16" t="s">
        <v>4560</v>
      </c>
      <c r="D1656" s="16" t="s">
        <v>184</v>
      </c>
      <c r="E1656" s="16" t="s">
        <v>285</v>
      </c>
      <c r="F1656" s="16" t="s">
        <v>255</v>
      </c>
      <c r="G1656" s="16" t="s">
        <v>189</v>
      </c>
      <c r="H1656" s="16" t="s">
        <v>190</v>
      </c>
    </row>
    <row r="1657" ht="24.75" customHeight="1">
      <c r="A1657" s="32" t="str">
        <f>IMAGE("https://gymvisual.com/22321-catalog_default/suspender-alternate-superman-female.jpg",4,500,500)</f>
        <v/>
      </c>
      <c r="B1657" s="30">
        <v>3656.0</v>
      </c>
      <c r="C1657" s="16" t="s">
        <v>4561</v>
      </c>
      <c r="D1657" s="16" t="s">
        <v>184</v>
      </c>
      <c r="E1657" s="16" t="s">
        <v>254</v>
      </c>
      <c r="F1657" s="16" t="s">
        <v>3009</v>
      </c>
      <c r="G1657" s="16" t="s">
        <v>220</v>
      </c>
      <c r="H1657" s="16" t="s">
        <v>220</v>
      </c>
    </row>
    <row r="1658" ht="24.75" customHeight="1">
      <c r="A1658" s="32" t="str">
        <f>IMAGE("https://gymvisual.com/17889-catalog_default/suspender-forward-lunge-with-rear-fly-male.jpg",4,500,500)</f>
        <v/>
      </c>
      <c r="B1658" s="30">
        <v>3657.0</v>
      </c>
      <c r="C1658" s="16" t="s">
        <v>4562</v>
      </c>
      <c r="D1658" s="16" t="s">
        <v>184</v>
      </c>
      <c r="E1658" s="16" t="s">
        <v>228</v>
      </c>
      <c r="F1658" s="16" t="s">
        <v>3009</v>
      </c>
      <c r="G1658" s="16" t="s">
        <v>220</v>
      </c>
      <c r="H1658" s="16" t="s">
        <v>220</v>
      </c>
    </row>
    <row r="1659" ht="24.75" customHeight="1">
      <c r="A1659" s="32" t="str">
        <f>IMAGE("https://gymvisual.com/22323-catalog_default/suspender-rollout-version-2-female.jpg",4,500,500)</f>
        <v/>
      </c>
      <c r="B1659" s="30">
        <v>3658.0</v>
      </c>
      <c r="C1659" s="16" t="s">
        <v>4563</v>
      </c>
      <c r="D1659" s="16" t="s">
        <v>184</v>
      </c>
      <c r="E1659" s="16" t="s">
        <v>254</v>
      </c>
      <c r="F1659" s="16" t="s">
        <v>3009</v>
      </c>
      <c r="G1659" s="16" t="s">
        <v>220</v>
      </c>
      <c r="H1659" s="16" t="s">
        <v>220</v>
      </c>
    </row>
    <row r="1660" ht="24.75" customHeight="1">
      <c r="A1660" s="32" t="str">
        <f>IMAGE("https://gymvisual.com/11993-catalog_default/suspender-weighted-inverted-row.jpg",4,500,500)</f>
        <v/>
      </c>
      <c r="B1660" s="30">
        <v>3659.0</v>
      </c>
      <c r="C1660" s="16" t="s">
        <v>4564</v>
      </c>
      <c r="D1660" s="16" t="s">
        <v>184</v>
      </c>
      <c r="E1660" s="16" t="s">
        <v>192</v>
      </c>
      <c r="F1660" s="16" t="s">
        <v>3009</v>
      </c>
      <c r="G1660" s="16" t="s">
        <v>220</v>
      </c>
      <c r="H1660" s="16" t="s">
        <v>220</v>
      </c>
    </row>
    <row r="1661" ht="24.75" customHeight="1">
      <c r="A1661" s="32" t="str">
        <f>IMAGE("https://gymvisual.com/11992-catalog_default/suspender-weighted-inverted-row-female.jpg",4,500,500)</f>
        <v/>
      </c>
      <c r="B1661" s="30">
        <v>3660.0</v>
      </c>
      <c r="C1661" s="16" t="s">
        <v>4565</v>
      </c>
      <c r="D1661" s="16" t="s">
        <v>184</v>
      </c>
      <c r="E1661" s="16" t="s">
        <v>192</v>
      </c>
      <c r="F1661" s="16" t="s">
        <v>3009</v>
      </c>
      <c r="G1661" s="16" t="s">
        <v>220</v>
      </c>
      <c r="H1661" s="16" t="s">
        <v>220</v>
      </c>
    </row>
    <row r="1662" ht="24.75" customHeight="1">
      <c r="A1662" s="32" t="str">
        <f>IMAGE("https://gymvisual.com/19002-catalog_default/suspender-wide-grip-inverted-row.jpg",4,500,500)</f>
        <v/>
      </c>
      <c r="B1662" s="30">
        <v>3661.0</v>
      </c>
      <c r="C1662" s="16" t="s">
        <v>4566</v>
      </c>
      <c r="D1662" s="16" t="s">
        <v>184</v>
      </c>
      <c r="E1662" s="16" t="s">
        <v>192</v>
      </c>
      <c r="F1662" s="16" t="s">
        <v>3009</v>
      </c>
      <c r="G1662" s="16" t="s">
        <v>329</v>
      </c>
      <c r="H1662" s="16" t="s">
        <v>447</v>
      </c>
    </row>
    <row r="1663" ht="24.75" customHeight="1">
      <c r="A1663" s="32" t="str">
        <f>IMAGE("https://gymvisual.com/19004-catalog_default/suspender-wide-grip-inverted-row-on-floor-female.jpg",4,500,500)</f>
        <v/>
      </c>
      <c r="B1663" s="30">
        <v>3662.0</v>
      </c>
      <c r="C1663" s="16" t="s">
        <v>4567</v>
      </c>
      <c r="D1663" s="16" t="s">
        <v>184</v>
      </c>
      <c r="E1663" s="16" t="s">
        <v>192</v>
      </c>
      <c r="F1663" s="16" t="s">
        <v>3009</v>
      </c>
      <c r="G1663" s="16" t="s">
        <v>329</v>
      </c>
      <c r="H1663" s="16" t="s">
        <v>447</v>
      </c>
    </row>
    <row r="1664" ht="24.75" customHeight="1">
      <c r="A1664" s="32" t="str">
        <f>IMAGE("https://gymvisual.com/4268-catalog_default/suspension-abduction-lunge.jpg",4,500,500)</f>
        <v/>
      </c>
      <c r="B1664" s="30">
        <v>3663.0</v>
      </c>
      <c r="C1664" s="16" t="s">
        <v>4568</v>
      </c>
      <c r="D1664" s="16" t="s">
        <v>184</v>
      </c>
      <c r="E1664" s="16" t="s">
        <v>285</v>
      </c>
      <c r="F1664" s="16" t="s">
        <v>3009</v>
      </c>
      <c r="G1664" s="16" t="s">
        <v>4569</v>
      </c>
      <c r="H1664" s="16" t="s">
        <v>902</v>
      </c>
    </row>
    <row r="1665" ht="24.75" customHeight="1">
      <c r="A1665" s="32" t="str">
        <f>IMAGE("https://gymvisual.com/4103-catalog_default/suspension-arm-curl.jpg",4,500,500)</f>
        <v/>
      </c>
      <c r="B1665" s="30">
        <v>3664.0</v>
      </c>
      <c r="C1665" s="16" t="s">
        <v>4570</v>
      </c>
      <c r="D1665" s="16" t="s">
        <v>184</v>
      </c>
      <c r="E1665" s="16" t="s">
        <v>219</v>
      </c>
      <c r="F1665" s="16" t="s">
        <v>3009</v>
      </c>
      <c r="G1665" s="16" t="s">
        <v>232</v>
      </c>
      <c r="H1665" s="16" t="s">
        <v>233</v>
      </c>
    </row>
    <row r="1666" ht="24.75" customHeight="1">
      <c r="A1666" s="32" t="str">
        <f>IMAGE("https://gymvisual.com/4217-catalog_default/suspension-arm-curl-to-ears.jpg",4,500,500)</f>
        <v/>
      </c>
      <c r="B1666" s="30">
        <v>3665.0</v>
      </c>
      <c r="C1666" s="16" t="s">
        <v>4571</v>
      </c>
      <c r="D1666" s="16" t="s">
        <v>184</v>
      </c>
      <c r="E1666" s="16" t="s">
        <v>219</v>
      </c>
      <c r="F1666" s="16" t="s">
        <v>3009</v>
      </c>
      <c r="G1666" s="16" t="s">
        <v>241</v>
      </c>
      <c r="H1666" s="16" t="s">
        <v>292</v>
      </c>
    </row>
    <row r="1667" ht="24.75" customHeight="1">
      <c r="A1667" s="32" t="str">
        <f>IMAGE("https://gymvisual.com/4106-catalog_default/suspension-bent-knee-inverted-row.jpg",4,500,500)</f>
        <v/>
      </c>
      <c r="B1667" s="30">
        <v>3666.0</v>
      </c>
      <c r="C1667" s="16" t="s">
        <v>4572</v>
      </c>
      <c r="D1667" s="16" t="s">
        <v>184</v>
      </c>
      <c r="E1667" s="16" t="s">
        <v>192</v>
      </c>
      <c r="F1667" s="16" t="s">
        <v>3009</v>
      </c>
      <c r="G1667" s="16" t="s">
        <v>329</v>
      </c>
      <c r="H1667" s="16" t="s">
        <v>457</v>
      </c>
    </row>
    <row r="1668" ht="24.75" customHeight="1">
      <c r="A1668" s="32" t="str">
        <f>IMAGE("https://gymvisual.com/4218-catalog_default/suspension-biceps-clutch.jpg",4,500,500)</f>
        <v/>
      </c>
      <c r="B1668" s="30">
        <v>3667.0</v>
      </c>
      <c r="C1668" s="16" t="s">
        <v>4573</v>
      </c>
      <c r="D1668" s="16" t="s">
        <v>184</v>
      </c>
      <c r="E1668" s="16" t="s">
        <v>219</v>
      </c>
      <c r="F1668" s="16" t="s">
        <v>3009</v>
      </c>
      <c r="G1668" s="16" t="s">
        <v>241</v>
      </c>
      <c r="H1668" s="16" t="s">
        <v>4574</v>
      </c>
    </row>
    <row r="1669" ht="24.75" customHeight="1">
      <c r="A1669" s="32" t="str">
        <f>IMAGE("https://gymvisual.com/4219-catalog_default/suspension-body-saw.jpg",4,500,500)</f>
        <v/>
      </c>
      <c r="B1669" s="30">
        <v>3668.0</v>
      </c>
      <c r="C1669" s="16" t="s">
        <v>4575</v>
      </c>
      <c r="D1669" s="16" t="s">
        <v>184</v>
      </c>
      <c r="E1669" s="16" t="s">
        <v>254</v>
      </c>
      <c r="F1669" s="16" t="s">
        <v>3009</v>
      </c>
      <c r="G1669" s="16" t="s">
        <v>2792</v>
      </c>
      <c r="H1669" s="16" t="s">
        <v>4576</v>
      </c>
    </row>
    <row r="1670" ht="24.75" customHeight="1">
      <c r="A1670" s="32" t="str">
        <f>IMAGE("https://gymvisual.com/4263-catalog_default/suspension-calf-raise.jpg",4,500,500)</f>
        <v/>
      </c>
      <c r="B1670" s="30">
        <v>3669.0</v>
      </c>
      <c r="C1670" s="16" t="s">
        <v>4577</v>
      </c>
      <c r="D1670" s="16" t="s">
        <v>184</v>
      </c>
      <c r="E1670" s="16" t="s">
        <v>325</v>
      </c>
      <c r="F1670" s="16" t="s">
        <v>3009</v>
      </c>
      <c r="G1670" s="16" t="s">
        <v>368</v>
      </c>
      <c r="H1670" s="16" t="s">
        <v>463</v>
      </c>
    </row>
    <row r="1671" ht="24.75" customHeight="1">
      <c r="A1671" s="32" t="str">
        <f>IMAGE("https://gymvisual.com/4109-catalog_default/suspension-chest-dip.jpg",4,500,500)</f>
        <v/>
      </c>
      <c r="B1671" s="30">
        <v>3670.0</v>
      </c>
      <c r="C1671" s="16" t="s">
        <v>4578</v>
      </c>
      <c r="D1671" s="16" t="s">
        <v>184</v>
      </c>
      <c r="E1671" s="16" t="s">
        <v>234</v>
      </c>
      <c r="F1671" s="16" t="s">
        <v>3009</v>
      </c>
      <c r="G1671" s="16" t="s">
        <v>347</v>
      </c>
      <c r="H1671" s="16" t="s">
        <v>1764</v>
      </c>
    </row>
    <row r="1672" ht="24.75" customHeight="1">
      <c r="A1672" s="32" t="str">
        <f>IMAGE("https://gymvisual.com/4112-catalog_default/suspension-chest-press.jpg",4,500,500)</f>
        <v/>
      </c>
      <c r="B1672" s="30">
        <v>3671.0</v>
      </c>
      <c r="C1672" s="16" t="s">
        <v>4579</v>
      </c>
      <c r="D1672" s="16" t="s">
        <v>184</v>
      </c>
      <c r="E1672" s="16" t="s">
        <v>234</v>
      </c>
      <c r="F1672" s="16" t="s">
        <v>3009</v>
      </c>
      <c r="G1672" s="16" t="s">
        <v>347</v>
      </c>
      <c r="H1672" s="16" t="s">
        <v>382</v>
      </c>
    </row>
    <row r="1673" ht="24.75" customHeight="1">
      <c r="A1673" s="32" t="str">
        <f>IMAGE("https://gymvisual.com/20100-catalog_default/suspension-chin-up-female.jpg",4,500,500)</f>
        <v/>
      </c>
      <c r="B1673" s="30">
        <v>3672.0</v>
      </c>
      <c r="C1673" s="16" t="s">
        <v>4580</v>
      </c>
      <c r="D1673" s="16" t="s">
        <v>184</v>
      </c>
      <c r="E1673" s="16" t="s">
        <v>192</v>
      </c>
      <c r="F1673" s="16" t="s">
        <v>3009</v>
      </c>
      <c r="G1673" s="16" t="s">
        <v>220</v>
      </c>
      <c r="H1673" s="16" t="s">
        <v>220</v>
      </c>
    </row>
    <row r="1674" ht="24.75" customHeight="1">
      <c r="A1674" s="32" t="str">
        <f>IMAGE("https://gymvisual.com/4220-catalog_default/suspension-close-grip-chest-press.jpg",4,500,500)</f>
        <v/>
      </c>
      <c r="B1674" s="30">
        <v>3673.0</v>
      </c>
      <c r="C1674" s="16" t="s">
        <v>4581</v>
      </c>
      <c r="D1674" s="16" t="s">
        <v>184</v>
      </c>
      <c r="E1674" s="16" t="s">
        <v>234</v>
      </c>
      <c r="F1674" s="16" t="s">
        <v>3009</v>
      </c>
      <c r="G1674" s="16" t="s">
        <v>347</v>
      </c>
      <c r="H1674" s="16" t="s">
        <v>382</v>
      </c>
    </row>
    <row r="1675" ht="24.75" customHeight="1">
      <c r="A1675" s="32" t="str">
        <f>IMAGE("https://gymvisual.com/4221-catalog_default/suspension-crunch.jpg",4,500,500)</f>
        <v/>
      </c>
      <c r="B1675" s="30">
        <v>3674.0</v>
      </c>
      <c r="C1675" s="16" t="s">
        <v>4582</v>
      </c>
      <c r="D1675" s="16" t="s">
        <v>184</v>
      </c>
      <c r="E1675" s="16" t="s">
        <v>254</v>
      </c>
      <c r="F1675" s="16" t="s">
        <v>3009</v>
      </c>
      <c r="G1675" s="16" t="s">
        <v>305</v>
      </c>
      <c r="H1675" s="16" t="s">
        <v>257</v>
      </c>
    </row>
    <row r="1676" ht="24.75" customHeight="1">
      <c r="A1676" s="32" t="str">
        <f>IMAGE("https://gymvisual.com/4222-catalog_default/suspension-face-pul.jpg",4,500,500)</f>
        <v/>
      </c>
      <c r="B1676" s="30">
        <v>3675.0</v>
      </c>
      <c r="C1676" s="16" t="s">
        <v>4583</v>
      </c>
      <c r="D1676" s="16" t="s">
        <v>184</v>
      </c>
      <c r="E1676" s="16" t="s">
        <v>228</v>
      </c>
      <c r="F1676" s="16" t="s">
        <v>3009</v>
      </c>
      <c r="G1676" s="16" t="s">
        <v>408</v>
      </c>
      <c r="H1676" s="16" t="s">
        <v>4584</v>
      </c>
    </row>
    <row r="1677" ht="24.75" customHeight="1">
      <c r="A1677" s="32" t="str">
        <f>IMAGE("https://gymvisual.com/4115-catalog_default/suspension-fly.jpg",4,500,500)</f>
        <v/>
      </c>
      <c r="B1677" s="30">
        <v>3676.0</v>
      </c>
      <c r="C1677" s="16" t="s">
        <v>4585</v>
      </c>
      <c r="D1677" s="16" t="s">
        <v>184</v>
      </c>
      <c r="E1677" s="16" t="s">
        <v>234</v>
      </c>
      <c r="F1677" s="16" t="s">
        <v>3009</v>
      </c>
      <c r="G1677" s="16" t="s">
        <v>347</v>
      </c>
      <c r="H1677" s="16" t="s">
        <v>420</v>
      </c>
    </row>
    <row r="1678" ht="24.75" customHeight="1">
      <c r="A1678" s="32" t="str">
        <f>IMAGE("https://gymvisual.com/4223-catalog_default/suspension-front-plank.jpg",4,500,500)</f>
        <v/>
      </c>
      <c r="B1678" s="30">
        <v>3677.0</v>
      </c>
      <c r="C1678" s="16" t="s">
        <v>4586</v>
      </c>
      <c r="D1678" s="16" t="s">
        <v>184</v>
      </c>
      <c r="E1678" s="16" t="s">
        <v>254</v>
      </c>
      <c r="F1678" s="16" t="s">
        <v>3009</v>
      </c>
      <c r="G1678" s="16" t="s">
        <v>256</v>
      </c>
      <c r="H1678" s="16" t="s">
        <v>2482</v>
      </c>
    </row>
    <row r="1679" ht="24.75" customHeight="1">
      <c r="A1679" s="32" t="str">
        <f>IMAGE("https://gymvisual.com/4118-catalog_default/suspension-front-raise.jpg",4,500,500)</f>
        <v/>
      </c>
      <c r="B1679" s="30">
        <v>3678.0</v>
      </c>
      <c r="C1679" s="16" t="s">
        <v>4587</v>
      </c>
      <c r="D1679" s="16" t="s">
        <v>184</v>
      </c>
      <c r="E1679" s="16" t="s">
        <v>228</v>
      </c>
      <c r="F1679" s="16" t="s">
        <v>3009</v>
      </c>
      <c r="G1679" s="16" t="s">
        <v>229</v>
      </c>
      <c r="H1679" s="16" t="s">
        <v>244</v>
      </c>
    </row>
    <row r="1680" ht="24.75" customHeight="1">
      <c r="A1680" s="32" t="str">
        <f>IMAGE("https://gymvisual.com/20098-catalog_default/suspension-hammer-curl-female.jpg",4,500,500)</f>
        <v/>
      </c>
      <c r="B1680" s="30">
        <v>3679.0</v>
      </c>
      <c r="C1680" s="16" t="s">
        <v>4588</v>
      </c>
      <c r="D1680" s="16" t="s">
        <v>184</v>
      </c>
      <c r="E1680" s="16" t="s">
        <v>219</v>
      </c>
      <c r="F1680" s="16" t="s">
        <v>3009</v>
      </c>
      <c r="G1680" s="16" t="s">
        <v>216</v>
      </c>
      <c r="H1680" s="16" t="s">
        <v>217</v>
      </c>
    </row>
    <row r="1681" ht="24.75" customHeight="1">
      <c r="A1681" s="32" t="str">
        <f>IMAGE("https://gymvisual.com/19353-catalog_default/suspension-hamstring-runner.jpg",4,500,500)</f>
        <v/>
      </c>
      <c r="B1681" s="30">
        <v>3680.0</v>
      </c>
      <c r="C1681" s="16" t="s">
        <v>4589</v>
      </c>
      <c r="D1681" s="16" t="s">
        <v>184</v>
      </c>
      <c r="E1681" s="16" t="s">
        <v>285</v>
      </c>
      <c r="F1681" s="16" t="s">
        <v>3009</v>
      </c>
      <c r="G1681" s="16" t="s">
        <v>188</v>
      </c>
      <c r="H1681" s="16" t="s">
        <v>368</v>
      </c>
    </row>
    <row r="1682" ht="24.75" customHeight="1">
      <c r="A1682" s="32" t="str">
        <f>IMAGE("https://gymvisual.com/4224-catalog_default/suspension-handstand-push-up.jpg",4,500,500)</f>
        <v/>
      </c>
      <c r="B1682" s="30">
        <v>3681.0</v>
      </c>
      <c r="C1682" s="16" t="s">
        <v>4590</v>
      </c>
      <c r="D1682" s="16" t="s">
        <v>184</v>
      </c>
      <c r="E1682" s="16" t="s">
        <v>219</v>
      </c>
      <c r="F1682" s="16" t="s">
        <v>3009</v>
      </c>
      <c r="G1682" s="16" t="s">
        <v>223</v>
      </c>
      <c r="H1682" s="16" t="s">
        <v>4591</v>
      </c>
    </row>
    <row r="1683" ht="24.75" customHeight="1">
      <c r="A1683" s="32" t="str">
        <f>IMAGE("https://gymvisual.com/4124-catalog_default/suspension-hip-abduction.jpg",4,500,500)</f>
        <v/>
      </c>
      <c r="B1683" s="30">
        <v>3682.0</v>
      </c>
      <c r="C1683" s="16" t="s">
        <v>4592</v>
      </c>
      <c r="D1683" s="16" t="s">
        <v>184</v>
      </c>
      <c r="E1683" s="16" t="s">
        <v>185</v>
      </c>
      <c r="F1683" s="16" t="s">
        <v>3009</v>
      </c>
      <c r="G1683" s="16" t="s">
        <v>508</v>
      </c>
      <c r="H1683" s="16" t="s">
        <v>220</v>
      </c>
    </row>
    <row r="1684" ht="24.75" customHeight="1">
      <c r="A1684" s="32" t="str">
        <f>IMAGE("https://gymvisual.com/4127-catalog_default/suspension-hip-bridge.jpg",4,500,500)</f>
        <v/>
      </c>
      <c r="B1684" s="30">
        <v>3683.0</v>
      </c>
      <c r="C1684" s="16" t="s">
        <v>4593</v>
      </c>
      <c r="D1684" s="16" t="s">
        <v>184</v>
      </c>
      <c r="E1684" s="16" t="s">
        <v>185</v>
      </c>
      <c r="F1684" s="16" t="s">
        <v>3009</v>
      </c>
      <c r="G1684" s="16" t="s">
        <v>187</v>
      </c>
      <c r="H1684" s="16" t="s">
        <v>4594</v>
      </c>
    </row>
    <row r="1685" ht="24.75" customHeight="1">
      <c r="A1685" s="32" t="str">
        <f>IMAGE("https://gymvisual.com/4266-catalog_default/suspension-hip-hinge.jpg",4,500,500)</f>
        <v/>
      </c>
      <c r="B1685" s="30">
        <v>3684.0</v>
      </c>
      <c r="C1685" s="16" t="s">
        <v>4595</v>
      </c>
      <c r="D1685" s="16" t="s">
        <v>184</v>
      </c>
      <c r="E1685" s="16" t="s">
        <v>185</v>
      </c>
      <c r="F1685" s="16" t="s">
        <v>3009</v>
      </c>
      <c r="G1685" s="16" t="s">
        <v>187</v>
      </c>
      <c r="H1685" s="16" t="s">
        <v>1241</v>
      </c>
    </row>
    <row r="1686" ht="24.75" customHeight="1">
      <c r="A1686" s="32" t="str">
        <f>IMAGE("https://gymvisual.com/4130-catalog_default/suspension-hyperextension.jpg",4,500,500)</f>
        <v/>
      </c>
      <c r="B1686" s="30">
        <v>3685.0</v>
      </c>
      <c r="C1686" s="16" t="s">
        <v>4596</v>
      </c>
      <c r="D1686" s="16" t="s">
        <v>184</v>
      </c>
      <c r="E1686" s="16" t="s">
        <v>192</v>
      </c>
      <c r="F1686" s="16" t="s">
        <v>3009</v>
      </c>
      <c r="G1686" s="16" t="s">
        <v>275</v>
      </c>
      <c r="H1686" s="16" t="s">
        <v>2412</v>
      </c>
    </row>
    <row r="1687" ht="24.75" customHeight="1">
      <c r="A1687" s="32" t="str">
        <f>IMAGE("https://gymvisual.com/4225-catalog_default/suspension-incline-push-up.jpg",4,500,500)</f>
        <v/>
      </c>
      <c r="B1687" s="30">
        <v>3686.0</v>
      </c>
      <c r="C1687" s="16" t="s">
        <v>4597</v>
      </c>
      <c r="D1687" s="16" t="s">
        <v>184</v>
      </c>
      <c r="E1687" s="16" t="s">
        <v>234</v>
      </c>
      <c r="F1687" s="16" t="s">
        <v>3009</v>
      </c>
      <c r="G1687" s="16" t="s">
        <v>235</v>
      </c>
      <c r="H1687" s="16" t="s">
        <v>243</v>
      </c>
    </row>
    <row r="1688" ht="24.75" customHeight="1">
      <c r="A1688" s="32" t="str">
        <f>IMAGE("https://gymvisual.com/4133-catalog_default/suspension-inverted-row.jpg",4,500,500)</f>
        <v/>
      </c>
      <c r="B1688" s="30">
        <v>3687.0</v>
      </c>
      <c r="C1688" s="16" t="s">
        <v>4598</v>
      </c>
      <c r="D1688" s="16" t="s">
        <v>184</v>
      </c>
      <c r="E1688" s="16" t="s">
        <v>192</v>
      </c>
      <c r="F1688" s="16" t="s">
        <v>3009</v>
      </c>
      <c r="G1688" s="16" t="s">
        <v>329</v>
      </c>
      <c r="H1688" s="16" t="s">
        <v>457</v>
      </c>
    </row>
    <row r="1689" ht="24.75" customHeight="1">
      <c r="A1689" s="32" t="str">
        <f>IMAGE("https://gymvisual.com/4139-catalog_default/suspension-jack-knife.jpg",4,500,500)</f>
        <v/>
      </c>
      <c r="B1689" s="30">
        <v>3688.0</v>
      </c>
      <c r="C1689" s="16" t="s">
        <v>4599</v>
      </c>
      <c r="D1689" s="16" t="s">
        <v>184</v>
      </c>
      <c r="E1689" s="16" t="s">
        <v>254</v>
      </c>
      <c r="F1689" s="16" t="s">
        <v>3009</v>
      </c>
      <c r="G1689" s="16" t="s">
        <v>305</v>
      </c>
      <c r="H1689" s="16" t="s">
        <v>371</v>
      </c>
    </row>
    <row r="1690" ht="24.75" customHeight="1">
      <c r="A1690" s="32" t="str">
        <f>IMAGE("https://gymvisual.com/4136-catalog_default/suspension-jack-knife-pike.jpg",4,500,500)</f>
        <v/>
      </c>
      <c r="B1690" s="30">
        <v>3689.0</v>
      </c>
      <c r="C1690" s="16" t="s">
        <v>4600</v>
      </c>
      <c r="D1690" s="16" t="s">
        <v>184</v>
      </c>
      <c r="E1690" s="16" t="s">
        <v>254</v>
      </c>
      <c r="F1690" s="16" t="s">
        <v>3009</v>
      </c>
      <c r="G1690" s="16" t="s">
        <v>305</v>
      </c>
      <c r="H1690" s="16" t="s">
        <v>4601</v>
      </c>
    </row>
    <row r="1691" ht="24.75" customHeight="1">
      <c r="A1691" s="32" t="str">
        <f>IMAGE("https://gymvisual.com/4142-catalog_default/suspension-leg-curl.jpg",4,500,500)</f>
        <v/>
      </c>
      <c r="B1691" s="30">
        <v>3690.0</v>
      </c>
      <c r="C1691" s="16" t="s">
        <v>4602</v>
      </c>
      <c r="D1691" s="16" t="s">
        <v>184</v>
      </c>
      <c r="E1691" s="16" t="s">
        <v>285</v>
      </c>
      <c r="F1691" s="16" t="s">
        <v>3009</v>
      </c>
      <c r="G1691" s="16" t="s">
        <v>188</v>
      </c>
      <c r="H1691" s="16" t="s">
        <v>368</v>
      </c>
    </row>
    <row r="1692" ht="24.75" customHeight="1">
      <c r="A1692" s="32" t="str">
        <f>IMAGE("https://gymvisual.com/4228-catalog_default/suspension-lunge-back-crossover.jpg",4,500,500)</f>
        <v/>
      </c>
      <c r="B1692" s="30">
        <v>3691.0</v>
      </c>
      <c r="C1692" s="16" t="s">
        <v>4603</v>
      </c>
      <c r="D1692" s="16" t="s">
        <v>184</v>
      </c>
      <c r="E1692" s="16" t="s">
        <v>285</v>
      </c>
      <c r="F1692" s="16" t="s">
        <v>3009</v>
      </c>
      <c r="G1692" s="16" t="s">
        <v>552</v>
      </c>
      <c r="H1692" s="16" t="s">
        <v>4604</v>
      </c>
    </row>
    <row r="1693" ht="24.75" customHeight="1">
      <c r="A1693" s="32" t="str">
        <f>IMAGE("https://gymvisual.com/4229-catalog_default/suspension-middle-row.jpg",4,500,500)</f>
        <v/>
      </c>
      <c r="B1693" s="30">
        <v>3692.0</v>
      </c>
      <c r="C1693" s="16" t="s">
        <v>4605</v>
      </c>
      <c r="D1693" s="16" t="s">
        <v>184</v>
      </c>
      <c r="E1693" s="16" t="s">
        <v>228</v>
      </c>
      <c r="F1693" s="16" t="s">
        <v>3009</v>
      </c>
      <c r="G1693" s="16" t="s">
        <v>408</v>
      </c>
      <c r="H1693" s="16" t="s">
        <v>490</v>
      </c>
    </row>
    <row r="1694" ht="24.75" customHeight="1">
      <c r="A1694" s="32" t="str">
        <f>IMAGE("https://gymvisual.com/19355-catalog_default/suspension-mountain-climber.jpg",4,500,500)</f>
        <v/>
      </c>
      <c r="B1694" s="30">
        <v>3693.0</v>
      </c>
      <c r="C1694" s="16" t="s">
        <v>4606</v>
      </c>
      <c r="D1694" s="16" t="s">
        <v>184</v>
      </c>
      <c r="E1694" s="16" t="s">
        <v>185</v>
      </c>
      <c r="F1694" s="16" t="s">
        <v>3009</v>
      </c>
      <c r="G1694" s="16" t="s">
        <v>271</v>
      </c>
      <c r="H1694" s="16" t="s">
        <v>563</v>
      </c>
    </row>
    <row r="1695" ht="24.75" customHeight="1">
      <c r="A1695" s="32" t="str">
        <f>IMAGE("https://gymvisual.com/4230-catalog_default/suspension-mountain-climber-push-up.jpg",4,500,500)</f>
        <v/>
      </c>
      <c r="B1695" s="30">
        <v>3694.0</v>
      </c>
      <c r="C1695" s="16" t="s">
        <v>4607</v>
      </c>
      <c r="D1695" s="16" t="s">
        <v>184</v>
      </c>
      <c r="E1695" s="16" t="s">
        <v>185</v>
      </c>
      <c r="F1695" s="16" t="s">
        <v>3009</v>
      </c>
      <c r="G1695" s="16" t="s">
        <v>4608</v>
      </c>
      <c r="H1695" s="16" t="s">
        <v>4609</v>
      </c>
    </row>
    <row r="1696" ht="24.75" customHeight="1">
      <c r="A1696" s="32" t="str">
        <f>IMAGE("https://gymvisual.com/4231-catalog_default/suspension-oblique-rollout.jpg",4,500,500)</f>
        <v/>
      </c>
      <c r="B1696" s="30">
        <v>3695.0</v>
      </c>
      <c r="C1696" s="16" t="s">
        <v>4610</v>
      </c>
      <c r="D1696" s="16" t="s">
        <v>184</v>
      </c>
      <c r="E1696" s="16" t="s">
        <v>254</v>
      </c>
      <c r="F1696" s="16" t="s">
        <v>3009</v>
      </c>
      <c r="G1696" s="16" t="s">
        <v>257</v>
      </c>
      <c r="H1696" s="16" t="s">
        <v>4611</v>
      </c>
    </row>
    <row r="1697" ht="24.75" customHeight="1">
      <c r="A1697" s="32" t="str">
        <f>IMAGE("https://gymvisual.com/4232-catalog_default/suspension-one-arm-biceps-curl.jpg",4,500,500)</f>
        <v/>
      </c>
      <c r="B1697" s="30">
        <v>3696.0</v>
      </c>
      <c r="C1697" s="16" t="s">
        <v>4612</v>
      </c>
      <c r="D1697" s="16" t="s">
        <v>184</v>
      </c>
      <c r="E1697" s="16" t="s">
        <v>219</v>
      </c>
      <c r="F1697" s="16" t="s">
        <v>3009</v>
      </c>
      <c r="G1697" s="16" t="s">
        <v>241</v>
      </c>
      <c r="H1697" s="16" t="s">
        <v>292</v>
      </c>
    </row>
    <row r="1698" ht="24.75" customHeight="1">
      <c r="A1698" s="32" t="str">
        <f>IMAGE("https://gymvisual.com/4233-catalog_default/suspension-one-arm-chest-press.jpg",4,500,500)</f>
        <v/>
      </c>
      <c r="B1698" s="30">
        <v>3697.0</v>
      </c>
      <c r="C1698" s="16" t="s">
        <v>4613</v>
      </c>
      <c r="D1698" s="16" t="s">
        <v>184</v>
      </c>
      <c r="E1698" s="16" t="s">
        <v>234</v>
      </c>
      <c r="F1698" s="16" t="s">
        <v>3009</v>
      </c>
      <c r="G1698" s="16" t="s">
        <v>347</v>
      </c>
      <c r="H1698" s="16" t="s">
        <v>382</v>
      </c>
    </row>
    <row r="1699" ht="24.75" customHeight="1">
      <c r="A1699" s="32" t="str">
        <f>IMAGE("https://gymvisual.com/4234-catalog_default/suspension-one-arm-leg-push-up.jpg",4,500,500)</f>
        <v/>
      </c>
      <c r="B1699" s="30">
        <v>3698.0</v>
      </c>
      <c r="C1699" s="16" t="s">
        <v>4614</v>
      </c>
      <c r="D1699" s="16" t="s">
        <v>184</v>
      </c>
      <c r="E1699" s="16" t="s">
        <v>234</v>
      </c>
      <c r="F1699" s="16" t="s">
        <v>3009</v>
      </c>
      <c r="G1699" s="16" t="s">
        <v>347</v>
      </c>
      <c r="H1699" s="16" t="s">
        <v>382</v>
      </c>
    </row>
    <row r="1700" ht="24.75" customHeight="1">
      <c r="A1700" s="32" t="str">
        <f>IMAGE("https://gymvisual.com/4235-catalog_default/suspension-one-leg-chest-press.jpg",4,500,500)</f>
        <v/>
      </c>
      <c r="B1700" s="30">
        <v>3699.0</v>
      </c>
      <c r="C1700" s="16" t="s">
        <v>4615</v>
      </c>
      <c r="D1700" s="16" t="s">
        <v>184</v>
      </c>
      <c r="E1700" s="16" t="s">
        <v>234</v>
      </c>
      <c r="F1700" s="16" t="s">
        <v>3009</v>
      </c>
      <c r="G1700" s="16" t="s">
        <v>347</v>
      </c>
      <c r="H1700" s="16" t="s">
        <v>382</v>
      </c>
    </row>
    <row r="1701" ht="24.75" customHeight="1">
      <c r="A1701" s="32" t="str">
        <f>IMAGE("https://gymvisual.com/4265-catalog_default/suspension-pendulum.jpg",4,500,500)</f>
        <v/>
      </c>
      <c r="B1701" s="30">
        <v>3700.0</v>
      </c>
      <c r="C1701" s="16" t="s">
        <v>4616</v>
      </c>
      <c r="D1701" s="16" t="s">
        <v>184</v>
      </c>
      <c r="E1701" s="16" t="s">
        <v>254</v>
      </c>
      <c r="F1701" s="16" t="s">
        <v>3009</v>
      </c>
      <c r="G1701" s="16" t="s">
        <v>257</v>
      </c>
      <c r="H1701" s="16" t="s">
        <v>4617</v>
      </c>
    </row>
    <row r="1702" ht="24.75" customHeight="1">
      <c r="A1702" s="32" t="str">
        <f>IMAGE("https://gymvisual.com/4148-catalog_default/suspension-pike.jpg",4,500,500)</f>
        <v/>
      </c>
      <c r="B1702" s="30">
        <v>3701.0</v>
      </c>
      <c r="C1702" s="16" t="s">
        <v>4618</v>
      </c>
      <c r="D1702" s="16" t="s">
        <v>184</v>
      </c>
      <c r="E1702" s="16" t="s">
        <v>185</v>
      </c>
      <c r="F1702" s="16" t="s">
        <v>3009</v>
      </c>
      <c r="G1702" s="16" t="s">
        <v>271</v>
      </c>
      <c r="H1702" s="16" t="s">
        <v>566</v>
      </c>
    </row>
    <row r="1703" ht="24.75" customHeight="1">
      <c r="A1703" s="32" t="str">
        <f>IMAGE("https://gymvisual.com/19357-catalog_default/suspension-power-pull.jpg",4,500,500)</f>
        <v/>
      </c>
      <c r="B1703" s="30">
        <v>3702.0</v>
      </c>
      <c r="C1703" s="16" t="s">
        <v>4619</v>
      </c>
      <c r="D1703" s="16" t="s">
        <v>184</v>
      </c>
      <c r="E1703" s="16" t="s">
        <v>192</v>
      </c>
      <c r="F1703" s="16" t="s">
        <v>3009</v>
      </c>
      <c r="G1703" s="16" t="s">
        <v>329</v>
      </c>
      <c r="H1703" s="16" t="s">
        <v>4620</v>
      </c>
    </row>
    <row r="1704" ht="24.75" customHeight="1">
      <c r="A1704" s="32" t="str">
        <f>IMAGE("https://gymvisual.com/4154-catalog_default/suspension-pull-through.jpg",4,500,500)</f>
        <v/>
      </c>
      <c r="B1704" s="30">
        <v>3703.0</v>
      </c>
      <c r="C1704" s="16" t="s">
        <v>4621</v>
      </c>
      <c r="D1704" s="16" t="s">
        <v>184</v>
      </c>
      <c r="E1704" s="16" t="s">
        <v>192</v>
      </c>
      <c r="F1704" s="16" t="s">
        <v>3009</v>
      </c>
      <c r="G1704" s="16" t="s">
        <v>275</v>
      </c>
      <c r="H1704" s="16" t="s">
        <v>4622</v>
      </c>
    </row>
    <row r="1705" ht="24.75" customHeight="1">
      <c r="A1705" s="32" t="str">
        <f>IMAGE("https://gymvisual.com/4157-catalog_default/suspension-pull-up.jpg",4,500,500)</f>
        <v/>
      </c>
      <c r="B1705" s="30">
        <v>3704.0</v>
      </c>
      <c r="C1705" s="16" t="s">
        <v>4623</v>
      </c>
      <c r="D1705" s="16" t="s">
        <v>184</v>
      </c>
      <c r="E1705" s="16" t="s">
        <v>192</v>
      </c>
      <c r="F1705" s="16" t="s">
        <v>3009</v>
      </c>
      <c r="G1705" s="16" t="s">
        <v>300</v>
      </c>
      <c r="H1705" s="16" t="s">
        <v>4624</v>
      </c>
    </row>
    <row r="1706" ht="24.75" customHeight="1">
      <c r="A1706" s="32" t="str">
        <f>IMAGE("https://gymvisual.com/4236-catalog_default/suspension-pull-up-version-2.jpg",4,500,500)</f>
        <v/>
      </c>
      <c r="B1706" s="30">
        <v>3705.0</v>
      </c>
      <c r="C1706" s="16" t="s">
        <v>4625</v>
      </c>
      <c r="D1706" s="16" t="s">
        <v>184</v>
      </c>
      <c r="E1706" s="16" t="s">
        <v>192</v>
      </c>
      <c r="F1706" s="16" t="s">
        <v>3009</v>
      </c>
      <c r="G1706" s="16" t="s">
        <v>329</v>
      </c>
      <c r="H1706" s="16" t="s">
        <v>4626</v>
      </c>
    </row>
    <row r="1707" ht="24.75" customHeight="1">
      <c r="A1707" s="32" t="str">
        <f>IMAGE("https://gymvisual.com/4237-catalog_default/suspension-push-up.jpg",4,500,500)</f>
        <v/>
      </c>
      <c r="B1707" s="30">
        <v>3706.0</v>
      </c>
      <c r="C1707" s="16" t="s">
        <v>4627</v>
      </c>
      <c r="D1707" s="16" t="s">
        <v>184</v>
      </c>
      <c r="E1707" s="16" t="s">
        <v>234</v>
      </c>
      <c r="F1707" s="16" t="s">
        <v>3009</v>
      </c>
      <c r="G1707" s="16" t="s">
        <v>347</v>
      </c>
      <c r="H1707" s="16" t="s">
        <v>382</v>
      </c>
    </row>
    <row r="1708" ht="24.75" customHeight="1">
      <c r="A1708" s="32" t="str">
        <f>IMAGE("https://gymvisual.com/4160-catalog_default/suspension-rear-delt-row.jpg",4,500,500)</f>
        <v/>
      </c>
      <c r="B1708" s="30">
        <v>3707.0</v>
      </c>
      <c r="C1708" s="16" t="s">
        <v>4628</v>
      </c>
      <c r="D1708" s="16" t="s">
        <v>184</v>
      </c>
      <c r="E1708" s="16" t="s">
        <v>228</v>
      </c>
      <c r="F1708" s="16" t="s">
        <v>3009</v>
      </c>
      <c r="G1708" s="16" t="s">
        <v>408</v>
      </c>
      <c r="H1708" s="16" t="s">
        <v>4629</v>
      </c>
    </row>
    <row r="1709" ht="24.75" customHeight="1">
      <c r="A1709" s="32" t="str">
        <f>IMAGE("https://gymvisual.com/4238-catalog_default/suspension-rear-lunge.jpg",4,500,500)</f>
        <v/>
      </c>
      <c r="B1709" s="30">
        <v>3708.0</v>
      </c>
      <c r="C1709" s="16" t="s">
        <v>4630</v>
      </c>
      <c r="D1709" s="16" t="s">
        <v>184</v>
      </c>
      <c r="E1709" s="16" t="s">
        <v>285</v>
      </c>
      <c r="F1709" s="16" t="s">
        <v>3009</v>
      </c>
      <c r="G1709" s="16" t="s">
        <v>189</v>
      </c>
      <c r="H1709" s="16" t="s">
        <v>190</v>
      </c>
    </row>
    <row r="1710" ht="24.75" customHeight="1">
      <c r="A1710" s="32" t="str">
        <f>IMAGE("https://gymvisual.com/4163-catalog_default/suspension-reverse-fly.jpg",4,500,500)</f>
        <v/>
      </c>
      <c r="B1710" s="30">
        <v>3709.0</v>
      </c>
      <c r="C1710" s="16" t="s">
        <v>4631</v>
      </c>
      <c r="D1710" s="16" t="s">
        <v>184</v>
      </c>
      <c r="E1710" s="16" t="s">
        <v>228</v>
      </c>
      <c r="F1710" s="16" t="s">
        <v>3009</v>
      </c>
      <c r="G1710" s="16" t="s">
        <v>408</v>
      </c>
      <c r="H1710" s="16" t="s">
        <v>731</v>
      </c>
    </row>
    <row r="1711" ht="24.75" customHeight="1">
      <c r="A1711" s="32" t="str">
        <f>IMAGE("https://gymvisual.com/4239-catalog_default/suspension-reverse-fly-wake-up.jpg",4,500,500)</f>
        <v/>
      </c>
      <c r="B1711" s="30">
        <v>3710.0</v>
      </c>
      <c r="C1711" s="16" t="s">
        <v>4632</v>
      </c>
      <c r="D1711" s="16" t="s">
        <v>184</v>
      </c>
      <c r="E1711" s="16" t="s">
        <v>192</v>
      </c>
      <c r="F1711" s="16" t="s">
        <v>3009</v>
      </c>
      <c r="G1711" s="16" t="s">
        <v>4633</v>
      </c>
      <c r="H1711" s="16" t="s">
        <v>4634</v>
      </c>
    </row>
    <row r="1712" ht="24.75" customHeight="1">
      <c r="A1712" s="32" t="str">
        <f>IMAGE("https://gymvisual.com/4166-catalog_default/suspension-rollout.jpg",4,500,500)</f>
        <v/>
      </c>
      <c r="B1712" s="30">
        <v>3711.0</v>
      </c>
      <c r="C1712" s="16" t="s">
        <v>4635</v>
      </c>
      <c r="D1712" s="16" t="s">
        <v>184</v>
      </c>
      <c r="E1712" s="16" t="s">
        <v>254</v>
      </c>
      <c r="F1712" s="16" t="s">
        <v>3009</v>
      </c>
      <c r="G1712" s="16" t="s">
        <v>256</v>
      </c>
      <c r="H1712" s="16" t="s">
        <v>4636</v>
      </c>
    </row>
    <row r="1713" ht="24.75" customHeight="1">
      <c r="A1713" s="32" t="str">
        <f>IMAGE("https://gymvisual.com/4169-catalog_default/suspension-row.jpg",4,500,500)</f>
        <v/>
      </c>
      <c r="B1713" s="30">
        <v>3712.0</v>
      </c>
      <c r="C1713" s="16" t="s">
        <v>4637</v>
      </c>
      <c r="D1713" s="16" t="s">
        <v>184</v>
      </c>
      <c r="E1713" s="16" t="s">
        <v>192</v>
      </c>
      <c r="F1713" s="16" t="s">
        <v>3009</v>
      </c>
      <c r="G1713" s="16" t="s">
        <v>329</v>
      </c>
      <c r="H1713" s="16" t="s">
        <v>447</v>
      </c>
    </row>
    <row r="1714" ht="24.75" customHeight="1">
      <c r="A1714" s="32" t="str">
        <f>IMAGE("https://gymvisual.com/4172-catalog_default/suspension-self-assisted-chest-dip.jpg",4,500,500)</f>
        <v/>
      </c>
      <c r="B1714" s="30">
        <v>3713.0</v>
      </c>
      <c r="C1714" s="16" t="s">
        <v>4638</v>
      </c>
      <c r="D1714" s="16" t="s">
        <v>184</v>
      </c>
      <c r="E1714" s="16" t="s">
        <v>234</v>
      </c>
      <c r="F1714" s="16" t="s">
        <v>3009</v>
      </c>
      <c r="G1714" s="16" t="s">
        <v>347</v>
      </c>
      <c r="H1714" s="16" t="s">
        <v>1764</v>
      </c>
    </row>
    <row r="1715" ht="24.75" customHeight="1">
      <c r="A1715" s="32" t="str">
        <f>IMAGE("https://gymvisual.com/4175-catalog_default/suspension-self-assisted-pull-up.jpg",4,500,500)</f>
        <v/>
      </c>
      <c r="B1715" s="30">
        <v>3714.0</v>
      </c>
      <c r="C1715" s="16" t="s">
        <v>4639</v>
      </c>
      <c r="D1715" s="16" t="s">
        <v>184</v>
      </c>
      <c r="E1715" s="16" t="s">
        <v>192</v>
      </c>
      <c r="F1715" s="16" t="s">
        <v>3009</v>
      </c>
      <c r="G1715" s="16" t="s">
        <v>300</v>
      </c>
      <c r="H1715" s="16" t="s">
        <v>535</v>
      </c>
    </row>
    <row r="1716" ht="24.75" customHeight="1">
      <c r="A1716" s="32" t="str">
        <f>IMAGE("https://gymvisual.com/4178-catalog_default/suspension-self-assisted-triceps-dip.jpg",4,500,500)</f>
        <v/>
      </c>
      <c r="B1716" s="30">
        <v>3715.0</v>
      </c>
      <c r="C1716" s="16" t="s">
        <v>4640</v>
      </c>
      <c r="D1716" s="16" t="s">
        <v>184</v>
      </c>
      <c r="E1716" s="16" t="s">
        <v>219</v>
      </c>
      <c r="F1716" s="16" t="s">
        <v>3009</v>
      </c>
      <c r="G1716" s="16" t="s">
        <v>223</v>
      </c>
      <c r="H1716" s="16" t="s">
        <v>394</v>
      </c>
    </row>
    <row r="1717" ht="24.75" customHeight="1">
      <c r="A1717" s="32" t="str">
        <f>IMAGE("https://gymvisual.com/4181-catalog_default/suspension-shoulder-external-rotation.jpg",4,500,500)</f>
        <v/>
      </c>
      <c r="B1717" s="30">
        <v>3716.0</v>
      </c>
      <c r="C1717" s="16" t="s">
        <v>4641</v>
      </c>
      <c r="D1717" s="16" t="s">
        <v>184</v>
      </c>
      <c r="E1717" s="16" t="s">
        <v>192</v>
      </c>
      <c r="F1717" s="16" t="s">
        <v>3009</v>
      </c>
      <c r="G1717" s="16" t="s">
        <v>2451</v>
      </c>
      <c r="H1717" s="16" t="s">
        <v>4642</v>
      </c>
    </row>
    <row r="1718" ht="24.75" customHeight="1">
      <c r="A1718" s="32" t="str">
        <f>IMAGE("https://gymvisual.com/4184-catalog_default/suspension-side-bend.jpg",4,500,500)</f>
        <v/>
      </c>
      <c r="B1718" s="30">
        <v>3717.0</v>
      </c>
      <c r="C1718" s="16" t="s">
        <v>4643</v>
      </c>
      <c r="D1718" s="16" t="s">
        <v>184</v>
      </c>
      <c r="E1718" s="16" t="s">
        <v>254</v>
      </c>
      <c r="F1718" s="16" t="s">
        <v>3009</v>
      </c>
      <c r="G1718" s="16" t="s">
        <v>257</v>
      </c>
      <c r="H1718" s="16" t="s">
        <v>4644</v>
      </c>
    </row>
    <row r="1719" ht="24.75" customHeight="1">
      <c r="A1719" s="32" t="str">
        <f>IMAGE("https://gymvisual.com/4187-catalog_default/suspension-side-bridge.jpg",4,500,500)</f>
        <v/>
      </c>
      <c r="B1719" s="30">
        <v>3718.0</v>
      </c>
      <c r="C1719" s="16" t="s">
        <v>4645</v>
      </c>
      <c r="D1719" s="16" t="s">
        <v>184</v>
      </c>
      <c r="E1719" s="16" t="s">
        <v>254</v>
      </c>
      <c r="F1719" s="16" t="s">
        <v>3009</v>
      </c>
      <c r="G1719" s="16" t="s">
        <v>257</v>
      </c>
      <c r="H1719" s="16" t="s">
        <v>4646</v>
      </c>
    </row>
    <row r="1720" ht="24.75" customHeight="1">
      <c r="A1720" s="32" t="str">
        <f>IMAGE("https://gymvisual.com/4240-catalog_default/suspension-side-cross-lunge.jpg",4,500,500)</f>
        <v/>
      </c>
      <c r="B1720" s="30">
        <v>3719.0</v>
      </c>
      <c r="C1720" s="16" t="s">
        <v>4647</v>
      </c>
      <c r="D1720" s="16" t="s">
        <v>184</v>
      </c>
      <c r="E1720" s="16" t="s">
        <v>285</v>
      </c>
      <c r="F1720" s="16" t="s">
        <v>3009</v>
      </c>
      <c r="G1720" s="16" t="s">
        <v>552</v>
      </c>
      <c r="H1720" s="16" t="s">
        <v>4648</v>
      </c>
    </row>
    <row r="1721" ht="24.75" customHeight="1">
      <c r="A1721" s="32" t="str">
        <f>IMAGE("https://gymvisual.com/4241-catalog_default/suspension-side-lunge.jpg",4,500,500)</f>
        <v/>
      </c>
      <c r="B1721" s="30">
        <v>3720.0</v>
      </c>
      <c r="C1721" s="16" t="s">
        <v>4649</v>
      </c>
      <c r="D1721" s="16" t="s">
        <v>184</v>
      </c>
      <c r="E1721" s="16" t="s">
        <v>285</v>
      </c>
      <c r="F1721" s="16" t="s">
        <v>3009</v>
      </c>
      <c r="G1721" s="16" t="s">
        <v>4650</v>
      </c>
      <c r="H1721" s="16" t="s">
        <v>4185</v>
      </c>
    </row>
    <row r="1722" ht="24.75" customHeight="1">
      <c r="A1722" s="32" t="str">
        <f>IMAGE("https://gymvisual.com/4242-catalog_default/suspension-single-arm-rear-delt-row.jpg",4,500,500)</f>
        <v/>
      </c>
      <c r="B1722" s="30">
        <v>3721.0</v>
      </c>
      <c r="C1722" s="16" t="s">
        <v>4651</v>
      </c>
      <c r="D1722" s="16" t="s">
        <v>184</v>
      </c>
      <c r="E1722" s="16" t="s">
        <v>228</v>
      </c>
      <c r="F1722" s="16" t="s">
        <v>3009</v>
      </c>
      <c r="G1722" s="16" t="s">
        <v>408</v>
      </c>
      <c r="H1722" s="16" t="s">
        <v>490</v>
      </c>
    </row>
    <row r="1723" ht="24.75" customHeight="1">
      <c r="A1723" s="32" t="str">
        <f>IMAGE("https://gymvisual.com/4264-catalog_default/suspension-single-leg-deadlift.jpg",4,500,500)</f>
        <v/>
      </c>
      <c r="B1723" s="30">
        <v>3722.0</v>
      </c>
      <c r="C1723" s="16" t="s">
        <v>4652</v>
      </c>
      <c r="D1723" s="16" t="s">
        <v>184</v>
      </c>
      <c r="E1723" s="16" t="s">
        <v>185</v>
      </c>
      <c r="F1723" s="16" t="s">
        <v>3009</v>
      </c>
      <c r="G1723" s="16" t="s">
        <v>187</v>
      </c>
      <c r="H1723" s="16" t="s">
        <v>188</v>
      </c>
    </row>
    <row r="1724" ht="24.75" customHeight="1">
      <c r="A1724" s="32" t="str">
        <f>IMAGE("https://gymvisual.com/4244-catalog_default/suspension-single-leg-plank.jpg",4,500,500)</f>
        <v/>
      </c>
      <c r="B1724" s="30">
        <v>3723.0</v>
      </c>
      <c r="C1724" s="16" t="s">
        <v>4653</v>
      </c>
      <c r="D1724" s="16" t="s">
        <v>184</v>
      </c>
      <c r="E1724" s="16" t="s">
        <v>254</v>
      </c>
      <c r="F1724" s="16" t="s">
        <v>3009</v>
      </c>
      <c r="G1724" s="16" t="s">
        <v>256</v>
      </c>
      <c r="H1724" s="16" t="s">
        <v>2482</v>
      </c>
    </row>
    <row r="1725" ht="24.75" customHeight="1">
      <c r="A1725" s="32" t="str">
        <f>IMAGE("https://gymvisual.com/4243-catalog_default/suspension-single-leg-plank-straight-arm.jpg",4,500,500)</f>
        <v/>
      </c>
      <c r="B1725" s="30">
        <v>3724.0</v>
      </c>
      <c r="C1725" s="16" t="s">
        <v>4654</v>
      </c>
      <c r="D1725" s="16" t="s">
        <v>184</v>
      </c>
      <c r="E1725" s="16" t="s">
        <v>254</v>
      </c>
      <c r="F1725" s="16" t="s">
        <v>3009</v>
      </c>
      <c r="G1725" s="16" t="s">
        <v>256</v>
      </c>
      <c r="H1725" s="16" t="s">
        <v>2482</v>
      </c>
    </row>
    <row r="1726" ht="24.75" customHeight="1">
      <c r="A1726" s="32" t="str">
        <f>IMAGE("https://gymvisual.com/4193-catalog_default/suspension-single-leg-split-squat.jpg",4,500,500)</f>
        <v/>
      </c>
      <c r="B1726" s="30">
        <v>3725.0</v>
      </c>
      <c r="C1726" s="16" t="s">
        <v>4655</v>
      </c>
      <c r="D1726" s="16" t="s">
        <v>184</v>
      </c>
      <c r="E1726" s="16" t="s">
        <v>185</v>
      </c>
      <c r="F1726" s="16" t="s">
        <v>3009</v>
      </c>
      <c r="G1726" s="16" t="s">
        <v>187</v>
      </c>
      <c r="H1726" s="16" t="s">
        <v>480</v>
      </c>
    </row>
    <row r="1727" ht="24.75" customHeight="1">
      <c r="A1727" s="32" t="str">
        <f>IMAGE("https://gymvisual.com/4190-catalog_default/suspension-single-leg-split-squat-self-assisted.jpg",4,500,500)</f>
        <v/>
      </c>
      <c r="B1727" s="30">
        <v>3726.0</v>
      </c>
      <c r="C1727" s="16" t="s">
        <v>4656</v>
      </c>
      <c r="D1727" s="16" t="s">
        <v>184</v>
      </c>
      <c r="E1727" s="16" t="s">
        <v>185</v>
      </c>
      <c r="F1727" s="16" t="s">
        <v>3009</v>
      </c>
      <c r="G1727" s="16" t="s">
        <v>187</v>
      </c>
      <c r="H1727" s="16" t="s">
        <v>480</v>
      </c>
    </row>
    <row r="1728" ht="24.75" customHeight="1">
      <c r="A1728" s="32" t="str">
        <f>IMAGE("https://gymvisual.com/4196-catalog_default/suspension-single-leg-squat.jpg",4,500,500)</f>
        <v/>
      </c>
      <c r="B1728" s="30">
        <v>3727.0</v>
      </c>
      <c r="C1728" s="16" t="s">
        <v>4657</v>
      </c>
      <c r="D1728" s="16" t="s">
        <v>184</v>
      </c>
      <c r="E1728" s="16" t="s">
        <v>185</v>
      </c>
      <c r="F1728" s="16" t="s">
        <v>3009</v>
      </c>
      <c r="G1728" s="16" t="s">
        <v>187</v>
      </c>
      <c r="H1728" s="16" t="s">
        <v>480</v>
      </c>
    </row>
    <row r="1729" ht="24.75" customHeight="1">
      <c r="A1729" s="32" t="str">
        <f>IMAGE("https://gymvisual.com/4245-catalog_default/suspension-single-leg-squat-figure.jpg",4,500,500)</f>
        <v/>
      </c>
      <c r="B1729" s="30">
        <v>3728.0</v>
      </c>
      <c r="C1729" s="16" t="s">
        <v>4658</v>
      </c>
      <c r="D1729" s="16" t="s">
        <v>184</v>
      </c>
      <c r="E1729" s="16" t="s">
        <v>285</v>
      </c>
      <c r="F1729" s="16" t="s">
        <v>3009</v>
      </c>
      <c r="G1729" s="16" t="s">
        <v>189</v>
      </c>
      <c r="H1729" s="16" t="s">
        <v>190</v>
      </c>
    </row>
    <row r="1730" ht="24.75" customHeight="1">
      <c r="A1730" s="32" t="str">
        <f>IMAGE("https://gymvisual.com/4246-catalog_default/suspension-sit-up.jpg",4,500,500)</f>
        <v/>
      </c>
      <c r="B1730" s="30">
        <v>3729.0</v>
      </c>
      <c r="C1730" s="16" t="s">
        <v>4659</v>
      </c>
      <c r="D1730" s="16" t="s">
        <v>184</v>
      </c>
      <c r="E1730" s="16" t="s">
        <v>254</v>
      </c>
      <c r="F1730" s="16" t="s">
        <v>3009</v>
      </c>
      <c r="G1730" s="16" t="s">
        <v>305</v>
      </c>
      <c r="H1730" s="16" t="s">
        <v>593</v>
      </c>
    </row>
    <row r="1731" ht="24.75" customHeight="1">
      <c r="A1731" s="32" t="str">
        <f>IMAGE("https://gymvisual.com/4247-catalog_default/suspension-spiderman-push-up.jpg",4,500,500)</f>
        <v/>
      </c>
      <c r="B1731" s="30">
        <v>3730.0</v>
      </c>
      <c r="C1731" s="16" t="s">
        <v>4660</v>
      </c>
      <c r="D1731" s="16" t="s">
        <v>184</v>
      </c>
      <c r="E1731" s="16" t="s">
        <v>185</v>
      </c>
      <c r="F1731" s="16" t="s">
        <v>3009</v>
      </c>
      <c r="G1731" s="16" t="s">
        <v>1213</v>
      </c>
      <c r="H1731" s="16" t="s">
        <v>4661</v>
      </c>
    </row>
    <row r="1732" ht="24.75" customHeight="1">
      <c r="A1732" s="32" t="str">
        <f>IMAGE("https://gymvisual.com/4248-catalog_default/suspension-split-fly.jpg",4,500,500)</f>
        <v/>
      </c>
      <c r="B1732" s="30">
        <v>3731.0</v>
      </c>
      <c r="C1732" s="16" t="s">
        <v>4662</v>
      </c>
      <c r="D1732" s="16" t="s">
        <v>184</v>
      </c>
      <c r="E1732" s="16" t="s">
        <v>228</v>
      </c>
      <c r="F1732" s="16" t="s">
        <v>3009</v>
      </c>
      <c r="G1732" s="16" t="s">
        <v>2754</v>
      </c>
      <c r="H1732" s="16" t="s">
        <v>3134</v>
      </c>
    </row>
    <row r="1733" ht="24.75" customHeight="1">
      <c r="A1733" s="32" t="str">
        <f>IMAGE("https://gymvisual.com/4249-catalog_default/suspension-sprinter.jpg",4,500,500)</f>
        <v/>
      </c>
      <c r="B1733" s="30">
        <v>3732.0</v>
      </c>
      <c r="C1733" s="16" t="s">
        <v>4663</v>
      </c>
      <c r="D1733" s="16" t="s">
        <v>184</v>
      </c>
      <c r="E1733" s="16" t="s">
        <v>285</v>
      </c>
      <c r="F1733" s="16" t="s">
        <v>3009</v>
      </c>
      <c r="G1733" s="16" t="s">
        <v>189</v>
      </c>
      <c r="H1733" s="16" t="s">
        <v>314</v>
      </c>
    </row>
    <row r="1734" ht="24.75" customHeight="1">
      <c r="A1734" s="32" t="str">
        <f>IMAGE("https://gymvisual.com/4252-catalog_default/suspension-squat.jpg",4,500,500)</f>
        <v/>
      </c>
      <c r="B1734" s="30">
        <v>3733.0</v>
      </c>
      <c r="C1734" s="16" t="s">
        <v>4664</v>
      </c>
      <c r="D1734" s="16" t="s">
        <v>184</v>
      </c>
      <c r="E1734" s="16" t="s">
        <v>285</v>
      </c>
      <c r="F1734" s="16" t="s">
        <v>3009</v>
      </c>
      <c r="G1734" s="16" t="s">
        <v>552</v>
      </c>
      <c r="H1734" s="16" t="s">
        <v>553</v>
      </c>
    </row>
    <row r="1735" ht="24.75" customHeight="1">
      <c r="A1735" s="32" t="str">
        <f>IMAGE("https://gymvisual.com/4250-catalog_default/suspension-squat-arms-overhead.jpg",4,500,500)</f>
        <v/>
      </c>
      <c r="B1735" s="30">
        <v>3734.0</v>
      </c>
      <c r="C1735" s="16" t="s">
        <v>4665</v>
      </c>
      <c r="D1735" s="16" t="s">
        <v>184</v>
      </c>
      <c r="E1735" s="16" t="s">
        <v>285</v>
      </c>
      <c r="F1735" s="16" t="s">
        <v>3009</v>
      </c>
      <c r="G1735" s="16" t="s">
        <v>189</v>
      </c>
      <c r="H1735" s="16" t="s">
        <v>190</v>
      </c>
    </row>
    <row r="1736" ht="24.75" customHeight="1">
      <c r="A1736" s="32" t="str">
        <f>IMAGE("https://gymvisual.com/4251-catalog_default/suspension-squat-power-pull.jpg",4,500,500)</f>
        <v/>
      </c>
      <c r="B1736" s="30">
        <v>3735.0</v>
      </c>
      <c r="C1736" s="16" t="s">
        <v>4666</v>
      </c>
      <c r="D1736" s="16" t="s">
        <v>184</v>
      </c>
      <c r="E1736" s="16" t="s">
        <v>285</v>
      </c>
      <c r="F1736" s="16" t="s">
        <v>3009</v>
      </c>
      <c r="G1736" s="16" t="s">
        <v>4667</v>
      </c>
      <c r="H1736" s="16" t="s">
        <v>4668</v>
      </c>
    </row>
    <row r="1737" ht="24.75" customHeight="1">
      <c r="A1737" s="32" t="str">
        <f>IMAGE("https://gymvisual.com/4253-catalog_default/suspension-standing-ab-rollout.jpg",4,500,500)</f>
        <v/>
      </c>
      <c r="B1737" s="30">
        <v>3736.0</v>
      </c>
      <c r="C1737" s="16" t="s">
        <v>4669</v>
      </c>
      <c r="D1737" s="16" t="s">
        <v>184</v>
      </c>
      <c r="E1737" s="16" t="s">
        <v>254</v>
      </c>
      <c r="F1737" s="16" t="s">
        <v>3009</v>
      </c>
      <c r="G1737" s="16" t="s">
        <v>256</v>
      </c>
      <c r="H1737" s="16" t="s">
        <v>4670</v>
      </c>
    </row>
    <row r="1738" ht="24.75" customHeight="1">
      <c r="A1738" s="32" t="str">
        <f>IMAGE("https://gymvisual.com/4254-catalog_default/suspension-star-plank.jpg",4,500,500)</f>
        <v/>
      </c>
      <c r="B1738" s="30">
        <v>3737.0</v>
      </c>
      <c r="C1738" s="16" t="s">
        <v>4671</v>
      </c>
      <c r="D1738" s="16" t="s">
        <v>184</v>
      </c>
      <c r="E1738" s="16" t="s">
        <v>254</v>
      </c>
      <c r="F1738" s="16" t="s">
        <v>3009</v>
      </c>
      <c r="G1738" s="16" t="s">
        <v>257</v>
      </c>
      <c r="H1738" s="16" t="s">
        <v>220</v>
      </c>
    </row>
    <row r="1739" ht="24.75" customHeight="1">
      <c r="A1739" s="32" t="str">
        <f>IMAGE("https://gymvisual.com/4255-catalog_default/suspension-star-push-up.jpg",4,500,500)</f>
        <v/>
      </c>
      <c r="B1739" s="30">
        <v>3738.0</v>
      </c>
      <c r="C1739" s="16" t="s">
        <v>4672</v>
      </c>
      <c r="D1739" s="16" t="s">
        <v>184</v>
      </c>
      <c r="E1739" s="16" t="s">
        <v>254</v>
      </c>
      <c r="F1739" s="16" t="s">
        <v>3009</v>
      </c>
      <c r="G1739" s="16" t="s">
        <v>1807</v>
      </c>
      <c r="H1739" s="16" t="s">
        <v>4673</v>
      </c>
    </row>
    <row r="1740" ht="24.75" customHeight="1">
      <c r="A1740" s="32" t="str">
        <f>IMAGE("https://gymvisual.com/4199-catalog_default/suspension-straight-hip-leg-curl.jpg",4,500,500)</f>
        <v/>
      </c>
      <c r="B1740" s="30">
        <v>3739.0</v>
      </c>
      <c r="C1740" s="16" t="s">
        <v>4674</v>
      </c>
      <c r="D1740" s="16" t="s">
        <v>184</v>
      </c>
      <c r="E1740" s="16" t="s">
        <v>285</v>
      </c>
      <c r="F1740" s="16" t="s">
        <v>3009</v>
      </c>
      <c r="G1740" s="16" t="s">
        <v>188</v>
      </c>
      <c r="H1740" s="16" t="s">
        <v>368</v>
      </c>
    </row>
    <row r="1741" ht="24.75" customHeight="1">
      <c r="A1741" s="32" t="str">
        <f>IMAGE("https://gymvisual.com/20092-catalog_default/suspension-sumo-squat-female.jpg",4,500,500)</f>
        <v/>
      </c>
      <c r="B1741" s="30">
        <v>3740.0</v>
      </c>
      <c r="C1741" s="16" t="s">
        <v>4675</v>
      </c>
      <c r="D1741" s="16" t="s">
        <v>184</v>
      </c>
      <c r="E1741" s="16" t="s">
        <v>185</v>
      </c>
      <c r="F1741" s="16" t="s">
        <v>3009</v>
      </c>
      <c r="G1741" s="16" t="s">
        <v>1851</v>
      </c>
      <c r="H1741" s="16" t="s">
        <v>1121</v>
      </c>
    </row>
    <row r="1742" ht="24.75" customHeight="1">
      <c r="A1742" s="32" t="str">
        <f>IMAGE("https://gymvisual.com/4256-catalog_default/suspension-supine-crunch.jpg",4,500,500)</f>
        <v/>
      </c>
      <c r="B1742" s="30">
        <v>3741.0</v>
      </c>
      <c r="C1742" s="16" t="s">
        <v>4676</v>
      </c>
      <c r="D1742" s="16" t="s">
        <v>184</v>
      </c>
      <c r="E1742" s="16" t="s">
        <v>254</v>
      </c>
      <c r="F1742" s="16" t="s">
        <v>3009</v>
      </c>
      <c r="G1742" s="16" t="s">
        <v>305</v>
      </c>
      <c r="H1742" s="16" t="s">
        <v>593</v>
      </c>
    </row>
    <row r="1743" ht="24.75" customHeight="1">
      <c r="A1743" s="32" t="str">
        <f>IMAGE("https://gymvisual.com/4257-catalog_default/suspension-supine-plank.jpg",4,500,500)</f>
        <v/>
      </c>
      <c r="B1743" s="30">
        <v>3742.0</v>
      </c>
      <c r="C1743" s="16" t="s">
        <v>4677</v>
      </c>
      <c r="D1743" s="16" t="s">
        <v>184</v>
      </c>
      <c r="E1743" s="16" t="s">
        <v>254</v>
      </c>
      <c r="F1743" s="16" t="s">
        <v>3009</v>
      </c>
      <c r="G1743" s="16" t="s">
        <v>4678</v>
      </c>
      <c r="H1743" s="16" t="s">
        <v>1328</v>
      </c>
    </row>
    <row r="1744" ht="24.75" customHeight="1">
      <c r="A1744" s="32" t="str">
        <f>IMAGE("https://gymvisual.com/4202-catalog_default/suspension-triceps-dip.jpg",4,500,500)</f>
        <v/>
      </c>
      <c r="B1744" s="30">
        <v>3743.0</v>
      </c>
      <c r="C1744" s="16" t="s">
        <v>4679</v>
      </c>
      <c r="D1744" s="16" t="s">
        <v>184</v>
      </c>
      <c r="E1744" s="16" t="s">
        <v>219</v>
      </c>
      <c r="F1744" s="16" t="s">
        <v>3009</v>
      </c>
      <c r="G1744" s="16" t="s">
        <v>223</v>
      </c>
      <c r="H1744" s="16" t="s">
        <v>394</v>
      </c>
    </row>
    <row r="1745" ht="24.75" customHeight="1">
      <c r="A1745" s="32" t="str">
        <f>IMAGE("https://gymvisual.com/4205-catalog_default/suspension-triceps-extension.jpg",4,500,500)</f>
        <v/>
      </c>
      <c r="B1745" s="30">
        <v>3744.0</v>
      </c>
      <c r="C1745" s="16" t="s">
        <v>4680</v>
      </c>
      <c r="D1745" s="16" t="s">
        <v>184</v>
      </c>
      <c r="E1745" s="16" t="s">
        <v>219</v>
      </c>
      <c r="F1745" s="16" t="s">
        <v>3009</v>
      </c>
      <c r="G1745" s="16" t="s">
        <v>223</v>
      </c>
      <c r="H1745" s="16" t="s">
        <v>220</v>
      </c>
    </row>
    <row r="1746" ht="24.75" customHeight="1">
      <c r="A1746" s="32" t="str">
        <f>IMAGE("https://gymvisual.com/4258-catalog_default/suspension-triceps-extension-push-up.jpg",4,500,500)</f>
        <v/>
      </c>
      <c r="B1746" s="30">
        <v>3745.0</v>
      </c>
      <c r="C1746" s="16" t="s">
        <v>4681</v>
      </c>
      <c r="D1746" s="16" t="s">
        <v>184</v>
      </c>
      <c r="E1746" s="16" t="s">
        <v>219</v>
      </c>
      <c r="F1746" s="16" t="s">
        <v>3009</v>
      </c>
      <c r="G1746" s="16" t="s">
        <v>223</v>
      </c>
      <c r="H1746" s="16" t="s">
        <v>220</v>
      </c>
    </row>
    <row r="1747" ht="24.75" customHeight="1">
      <c r="A1747" s="32" t="str">
        <f>IMAGE("https://gymvisual.com/4259-catalog_default/suspension-triceps-kickback.jpg",4,500,500)</f>
        <v/>
      </c>
      <c r="B1747" s="30">
        <v>3746.0</v>
      </c>
      <c r="C1747" s="16" t="s">
        <v>4682</v>
      </c>
      <c r="D1747" s="16" t="s">
        <v>184</v>
      </c>
      <c r="E1747" s="16" t="s">
        <v>219</v>
      </c>
      <c r="F1747" s="16" t="s">
        <v>3009</v>
      </c>
      <c r="G1747" s="16" t="s">
        <v>223</v>
      </c>
      <c r="H1747" s="16" t="s">
        <v>220</v>
      </c>
    </row>
    <row r="1748" ht="24.75" customHeight="1">
      <c r="A1748" s="32" t="str">
        <f>IMAGE("https://gymvisual.com/4208-catalog_default/suspension-twist.jpg",4,500,500)</f>
        <v/>
      </c>
      <c r="B1748" s="30">
        <v>3747.0</v>
      </c>
      <c r="C1748" s="16" t="s">
        <v>4683</v>
      </c>
      <c r="D1748" s="16" t="s">
        <v>184</v>
      </c>
      <c r="E1748" s="16" t="s">
        <v>254</v>
      </c>
      <c r="F1748" s="16" t="s">
        <v>3009</v>
      </c>
      <c r="G1748" s="16" t="s">
        <v>257</v>
      </c>
      <c r="H1748" s="16" t="s">
        <v>508</v>
      </c>
    </row>
    <row r="1749" ht="24.75" customHeight="1">
      <c r="A1749" s="32" t="str">
        <f>IMAGE("https://gymvisual.com/4260-catalog_default/suspension-twist-side.jpg",4,500,500)</f>
        <v/>
      </c>
      <c r="B1749" s="30">
        <v>3748.0</v>
      </c>
      <c r="C1749" s="16" t="s">
        <v>4684</v>
      </c>
      <c r="D1749" s="16" t="s">
        <v>184</v>
      </c>
      <c r="E1749" s="16" t="s">
        <v>254</v>
      </c>
      <c r="F1749" s="16" t="s">
        <v>3009</v>
      </c>
      <c r="G1749" s="16" t="s">
        <v>741</v>
      </c>
      <c r="H1749" s="16" t="s">
        <v>4685</v>
      </c>
    </row>
    <row r="1750" ht="24.75" customHeight="1">
      <c r="A1750" s="32" t="str">
        <f>IMAGE("https://gymvisual.com/4261-catalog_default/suspension-twist-up.jpg",4,500,500)</f>
        <v/>
      </c>
      <c r="B1750" s="30">
        <v>3749.0</v>
      </c>
      <c r="C1750" s="16" t="s">
        <v>4686</v>
      </c>
      <c r="D1750" s="16" t="s">
        <v>184</v>
      </c>
      <c r="E1750" s="16" t="s">
        <v>254</v>
      </c>
      <c r="F1750" s="16" t="s">
        <v>3009</v>
      </c>
      <c r="G1750" s="16" t="s">
        <v>257</v>
      </c>
      <c r="H1750" s="16" t="s">
        <v>1715</v>
      </c>
    </row>
    <row r="1751" ht="24.75" customHeight="1">
      <c r="A1751" s="32" t="str">
        <f>IMAGE("https://gymvisual.com/4211-catalog_default/suspension-twisting-jack-knife.jpg",4,500,500)</f>
        <v/>
      </c>
      <c r="B1751" s="30">
        <v>3750.0</v>
      </c>
      <c r="C1751" s="16" t="s">
        <v>4687</v>
      </c>
      <c r="D1751" s="16" t="s">
        <v>184</v>
      </c>
      <c r="E1751" s="16" t="s">
        <v>254</v>
      </c>
      <c r="F1751" s="16" t="s">
        <v>3009</v>
      </c>
      <c r="G1751" s="16" t="s">
        <v>257</v>
      </c>
      <c r="H1751" s="16" t="s">
        <v>1707</v>
      </c>
    </row>
    <row r="1752" ht="24.75" customHeight="1">
      <c r="A1752" s="32" t="str">
        <f>IMAGE("https://gymvisual.com/20096-catalog_default/suspension-underhand-grip-inverted-row-female.jpg",4,500,500)</f>
        <v/>
      </c>
      <c r="B1752" s="30">
        <v>3751.0</v>
      </c>
      <c r="C1752" s="16" t="s">
        <v>4688</v>
      </c>
      <c r="D1752" s="16" t="s">
        <v>184</v>
      </c>
      <c r="E1752" s="16" t="s">
        <v>192</v>
      </c>
      <c r="F1752" s="16" t="s">
        <v>3009</v>
      </c>
      <c r="G1752" s="16" t="s">
        <v>329</v>
      </c>
      <c r="H1752" s="16" t="s">
        <v>357</v>
      </c>
    </row>
    <row r="1753" ht="24.75" customHeight="1">
      <c r="A1753" s="32" t="str">
        <f>IMAGE("https://gymvisual.com/4214-catalog_default/suspension-y-lateral-raise.jpg",4,500,500)</f>
        <v/>
      </c>
      <c r="B1753" s="30">
        <v>3752.0</v>
      </c>
      <c r="C1753" s="16" t="s">
        <v>4689</v>
      </c>
      <c r="D1753" s="16" t="s">
        <v>184</v>
      </c>
      <c r="E1753" s="16" t="s">
        <v>228</v>
      </c>
      <c r="F1753" s="16" t="s">
        <v>3009</v>
      </c>
      <c r="G1753" s="16" t="s">
        <v>544</v>
      </c>
      <c r="H1753" s="16" t="s">
        <v>4690</v>
      </c>
    </row>
    <row r="1754" ht="24.75" customHeight="1">
      <c r="A1754" s="32" t="str">
        <f>IMAGE("https://gymvisual.com/6960-catalog_default/swimmer.jpg",4,500,500)</f>
        <v/>
      </c>
      <c r="B1754" s="30">
        <v>3753.0</v>
      </c>
      <c r="C1754" s="16" t="s">
        <v>4691</v>
      </c>
      <c r="D1754" s="16" t="s">
        <v>184</v>
      </c>
      <c r="E1754" s="16" t="s">
        <v>185</v>
      </c>
      <c r="F1754" s="16" t="s">
        <v>255</v>
      </c>
      <c r="G1754" s="16" t="s">
        <v>220</v>
      </c>
      <c r="H1754" s="16" t="s">
        <v>220</v>
      </c>
    </row>
    <row r="1755" ht="24.75" customHeight="1">
      <c r="A1755" s="32" t="str">
        <f>IMAGE("https://gymvisual.com/13775-catalog_default/swimmer-kicks-version-2-female.jpg",4,500,500)</f>
        <v/>
      </c>
      <c r="B1755" s="30">
        <v>3754.0</v>
      </c>
      <c r="C1755" s="16" t="s">
        <v>4692</v>
      </c>
      <c r="D1755" s="16" t="s">
        <v>184</v>
      </c>
      <c r="E1755" s="16" t="s">
        <v>185</v>
      </c>
      <c r="F1755" s="16" t="s">
        <v>255</v>
      </c>
      <c r="G1755" s="16" t="s">
        <v>1114</v>
      </c>
      <c r="H1755" s="16" t="s">
        <v>220</v>
      </c>
    </row>
    <row r="1756" ht="24.75" customHeight="1">
      <c r="A1756" s="32" t="str">
        <f>IMAGE("https://gymvisual.com/13774-catalog_default/swimmer-kicks-version-2-male.jpg",4,500,500)</f>
        <v/>
      </c>
      <c r="B1756" s="30">
        <v>3755.0</v>
      </c>
      <c r="C1756" s="16" t="s">
        <v>4693</v>
      </c>
      <c r="D1756" s="16" t="s">
        <v>184</v>
      </c>
      <c r="E1756" s="16" t="s">
        <v>185</v>
      </c>
      <c r="F1756" s="16" t="s">
        <v>255</v>
      </c>
      <c r="G1756" s="16" t="s">
        <v>1114</v>
      </c>
      <c r="H1756" s="16" t="s">
        <v>220</v>
      </c>
    </row>
    <row r="1757" ht="24.75" customHeight="1">
      <c r="A1757" s="32" t="str">
        <f>IMAGE("https://gymvisual.com/22325-catalog_default/table-top-bridge.jpg",4,500,500)</f>
        <v/>
      </c>
      <c r="B1757" s="30">
        <v>3756.0</v>
      </c>
      <c r="C1757" s="16" t="s">
        <v>4694</v>
      </c>
      <c r="D1757" s="16" t="s">
        <v>184</v>
      </c>
      <c r="E1757" s="16" t="s">
        <v>185</v>
      </c>
      <c r="F1757" s="16" t="s">
        <v>255</v>
      </c>
      <c r="G1757" s="16" t="s">
        <v>4695</v>
      </c>
      <c r="H1757" s="16" t="s">
        <v>220</v>
      </c>
    </row>
    <row r="1758" ht="24.75" customHeight="1">
      <c r="A1758" s="32" t="str">
        <f>IMAGE("https://gymvisual.com/22327-catalog_default/table-top-bridge-rotation.jpg",4,500,500)</f>
        <v/>
      </c>
      <c r="B1758" s="30">
        <v>3757.0</v>
      </c>
      <c r="C1758" s="16" t="s">
        <v>4696</v>
      </c>
      <c r="D1758" s="16" t="s">
        <v>184</v>
      </c>
      <c r="E1758" s="16" t="s">
        <v>185</v>
      </c>
      <c r="F1758" s="16" t="s">
        <v>255</v>
      </c>
      <c r="G1758" s="16" t="s">
        <v>220</v>
      </c>
      <c r="H1758" s="16" t="s">
        <v>220</v>
      </c>
    </row>
    <row r="1759" ht="24.75" customHeight="1">
      <c r="A1759" s="32" t="str">
        <f>IMAGE("https://gymvisual.com/7472-catalog_default/three-bench-dip.jpg",4,500,500)</f>
        <v/>
      </c>
      <c r="B1759" s="30">
        <v>3758.0</v>
      </c>
      <c r="C1759" s="16" t="s">
        <v>4697</v>
      </c>
      <c r="D1759" s="16" t="s">
        <v>184</v>
      </c>
      <c r="E1759" s="16" t="s">
        <v>219</v>
      </c>
      <c r="F1759" s="16" t="s">
        <v>255</v>
      </c>
      <c r="G1759" s="16" t="s">
        <v>220</v>
      </c>
      <c r="H1759" s="16" t="s">
        <v>220</v>
      </c>
    </row>
    <row r="1760" ht="24.75" customHeight="1">
      <c r="A1760" s="32" t="str">
        <f>IMAGE("https://gymvisual.com/18079-catalog_default/tiger-tail-peroneal.jpg",4,500,500)</f>
        <v/>
      </c>
      <c r="B1760" s="30">
        <v>3759.0</v>
      </c>
      <c r="C1760" s="16" t="s">
        <v>4698</v>
      </c>
      <c r="D1760" s="16" t="s">
        <v>184</v>
      </c>
      <c r="E1760" s="16" t="s">
        <v>325</v>
      </c>
      <c r="F1760" s="16" t="s">
        <v>255</v>
      </c>
      <c r="G1760" s="16" t="s">
        <v>220</v>
      </c>
      <c r="H1760" s="16" t="s">
        <v>220</v>
      </c>
    </row>
    <row r="1761" ht="24.75" customHeight="1">
      <c r="A1761" s="32" t="str">
        <f>IMAGE("https://gymvisual.com/10566-catalog_default/tire-flip.jpg",4,500,500)</f>
        <v/>
      </c>
      <c r="B1761" s="30">
        <v>3760.0</v>
      </c>
      <c r="C1761" s="16" t="s">
        <v>4699</v>
      </c>
      <c r="D1761" s="16" t="s">
        <v>184</v>
      </c>
      <c r="E1761" s="16" t="s">
        <v>285</v>
      </c>
      <c r="F1761" s="16" t="s">
        <v>255</v>
      </c>
      <c r="G1761" s="16" t="s">
        <v>220</v>
      </c>
      <c r="H1761" s="16" t="s">
        <v>220</v>
      </c>
    </row>
    <row r="1762" ht="24.75" customHeight="1">
      <c r="A1762" s="32" t="str">
        <f>IMAGE("https://gymvisual.com/2421-catalog_default/toe-touch-sit-wall.jpg",4,500,500)</f>
        <v/>
      </c>
      <c r="B1762" s="30">
        <v>3761.0</v>
      </c>
      <c r="C1762" s="16" t="s">
        <v>4700</v>
      </c>
      <c r="D1762" s="16" t="s">
        <v>184</v>
      </c>
      <c r="E1762" s="16" t="s">
        <v>285</v>
      </c>
      <c r="F1762" s="16" t="s">
        <v>255</v>
      </c>
      <c r="G1762" s="16" t="s">
        <v>2482</v>
      </c>
      <c r="H1762" s="16" t="s">
        <v>553</v>
      </c>
    </row>
    <row r="1763" ht="24.75" customHeight="1">
      <c r="A1763" s="32" t="str">
        <f>IMAGE("https://gymvisual.com/22516-catalog_default/top-pull-up-hold-female.jpg",4,500,500)</f>
        <v/>
      </c>
      <c r="B1763" s="30">
        <v>3762.0</v>
      </c>
      <c r="C1763" s="16" t="s">
        <v>4701</v>
      </c>
      <c r="D1763" s="16" t="s">
        <v>184</v>
      </c>
      <c r="E1763" s="16" t="s">
        <v>192</v>
      </c>
      <c r="F1763" s="16" t="s">
        <v>255</v>
      </c>
      <c r="G1763" s="16" t="s">
        <v>220</v>
      </c>
      <c r="H1763" s="16" t="s">
        <v>220</v>
      </c>
    </row>
    <row r="1764" ht="24.75" customHeight="1">
      <c r="A1764" s="32" t="str">
        <f>IMAGE("https://gymvisual.com/7340-catalog_default/transverse-plane-dumbbell-lunge.jpg",4,500,500)</f>
        <v/>
      </c>
      <c r="B1764" s="30">
        <v>3763.0</v>
      </c>
      <c r="C1764" s="16" t="s">
        <v>4702</v>
      </c>
      <c r="D1764" s="16" t="s">
        <v>184</v>
      </c>
      <c r="E1764" s="16" t="s">
        <v>285</v>
      </c>
      <c r="F1764" s="16" t="s">
        <v>222</v>
      </c>
      <c r="G1764" s="16" t="s">
        <v>220</v>
      </c>
      <c r="H1764" s="16" t="s">
        <v>220</v>
      </c>
    </row>
    <row r="1765" ht="24.75" customHeight="1">
      <c r="A1765" s="32" t="str">
        <f>IMAGE("https://gymvisual.com/6849-catalog_default/transverse-step-up.jpg",4,500,500)</f>
        <v/>
      </c>
      <c r="B1765" s="30">
        <v>3764.0</v>
      </c>
      <c r="C1765" s="16" t="s">
        <v>4703</v>
      </c>
      <c r="D1765" s="16" t="s">
        <v>184</v>
      </c>
      <c r="E1765" s="16" t="s">
        <v>285</v>
      </c>
      <c r="F1765" s="16" t="s">
        <v>255</v>
      </c>
      <c r="G1765" s="16" t="s">
        <v>220</v>
      </c>
      <c r="H1765" s="16" t="s">
        <v>220</v>
      </c>
    </row>
    <row r="1766" ht="24.75" customHeight="1">
      <c r="A1766" s="32" t="str">
        <f>IMAGE("https://gymvisual.com/22369-catalog_default/trap-bar-banded-deadlift.jpg",4,500,500)</f>
        <v/>
      </c>
      <c r="B1766" s="30">
        <v>3765.0</v>
      </c>
      <c r="C1766" s="16" t="s">
        <v>4704</v>
      </c>
      <c r="D1766" s="16" t="s">
        <v>184</v>
      </c>
      <c r="E1766" s="16" t="s">
        <v>185</v>
      </c>
      <c r="F1766" s="16" t="s">
        <v>4705</v>
      </c>
      <c r="G1766" s="16" t="s">
        <v>220</v>
      </c>
      <c r="H1766" s="16" t="s">
        <v>220</v>
      </c>
    </row>
    <row r="1767" ht="24.75" customHeight="1">
      <c r="A1767" s="32" t="str">
        <f>IMAGE("https://gymvisual.com/17909-catalog_default/trap-bar-bent-over-row-male.jpg",4,500,500)</f>
        <v/>
      </c>
      <c r="B1767" s="30">
        <v>3766.0</v>
      </c>
      <c r="C1767" s="16" t="s">
        <v>4706</v>
      </c>
      <c r="D1767" s="16" t="s">
        <v>184</v>
      </c>
      <c r="E1767" s="16" t="s">
        <v>192</v>
      </c>
      <c r="F1767" s="16" t="s">
        <v>4705</v>
      </c>
      <c r="G1767" s="16" t="s">
        <v>570</v>
      </c>
      <c r="H1767" s="16" t="s">
        <v>447</v>
      </c>
    </row>
    <row r="1768" ht="24.75" customHeight="1">
      <c r="A1768" s="32" t="str">
        <f>IMAGE("https://gymvisual.com/24049-catalog_default/trap-bar-deadlift.jpg",4,500,500)</f>
        <v/>
      </c>
      <c r="B1768" s="30">
        <v>3767.0</v>
      </c>
      <c r="C1768" s="16" t="s">
        <v>4707</v>
      </c>
      <c r="D1768" s="16" t="s">
        <v>184</v>
      </c>
      <c r="E1768" s="16" t="s">
        <v>285</v>
      </c>
      <c r="F1768" s="16" t="s">
        <v>4705</v>
      </c>
      <c r="G1768" s="16" t="s">
        <v>189</v>
      </c>
      <c r="H1768" s="16" t="s">
        <v>190</v>
      </c>
    </row>
    <row r="1769" ht="24.75" customHeight="1">
      <c r="A1769" s="32" t="str">
        <f>IMAGE("https://gymvisual.com/17911-catalog_default/trap-bar-deadlift-from-deficit-male.jpg",4,500,500)</f>
        <v/>
      </c>
      <c r="B1769" s="30">
        <v>3768.0</v>
      </c>
      <c r="C1769" s="16" t="s">
        <v>4708</v>
      </c>
      <c r="D1769" s="16" t="s">
        <v>184</v>
      </c>
      <c r="E1769" s="16" t="s">
        <v>185</v>
      </c>
      <c r="F1769" s="16" t="s">
        <v>4705</v>
      </c>
      <c r="G1769" s="16" t="s">
        <v>220</v>
      </c>
      <c r="H1769" s="16" t="s">
        <v>220</v>
      </c>
    </row>
    <row r="1770" ht="24.75" customHeight="1">
      <c r="A1770" s="32" t="str">
        <f>IMAGE("https://gymvisual.com/12174-catalog_default/trap-bar-farmers-carry.jpg",4,500,500)</f>
        <v/>
      </c>
      <c r="B1770" s="30">
        <v>3769.0</v>
      </c>
      <c r="C1770" s="16" t="s">
        <v>4709</v>
      </c>
      <c r="D1770" s="16" t="s">
        <v>184</v>
      </c>
      <c r="E1770" s="16" t="s">
        <v>285</v>
      </c>
      <c r="F1770" s="16" t="s">
        <v>4705</v>
      </c>
      <c r="G1770" s="16" t="s">
        <v>220</v>
      </c>
      <c r="H1770" s="16" t="s">
        <v>220</v>
      </c>
    </row>
    <row r="1771" ht="24.75" customHeight="1">
      <c r="A1771" s="32" t="str">
        <f>IMAGE("https://gymvisual.com/14415-catalog_default/trap-bar-split-stance-rdl.jpg",4,500,500)</f>
        <v/>
      </c>
      <c r="B1771" s="30">
        <v>3770.0</v>
      </c>
      <c r="C1771" s="16" t="s">
        <v>4710</v>
      </c>
      <c r="D1771" s="16" t="s">
        <v>184</v>
      </c>
      <c r="E1771" s="16" t="s">
        <v>185</v>
      </c>
      <c r="F1771" s="16" t="s">
        <v>4705</v>
      </c>
      <c r="G1771" s="16" t="s">
        <v>189</v>
      </c>
      <c r="H1771" s="16" t="s">
        <v>314</v>
      </c>
    </row>
    <row r="1772" ht="24.75" customHeight="1">
      <c r="A1772" s="32" t="str">
        <f>IMAGE("https://gymvisual.com/17907-catalog_default/trap-bar-standing-shrug-male.jpg",4,500,500)</f>
        <v/>
      </c>
      <c r="B1772" s="30">
        <v>3771.0</v>
      </c>
      <c r="C1772" s="16" t="s">
        <v>4711</v>
      </c>
      <c r="D1772" s="16" t="s">
        <v>184</v>
      </c>
      <c r="E1772" s="16" t="s">
        <v>192</v>
      </c>
      <c r="F1772" s="16" t="s">
        <v>4705</v>
      </c>
      <c r="G1772" s="16" t="s">
        <v>238</v>
      </c>
      <c r="H1772" s="16" t="s">
        <v>618</v>
      </c>
    </row>
    <row r="1773" ht="24.75" customHeight="1">
      <c r="A1773" s="32" t="str">
        <f>IMAGE("https://gymvisual.com/4496-catalog_default/triceps-dip.jpg",4,500,500)</f>
        <v/>
      </c>
      <c r="B1773" s="30">
        <v>3772.0</v>
      </c>
      <c r="C1773" s="16" t="s">
        <v>4712</v>
      </c>
      <c r="D1773" s="16" t="s">
        <v>184</v>
      </c>
      <c r="E1773" s="16" t="s">
        <v>219</v>
      </c>
      <c r="F1773" s="16" t="s">
        <v>255</v>
      </c>
      <c r="G1773" s="16" t="s">
        <v>223</v>
      </c>
      <c r="H1773" s="16" t="s">
        <v>394</v>
      </c>
    </row>
    <row r="1774" ht="24.75" customHeight="1">
      <c r="A1774" s="32" t="str">
        <f>IMAGE("https://gymvisual.com/20640-catalog_default/triceps-dip-bench-leg.jpg",4,500,500)</f>
        <v/>
      </c>
      <c r="B1774" s="30">
        <v>3773.0</v>
      </c>
      <c r="C1774" s="16" t="s">
        <v>4713</v>
      </c>
      <c r="D1774" s="16" t="s">
        <v>184</v>
      </c>
      <c r="E1774" s="16" t="s">
        <v>219</v>
      </c>
      <c r="F1774" s="16" t="s">
        <v>255</v>
      </c>
      <c r="G1774" s="16" t="s">
        <v>223</v>
      </c>
      <c r="H1774" s="16" t="s">
        <v>662</v>
      </c>
    </row>
    <row r="1775" ht="24.75" customHeight="1">
      <c r="A1775" s="32" t="str">
        <f>IMAGE("https://gymvisual.com/2430-catalog_default/triceps-dip-between-benches.jpg",4,500,500)</f>
        <v/>
      </c>
      <c r="B1775" s="30">
        <v>3774.0</v>
      </c>
      <c r="C1775" s="16" t="s">
        <v>4714</v>
      </c>
      <c r="D1775" s="16" t="s">
        <v>184</v>
      </c>
      <c r="E1775" s="16" t="s">
        <v>219</v>
      </c>
      <c r="F1775" s="16" t="s">
        <v>255</v>
      </c>
      <c r="G1775" s="16" t="s">
        <v>223</v>
      </c>
      <c r="H1775" s="16" t="s">
        <v>662</v>
      </c>
    </row>
    <row r="1776" ht="24.75" customHeight="1">
      <c r="A1776" s="32" t="str">
        <f>IMAGE("https://gymvisual.com/13499-catalog_default/triceps-dip-female.jpg",4,500,500)</f>
        <v/>
      </c>
      <c r="B1776" s="30">
        <v>3775.0</v>
      </c>
      <c r="C1776" s="16" t="s">
        <v>4715</v>
      </c>
      <c r="D1776" s="16" t="s">
        <v>184</v>
      </c>
      <c r="E1776" s="16" t="s">
        <v>219</v>
      </c>
      <c r="F1776" s="16" t="s">
        <v>255</v>
      </c>
      <c r="G1776" s="16" t="s">
        <v>223</v>
      </c>
      <c r="H1776" s="16" t="s">
        <v>394</v>
      </c>
    </row>
    <row r="1777" ht="24.75" customHeight="1">
      <c r="A1777" s="32" t="str">
        <f>IMAGE("https://gymvisual.com/23909-catalog_default/triceps-dip-floor-female.jpg",4,500,500)</f>
        <v/>
      </c>
      <c r="B1777" s="30">
        <v>3776.0</v>
      </c>
      <c r="C1777" s="16" t="s">
        <v>4716</v>
      </c>
      <c r="D1777" s="16" t="s">
        <v>184</v>
      </c>
      <c r="E1777" s="16" t="s">
        <v>219</v>
      </c>
      <c r="F1777" s="16" t="s">
        <v>255</v>
      </c>
      <c r="G1777" s="16" t="s">
        <v>223</v>
      </c>
      <c r="H1777" s="16" t="s">
        <v>394</v>
      </c>
    </row>
    <row r="1778" ht="24.75" customHeight="1">
      <c r="A1778" s="32" t="str">
        <f>IMAGE("https://gymvisual.com/2436-catalog_default/triceps-dips-floor.jpg",4,500,500)</f>
        <v/>
      </c>
      <c r="B1778" s="30">
        <v>3777.0</v>
      </c>
      <c r="C1778" s="16" t="s">
        <v>4717</v>
      </c>
      <c r="D1778" s="16" t="s">
        <v>184</v>
      </c>
      <c r="E1778" s="16" t="s">
        <v>219</v>
      </c>
      <c r="F1778" s="16" t="s">
        <v>255</v>
      </c>
      <c r="G1778" s="16" t="s">
        <v>223</v>
      </c>
      <c r="H1778" s="16" t="s">
        <v>394</v>
      </c>
    </row>
    <row r="1779" ht="24.75" customHeight="1">
      <c r="A1779" s="32" t="str">
        <f>IMAGE("https://gymvisual.com/20642-catalog_default/triceps-press.jpg",4,500,500)</f>
        <v/>
      </c>
      <c r="B1779" s="30">
        <v>3778.0</v>
      </c>
      <c r="C1779" s="16" t="s">
        <v>4718</v>
      </c>
      <c r="D1779" s="16" t="s">
        <v>184</v>
      </c>
      <c r="E1779" s="16" t="s">
        <v>219</v>
      </c>
      <c r="F1779" s="16" t="s">
        <v>255</v>
      </c>
      <c r="G1779" s="16" t="s">
        <v>223</v>
      </c>
      <c r="H1779" s="16" t="s">
        <v>472</v>
      </c>
    </row>
    <row r="1780" ht="24.75" customHeight="1">
      <c r="A1780" s="32" t="str">
        <f>IMAGE("https://gymvisual.com/4499-catalog_default/triceps-press-head-below-bench.jpg",4,500,500)</f>
        <v/>
      </c>
      <c r="B1780" s="30">
        <v>3779.0</v>
      </c>
      <c r="C1780" s="16" t="s">
        <v>4719</v>
      </c>
      <c r="D1780" s="16" t="s">
        <v>184</v>
      </c>
      <c r="E1780" s="16" t="s">
        <v>219</v>
      </c>
      <c r="F1780" s="16" t="s">
        <v>255</v>
      </c>
      <c r="G1780" s="16" t="s">
        <v>223</v>
      </c>
      <c r="H1780" s="16" t="s">
        <v>347</v>
      </c>
    </row>
    <row r="1781" ht="24.75" customHeight="1">
      <c r="A1781" s="32" t="str">
        <f>IMAGE("https://gymvisual.com/22331-catalog_default/triceps-press-high-bar-position.jpg",4,500,500)</f>
        <v/>
      </c>
      <c r="B1781" s="30">
        <v>3780.0</v>
      </c>
      <c r="C1781" s="16" t="s">
        <v>4720</v>
      </c>
      <c r="D1781" s="16" t="s">
        <v>184</v>
      </c>
      <c r="E1781" s="16" t="s">
        <v>219</v>
      </c>
      <c r="F1781" s="16" t="s">
        <v>255</v>
      </c>
      <c r="G1781" s="16" t="s">
        <v>220</v>
      </c>
      <c r="H1781" s="16" t="s">
        <v>220</v>
      </c>
    </row>
    <row r="1782" ht="24.75" customHeight="1">
      <c r="A1782" s="32" t="str">
        <f>IMAGE("https://gymvisual.com/22333-catalog_default/triceps-press-low-bar-position.jpg",4,500,500)</f>
        <v/>
      </c>
      <c r="B1782" s="30">
        <v>3781.0</v>
      </c>
      <c r="C1782" s="16" t="s">
        <v>4721</v>
      </c>
      <c r="D1782" s="16" t="s">
        <v>184</v>
      </c>
      <c r="E1782" s="16" t="s">
        <v>219</v>
      </c>
      <c r="F1782" s="16" t="s">
        <v>255</v>
      </c>
      <c r="G1782" s="16" t="s">
        <v>220</v>
      </c>
      <c r="H1782" s="16" t="s">
        <v>220</v>
      </c>
    </row>
    <row r="1783" ht="24.75" customHeight="1">
      <c r="A1783" s="32" t="str">
        <f>IMAGE("https://gymvisual.com/2651-catalog_default/tuck-crunch.jpg",4,500,500)</f>
        <v/>
      </c>
      <c r="B1783" s="30">
        <v>3782.0</v>
      </c>
      <c r="C1783" s="16" t="s">
        <v>4722</v>
      </c>
      <c r="D1783" s="16" t="s">
        <v>184</v>
      </c>
      <c r="E1783" s="16" t="s">
        <v>254</v>
      </c>
      <c r="F1783" s="16" t="s">
        <v>255</v>
      </c>
      <c r="G1783" s="16" t="s">
        <v>256</v>
      </c>
      <c r="H1783" s="16" t="s">
        <v>257</v>
      </c>
    </row>
    <row r="1784" ht="24.75" customHeight="1">
      <c r="A1784" s="32" t="str">
        <f>IMAGE("https://gymvisual.com/17809-catalog_default/tuck-up-female.jpg",4,500,500)</f>
        <v/>
      </c>
      <c r="B1784" s="30">
        <v>3783.0</v>
      </c>
      <c r="C1784" s="16" t="s">
        <v>4723</v>
      </c>
      <c r="D1784" s="16" t="s">
        <v>184</v>
      </c>
      <c r="E1784" s="16" t="s">
        <v>254</v>
      </c>
      <c r="F1784" s="16" t="s">
        <v>255</v>
      </c>
      <c r="G1784" s="16" t="s">
        <v>220</v>
      </c>
      <c r="H1784" s="16" t="s">
        <v>220</v>
      </c>
    </row>
    <row r="1785" ht="24.75" customHeight="1">
      <c r="A1785" s="32" t="str">
        <f>IMAGE("https://gymvisual.com/2445-catalog_default/twin-handle-parallel-grip-lat-pulldown.jpg",4,500,500)</f>
        <v/>
      </c>
      <c r="B1785" s="30">
        <v>3784.0</v>
      </c>
      <c r="C1785" s="16" t="s">
        <v>4724</v>
      </c>
      <c r="D1785" s="16" t="s">
        <v>184</v>
      </c>
      <c r="E1785" s="16" t="s">
        <v>192</v>
      </c>
      <c r="F1785" s="16" t="s">
        <v>215</v>
      </c>
      <c r="G1785" s="16" t="s">
        <v>300</v>
      </c>
      <c r="H1785" s="16" t="s">
        <v>387</v>
      </c>
    </row>
    <row r="1786" ht="24.75" customHeight="1">
      <c r="A1786" s="32" t="str">
        <f>IMAGE("https://gymvisual.com/2448-catalog_default/twist-crunch-leg-up.jpg",4,500,500)</f>
        <v/>
      </c>
      <c r="B1786" s="30">
        <v>3785.0</v>
      </c>
      <c r="C1786" s="16" t="s">
        <v>4725</v>
      </c>
      <c r="D1786" s="16" t="s">
        <v>184</v>
      </c>
      <c r="E1786" s="16" t="s">
        <v>254</v>
      </c>
      <c r="F1786" s="16" t="s">
        <v>255</v>
      </c>
      <c r="G1786" s="16" t="s">
        <v>263</v>
      </c>
      <c r="H1786" s="16" t="s">
        <v>1878</v>
      </c>
    </row>
    <row r="1787" ht="24.75" customHeight="1">
      <c r="A1787" s="32" t="str">
        <f>IMAGE("https://gymvisual.com/24291-catalog_default/twist-crunch-legs-up-male.jpg",4,500,500)</f>
        <v/>
      </c>
      <c r="B1787" s="30">
        <v>3786.0</v>
      </c>
      <c r="C1787" s="16" t="s">
        <v>4726</v>
      </c>
      <c r="D1787" s="16" t="s">
        <v>184</v>
      </c>
      <c r="E1787" s="16" t="s">
        <v>254</v>
      </c>
      <c r="F1787" s="16" t="s">
        <v>255</v>
      </c>
      <c r="G1787" s="16" t="s">
        <v>260</v>
      </c>
      <c r="H1787" s="16" t="s">
        <v>1306</v>
      </c>
    </row>
    <row r="1788" ht="24.75" customHeight="1">
      <c r="A1788" s="32" t="str">
        <f>IMAGE("https://gymvisual.com/6399-catalog_default/twist-hip-lift.jpg",4,500,500)</f>
        <v/>
      </c>
      <c r="B1788" s="30">
        <v>3787.0</v>
      </c>
      <c r="C1788" s="16" t="s">
        <v>4727</v>
      </c>
      <c r="D1788" s="16" t="s">
        <v>184</v>
      </c>
      <c r="E1788" s="16" t="s">
        <v>185</v>
      </c>
      <c r="F1788" s="16" t="s">
        <v>255</v>
      </c>
      <c r="G1788" s="16" t="s">
        <v>4728</v>
      </c>
      <c r="H1788" s="16" t="s">
        <v>188</v>
      </c>
    </row>
    <row r="1789" ht="24.75" customHeight="1">
      <c r="A1789" s="32" t="str">
        <f>IMAGE("https://gymvisual.com/17304-catalog_default/twist-push-up.jpg",4,500,500)</f>
        <v/>
      </c>
      <c r="B1789" s="30">
        <v>3788.0</v>
      </c>
      <c r="C1789" s="16" t="s">
        <v>4729</v>
      </c>
      <c r="D1789" s="16" t="s">
        <v>184</v>
      </c>
      <c r="E1789" s="16" t="s">
        <v>234</v>
      </c>
      <c r="F1789" s="16" t="s">
        <v>255</v>
      </c>
      <c r="G1789" s="16" t="s">
        <v>235</v>
      </c>
      <c r="H1789" s="16" t="s">
        <v>4730</v>
      </c>
    </row>
    <row r="1790" ht="24.75" customHeight="1">
      <c r="A1790" s="32" t="str">
        <f>IMAGE("https://gymvisual.com/2451-catalog_default/twist-side-bridge.jpg",4,500,500)</f>
        <v/>
      </c>
      <c r="B1790" s="30">
        <v>3789.0</v>
      </c>
      <c r="C1790" s="16" t="s">
        <v>4731</v>
      </c>
      <c r="D1790" s="16" t="s">
        <v>184</v>
      </c>
      <c r="E1790" s="16" t="s">
        <v>228</v>
      </c>
      <c r="F1790" s="16" t="s">
        <v>255</v>
      </c>
      <c r="G1790" s="16" t="s">
        <v>257</v>
      </c>
      <c r="H1790" s="16" t="s">
        <v>4732</v>
      </c>
    </row>
    <row r="1791" ht="24.75" customHeight="1">
      <c r="A1791" s="32" t="str">
        <f>IMAGE("https://gymvisual.com/2454-catalog_default/twist-sit-up.jpg",4,500,500)</f>
        <v/>
      </c>
      <c r="B1791" s="30">
        <v>3790.0</v>
      </c>
      <c r="C1791" s="16" t="s">
        <v>4733</v>
      </c>
      <c r="D1791" s="16" t="s">
        <v>184</v>
      </c>
      <c r="E1791" s="16" t="s">
        <v>254</v>
      </c>
      <c r="F1791" s="16" t="s">
        <v>255</v>
      </c>
      <c r="G1791" s="16" t="s">
        <v>263</v>
      </c>
      <c r="H1791" s="16" t="s">
        <v>220</v>
      </c>
    </row>
    <row r="1792" ht="24.75" customHeight="1">
      <c r="A1792" s="32" t="str">
        <f>IMAGE("https://gymvisual.com/2457-catalog_default/twist-squat.jpg",4,500,500)</f>
        <v/>
      </c>
      <c r="B1792" s="30">
        <v>3791.0</v>
      </c>
      <c r="C1792" s="16" t="s">
        <v>4734</v>
      </c>
      <c r="D1792" s="16" t="s">
        <v>184</v>
      </c>
      <c r="E1792" s="16" t="s">
        <v>285</v>
      </c>
      <c r="F1792" s="16" t="s">
        <v>255</v>
      </c>
      <c r="G1792" s="16" t="s">
        <v>524</v>
      </c>
      <c r="H1792" s="16" t="s">
        <v>190</v>
      </c>
    </row>
    <row r="1793" ht="24.75" customHeight="1">
      <c r="A1793" s="32" t="str">
        <f>IMAGE("https://gymvisual.com/17883-catalog_default/twist-superman-male.jpg",4,500,500)</f>
        <v/>
      </c>
      <c r="B1793" s="30">
        <v>3792.0</v>
      </c>
      <c r="C1793" s="16" t="s">
        <v>4735</v>
      </c>
      <c r="D1793" s="16" t="s">
        <v>184</v>
      </c>
      <c r="E1793" s="16" t="s">
        <v>185</v>
      </c>
      <c r="F1793" s="16" t="s">
        <v>255</v>
      </c>
      <c r="G1793" s="16" t="s">
        <v>4736</v>
      </c>
      <c r="H1793" s="16" t="s">
        <v>3229</v>
      </c>
    </row>
    <row r="1794" ht="24.75" customHeight="1">
      <c r="A1794" s="32" t="str">
        <f>IMAGE("https://gymvisual.com/11965-catalog_default/twisted-leg-raise.jpg",4,500,500)</f>
        <v/>
      </c>
      <c r="B1794" s="30">
        <v>3793.0</v>
      </c>
      <c r="C1794" s="16" t="s">
        <v>4737</v>
      </c>
      <c r="D1794" s="16" t="s">
        <v>184</v>
      </c>
      <c r="E1794" s="16" t="s">
        <v>254</v>
      </c>
      <c r="F1794" s="16" t="s">
        <v>255</v>
      </c>
      <c r="G1794" s="16" t="s">
        <v>220</v>
      </c>
      <c r="H1794" s="16" t="s">
        <v>220</v>
      </c>
    </row>
    <row r="1795" ht="24.75" customHeight="1">
      <c r="A1795" s="32" t="str">
        <f>IMAGE("https://gymvisual.com/11964-catalog_default/twisted-leg-raise-female.jpg",4,500,500)</f>
        <v/>
      </c>
      <c r="B1795" s="30">
        <v>3794.0</v>
      </c>
      <c r="C1795" s="16" t="s">
        <v>4738</v>
      </c>
      <c r="D1795" s="16" t="s">
        <v>184</v>
      </c>
      <c r="E1795" s="16" t="s">
        <v>254</v>
      </c>
      <c r="F1795" s="16" t="s">
        <v>255</v>
      </c>
      <c r="G1795" s="16" t="s">
        <v>263</v>
      </c>
      <c r="H1795" s="16" t="s">
        <v>289</v>
      </c>
    </row>
    <row r="1796" ht="24.75" customHeight="1">
      <c r="A1796" s="32" t="str">
        <f>IMAGE("https://gymvisual.com/2463-catalog_default/twisting-crunch.jpg",4,500,500)</f>
        <v/>
      </c>
      <c r="B1796" s="30">
        <v>3795.0</v>
      </c>
      <c r="C1796" s="16" t="s">
        <v>4739</v>
      </c>
      <c r="D1796" s="16" t="s">
        <v>184</v>
      </c>
      <c r="E1796" s="16" t="s">
        <v>254</v>
      </c>
      <c r="F1796" s="16" t="s">
        <v>255</v>
      </c>
      <c r="G1796" s="16" t="s">
        <v>257</v>
      </c>
      <c r="H1796" s="16" t="s">
        <v>256</v>
      </c>
    </row>
    <row r="1797" ht="24.75" customHeight="1">
      <c r="A1797" s="32" t="str">
        <f>IMAGE("https://gymvisual.com/22775-catalog_default/twisting-crunch.jpg",4,500,500)</f>
        <v/>
      </c>
      <c r="B1797" s="30">
        <v>3796.0</v>
      </c>
      <c r="C1797" s="16" t="s">
        <v>4739</v>
      </c>
      <c r="D1797" s="16" t="s">
        <v>184</v>
      </c>
      <c r="E1797" s="16" t="s">
        <v>254</v>
      </c>
      <c r="F1797" s="16" t="s">
        <v>255</v>
      </c>
      <c r="G1797" s="16" t="s">
        <v>257</v>
      </c>
      <c r="H1797" s="16" t="s">
        <v>256</v>
      </c>
    </row>
    <row r="1798" ht="24.75" customHeight="1">
      <c r="A1798" s="32" t="str">
        <f>IMAGE("https://gymvisual.com/2460-catalog_default/twisting-crunch-arms-straight.jpg",4,500,500)</f>
        <v/>
      </c>
      <c r="B1798" s="30">
        <v>3797.0</v>
      </c>
      <c r="C1798" s="16" t="s">
        <v>4740</v>
      </c>
      <c r="D1798" s="16" t="s">
        <v>184</v>
      </c>
      <c r="E1798" s="16" t="s">
        <v>254</v>
      </c>
      <c r="F1798" s="16" t="s">
        <v>255</v>
      </c>
      <c r="G1798" s="16" t="s">
        <v>260</v>
      </c>
      <c r="H1798" s="16" t="s">
        <v>220</v>
      </c>
    </row>
    <row r="1799" ht="24.75" customHeight="1">
      <c r="A1799" s="32" t="str">
        <f>IMAGE("https://gymvisual.com/14306-catalog_default/twisting-crunch-straight-arms-male.jpg",4,500,500)</f>
        <v/>
      </c>
      <c r="B1799" s="30">
        <v>3798.0</v>
      </c>
      <c r="C1799" s="16" t="s">
        <v>4741</v>
      </c>
      <c r="D1799" s="16" t="s">
        <v>184</v>
      </c>
      <c r="E1799" s="16" t="s">
        <v>254</v>
      </c>
      <c r="F1799" s="16" t="s">
        <v>255</v>
      </c>
      <c r="G1799" s="16" t="s">
        <v>260</v>
      </c>
      <c r="H1799" s="16" t="s">
        <v>220</v>
      </c>
    </row>
    <row r="1800" ht="24.75" customHeight="1">
      <c r="A1800" s="32" t="str">
        <f>IMAGE("https://gymvisual.com/19389-catalog_default/two-legs-hammer-curl-with-towel-version-2.jpg",4,500,500)</f>
        <v/>
      </c>
      <c r="B1800" s="30">
        <v>3799.0</v>
      </c>
      <c r="C1800" s="16" t="s">
        <v>4742</v>
      </c>
      <c r="D1800" s="16" t="s">
        <v>184</v>
      </c>
      <c r="E1800" s="16" t="s">
        <v>219</v>
      </c>
      <c r="F1800" s="16" t="s">
        <v>255</v>
      </c>
      <c r="G1800" s="16" t="s">
        <v>216</v>
      </c>
      <c r="H1800" s="16" t="s">
        <v>217</v>
      </c>
    </row>
    <row r="1801" ht="24.75" customHeight="1">
      <c r="A1801" s="32" t="str">
        <f>IMAGE("https://gymvisual.com/22103-catalog_default/two-legs-reverse-biceps-curl-with-towel-version-2.jpg",4,500,500)</f>
        <v/>
      </c>
      <c r="B1801" s="30">
        <v>3800.0</v>
      </c>
      <c r="C1801" s="16" t="s">
        <v>4743</v>
      </c>
      <c r="D1801" s="16" t="s">
        <v>184</v>
      </c>
      <c r="E1801" s="16" t="s">
        <v>219</v>
      </c>
      <c r="F1801" s="16" t="s">
        <v>255</v>
      </c>
      <c r="G1801" s="16" t="s">
        <v>241</v>
      </c>
      <c r="H1801" s="16" t="s">
        <v>292</v>
      </c>
    </row>
    <row r="1802" ht="24.75" customHeight="1">
      <c r="A1802" s="32" t="str">
        <f>IMAGE("https://gymvisual.com/4594-catalog_default/underhand-grip-inverted-back-row.jpg",4,500,500)</f>
        <v/>
      </c>
      <c r="B1802" s="30">
        <v>3801.0</v>
      </c>
      <c r="C1802" s="16" t="s">
        <v>4744</v>
      </c>
      <c r="D1802" s="16" t="s">
        <v>184</v>
      </c>
      <c r="E1802" s="16" t="s">
        <v>192</v>
      </c>
      <c r="F1802" s="16" t="s">
        <v>255</v>
      </c>
      <c r="G1802" s="16" t="s">
        <v>329</v>
      </c>
      <c r="H1802" s="16" t="s">
        <v>3429</v>
      </c>
    </row>
    <row r="1803" ht="24.75" customHeight="1">
      <c r="A1803" s="32" t="str">
        <f>IMAGE("https://gymvisual.com/22825-catalog_default/v-sit-cross-punch.jpg",4,500,500)</f>
        <v/>
      </c>
      <c r="B1803" s="30">
        <v>3802.0</v>
      </c>
      <c r="C1803" s="16" t="s">
        <v>4745</v>
      </c>
      <c r="D1803" s="16" t="s">
        <v>184</v>
      </c>
      <c r="E1803" s="16" t="s">
        <v>254</v>
      </c>
      <c r="F1803" s="16" t="s">
        <v>255</v>
      </c>
      <c r="G1803" s="16" t="s">
        <v>4150</v>
      </c>
      <c r="H1803" s="16" t="s">
        <v>243</v>
      </c>
    </row>
    <row r="1804" ht="24.75" customHeight="1">
      <c r="A1804" s="32" t="str">
        <f>IMAGE("https://gymvisual.com/24073-catalog_default/v-sit-toe-tap.jpg",4,500,500)</f>
        <v/>
      </c>
      <c r="B1804" s="30">
        <v>3803.0</v>
      </c>
      <c r="C1804" s="16" t="s">
        <v>4746</v>
      </c>
      <c r="D1804" s="16" t="s">
        <v>184</v>
      </c>
      <c r="E1804" s="16" t="s">
        <v>254</v>
      </c>
      <c r="F1804" s="16" t="s">
        <v>255</v>
      </c>
      <c r="G1804" s="16" t="s">
        <v>220</v>
      </c>
      <c r="H1804" s="16" t="s">
        <v>220</v>
      </c>
    </row>
    <row r="1805" ht="24.75" customHeight="1">
      <c r="A1805" s="32" t="str">
        <f>IMAGE("https://gymvisual.com/2466-catalog_default/v-up.jpg",4,500,500)</f>
        <v/>
      </c>
      <c r="B1805" s="30">
        <v>3804.0</v>
      </c>
      <c r="C1805" s="16" t="s">
        <v>4747</v>
      </c>
      <c r="D1805" s="16" t="s">
        <v>184</v>
      </c>
      <c r="E1805" s="16" t="s">
        <v>254</v>
      </c>
      <c r="F1805" s="16" t="s">
        <v>255</v>
      </c>
      <c r="G1805" s="16" t="s">
        <v>305</v>
      </c>
      <c r="H1805" s="16" t="s">
        <v>317</v>
      </c>
    </row>
    <row r="1806" ht="24.75" customHeight="1">
      <c r="A1806" s="32" t="str">
        <f>IMAGE("https://gymvisual.com/14308-catalog_default/v-up-male.jpg",4,500,500)</f>
        <v/>
      </c>
      <c r="B1806" s="30">
        <v>3805.0</v>
      </c>
      <c r="C1806" s="16" t="s">
        <v>4748</v>
      </c>
      <c r="D1806" s="16" t="s">
        <v>184</v>
      </c>
      <c r="E1806" s="16" t="s">
        <v>310</v>
      </c>
      <c r="F1806" s="16" t="s">
        <v>255</v>
      </c>
      <c r="G1806" s="16" t="s">
        <v>305</v>
      </c>
      <c r="H1806" s="16" t="s">
        <v>4749</v>
      </c>
    </row>
    <row r="1807" ht="24.75" customHeight="1">
      <c r="A1807" s="32" t="str">
        <f>IMAGE("https://gymvisual.com/23583-catalog_default/v-up-double-crunch.jpg",4,500,500)</f>
        <v/>
      </c>
      <c r="B1807" s="30">
        <v>3806.0</v>
      </c>
      <c r="C1807" s="16" t="s">
        <v>4750</v>
      </c>
      <c r="D1807" s="16" t="s">
        <v>184</v>
      </c>
      <c r="E1807" s="16" t="s">
        <v>254</v>
      </c>
      <c r="F1807" s="16" t="s">
        <v>255</v>
      </c>
      <c r="G1807" s="16" t="s">
        <v>305</v>
      </c>
      <c r="H1807" s="16" t="s">
        <v>319</v>
      </c>
    </row>
    <row r="1808" ht="24.75" customHeight="1">
      <c r="A1808" s="32" t="str">
        <f>IMAGE("https://gymvisual.com/11978-catalog_default/v-up-down-with-stability-ball.jpg",4,500,500)</f>
        <v/>
      </c>
      <c r="B1808" s="30">
        <v>3807.0</v>
      </c>
      <c r="C1808" s="16" t="s">
        <v>4751</v>
      </c>
      <c r="D1808" s="16" t="s">
        <v>184</v>
      </c>
      <c r="E1808" s="16" t="s">
        <v>254</v>
      </c>
      <c r="F1808" s="16" t="s">
        <v>399</v>
      </c>
      <c r="G1808" s="16" t="s">
        <v>220</v>
      </c>
      <c r="H1808" s="16" t="s">
        <v>220</v>
      </c>
    </row>
    <row r="1809" ht="24.75" customHeight="1">
      <c r="A1809" s="32" t="str">
        <f>IMAGE("https://gymvisual.com/11979-catalog_default/v-up-down-with-stability-ball-female.jpg",4,500,500)</f>
        <v/>
      </c>
      <c r="B1809" s="30">
        <v>3808.0</v>
      </c>
      <c r="C1809" s="16" t="s">
        <v>4752</v>
      </c>
      <c r="D1809" s="16" t="s">
        <v>184</v>
      </c>
      <c r="E1809" s="16" t="s">
        <v>254</v>
      </c>
      <c r="F1809" s="16" t="s">
        <v>399</v>
      </c>
      <c r="G1809" s="16" t="s">
        <v>220</v>
      </c>
      <c r="H1809" s="16" t="s">
        <v>220</v>
      </c>
    </row>
    <row r="1810" ht="24.75" customHeight="1">
      <c r="A1810" s="32" t="str">
        <f>IMAGE("https://gymvisual.com/22580-catalog_default/v-up-with-clap.jpg",4,500,500)</f>
        <v/>
      </c>
      <c r="B1810" s="30">
        <v>3809.0</v>
      </c>
      <c r="C1810" s="16" t="s">
        <v>4753</v>
      </c>
      <c r="D1810" s="16" t="s">
        <v>184</v>
      </c>
      <c r="E1810" s="16" t="s">
        <v>254</v>
      </c>
      <c r="F1810" s="16" t="s">
        <v>255</v>
      </c>
      <c r="G1810" s="16" t="s">
        <v>256</v>
      </c>
      <c r="H1810" s="16" t="s">
        <v>4754</v>
      </c>
    </row>
    <row r="1811" ht="24.75" customHeight="1">
      <c r="A1811" s="32" t="str">
        <f>IMAGE("https://gymvisual.com/22145-catalog_default/v-up-with-clap-female.jpg",4,500,500)</f>
        <v/>
      </c>
      <c r="B1811" s="30">
        <v>3810.0</v>
      </c>
      <c r="C1811" s="16" t="s">
        <v>4755</v>
      </c>
      <c r="D1811" s="16" t="s">
        <v>184</v>
      </c>
      <c r="E1811" s="16" t="s">
        <v>254</v>
      </c>
      <c r="F1811" s="16" t="s">
        <v>255</v>
      </c>
      <c r="G1811" s="16" t="s">
        <v>220</v>
      </c>
      <c r="H1811" s="16" t="s">
        <v>220</v>
      </c>
    </row>
    <row r="1812" ht="24.75" customHeight="1">
      <c r="A1812" s="32" t="str">
        <f>IMAGE("https://gymvisual.com/7631-catalog_default/vertical-leg-raise-on-parallel-bars.jpg",4,500,500)</f>
        <v/>
      </c>
      <c r="B1812" s="30">
        <v>3811.0</v>
      </c>
      <c r="C1812" s="16" t="s">
        <v>4756</v>
      </c>
      <c r="D1812" s="16" t="s">
        <v>184</v>
      </c>
      <c r="E1812" s="16" t="s">
        <v>185</v>
      </c>
      <c r="F1812" s="16" t="s">
        <v>255</v>
      </c>
      <c r="G1812" s="16" t="s">
        <v>271</v>
      </c>
      <c r="H1812" s="16" t="s">
        <v>563</v>
      </c>
    </row>
    <row r="1813" ht="24.75" customHeight="1">
      <c r="A1813" s="32" t="str">
        <f>IMAGE("https://gymvisual.com/10969-catalog_default/vertical-leg-raise-on-parallel-bars-female.jpg",4,500,500)</f>
        <v/>
      </c>
      <c r="B1813" s="30">
        <v>3812.0</v>
      </c>
      <c r="C1813" s="16" t="s">
        <v>4757</v>
      </c>
      <c r="D1813" s="16" t="s">
        <v>184</v>
      </c>
      <c r="E1813" s="16" t="s">
        <v>310</v>
      </c>
      <c r="F1813" s="16" t="s">
        <v>255</v>
      </c>
      <c r="G1813" s="16" t="s">
        <v>220</v>
      </c>
      <c r="H1813" s="16" t="s">
        <v>220</v>
      </c>
    </row>
    <row r="1814" ht="24.75" customHeight="1">
      <c r="A1814" s="32" t="str">
        <f>IMAGE("https://gymvisual.com/14310-catalog_default/vertical-leg-raise-on-parallel-bars-female-version-2.jpg",4,500,500)</f>
        <v/>
      </c>
      <c r="B1814" s="30">
        <v>3813.0</v>
      </c>
      <c r="C1814" s="16" t="s">
        <v>4758</v>
      </c>
      <c r="D1814" s="16" t="s">
        <v>184</v>
      </c>
      <c r="E1814" s="16" t="s">
        <v>254</v>
      </c>
      <c r="F1814" s="16" t="s">
        <v>255</v>
      </c>
      <c r="G1814" s="16" t="s">
        <v>305</v>
      </c>
      <c r="H1814" s="16" t="s">
        <v>2482</v>
      </c>
    </row>
    <row r="1815" ht="24.75" customHeight="1">
      <c r="A1815" s="32" t="str">
        <f>IMAGE("https://gymvisual.com/23859-catalog_default/vertical-leg-raise-on-parallel-bars-male.jpg",4,500,500)</f>
        <v/>
      </c>
      <c r="B1815" s="30">
        <v>3814.0</v>
      </c>
      <c r="C1815" s="16" t="s">
        <v>4759</v>
      </c>
      <c r="D1815" s="16" t="s">
        <v>184</v>
      </c>
      <c r="E1815" s="16" t="s">
        <v>185</v>
      </c>
      <c r="F1815" s="16" t="s">
        <v>255</v>
      </c>
      <c r="G1815" s="16" t="s">
        <v>220</v>
      </c>
      <c r="H1815" s="16" t="s">
        <v>220</v>
      </c>
    </row>
    <row r="1816" ht="24.75" customHeight="1">
      <c r="A1816" s="32" t="str">
        <f>IMAGE("https://gymvisual.com/26430-catalog_default/vertical-sit-up-male.jpg",4,500,500)</f>
        <v/>
      </c>
      <c r="B1816" s="30">
        <v>3815.0</v>
      </c>
      <c r="C1816" s="16" t="s">
        <v>4760</v>
      </c>
      <c r="D1816" s="16" t="s">
        <v>184</v>
      </c>
      <c r="E1816" s="16" t="s">
        <v>254</v>
      </c>
      <c r="F1816" s="16" t="s">
        <v>255</v>
      </c>
      <c r="G1816" s="16" t="s">
        <v>305</v>
      </c>
      <c r="H1816" s="16" t="s">
        <v>600</v>
      </c>
    </row>
    <row r="1817" ht="24.75" customHeight="1">
      <c r="A1817" s="32" t="str">
        <f>IMAGE("https://gymvisual.com/23561-catalog_default/walking-lunge-female.jpg",4,500,500)</f>
        <v/>
      </c>
      <c r="B1817" s="30">
        <v>3816.0</v>
      </c>
      <c r="C1817" s="16" t="s">
        <v>4761</v>
      </c>
      <c r="D1817" s="16" t="s">
        <v>184</v>
      </c>
      <c r="E1817" s="16" t="s">
        <v>285</v>
      </c>
      <c r="F1817" s="16" t="s">
        <v>255</v>
      </c>
      <c r="G1817" s="16" t="s">
        <v>189</v>
      </c>
      <c r="H1817" s="16" t="s">
        <v>190</v>
      </c>
    </row>
    <row r="1818" ht="24.75" customHeight="1">
      <c r="A1818" s="32" t="str">
        <f>IMAGE("https://gymvisual.com/17893-catalog_default/wall-press-heel-tap-male.jpg",4,500,500)</f>
        <v/>
      </c>
      <c r="B1818" s="30">
        <v>3817.0</v>
      </c>
      <c r="C1818" s="16" t="s">
        <v>4762</v>
      </c>
      <c r="D1818" s="16" t="s">
        <v>184</v>
      </c>
      <c r="E1818" s="16" t="s">
        <v>185</v>
      </c>
      <c r="F1818" s="16" t="s">
        <v>255</v>
      </c>
      <c r="G1818" s="16" t="s">
        <v>220</v>
      </c>
      <c r="H1818" s="16" t="s">
        <v>220</v>
      </c>
    </row>
    <row r="1819" ht="24.75" customHeight="1">
      <c r="A1819" s="32" t="str">
        <f>IMAGE("https://gymvisual.com/23943-catalog_default/wall-pulse-male.jpg",4,500,500)</f>
        <v/>
      </c>
      <c r="B1819" s="30">
        <v>3818.0</v>
      </c>
      <c r="C1819" s="16" t="s">
        <v>4763</v>
      </c>
      <c r="D1819" s="16" t="s">
        <v>184</v>
      </c>
      <c r="E1819" s="16" t="s">
        <v>219</v>
      </c>
      <c r="F1819" s="16" t="s">
        <v>255</v>
      </c>
      <c r="G1819" s="16" t="s">
        <v>223</v>
      </c>
      <c r="H1819" s="16" t="s">
        <v>220</v>
      </c>
    </row>
    <row r="1820" ht="24.75" customHeight="1">
      <c r="A1820" s="32" t="str">
        <f>IMAGE("https://gymvisual.com/2480-catalog_default/weighted-bench-dip.jpg",4,500,500)</f>
        <v/>
      </c>
      <c r="B1820" s="30">
        <v>3819.0</v>
      </c>
      <c r="C1820" s="16" t="s">
        <v>4764</v>
      </c>
      <c r="D1820" s="16" t="s">
        <v>184</v>
      </c>
      <c r="E1820" s="16" t="s">
        <v>219</v>
      </c>
      <c r="F1820" s="16" t="s">
        <v>396</v>
      </c>
      <c r="G1820" s="16" t="s">
        <v>223</v>
      </c>
      <c r="H1820" s="16" t="s">
        <v>394</v>
      </c>
    </row>
    <row r="1821" ht="24.75" customHeight="1">
      <c r="A1821" s="32" t="str">
        <f>IMAGE("https://gymvisual.com/19363-catalog_default/weighted-captains-chair-leg-raise.jpg",4,500,500)</f>
        <v/>
      </c>
      <c r="B1821" s="30">
        <v>3820.0</v>
      </c>
      <c r="C1821" s="16" t="s">
        <v>4765</v>
      </c>
      <c r="D1821" s="16" t="s">
        <v>184</v>
      </c>
      <c r="E1821" s="16" t="s">
        <v>254</v>
      </c>
      <c r="F1821" s="16" t="s">
        <v>396</v>
      </c>
      <c r="G1821" s="16" t="s">
        <v>305</v>
      </c>
      <c r="H1821" s="16" t="s">
        <v>220</v>
      </c>
    </row>
    <row r="1822" ht="24.75" customHeight="1">
      <c r="A1822" s="32" t="str">
        <f>IMAGE("https://gymvisual.com/26124-catalog_default/weighted-chain-sumo-deadlift.jpg",4,500,500)</f>
        <v/>
      </c>
      <c r="B1822" s="30">
        <v>3821.0</v>
      </c>
      <c r="C1822" s="16" t="s">
        <v>4766</v>
      </c>
      <c r="D1822" s="16" t="s">
        <v>184</v>
      </c>
      <c r="E1822" s="16" t="s">
        <v>185</v>
      </c>
      <c r="F1822" s="16" t="s">
        <v>396</v>
      </c>
      <c r="G1822" s="16" t="s">
        <v>220</v>
      </c>
      <c r="H1822" s="16" t="s">
        <v>220</v>
      </c>
    </row>
    <row r="1823" ht="24.75" customHeight="1">
      <c r="A1823" s="32" t="str">
        <f>IMAGE("https://gymvisual.com/17905-catalog_default/weighted-chin-up-male.jpg",4,500,500)</f>
        <v/>
      </c>
      <c r="B1823" s="30">
        <v>3822.0</v>
      </c>
      <c r="C1823" s="16" t="s">
        <v>4767</v>
      </c>
      <c r="D1823" s="16" t="s">
        <v>184</v>
      </c>
      <c r="E1823" s="16" t="s">
        <v>192</v>
      </c>
      <c r="F1823" s="16" t="s">
        <v>396</v>
      </c>
      <c r="G1823" s="16" t="s">
        <v>329</v>
      </c>
      <c r="H1823" s="16" t="s">
        <v>447</v>
      </c>
    </row>
    <row r="1824" ht="24.75" customHeight="1">
      <c r="A1824" s="32" t="str">
        <f>IMAGE("https://gymvisual.com/12316-catalog_default/weighted-close-grip-chin-up-on-dip-cage.jpg",4,500,500)</f>
        <v/>
      </c>
      <c r="B1824" s="30">
        <v>3823.0</v>
      </c>
      <c r="C1824" s="16" t="s">
        <v>4768</v>
      </c>
      <c r="D1824" s="16" t="s">
        <v>184</v>
      </c>
      <c r="E1824" s="16" t="s">
        <v>192</v>
      </c>
      <c r="F1824" s="16" t="s">
        <v>396</v>
      </c>
      <c r="G1824" s="16" t="s">
        <v>300</v>
      </c>
      <c r="H1824" s="16" t="s">
        <v>1357</v>
      </c>
    </row>
    <row r="1825" ht="24.75" customHeight="1">
      <c r="A1825" s="32" t="str">
        <f>IMAGE("https://gymvisual.com/14376-catalog_default/weighted-cossack-squats-male.jpg",4,500,500)</f>
        <v/>
      </c>
      <c r="B1825" s="30">
        <v>3824.0</v>
      </c>
      <c r="C1825" s="16" t="s">
        <v>4769</v>
      </c>
      <c r="D1825" s="16" t="s">
        <v>184</v>
      </c>
      <c r="E1825" s="16" t="s">
        <v>294</v>
      </c>
      <c r="F1825" s="16" t="s">
        <v>396</v>
      </c>
      <c r="G1825" s="16" t="s">
        <v>4770</v>
      </c>
      <c r="H1825" s="16" t="s">
        <v>4771</v>
      </c>
    </row>
    <row r="1826" ht="24.75" customHeight="1">
      <c r="A1826" s="32" t="str">
        <f>IMAGE("https://gymvisual.com/17959-catalog_default/weighted-counterbalanced-skater-squat-male.jpg",4,500,500)</f>
        <v/>
      </c>
      <c r="B1826" s="30">
        <v>3825.0</v>
      </c>
      <c r="C1826" s="16" t="s">
        <v>4772</v>
      </c>
      <c r="D1826" s="16" t="s">
        <v>184</v>
      </c>
      <c r="E1826" s="16"/>
      <c r="F1826" s="16" t="s">
        <v>396</v>
      </c>
      <c r="G1826" s="16" t="s">
        <v>220</v>
      </c>
      <c r="H1826" s="16" t="s">
        <v>220</v>
      </c>
    </row>
    <row r="1827" ht="24.75" customHeight="1">
      <c r="A1827" s="32" t="str">
        <f>IMAGE("https://gymvisual.com/17957-catalog_default/weighted-counterbalanced-squat-male.jpg",4,500,500)</f>
        <v/>
      </c>
      <c r="B1827" s="30">
        <v>3826.0</v>
      </c>
      <c r="C1827" s="16" t="s">
        <v>4773</v>
      </c>
      <c r="D1827" s="16" t="s">
        <v>184</v>
      </c>
      <c r="E1827" s="16" t="s">
        <v>285</v>
      </c>
      <c r="F1827" s="16" t="s">
        <v>396</v>
      </c>
      <c r="G1827" s="16" t="s">
        <v>189</v>
      </c>
      <c r="H1827" s="16" t="s">
        <v>190</v>
      </c>
    </row>
    <row r="1828" ht="24.75" customHeight="1">
      <c r="A1828" s="32" t="str">
        <f>IMAGE("https://gymvisual.com/2486-catalog_default/weighted-crunch.jpg",4,500,500)</f>
        <v/>
      </c>
      <c r="B1828" s="30">
        <v>3827.0</v>
      </c>
      <c r="C1828" s="16" t="s">
        <v>4774</v>
      </c>
      <c r="D1828" s="16" t="s">
        <v>184</v>
      </c>
      <c r="E1828" s="16" t="s">
        <v>254</v>
      </c>
      <c r="F1828" s="16" t="s">
        <v>396</v>
      </c>
      <c r="G1828" s="16" t="s">
        <v>256</v>
      </c>
      <c r="H1828" s="16" t="s">
        <v>257</v>
      </c>
    </row>
    <row r="1829" ht="24.75" customHeight="1">
      <c r="A1829" s="32" t="str">
        <f>IMAGE("https://gymvisual.com/2483-catalog_default/weighted-crunch-bent-knee.jpg",4,500,500)</f>
        <v/>
      </c>
      <c r="B1829" s="30">
        <v>3828.0</v>
      </c>
      <c r="C1829" s="16" t="s">
        <v>4775</v>
      </c>
      <c r="D1829" s="16" t="s">
        <v>184</v>
      </c>
      <c r="E1829" s="16" t="s">
        <v>254</v>
      </c>
      <c r="F1829" s="16" t="s">
        <v>399</v>
      </c>
      <c r="G1829" s="16" t="s">
        <v>256</v>
      </c>
      <c r="H1829" s="16" t="s">
        <v>257</v>
      </c>
    </row>
    <row r="1830" ht="24.75" customHeight="1">
      <c r="A1830" s="32" t="str">
        <f>IMAGE("https://gymvisual.com/11179-catalog_default/weighted-crunch-female.jpg",4,500,500)</f>
        <v/>
      </c>
      <c r="B1830" s="30">
        <v>3829.0</v>
      </c>
      <c r="C1830" s="16" t="s">
        <v>4776</v>
      </c>
      <c r="D1830" s="16" t="s">
        <v>184</v>
      </c>
      <c r="E1830" s="16" t="s">
        <v>254</v>
      </c>
      <c r="F1830" s="16" t="s">
        <v>396</v>
      </c>
      <c r="G1830" s="16" t="s">
        <v>220</v>
      </c>
      <c r="H1830" s="16" t="s">
        <v>220</v>
      </c>
    </row>
    <row r="1831" ht="24.75" customHeight="1">
      <c r="A1831" s="32" t="str">
        <f>IMAGE("https://gymvisual.com/19395-catalog_default/weighted-crunch-version-2.jpg",4,500,500)</f>
        <v/>
      </c>
      <c r="B1831" s="30">
        <v>3830.0</v>
      </c>
      <c r="C1831" s="16" t="s">
        <v>4777</v>
      </c>
      <c r="D1831" s="16" t="s">
        <v>184</v>
      </c>
      <c r="E1831" s="16" t="s">
        <v>254</v>
      </c>
      <c r="F1831" s="16" t="s">
        <v>396</v>
      </c>
      <c r="G1831" s="16" t="s">
        <v>256</v>
      </c>
      <c r="H1831" s="16" t="s">
        <v>257</v>
      </c>
    </row>
    <row r="1832" ht="24.75" customHeight="1">
      <c r="A1832" s="32" t="str">
        <f>IMAGE("https://gymvisual.com/17955-catalog_default/weighted-dead-bug-male.jpg",4,500,500)</f>
        <v/>
      </c>
      <c r="B1832" s="30">
        <v>3831.0</v>
      </c>
      <c r="C1832" s="16" t="s">
        <v>4778</v>
      </c>
      <c r="D1832" s="16" t="s">
        <v>184</v>
      </c>
      <c r="E1832" s="16" t="s">
        <v>254</v>
      </c>
      <c r="F1832" s="16" t="s">
        <v>396</v>
      </c>
      <c r="G1832" s="16" t="s">
        <v>220</v>
      </c>
      <c r="H1832" s="16" t="s">
        <v>220</v>
      </c>
    </row>
    <row r="1833" ht="24.75" customHeight="1">
      <c r="A1833" s="32" t="str">
        <f>IMAGE("https://gymvisual.com/14629-catalog_default/weighted-decline-sit-up.jpg",4,500,500)</f>
        <v/>
      </c>
      <c r="B1833" s="30">
        <v>3832.0</v>
      </c>
      <c r="C1833" s="16" t="s">
        <v>4779</v>
      </c>
      <c r="D1833" s="16" t="s">
        <v>184</v>
      </c>
      <c r="E1833" s="16" t="s">
        <v>740</v>
      </c>
      <c r="F1833" s="16" t="s">
        <v>396</v>
      </c>
      <c r="G1833" s="16" t="s">
        <v>3766</v>
      </c>
      <c r="H1833" s="16" t="s">
        <v>4780</v>
      </c>
    </row>
    <row r="1834" ht="24.75" customHeight="1">
      <c r="A1834" s="32" t="str">
        <f>IMAGE("https://gymvisual.com/2489-catalog_default/weighted-donkey-calf-raise.jpg",4,500,500)</f>
        <v/>
      </c>
      <c r="B1834" s="30">
        <v>3833.0</v>
      </c>
      <c r="C1834" s="16" t="s">
        <v>4781</v>
      </c>
      <c r="D1834" s="16" t="s">
        <v>184</v>
      </c>
      <c r="E1834" s="16" t="s">
        <v>325</v>
      </c>
      <c r="F1834" s="16" t="s">
        <v>396</v>
      </c>
      <c r="G1834" s="16" t="s">
        <v>368</v>
      </c>
      <c r="H1834" s="16" t="s">
        <v>463</v>
      </c>
    </row>
    <row r="1835" ht="24.75" customHeight="1">
      <c r="A1835" s="32" t="str">
        <f>IMAGE("https://gymvisual.com/5999-catalog_default/weighted-drop-push-up.jpg",4,500,500)</f>
        <v/>
      </c>
      <c r="B1835" s="30">
        <v>3834.0</v>
      </c>
      <c r="C1835" s="16" t="s">
        <v>4782</v>
      </c>
      <c r="D1835" s="16" t="s">
        <v>184</v>
      </c>
      <c r="E1835" s="16" t="s">
        <v>234</v>
      </c>
      <c r="F1835" s="16" t="s">
        <v>396</v>
      </c>
      <c r="G1835" s="16" t="s">
        <v>347</v>
      </c>
      <c r="H1835" s="16" t="s">
        <v>3020</v>
      </c>
    </row>
    <row r="1836" ht="24.75" customHeight="1">
      <c r="A1836" s="32" t="str">
        <f>IMAGE("https://gymvisual.com/6850-catalog_default/weighted-exercise-ball-wall-squat.jpg",4,500,500)</f>
        <v/>
      </c>
      <c r="B1836" s="30">
        <v>3835.0</v>
      </c>
      <c r="C1836" s="16" t="s">
        <v>4783</v>
      </c>
      <c r="D1836" s="16" t="s">
        <v>184</v>
      </c>
      <c r="E1836" s="16" t="s">
        <v>285</v>
      </c>
      <c r="F1836" s="16" t="s">
        <v>396</v>
      </c>
      <c r="G1836" s="16" t="s">
        <v>220</v>
      </c>
      <c r="H1836" s="16" t="s">
        <v>220</v>
      </c>
    </row>
    <row r="1837" ht="24.75" customHeight="1">
      <c r="A1837" s="32" t="str">
        <f>IMAGE("https://gymvisual.com/13080-catalog_default/weighted-floor-crunch-feet-on-bench-female.jpg",4,500,500)</f>
        <v/>
      </c>
      <c r="B1837" s="30">
        <v>3836.0</v>
      </c>
      <c r="C1837" s="16" t="s">
        <v>4784</v>
      </c>
      <c r="D1837" s="16" t="s">
        <v>184</v>
      </c>
      <c r="E1837" s="16" t="s">
        <v>254</v>
      </c>
      <c r="F1837" s="16" t="s">
        <v>396</v>
      </c>
      <c r="G1837" s="16" t="s">
        <v>256</v>
      </c>
      <c r="H1837" s="16" t="s">
        <v>257</v>
      </c>
    </row>
    <row r="1838" ht="24.75" customHeight="1">
      <c r="A1838" s="32" t="str">
        <f>IMAGE("https://gymvisual.com/13091-catalog_default/weighted-floor-twisting-crunch-feet-on-bench-female.jpg",4,500,500)</f>
        <v/>
      </c>
      <c r="B1838" s="30">
        <v>3837.0</v>
      </c>
      <c r="C1838" s="16" t="s">
        <v>4785</v>
      </c>
      <c r="D1838" s="16" t="s">
        <v>184</v>
      </c>
      <c r="E1838" s="16" t="s">
        <v>254</v>
      </c>
      <c r="F1838" s="16" t="s">
        <v>396</v>
      </c>
      <c r="G1838" s="16" t="s">
        <v>257</v>
      </c>
      <c r="H1838" s="16" t="s">
        <v>256</v>
      </c>
    </row>
    <row r="1839" ht="24.75" customHeight="1">
      <c r="A1839" s="32" t="str">
        <f>IMAGE("https://gymvisual.com/12755-catalog_default/weighted-frog-pump.jpg",4,500,500)</f>
        <v/>
      </c>
      <c r="B1839" s="30">
        <v>3838.0</v>
      </c>
      <c r="C1839" s="16" t="s">
        <v>4786</v>
      </c>
      <c r="D1839" s="16" t="s">
        <v>184</v>
      </c>
      <c r="E1839" s="16" t="s">
        <v>185</v>
      </c>
      <c r="F1839" s="16" t="s">
        <v>396</v>
      </c>
      <c r="G1839" s="16" t="s">
        <v>1240</v>
      </c>
      <c r="H1839" s="16" t="s">
        <v>1241</v>
      </c>
    </row>
    <row r="1840" ht="24.75" customHeight="1">
      <c r="A1840" s="32" t="str">
        <f>IMAGE("https://gymvisual.com/2492-catalog_default/weighted-front-raise.jpg",4,500,500)</f>
        <v/>
      </c>
      <c r="B1840" s="30">
        <v>3839.0</v>
      </c>
      <c r="C1840" s="16" t="s">
        <v>4787</v>
      </c>
      <c r="D1840" s="16" t="s">
        <v>184</v>
      </c>
      <c r="E1840" s="16" t="s">
        <v>228</v>
      </c>
      <c r="F1840" s="16" t="s">
        <v>396</v>
      </c>
      <c r="G1840" s="16" t="s">
        <v>229</v>
      </c>
      <c r="H1840" s="16" t="s">
        <v>244</v>
      </c>
    </row>
    <row r="1841" ht="24.75" customHeight="1">
      <c r="A1841" s="32" t="str">
        <f>IMAGE("https://gymvisual.com/25663-catalog_default/weighted-full-can-exercise-male.jpg",4,500,500)</f>
        <v/>
      </c>
      <c r="B1841" s="30">
        <v>3840.0</v>
      </c>
      <c r="C1841" s="16" t="s">
        <v>4788</v>
      </c>
      <c r="D1841" s="16" t="s">
        <v>184</v>
      </c>
      <c r="E1841" s="16" t="s">
        <v>228</v>
      </c>
      <c r="F1841" s="16" t="s">
        <v>396</v>
      </c>
      <c r="G1841" s="16" t="s">
        <v>220</v>
      </c>
      <c r="H1841" s="16" t="s">
        <v>220</v>
      </c>
    </row>
    <row r="1842" ht="24.75" customHeight="1">
      <c r="A1842" s="32" t="str">
        <f>IMAGE("https://gymvisual.com/24458-catalog_default/weighted-full-squat-with-overhead-press.jpg",4,500,500)</f>
        <v/>
      </c>
      <c r="B1842" s="30">
        <v>3841.0</v>
      </c>
      <c r="C1842" s="16" t="s">
        <v>4789</v>
      </c>
      <c r="D1842" s="16" t="s">
        <v>184</v>
      </c>
      <c r="E1842" s="16" t="s">
        <v>285</v>
      </c>
      <c r="F1842" s="16" t="s">
        <v>396</v>
      </c>
      <c r="G1842" s="16" t="s">
        <v>793</v>
      </c>
      <c r="H1842" s="16" t="s">
        <v>1130</v>
      </c>
    </row>
    <row r="1843" ht="24.75" customHeight="1">
      <c r="A1843" s="32" t="str">
        <f>IMAGE("https://gymvisual.com/12313-catalog_default/weighted-hammer-grip-pull-up-on-dip-cage.jpg",4,500,500)</f>
        <v/>
      </c>
      <c r="B1843" s="30">
        <v>3842.0</v>
      </c>
      <c r="C1843" s="16" t="s">
        <v>4790</v>
      </c>
      <c r="D1843" s="16" t="s">
        <v>184</v>
      </c>
      <c r="E1843" s="16" t="s">
        <v>192</v>
      </c>
      <c r="F1843" s="16" t="s">
        <v>396</v>
      </c>
      <c r="G1843" s="16" t="s">
        <v>300</v>
      </c>
      <c r="H1843" s="16" t="s">
        <v>1357</v>
      </c>
    </row>
    <row r="1844" ht="24.75" customHeight="1">
      <c r="A1844" s="32" t="str">
        <f>IMAGE("https://gymvisual.com/18005-catalog_default/weighted-hang-chin-up.jpg",4,500,500)</f>
        <v/>
      </c>
      <c r="B1844" s="30">
        <v>3843.0</v>
      </c>
      <c r="C1844" s="16" t="s">
        <v>4791</v>
      </c>
      <c r="D1844" s="16" t="s">
        <v>184</v>
      </c>
      <c r="E1844" s="16" t="s">
        <v>192</v>
      </c>
      <c r="F1844" s="16" t="s">
        <v>396</v>
      </c>
      <c r="G1844" s="16" t="s">
        <v>220</v>
      </c>
      <c r="H1844" s="16" t="s">
        <v>220</v>
      </c>
    </row>
    <row r="1845" ht="24.75" customHeight="1">
      <c r="A1845" s="32" t="str">
        <f>IMAGE("https://gymvisual.com/2637-catalog_default/weighted-hanging-leg-hip-raise.jpg",4,500,500)</f>
        <v/>
      </c>
      <c r="B1845" s="30">
        <v>3844.0</v>
      </c>
      <c r="C1845" s="16" t="s">
        <v>4792</v>
      </c>
      <c r="D1845" s="16" t="s">
        <v>184</v>
      </c>
      <c r="E1845" s="16" t="s">
        <v>254</v>
      </c>
      <c r="F1845" s="16" t="s">
        <v>396</v>
      </c>
      <c r="G1845" s="16" t="s">
        <v>256</v>
      </c>
      <c r="H1845" s="16" t="s">
        <v>1308</v>
      </c>
    </row>
    <row r="1846" ht="24.75" customHeight="1">
      <c r="A1846" s="32" t="str">
        <f>IMAGE("https://gymvisual.com/11831-catalog_default/weighted-hip-thrusts-female.jpg",4,500,500)</f>
        <v/>
      </c>
      <c r="B1846" s="30">
        <v>3845.0</v>
      </c>
      <c r="C1846" s="16" t="s">
        <v>4793</v>
      </c>
      <c r="D1846" s="16" t="s">
        <v>184</v>
      </c>
      <c r="E1846" s="16" t="s">
        <v>185</v>
      </c>
      <c r="F1846" s="16" t="s">
        <v>396</v>
      </c>
      <c r="G1846" s="16" t="s">
        <v>220</v>
      </c>
      <c r="H1846" s="16" t="s">
        <v>220</v>
      </c>
    </row>
    <row r="1847" ht="24.75" customHeight="1">
      <c r="A1847" s="32" t="str">
        <f>IMAGE("https://gymvisual.com/22845-catalog_default/weighted-hyperextension.jpg",4,500,500)</f>
        <v/>
      </c>
      <c r="B1847" s="30">
        <v>3846.0</v>
      </c>
      <c r="C1847" s="16" t="s">
        <v>4794</v>
      </c>
      <c r="D1847" s="16" t="s">
        <v>184</v>
      </c>
      <c r="E1847" s="16" t="s">
        <v>185</v>
      </c>
      <c r="F1847" s="16" t="s">
        <v>396</v>
      </c>
      <c r="G1847" s="16" t="s">
        <v>275</v>
      </c>
      <c r="H1847" s="16" t="s">
        <v>2412</v>
      </c>
    </row>
    <row r="1848" ht="24.75" customHeight="1">
      <c r="A1848" s="32" t="str">
        <f>IMAGE("https://gymvisual.com/2495-catalog_default/weighted-hyperextension-on-stability-ball.jpg",4,500,500)</f>
        <v/>
      </c>
      <c r="B1848" s="30">
        <v>3847.0</v>
      </c>
      <c r="C1848" s="16" t="s">
        <v>4795</v>
      </c>
      <c r="D1848" s="16" t="s">
        <v>184</v>
      </c>
      <c r="E1848" s="16" t="s">
        <v>254</v>
      </c>
      <c r="F1848" s="16" t="s">
        <v>396</v>
      </c>
      <c r="G1848" s="16" t="s">
        <v>275</v>
      </c>
      <c r="H1848" s="16" t="s">
        <v>220</v>
      </c>
    </row>
    <row r="1849" ht="24.75" customHeight="1">
      <c r="A1849" s="32" t="str">
        <f>IMAGE("https://gymvisual.com/23883-catalog_default/weighted-incline-svend-press.jpg",4,500,500)</f>
        <v/>
      </c>
      <c r="B1849" s="30">
        <v>3848.0</v>
      </c>
      <c r="C1849" s="16" t="s">
        <v>4796</v>
      </c>
      <c r="D1849" s="16" t="s">
        <v>184</v>
      </c>
      <c r="E1849" s="16" t="s">
        <v>219</v>
      </c>
      <c r="F1849" s="16" t="s">
        <v>396</v>
      </c>
      <c r="G1849" s="16" t="s">
        <v>415</v>
      </c>
      <c r="H1849" s="16" t="s">
        <v>243</v>
      </c>
    </row>
    <row r="1850" ht="24.75" customHeight="1">
      <c r="A1850" s="32" t="str">
        <f>IMAGE("https://gymvisual.com/19359-catalog_default/weighted-inverted-row.jpg",4,500,500)</f>
        <v/>
      </c>
      <c r="B1850" s="30">
        <v>3849.0</v>
      </c>
      <c r="C1850" s="16" t="s">
        <v>4797</v>
      </c>
      <c r="D1850" s="16" t="s">
        <v>184</v>
      </c>
      <c r="E1850" s="16" t="s">
        <v>192</v>
      </c>
      <c r="F1850" s="16" t="s">
        <v>396</v>
      </c>
      <c r="G1850" s="16" t="s">
        <v>329</v>
      </c>
      <c r="H1850" s="16" t="s">
        <v>1907</v>
      </c>
    </row>
    <row r="1851" ht="24.75" customHeight="1">
      <c r="A1851" s="32" t="str">
        <f>IMAGE("https://gymvisual.com/14372-catalog_default/weighted-kneeling-step-with-swing.jpg",4,500,500)</f>
        <v/>
      </c>
      <c r="B1851" s="30">
        <v>3850.0</v>
      </c>
      <c r="C1851" s="16" t="s">
        <v>4798</v>
      </c>
      <c r="D1851" s="16" t="s">
        <v>184</v>
      </c>
      <c r="E1851" s="16" t="s">
        <v>1129</v>
      </c>
      <c r="F1851" s="16" t="s">
        <v>396</v>
      </c>
      <c r="G1851" s="16" t="s">
        <v>4799</v>
      </c>
      <c r="H1851" s="16" t="s">
        <v>4800</v>
      </c>
    </row>
    <row r="1852" ht="24.75" customHeight="1">
      <c r="A1852" s="32" t="str">
        <f>IMAGE("https://gymvisual.com/2498-catalog_default/weighted-leg-extension-crunch.jpg",4,500,500)</f>
        <v/>
      </c>
      <c r="B1852" s="30">
        <v>3851.0</v>
      </c>
      <c r="C1852" s="16" t="s">
        <v>4801</v>
      </c>
      <c r="D1852" s="16" t="s">
        <v>184</v>
      </c>
      <c r="E1852" s="16" t="s">
        <v>254</v>
      </c>
      <c r="F1852" s="16" t="s">
        <v>399</v>
      </c>
      <c r="G1852" s="16" t="s">
        <v>256</v>
      </c>
      <c r="H1852" s="16" t="s">
        <v>1308</v>
      </c>
    </row>
    <row r="1853" ht="24.75" customHeight="1">
      <c r="A1853" s="32" t="str">
        <f>IMAGE("https://gymvisual.com/14378-catalog_default/weighted-lunge-with-swing.jpg",4,500,500)</f>
        <v/>
      </c>
      <c r="B1853" s="30">
        <v>3852.0</v>
      </c>
      <c r="C1853" s="16" t="s">
        <v>4802</v>
      </c>
      <c r="D1853" s="16" t="s">
        <v>184</v>
      </c>
      <c r="E1853" s="16" t="s">
        <v>1129</v>
      </c>
      <c r="F1853" s="16" t="s">
        <v>396</v>
      </c>
      <c r="G1853" s="16" t="s">
        <v>793</v>
      </c>
      <c r="H1853" s="16" t="s">
        <v>2392</v>
      </c>
    </row>
    <row r="1854" ht="24.75" customHeight="1">
      <c r="A1854" s="32" t="str">
        <f>IMAGE("https://gymvisual.com/2501-catalog_default/weighted-lying-hip-abduction.jpg",4,500,500)</f>
        <v/>
      </c>
      <c r="B1854" s="30">
        <v>3853.0</v>
      </c>
      <c r="C1854" s="16" t="s">
        <v>4803</v>
      </c>
      <c r="D1854" s="16" t="s">
        <v>184</v>
      </c>
      <c r="E1854" s="16" t="s">
        <v>185</v>
      </c>
      <c r="F1854" s="16" t="s">
        <v>396</v>
      </c>
      <c r="G1854" s="16" t="s">
        <v>475</v>
      </c>
      <c r="H1854" s="16" t="s">
        <v>220</v>
      </c>
    </row>
    <row r="1855" ht="24.75" customHeight="1">
      <c r="A1855" s="32" t="str">
        <f>IMAGE("https://gymvisual.com/2953-catalog_default/weighted-lying-neck-extension.jpg",4,500,500)</f>
        <v/>
      </c>
      <c r="B1855" s="30">
        <v>3854.0</v>
      </c>
      <c r="C1855" s="16" t="s">
        <v>4804</v>
      </c>
      <c r="D1855" s="16" t="s">
        <v>184</v>
      </c>
      <c r="E1855" s="16" t="s">
        <v>351</v>
      </c>
      <c r="F1855" s="16" t="s">
        <v>396</v>
      </c>
      <c r="G1855" s="16" t="s">
        <v>3457</v>
      </c>
      <c r="H1855" s="16" t="s">
        <v>3458</v>
      </c>
    </row>
    <row r="1856" ht="24.75" customHeight="1">
      <c r="A1856" s="32" t="str">
        <f>IMAGE("https://gymvisual.com/10461-catalog_default/weighted-lying-neck-extension-with-head-harness.jpg",4,500,500)</f>
        <v/>
      </c>
      <c r="B1856" s="30">
        <v>3855.0</v>
      </c>
      <c r="C1856" s="16" t="s">
        <v>4805</v>
      </c>
      <c r="D1856" s="16" t="s">
        <v>184</v>
      </c>
      <c r="E1856" s="16" t="s">
        <v>351</v>
      </c>
      <c r="F1856" s="16" t="s">
        <v>396</v>
      </c>
      <c r="G1856" s="16" t="s">
        <v>220</v>
      </c>
      <c r="H1856" s="16" t="s">
        <v>220</v>
      </c>
    </row>
    <row r="1857" ht="24.75" customHeight="1">
      <c r="A1857" s="32" t="str">
        <f>IMAGE("https://gymvisual.com/2954-catalog_default/weighted-lying-neck-flexion.jpg",4,500,500)</f>
        <v/>
      </c>
      <c r="B1857" s="30">
        <v>3856.0</v>
      </c>
      <c r="C1857" s="16" t="s">
        <v>4806</v>
      </c>
      <c r="D1857" s="16" t="s">
        <v>184</v>
      </c>
      <c r="E1857" s="16" t="s">
        <v>351</v>
      </c>
      <c r="F1857" s="16" t="s">
        <v>396</v>
      </c>
      <c r="G1857" s="16" t="s">
        <v>3717</v>
      </c>
      <c r="H1857" s="16" t="s">
        <v>4807</v>
      </c>
    </row>
    <row r="1858" ht="24.75" customHeight="1">
      <c r="A1858" s="32" t="str">
        <f>IMAGE("https://gymvisual.com/10462-catalog_default/weighted-lying-neck-flexion-with-head-harness.jpg",4,500,500)</f>
        <v/>
      </c>
      <c r="B1858" s="30">
        <v>3857.0</v>
      </c>
      <c r="C1858" s="16" t="s">
        <v>4808</v>
      </c>
      <c r="D1858" s="16" t="s">
        <v>184</v>
      </c>
      <c r="E1858" s="16" t="s">
        <v>351</v>
      </c>
      <c r="F1858" s="16" t="s">
        <v>396</v>
      </c>
      <c r="G1858" s="16" t="s">
        <v>220</v>
      </c>
      <c r="H1858" s="16" t="s">
        <v>220</v>
      </c>
    </row>
    <row r="1859" ht="24.75" customHeight="1">
      <c r="A1859" s="32" t="str">
        <f>IMAGE("https://gymvisual.com/18986-catalog_default/weighted-lying-neck-head-twist.jpg",4,500,500)</f>
        <v/>
      </c>
      <c r="B1859" s="30">
        <v>3858.0</v>
      </c>
      <c r="C1859" s="16" t="s">
        <v>4809</v>
      </c>
      <c r="D1859" s="16" t="s">
        <v>184</v>
      </c>
      <c r="E1859" s="16" t="s">
        <v>351</v>
      </c>
      <c r="F1859" s="16" t="s">
        <v>396</v>
      </c>
      <c r="G1859" s="16" t="s">
        <v>220</v>
      </c>
      <c r="H1859" s="16" t="s">
        <v>220</v>
      </c>
    </row>
    <row r="1860" ht="24.75" customHeight="1">
      <c r="A1860" s="32" t="str">
        <f>IMAGE("https://gymvisual.com/18984-catalog_default/weighted-lying-neck-side-to-side.jpg",4,500,500)</f>
        <v/>
      </c>
      <c r="B1860" s="30">
        <v>3859.0</v>
      </c>
      <c r="C1860" s="16" t="s">
        <v>4810</v>
      </c>
      <c r="D1860" s="16" t="s">
        <v>184</v>
      </c>
      <c r="E1860" s="16" t="s">
        <v>351</v>
      </c>
      <c r="F1860" s="16" t="s">
        <v>396</v>
      </c>
      <c r="G1860" s="16" t="s">
        <v>220</v>
      </c>
      <c r="H1860" s="16" t="s">
        <v>220</v>
      </c>
    </row>
    <row r="1861" ht="24.75" customHeight="1">
      <c r="A1861" s="32" t="str">
        <f>IMAGE("https://gymvisual.com/10452-catalog_default/weighted-lying-side-lifting-head-with-head-harness.jpg",4,500,500)</f>
        <v/>
      </c>
      <c r="B1861" s="30">
        <v>3860.0</v>
      </c>
      <c r="C1861" s="16" t="s">
        <v>4811</v>
      </c>
      <c r="D1861" s="16" t="s">
        <v>184</v>
      </c>
      <c r="E1861" s="16" t="s">
        <v>351</v>
      </c>
      <c r="F1861" s="16" t="s">
        <v>396</v>
      </c>
      <c r="G1861" s="16" t="s">
        <v>3717</v>
      </c>
      <c r="H1861" s="16" t="s">
        <v>4812</v>
      </c>
    </row>
    <row r="1862" ht="24.75" customHeight="1">
      <c r="A1862" s="32" t="str">
        <f>IMAGE("https://gymvisual.com/18980-catalog_default/weighted-lying-side-neck-raise.jpg",4,500,500)</f>
        <v/>
      </c>
      <c r="B1862" s="30">
        <v>3861.0</v>
      </c>
      <c r="C1862" s="16" t="s">
        <v>4813</v>
      </c>
      <c r="D1862" s="16" t="s">
        <v>184</v>
      </c>
      <c r="E1862" s="16" t="s">
        <v>351</v>
      </c>
      <c r="F1862" s="16" t="s">
        <v>396</v>
      </c>
      <c r="G1862" s="16" t="s">
        <v>220</v>
      </c>
      <c r="H1862" s="16" t="s">
        <v>220</v>
      </c>
    </row>
    <row r="1863" ht="24.75" customHeight="1">
      <c r="A1863" s="32" t="str">
        <f>IMAGE("https://gymvisual.com/2507-catalog_default/weighted-lying-twist.jpg",4,500,500)</f>
        <v/>
      </c>
      <c r="B1863" s="30">
        <v>3862.0</v>
      </c>
      <c r="C1863" s="16" t="s">
        <v>4814</v>
      </c>
      <c r="D1863" s="16" t="s">
        <v>184</v>
      </c>
      <c r="E1863" s="16" t="s">
        <v>254</v>
      </c>
      <c r="F1863" s="16" t="s">
        <v>399</v>
      </c>
      <c r="G1863" s="16" t="s">
        <v>257</v>
      </c>
      <c r="H1863" s="16" t="s">
        <v>220</v>
      </c>
    </row>
    <row r="1864" ht="24.75" customHeight="1">
      <c r="A1864" s="32" t="str">
        <f>IMAGE("https://gymvisual.com/13509-catalog_default/weighted-muscle-up.jpg",4,500,500)</f>
        <v/>
      </c>
      <c r="B1864" s="30">
        <v>3863.0</v>
      </c>
      <c r="C1864" s="16" t="s">
        <v>4815</v>
      </c>
      <c r="D1864" s="16" t="s">
        <v>184</v>
      </c>
      <c r="E1864" s="16" t="s">
        <v>192</v>
      </c>
      <c r="F1864" s="16" t="s">
        <v>396</v>
      </c>
      <c r="G1864" s="16" t="s">
        <v>220</v>
      </c>
      <c r="H1864" s="16" t="s">
        <v>220</v>
      </c>
    </row>
    <row r="1865" ht="24.75" customHeight="1">
      <c r="A1865" s="32" t="str">
        <f>IMAGE("https://gymvisual.com/13553-catalog_default/weighted-muscle-up-on-bar.jpg",4,500,500)</f>
        <v/>
      </c>
      <c r="B1865" s="30">
        <v>3864.0</v>
      </c>
      <c r="C1865" s="16" t="s">
        <v>4816</v>
      </c>
      <c r="D1865" s="16" t="s">
        <v>184</v>
      </c>
      <c r="E1865" s="16" t="s">
        <v>361</v>
      </c>
      <c r="F1865" s="16" t="s">
        <v>396</v>
      </c>
      <c r="G1865" s="16" t="s">
        <v>220</v>
      </c>
      <c r="H1865" s="16" t="s">
        <v>220</v>
      </c>
    </row>
    <row r="1866" ht="24.75" customHeight="1">
      <c r="A1866" s="32" t="str">
        <f>IMAGE("https://gymvisual.com/13517-catalog_default/weighted-one-hand-pull-up.jpg",4,500,500)</f>
        <v/>
      </c>
      <c r="B1866" s="30">
        <v>3865.0</v>
      </c>
      <c r="C1866" s="16" t="s">
        <v>4817</v>
      </c>
      <c r="D1866" s="16" t="s">
        <v>184</v>
      </c>
      <c r="E1866" s="16" t="s">
        <v>192</v>
      </c>
      <c r="F1866" s="16" t="s">
        <v>396</v>
      </c>
      <c r="G1866" s="16" t="s">
        <v>300</v>
      </c>
      <c r="H1866" s="16" t="s">
        <v>387</v>
      </c>
    </row>
    <row r="1867" ht="24.75" customHeight="1">
      <c r="A1867" s="32" t="str">
        <f>IMAGE("https://gymvisual.com/4079-catalog_default/weighted-one-leg-hip-thrust.jpg",4,500,500)</f>
        <v/>
      </c>
      <c r="B1867" s="30">
        <v>3866.0</v>
      </c>
      <c r="C1867" s="16" t="s">
        <v>4818</v>
      </c>
      <c r="D1867" s="16" t="s">
        <v>184</v>
      </c>
      <c r="E1867" s="16" t="s">
        <v>185</v>
      </c>
      <c r="F1867" s="16" t="s">
        <v>396</v>
      </c>
      <c r="G1867" s="16" t="s">
        <v>187</v>
      </c>
      <c r="H1867" s="16" t="s">
        <v>854</v>
      </c>
    </row>
    <row r="1868" ht="24.75" customHeight="1">
      <c r="A1868" s="32" t="str">
        <f>IMAGE("https://gymvisual.com/2510-catalog_default/weighted-overhead-crunch-on-stability-ball.jpg",4,500,500)</f>
        <v/>
      </c>
      <c r="B1868" s="30">
        <v>3867.0</v>
      </c>
      <c r="C1868" s="16" t="s">
        <v>4819</v>
      </c>
      <c r="D1868" s="16" t="s">
        <v>184</v>
      </c>
      <c r="E1868" s="16" t="s">
        <v>254</v>
      </c>
      <c r="F1868" s="16" t="s">
        <v>396</v>
      </c>
      <c r="G1868" s="16" t="s">
        <v>256</v>
      </c>
      <c r="H1868" s="16" t="s">
        <v>257</v>
      </c>
    </row>
    <row r="1869" ht="24.75" customHeight="1">
      <c r="A1869" s="32" t="str">
        <f>IMAGE("https://gymvisual.com/18013-catalog_default/weighted-overhead-press-step-up.jpg",4,500,500)</f>
        <v/>
      </c>
      <c r="B1869" s="30">
        <v>3868.0</v>
      </c>
      <c r="C1869" s="16" t="s">
        <v>4820</v>
      </c>
      <c r="D1869" s="16" t="s">
        <v>184</v>
      </c>
      <c r="E1869" s="16" t="s">
        <v>285</v>
      </c>
      <c r="F1869" s="16" t="s">
        <v>396</v>
      </c>
      <c r="G1869" s="16" t="s">
        <v>220</v>
      </c>
      <c r="H1869" s="16" t="s">
        <v>220</v>
      </c>
    </row>
    <row r="1870" ht="24.75" customHeight="1">
      <c r="A1870" s="32" t="str">
        <f>IMAGE("https://gymvisual.com/17719-catalog_default/weighted-plate-bent-over-row.jpg",4,500,500)</f>
        <v/>
      </c>
      <c r="B1870" s="30">
        <v>3869.0</v>
      </c>
      <c r="C1870" s="16" t="s">
        <v>4821</v>
      </c>
      <c r="D1870" s="16" t="s">
        <v>184</v>
      </c>
      <c r="E1870" s="16" t="s">
        <v>192</v>
      </c>
      <c r="F1870" s="16" t="s">
        <v>396</v>
      </c>
      <c r="G1870" s="16" t="s">
        <v>570</v>
      </c>
      <c r="H1870" s="16" t="s">
        <v>447</v>
      </c>
    </row>
    <row r="1871" ht="24.75" customHeight="1">
      <c r="A1871" s="32" t="str">
        <f>IMAGE("https://gymvisual.com/24258-catalog_default/weighted-plate-overhead-march.jpg",4,500,500)</f>
        <v/>
      </c>
      <c r="B1871" s="30">
        <v>3870.0</v>
      </c>
      <c r="C1871" s="16" t="s">
        <v>4822</v>
      </c>
      <c r="D1871" s="16" t="s">
        <v>184</v>
      </c>
      <c r="E1871" s="16" t="s">
        <v>285</v>
      </c>
      <c r="F1871" s="16" t="s">
        <v>396</v>
      </c>
      <c r="G1871" s="16" t="s">
        <v>1332</v>
      </c>
      <c r="H1871" s="16" t="s">
        <v>314</v>
      </c>
    </row>
    <row r="1872" ht="24.75" customHeight="1">
      <c r="A1872" s="32" t="str">
        <f>IMAGE("https://gymvisual.com/22379-catalog_default/weighted-plate-standing-high-front-raise.jpg",4,500,500)</f>
        <v/>
      </c>
      <c r="B1872" s="30">
        <v>3871.0</v>
      </c>
      <c r="C1872" s="16" t="s">
        <v>4823</v>
      </c>
      <c r="D1872" s="16" t="s">
        <v>184</v>
      </c>
      <c r="E1872" s="16" t="s">
        <v>228</v>
      </c>
      <c r="F1872" s="16" t="s">
        <v>396</v>
      </c>
      <c r="G1872" s="16" t="s">
        <v>220</v>
      </c>
      <c r="H1872" s="16" t="s">
        <v>220</v>
      </c>
    </row>
    <row r="1873" ht="24.75" customHeight="1">
      <c r="A1873" s="32" t="str">
        <f>IMAGE("https://gymvisual.com/2513-catalog_default/weighted-pull-up.jpg",4,500,500)</f>
        <v/>
      </c>
      <c r="B1873" s="30">
        <v>3872.0</v>
      </c>
      <c r="C1873" s="16" t="s">
        <v>4824</v>
      </c>
      <c r="D1873" s="16" t="s">
        <v>184</v>
      </c>
      <c r="E1873" s="16" t="s">
        <v>192</v>
      </c>
      <c r="F1873" s="16" t="s">
        <v>396</v>
      </c>
      <c r="G1873" s="16" t="s">
        <v>300</v>
      </c>
      <c r="H1873" s="16" t="s">
        <v>4825</v>
      </c>
    </row>
    <row r="1874" ht="24.75" customHeight="1">
      <c r="A1874" s="32" t="str">
        <f>IMAGE("https://gymvisual.com/2516-catalog_default/weighted-pullover-on-stability-ball.jpg",4,500,500)</f>
        <v/>
      </c>
      <c r="B1874" s="30">
        <v>3873.0</v>
      </c>
      <c r="C1874" s="16" t="s">
        <v>4826</v>
      </c>
      <c r="D1874" s="16" t="s">
        <v>184</v>
      </c>
      <c r="E1874" s="16" t="s">
        <v>192</v>
      </c>
      <c r="F1874" s="16" t="s">
        <v>396</v>
      </c>
      <c r="G1874" s="16" t="s">
        <v>300</v>
      </c>
      <c r="H1874" s="16" t="s">
        <v>687</v>
      </c>
    </row>
    <row r="1875" ht="24.75" customHeight="1">
      <c r="A1875" s="32" t="str">
        <f>IMAGE("https://gymvisual.com/17171-catalog_default/weighted-push-up-with-vest.jpg",4,500,500)</f>
        <v/>
      </c>
      <c r="B1875" s="30">
        <v>3874.0</v>
      </c>
      <c r="C1875" s="16" t="s">
        <v>4827</v>
      </c>
      <c r="D1875" s="16" t="s">
        <v>184</v>
      </c>
      <c r="E1875" s="16" t="s">
        <v>234</v>
      </c>
      <c r="F1875" s="16" t="s">
        <v>396</v>
      </c>
      <c r="G1875" s="16" t="s">
        <v>235</v>
      </c>
      <c r="H1875" s="16" t="s">
        <v>243</v>
      </c>
    </row>
    <row r="1876" ht="24.75" customHeight="1">
      <c r="A1876" s="32" t="str">
        <f>IMAGE("https://gymvisual.com/2519-catalog_default/weighted-reduction-triangle.jpg",4,500,500)</f>
        <v/>
      </c>
      <c r="B1876" s="30">
        <v>3875.0</v>
      </c>
      <c r="C1876" s="16" t="s">
        <v>4828</v>
      </c>
      <c r="D1876" s="16" t="s">
        <v>184</v>
      </c>
      <c r="E1876" s="16" t="s">
        <v>285</v>
      </c>
      <c r="F1876" s="16" t="s">
        <v>399</v>
      </c>
      <c r="G1876" s="16" t="s">
        <v>2412</v>
      </c>
      <c r="H1876" s="16" t="s">
        <v>4829</v>
      </c>
    </row>
    <row r="1877" ht="24.75" customHeight="1">
      <c r="A1877" s="32" t="str">
        <f>IMAGE("https://gymvisual.com/2522-catalog_default/weighted-round-arm.jpg",4,500,500)</f>
        <v/>
      </c>
      <c r="B1877" s="30">
        <v>3876.0</v>
      </c>
      <c r="C1877" s="16" t="s">
        <v>4830</v>
      </c>
      <c r="D1877" s="16" t="s">
        <v>184</v>
      </c>
      <c r="E1877" s="16" t="s">
        <v>228</v>
      </c>
      <c r="F1877" s="16" t="s">
        <v>396</v>
      </c>
      <c r="G1877" s="16" t="s">
        <v>229</v>
      </c>
      <c r="H1877" s="16" t="s">
        <v>244</v>
      </c>
    </row>
    <row r="1878" ht="24.75" customHeight="1">
      <c r="A1878" s="32" t="str">
        <f>IMAGE("https://gymvisual.com/2528-catalog_default/weighted-russian-twist.jpg",4,500,500)</f>
        <v/>
      </c>
      <c r="B1878" s="30">
        <v>3877.0</v>
      </c>
      <c r="C1878" s="16" t="s">
        <v>4831</v>
      </c>
      <c r="D1878" s="16" t="s">
        <v>184</v>
      </c>
      <c r="E1878" s="16" t="s">
        <v>254</v>
      </c>
      <c r="F1878" s="16" t="s">
        <v>396</v>
      </c>
      <c r="G1878" s="16" t="s">
        <v>257</v>
      </c>
      <c r="H1878" s="16" t="s">
        <v>220</v>
      </c>
    </row>
    <row r="1879" ht="24.75" customHeight="1">
      <c r="A1879" s="32" t="str">
        <f>IMAGE("https://gymvisual.com/11236-catalog_default/weighted-russian-twist-female.jpg",4,500,500)</f>
        <v/>
      </c>
      <c r="B1879" s="30">
        <v>3878.0</v>
      </c>
      <c r="C1879" s="16" t="s">
        <v>4832</v>
      </c>
      <c r="D1879" s="16" t="s">
        <v>184</v>
      </c>
      <c r="E1879" s="16" t="s">
        <v>254</v>
      </c>
      <c r="F1879" s="16" t="s">
        <v>396</v>
      </c>
      <c r="G1879" s="16" t="s">
        <v>220</v>
      </c>
      <c r="H1879" s="16" t="s">
        <v>220</v>
      </c>
    </row>
    <row r="1880" ht="24.75" customHeight="1">
      <c r="A1880" s="32" t="str">
        <f>IMAGE("https://gymvisual.com/2525-catalog_default/weighted-russian-twist-legs-up.jpg",4,500,500)</f>
        <v/>
      </c>
      <c r="B1880" s="30">
        <v>3879.0</v>
      </c>
      <c r="C1880" s="16" t="s">
        <v>4833</v>
      </c>
      <c r="D1880" s="16" t="s">
        <v>184</v>
      </c>
      <c r="E1880" s="16" t="s">
        <v>254</v>
      </c>
      <c r="F1880" s="16" t="s">
        <v>396</v>
      </c>
      <c r="G1880" s="16" t="s">
        <v>257</v>
      </c>
      <c r="H1880" s="16" t="s">
        <v>2640</v>
      </c>
    </row>
    <row r="1881" ht="24.75" customHeight="1">
      <c r="A1881" s="32" t="str">
        <f>IMAGE("https://gymvisual.com/10294-catalog_default/weighted-russian-twist-version-2.jpg",4,500,500)</f>
        <v/>
      </c>
      <c r="B1881" s="30">
        <v>3880.0</v>
      </c>
      <c r="C1881" s="16" t="s">
        <v>4834</v>
      </c>
      <c r="D1881" s="16" t="s">
        <v>184</v>
      </c>
      <c r="E1881" s="16" t="s">
        <v>254</v>
      </c>
      <c r="F1881" s="16" t="s">
        <v>396</v>
      </c>
      <c r="G1881" s="16" t="s">
        <v>257</v>
      </c>
      <c r="H1881" s="16" t="s">
        <v>305</v>
      </c>
    </row>
    <row r="1882" ht="24.75" customHeight="1">
      <c r="A1882" s="32" t="str">
        <f>IMAGE("https://gymvisual.com/2531-catalog_default/weighted-seated-bicep-curl-on-stability-ball.jpg",4,500,500)</f>
        <v/>
      </c>
      <c r="B1882" s="30">
        <v>3881.0</v>
      </c>
      <c r="C1882" s="16" t="s">
        <v>4835</v>
      </c>
      <c r="D1882" s="16" t="s">
        <v>184</v>
      </c>
      <c r="E1882" s="16" t="s">
        <v>219</v>
      </c>
      <c r="F1882" s="16" t="s">
        <v>373</v>
      </c>
      <c r="G1882" s="16" t="s">
        <v>232</v>
      </c>
      <c r="H1882" s="16" t="s">
        <v>233</v>
      </c>
    </row>
    <row r="1883" ht="24.75" customHeight="1">
      <c r="A1883" s="32" t="str">
        <f>IMAGE("https://gymvisual.com/17571-catalog_default/weighted-seated-calf-raise.jpg",4,500,500)</f>
        <v/>
      </c>
      <c r="B1883" s="30">
        <v>3882.0</v>
      </c>
      <c r="C1883" s="16" t="s">
        <v>4836</v>
      </c>
      <c r="D1883" s="16" t="s">
        <v>184</v>
      </c>
      <c r="E1883" s="16" t="s">
        <v>325</v>
      </c>
      <c r="F1883" s="16" t="s">
        <v>396</v>
      </c>
      <c r="G1883" s="16" t="s">
        <v>368</v>
      </c>
      <c r="H1883" s="16" t="s">
        <v>463</v>
      </c>
    </row>
    <row r="1884" ht="24.75" customHeight="1">
      <c r="A1884" s="32" t="str">
        <f>IMAGE("https://gymvisual.com/24153-catalog_default/weighted-seated-calf-raise-version-2.jpg",4,500,500)</f>
        <v/>
      </c>
      <c r="B1884" s="30">
        <v>3883.0</v>
      </c>
      <c r="C1884" s="16" t="s">
        <v>4837</v>
      </c>
      <c r="D1884" s="16" t="s">
        <v>184</v>
      </c>
      <c r="E1884" s="16" t="s">
        <v>325</v>
      </c>
      <c r="F1884" s="16" t="s">
        <v>396</v>
      </c>
      <c r="G1884" s="16" t="s">
        <v>220</v>
      </c>
      <c r="H1884" s="16" t="s">
        <v>220</v>
      </c>
    </row>
    <row r="1885" ht="24.75" customHeight="1">
      <c r="A1885" s="32" t="str">
        <f>IMAGE("https://gymvisual.com/20165-catalog_default/weighted-seated-leg-raise-on-floor.jpg",4,500,500)</f>
        <v/>
      </c>
      <c r="B1885" s="30">
        <v>3884.0</v>
      </c>
      <c r="C1885" s="16" t="s">
        <v>4838</v>
      </c>
      <c r="D1885" s="16" t="s">
        <v>184</v>
      </c>
      <c r="E1885" s="16" t="s">
        <v>254</v>
      </c>
      <c r="F1885" s="16" t="s">
        <v>396</v>
      </c>
      <c r="G1885" s="16" t="s">
        <v>305</v>
      </c>
      <c r="H1885" s="16" t="s">
        <v>600</v>
      </c>
    </row>
    <row r="1886" ht="24.75" customHeight="1">
      <c r="A1886" s="32" t="str">
        <f>IMAGE("https://gymvisual.com/10453-catalog_default/weighted-seated-neck-extension-with-head-harness.jpg",4,500,500)</f>
        <v/>
      </c>
      <c r="B1886" s="30">
        <v>3885.0</v>
      </c>
      <c r="C1886" s="16" t="s">
        <v>4839</v>
      </c>
      <c r="D1886" s="16" t="s">
        <v>184</v>
      </c>
      <c r="E1886" s="16" t="s">
        <v>351</v>
      </c>
      <c r="F1886" s="16" t="s">
        <v>396</v>
      </c>
      <c r="G1886" s="16" t="s">
        <v>3457</v>
      </c>
      <c r="H1886" s="16" t="s">
        <v>4840</v>
      </c>
    </row>
    <row r="1887" ht="24.75" customHeight="1">
      <c r="A1887" s="32" t="str">
        <f>IMAGE("https://gymvisual.com/17569-catalog_default/weighted-seated-neutral-wrist-curl.jpg",4,500,500)</f>
        <v/>
      </c>
      <c r="B1887" s="30">
        <v>3886.0</v>
      </c>
      <c r="C1887" s="16" t="s">
        <v>4841</v>
      </c>
      <c r="D1887" s="16" t="s">
        <v>184</v>
      </c>
      <c r="E1887" s="16" t="s">
        <v>214</v>
      </c>
      <c r="F1887" s="16" t="s">
        <v>396</v>
      </c>
      <c r="G1887" s="16" t="s">
        <v>220</v>
      </c>
      <c r="H1887" s="16" t="s">
        <v>220</v>
      </c>
    </row>
    <row r="1888" ht="24.75" customHeight="1">
      <c r="A1888" s="32" t="str">
        <f>IMAGE("https://gymvisual.com/17632-catalog_default/weighted-seated-one-arm-reverse-wrist-curl.jpg",4,500,500)</f>
        <v/>
      </c>
      <c r="B1888" s="30">
        <v>3887.0</v>
      </c>
      <c r="C1888" s="16" t="s">
        <v>4842</v>
      </c>
      <c r="D1888" s="16" t="s">
        <v>184</v>
      </c>
      <c r="E1888" s="16" t="s">
        <v>214</v>
      </c>
      <c r="F1888" s="16" t="s">
        <v>396</v>
      </c>
      <c r="G1888" s="16" t="s">
        <v>604</v>
      </c>
      <c r="H1888" s="16" t="s">
        <v>220</v>
      </c>
    </row>
    <row r="1889" ht="24.75" customHeight="1">
      <c r="A1889" s="32" t="str">
        <f>IMAGE("https://gymvisual.com/17630-catalog_default/weighted-seated-one-arm-wrist-curl.jpg",4,500,500)</f>
        <v/>
      </c>
      <c r="B1889" s="30">
        <v>3888.0</v>
      </c>
      <c r="C1889" s="16" t="s">
        <v>4843</v>
      </c>
      <c r="D1889" s="16" t="s">
        <v>184</v>
      </c>
      <c r="E1889" s="16" t="s">
        <v>214</v>
      </c>
      <c r="F1889" s="16" t="s">
        <v>396</v>
      </c>
      <c r="G1889" s="16" t="s">
        <v>720</v>
      </c>
      <c r="H1889" s="16" t="s">
        <v>220</v>
      </c>
    </row>
    <row r="1890" ht="24.75" customHeight="1">
      <c r="A1890" s="32" t="str">
        <f>IMAGE("https://gymvisual.com/17628-catalog_default/weighted-seated-reverse-wrist-curl.jpg",4,500,500)</f>
        <v/>
      </c>
      <c r="B1890" s="30">
        <v>3889.0</v>
      </c>
      <c r="C1890" s="16" t="s">
        <v>4844</v>
      </c>
      <c r="D1890" s="16" t="s">
        <v>184</v>
      </c>
      <c r="E1890" s="16" t="s">
        <v>214</v>
      </c>
      <c r="F1890" s="16" t="s">
        <v>396</v>
      </c>
      <c r="G1890" s="16" t="s">
        <v>604</v>
      </c>
      <c r="H1890" s="16" t="s">
        <v>220</v>
      </c>
    </row>
    <row r="1891" ht="24.75" customHeight="1">
      <c r="A1891" s="32" t="str">
        <f>IMAGE("https://gymvisual.com/24155-catalog_default/weighted-seated-single-calf-raise-version-2.jpg",4,500,500)</f>
        <v/>
      </c>
      <c r="B1891" s="30">
        <v>3890.0</v>
      </c>
      <c r="C1891" s="16" t="s">
        <v>4845</v>
      </c>
      <c r="D1891" s="16" t="s">
        <v>184</v>
      </c>
      <c r="E1891" s="16" t="s">
        <v>325</v>
      </c>
      <c r="F1891" s="16" t="s">
        <v>396</v>
      </c>
      <c r="G1891" s="16" t="s">
        <v>220</v>
      </c>
      <c r="H1891" s="16" t="s">
        <v>220</v>
      </c>
    </row>
    <row r="1892" ht="24.75" customHeight="1">
      <c r="A1892" s="32" t="str">
        <f>IMAGE("https://gymvisual.com/17626-catalog_default/weighted-seated-supination.jpg",4,500,500)</f>
        <v/>
      </c>
      <c r="B1892" s="30">
        <v>3891.0</v>
      </c>
      <c r="C1892" s="16" t="s">
        <v>4846</v>
      </c>
      <c r="D1892" s="16" t="s">
        <v>184</v>
      </c>
      <c r="E1892" s="16" t="s">
        <v>214</v>
      </c>
      <c r="F1892" s="16" t="s">
        <v>396</v>
      </c>
      <c r="G1892" s="16" t="s">
        <v>216</v>
      </c>
      <c r="H1892" s="16" t="s">
        <v>220</v>
      </c>
    </row>
    <row r="1893" ht="24.75" customHeight="1">
      <c r="A1893" s="32" t="str">
        <f>IMAGE("https://gymvisual.com/17885-catalog_default/weighted-seated-triceps-extension-male.jpg",4,500,500)</f>
        <v/>
      </c>
      <c r="B1893" s="30">
        <v>3892.0</v>
      </c>
      <c r="C1893" s="16" t="s">
        <v>4847</v>
      </c>
      <c r="D1893" s="16" t="s">
        <v>184</v>
      </c>
      <c r="E1893" s="16" t="s">
        <v>219</v>
      </c>
      <c r="F1893" s="16" t="s">
        <v>396</v>
      </c>
      <c r="G1893" s="16" t="s">
        <v>220</v>
      </c>
      <c r="H1893" s="16" t="s">
        <v>220</v>
      </c>
    </row>
    <row r="1894" ht="24.75" customHeight="1">
      <c r="A1894" s="32" t="str">
        <f>IMAGE("https://gymvisual.com/19592-catalog_default/weighted-seated-tuck-crunch-on-floor.jpg",4,500,500)</f>
        <v/>
      </c>
      <c r="B1894" s="30">
        <v>3893.0</v>
      </c>
      <c r="C1894" s="16" t="s">
        <v>4848</v>
      </c>
      <c r="D1894" s="16" t="s">
        <v>184</v>
      </c>
      <c r="E1894" s="16" t="s">
        <v>254</v>
      </c>
      <c r="F1894" s="16" t="s">
        <v>396</v>
      </c>
      <c r="G1894" s="16" t="s">
        <v>220</v>
      </c>
      <c r="H1894" s="16" t="s">
        <v>220</v>
      </c>
    </row>
    <row r="1895" ht="24.75" customHeight="1">
      <c r="A1895" s="32" t="str">
        <f>IMAGE("https://gymvisual.com/2537-catalog_default/weighted-seated-twist-on-stability-ball.jpg",4,500,500)</f>
        <v/>
      </c>
      <c r="B1895" s="30">
        <v>3894.0</v>
      </c>
      <c r="C1895" s="16" t="s">
        <v>4849</v>
      </c>
      <c r="D1895" s="16" t="s">
        <v>184</v>
      </c>
      <c r="E1895" s="16" t="s">
        <v>254</v>
      </c>
      <c r="F1895" s="16" t="s">
        <v>396</v>
      </c>
      <c r="G1895" s="16" t="s">
        <v>257</v>
      </c>
      <c r="H1895" s="16" t="s">
        <v>220</v>
      </c>
    </row>
    <row r="1896" ht="24.75" customHeight="1">
      <c r="A1896" s="32" t="str">
        <f>IMAGE("https://gymvisual.com/2540-catalog_default/weighted-side-bend-on-stability-ball.jpg",4,500,500)</f>
        <v/>
      </c>
      <c r="B1896" s="30">
        <v>3895.0</v>
      </c>
      <c r="C1896" s="16" t="s">
        <v>4850</v>
      </c>
      <c r="D1896" s="16" t="s">
        <v>184</v>
      </c>
      <c r="E1896" s="16" t="s">
        <v>254</v>
      </c>
      <c r="F1896" s="16" t="s">
        <v>396</v>
      </c>
      <c r="G1896" s="16" t="s">
        <v>257</v>
      </c>
      <c r="H1896" s="16" t="s">
        <v>220</v>
      </c>
    </row>
    <row r="1897" ht="24.75" customHeight="1">
      <c r="A1897" s="32" t="str">
        <f>IMAGE("https://gymvisual.com/17577-catalog_default/weighted-side-crunch.jpg",4,500,500)</f>
        <v/>
      </c>
      <c r="B1897" s="30">
        <v>3896.0</v>
      </c>
      <c r="C1897" s="16" t="s">
        <v>4851</v>
      </c>
      <c r="D1897" s="16" t="s">
        <v>184</v>
      </c>
      <c r="E1897" s="16" t="s">
        <v>254</v>
      </c>
      <c r="F1897" s="16" t="s">
        <v>396</v>
      </c>
      <c r="G1897" s="16" t="s">
        <v>260</v>
      </c>
      <c r="H1897" s="16" t="s">
        <v>220</v>
      </c>
    </row>
    <row r="1898" ht="24.75" customHeight="1">
      <c r="A1898" s="32" t="str">
        <f>IMAGE("https://gymvisual.com/18982-catalog_default/weighted-side-lying-side-neck-raise.jpg",4,500,500)</f>
        <v/>
      </c>
      <c r="B1898" s="30">
        <v>3897.0</v>
      </c>
      <c r="C1898" s="16" t="s">
        <v>4852</v>
      </c>
      <c r="D1898" s="16" t="s">
        <v>184</v>
      </c>
      <c r="E1898" s="16" t="s">
        <v>351</v>
      </c>
      <c r="F1898" s="16" t="s">
        <v>396</v>
      </c>
      <c r="G1898" s="16" t="s">
        <v>220</v>
      </c>
      <c r="H1898" s="16" t="s">
        <v>220</v>
      </c>
    </row>
    <row r="1899" ht="24.75" customHeight="1">
      <c r="A1899" s="32" t="str">
        <f>IMAGE("https://gymvisual.com/14238-catalog_default/weighted-single-leg-lift.jpg",4,500,500)</f>
        <v/>
      </c>
      <c r="B1899" s="30">
        <v>3898.0</v>
      </c>
      <c r="C1899" s="16" t="s">
        <v>4853</v>
      </c>
      <c r="D1899" s="16" t="s">
        <v>184</v>
      </c>
      <c r="E1899" s="16" t="s">
        <v>285</v>
      </c>
      <c r="F1899" s="16" t="s">
        <v>396</v>
      </c>
      <c r="G1899" s="16" t="s">
        <v>3818</v>
      </c>
      <c r="H1899" s="16" t="s">
        <v>4854</v>
      </c>
    </row>
    <row r="1900" ht="24.75" customHeight="1">
      <c r="A1900" s="32" t="str">
        <f>IMAGE("https://gymvisual.com/2543-catalog_default/weighted-sissy-squat.jpg",4,500,500)</f>
        <v/>
      </c>
      <c r="B1900" s="30">
        <v>3899.0</v>
      </c>
      <c r="C1900" s="16" t="s">
        <v>4855</v>
      </c>
      <c r="D1900" s="16" t="s">
        <v>184</v>
      </c>
      <c r="E1900" s="16" t="s">
        <v>285</v>
      </c>
      <c r="F1900" s="16" t="s">
        <v>396</v>
      </c>
      <c r="G1900" s="16" t="s">
        <v>552</v>
      </c>
      <c r="H1900" s="16" t="s">
        <v>220</v>
      </c>
    </row>
    <row r="1901" ht="24.75" customHeight="1">
      <c r="A1901" s="32" t="str">
        <f>IMAGE("https://gymvisual.com/17511-catalog_default/weighted-sissy-squat-female.jpg",4,500,500)</f>
        <v/>
      </c>
      <c r="B1901" s="30">
        <v>3900.0</v>
      </c>
      <c r="C1901" s="16" t="s">
        <v>4856</v>
      </c>
      <c r="D1901" s="16" t="s">
        <v>184</v>
      </c>
      <c r="E1901" s="16" t="s">
        <v>285</v>
      </c>
      <c r="F1901" s="16" t="s">
        <v>396</v>
      </c>
      <c r="G1901" s="16" t="s">
        <v>552</v>
      </c>
      <c r="H1901" s="16" t="s">
        <v>1115</v>
      </c>
    </row>
    <row r="1902" ht="24.75" customHeight="1">
      <c r="A1902" s="32" t="str">
        <f>IMAGE("https://gymvisual.com/2546-catalog_default/weighted-squat.jpg",4,500,500)</f>
        <v/>
      </c>
      <c r="B1902" s="30">
        <v>3901.0</v>
      </c>
      <c r="C1902" s="16" t="s">
        <v>4857</v>
      </c>
      <c r="D1902" s="16" t="s">
        <v>184</v>
      </c>
      <c r="E1902" s="16" t="s">
        <v>285</v>
      </c>
      <c r="F1902" s="16" t="s">
        <v>396</v>
      </c>
      <c r="G1902" s="16" t="s">
        <v>189</v>
      </c>
      <c r="H1902" s="16" t="s">
        <v>190</v>
      </c>
    </row>
    <row r="1903" ht="24.75" customHeight="1">
      <c r="A1903" s="32" t="str">
        <f>IMAGE("https://gymvisual.com/13612-catalog_default/weighted-stability-ball-crunch-full-range.jpg",4,500,500)</f>
        <v/>
      </c>
      <c r="B1903" s="30">
        <v>3902.0</v>
      </c>
      <c r="C1903" s="16" t="s">
        <v>4858</v>
      </c>
      <c r="D1903" s="16" t="s">
        <v>184</v>
      </c>
      <c r="E1903" s="16" t="s">
        <v>254</v>
      </c>
      <c r="F1903" s="16" t="s">
        <v>396</v>
      </c>
      <c r="G1903" s="16" t="s">
        <v>256</v>
      </c>
      <c r="H1903" s="16" t="s">
        <v>257</v>
      </c>
    </row>
    <row r="1904" ht="24.75" customHeight="1">
      <c r="A1904" s="32" t="str">
        <f>IMAGE("https://gymvisual.com/2549-catalog_default/weighted-standing-curl.jpg",4,500,500)</f>
        <v/>
      </c>
      <c r="B1904" s="30">
        <v>3903.0</v>
      </c>
      <c r="C1904" s="16" t="s">
        <v>4859</v>
      </c>
      <c r="D1904" s="16" t="s">
        <v>184</v>
      </c>
      <c r="E1904" s="16" t="s">
        <v>214</v>
      </c>
      <c r="F1904" s="16" t="s">
        <v>396</v>
      </c>
      <c r="G1904" s="16" t="s">
        <v>216</v>
      </c>
      <c r="H1904" s="16" t="s">
        <v>217</v>
      </c>
    </row>
    <row r="1905" ht="24.75" customHeight="1">
      <c r="A1905" s="32" t="str">
        <f>IMAGE("https://gymvisual.com/14316-catalog_default/weighted-standing-curl-female.jpg",4,500,500)</f>
        <v/>
      </c>
      <c r="B1905" s="30">
        <v>3904.0</v>
      </c>
      <c r="C1905" s="16" t="s">
        <v>4860</v>
      </c>
      <c r="D1905" s="16" t="s">
        <v>184</v>
      </c>
      <c r="E1905" s="16" t="s">
        <v>214</v>
      </c>
      <c r="F1905" s="16" t="s">
        <v>396</v>
      </c>
      <c r="G1905" s="16" t="s">
        <v>217</v>
      </c>
      <c r="H1905" s="16" t="s">
        <v>220</v>
      </c>
    </row>
    <row r="1906" ht="24.75" customHeight="1">
      <c r="A1906" s="32" t="str">
        <f>IMAGE("https://gymvisual.com/2552-catalog_default/weighted-standing-hand-squeeze.jpg",4,500,500)</f>
        <v/>
      </c>
      <c r="B1906" s="30">
        <v>3905.0</v>
      </c>
      <c r="C1906" s="16" t="s">
        <v>4861</v>
      </c>
      <c r="D1906" s="16" t="s">
        <v>184</v>
      </c>
      <c r="E1906" s="16" t="s">
        <v>214</v>
      </c>
      <c r="F1906" s="16" t="s">
        <v>396</v>
      </c>
      <c r="G1906" s="16" t="s">
        <v>220</v>
      </c>
      <c r="H1906" s="16" t="s">
        <v>220</v>
      </c>
    </row>
    <row r="1907" ht="24.75" customHeight="1">
      <c r="A1907" s="32" t="str">
        <f>IMAGE("https://gymvisual.com/10463-catalog_default/weighted-standing-neck-extension-with-head-harness.jpg",4,500,500)</f>
        <v/>
      </c>
      <c r="B1907" s="30">
        <v>3906.0</v>
      </c>
      <c r="C1907" s="16" t="s">
        <v>4862</v>
      </c>
      <c r="D1907" s="16" t="s">
        <v>184</v>
      </c>
      <c r="E1907" s="16" t="s">
        <v>351</v>
      </c>
      <c r="F1907" s="16" t="s">
        <v>396</v>
      </c>
      <c r="G1907" s="16" t="s">
        <v>220</v>
      </c>
      <c r="H1907" s="16" t="s">
        <v>220</v>
      </c>
    </row>
    <row r="1908" ht="24.75" customHeight="1">
      <c r="A1908" s="32" t="str">
        <f>IMAGE("https://gymvisual.com/17993-catalog_default/weighted-standing-shoulder-press.jpg",4,500,500)</f>
        <v/>
      </c>
      <c r="B1908" s="30">
        <v>3907.0</v>
      </c>
      <c r="C1908" s="16" t="s">
        <v>4863</v>
      </c>
      <c r="D1908" s="16" t="s">
        <v>184</v>
      </c>
      <c r="E1908" s="16" t="s">
        <v>228</v>
      </c>
      <c r="F1908" s="16"/>
      <c r="G1908" s="16"/>
      <c r="H1908" s="16"/>
    </row>
    <row r="1909" ht="24.75" customHeight="1"/>
    <row r="1910" ht="24.75" customHeight="1"/>
    <row r="1911" ht="24.75" customHeight="1"/>
    <row r="1912" ht="24.75" customHeight="1"/>
    <row r="1913" ht="24.75" customHeight="1"/>
    <row r="1914" ht="24.75" customHeight="1"/>
    <row r="1915" ht="24.75" customHeight="1"/>
    <row r="1916" ht="24.75" customHeight="1"/>
    <row r="1917" ht="24.75" customHeight="1"/>
    <row r="1918" ht="24.75" customHeight="1"/>
    <row r="1919" ht="24.75" customHeight="1"/>
    <row r="1920" ht="24.75" customHeight="1"/>
    <row r="1921" ht="24.75" customHeight="1"/>
    <row r="1922" ht="24.75" customHeight="1"/>
    <row r="1923" ht="24.75" customHeight="1"/>
    <row r="1924" ht="24.75" customHeight="1"/>
    <row r="1925" ht="24.75" customHeight="1"/>
    <row r="1926" ht="24.75" customHeight="1"/>
    <row r="1927" ht="24.75" customHeight="1"/>
    <row r="1928" ht="24.75" customHeight="1"/>
    <row r="1929" ht="24.75" customHeight="1"/>
    <row r="1930" ht="24.75" customHeight="1"/>
    <row r="1931" ht="24.75" customHeight="1"/>
    <row r="1932" ht="24.75" customHeight="1"/>
    <row r="1933" ht="24.75" customHeight="1"/>
    <row r="1934" ht="24.75" customHeight="1"/>
    <row r="1935" ht="24.75" customHeight="1"/>
    <row r="1936" ht="24.75" customHeight="1"/>
    <row r="1937" ht="24.75" customHeight="1"/>
    <row r="1938" ht="24.75" customHeight="1"/>
    <row r="1939" ht="24.75" customHeight="1"/>
    <row r="1940" ht="24.75" customHeight="1"/>
    <row r="1941" ht="24.75" customHeight="1"/>
    <row r="1942" ht="24.75" customHeight="1"/>
    <row r="1943" ht="24.75" customHeight="1"/>
    <row r="1944" ht="24.75" customHeight="1"/>
    <row r="1945" ht="24.75" customHeight="1"/>
    <row r="1946" ht="24.75" customHeight="1"/>
    <row r="1947" ht="24.75" customHeight="1"/>
    <row r="1948" ht="24.75" customHeight="1"/>
    <row r="1949" ht="24.75" customHeight="1"/>
    <row r="1950" ht="24.75" customHeight="1"/>
    <row r="1951" ht="24.75" customHeight="1"/>
    <row r="1952" ht="24.75" customHeight="1"/>
    <row r="1953" ht="24.75" customHeight="1"/>
    <row r="1954" ht="24.75" customHeight="1"/>
    <row r="1955" ht="24.75" customHeight="1"/>
    <row r="1956" ht="24.75" customHeight="1"/>
    <row r="1957" ht="24.75" customHeight="1"/>
    <row r="1958" ht="24.75" customHeight="1"/>
    <row r="1959" ht="24.75" customHeight="1"/>
    <row r="1960" ht="24.75" customHeight="1"/>
    <row r="1961" ht="24.75" customHeight="1"/>
    <row r="1962" ht="24.75" customHeight="1"/>
    <row r="1963" ht="24.75" customHeight="1"/>
    <row r="1964" ht="24.75" customHeight="1"/>
    <row r="1965" ht="24.75" customHeight="1"/>
    <row r="1966" ht="24.75" customHeight="1"/>
    <row r="1967" ht="24.75" customHeight="1"/>
    <row r="1968" ht="24.75" customHeight="1"/>
    <row r="1969" ht="24.75" customHeight="1"/>
    <row r="1970" ht="24.75" customHeight="1"/>
    <row r="1971" ht="24.75" customHeight="1"/>
    <row r="1972" ht="24.75" customHeight="1"/>
    <row r="1973" ht="24.75" customHeight="1"/>
    <row r="1974" ht="24.75" customHeight="1"/>
    <row r="1975" ht="24.75" customHeight="1"/>
    <row r="1976" ht="24.75" customHeight="1"/>
    <row r="1977" ht="24.75" customHeight="1"/>
    <row r="1978" ht="24.75" customHeight="1"/>
    <row r="1979" ht="24.75" customHeight="1"/>
    <row r="1980" ht="24.75" customHeight="1"/>
    <row r="1981" ht="24.75" customHeight="1"/>
    <row r="1982" ht="24.75" customHeight="1"/>
    <row r="1983" ht="24.75" customHeight="1"/>
    <row r="1984" ht="24.75" customHeight="1"/>
    <row r="1985" ht="24.75" customHeight="1"/>
    <row r="1986" ht="24.75" customHeight="1"/>
    <row r="1987" ht="24.75" customHeight="1"/>
    <row r="1988" ht="24.75" customHeight="1"/>
    <row r="1989" ht="24.75" customHeight="1"/>
    <row r="1990" ht="24.75" customHeight="1"/>
    <row r="1991" ht="24.75" customHeight="1"/>
    <row r="1992" ht="24.75" customHeight="1"/>
    <row r="1993" ht="24.75" customHeight="1"/>
    <row r="1994" ht="24.75" customHeight="1"/>
    <row r="1995" ht="24.75" customHeight="1"/>
    <row r="1996" ht="24.75" customHeight="1"/>
    <row r="1997" ht="24.75" customHeight="1"/>
    <row r="1998" ht="24.75" customHeight="1"/>
    <row r="1999" ht="24.75" customHeight="1"/>
    <row r="2000" ht="24.75" customHeight="1"/>
    <row r="2001" ht="24.75" customHeight="1"/>
    <row r="2002" ht="24.75" customHeight="1"/>
    <row r="2003" ht="24.75" customHeight="1"/>
    <row r="2004" ht="24.75" customHeight="1"/>
    <row r="2005" ht="24.75" customHeight="1"/>
    <row r="2006" ht="24.75" customHeight="1"/>
    <row r="2007" ht="24.75" customHeight="1"/>
    <row r="2008" ht="24.75" customHeight="1"/>
    <row r="2009" ht="24.75" customHeight="1"/>
    <row r="2010" ht="24.75" customHeight="1"/>
    <row r="2011" ht="24.75" customHeight="1"/>
    <row r="2012" ht="24.75" customHeight="1"/>
    <row r="2013" ht="24.75" customHeight="1"/>
    <row r="2014" ht="24.75" customHeight="1"/>
    <row r="2015" ht="24.75" customHeight="1"/>
    <row r="2016" ht="24.75" customHeight="1"/>
    <row r="2017" ht="24.75" customHeight="1"/>
    <row r="2018" ht="24.75" customHeight="1"/>
    <row r="2019" ht="24.75" customHeight="1"/>
    <row r="2020" ht="24.75" customHeight="1"/>
    <row r="2021" ht="24.75" customHeight="1"/>
    <row r="2022" ht="24.75" customHeight="1"/>
    <row r="2023" ht="24.75" customHeight="1"/>
    <row r="2024" ht="24.75" customHeight="1"/>
    <row r="2025" ht="24.75" customHeight="1"/>
    <row r="2026" ht="24.75" customHeight="1"/>
    <row r="2027" ht="24.75" customHeight="1"/>
    <row r="2028" ht="24.75" customHeight="1"/>
    <row r="2029" ht="24.75" customHeight="1"/>
    <row r="2030" ht="24.75" customHeight="1"/>
    <row r="2031" ht="24.75" customHeight="1"/>
    <row r="2032" ht="24.75" customHeight="1"/>
    <row r="2033" ht="24.75" customHeight="1"/>
    <row r="2034" ht="24.75" customHeight="1"/>
    <row r="2035" ht="24.75" customHeight="1"/>
    <row r="2036" ht="24.75" customHeight="1"/>
    <row r="2037" ht="24.75" customHeight="1"/>
    <row r="2038" ht="24.75" customHeight="1"/>
    <row r="2039" ht="24.75" customHeight="1"/>
    <row r="2040" ht="24.75" customHeight="1"/>
    <row r="2041" ht="24.75" customHeight="1"/>
    <row r="2042" ht="24.75" customHeight="1"/>
    <row r="2043" ht="24.75" customHeight="1"/>
    <row r="2044" ht="24.75" customHeight="1"/>
    <row r="2045" ht="24.75" customHeight="1"/>
    <row r="2046" ht="24.75" customHeight="1"/>
    <row r="2047" ht="24.75" customHeight="1"/>
    <row r="2048" ht="24.75" customHeight="1"/>
    <row r="2049" ht="24.75" customHeight="1"/>
    <row r="2050" ht="24.75" customHeight="1"/>
    <row r="2051" ht="24.75" customHeight="1"/>
    <row r="2052" ht="24.75" customHeight="1"/>
    <row r="2053" ht="24.75" customHeight="1"/>
    <row r="2054" ht="24.75" customHeight="1"/>
    <row r="2055" ht="24.75" customHeight="1"/>
    <row r="2056" ht="24.75" customHeight="1"/>
    <row r="2057" ht="24.75" customHeight="1"/>
    <row r="2058" ht="24.75" customHeight="1"/>
    <row r="2059" ht="24.75" customHeight="1"/>
    <row r="2060" ht="24.75" customHeight="1"/>
    <row r="2061" ht="24.75" customHeight="1"/>
    <row r="2062" ht="24.75" customHeight="1"/>
    <row r="2063" ht="24.75" customHeight="1"/>
    <row r="2064" ht="24.75" customHeight="1"/>
    <row r="2065" ht="24.75" customHeight="1"/>
    <row r="2066" ht="24.75" customHeight="1"/>
    <row r="2067" ht="24.75" customHeight="1"/>
    <row r="2068" ht="24.75" customHeight="1"/>
    <row r="2069" ht="24.75" customHeight="1"/>
    <row r="2070" ht="24.75" customHeight="1"/>
    <row r="2071" ht="24.75" customHeight="1"/>
    <row r="2072" ht="24.75" customHeight="1"/>
    <row r="2073" ht="24.75" customHeight="1"/>
    <row r="2074" ht="24.75" customHeight="1"/>
    <row r="2075" ht="24.75" customHeight="1"/>
    <row r="2076" ht="24.75" customHeight="1"/>
    <row r="2077" ht="24.75" customHeight="1"/>
    <row r="2078" ht="24.75" customHeight="1"/>
    <row r="2079" ht="24.75" customHeight="1"/>
    <row r="2080" ht="24.75" customHeight="1"/>
    <row r="2081" ht="24.75" customHeight="1"/>
    <row r="2082" ht="24.75" customHeight="1"/>
    <row r="2083" ht="24.75" customHeight="1"/>
    <row r="2084" ht="24.75" customHeight="1"/>
    <row r="2085" ht="24.75" customHeight="1"/>
    <row r="2086" ht="24.75" customHeight="1"/>
    <row r="2087" ht="24.75" customHeight="1"/>
    <row r="2088" ht="24.75" customHeight="1"/>
    <row r="2089" ht="24.75" customHeight="1"/>
    <row r="2090" ht="24.75" customHeight="1"/>
    <row r="2091" ht="24.75" customHeight="1"/>
    <row r="2092" ht="24.75" customHeight="1"/>
    <row r="2093" ht="24.75" customHeight="1"/>
    <row r="2094" ht="24.75" customHeight="1"/>
    <row r="2095" ht="24.75" customHeight="1"/>
    <row r="2096" ht="24.75" customHeight="1"/>
    <row r="2097" ht="24.75" customHeight="1"/>
    <row r="2098" ht="24.75" customHeight="1"/>
    <row r="2099" ht="24.75" customHeight="1"/>
    <row r="2100" ht="24.75" customHeight="1"/>
    <row r="2101" ht="24.75" customHeight="1"/>
    <row r="2102" ht="24.75" customHeight="1"/>
    <row r="2103" ht="24.75" customHeight="1"/>
    <row r="2104" ht="24.75" customHeight="1"/>
    <row r="2105" ht="24.75" customHeight="1"/>
    <row r="2106" ht="24.75" customHeight="1"/>
    <row r="2107" ht="24.75" customHeight="1"/>
    <row r="2108" ht="24.75" customHeight="1"/>
    <row r="2109" ht="24.75" customHeight="1"/>
    <row r="2110" ht="24.75" customHeight="1"/>
    <row r="2111" ht="24.75" customHeight="1"/>
    <row r="2112" ht="24.75" customHeight="1"/>
    <row r="2113" ht="24.75" customHeight="1"/>
    <row r="2114" ht="24.75" customHeight="1"/>
    <row r="2115" ht="24.75" customHeight="1"/>
    <row r="2116" ht="24.75" customHeight="1"/>
    <row r="2117" ht="24.75" customHeight="1"/>
    <row r="2118" ht="24.75" customHeight="1"/>
    <row r="2119" ht="24.75" customHeight="1"/>
    <row r="2120" ht="24.75" customHeight="1"/>
    <row r="2121" ht="24.75" customHeight="1"/>
    <row r="2122" ht="24.75" customHeight="1"/>
    <row r="2123" ht="24.75" customHeight="1"/>
    <row r="2124" ht="24.75" customHeight="1"/>
    <row r="2125" ht="24.75" customHeight="1"/>
    <row r="2126" ht="24.75" customHeight="1"/>
    <row r="2127" ht="24.75" customHeight="1"/>
    <row r="2128" ht="24.75" customHeight="1"/>
    <row r="2129" ht="24.75" customHeight="1"/>
    <row r="2130" ht="24.75" customHeight="1"/>
    <row r="2131" ht="24.75" customHeight="1"/>
    <row r="2132" ht="24.75" customHeight="1"/>
    <row r="2133" ht="24.75" customHeight="1"/>
    <row r="2134" ht="24.75" customHeight="1"/>
    <row r="2135" ht="24.75" customHeight="1"/>
    <row r="2136" ht="24.75" customHeight="1"/>
    <row r="2137" ht="24.75" customHeight="1"/>
    <row r="2138" ht="24.75" customHeight="1"/>
    <row r="2139" ht="24.75" customHeight="1"/>
    <row r="2140" ht="24.75" customHeight="1"/>
    <row r="2141" ht="24.75" customHeight="1"/>
    <row r="2142" ht="24.75" customHeight="1"/>
    <row r="2143" ht="24.75" customHeight="1"/>
    <row r="2144" ht="24.75" customHeight="1"/>
    <row r="2145" ht="24.75" customHeight="1"/>
    <row r="2146" ht="24.75" customHeight="1"/>
    <row r="2147" ht="24.75" customHeight="1"/>
    <row r="2148" ht="24.75" customHeight="1"/>
    <row r="2149" ht="24.75" customHeight="1"/>
    <row r="2150" ht="24.75" customHeight="1"/>
    <row r="2151" ht="24.75" customHeight="1"/>
    <row r="2152" ht="24.75" customHeight="1"/>
    <row r="2153" ht="24.75" customHeight="1"/>
    <row r="2154" ht="24.75" customHeight="1"/>
    <row r="2155" ht="24.75" customHeight="1"/>
    <row r="2156" ht="24.75" customHeight="1"/>
    <row r="2157" ht="24.75" customHeight="1"/>
    <row r="2158" ht="24.75" customHeight="1"/>
    <row r="2159" ht="24.75" customHeight="1"/>
    <row r="2160" ht="24.75" customHeight="1"/>
    <row r="2161" ht="24.75" customHeight="1"/>
    <row r="2162" ht="24.75" customHeight="1"/>
    <row r="2163" ht="24.75" customHeight="1"/>
    <row r="2164" ht="24.75" customHeight="1"/>
    <row r="2165" ht="24.75" customHeight="1"/>
    <row r="2166" ht="24.75" customHeight="1"/>
    <row r="2167" ht="24.75" customHeight="1"/>
    <row r="2168" ht="24.75" customHeight="1"/>
    <row r="2169" ht="24.75" customHeight="1"/>
    <row r="2170" ht="24.75" customHeight="1"/>
    <row r="2171" ht="24.75" customHeight="1"/>
    <row r="2172" ht="24.75" customHeight="1"/>
    <row r="2173" ht="24.75" customHeight="1"/>
    <row r="2174" ht="24.75" customHeight="1"/>
    <row r="2175" ht="24.75" customHeight="1"/>
    <row r="2176" ht="24.75" customHeight="1"/>
    <row r="2177" ht="24.75" customHeight="1"/>
    <row r="2178" ht="24.75" customHeight="1"/>
    <row r="2179" ht="24.75" customHeight="1"/>
    <row r="2180" ht="24.75" customHeight="1"/>
    <row r="2181" ht="24.75" customHeight="1"/>
    <row r="2182" ht="24.75" customHeight="1"/>
    <row r="2183" ht="24.75" customHeight="1"/>
    <row r="2184" ht="24.75" customHeight="1"/>
    <row r="2185" ht="24.75" customHeight="1"/>
    <row r="2186" ht="24.75" customHeight="1"/>
    <row r="2187" ht="24.75" customHeight="1"/>
    <row r="2188" ht="24.75" customHeight="1"/>
    <row r="2189" ht="24.75" customHeight="1"/>
    <row r="2190" ht="24.75" customHeight="1"/>
    <row r="2191" ht="24.75" customHeight="1"/>
    <row r="2192" ht="24.75" customHeight="1"/>
    <row r="2193" ht="24.75" customHeight="1"/>
    <row r="2194" ht="24.75" customHeight="1"/>
    <row r="2195" ht="24.75" customHeight="1"/>
    <row r="2196" ht="24.75" customHeight="1"/>
    <row r="2197" ht="24.75" customHeight="1"/>
    <row r="2198" ht="24.75" customHeight="1"/>
    <row r="2199" ht="24.75" customHeight="1"/>
    <row r="2200" ht="24.75" customHeight="1"/>
    <row r="2201" ht="24.75" customHeight="1"/>
    <row r="2202" ht="24.75" customHeight="1"/>
    <row r="2203" ht="24.75" customHeight="1"/>
    <row r="2204" ht="24.75" customHeight="1"/>
    <row r="2205" ht="24.75" customHeight="1"/>
    <row r="2206" ht="24.75" customHeight="1"/>
    <row r="2207" ht="24.75" customHeight="1"/>
    <row r="2208" ht="24.75" customHeight="1"/>
    <row r="2209" ht="24.75" customHeight="1"/>
    <row r="2210" ht="24.75" customHeight="1"/>
    <row r="2211" ht="24.75" customHeight="1"/>
    <row r="2212" ht="24.75" customHeight="1"/>
    <row r="2213" ht="24.75" customHeight="1"/>
    <row r="2214" ht="24.75" customHeight="1"/>
    <row r="2215" ht="24.75" customHeight="1"/>
    <row r="2216" ht="24.75" customHeight="1"/>
    <row r="2217" ht="24.75" customHeight="1"/>
    <row r="2218" ht="24.75" customHeight="1"/>
    <row r="2219" ht="24.75" customHeight="1"/>
    <row r="2220" ht="24.75" customHeight="1"/>
    <row r="2221" ht="24.75" customHeight="1"/>
    <row r="2222" ht="24.75" customHeight="1"/>
    <row r="2223" ht="24.75" customHeight="1"/>
    <row r="2224" ht="24.75" customHeight="1"/>
    <row r="2225" ht="24.75" customHeight="1"/>
    <row r="2226" ht="24.75" customHeight="1"/>
    <row r="2227" ht="24.75" customHeight="1"/>
    <row r="2228" ht="24.75" customHeight="1"/>
    <row r="2229" ht="24.75" customHeight="1"/>
    <row r="2230" ht="24.75" customHeight="1"/>
    <row r="2231" ht="24.75" customHeight="1"/>
    <row r="2232" ht="24.75" customHeight="1"/>
    <row r="2233" ht="24.75" customHeight="1"/>
    <row r="2234" ht="24.75" customHeight="1"/>
    <row r="2235" ht="24.75" customHeight="1"/>
    <row r="2236" ht="24.75" customHeight="1"/>
    <row r="2237" ht="24.75" customHeight="1"/>
    <row r="2238" ht="24.75" customHeight="1"/>
    <row r="2239" ht="24.75" customHeight="1"/>
    <row r="2240" ht="24.75" customHeight="1"/>
    <row r="2241" ht="24.75" customHeight="1"/>
    <row r="2242" ht="24.75" customHeight="1"/>
    <row r="2243" ht="24.75" customHeight="1"/>
    <row r="2244" ht="24.75" customHeight="1"/>
    <row r="2245" ht="24.75" customHeight="1"/>
    <row r="2246" ht="24.75" customHeight="1"/>
    <row r="2247" ht="24.75" customHeight="1"/>
    <row r="2248" ht="24.75" customHeight="1"/>
    <row r="2249" ht="24.75" customHeight="1"/>
    <row r="2250" ht="24.75" customHeight="1"/>
    <row r="2251" ht="24.75" customHeight="1"/>
    <row r="2252" ht="24.75" customHeight="1"/>
    <row r="2253" ht="24.75" customHeight="1"/>
    <row r="2254" ht="24.75" customHeight="1"/>
    <row r="2255" ht="24.75" customHeight="1"/>
    <row r="2256" ht="24.75" customHeight="1"/>
    <row r="2257" ht="24.75" customHeight="1"/>
    <row r="2258" ht="24.75" customHeight="1"/>
    <row r="2259" ht="24.75" customHeight="1"/>
    <row r="2260" ht="24.75" customHeight="1"/>
    <row r="2261" ht="24.75" customHeight="1"/>
    <row r="2262" ht="24.75" customHeight="1"/>
    <row r="2263" ht="24.75" customHeight="1"/>
    <row r="2264" ht="24.75" customHeight="1"/>
    <row r="2265" ht="24.75" customHeight="1"/>
    <row r="2266" ht="24.75" customHeight="1"/>
    <row r="2267" ht="24.75" customHeight="1"/>
    <row r="2268" ht="24.75" customHeight="1"/>
    <row r="2269" ht="24.75" customHeight="1"/>
    <row r="2270" ht="24.75" customHeight="1"/>
    <row r="2271" ht="24.75" customHeight="1"/>
    <row r="2272" ht="24.75" customHeight="1"/>
    <row r="2273" ht="24.75" customHeight="1"/>
    <row r="2274" ht="24.75" customHeight="1"/>
    <row r="2275" ht="24.75" customHeight="1"/>
    <row r="2276" ht="24.75" customHeight="1"/>
    <row r="2277" ht="24.75" customHeight="1"/>
    <row r="2278" ht="24.75" customHeight="1"/>
    <row r="2279" ht="24.75" customHeight="1"/>
    <row r="2280" ht="24.75" customHeight="1"/>
    <row r="2281" ht="24.75" customHeight="1"/>
    <row r="2282" ht="24.75" customHeight="1"/>
    <row r="2283" ht="24.75" customHeight="1"/>
    <row r="2284" ht="24.75" customHeight="1"/>
    <row r="2285" ht="24.75" customHeight="1"/>
    <row r="2286" ht="24.75" customHeight="1"/>
    <row r="2287" ht="24.75" customHeight="1"/>
    <row r="2288" ht="24.75" customHeight="1"/>
    <row r="2289" ht="24.75" customHeight="1"/>
    <row r="2290" ht="24.75" customHeight="1"/>
    <row r="2291" ht="24.75" customHeight="1"/>
    <row r="2292" ht="24.75" customHeight="1"/>
    <row r="2293" ht="24.75" customHeight="1"/>
    <row r="2294" ht="24.75" customHeight="1"/>
    <row r="2295" ht="24.75" customHeight="1"/>
    <row r="2296" ht="24.75" customHeight="1"/>
    <row r="2297" ht="24.75" customHeight="1"/>
    <row r="2298" ht="24.75" customHeight="1"/>
    <row r="2299" ht="24.75" customHeight="1"/>
    <row r="2300" ht="24.75" customHeight="1"/>
    <row r="2301" ht="24.75" customHeight="1"/>
    <row r="2302" ht="24.75" customHeight="1"/>
    <row r="2303" ht="24.75" customHeight="1"/>
    <row r="2304" ht="24.75" customHeight="1"/>
    <row r="2305" ht="24.75" customHeight="1"/>
    <row r="2306" ht="24.75" customHeight="1"/>
    <row r="2307" ht="24.75" customHeight="1"/>
    <row r="2308" ht="24.75" customHeight="1"/>
    <row r="2309" ht="24.75" customHeight="1"/>
    <row r="2310" ht="24.75" customHeight="1"/>
    <row r="2311" ht="24.75" customHeight="1"/>
    <row r="2312" ht="24.75" customHeight="1"/>
    <row r="2313" ht="24.75" customHeight="1"/>
    <row r="2314" ht="24.75" customHeight="1"/>
    <row r="2315" ht="24.75" customHeight="1"/>
    <row r="2316" ht="24.75" customHeight="1"/>
    <row r="2317" ht="24.75" customHeight="1"/>
    <row r="2318" ht="24.75" customHeight="1"/>
    <row r="2319" ht="24.75" customHeight="1"/>
    <row r="2320" ht="24.75" customHeight="1"/>
    <row r="2321" ht="24.75" customHeight="1"/>
    <row r="2322" ht="24.75" customHeight="1"/>
    <row r="2323" ht="24.75" customHeight="1"/>
    <row r="2324" ht="24.75" customHeight="1"/>
    <row r="2325" ht="24.75" customHeight="1"/>
    <row r="2326" ht="24.75" customHeight="1"/>
    <row r="2327" ht="24.75" customHeight="1"/>
    <row r="2328" ht="24.75" customHeight="1"/>
    <row r="2329" ht="24.75" customHeight="1"/>
    <row r="2330" ht="24.75" customHeight="1"/>
    <row r="2331" ht="24.75" customHeight="1"/>
    <row r="2332" ht="24.75" customHeight="1"/>
    <row r="2333" ht="24.75" customHeight="1"/>
    <row r="2334" ht="24.75" customHeight="1"/>
    <row r="2335" ht="24.75" customHeight="1"/>
    <row r="2336" ht="24.75" customHeight="1"/>
    <row r="2337" ht="24.75" customHeight="1"/>
    <row r="2338" ht="24.75" customHeight="1"/>
    <row r="2339" ht="24.75" customHeight="1"/>
    <row r="2340" ht="24.75" customHeight="1"/>
    <row r="2341" ht="24.75" customHeight="1"/>
    <row r="2342" ht="24.75" customHeight="1"/>
    <row r="2343" ht="24.75" customHeight="1"/>
    <row r="2344" ht="24.75" customHeight="1"/>
    <row r="2345" ht="24.75" customHeight="1"/>
    <row r="2346" ht="24.75" customHeight="1"/>
    <row r="2347" ht="24.75" customHeight="1"/>
    <row r="2348" ht="24.75" customHeight="1"/>
    <row r="2349" ht="24.75" customHeight="1"/>
    <row r="2350" ht="24.75" customHeight="1"/>
    <row r="2351" ht="24.75" customHeight="1"/>
    <row r="2352" ht="24.75" customHeight="1"/>
    <row r="2353" ht="24.75" customHeight="1"/>
    <row r="2354" ht="24.75" customHeight="1"/>
    <row r="2355" ht="24.75" customHeight="1"/>
    <row r="2356" ht="24.75" customHeight="1"/>
    <row r="2357" ht="24.75" customHeight="1"/>
    <row r="2358" ht="24.75" customHeight="1"/>
    <row r="2359" ht="24.75" customHeight="1"/>
    <row r="2360" ht="24.75" customHeight="1"/>
    <row r="2361" ht="24.75" customHeight="1"/>
    <row r="2362" ht="24.75" customHeight="1"/>
    <row r="2363" ht="24.75" customHeight="1"/>
    <row r="2364" ht="24.75" customHeight="1"/>
    <row r="2365" ht="24.75" customHeight="1"/>
    <row r="2366" ht="24.75" customHeight="1"/>
    <row r="2367" ht="24.75" customHeight="1"/>
    <row r="2368" ht="24.75" customHeight="1"/>
    <row r="2369" ht="24.75" customHeight="1"/>
    <row r="2370" ht="24.75" customHeight="1"/>
    <row r="2371" ht="24.75" customHeight="1"/>
    <row r="2372" ht="24.75" customHeight="1"/>
    <row r="2373" ht="24.75" customHeight="1"/>
    <row r="2374" ht="24.75" customHeight="1"/>
    <row r="2375" ht="24.75" customHeight="1"/>
    <row r="2376" ht="24.75" customHeight="1"/>
    <row r="2377" ht="24.75" customHeight="1"/>
    <row r="2378" ht="24.75" customHeight="1"/>
    <row r="2379" ht="24.75" customHeight="1"/>
    <row r="2380" ht="24.75" customHeight="1"/>
    <row r="2381" ht="24.75" customHeight="1"/>
    <row r="2382" ht="24.75" customHeight="1"/>
    <row r="2383" ht="24.75" customHeight="1"/>
    <row r="2384" ht="24.75" customHeight="1"/>
    <row r="2385" ht="24.75" customHeight="1"/>
    <row r="2386" ht="24.75" customHeight="1"/>
    <row r="2387" ht="24.75" customHeight="1"/>
    <row r="2388" ht="24.75" customHeight="1"/>
    <row r="2389" ht="24.75" customHeight="1"/>
    <row r="2390" ht="24.75" customHeight="1"/>
    <row r="2391" ht="24.75" customHeight="1"/>
    <row r="2392" ht="24.75" customHeight="1"/>
    <row r="2393" ht="24.75" customHeight="1"/>
    <row r="2394" ht="24.75" customHeight="1"/>
    <row r="2395" ht="24.75" customHeight="1"/>
    <row r="2396" ht="24.75" customHeight="1"/>
    <row r="2397" ht="24.75" customHeight="1"/>
    <row r="2398" ht="24.75" customHeight="1"/>
    <row r="2399" ht="24.75" customHeight="1"/>
    <row r="2400" ht="24.75" customHeight="1"/>
    <row r="2401" ht="24.75" customHeight="1"/>
    <row r="2402" ht="24.75" customHeight="1"/>
    <row r="2403" ht="24.75" customHeight="1"/>
    <row r="2404" ht="24.75" customHeight="1"/>
    <row r="2405" ht="24.75" customHeight="1"/>
    <row r="2406" ht="24.75" customHeight="1"/>
    <row r="2407" ht="24.75" customHeight="1"/>
    <row r="2408" ht="24.75" customHeight="1"/>
    <row r="2409" ht="24.75" customHeight="1"/>
    <row r="2410" ht="24.75" customHeight="1"/>
    <row r="2411" ht="24.75" customHeight="1"/>
    <row r="2412" ht="24.75" customHeight="1"/>
    <row r="2413" ht="24.75" customHeight="1"/>
    <row r="2414" ht="24.75" customHeight="1"/>
    <row r="2415" ht="24.75" customHeight="1"/>
    <row r="2416" ht="24.75" customHeight="1"/>
    <row r="2417" ht="24.75" customHeight="1"/>
    <row r="2418" ht="24.75" customHeight="1"/>
    <row r="2419" ht="24.75" customHeight="1"/>
    <row r="2420" ht="24.75" customHeight="1"/>
    <row r="2421" ht="24.75" customHeight="1"/>
    <row r="2422" ht="24.75" customHeight="1"/>
    <row r="2423" ht="24.75" customHeight="1"/>
    <row r="2424" ht="24.75" customHeight="1"/>
    <row r="2425" ht="24.75" customHeight="1"/>
    <row r="2426" ht="24.75" customHeight="1"/>
    <row r="2427" ht="24.75" customHeight="1"/>
    <row r="2428" ht="24.75" customHeight="1"/>
    <row r="2429" ht="24.75" customHeight="1"/>
    <row r="2430" ht="24.75" customHeight="1"/>
    <row r="2431" ht="24.75" customHeight="1"/>
    <row r="2432" ht="24.75" customHeight="1"/>
    <row r="2433" ht="24.75" customHeight="1"/>
    <row r="2434" ht="24.75" customHeight="1"/>
    <row r="2435" ht="24.75" customHeight="1"/>
    <row r="2436" ht="24.75" customHeight="1"/>
    <row r="2437" ht="24.75" customHeight="1"/>
    <row r="2438" ht="24.75" customHeight="1"/>
    <row r="2439" ht="24.75" customHeight="1"/>
    <row r="2440" ht="24.75" customHeight="1"/>
    <row r="2441" ht="24.75" customHeight="1"/>
    <row r="2442" ht="24.75" customHeight="1"/>
    <row r="2443" ht="24.75" customHeight="1"/>
    <row r="2444" ht="24.75" customHeight="1"/>
    <row r="2445" ht="24.75" customHeight="1"/>
    <row r="2446" ht="24.75" customHeight="1"/>
    <row r="2447" ht="24.75" customHeight="1"/>
    <row r="2448" ht="24.75" customHeight="1"/>
    <row r="2449" ht="24.75" customHeight="1"/>
    <row r="2450" ht="24.75" customHeight="1"/>
    <row r="2451" ht="24.75" customHeight="1"/>
    <row r="2452" ht="24.75" customHeight="1"/>
    <row r="2453" ht="24.75" customHeight="1"/>
    <row r="2454" ht="24.75" customHeight="1"/>
    <row r="2455" ht="24.75" customHeight="1"/>
    <row r="2456" ht="24.75" customHeight="1"/>
    <row r="2457" ht="24.75" customHeight="1"/>
    <row r="2458" ht="24.75" customHeight="1"/>
    <row r="2459" ht="24.75" customHeight="1"/>
    <row r="2460" ht="24.75" customHeight="1"/>
    <row r="2461" ht="24.75" customHeight="1"/>
    <row r="2462" ht="24.75" customHeight="1"/>
    <row r="2463" ht="24.75" customHeight="1"/>
    <row r="2464" ht="24.75" customHeight="1"/>
    <row r="2465" ht="24.75" customHeight="1"/>
    <row r="2466" ht="24.75" customHeight="1"/>
    <row r="2467" ht="24.75" customHeight="1"/>
    <row r="2468" ht="24.75" customHeight="1"/>
    <row r="2469" ht="24.75" customHeight="1"/>
    <row r="2470" ht="24.75" customHeight="1"/>
    <row r="2471" ht="24.75" customHeight="1"/>
    <row r="2472" ht="24.75" customHeight="1"/>
    <row r="2473" ht="24.75" customHeight="1"/>
    <row r="2474" ht="24.75" customHeight="1"/>
    <row r="2475" ht="24.75" customHeight="1"/>
    <row r="2476" ht="24.75" customHeight="1"/>
    <row r="2477" ht="24.75" customHeight="1"/>
    <row r="2478" ht="24.75" customHeight="1"/>
    <row r="2479" ht="24.75" customHeight="1"/>
    <row r="2480" ht="24.75" customHeight="1"/>
    <row r="2481" ht="24.75" customHeight="1"/>
    <row r="2482" ht="24.75" customHeight="1"/>
    <row r="2483" ht="24.75" customHeight="1"/>
    <row r="2484" ht="24.75" customHeight="1"/>
    <row r="2485" ht="24.75" customHeight="1"/>
    <row r="2486" ht="24.75" customHeight="1"/>
    <row r="2487" ht="24.75" customHeight="1"/>
    <row r="2488" ht="24.75" customHeight="1"/>
    <row r="2489" ht="24.75" customHeight="1"/>
    <row r="2490" ht="24.75" customHeight="1"/>
    <row r="2491" ht="24.75" customHeight="1"/>
    <row r="2492" ht="24.75" customHeight="1"/>
    <row r="2493" ht="24.75" customHeight="1"/>
    <row r="2494" ht="24.75" customHeight="1"/>
    <row r="2495" ht="24.75" customHeight="1"/>
    <row r="2496" ht="24.75" customHeight="1"/>
    <row r="2497" ht="24.75" customHeight="1"/>
    <row r="2498" ht="24.75" customHeight="1"/>
    <row r="2499" ht="24.75" customHeight="1"/>
    <row r="2500" ht="24.75" customHeight="1"/>
    <row r="2501" ht="24.75" customHeight="1"/>
    <row r="2502" ht="24.75" customHeight="1"/>
    <row r="2503" ht="24.75" customHeight="1"/>
    <row r="2504" ht="24.75" customHeight="1"/>
    <row r="2505" ht="24.75" customHeight="1"/>
    <row r="2506" ht="24.75" customHeight="1"/>
    <row r="2507" ht="24.75" customHeight="1"/>
    <row r="2508" ht="24.75" customHeight="1"/>
    <row r="2509" ht="24.75" customHeight="1"/>
    <row r="2510" ht="24.75" customHeight="1"/>
    <row r="2511" ht="24.75" customHeight="1"/>
    <row r="2512" ht="24.75" customHeight="1"/>
    <row r="2513" ht="24.75" customHeight="1"/>
    <row r="2514" ht="24.75" customHeight="1"/>
    <row r="2515" ht="24.75" customHeight="1"/>
    <row r="2516" ht="24.75" customHeight="1"/>
    <row r="2517" ht="24.75" customHeight="1"/>
    <row r="2518" ht="24.75" customHeight="1"/>
    <row r="2519" ht="24.75" customHeight="1"/>
    <row r="2520" ht="24.75" customHeight="1"/>
    <row r="2521" ht="24.75" customHeight="1"/>
    <row r="2522" ht="24.75" customHeight="1"/>
    <row r="2523" ht="24.75" customHeight="1"/>
    <row r="2524" ht="24.75" customHeight="1"/>
    <row r="2525" ht="24.75" customHeight="1"/>
    <row r="2526" ht="24.75" customHeight="1"/>
    <row r="2527" ht="24.75" customHeight="1"/>
    <row r="2528" ht="24.75" customHeight="1"/>
    <row r="2529" ht="24.75" customHeight="1"/>
    <row r="2530" ht="24.75" customHeight="1"/>
    <row r="2531" ht="24.75" customHeight="1"/>
    <row r="2532" ht="24.75" customHeight="1"/>
    <row r="2533" ht="24.75" customHeight="1"/>
    <row r="2534" ht="24.75" customHeight="1"/>
    <row r="2535" ht="24.75" customHeight="1"/>
    <row r="2536" ht="24.75" customHeight="1"/>
    <row r="2537" ht="24.75" customHeight="1"/>
    <row r="2538" ht="24.75" customHeight="1"/>
    <row r="2539" ht="24.75" customHeight="1"/>
    <row r="2540" ht="24.75" customHeight="1"/>
    <row r="2541" ht="24.75" customHeight="1"/>
    <row r="2542" ht="24.75" customHeight="1"/>
    <row r="2543" ht="24.75" customHeight="1"/>
    <row r="2544" ht="24.75" customHeight="1"/>
    <row r="2545" ht="24.75" customHeight="1"/>
    <row r="2546" ht="24.75" customHeight="1"/>
    <row r="2547" ht="24.75" customHeight="1"/>
    <row r="2548" ht="24.75" customHeight="1"/>
    <row r="2549" ht="24.75" customHeight="1"/>
    <row r="2550" ht="24.75" customHeight="1"/>
    <row r="2551" ht="24.75" customHeight="1"/>
    <row r="2552" ht="24.75" customHeight="1"/>
    <row r="2553" ht="24.75" customHeight="1"/>
    <row r="2554" ht="24.75" customHeight="1"/>
    <row r="2555" ht="24.75" customHeight="1"/>
    <row r="2556" ht="24.75" customHeight="1"/>
    <row r="2557" ht="24.75" customHeight="1"/>
    <row r="2558" ht="24.75" customHeight="1"/>
    <row r="2559" ht="24.75" customHeight="1"/>
    <row r="2560" ht="24.75" customHeight="1"/>
    <row r="2561" ht="24.75" customHeight="1"/>
    <row r="2562" ht="24.75" customHeight="1"/>
    <row r="2563" ht="24.75" customHeight="1"/>
    <row r="2564" ht="24.75" customHeight="1"/>
    <row r="2565" ht="24.75" customHeight="1"/>
    <row r="2566" ht="24.75" customHeight="1"/>
    <row r="2567" ht="24.75" customHeight="1"/>
    <row r="2568" ht="24.75" customHeight="1"/>
    <row r="2569" ht="24.75" customHeight="1"/>
    <row r="2570" ht="24.75" customHeight="1"/>
    <row r="2571" ht="24.75" customHeight="1"/>
    <row r="2572" ht="24.75" customHeight="1"/>
    <row r="2573" ht="24.75" customHeight="1"/>
    <row r="2574" ht="24.75" customHeight="1"/>
    <row r="2575" ht="24.75" customHeight="1"/>
    <row r="2576" ht="24.75" customHeight="1"/>
    <row r="2577" ht="24.75" customHeight="1"/>
    <row r="2578" ht="24.75" customHeight="1"/>
    <row r="2579" ht="24.75" customHeight="1"/>
    <row r="2580" ht="24.75" customHeight="1"/>
    <row r="2581" ht="24.75" customHeight="1"/>
    <row r="2582" ht="24.75" customHeight="1"/>
    <row r="2583" ht="24.75" customHeight="1"/>
    <row r="2584" ht="24.75" customHeight="1"/>
    <row r="2585" ht="24.75" customHeight="1"/>
    <row r="2586" ht="24.75" customHeight="1"/>
    <row r="2587" ht="24.75" customHeight="1"/>
    <row r="2588" ht="24.75" customHeight="1"/>
    <row r="2589" ht="24.75" customHeight="1"/>
    <row r="2590" ht="24.75" customHeight="1"/>
    <row r="2591" ht="24.75" customHeight="1"/>
    <row r="2592" ht="24.75" customHeight="1"/>
    <row r="2593" ht="24.75" customHeight="1"/>
    <row r="2594" ht="24.75" customHeight="1"/>
    <row r="2595" ht="24.75" customHeight="1"/>
    <row r="2596" ht="24.75" customHeight="1"/>
    <row r="2597" ht="24.75" customHeight="1"/>
    <row r="2598" ht="24.75" customHeight="1"/>
    <row r="2599" ht="24.75" customHeight="1"/>
    <row r="2600" ht="24.75" customHeight="1"/>
    <row r="2601" ht="24.75" customHeight="1"/>
    <row r="2602" ht="24.75" customHeight="1"/>
    <row r="2603" ht="24.75" customHeight="1"/>
    <row r="2604" ht="24.75" customHeight="1"/>
    <row r="2605" ht="24.75" customHeight="1"/>
    <row r="2606" ht="24.75" customHeight="1"/>
    <row r="2607" ht="24.75" customHeight="1"/>
    <row r="2608" ht="24.75" customHeight="1"/>
    <row r="2609" ht="24.75" customHeight="1"/>
    <row r="2610" ht="24.75" customHeight="1"/>
    <row r="2611" ht="24.75" customHeight="1"/>
    <row r="2612" ht="24.75" customHeight="1"/>
    <row r="2613" ht="24.75" customHeight="1"/>
    <row r="2614" ht="24.75" customHeight="1"/>
    <row r="2615" ht="24.75" customHeight="1"/>
    <row r="2616" ht="24.75" customHeight="1"/>
    <row r="2617" ht="24.75" customHeight="1"/>
    <row r="2618" ht="24.75" customHeight="1"/>
    <row r="2619" ht="24.75" customHeight="1"/>
    <row r="2620" ht="24.75" customHeight="1"/>
    <row r="2621" ht="24.75" customHeight="1"/>
    <row r="2622" ht="24.75" customHeight="1"/>
    <row r="2623" ht="24.75" customHeight="1"/>
    <row r="2624" ht="24.75" customHeight="1"/>
    <row r="2625" ht="24.75" customHeight="1"/>
    <row r="2626" ht="24.75" customHeight="1"/>
    <row r="2627" ht="24.75" customHeight="1"/>
    <row r="2628" ht="24.75" customHeight="1"/>
    <row r="2629" ht="24.75" customHeight="1"/>
    <row r="2630" ht="24.75" customHeight="1"/>
    <row r="2631" ht="24.75" customHeight="1"/>
    <row r="2632" ht="24.75" customHeight="1"/>
    <row r="2633" ht="24.75" customHeight="1"/>
    <row r="2634" ht="24.75" customHeight="1"/>
    <row r="2635" ht="24.75" customHeight="1"/>
    <row r="2636" ht="24.75" customHeight="1"/>
    <row r="2637" ht="24.75" customHeight="1"/>
    <row r="2638" ht="24.75" customHeight="1"/>
    <row r="2639" ht="24.75" customHeight="1"/>
    <row r="2640" ht="24.75" customHeight="1"/>
    <row r="2641" ht="24.75" customHeight="1"/>
    <row r="2642" ht="24.75" customHeight="1"/>
    <row r="2643" ht="24.75" customHeight="1"/>
    <row r="2644" ht="24.75" customHeight="1"/>
    <row r="2645" ht="24.75" customHeight="1"/>
    <row r="2646" ht="24.75" customHeight="1"/>
    <row r="2647" ht="24.75" customHeight="1"/>
    <row r="2648" ht="24.75" customHeight="1"/>
    <row r="2649" ht="24.75" customHeight="1"/>
    <row r="2650" ht="24.75" customHeight="1"/>
    <row r="2651" ht="24.75" customHeight="1"/>
    <row r="2652" ht="24.75" customHeight="1"/>
    <row r="2653" ht="24.75" customHeight="1"/>
    <row r="2654" ht="24.75" customHeight="1"/>
    <row r="2655" ht="24.75" customHeight="1"/>
    <row r="2656" ht="24.75" customHeight="1"/>
    <row r="2657" ht="24.75" customHeight="1"/>
    <row r="2658" ht="24.75" customHeight="1"/>
    <row r="2659" ht="24.75" customHeight="1"/>
    <row r="2660" ht="24.75" customHeight="1"/>
    <row r="2661" ht="24.75" customHeight="1"/>
    <row r="2662" ht="24.75" customHeight="1"/>
    <row r="2663" ht="24.75" customHeight="1"/>
    <row r="2664" ht="24.75" customHeight="1"/>
    <row r="2665" ht="24.75" customHeight="1"/>
    <row r="2666" ht="24.75" customHeight="1"/>
    <row r="2667" ht="24.75" customHeight="1"/>
    <row r="2668" ht="24.75" customHeight="1"/>
    <row r="2669" ht="24.75" customHeight="1"/>
    <row r="2670" ht="24.75" customHeight="1"/>
    <row r="2671" ht="24.75" customHeight="1"/>
    <row r="2672" ht="24.75" customHeight="1"/>
    <row r="2673" ht="24.75" customHeight="1"/>
    <row r="2674" ht="24.75" customHeight="1"/>
    <row r="2675" ht="24.75" customHeight="1"/>
    <row r="2676" ht="24.75" customHeight="1"/>
    <row r="2677" ht="24.75" customHeight="1"/>
    <row r="2678" ht="24.75" customHeight="1"/>
    <row r="2679" ht="24.75" customHeight="1"/>
    <row r="2680" ht="24.75" customHeight="1"/>
    <row r="2681" ht="24.75" customHeight="1"/>
    <row r="2682" ht="24.75" customHeight="1"/>
    <row r="2683" ht="24.75" customHeight="1"/>
    <row r="2684" ht="24.75" customHeight="1"/>
    <row r="2685" ht="24.75" customHeight="1"/>
    <row r="2686" ht="24.75" customHeight="1"/>
    <row r="2687" ht="24.75" customHeight="1"/>
    <row r="2688" ht="24.75" customHeight="1"/>
    <row r="2689" ht="24.75" customHeight="1"/>
    <row r="2690" ht="24.75" customHeight="1"/>
    <row r="2691" ht="24.75" customHeight="1"/>
    <row r="2692" ht="24.75" customHeight="1"/>
    <row r="2693" ht="24.75" customHeight="1"/>
    <row r="2694" ht="24.75" customHeight="1"/>
    <row r="2695" ht="24.75" customHeight="1"/>
    <row r="2696" ht="24.75" customHeight="1"/>
    <row r="2697" ht="24.75" customHeight="1"/>
    <row r="2698" ht="24.75" customHeight="1"/>
    <row r="2699" ht="24.75" customHeight="1"/>
    <row r="2700" ht="24.75" customHeight="1"/>
    <row r="2701" ht="24.75" customHeight="1"/>
    <row r="2702" ht="24.75" customHeight="1"/>
    <row r="2703" ht="24.75" customHeight="1"/>
    <row r="2704" ht="24.75" customHeight="1"/>
    <row r="2705" ht="24.75" customHeight="1"/>
    <row r="2706" ht="24.75" customHeight="1"/>
    <row r="2707" ht="24.75" customHeight="1"/>
    <row r="2708" ht="24.75" customHeight="1"/>
    <row r="2709" ht="24.75" customHeight="1"/>
    <row r="2710" ht="24.75" customHeight="1"/>
    <row r="2711" ht="24.75" customHeight="1"/>
    <row r="2712" ht="24.75" customHeight="1"/>
    <row r="2713" ht="24.75" customHeight="1"/>
    <row r="2714" ht="24.75" customHeight="1"/>
    <row r="2715" ht="24.75" customHeight="1"/>
    <row r="2716" ht="24.75" customHeight="1"/>
    <row r="2717" ht="24.75" customHeight="1"/>
    <row r="2718" ht="24.75" customHeight="1"/>
    <row r="2719" ht="24.75" customHeight="1"/>
    <row r="2720" ht="24.75" customHeight="1"/>
    <row r="2721" ht="24.75" customHeight="1"/>
    <row r="2722" ht="24.75" customHeight="1"/>
    <row r="2723" ht="24.75" customHeight="1"/>
    <row r="2724" ht="24.75" customHeight="1"/>
    <row r="2725" ht="24.75" customHeight="1"/>
    <row r="2726" ht="24.75" customHeight="1"/>
    <row r="2727" ht="24.75" customHeight="1"/>
    <row r="2728" ht="24.75" customHeight="1"/>
    <row r="2729" ht="24.75" customHeight="1"/>
    <row r="2730" ht="24.75" customHeight="1"/>
    <row r="2731" ht="24.75" customHeight="1"/>
    <row r="2732" ht="24.75" customHeight="1"/>
    <row r="2733" ht="24.75" customHeight="1"/>
    <row r="2734" ht="24.75" customHeight="1"/>
    <row r="2735" ht="24.75" customHeight="1"/>
    <row r="2736" ht="24.75" customHeight="1"/>
    <row r="2737" ht="24.75" customHeight="1"/>
    <row r="2738" ht="24.75" customHeight="1"/>
    <row r="2739" ht="24.75" customHeight="1"/>
    <row r="2740" ht="24.75" customHeight="1"/>
    <row r="2741" ht="24.75" customHeight="1"/>
    <row r="2742" ht="24.75" customHeight="1"/>
    <row r="2743" ht="24.75" customHeight="1"/>
    <row r="2744" ht="24.75" customHeight="1"/>
    <row r="2745" ht="24.75" customHeight="1"/>
    <row r="2746" ht="24.75" customHeight="1"/>
    <row r="2747" ht="24.75" customHeight="1"/>
    <row r="2748" ht="24.75" customHeight="1"/>
    <row r="2749" ht="24.75" customHeight="1"/>
    <row r="2750" ht="24.75" customHeight="1"/>
    <row r="2751" ht="24.75" customHeight="1"/>
    <row r="2752" ht="24.75" customHeight="1"/>
    <row r="2753" ht="24.75" customHeight="1"/>
    <row r="2754" ht="24.75" customHeight="1"/>
    <row r="2755" ht="24.75" customHeight="1"/>
    <row r="2756" ht="24.75" customHeight="1"/>
    <row r="2757" ht="24.75" customHeight="1"/>
    <row r="2758" ht="24.75" customHeight="1"/>
    <row r="2759" ht="24.75" customHeight="1"/>
    <row r="2760" ht="24.75" customHeight="1"/>
    <row r="2761" ht="24.75" customHeight="1"/>
    <row r="2762" ht="24.75" customHeight="1"/>
    <row r="2763" ht="24.75" customHeight="1"/>
    <row r="2764" ht="24.75" customHeight="1"/>
    <row r="2765" ht="24.75" customHeight="1"/>
    <row r="2766" ht="24.75" customHeight="1"/>
    <row r="2767" ht="24.75" customHeight="1"/>
    <row r="2768" ht="24.75" customHeight="1"/>
    <row r="2769" ht="24.75" customHeight="1"/>
    <row r="2770" ht="24.75" customHeight="1"/>
    <row r="2771" ht="24.75" customHeight="1"/>
    <row r="2772" ht="24.75" customHeight="1"/>
    <row r="2773" ht="24.75" customHeight="1"/>
    <row r="2774" ht="24.75" customHeight="1"/>
    <row r="2775" ht="24.75" customHeight="1"/>
    <row r="2776" ht="24.75" customHeight="1"/>
    <row r="2777" ht="24.75" customHeight="1"/>
    <row r="2778" ht="24.75" customHeight="1"/>
    <row r="2779" ht="24.75" customHeight="1"/>
    <row r="2780" ht="24.75" customHeight="1"/>
    <row r="2781" ht="24.75" customHeight="1"/>
    <row r="2782" ht="24.75" customHeight="1"/>
    <row r="2783" ht="24.75" customHeight="1"/>
    <row r="2784" ht="24.75" customHeight="1"/>
    <row r="2785" ht="24.75" customHeight="1"/>
    <row r="2786" ht="24.75" customHeight="1"/>
    <row r="2787" ht="24.75" customHeight="1"/>
    <row r="2788" ht="24.75" customHeight="1"/>
    <row r="2789" ht="24.75" customHeight="1"/>
    <row r="2790" ht="24.75" customHeight="1"/>
    <row r="2791" ht="24.75" customHeight="1"/>
    <row r="2792" ht="24.75" customHeight="1"/>
    <row r="2793" ht="24.75" customHeight="1"/>
    <row r="2794" ht="24.75" customHeight="1"/>
    <row r="2795" ht="24.75" customHeight="1"/>
    <row r="2796" ht="24.75" customHeight="1"/>
    <row r="2797" ht="24.75" customHeight="1"/>
    <row r="2798" ht="24.75" customHeight="1"/>
    <row r="2799" ht="24.75" customHeight="1"/>
    <row r="2800" ht="24.75" customHeight="1"/>
    <row r="2801" ht="24.75" customHeight="1"/>
    <row r="2802" ht="24.75" customHeight="1"/>
    <row r="2803" ht="24.75" customHeight="1"/>
    <row r="2804" ht="24.75" customHeight="1"/>
    <row r="2805" ht="24.75" customHeight="1"/>
    <row r="2806" ht="24.75" customHeight="1"/>
    <row r="2807" ht="24.75" customHeight="1"/>
    <row r="2808" ht="24.75" customHeight="1"/>
    <row r="2809" ht="24.75" customHeight="1"/>
    <row r="2810" ht="24.75" customHeight="1"/>
    <row r="2811" ht="24.75" customHeight="1"/>
    <row r="2812" ht="24.75" customHeight="1"/>
    <row r="2813" ht="24.75" customHeight="1"/>
    <row r="2814" ht="24.75" customHeight="1"/>
    <row r="2815" ht="24.75" customHeight="1"/>
    <row r="2816" ht="24.75" customHeight="1"/>
    <row r="2817" ht="24.75" customHeight="1"/>
    <row r="2818" ht="24.75" customHeight="1"/>
    <row r="2819" ht="24.75" customHeight="1"/>
    <row r="2820" ht="24.75" customHeight="1"/>
    <row r="2821" ht="24.75" customHeight="1"/>
    <row r="2822" ht="24.75" customHeight="1"/>
    <row r="2823" ht="24.75" customHeight="1"/>
    <row r="2824" ht="24.75" customHeight="1"/>
    <row r="2825" ht="24.75" customHeight="1"/>
    <row r="2826" ht="24.75" customHeight="1"/>
    <row r="2827" ht="24.75" customHeight="1"/>
    <row r="2828" ht="24.75" customHeight="1"/>
    <row r="2829" ht="24.75" customHeight="1"/>
    <row r="2830" ht="24.75" customHeight="1"/>
    <row r="2831" ht="24.75" customHeight="1"/>
    <row r="2832" ht="24.75" customHeight="1"/>
    <row r="2833" ht="24.75" customHeight="1"/>
    <row r="2834" ht="24.75" customHeight="1"/>
    <row r="2835" ht="24.75" customHeight="1"/>
    <row r="2836" ht="24.75" customHeight="1"/>
    <row r="2837" ht="24.75" customHeight="1"/>
    <row r="2838" ht="24.75" customHeight="1"/>
    <row r="2839" ht="24.75" customHeight="1"/>
    <row r="2840" ht="24.75" customHeight="1"/>
    <row r="2841" ht="24.75" customHeight="1"/>
    <row r="2842" ht="24.75" customHeight="1"/>
    <row r="2843" ht="24.75" customHeight="1"/>
    <row r="2844" ht="24.75" customHeight="1"/>
    <row r="2845" ht="24.75" customHeight="1"/>
    <row r="2846" ht="24.75" customHeight="1"/>
    <row r="2847" ht="24.75" customHeight="1"/>
    <row r="2848" ht="24.75" customHeight="1"/>
    <row r="2849" ht="24.75" customHeight="1"/>
    <row r="2850" ht="24.75" customHeight="1"/>
    <row r="2851" ht="24.75" customHeight="1"/>
    <row r="2852" ht="24.75" customHeight="1"/>
    <row r="2853" ht="24.75" customHeight="1"/>
    <row r="2854" ht="24.75" customHeight="1"/>
    <row r="2855" ht="24.75" customHeight="1"/>
    <row r="2856" ht="24.75" customHeight="1"/>
    <row r="2857" ht="24.75" customHeight="1"/>
    <row r="2858" ht="24.75" customHeight="1"/>
    <row r="2859" ht="24.75" customHeight="1"/>
    <row r="2860" ht="24.75" customHeight="1"/>
    <row r="2861" ht="24.75" customHeight="1"/>
    <row r="2862" ht="24.75" customHeight="1"/>
    <row r="2863" ht="24.75" customHeight="1"/>
    <row r="2864" ht="24.75" customHeight="1"/>
    <row r="2865" ht="24.75" customHeight="1"/>
    <row r="2866" ht="24.75" customHeight="1"/>
    <row r="2867" ht="24.75" customHeight="1"/>
    <row r="2868" ht="24.75" customHeight="1"/>
    <row r="2869" ht="24.75" customHeight="1"/>
    <row r="2870" ht="24.75" customHeight="1"/>
    <row r="2871" ht="24.75" customHeight="1"/>
    <row r="2872" ht="24.75" customHeight="1"/>
    <row r="2873" ht="24.75" customHeight="1"/>
    <row r="2874" ht="24.75" customHeight="1"/>
    <row r="2875" ht="24.75" customHeight="1"/>
    <row r="2876" ht="24.75" customHeight="1"/>
    <row r="2877" ht="24.75" customHeight="1"/>
    <row r="2878" ht="24.75" customHeight="1"/>
    <row r="2879" ht="24.75" customHeight="1"/>
    <row r="2880" ht="24.75" customHeight="1"/>
    <row r="2881" ht="24.75" customHeight="1"/>
    <row r="2882" ht="24.75" customHeight="1"/>
    <row r="2883" ht="24.75" customHeight="1"/>
    <row r="2884" ht="24.75" customHeight="1"/>
    <row r="2885" ht="24.75" customHeight="1"/>
    <row r="2886" ht="24.75" customHeight="1"/>
    <row r="2887" ht="24.75" customHeight="1"/>
    <row r="2888" ht="24.75" customHeight="1"/>
    <row r="2889" ht="24.75" customHeight="1"/>
    <row r="2890" ht="24.75" customHeight="1"/>
    <row r="2891" ht="24.75" customHeight="1"/>
    <row r="2892" ht="24.75" customHeight="1"/>
    <row r="2893" ht="24.75" customHeight="1"/>
    <row r="2894" ht="24.75" customHeight="1"/>
    <row r="2895" ht="24.75" customHeight="1"/>
    <row r="2896" ht="24.75" customHeight="1"/>
    <row r="2897" ht="24.75" customHeight="1"/>
    <row r="2898" ht="24.75" customHeight="1"/>
    <row r="2899" ht="24.75" customHeight="1"/>
    <row r="2900" ht="24.75" customHeight="1"/>
    <row r="2901" ht="24.75" customHeight="1"/>
    <row r="2902" ht="24.75" customHeight="1"/>
    <row r="2903" ht="24.75" customHeight="1"/>
    <row r="2904" ht="24.75" customHeight="1"/>
    <row r="2905" ht="24.75" customHeight="1"/>
    <row r="2906" ht="24.75" customHeight="1"/>
    <row r="2907" ht="24.75" customHeight="1"/>
    <row r="2908" ht="24.75" customHeight="1"/>
    <row r="2909" ht="24.75" customHeight="1"/>
    <row r="2910" ht="24.75" customHeight="1"/>
    <row r="2911" ht="24.75" customHeight="1"/>
    <row r="2912" ht="24.75" customHeight="1"/>
  </sheetData>
  <autoFilter ref="$A$1:$Z$1908">
    <sortState ref="A1:Z1908">
      <sortCondition ref="B1:B1908"/>
    </sortState>
  </autoFil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43"/>
    <col customWidth="1" min="2" max="2" width="16.43"/>
    <col customWidth="1" min="3" max="3" width="38.43"/>
    <col customWidth="1" min="4" max="26" width="16.43"/>
  </cols>
  <sheetData>
    <row r="1" ht="22.5" customHeight="1">
      <c r="B1" s="32" t="s">
        <v>246</v>
      </c>
      <c r="C1" s="34" t="s">
        <v>247</v>
      </c>
      <c r="D1" s="34" t="s">
        <v>248</v>
      </c>
      <c r="E1" s="34" t="s">
        <v>249</v>
      </c>
      <c r="F1" s="34" t="s">
        <v>250</v>
      </c>
      <c r="G1" s="34" t="s">
        <v>251</v>
      </c>
      <c r="H1" s="34" t="s">
        <v>252</v>
      </c>
    </row>
    <row r="2" ht="22.5" customHeight="1">
      <c r="A2" s="32" t="str">
        <f>IMAGE("https://gymvisual.com/24458-catalog_default/weighted-full-squat-with-overhead-press.jpg",4,500,500)</f>
        <v/>
      </c>
      <c r="B2" s="30">
        <v>3841.0</v>
      </c>
      <c r="C2" s="16" t="s">
        <v>4789</v>
      </c>
      <c r="D2" s="16" t="s">
        <v>184</v>
      </c>
      <c r="E2" s="16" t="s">
        <v>285</v>
      </c>
      <c r="F2" s="16" t="s">
        <v>396</v>
      </c>
      <c r="G2" s="16" t="s">
        <v>793</v>
      </c>
      <c r="H2" s="16" t="s">
        <v>1130</v>
      </c>
    </row>
    <row r="3" ht="22.5" customHeight="1">
      <c r="A3" s="32" t="str">
        <f>IMAGE("https://gymvisual.com/12313-catalog_default/weighted-hammer-grip-pull-up-on-dip-cage.jpg",4,500,500)</f>
        <v/>
      </c>
      <c r="B3" s="30">
        <v>3842.0</v>
      </c>
      <c r="C3" s="16" t="s">
        <v>4790</v>
      </c>
      <c r="D3" s="16" t="s">
        <v>184</v>
      </c>
      <c r="E3" s="16" t="s">
        <v>192</v>
      </c>
      <c r="F3" s="16" t="s">
        <v>396</v>
      </c>
      <c r="G3" s="16" t="s">
        <v>300</v>
      </c>
      <c r="H3" s="16" t="s">
        <v>1357</v>
      </c>
    </row>
    <row r="4" ht="22.5" customHeight="1">
      <c r="A4" s="32" t="str">
        <f>IMAGE("https://gymvisual.com/18005-catalog_default/weighted-hang-chin-up.jpg",4,500,500)</f>
        <v/>
      </c>
      <c r="B4" s="30">
        <v>3843.0</v>
      </c>
      <c r="C4" s="16" t="s">
        <v>4791</v>
      </c>
      <c r="D4" s="16" t="s">
        <v>184</v>
      </c>
      <c r="E4" s="16" t="s">
        <v>192</v>
      </c>
      <c r="F4" s="16" t="s">
        <v>396</v>
      </c>
      <c r="G4" s="16" t="s">
        <v>220</v>
      </c>
      <c r="H4" s="16" t="s">
        <v>220</v>
      </c>
    </row>
    <row r="5" ht="22.5" customHeight="1">
      <c r="A5" s="32" t="str">
        <f>IMAGE("https://gymvisual.com/2637-catalog_default/weighted-hanging-leg-hip-raise.jpg",4,500,500)</f>
        <v/>
      </c>
      <c r="B5" s="30">
        <v>3844.0</v>
      </c>
      <c r="C5" s="16" t="s">
        <v>4792</v>
      </c>
      <c r="D5" s="16" t="s">
        <v>184</v>
      </c>
      <c r="E5" s="16" t="s">
        <v>254</v>
      </c>
      <c r="F5" s="16" t="s">
        <v>396</v>
      </c>
      <c r="G5" s="16" t="s">
        <v>256</v>
      </c>
      <c r="H5" s="16" t="s">
        <v>1308</v>
      </c>
    </row>
    <row r="6" ht="22.5" customHeight="1">
      <c r="A6" s="32" t="str">
        <f>IMAGE("https://gymvisual.com/11831-catalog_default/weighted-hip-thrusts-female.jpg",4,500,500)</f>
        <v/>
      </c>
      <c r="B6" s="30">
        <v>3845.0</v>
      </c>
      <c r="C6" s="16" t="s">
        <v>4793</v>
      </c>
      <c r="D6" s="16" t="s">
        <v>184</v>
      </c>
      <c r="E6" s="16" t="s">
        <v>185</v>
      </c>
      <c r="F6" s="16" t="s">
        <v>396</v>
      </c>
      <c r="G6" s="16" t="s">
        <v>220</v>
      </c>
      <c r="H6" s="16" t="s">
        <v>220</v>
      </c>
    </row>
    <row r="7" ht="22.5" customHeight="1">
      <c r="A7" s="32" t="str">
        <f>IMAGE("https://gymvisual.com/22845-catalog_default/weighted-hyperextension.jpg",4,500,500)</f>
        <v/>
      </c>
      <c r="B7" s="30">
        <v>3846.0</v>
      </c>
      <c r="C7" s="16" t="s">
        <v>4794</v>
      </c>
      <c r="D7" s="16" t="s">
        <v>184</v>
      </c>
      <c r="E7" s="16" t="s">
        <v>185</v>
      </c>
      <c r="F7" s="16" t="s">
        <v>396</v>
      </c>
      <c r="G7" s="16" t="s">
        <v>275</v>
      </c>
      <c r="H7" s="16" t="s">
        <v>2412</v>
      </c>
    </row>
    <row r="8" ht="22.5" customHeight="1">
      <c r="A8" s="32" t="str">
        <f>IMAGE("https://gymvisual.com/2495-catalog_default/weighted-hyperextension-on-stability-ball.jpg",4,500,500)</f>
        <v/>
      </c>
      <c r="B8" s="30">
        <v>3847.0</v>
      </c>
      <c r="C8" s="16" t="s">
        <v>4795</v>
      </c>
      <c r="D8" s="16" t="s">
        <v>184</v>
      </c>
      <c r="E8" s="16" t="s">
        <v>254</v>
      </c>
      <c r="F8" s="16" t="s">
        <v>396</v>
      </c>
      <c r="G8" s="16" t="s">
        <v>275</v>
      </c>
      <c r="H8" s="16" t="s">
        <v>220</v>
      </c>
    </row>
    <row r="9" ht="22.5" customHeight="1">
      <c r="A9" s="32" t="str">
        <f>IMAGE("https://gymvisual.com/23883-catalog_default/weighted-incline-svend-press.jpg",4,500,500)</f>
        <v/>
      </c>
      <c r="B9" s="30">
        <v>3848.0</v>
      </c>
      <c r="C9" s="16" t="s">
        <v>4796</v>
      </c>
      <c r="D9" s="16" t="s">
        <v>184</v>
      </c>
      <c r="E9" s="16" t="s">
        <v>219</v>
      </c>
      <c r="F9" s="16" t="s">
        <v>396</v>
      </c>
      <c r="G9" s="16" t="s">
        <v>415</v>
      </c>
      <c r="H9" s="16" t="s">
        <v>243</v>
      </c>
    </row>
    <row r="10" ht="22.5" customHeight="1">
      <c r="A10" s="32" t="str">
        <f>IMAGE("https://gymvisual.com/19359-catalog_default/weighted-inverted-row.jpg",4,500,500)</f>
        <v/>
      </c>
      <c r="B10" s="30">
        <v>3849.0</v>
      </c>
      <c r="C10" s="16" t="s">
        <v>4797</v>
      </c>
      <c r="D10" s="16" t="s">
        <v>184</v>
      </c>
      <c r="E10" s="16" t="s">
        <v>192</v>
      </c>
      <c r="F10" s="16" t="s">
        <v>396</v>
      </c>
      <c r="G10" s="16" t="s">
        <v>329</v>
      </c>
      <c r="H10" s="16" t="s">
        <v>1907</v>
      </c>
    </row>
    <row r="11" ht="22.5" customHeight="1">
      <c r="A11" s="32" t="str">
        <f>IMAGE("https://gymvisual.com/14372-catalog_default/weighted-kneeling-step-with-swing.jpg",4,500,500)</f>
        <v/>
      </c>
      <c r="B11" s="30">
        <v>3850.0</v>
      </c>
      <c r="C11" s="16" t="s">
        <v>4798</v>
      </c>
      <c r="D11" s="16" t="s">
        <v>184</v>
      </c>
      <c r="E11" s="16" t="s">
        <v>1129</v>
      </c>
      <c r="F11" s="16" t="s">
        <v>396</v>
      </c>
      <c r="G11" s="16" t="s">
        <v>4799</v>
      </c>
      <c r="H11" s="16" t="s">
        <v>4800</v>
      </c>
    </row>
    <row r="12" ht="22.5" customHeight="1">
      <c r="A12" s="32" t="str">
        <f>IMAGE("https://gymvisual.com/2498-catalog_default/weighted-leg-extension-crunch.jpg",4,500,500)</f>
        <v/>
      </c>
      <c r="B12" s="30">
        <v>3851.0</v>
      </c>
      <c r="C12" s="16" t="s">
        <v>4801</v>
      </c>
      <c r="D12" s="16" t="s">
        <v>184</v>
      </c>
      <c r="E12" s="16" t="s">
        <v>254</v>
      </c>
      <c r="F12" s="16" t="s">
        <v>399</v>
      </c>
      <c r="G12" s="16" t="s">
        <v>256</v>
      </c>
      <c r="H12" s="16" t="s">
        <v>1308</v>
      </c>
    </row>
    <row r="13" ht="22.5" customHeight="1">
      <c r="A13" s="32" t="str">
        <f>IMAGE("https://gymvisual.com/14378-catalog_default/weighted-lunge-with-swing.jpg",4,500,500)</f>
        <v/>
      </c>
      <c r="B13" s="30">
        <v>3852.0</v>
      </c>
      <c r="C13" s="16" t="s">
        <v>4802</v>
      </c>
      <c r="D13" s="16" t="s">
        <v>184</v>
      </c>
      <c r="E13" s="16" t="s">
        <v>1129</v>
      </c>
      <c r="F13" s="16" t="s">
        <v>396</v>
      </c>
      <c r="G13" s="16" t="s">
        <v>793</v>
      </c>
      <c r="H13" s="16" t="s">
        <v>2392</v>
      </c>
    </row>
    <row r="14" ht="22.5" customHeight="1">
      <c r="A14" s="32" t="str">
        <f>IMAGE("https://gymvisual.com/2501-catalog_default/weighted-lying-hip-abduction.jpg",4,500,500)</f>
        <v/>
      </c>
      <c r="B14" s="30">
        <v>3853.0</v>
      </c>
      <c r="C14" s="16" t="s">
        <v>4803</v>
      </c>
      <c r="D14" s="16" t="s">
        <v>184</v>
      </c>
      <c r="E14" s="16" t="s">
        <v>185</v>
      </c>
      <c r="F14" s="16" t="s">
        <v>396</v>
      </c>
      <c r="G14" s="16" t="s">
        <v>475</v>
      </c>
      <c r="H14" s="16" t="s">
        <v>220</v>
      </c>
    </row>
    <row r="15" ht="22.5" customHeight="1">
      <c r="A15" s="32" t="str">
        <f>IMAGE("https://gymvisual.com/2953-catalog_default/weighted-lying-neck-extension.jpg",4,500,500)</f>
        <v/>
      </c>
      <c r="B15" s="30">
        <v>3854.0</v>
      </c>
      <c r="C15" s="16" t="s">
        <v>4804</v>
      </c>
      <c r="D15" s="16" t="s">
        <v>184</v>
      </c>
      <c r="E15" s="16" t="s">
        <v>351</v>
      </c>
      <c r="F15" s="16" t="s">
        <v>396</v>
      </c>
      <c r="G15" s="16" t="s">
        <v>3457</v>
      </c>
      <c r="H15" s="16" t="s">
        <v>3458</v>
      </c>
    </row>
    <row r="16" ht="22.5" customHeight="1">
      <c r="A16" s="32" t="str">
        <f>IMAGE("https://gymvisual.com/10461-catalog_default/weighted-lying-neck-extension-with-head-harness.jpg",4,500,500)</f>
        <v/>
      </c>
      <c r="B16" s="30">
        <v>3855.0</v>
      </c>
      <c r="C16" s="16" t="s">
        <v>4805</v>
      </c>
      <c r="D16" s="16" t="s">
        <v>184</v>
      </c>
      <c r="E16" s="16" t="s">
        <v>351</v>
      </c>
      <c r="F16" s="16" t="s">
        <v>396</v>
      </c>
      <c r="G16" s="16" t="s">
        <v>220</v>
      </c>
      <c r="H16" s="16" t="s">
        <v>220</v>
      </c>
    </row>
    <row r="17" ht="22.5" customHeight="1">
      <c r="A17" s="32" t="str">
        <f>IMAGE("https://gymvisual.com/2954-catalog_default/weighted-lying-neck-flexion.jpg",4,500,500)</f>
        <v/>
      </c>
      <c r="B17" s="30">
        <v>3856.0</v>
      </c>
      <c r="C17" s="16" t="s">
        <v>4806</v>
      </c>
      <c r="D17" s="16" t="s">
        <v>184</v>
      </c>
      <c r="E17" s="16" t="s">
        <v>351</v>
      </c>
      <c r="F17" s="16" t="s">
        <v>396</v>
      </c>
      <c r="G17" s="16" t="s">
        <v>3717</v>
      </c>
      <c r="H17" s="16" t="s">
        <v>4807</v>
      </c>
    </row>
    <row r="18" ht="22.5" customHeight="1">
      <c r="A18" s="32" t="str">
        <f>IMAGE("https://gymvisual.com/10462-catalog_default/weighted-lying-neck-flexion-with-head-harness.jpg",4,500,500)</f>
        <v/>
      </c>
      <c r="B18" s="30">
        <v>3857.0</v>
      </c>
      <c r="C18" s="16" t="s">
        <v>4808</v>
      </c>
      <c r="D18" s="16" t="s">
        <v>184</v>
      </c>
      <c r="E18" s="16" t="s">
        <v>351</v>
      </c>
      <c r="F18" s="16" t="s">
        <v>396</v>
      </c>
      <c r="G18" s="16" t="s">
        <v>220</v>
      </c>
      <c r="H18" s="16" t="s">
        <v>220</v>
      </c>
    </row>
    <row r="19" ht="22.5" customHeight="1">
      <c r="A19" s="32" t="str">
        <f>IMAGE("https://gymvisual.com/18986-catalog_default/weighted-lying-neck-head-twist.jpg",4,500,500)</f>
        <v/>
      </c>
      <c r="B19" s="30">
        <v>3858.0</v>
      </c>
      <c r="C19" s="16" t="s">
        <v>4809</v>
      </c>
      <c r="D19" s="16" t="s">
        <v>184</v>
      </c>
      <c r="E19" s="16" t="s">
        <v>351</v>
      </c>
      <c r="F19" s="16" t="s">
        <v>396</v>
      </c>
      <c r="G19" s="16" t="s">
        <v>220</v>
      </c>
      <c r="H19" s="16" t="s">
        <v>220</v>
      </c>
    </row>
    <row r="20" ht="22.5" customHeight="1">
      <c r="A20" s="32" t="str">
        <f>IMAGE("https://gymvisual.com/18984-catalog_default/weighted-lying-neck-side-to-side.jpg",4,500,500)</f>
        <v/>
      </c>
      <c r="B20" s="30">
        <v>3859.0</v>
      </c>
      <c r="C20" s="16" t="s">
        <v>4810</v>
      </c>
      <c r="D20" s="16" t="s">
        <v>184</v>
      </c>
      <c r="E20" s="16" t="s">
        <v>351</v>
      </c>
      <c r="F20" s="16" t="s">
        <v>396</v>
      </c>
      <c r="G20" s="16" t="s">
        <v>220</v>
      </c>
      <c r="H20" s="16" t="s">
        <v>220</v>
      </c>
    </row>
    <row r="21" ht="22.5" customHeight="1">
      <c r="A21" s="32" t="str">
        <f>IMAGE("https://gymvisual.com/10452-catalog_default/weighted-lying-side-lifting-head-with-head-harness.jpg",4,500,500)</f>
        <v/>
      </c>
      <c r="B21" s="30">
        <v>3860.0</v>
      </c>
      <c r="C21" s="16" t="s">
        <v>4811</v>
      </c>
      <c r="D21" s="16" t="s">
        <v>184</v>
      </c>
      <c r="E21" s="16" t="s">
        <v>351</v>
      </c>
      <c r="F21" s="16" t="s">
        <v>396</v>
      </c>
      <c r="G21" s="16" t="s">
        <v>3717</v>
      </c>
      <c r="H21" s="16" t="s">
        <v>4812</v>
      </c>
    </row>
    <row r="22" ht="22.5" customHeight="1">
      <c r="A22" s="32" t="str">
        <f>IMAGE("https://gymvisual.com/18980-catalog_default/weighted-lying-side-neck-raise.jpg",4,500,500)</f>
        <v/>
      </c>
      <c r="B22" s="30">
        <v>3861.0</v>
      </c>
      <c r="C22" s="16" t="s">
        <v>4813</v>
      </c>
      <c r="D22" s="16" t="s">
        <v>184</v>
      </c>
      <c r="E22" s="16" t="s">
        <v>351</v>
      </c>
      <c r="F22" s="16" t="s">
        <v>396</v>
      </c>
      <c r="G22" s="16" t="s">
        <v>220</v>
      </c>
      <c r="H22" s="16" t="s">
        <v>220</v>
      </c>
    </row>
    <row r="23" ht="22.5" customHeight="1">
      <c r="A23" s="32" t="str">
        <f>IMAGE("https://gymvisual.com/2507-catalog_default/weighted-lying-twist.jpg",4,500,500)</f>
        <v/>
      </c>
      <c r="B23" s="30">
        <v>3862.0</v>
      </c>
      <c r="C23" s="16" t="s">
        <v>4814</v>
      </c>
      <c r="D23" s="16" t="s">
        <v>184</v>
      </c>
      <c r="E23" s="16" t="s">
        <v>254</v>
      </c>
      <c r="F23" s="16" t="s">
        <v>399</v>
      </c>
      <c r="G23" s="16" t="s">
        <v>257</v>
      </c>
      <c r="H23" s="16" t="s">
        <v>220</v>
      </c>
    </row>
    <row r="24" ht="22.5" customHeight="1">
      <c r="A24" s="32" t="str">
        <f>IMAGE("https://gymvisual.com/13509-catalog_default/weighted-muscle-up.jpg",4,500,500)</f>
        <v/>
      </c>
      <c r="B24" s="30">
        <v>3863.0</v>
      </c>
      <c r="C24" s="16" t="s">
        <v>4815</v>
      </c>
      <c r="D24" s="16" t="s">
        <v>184</v>
      </c>
      <c r="E24" s="16" t="s">
        <v>192</v>
      </c>
      <c r="F24" s="16" t="s">
        <v>396</v>
      </c>
      <c r="G24" s="16" t="s">
        <v>220</v>
      </c>
      <c r="H24" s="16" t="s">
        <v>220</v>
      </c>
    </row>
    <row r="25" ht="22.5" customHeight="1">
      <c r="A25" s="32" t="str">
        <f>IMAGE("https://gymvisual.com/13553-catalog_default/weighted-muscle-up-on-bar.jpg",4,500,500)</f>
        <v/>
      </c>
      <c r="B25" s="30">
        <v>3864.0</v>
      </c>
      <c r="C25" s="16" t="s">
        <v>4816</v>
      </c>
      <c r="D25" s="16" t="s">
        <v>184</v>
      </c>
      <c r="E25" s="16" t="s">
        <v>361</v>
      </c>
      <c r="F25" s="16" t="s">
        <v>396</v>
      </c>
      <c r="G25" s="16" t="s">
        <v>220</v>
      </c>
      <c r="H25" s="16" t="s">
        <v>220</v>
      </c>
    </row>
    <row r="26" ht="22.5" customHeight="1">
      <c r="A26" s="32" t="str">
        <f>IMAGE("https://gymvisual.com/13517-catalog_default/weighted-one-hand-pull-up.jpg",4,500,500)</f>
        <v/>
      </c>
      <c r="B26" s="30">
        <v>3865.0</v>
      </c>
      <c r="C26" s="16" t="s">
        <v>4817</v>
      </c>
      <c r="D26" s="16" t="s">
        <v>184</v>
      </c>
      <c r="E26" s="16" t="s">
        <v>192</v>
      </c>
      <c r="F26" s="16" t="s">
        <v>396</v>
      </c>
      <c r="G26" s="16" t="s">
        <v>300</v>
      </c>
      <c r="H26" s="16" t="s">
        <v>387</v>
      </c>
    </row>
    <row r="27" ht="22.5" customHeight="1">
      <c r="A27" s="32" t="str">
        <f>IMAGE("https://gymvisual.com/4079-catalog_default/weighted-one-leg-hip-thrust.jpg",4,500,500)</f>
        <v/>
      </c>
      <c r="B27" s="30">
        <v>3866.0</v>
      </c>
      <c r="C27" s="16" t="s">
        <v>4818</v>
      </c>
      <c r="D27" s="16" t="s">
        <v>184</v>
      </c>
      <c r="E27" s="16" t="s">
        <v>185</v>
      </c>
      <c r="F27" s="16" t="s">
        <v>396</v>
      </c>
      <c r="G27" s="16" t="s">
        <v>187</v>
      </c>
      <c r="H27" s="16" t="s">
        <v>854</v>
      </c>
    </row>
    <row r="28" ht="22.5" customHeight="1">
      <c r="A28" s="32" t="str">
        <f>IMAGE("https://gymvisual.com/2510-catalog_default/weighted-overhead-crunch-on-stability-ball.jpg",4,500,500)</f>
        <v/>
      </c>
      <c r="B28" s="30">
        <v>3867.0</v>
      </c>
      <c r="C28" s="16" t="s">
        <v>4819</v>
      </c>
      <c r="D28" s="16" t="s">
        <v>184</v>
      </c>
      <c r="E28" s="16" t="s">
        <v>254</v>
      </c>
      <c r="F28" s="16" t="s">
        <v>396</v>
      </c>
      <c r="G28" s="16" t="s">
        <v>256</v>
      </c>
      <c r="H28" s="16" t="s">
        <v>257</v>
      </c>
    </row>
    <row r="29" ht="22.5" customHeight="1">
      <c r="A29" s="32" t="str">
        <f>IMAGE("https://gymvisual.com/18013-catalog_default/weighted-overhead-press-step-up.jpg",4,500,500)</f>
        <v/>
      </c>
      <c r="B29" s="30">
        <v>3868.0</v>
      </c>
      <c r="C29" s="16" t="s">
        <v>4820</v>
      </c>
      <c r="D29" s="16" t="s">
        <v>184</v>
      </c>
      <c r="E29" s="16" t="s">
        <v>285</v>
      </c>
      <c r="F29" s="16" t="s">
        <v>396</v>
      </c>
      <c r="G29" s="16" t="s">
        <v>220</v>
      </c>
      <c r="H29" s="16" t="s">
        <v>220</v>
      </c>
    </row>
    <row r="30" ht="22.5" customHeight="1">
      <c r="A30" s="32" t="str">
        <f>IMAGE("https://gymvisual.com/17719-catalog_default/weighted-plate-bent-over-row.jpg",4,500,500)</f>
        <v/>
      </c>
      <c r="B30" s="30">
        <v>3869.0</v>
      </c>
      <c r="C30" s="16" t="s">
        <v>4821</v>
      </c>
      <c r="D30" s="16" t="s">
        <v>184</v>
      </c>
      <c r="E30" s="16" t="s">
        <v>192</v>
      </c>
      <c r="F30" s="16" t="s">
        <v>396</v>
      </c>
      <c r="G30" s="16" t="s">
        <v>570</v>
      </c>
      <c r="H30" s="16" t="s">
        <v>447</v>
      </c>
    </row>
    <row r="31" ht="22.5" customHeight="1">
      <c r="A31" s="32" t="str">
        <f>IMAGE("https://gymvisual.com/24258-catalog_default/weighted-plate-overhead-march.jpg",4,500,500)</f>
        <v/>
      </c>
      <c r="B31" s="30">
        <v>3870.0</v>
      </c>
      <c r="C31" s="16" t="s">
        <v>4822</v>
      </c>
      <c r="D31" s="16" t="s">
        <v>184</v>
      </c>
      <c r="E31" s="16" t="s">
        <v>285</v>
      </c>
      <c r="F31" s="16" t="s">
        <v>396</v>
      </c>
      <c r="G31" s="16" t="s">
        <v>1332</v>
      </c>
      <c r="H31" s="16" t="s">
        <v>314</v>
      </c>
    </row>
    <row r="32" ht="22.5" customHeight="1">
      <c r="A32" s="32" t="str">
        <f>IMAGE("https://gymvisual.com/22379-catalog_default/weighted-plate-standing-high-front-raise.jpg",4,500,500)</f>
        <v/>
      </c>
      <c r="B32" s="30">
        <v>3871.0</v>
      </c>
      <c r="C32" s="16" t="s">
        <v>4823</v>
      </c>
      <c r="D32" s="16" t="s">
        <v>184</v>
      </c>
      <c r="E32" s="16" t="s">
        <v>228</v>
      </c>
      <c r="F32" s="16" t="s">
        <v>396</v>
      </c>
      <c r="G32" s="16" t="s">
        <v>220</v>
      </c>
      <c r="H32" s="16" t="s">
        <v>220</v>
      </c>
    </row>
    <row r="33" ht="22.5" customHeight="1">
      <c r="A33" s="32" t="str">
        <f>IMAGE("https://gymvisual.com/2513-catalog_default/weighted-pull-up.jpg",4,500,500)</f>
        <v/>
      </c>
      <c r="B33" s="30">
        <v>3872.0</v>
      </c>
      <c r="C33" s="16" t="s">
        <v>4824</v>
      </c>
      <c r="D33" s="16" t="s">
        <v>184</v>
      </c>
      <c r="E33" s="16" t="s">
        <v>192</v>
      </c>
      <c r="F33" s="16" t="s">
        <v>396</v>
      </c>
      <c r="G33" s="16" t="s">
        <v>300</v>
      </c>
      <c r="H33" s="16" t="s">
        <v>4825</v>
      </c>
    </row>
    <row r="34" ht="22.5" customHeight="1">
      <c r="A34" s="32" t="str">
        <f>IMAGE("https://gymvisual.com/2516-catalog_default/weighted-pullover-on-stability-ball.jpg",4,500,500)</f>
        <v/>
      </c>
      <c r="B34" s="30">
        <v>3873.0</v>
      </c>
      <c r="C34" s="16" t="s">
        <v>4826</v>
      </c>
      <c r="D34" s="16" t="s">
        <v>184</v>
      </c>
      <c r="E34" s="16" t="s">
        <v>192</v>
      </c>
      <c r="F34" s="16" t="s">
        <v>396</v>
      </c>
      <c r="G34" s="16" t="s">
        <v>300</v>
      </c>
      <c r="H34" s="16" t="s">
        <v>687</v>
      </c>
    </row>
    <row r="35" ht="22.5" customHeight="1">
      <c r="A35" s="32" t="str">
        <f>IMAGE("https://gymvisual.com/17171-catalog_default/weighted-push-up-with-vest.jpg",4,500,500)</f>
        <v/>
      </c>
      <c r="B35" s="30">
        <v>3874.0</v>
      </c>
      <c r="C35" s="16" t="s">
        <v>4827</v>
      </c>
      <c r="D35" s="16" t="s">
        <v>184</v>
      </c>
      <c r="E35" s="16" t="s">
        <v>234</v>
      </c>
      <c r="F35" s="16" t="s">
        <v>396</v>
      </c>
      <c r="G35" s="16" t="s">
        <v>235</v>
      </c>
      <c r="H35" s="16" t="s">
        <v>243</v>
      </c>
    </row>
    <row r="36" ht="22.5" customHeight="1">
      <c r="A36" s="32" t="str">
        <f>IMAGE("https://gymvisual.com/2519-catalog_default/weighted-reduction-triangle.jpg",4,500,500)</f>
        <v/>
      </c>
      <c r="B36" s="30">
        <v>3875.0</v>
      </c>
      <c r="C36" s="16" t="s">
        <v>4828</v>
      </c>
      <c r="D36" s="16" t="s">
        <v>184</v>
      </c>
      <c r="E36" s="16" t="s">
        <v>285</v>
      </c>
      <c r="F36" s="16" t="s">
        <v>399</v>
      </c>
      <c r="G36" s="16" t="s">
        <v>2412</v>
      </c>
      <c r="H36" s="16" t="s">
        <v>4829</v>
      </c>
    </row>
    <row r="37" ht="22.5" customHeight="1">
      <c r="A37" s="32" t="str">
        <f>IMAGE("https://gymvisual.com/2522-catalog_default/weighted-round-arm.jpg",4,500,500)</f>
        <v/>
      </c>
      <c r="B37" s="30">
        <v>3876.0</v>
      </c>
      <c r="C37" s="16" t="s">
        <v>4830</v>
      </c>
      <c r="D37" s="16" t="s">
        <v>184</v>
      </c>
      <c r="E37" s="16" t="s">
        <v>228</v>
      </c>
      <c r="F37" s="16" t="s">
        <v>396</v>
      </c>
      <c r="G37" s="16" t="s">
        <v>229</v>
      </c>
      <c r="H37" s="16" t="s">
        <v>244</v>
      </c>
    </row>
    <row r="38" ht="22.5" customHeight="1">
      <c r="A38" s="32" t="str">
        <f>IMAGE("https://gymvisual.com/2528-catalog_default/weighted-russian-twist.jpg",4,500,500)</f>
        <v/>
      </c>
      <c r="B38" s="30">
        <v>3877.0</v>
      </c>
      <c r="C38" s="16" t="s">
        <v>4831</v>
      </c>
      <c r="D38" s="16" t="s">
        <v>184</v>
      </c>
      <c r="E38" s="16" t="s">
        <v>254</v>
      </c>
      <c r="F38" s="16" t="s">
        <v>396</v>
      </c>
      <c r="G38" s="16" t="s">
        <v>257</v>
      </c>
      <c r="H38" s="16" t="s">
        <v>220</v>
      </c>
    </row>
    <row r="39" ht="22.5" customHeight="1">
      <c r="A39" s="32" t="str">
        <f>IMAGE("https://gymvisual.com/11236-catalog_default/weighted-russian-twist-female.jpg",4,500,500)</f>
        <v/>
      </c>
      <c r="B39" s="30">
        <v>3878.0</v>
      </c>
      <c r="C39" s="16" t="s">
        <v>4832</v>
      </c>
      <c r="D39" s="16" t="s">
        <v>184</v>
      </c>
      <c r="E39" s="16" t="s">
        <v>254</v>
      </c>
      <c r="F39" s="16" t="s">
        <v>396</v>
      </c>
      <c r="G39" s="16" t="s">
        <v>220</v>
      </c>
      <c r="H39" s="16" t="s">
        <v>220</v>
      </c>
    </row>
    <row r="40" ht="22.5" customHeight="1">
      <c r="A40" s="32" t="str">
        <f>IMAGE("https://gymvisual.com/2525-catalog_default/weighted-russian-twist-legs-up.jpg",4,500,500)</f>
        <v/>
      </c>
      <c r="B40" s="30">
        <v>3879.0</v>
      </c>
      <c r="C40" s="16" t="s">
        <v>4833</v>
      </c>
      <c r="D40" s="16" t="s">
        <v>184</v>
      </c>
      <c r="E40" s="16" t="s">
        <v>254</v>
      </c>
      <c r="F40" s="16" t="s">
        <v>396</v>
      </c>
      <c r="G40" s="16" t="s">
        <v>257</v>
      </c>
      <c r="H40" s="16" t="s">
        <v>2640</v>
      </c>
    </row>
    <row r="41" ht="22.5" customHeight="1">
      <c r="A41" s="32" t="str">
        <f>IMAGE("https://gymvisual.com/10294-catalog_default/weighted-russian-twist-version-2.jpg",4,500,500)</f>
        <v/>
      </c>
      <c r="B41" s="30">
        <v>3880.0</v>
      </c>
      <c r="C41" s="16" t="s">
        <v>4834</v>
      </c>
      <c r="D41" s="16" t="s">
        <v>184</v>
      </c>
      <c r="E41" s="16" t="s">
        <v>254</v>
      </c>
      <c r="F41" s="16" t="s">
        <v>396</v>
      </c>
      <c r="G41" s="16" t="s">
        <v>257</v>
      </c>
      <c r="H41" s="16" t="s">
        <v>305</v>
      </c>
    </row>
    <row r="42" ht="22.5" customHeight="1">
      <c r="A42" s="32" t="str">
        <f>IMAGE("https://gymvisual.com/2531-catalog_default/weighted-seated-bicep-curl-on-stability-ball.jpg",4,500,500)</f>
        <v/>
      </c>
      <c r="B42" s="30">
        <v>3881.0</v>
      </c>
      <c r="C42" s="16" t="s">
        <v>4835</v>
      </c>
      <c r="D42" s="16" t="s">
        <v>184</v>
      </c>
      <c r="E42" s="16" t="s">
        <v>219</v>
      </c>
      <c r="F42" s="16" t="s">
        <v>373</v>
      </c>
      <c r="G42" s="16" t="s">
        <v>232</v>
      </c>
      <c r="H42" s="16" t="s">
        <v>233</v>
      </c>
    </row>
    <row r="43" ht="22.5" customHeight="1">
      <c r="A43" s="32" t="str">
        <f>IMAGE("https://gymvisual.com/17571-catalog_default/weighted-seated-calf-raise.jpg",4,500,500)</f>
        <v/>
      </c>
      <c r="B43" s="30">
        <v>3882.0</v>
      </c>
      <c r="C43" s="16" t="s">
        <v>4836</v>
      </c>
      <c r="D43" s="16" t="s">
        <v>184</v>
      </c>
      <c r="E43" s="16" t="s">
        <v>325</v>
      </c>
      <c r="F43" s="16" t="s">
        <v>396</v>
      </c>
      <c r="G43" s="16" t="s">
        <v>368</v>
      </c>
      <c r="H43" s="16" t="s">
        <v>463</v>
      </c>
    </row>
    <row r="44" ht="22.5" customHeight="1">
      <c r="A44" s="32" t="str">
        <f>IMAGE("https://gymvisual.com/24153-catalog_default/weighted-seated-calf-raise-version-2.jpg",4,500,500)</f>
        <v/>
      </c>
      <c r="B44" s="30">
        <v>3883.0</v>
      </c>
      <c r="C44" s="16" t="s">
        <v>4837</v>
      </c>
      <c r="D44" s="16" t="s">
        <v>184</v>
      </c>
      <c r="E44" s="16" t="s">
        <v>325</v>
      </c>
      <c r="F44" s="16" t="s">
        <v>396</v>
      </c>
      <c r="G44" s="16" t="s">
        <v>220</v>
      </c>
      <c r="H44" s="16" t="s">
        <v>220</v>
      </c>
    </row>
    <row r="45" ht="22.5" customHeight="1">
      <c r="A45" s="32" t="str">
        <f>IMAGE("https://gymvisual.com/20165-catalog_default/weighted-seated-leg-raise-on-floor.jpg",4,500,500)</f>
        <v/>
      </c>
      <c r="B45" s="30">
        <v>3884.0</v>
      </c>
      <c r="C45" s="16" t="s">
        <v>4838</v>
      </c>
      <c r="D45" s="16" t="s">
        <v>184</v>
      </c>
      <c r="E45" s="16" t="s">
        <v>254</v>
      </c>
      <c r="F45" s="16" t="s">
        <v>396</v>
      </c>
      <c r="G45" s="16" t="s">
        <v>305</v>
      </c>
      <c r="H45" s="16" t="s">
        <v>600</v>
      </c>
    </row>
    <row r="46" ht="22.5" customHeight="1">
      <c r="A46" s="32" t="str">
        <f>IMAGE("https://gymvisual.com/10453-catalog_default/weighted-seated-neck-extension-with-head-harness.jpg",4,500,500)</f>
        <v/>
      </c>
      <c r="B46" s="30">
        <v>3885.0</v>
      </c>
      <c r="C46" s="16" t="s">
        <v>4839</v>
      </c>
      <c r="D46" s="16" t="s">
        <v>184</v>
      </c>
      <c r="E46" s="16" t="s">
        <v>351</v>
      </c>
      <c r="F46" s="16" t="s">
        <v>396</v>
      </c>
      <c r="G46" s="16" t="s">
        <v>3457</v>
      </c>
      <c r="H46" s="16" t="s">
        <v>4840</v>
      </c>
    </row>
    <row r="47" ht="22.5" customHeight="1">
      <c r="A47" s="32" t="str">
        <f>IMAGE("https://gymvisual.com/17569-catalog_default/weighted-seated-neutral-wrist-curl.jpg",4,500,500)</f>
        <v/>
      </c>
      <c r="B47" s="30">
        <v>3886.0</v>
      </c>
      <c r="C47" s="16" t="s">
        <v>4841</v>
      </c>
      <c r="D47" s="16" t="s">
        <v>184</v>
      </c>
      <c r="E47" s="16" t="s">
        <v>214</v>
      </c>
      <c r="F47" s="16" t="s">
        <v>396</v>
      </c>
      <c r="G47" s="16" t="s">
        <v>220</v>
      </c>
      <c r="H47" s="16" t="s">
        <v>220</v>
      </c>
    </row>
    <row r="48" ht="22.5" customHeight="1">
      <c r="A48" s="32" t="str">
        <f>IMAGE("https://gymvisual.com/17632-catalog_default/weighted-seated-one-arm-reverse-wrist-curl.jpg",4,500,500)</f>
        <v/>
      </c>
      <c r="B48" s="30">
        <v>3887.0</v>
      </c>
      <c r="C48" s="16" t="s">
        <v>4842</v>
      </c>
      <c r="D48" s="16" t="s">
        <v>184</v>
      </c>
      <c r="E48" s="16" t="s">
        <v>214</v>
      </c>
      <c r="F48" s="16" t="s">
        <v>396</v>
      </c>
      <c r="G48" s="16" t="s">
        <v>604</v>
      </c>
      <c r="H48" s="16" t="s">
        <v>220</v>
      </c>
    </row>
    <row r="49" ht="22.5" customHeight="1">
      <c r="A49" s="32" t="str">
        <f>IMAGE("https://gymvisual.com/17630-catalog_default/weighted-seated-one-arm-wrist-curl.jpg",4,500,500)</f>
        <v/>
      </c>
      <c r="B49" s="30">
        <v>3888.0</v>
      </c>
      <c r="C49" s="16" t="s">
        <v>4843</v>
      </c>
      <c r="D49" s="16" t="s">
        <v>184</v>
      </c>
      <c r="E49" s="16" t="s">
        <v>214</v>
      </c>
      <c r="F49" s="16" t="s">
        <v>396</v>
      </c>
      <c r="G49" s="16" t="s">
        <v>720</v>
      </c>
      <c r="H49" s="16" t="s">
        <v>220</v>
      </c>
    </row>
    <row r="50" ht="22.5" customHeight="1">
      <c r="A50" s="32" t="str">
        <f>IMAGE("https://gymvisual.com/17628-catalog_default/weighted-seated-reverse-wrist-curl.jpg",4,500,500)</f>
        <v/>
      </c>
      <c r="B50" s="30">
        <v>3889.0</v>
      </c>
      <c r="C50" s="16" t="s">
        <v>4844</v>
      </c>
      <c r="D50" s="16" t="s">
        <v>184</v>
      </c>
      <c r="E50" s="16" t="s">
        <v>214</v>
      </c>
      <c r="F50" s="16" t="s">
        <v>396</v>
      </c>
      <c r="G50" s="16" t="s">
        <v>604</v>
      </c>
      <c r="H50" s="16" t="s">
        <v>220</v>
      </c>
    </row>
    <row r="51" ht="22.5" customHeight="1">
      <c r="A51" s="32" t="str">
        <f>IMAGE("https://gymvisual.com/24155-catalog_default/weighted-seated-single-calf-raise-version-2.jpg",4,500,500)</f>
        <v/>
      </c>
      <c r="B51" s="30">
        <v>3890.0</v>
      </c>
      <c r="C51" s="16" t="s">
        <v>4845</v>
      </c>
      <c r="D51" s="16" t="s">
        <v>184</v>
      </c>
      <c r="E51" s="16" t="s">
        <v>325</v>
      </c>
      <c r="F51" s="16" t="s">
        <v>396</v>
      </c>
      <c r="G51" s="16" t="s">
        <v>220</v>
      </c>
      <c r="H51" s="16" t="s">
        <v>220</v>
      </c>
    </row>
    <row r="52" ht="22.5" customHeight="1">
      <c r="A52" s="32" t="str">
        <f>IMAGE("https://gymvisual.com/17626-catalog_default/weighted-seated-supination.jpg",4,500,500)</f>
        <v/>
      </c>
      <c r="B52" s="30">
        <v>3891.0</v>
      </c>
      <c r="C52" s="16" t="s">
        <v>4846</v>
      </c>
      <c r="D52" s="16" t="s">
        <v>184</v>
      </c>
      <c r="E52" s="16" t="s">
        <v>214</v>
      </c>
      <c r="F52" s="16" t="s">
        <v>396</v>
      </c>
      <c r="G52" s="16" t="s">
        <v>216</v>
      </c>
      <c r="H52" s="16" t="s">
        <v>220</v>
      </c>
    </row>
    <row r="53" ht="22.5" customHeight="1">
      <c r="A53" s="32" t="str">
        <f>IMAGE("https://gymvisual.com/17885-catalog_default/weighted-seated-triceps-extension-male.jpg",4,500,500)</f>
        <v/>
      </c>
      <c r="B53" s="30">
        <v>3892.0</v>
      </c>
      <c r="C53" s="16" t="s">
        <v>4847</v>
      </c>
      <c r="D53" s="16" t="s">
        <v>184</v>
      </c>
      <c r="E53" s="16" t="s">
        <v>219</v>
      </c>
      <c r="F53" s="16" t="s">
        <v>396</v>
      </c>
      <c r="G53" s="16" t="s">
        <v>220</v>
      </c>
      <c r="H53" s="16" t="s">
        <v>220</v>
      </c>
    </row>
    <row r="54" ht="22.5" customHeight="1">
      <c r="A54" s="32" t="str">
        <f>IMAGE("https://gymvisual.com/19592-catalog_default/weighted-seated-tuck-crunch-on-floor.jpg",4,500,500)</f>
        <v/>
      </c>
      <c r="B54" s="30">
        <v>3893.0</v>
      </c>
      <c r="C54" s="16" t="s">
        <v>4848</v>
      </c>
      <c r="D54" s="16" t="s">
        <v>184</v>
      </c>
      <c r="E54" s="16" t="s">
        <v>254</v>
      </c>
      <c r="F54" s="16" t="s">
        <v>396</v>
      </c>
      <c r="G54" s="16" t="s">
        <v>220</v>
      </c>
      <c r="H54" s="16" t="s">
        <v>220</v>
      </c>
    </row>
    <row r="55" ht="22.5" customHeight="1">
      <c r="A55" s="32" t="str">
        <f>IMAGE("https://gymvisual.com/2537-catalog_default/weighted-seated-twist-on-stability-ball.jpg",4,500,500)</f>
        <v/>
      </c>
      <c r="B55" s="30">
        <v>3894.0</v>
      </c>
      <c r="C55" s="16" t="s">
        <v>4849</v>
      </c>
      <c r="D55" s="16" t="s">
        <v>184</v>
      </c>
      <c r="E55" s="16" t="s">
        <v>254</v>
      </c>
      <c r="F55" s="16" t="s">
        <v>396</v>
      </c>
      <c r="G55" s="16" t="s">
        <v>257</v>
      </c>
      <c r="H55" s="16" t="s">
        <v>220</v>
      </c>
    </row>
    <row r="56" ht="22.5" customHeight="1">
      <c r="A56" s="32" t="str">
        <f>IMAGE("https://gymvisual.com/2540-catalog_default/weighted-side-bend-on-stability-ball.jpg",4,500,500)</f>
        <v/>
      </c>
      <c r="B56" s="30">
        <v>3895.0</v>
      </c>
      <c r="C56" s="16" t="s">
        <v>4850</v>
      </c>
      <c r="D56" s="16" t="s">
        <v>184</v>
      </c>
      <c r="E56" s="16" t="s">
        <v>254</v>
      </c>
      <c r="F56" s="16" t="s">
        <v>396</v>
      </c>
      <c r="G56" s="16" t="s">
        <v>257</v>
      </c>
      <c r="H56" s="16" t="s">
        <v>220</v>
      </c>
    </row>
    <row r="57" ht="22.5" customHeight="1">
      <c r="A57" s="32" t="str">
        <f>IMAGE("https://gymvisual.com/17577-catalog_default/weighted-side-crunch.jpg",4,500,500)</f>
        <v/>
      </c>
      <c r="B57" s="30">
        <v>3896.0</v>
      </c>
      <c r="C57" s="16" t="s">
        <v>4851</v>
      </c>
      <c r="D57" s="16" t="s">
        <v>184</v>
      </c>
      <c r="E57" s="16" t="s">
        <v>254</v>
      </c>
      <c r="F57" s="16" t="s">
        <v>396</v>
      </c>
      <c r="G57" s="16" t="s">
        <v>260</v>
      </c>
      <c r="H57" s="16" t="s">
        <v>220</v>
      </c>
    </row>
    <row r="58" ht="22.5" customHeight="1">
      <c r="A58" s="32" t="str">
        <f>IMAGE("https://gymvisual.com/18982-catalog_default/weighted-side-lying-side-neck-raise.jpg",4,500,500)</f>
        <v/>
      </c>
      <c r="B58" s="30">
        <v>3897.0</v>
      </c>
      <c r="C58" s="16" t="s">
        <v>4852</v>
      </c>
      <c r="D58" s="16" t="s">
        <v>184</v>
      </c>
      <c r="E58" s="16" t="s">
        <v>351</v>
      </c>
      <c r="F58" s="16" t="s">
        <v>396</v>
      </c>
      <c r="G58" s="16" t="s">
        <v>220</v>
      </c>
      <c r="H58" s="16" t="s">
        <v>220</v>
      </c>
    </row>
    <row r="59" ht="22.5" customHeight="1">
      <c r="A59" s="32" t="str">
        <f>IMAGE("https://gymvisual.com/14238-catalog_default/weighted-single-leg-lift.jpg",4,500,500)</f>
        <v/>
      </c>
      <c r="B59" s="30">
        <v>3898.0</v>
      </c>
      <c r="C59" s="16" t="s">
        <v>4853</v>
      </c>
      <c r="D59" s="16" t="s">
        <v>184</v>
      </c>
      <c r="E59" s="16" t="s">
        <v>285</v>
      </c>
      <c r="F59" s="16" t="s">
        <v>396</v>
      </c>
      <c r="G59" s="16" t="s">
        <v>3818</v>
      </c>
      <c r="H59" s="16" t="s">
        <v>4854</v>
      </c>
    </row>
    <row r="60" ht="22.5" customHeight="1">
      <c r="A60" s="32" t="str">
        <f>IMAGE("https://gymvisual.com/2543-catalog_default/weighted-sissy-squat.jpg",4,500,500)</f>
        <v/>
      </c>
      <c r="B60" s="30">
        <v>3899.0</v>
      </c>
      <c r="C60" s="16" t="s">
        <v>4855</v>
      </c>
      <c r="D60" s="16" t="s">
        <v>184</v>
      </c>
      <c r="E60" s="16" t="s">
        <v>285</v>
      </c>
      <c r="F60" s="16" t="s">
        <v>396</v>
      </c>
      <c r="G60" s="16" t="s">
        <v>552</v>
      </c>
      <c r="H60" s="16" t="s">
        <v>220</v>
      </c>
    </row>
    <row r="61" ht="22.5" customHeight="1">
      <c r="A61" s="32" t="str">
        <f>IMAGE("https://gymvisual.com/17511-catalog_default/weighted-sissy-squat-female.jpg",4,500,500)</f>
        <v/>
      </c>
      <c r="B61" s="30">
        <v>3900.0</v>
      </c>
      <c r="C61" s="16" t="s">
        <v>4856</v>
      </c>
      <c r="D61" s="16" t="s">
        <v>184</v>
      </c>
      <c r="E61" s="16" t="s">
        <v>285</v>
      </c>
      <c r="F61" s="16" t="s">
        <v>396</v>
      </c>
      <c r="G61" s="16" t="s">
        <v>552</v>
      </c>
      <c r="H61" s="16" t="s">
        <v>1115</v>
      </c>
    </row>
    <row r="62" ht="22.5" customHeight="1">
      <c r="A62" s="32" t="str">
        <f>IMAGE("https://gymvisual.com/2546-catalog_default/weighted-squat.jpg",4,500,500)</f>
        <v/>
      </c>
      <c r="B62" s="30">
        <v>3901.0</v>
      </c>
      <c r="C62" s="16" t="s">
        <v>4857</v>
      </c>
      <c r="D62" s="16" t="s">
        <v>184</v>
      </c>
      <c r="E62" s="16" t="s">
        <v>285</v>
      </c>
      <c r="F62" s="16" t="s">
        <v>396</v>
      </c>
      <c r="G62" s="16" t="s">
        <v>189</v>
      </c>
      <c r="H62" s="16" t="s">
        <v>190</v>
      </c>
    </row>
    <row r="63" ht="22.5" customHeight="1">
      <c r="A63" s="32" t="str">
        <f>IMAGE("https://gymvisual.com/13612-catalog_default/weighted-stability-ball-crunch-full-range.jpg",4,500,500)</f>
        <v/>
      </c>
      <c r="B63" s="30">
        <v>3902.0</v>
      </c>
      <c r="C63" s="16" t="s">
        <v>4858</v>
      </c>
      <c r="D63" s="16" t="s">
        <v>184</v>
      </c>
      <c r="E63" s="16" t="s">
        <v>254</v>
      </c>
      <c r="F63" s="16" t="s">
        <v>396</v>
      </c>
      <c r="G63" s="16" t="s">
        <v>256</v>
      </c>
      <c r="H63" s="16" t="s">
        <v>257</v>
      </c>
    </row>
    <row r="64" ht="22.5" customHeight="1">
      <c r="A64" s="32" t="str">
        <f>IMAGE("https://gymvisual.com/2549-catalog_default/weighted-standing-curl.jpg",4,500,500)</f>
        <v/>
      </c>
      <c r="B64" s="30">
        <v>3903.0</v>
      </c>
      <c r="C64" s="16" t="s">
        <v>4859</v>
      </c>
      <c r="D64" s="16" t="s">
        <v>184</v>
      </c>
      <c r="E64" s="16" t="s">
        <v>214</v>
      </c>
      <c r="F64" s="16" t="s">
        <v>396</v>
      </c>
      <c r="G64" s="16" t="s">
        <v>216</v>
      </c>
      <c r="H64" s="16" t="s">
        <v>217</v>
      </c>
    </row>
    <row r="65" ht="22.5" customHeight="1">
      <c r="A65" s="32" t="str">
        <f>IMAGE("https://gymvisual.com/14316-catalog_default/weighted-standing-curl-female.jpg",4,500,500)</f>
        <v/>
      </c>
      <c r="B65" s="30">
        <v>3904.0</v>
      </c>
      <c r="C65" s="16" t="s">
        <v>4860</v>
      </c>
      <c r="D65" s="16" t="s">
        <v>184</v>
      </c>
      <c r="E65" s="16" t="s">
        <v>214</v>
      </c>
      <c r="F65" s="16" t="s">
        <v>396</v>
      </c>
      <c r="G65" s="16" t="s">
        <v>217</v>
      </c>
      <c r="H65" s="16" t="s">
        <v>220</v>
      </c>
    </row>
    <row r="66" ht="22.5" customHeight="1">
      <c r="A66" s="32" t="str">
        <f>IMAGE("https://gymvisual.com/2552-catalog_default/weighted-standing-hand-squeeze.jpg",4,500,500)</f>
        <v/>
      </c>
      <c r="B66" s="30">
        <v>3905.0</v>
      </c>
      <c r="C66" s="16" t="s">
        <v>4861</v>
      </c>
      <c r="D66" s="16" t="s">
        <v>184</v>
      </c>
      <c r="E66" s="16" t="s">
        <v>214</v>
      </c>
      <c r="F66" s="16" t="s">
        <v>396</v>
      </c>
      <c r="G66" s="16" t="s">
        <v>220</v>
      </c>
      <c r="H66" s="16" t="s">
        <v>220</v>
      </c>
    </row>
    <row r="67" ht="22.5" customHeight="1">
      <c r="A67" s="32" t="str">
        <f>IMAGE("https://gymvisual.com/10463-catalog_default/weighted-standing-neck-extension-with-head-harness.jpg",4,500,500)</f>
        <v/>
      </c>
      <c r="B67" s="30">
        <v>3906.0</v>
      </c>
      <c r="C67" s="16" t="s">
        <v>4862</v>
      </c>
      <c r="D67" s="16" t="s">
        <v>184</v>
      </c>
      <c r="E67" s="16" t="s">
        <v>351</v>
      </c>
      <c r="F67" s="16" t="s">
        <v>396</v>
      </c>
      <c r="G67" s="16" t="s">
        <v>220</v>
      </c>
      <c r="H67" s="16" t="s">
        <v>220</v>
      </c>
    </row>
    <row r="68" ht="22.5" customHeight="1">
      <c r="A68" s="32" t="str">
        <f>IMAGE("https://gymvisual.com/17993-catalog_default/weighted-standing-shoulder-press.jpg",4,500,500)</f>
        <v/>
      </c>
      <c r="B68" s="30">
        <v>3907.0</v>
      </c>
      <c r="C68" s="16" t="s">
        <v>4863</v>
      </c>
      <c r="D68" s="16" t="s">
        <v>184</v>
      </c>
      <c r="E68" s="16" t="s">
        <v>228</v>
      </c>
      <c r="F68" s="16" t="s">
        <v>396</v>
      </c>
      <c r="G68" s="16" t="s">
        <v>220</v>
      </c>
      <c r="H68" s="16" t="s">
        <v>220</v>
      </c>
    </row>
    <row r="69" ht="22.5" customHeight="1">
      <c r="A69" s="32" t="str">
        <f>IMAGE("https://gymvisual.com/2555-catalog_default/weighted-standing-twist.jpg",4,500,500)</f>
        <v/>
      </c>
      <c r="B69" s="30">
        <v>3908.0</v>
      </c>
      <c r="C69" s="16" t="s">
        <v>4864</v>
      </c>
      <c r="D69" s="16" t="s">
        <v>184</v>
      </c>
      <c r="E69" s="16" t="s">
        <v>254</v>
      </c>
      <c r="F69" s="16" t="s">
        <v>396</v>
      </c>
      <c r="G69" s="16" t="s">
        <v>257</v>
      </c>
      <c r="H69" s="16" t="s">
        <v>271</v>
      </c>
    </row>
    <row r="70" ht="22.5" customHeight="1">
      <c r="A70" s="32" t="str">
        <f>IMAGE("https://gymvisual.com/13555-catalog_default/weighted-straight-bar-dip.jpg",4,500,500)</f>
        <v/>
      </c>
      <c r="B70" s="30">
        <v>3909.0</v>
      </c>
      <c r="C70" s="16" t="s">
        <v>4865</v>
      </c>
      <c r="D70" s="16" t="s">
        <v>184</v>
      </c>
      <c r="E70" s="16" t="s">
        <v>234</v>
      </c>
      <c r="F70" s="16" t="s">
        <v>396</v>
      </c>
      <c r="G70" s="16" t="s">
        <v>235</v>
      </c>
      <c r="H70" s="16" t="s">
        <v>243</v>
      </c>
    </row>
    <row r="71" ht="22.5" customHeight="1">
      <c r="A71" s="32" t="str">
        <f>IMAGE("https://gymvisual.com/17903-catalog_default/weighted-straight-leg-toe-touch-crunch-male.jpg",4,500,500)</f>
        <v/>
      </c>
      <c r="B71" s="30">
        <v>3910.0</v>
      </c>
      <c r="C71" s="16" t="s">
        <v>4866</v>
      </c>
      <c r="D71" s="16" t="s">
        <v>184</v>
      </c>
      <c r="E71" s="16" t="s">
        <v>254</v>
      </c>
      <c r="F71" s="16" t="s">
        <v>396</v>
      </c>
      <c r="G71" s="16" t="s">
        <v>220</v>
      </c>
      <c r="H71" s="16" t="s">
        <v>220</v>
      </c>
    </row>
    <row r="72" ht="22.5" customHeight="1">
      <c r="A72" s="32" t="str">
        <f>IMAGE("https://gymvisual.com/22654-catalog_default/weighted-svend-bench-press.jpg",4,500,500)</f>
        <v/>
      </c>
      <c r="B72" s="30">
        <v>3911.0</v>
      </c>
      <c r="C72" s="16" t="s">
        <v>4867</v>
      </c>
      <c r="D72" s="16" t="s">
        <v>184</v>
      </c>
      <c r="E72" s="16" t="s">
        <v>219</v>
      </c>
      <c r="F72" s="16" t="s">
        <v>396</v>
      </c>
      <c r="G72" s="16" t="s">
        <v>347</v>
      </c>
      <c r="H72" s="16" t="s">
        <v>382</v>
      </c>
    </row>
    <row r="73" ht="22.5" customHeight="1">
      <c r="A73" s="32" t="str">
        <f>IMAGE("https://gymvisual.com/2558-catalog_default/weighted-svend-press.jpg",4,500,500)</f>
        <v/>
      </c>
      <c r="B73" s="30">
        <v>3912.0</v>
      </c>
      <c r="C73" s="16" t="s">
        <v>4868</v>
      </c>
      <c r="D73" s="16" t="s">
        <v>184</v>
      </c>
      <c r="E73" s="16" t="s">
        <v>234</v>
      </c>
      <c r="F73" s="16" t="s">
        <v>396</v>
      </c>
      <c r="G73" s="16" t="s">
        <v>347</v>
      </c>
      <c r="H73" s="16" t="s">
        <v>382</v>
      </c>
    </row>
    <row r="74" ht="22.5" customHeight="1">
      <c r="A74" s="32" t="str">
        <f>IMAGE("https://gymvisual.com/13888-catalog_default/weighted-svend-press-female.jpg",4,500,500)</f>
        <v/>
      </c>
      <c r="B74" s="30">
        <v>3913.0</v>
      </c>
      <c r="C74" s="16" t="s">
        <v>4869</v>
      </c>
      <c r="D74" s="16" t="s">
        <v>184</v>
      </c>
      <c r="E74" s="16" t="s">
        <v>234</v>
      </c>
      <c r="F74" s="16" t="s">
        <v>396</v>
      </c>
      <c r="G74" s="16" t="s">
        <v>220</v>
      </c>
      <c r="H74" s="16" t="s">
        <v>220</v>
      </c>
    </row>
    <row r="75" ht="22.5" customHeight="1">
      <c r="A75" s="32" t="str">
        <f>IMAGE("https://gymvisual.com/7473-catalog_default/weighted-three-bench-dips.jpg",4,500,500)</f>
        <v/>
      </c>
      <c r="B75" s="30">
        <v>3914.0</v>
      </c>
      <c r="C75" s="16" t="s">
        <v>4870</v>
      </c>
      <c r="D75" s="16" t="s">
        <v>184</v>
      </c>
      <c r="E75" s="16" t="s">
        <v>219</v>
      </c>
      <c r="F75" s="16" t="s">
        <v>396</v>
      </c>
      <c r="G75" s="16" t="s">
        <v>223</v>
      </c>
      <c r="H75" s="16" t="s">
        <v>394</v>
      </c>
    </row>
    <row r="76" ht="22.5" customHeight="1">
      <c r="A76" s="32" t="str">
        <f>IMAGE("https://gymvisual.com/7474-catalog_default/weighted-tricep-dips.jpg",4,500,500)</f>
        <v/>
      </c>
      <c r="B76" s="30">
        <v>3915.0</v>
      </c>
      <c r="C76" s="16" t="s">
        <v>4871</v>
      </c>
      <c r="D76" s="16" t="s">
        <v>184</v>
      </c>
      <c r="E76" s="16" t="s">
        <v>219</v>
      </c>
      <c r="F76" s="16" t="s">
        <v>396</v>
      </c>
      <c r="G76" s="16" t="s">
        <v>223</v>
      </c>
      <c r="H76" s="16" t="s">
        <v>394</v>
      </c>
    </row>
    <row r="77" ht="22.5" customHeight="1">
      <c r="A77" s="32" t="str">
        <f>IMAGE("https://gymvisual.com/7596-catalog_default/weighted-triceps-dip-on-high-parallel-bars.jpg",4,500,500)</f>
        <v/>
      </c>
      <c r="B77" s="30">
        <v>3916.0</v>
      </c>
      <c r="C77" s="16" t="s">
        <v>4872</v>
      </c>
      <c r="D77" s="16" t="s">
        <v>184</v>
      </c>
      <c r="E77" s="16" t="s">
        <v>219</v>
      </c>
      <c r="F77" s="16" t="s">
        <v>396</v>
      </c>
      <c r="G77" s="16" t="s">
        <v>220</v>
      </c>
      <c r="H77" s="16" t="s">
        <v>220</v>
      </c>
    </row>
    <row r="78" ht="22.5" customHeight="1">
      <c r="A78" s="32" t="str">
        <f>IMAGE("https://gymvisual.com/4464-catalog_default/weighted-twisting-crunch-on-bench.jpg",4,500,500)</f>
        <v/>
      </c>
      <c r="B78" s="30">
        <v>3917.0</v>
      </c>
      <c r="C78" s="16" t="s">
        <v>4873</v>
      </c>
      <c r="D78" s="16" t="s">
        <v>184</v>
      </c>
      <c r="E78" s="16" t="s">
        <v>254</v>
      </c>
      <c r="F78" s="16" t="s">
        <v>396</v>
      </c>
      <c r="G78" s="16" t="s">
        <v>263</v>
      </c>
      <c r="H78" s="16" t="s">
        <v>4874</v>
      </c>
    </row>
    <row r="79" ht="22.5" customHeight="1">
      <c r="A79" s="32" t="str">
        <f>IMAGE("https://gymvisual.com/4467-catalog_default/weighted-v-crunch-on-bosu-ball.jpg",4,500,500)</f>
        <v/>
      </c>
      <c r="B79" s="30">
        <v>3918.0</v>
      </c>
      <c r="C79" s="16" t="s">
        <v>4875</v>
      </c>
      <c r="D79" s="16" t="s">
        <v>184</v>
      </c>
      <c r="E79" s="16" t="s">
        <v>254</v>
      </c>
      <c r="F79" s="16" t="s">
        <v>316</v>
      </c>
      <c r="G79" s="16" t="s">
        <v>305</v>
      </c>
      <c r="H79" s="16" t="s">
        <v>4749</v>
      </c>
    </row>
    <row r="80" ht="22.5" customHeight="1">
      <c r="A80" s="32" t="str">
        <f>IMAGE("https://gymvisual.com/10043-catalog_default/wheel-rollout.jpg",4,500,500)</f>
        <v/>
      </c>
      <c r="B80" s="30">
        <v>3919.0</v>
      </c>
      <c r="C80" s="16" t="s">
        <v>4876</v>
      </c>
      <c r="D80" s="16" t="s">
        <v>184</v>
      </c>
      <c r="E80" s="16" t="s">
        <v>192</v>
      </c>
      <c r="F80" s="16" t="s">
        <v>4478</v>
      </c>
      <c r="G80" s="16" t="s">
        <v>271</v>
      </c>
      <c r="H80" s="16" t="s">
        <v>4877</v>
      </c>
    </row>
    <row r="81" ht="22.5" customHeight="1">
      <c r="A81" s="32" t="str">
        <f>IMAGE("https://gymvisual.com/10046-catalog_default/wheel-rollout-female.jpg",4,500,500)</f>
        <v/>
      </c>
      <c r="B81" s="30">
        <v>3920.0</v>
      </c>
      <c r="C81" s="16" t="s">
        <v>4878</v>
      </c>
      <c r="D81" s="16" t="s">
        <v>184</v>
      </c>
      <c r="E81" s="16" t="s">
        <v>254</v>
      </c>
      <c r="F81" s="16" t="s">
        <v>4478</v>
      </c>
      <c r="G81" s="16" t="s">
        <v>263</v>
      </c>
      <c r="H81" s="16" t="s">
        <v>437</v>
      </c>
    </row>
    <row r="82" ht="22.5" customHeight="1">
      <c r="A82" s="32" t="str">
        <f>IMAGE("https://gymvisual.com/17887-catalog_default/wheel-rollout-with-wall-support-male.jpg",4,500,500)</f>
        <v/>
      </c>
      <c r="B82" s="30">
        <v>3921.0</v>
      </c>
      <c r="C82" s="16" t="s">
        <v>4879</v>
      </c>
      <c r="D82" s="16" t="s">
        <v>184</v>
      </c>
      <c r="E82" s="16" t="s">
        <v>254</v>
      </c>
      <c r="F82" s="16" t="s">
        <v>255</v>
      </c>
      <c r="G82" s="16" t="s">
        <v>220</v>
      </c>
      <c r="H82" s="16" t="s">
        <v>220</v>
      </c>
    </row>
    <row r="83" ht="22.5" customHeight="1">
      <c r="A83" s="32" t="str">
        <f>IMAGE("https://gymvisual.com/22335-catalog_default/wide-air-squat.jpg",4,500,500)</f>
        <v/>
      </c>
      <c r="B83" s="30">
        <v>3922.0</v>
      </c>
      <c r="C83" s="16" t="s">
        <v>4880</v>
      </c>
      <c r="D83" s="16" t="s">
        <v>184</v>
      </c>
      <c r="E83" s="16" t="s">
        <v>185</v>
      </c>
      <c r="F83" s="16" t="s">
        <v>255</v>
      </c>
      <c r="G83" s="16" t="s">
        <v>220</v>
      </c>
      <c r="H83" s="16" t="s">
        <v>220</v>
      </c>
    </row>
    <row r="84" ht="22.5" customHeight="1">
      <c r="A84" s="32" t="str">
        <f>IMAGE("https://gymvisual.com/20202-catalog_default/wide-chin-up-female.jpg",4,500,500)</f>
        <v/>
      </c>
      <c r="B84" s="30">
        <v>3923.0</v>
      </c>
      <c r="C84" s="16" t="s">
        <v>4881</v>
      </c>
      <c r="D84" s="16" t="s">
        <v>184</v>
      </c>
      <c r="E84" s="16" t="s">
        <v>192</v>
      </c>
      <c r="F84" s="16" t="s">
        <v>255</v>
      </c>
      <c r="G84" s="16" t="s">
        <v>4882</v>
      </c>
      <c r="H84" s="16" t="s">
        <v>447</v>
      </c>
    </row>
    <row r="85" ht="22.5" customHeight="1">
      <c r="A85" s="32" t="str">
        <f>IMAGE("https://gymvisual.com/14318-catalog_default/wide-grip-pull-up-female.jpg",4,500,500)</f>
        <v/>
      </c>
      <c r="B85" s="30">
        <v>3924.0</v>
      </c>
      <c r="C85" s="16" t="s">
        <v>4883</v>
      </c>
      <c r="D85" s="16" t="s">
        <v>184</v>
      </c>
      <c r="E85" s="16" t="s">
        <v>192</v>
      </c>
      <c r="F85" s="16" t="s">
        <v>255</v>
      </c>
      <c r="G85" s="16" t="s">
        <v>300</v>
      </c>
      <c r="H85" s="16" t="s">
        <v>4884</v>
      </c>
    </row>
    <row r="86" ht="22.5" customHeight="1">
      <c r="A86" s="32" t="str">
        <f>IMAGE("https://gymvisual.com/6323-catalog_default/wide-grip-pull-up.jpg",4,500,500)</f>
        <v/>
      </c>
      <c r="B86" s="30">
        <v>3925.0</v>
      </c>
      <c r="C86" s="16" t="s">
        <v>4885</v>
      </c>
      <c r="D86" s="16" t="s">
        <v>184</v>
      </c>
      <c r="E86" s="16" t="s">
        <v>192</v>
      </c>
      <c r="F86" s="16" t="s">
        <v>255</v>
      </c>
      <c r="G86" s="16" t="s">
        <v>300</v>
      </c>
      <c r="H86" s="16" t="s">
        <v>3413</v>
      </c>
    </row>
    <row r="87" ht="22.5" customHeight="1">
      <c r="A87" s="32" t="str">
        <f>IMAGE("https://gymvisual.com/7718-catalog_default/wide-grip-pull-up-on-dip-cage.jpg",4,500,500)</f>
        <v/>
      </c>
      <c r="B87" s="30">
        <v>3926.0</v>
      </c>
      <c r="C87" s="16" t="s">
        <v>4886</v>
      </c>
      <c r="D87" s="16" t="s">
        <v>184</v>
      </c>
      <c r="E87" s="16" t="s">
        <v>192</v>
      </c>
      <c r="F87" s="16" t="s">
        <v>255</v>
      </c>
      <c r="G87" s="16" t="s">
        <v>220</v>
      </c>
      <c r="H87" s="16" t="s">
        <v>220</v>
      </c>
    </row>
    <row r="88" ht="22.5" customHeight="1">
      <c r="A88" s="32" t="str">
        <f>IMAGE("https://gymvisual.com/14320-catalog_default/wide-grip-rear-pull-up-female.jpg",4,500,500)</f>
        <v/>
      </c>
      <c r="B88" s="30">
        <v>3927.0</v>
      </c>
      <c r="C88" s="16" t="s">
        <v>4887</v>
      </c>
      <c r="D88" s="16" t="s">
        <v>184</v>
      </c>
      <c r="E88" s="16" t="s">
        <v>192</v>
      </c>
      <c r="F88" s="16" t="s">
        <v>255</v>
      </c>
      <c r="G88" s="16" t="s">
        <v>300</v>
      </c>
      <c r="H88" s="16" t="s">
        <v>4888</v>
      </c>
    </row>
    <row r="89" ht="22.5" customHeight="1">
      <c r="A89" s="32" t="str">
        <f>IMAGE("https://gymvisual.com/6058-catalog_default/wide-grip-rear-pull-up.jpg",4,500,500)</f>
        <v/>
      </c>
      <c r="B89" s="30">
        <v>3928.0</v>
      </c>
      <c r="C89" s="16" t="s">
        <v>4889</v>
      </c>
      <c r="D89" s="16" t="s">
        <v>184</v>
      </c>
      <c r="E89" s="16" t="s">
        <v>192</v>
      </c>
      <c r="F89" s="16" t="s">
        <v>255</v>
      </c>
      <c r="G89" s="16" t="s">
        <v>300</v>
      </c>
      <c r="H89" s="16" t="s">
        <v>4890</v>
      </c>
    </row>
    <row r="90" ht="22.5" customHeight="1">
      <c r="A90" s="32" t="str">
        <f>IMAGE("https://gymvisual.com/6000-catalog_default/wide-hand-push-up.jpg",4,500,500)</f>
        <v/>
      </c>
      <c r="B90" s="30">
        <v>3929.0</v>
      </c>
      <c r="C90" s="16" t="s">
        <v>4891</v>
      </c>
      <c r="D90" s="16" t="s">
        <v>184</v>
      </c>
      <c r="E90" s="16" t="s">
        <v>234</v>
      </c>
      <c r="F90" s="16" t="s">
        <v>255</v>
      </c>
      <c r="G90" s="16" t="s">
        <v>347</v>
      </c>
      <c r="H90" s="16" t="s">
        <v>382</v>
      </c>
    </row>
    <row r="91" ht="22.5" customHeight="1">
      <c r="A91" s="32" t="str">
        <f>IMAGE("https://gymvisual.com/17521-catalog_default/wide-hand-push-up-female.jpg",4,500,500)</f>
        <v/>
      </c>
      <c r="B91" s="30">
        <v>3930.0</v>
      </c>
      <c r="C91" s="16" t="s">
        <v>4892</v>
      </c>
      <c r="D91" s="16" t="s">
        <v>184</v>
      </c>
      <c r="E91" s="16" t="s">
        <v>234</v>
      </c>
      <c r="F91" s="16" t="s">
        <v>255</v>
      </c>
      <c r="G91" s="16" t="s">
        <v>235</v>
      </c>
      <c r="H91" s="16" t="s">
        <v>243</v>
      </c>
    </row>
    <row r="92" ht="22.5" customHeight="1">
      <c r="A92" s="32" t="str">
        <f>IMAGE("https://gymvisual.com/10914-catalog_default/wide-push-up-wall-female.jpg",4,500,500)</f>
        <v/>
      </c>
      <c r="B92" s="30">
        <v>3931.0</v>
      </c>
      <c r="C92" s="16" t="s">
        <v>4893</v>
      </c>
      <c r="D92" s="16" t="s">
        <v>184</v>
      </c>
      <c r="E92" s="16" t="s">
        <v>234</v>
      </c>
      <c r="F92" s="16" t="s">
        <v>255</v>
      </c>
      <c r="G92" s="16" t="s">
        <v>235</v>
      </c>
      <c r="H92" s="16" t="s">
        <v>243</v>
      </c>
    </row>
    <row r="93" ht="22.5" customHeight="1">
      <c r="A93" s="32" t="str">
        <f>IMAGE("https://gymvisual.com/22337-catalog_default/wide-seated-pull-up.jpg",4,500,500)</f>
        <v/>
      </c>
      <c r="B93" s="30">
        <v>3932.0</v>
      </c>
      <c r="C93" s="16" t="s">
        <v>4894</v>
      </c>
      <c r="D93" s="16" t="s">
        <v>184</v>
      </c>
      <c r="E93" s="16" t="s">
        <v>192</v>
      </c>
      <c r="F93" s="16" t="s">
        <v>255</v>
      </c>
      <c r="G93" s="16" t="s">
        <v>220</v>
      </c>
      <c r="H93" s="16" t="s">
        <v>220</v>
      </c>
    </row>
    <row r="94" ht="22.5" customHeight="1">
      <c r="A94" s="32" t="str">
        <f>IMAGE("https://gymvisual.com/22339-catalog_default/wide-to-narrow-push-up.jpg",4,500,500)</f>
        <v/>
      </c>
      <c r="B94" s="30">
        <v>3933.0</v>
      </c>
      <c r="C94" s="16" t="s">
        <v>4895</v>
      </c>
      <c r="D94" s="16" t="s">
        <v>184</v>
      </c>
      <c r="E94" s="16" t="s">
        <v>234</v>
      </c>
      <c r="F94" s="16" t="s">
        <v>255</v>
      </c>
      <c r="G94" s="16" t="s">
        <v>220</v>
      </c>
      <c r="H94" s="16" t="s">
        <v>220</v>
      </c>
    </row>
    <row r="95" ht="22.5" customHeight="1">
      <c r="A95" s="32" t="str">
        <f>IMAGE("https://gymvisual.com/10239-catalog_default/wide-grip-chest-dip-on-high-parallel-bars.jpg",4,500,500)</f>
        <v/>
      </c>
      <c r="B95" s="30">
        <v>3934.0</v>
      </c>
      <c r="C95" s="16" t="s">
        <v>4896</v>
      </c>
      <c r="D95" s="16" t="s">
        <v>184</v>
      </c>
      <c r="E95" s="16" t="s">
        <v>234</v>
      </c>
      <c r="F95" s="16" t="s">
        <v>255</v>
      </c>
      <c r="G95" s="16" t="s">
        <v>235</v>
      </c>
      <c r="H95" s="16" t="s">
        <v>243</v>
      </c>
    </row>
    <row r="96" ht="22.5" customHeight="1">
      <c r="A96" s="32" t="str">
        <f>IMAGE("https://gymvisual.com/2564-catalog_default/wind-sprints.jpg",4,500,500)</f>
        <v/>
      </c>
      <c r="B96" s="30">
        <v>3935.0</v>
      </c>
      <c r="C96" s="16" t="s">
        <v>4897</v>
      </c>
      <c r="D96" s="16" t="s">
        <v>184</v>
      </c>
      <c r="E96" s="16" t="s">
        <v>254</v>
      </c>
      <c r="F96" s="16" t="s">
        <v>255</v>
      </c>
      <c r="G96" s="16" t="s">
        <v>305</v>
      </c>
      <c r="H96" s="16" t="s">
        <v>566</v>
      </c>
    </row>
    <row r="97" ht="22.5" customHeight="1">
      <c r="A97" s="32" t="str">
        <f>IMAGE("https://gymvisual.com/4625-catalog_default/wipers-straight-leg.jpg",4,500,500)</f>
        <v/>
      </c>
      <c r="B97" s="30">
        <v>3936.0</v>
      </c>
      <c r="C97" s="16" t="s">
        <v>4898</v>
      </c>
      <c r="D97" s="16" t="s">
        <v>184</v>
      </c>
      <c r="E97" s="16" t="s">
        <v>254</v>
      </c>
      <c r="F97" s="16" t="s">
        <v>255</v>
      </c>
      <c r="G97" s="16" t="s">
        <v>257</v>
      </c>
      <c r="H97" s="16" t="s">
        <v>220</v>
      </c>
    </row>
    <row r="98" ht="22.5" customHeight="1">
      <c r="A98" s="32" t="str">
        <f>IMAGE("https://gymvisual.com/20017-catalog_default/wrist-abduction-articulations.jpg",4,500,500)</f>
        <v/>
      </c>
      <c r="B98" s="30">
        <v>3937.0</v>
      </c>
      <c r="C98" s="16" t="s">
        <v>4899</v>
      </c>
      <c r="D98" s="16" t="s">
        <v>184</v>
      </c>
      <c r="E98" s="16" t="s">
        <v>214</v>
      </c>
      <c r="F98" s="16" t="s">
        <v>255</v>
      </c>
      <c r="G98" s="16" t="s">
        <v>220</v>
      </c>
      <c r="H98" s="16" t="s">
        <v>220</v>
      </c>
    </row>
    <row r="99" ht="22.5" customHeight="1">
      <c r="A99" s="32" t="str">
        <f>IMAGE("https://gymvisual.com/6280-catalog_default/wrist-circles.jpg",4,500,500)</f>
        <v/>
      </c>
      <c r="B99" s="30">
        <v>3938.0</v>
      </c>
      <c r="C99" s="16" t="s">
        <v>4900</v>
      </c>
      <c r="D99" s="16" t="s">
        <v>184</v>
      </c>
      <c r="E99" s="16" t="s">
        <v>214</v>
      </c>
      <c r="F99" s="16" t="s">
        <v>255</v>
      </c>
      <c r="G99" s="16" t="s">
        <v>3705</v>
      </c>
      <c r="H99" s="16" t="s">
        <v>220</v>
      </c>
    </row>
    <row r="100" ht="22.5" customHeight="1">
      <c r="A100" s="32" t="str">
        <f>IMAGE("https://gymvisual.com/18858-catalog_default/wrist-circles-female.jpg",4,500,500)</f>
        <v/>
      </c>
      <c r="B100" s="30">
        <v>3939.0</v>
      </c>
      <c r="C100" s="16" t="s">
        <v>4901</v>
      </c>
      <c r="D100" s="16" t="s">
        <v>184</v>
      </c>
      <c r="E100" s="16" t="s">
        <v>214</v>
      </c>
      <c r="F100" s="16" t="s">
        <v>255</v>
      </c>
      <c r="G100" s="16" t="s">
        <v>3705</v>
      </c>
      <c r="H100" s="16" t="s">
        <v>220</v>
      </c>
    </row>
    <row r="101" ht="22.5" customHeight="1">
      <c r="A101" s="32" t="str">
        <f>IMAGE("https://gymvisual.com/2567-catalog_default/wrist-roller.jpg",4,500,500)</f>
        <v/>
      </c>
      <c r="B101" s="30">
        <v>3940.0</v>
      </c>
      <c r="C101" s="16" t="s">
        <v>117</v>
      </c>
      <c r="D101" s="16" t="s">
        <v>184</v>
      </c>
      <c r="E101" s="16" t="s">
        <v>214</v>
      </c>
      <c r="F101" s="16" t="s">
        <v>396</v>
      </c>
      <c r="G101" s="16" t="s">
        <v>3705</v>
      </c>
      <c r="H101" s="16" t="s">
        <v>220</v>
      </c>
    </row>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row r="1001" ht="22.5" customHeight="1"/>
    <row r="1002" ht="22.5" customHeight="1"/>
    <row r="1003" ht="22.5" customHeight="1"/>
    <row r="1004" ht="22.5" customHeight="1"/>
    <row r="1005" ht="22.5" customHeight="1"/>
    <row r="1006" ht="22.5" customHeight="1"/>
    <row r="1007" ht="22.5" customHeight="1"/>
    <row r="1008" ht="22.5" customHeight="1"/>
    <row r="1009" ht="22.5" customHeight="1"/>
    <row r="1010" ht="22.5" customHeight="1"/>
    <row r="1011" ht="22.5" customHeight="1"/>
    <row r="1012" ht="22.5" customHeight="1"/>
    <row r="1013" ht="22.5" customHeight="1"/>
    <row r="1014" ht="22.5" customHeight="1"/>
    <row r="1015" ht="22.5" customHeight="1"/>
    <row r="1016" ht="22.5" customHeight="1"/>
    <row r="1017" ht="22.5" customHeight="1"/>
    <row r="1018" ht="22.5" customHeight="1"/>
    <row r="1019" ht="22.5" customHeight="1"/>
    <row r="1020" ht="22.5" customHeight="1"/>
    <row r="1021" ht="22.5" customHeight="1"/>
    <row r="1022" ht="22.5" customHeight="1"/>
    <row r="1023" ht="22.5" customHeight="1"/>
    <row r="1024" ht="22.5" customHeight="1"/>
    <row r="1025" ht="22.5" customHeight="1"/>
    <row r="1026" ht="22.5" customHeight="1"/>
    <row r="1027" ht="22.5" customHeight="1"/>
    <row r="1028" ht="22.5" customHeight="1"/>
    <row r="1029" ht="22.5" customHeight="1"/>
    <row r="1030" ht="22.5" customHeight="1"/>
    <row r="1031" ht="22.5" customHeight="1"/>
    <row r="1032" ht="22.5" customHeight="1"/>
    <row r="1033" ht="22.5" customHeight="1"/>
    <row r="1034" ht="22.5" customHeight="1"/>
    <row r="1035" ht="22.5" customHeight="1"/>
    <row r="1036" ht="22.5" customHeight="1"/>
    <row r="1037" ht="22.5" customHeight="1"/>
    <row r="1038" ht="22.5" customHeight="1"/>
    <row r="1039" ht="22.5" customHeight="1"/>
    <row r="1040" ht="22.5" customHeight="1"/>
    <row r="1041" ht="22.5" customHeight="1"/>
    <row r="1042" ht="22.5" customHeight="1"/>
    <row r="1043" ht="22.5" customHeight="1"/>
    <row r="1044" ht="22.5" customHeight="1"/>
    <row r="1045" ht="22.5" customHeight="1"/>
    <row r="1046" ht="22.5" customHeight="1"/>
    <row r="1047" ht="22.5" customHeight="1"/>
    <row r="1048" ht="22.5" customHeight="1"/>
    <row r="1049" ht="22.5" customHeight="1"/>
    <row r="1050" ht="22.5" customHeight="1"/>
    <row r="1051" ht="22.5" customHeight="1"/>
    <row r="1052" ht="22.5" customHeight="1"/>
    <row r="1053" ht="22.5" customHeight="1"/>
    <row r="1054" ht="22.5" customHeight="1"/>
    <row r="1055" ht="22.5" customHeight="1"/>
    <row r="1056" ht="22.5" customHeight="1"/>
    <row r="1057" ht="22.5" customHeight="1"/>
    <row r="1058" ht="22.5" customHeight="1"/>
    <row r="1059" ht="22.5" customHeight="1"/>
    <row r="1060" ht="22.5" customHeight="1"/>
    <row r="1061" ht="22.5" customHeight="1"/>
    <row r="1062" ht="22.5" customHeight="1"/>
    <row r="1063" ht="22.5" customHeight="1"/>
    <row r="1064" ht="22.5" customHeight="1"/>
    <row r="1065" ht="22.5" customHeight="1"/>
    <row r="1066" ht="22.5" customHeight="1"/>
    <row r="1067" ht="22.5" customHeight="1"/>
    <row r="1068" ht="22.5" customHeight="1"/>
    <row r="1069" ht="22.5" customHeight="1"/>
    <row r="1070" ht="22.5" customHeight="1"/>
    <row r="1071" ht="22.5" customHeight="1"/>
    <row r="1072" ht="22.5" customHeight="1"/>
    <row r="1073" ht="22.5" customHeight="1"/>
    <row r="1074" ht="22.5" customHeight="1"/>
    <row r="1075" ht="22.5" customHeight="1"/>
    <row r="1076" ht="22.5" customHeight="1"/>
    <row r="1077" ht="22.5" customHeight="1"/>
    <row r="1078" ht="22.5" customHeight="1"/>
    <row r="1079" ht="22.5" customHeight="1"/>
    <row r="1080" ht="22.5" customHeight="1"/>
    <row r="1081" ht="22.5" customHeight="1"/>
    <row r="1082" ht="22.5" customHeight="1"/>
    <row r="1083" ht="22.5" customHeight="1"/>
    <row r="1084" ht="22.5" customHeight="1"/>
    <row r="1085" ht="22.5" customHeight="1"/>
    <row r="1086" ht="22.5" customHeight="1"/>
    <row r="1087" ht="22.5" customHeight="1"/>
    <row r="1088" ht="22.5" customHeight="1"/>
    <row r="1089" ht="22.5" customHeight="1"/>
    <row r="1090" ht="22.5" customHeight="1"/>
    <row r="1091" ht="22.5" customHeight="1"/>
    <row r="1092" ht="22.5" customHeight="1"/>
    <row r="1093" ht="22.5" customHeight="1"/>
    <row r="1094" ht="22.5" customHeight="1"/>
    <row r="1095" ht="22.5" customHeight="1"/>
    <row r="1096" ht="22.5" customHeight="1"/>
    <row r="1097" ht="22.5" customHeight="1"/>
    <row r="1098" ht="22.5" customHeight="1"/>
    <row r="1099" ht="22.5" customHeight="1"/>
    <row r="1100" ht="22.5" customHeight="1"/>
    <row r="1101" ht="22.5" customHeight="1"/>
  </sheetData>
  <autoFilter ref="$A$1:$Z$101">
    <sortState ref="A1:Z101">
      <sortCondition ref="B1:B101"/>
    </sortState>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8.57"/>
    <col customWidth="1" min="3" max="5" width="16.43"/>
    <col customWidth="1" min="6" max="7" width="35.0"/>
  </cols>
  <sheetData>
    <row r="1" ht="16.5" customHeight="1">
      <c r="A1" s="32" t="s">
        <v>246</v>
      </c>
      <c r="B1" s="34" t="s">
        <v>247</v>
      </c>
      <c r="C1" s="34" t="s">
        <v>248</v>
      </c>
      <c r="D1" s="34" t="s">
        <v>249</v>
      </c>
      <c r="E1" s="34" t="s">
        <v>250</v>
      </c>
      <c r="F1" s="34" t="s">
        <v>251</v>
      </c>
      <c r="G1" s="34" t="s">
        <v>252</v>
      </c>
    </row>
    <row r="2" ht="16.5" customHeight="1">
      <c r="A2" s="32">
        <v>1.0</v>
      </c>
      <c r="B2" s="32" t="s">
        <v>253</v>
      </c>
      <c r="C2" s="32" t="s">
        <v>184</v>
      </c>
      <c r="D2" s="32" t="s">
        <v>254</v>
      </c>
      <c r="E2" s="32" t="s">
        <v>255</v>
      </c>
      <c r="F2" s="32" t="s">
        <v>256</v>
      </c>
      <c r="G2" s="32" t="s">
        <v>257</v>
      </c>
    </row>
    <row r="3" ht="16.5" customHeight="1">
      <c r="A3" s="32">
        <v>2.0</v>
      </c>
      <c r="B3" s="32" t="s">
        <v>258</v>
      </c>
      <c r="C3" s="32" t="s">
        <v>184</v>
      </c>
      <c r="D3" s="32" t="s">
        <v>254</v>
      </c>
      <c r="E3" s="32" t="s">
        <v>255</v>
      </c>
      <c r="F3" s="32" t="s">
        <v>256</v>
      </c>
      <c r="G3" s="32" t="s">
        <v>257</v>
      </c>
    </row>
    <row r="4" ht="16.5" customHeight="1">
      <c r="A4" s="32">
        <v>3.0</v>
      </c>
      <c r="B4" s="32" t="s">
        <v>259</v>
      </c>
      <c r="C4" s="32" t="s">
        <v>184</v>
      </c>
      <c r="D4" s="32" t="s">
        <v>254</v>
      </c>
      <c r="E4" s="32" t="s">
        <v>255</v>
      </c>
      <c r="F4" s="32" t="s">
        <v>260</v>
      </c>
      <c r="G4" s="32" t="s">
        <v>261</v>
      </c>
    </row>
    <row r="5" ht="16.5" customHeight="1">
      <c r="A5" s="32">
        <v>4.0</v>
      </c>
      <c r="B5" s="32" t="s">
        <v>262</v>
      </c>
      <c r="C5" s="32" t="s">
        <v>184</v>
      </c>
      <c r="D5" s="32" t="s">
        <v>254</v>
      </c>
      <c r="E5" s="32" t="s">
        <v>255</v>
      </c>
      <c r="F5" s="32" t="s">
        <v>263</v>
      </c>
      <c r="G5" s="32" t="s">
        <v>264</v>
      </c>
    </row>
    <row r="6" ht="16.5" customHeight="1">
      <c r="A6" s="32">
        <v>5.0</v>
      </c>
      <c r="B6" s="32" t="s">
        <v>265</v>
      </c>
      <c r="C6" s="32" t="s">
        <v>184</v>
      </c>
      <c r="D6" s="32" t="s">
        <v>185</v>
      </c>
      <c r="E6" s="32" t="s">
        <v>255</v>
      </c>
      <c r="F6" s="32" t="s">
        <v>187</v>
      </c>
      <c r="G6" s="32" t="s">
        <v>188</v>
      </c>
    </row>
    <row r="7" ht="16.5" customHeight="1">
      <c r="A7" s="32">
        <v>6.0</v>
      </c>
      <c r="B7" s="32" t="s">
        <v>266</v>
      </c>
      <c r="C7" s="32" t="s">
        <v>184</v>
      </c>
      <c r="D7" s="32" t="s">
        <v>192</v>
      </c>
      <c r="E7" s="32" t="s">
        <v>255</v>
      </c>
      <c r="F7" s="32" t="s">
        <v>267</v>
      </c>
      <c r="G7" s="32" t="s">
        <v>188</v>
      </c>
    </row>
    <row r="8" ht="16.5" customHeight="1">
      <c r="A8" s="32">
        <v>7.0</v>
      </c>
      <c r="B8" s="32" t="s">
        <v>268</v>
      </c>
      <c r="C8" s="32" t="s">
        <v>184</v>
      </c>
      <c r="D8" s="32" t="s">
        <v>185</v>
      </c>
      <c r="E8" s="32" t="s">
        <v>255</v>
      </c>
      <c r="F8" s="32" t="s">
        <v>187</v>
      </c>
      <c r="G8" s="32" t="s">
        <v>227</v>
      </c>
    </row>
    <row r="9" ht="16.5" customHeight="1">
      <c r="A9" s="32">
        <v>8.0</v>
      </c>
      <c r="B9" s="32" t="s">
        <v>269</v>
      </c>
      <c r="C9" s="32" t="s">
        <v>184</v>
      </c>
      <c r="D9" s="32" t="s">
        <v>185</v>
      </c>
      <c r="E9" s="32" t="s">
        <v>255</v>
      </c>
      <c r="F9" s="32" t="s">
        <v>227</v>
      </c>
      <c r="G9" s="32" t="s">
        <v>187</v>
      </c>
    </row>
    <row r="10" ht="16.5" customHeight="1">
      <c r="A10" s="32">
        <v>9.0</v>
      </c>
      <c r="B10" s="32" t="s">
        <v>270</v>
      </c>
      <c r="C10" s="32" t="s">
        <v>184</v>
      </c>
      <c r="D10" s="32" t="s">
        <v>254</v>
      </c>
      <c r="E10" s="32" t="s">
        <v>255</v>
      </c>
      <c r="F10" s="32" t="s">
        <v>257</v>
      </c>
      <c r="G10" s="32" t="s">
        <v>271</v>
      </c>
    </row>
    <row r="11" ht="16.5" customHeight="1">
      <c r="A11" s="32">
        <v>10.0</v>
      </c>
      <c r="B11" s="32" t="s">
        <v>272</v>
      </c>
      <c r="C11" s="32" t="s">
        <v>184</v>
      </c>
      <c r="D11" s="32" t="s">
        <v>185</v>
      </c>
      <c r="E11" s="32" t="s">
        <v>255</v>
      </c>
      <c r="F11" s="32" t="s">
        <v>273</v>
      </c>
      <c r="G11" s="32" t="s">
        <v>187</v>
      </c>
    </row>
    <row r="12" ht="16.5" customHeight="1">
      <c r="A12" s="32">
        <v>11.0</v>
      </c>
      <c r="B12" s="32" t="s">
        <v>274</v>
      </c>
      <c r="C12" s="32" t="s">
        <v>184</v>
      </c>
      <c r="D12" s="32" t="s">
        <v>185</v>
      </c>
      <c r="E12" s="32" t="s">
        <v>255</v>
      </c>
      <c r="F12" s="32" t="s">
        <v>275</v>
      </c>
    </row>
    <row r="13" ht="16.5" customHeight="1">
      <c r="A13" s="32">
        <v>12.0</v>
      </c>
      <c r="B13" s="32" t="s">
        <v>276</v>
      </c>
      <c r="C13" s="32" t="s">
        <v>184</v>
      </c>
      <c r="D13" s="32" t="s">
        <v>254</v>
      </c>
      <c r="E13" s="32" t="s">
        <v>255</v>
      </c>
      <c r="F13" s="32" t="s">
        <v>257</v>
      </c>
      <c r="G13" s="32" t="s">
        <v>271</v>
      </c>
    </row>
    <row r="14" ht="16.5" customHeight="1">
      <c r="A14" s="32">
        <v>13.0</v>
      </c>
      <c r="B14" s="32" t="s">
        <v>277</v>
      </c>
      <c r="C14" s="32" t="s">
        <v>184</v>
      </c>
      <c r="D14" s="32" t="s">
        <v>254</v>
      </c>
      <c r="E14" s="32" t="s">
        <v>255</v>
      </c>
    </row>
    <row r="15" ht="16.5" customHeight="1">
      <c r="A15" s="32">
        <v>14.0</v>
      </c>
      <c r="B15" s="32" t="s">
        <v>278</v>
      </c>
      <c r="C15" s="32" t="s">
        <v>184</v>
      </c>
      <c r="D15" s="32" t="s">
        <v>254</v>
      </c>
      <c r="E15" s="32" t="s">
        <v>255</v>
      </c>
      <c r="F15" s="32" t="s">
        <v>256</v>
      </c>
      <c r="G15" s="32" t="s">
        <v>257</v>
      </c>
    </row>
    <row r="16" ht="16.5" customHeight="1">
      <c r="A16" s="32">
        <v>15.0</v>
      </c>
      <c r="B16" s="32" t="s">
        <v>279</v>
      </c>
      <c r="C16" s="32" t="s">
        <v>184</v>
      </c>
      <c r="D16" s="32" t="s">
        <v>254</v>
      </c>
      <c r="E16" s="32" t="s">
        <v>255</v>
      </c>
      <c r="F16" s="32" t="s">
        <v>256</v>
      </c>
      <c r="G16" s="32" t="s">
        <v>257</v>
      </c>
    </row>
    <row r="17" ht="16.5" customHeight="1">
      <c r="A17" s="32">
        <v>16.0</v>
      </c>
      <c r="B17" s="32" t="s">
        <v>280</v>
      </c>
      <c r="C17" s="32" t="s">
        <v>184</v>
      </c>
      <c r="D17" s="32" t="s">
        <v>254</v>
      </c>
      <c r="E17" s="32" t="s">
        <v>255</v>
      </c>
    </row>
    <row r="18" ht="16.5" customHeight="1">
      <c r="A18" s="32">
        <v>17.0</v>
      </c>
      <c r="B18" s="32" t="s">
        <v>281</v>
      </c>
      <c r="C18" s="32" t="s">
        <v>184</v>
      </c>
      <c r="D18" s="32" t="s">
        <v>254</v>
      </c>
      <c r="E18" s="32" t="s">
        <v>255</v>
      </c>
      <c r="F18" s="32" t="s">
        <v>257</v>
      </c>
      <c r="G18" s="32" t="s">
        <v>282</v>
      </c>
    </row>
    <row r="19" ht="16.5" customHeight="1">
      <c r="A19" s="32">
        <v>18.0</v>
      </c>
      <c r="B19" s="32" t="s">
        <v>283</v>
      </c>
      <c r="C19" s="32" t="s">
        <v>184</v>
      </c>
      <c r="D19" s="32" t="s">
        <v>254</v>
      </c>
      <c r="E19" s="32" t="s">
        <v>255</v>
      </c>
      <c r="F19" s="32" t="s">
        <v>257</v>
      </c>
      <c r="G19" s="32" t="s">
        <v>282</v>
      </c>
    </row>
    <row r="20" ht="16.5" customHeight="1">
      <c r="A20" s="32">
        <v>19.0</v>
      </c>
      <c r="B20" s="32" t="s">
        <v>284</v>
      </c>
      <c r="C20" s="32" t="s">
        <v>184</v>
      </c>
      <c r="D20" s="32" t="s">
        <v>285</v>
      </c>
      <c r="E20" s="32" t="s">
        <v>255</v>
      </c>
    </row>
    <row r="21" ht="16.5" customHeight="1">
      <c r="A21" s="32">
        <v>20.0</v>
      </c>
      <c r="B21" s="32" t="s">
        <v>286</v>
      </c>
      <c r="C21" s="32" t="s">
        <v>184</v>
      </c>
      <c r="D21" s="32" t="s">
        <v>285</v>
      </c>
      <c r="E21" s="32" t="s">
        <v>255</v>
      </c>
    </row>
    <row r="22" ht="16.5" customHeight="1">
      <c r="A22" s="32">
        <v>21.0</v>
      </c>
      <c r="B22" s="32" t="s">
        <v>287</v>
      </c>
      <c r="C22" s="32" t="s">
        <v>184</v>
      </c>
      <c r="D22" s="32" t="s">
        <v>254</v>
      </c>
      <c r="E22" s="32" t="s">
        <v>255</v>
      </c>
      <c r="F22" s="32" t="s">
        <v>257</v>
      </c>
      <c r="G22" s="32" t="s">
        <v>282</v>
      </c>
    </row>
    <row r="23" ht="16.5" customHeight="1">
      <c r="A23" s="32">
        <v>22.0</v>
      </c>
      <c r="B23" s="32" t="s">
        <v>288</v>
      </c>
      <c r="C23" s="32" t="s">
        <v>184</v>
      </c>
      <c r="D23" s="32" t="s">
        <v>254</v>
      </c>
      <c r="E23" s="32" t="s">
        <v>255</v>
      </c>
      <c r="F23" s="32" t="s">
        <v>263</v>
      </c>
      <c r="G23" s="32" t="s">
        <v>289</v>
      </c>
    </row>
    <row r="24" ht="16.5" customHeight="1">
      <c r="A24" s="32">
        <v>23.0</v>
      </c>
      <c r="B24" s="32" t="s">
        <v>290</v>
      </c>
      <c r="C24" s="32" t="s">
        <v>184</v>
      </c>
      <c r="D24" s="32" t="s">
        <v>219</v>
      </c>
      <c r="E24" s="32" t="s">
        <v>291</v>
      </c>
      <c r="F24" s="32" t="s">
        <v>241</v>
      </c>
      <c r="G24" s="32" t="s">
        <v>292</v>
      </c>
    </row>
    <row r="25" ht="16.5" customHeight="1">
      <c r="A25" s="32">
        <v>24.0</v>
      </c>
      <c r="B25" s="32" t="s">
        <v>293</v>
      </c>
      <c r="C25" s="32" t="s">
        <v>184</v>
      </c>
      <c r="D25" s="35" t="s">
        <v>294</v>
      </c>
      <c r="E25" s="32" t="s">
        <v>255</v>
      </c>
      <c r="F25" s="32" t="s">
        <v>295</v>
      </c>
      <c r="G25" s="32" t="s">
        <v>296</v>
      </c>
    </row>
    <row r="26" ht="16.5" customHeight="1">
      <c r="A26" s="32">
        <v>25.0</v>
      </c>
      <c r="B26" s="32" t="s">
        <v>297</v>
      </c>
      <c r="C26" s="32" t="s">
        <v>184</v>
      </c>
      <c r="D26" s="32" t="s">
        <v>254</v>
      </c>
      <c r="E26" s="32" t="s">
        <v>255</v>
      </c>
      <c r="F26" s="32" t="s">
        <v>257</v>
      </c>
    </row>
    <row r="27" ht="16.5" customHeight="1">
      <c r="A27" s="32">
        <v>26.0</v>
      </c>
      <c r="B27" s="32" t="s">
        <v>298</v>
      </c>
      <c r="C27" s="32" t="s">
        <v>184</v>
      </c>
      <c r="D27" s="32" t="s">
        <v>254</v>
      </c>
      <c r="E27" s="32" t="s">
        <v>255</v>
      </c>
      <c r="F27" s="32" t="s">
        <v>257</v>
      </c>
    </row>
    <row r="28" ht="16.5" customHeight="1">
      <c r="A28" s="32">
        <v>27.0</v>
      </c>
      <c r="B28" s="32" t="s">
        <v>299</v>
      </c>
      <c r="C28" s="32" t="s">
        <v>184</v>
      </c>
      <c r="D28" s="32" t="s">
        <v>192</v>
      </c>
      <c r="E28" s="32" t="s">
        <v>215</v>
      </c>
      <c r="F28" s="32" t="s">
        <v>300</v>
      </c>
      <c r="G28" s="32" t="s">
        <v>301</v>
      </c>
    </row>
    <row r="29" ht="16.5" customHeight="1">
      <c r="A29" s="32">
        <v>28.0</v>
      </c>
      <c r="B29" s="32" t="s">
        <v>302</v>
      </c>
      <c r="C29" s="32" t="s">
        <v>184</v>
      </c>
      <c r="D29" s="32" t="s">
        <v>185</v>
      </c>
      <c r="E29" s="32" t="s">
        <v>255</v>
      </c>
      <c r="F29" s="32" t="s">
        <v>271</v>
      </c>
      <c r="G29" s="32" t="s">
        <v>303</v>
      </c>
    </row>
    <row r="30" ht="16.5" customHeight="1">
      <c r="A30" s="32">
        <v>29.0</v>
      </c>
      <c r="B30" s="32" t="s">
        <v>304</v>
      </c>
      <c r="C30" s="32" t="s">
        <v>184</v>
      </c>
      <c r="D30" s="32" t="s">
        <v>185</v>
      </c>
      <c r="E30" s="32" t="s">
        <v>255</v>
      </c>
      <c r="F30" s="32" t="s">
        <v>305</v>
      </c>
      <c r="G30" s="32" t="s">
        <v>289</v>
      </c>
    </row>
    <row r="31" ht="16.5" customHeight="1">
      <c r="A31" s="32">
        <v>30.0</v>
      </c>
      <c r="B31" s="32" t="s">
        <v>306</v>
      </c>
      <c r="C31" s="32" t="s">
        <v>184</v>
      </c>
      <c r="D31" s="32" t="s">
        <v>254</v>
      </c>
      <c r="E31" s="32" t="s">
        <v>255</v>
      </c>
      <c r="F31" s="32" t="s">
        <v>305</v>
      </c>
      <c r="G31" s="32" t="s">
        <v>289</v>
      </c>
    </row>
    <row r="32" ht="16.5" customHeight="1">
      <c r="A32" s="32">
        <v>31.0</v>
      </c>
      <c r="B32" s="32" t="s">
        <v>307</v>
      </c>
      <c r="C32" s="32" t="s">
        <v>184</v>
      </c>
      <c r="D32" s="32" t="s">
        <v>254</v>
      </c>
      <c r="E32" s="32" t="s">
        <v>255</v>
      </c>
      <c r="F32" s="32" t="s">
        <v>256</v>
      </c>
      <c r="G32" s="32" t="s">
        <v>308</v>
      </c>
    </row>
    <row r="33" ht="16.5" customHeight="1">
      <c r="A33" s="32">
        <v>32.0</v>
      </c>
      <c r="B33" s="32" t="s">
        <v>309</v>
      </c>
      <c r="C33" s="32" t="s">
        <v>184</v>
      </c>
      <c r="D33" s="35" t="s">
        <v>310</v>
      </c>
      <c r="E33" s="32" t="s">
        <v>255</v>
      </c>
      <c r="F33" s="32" t="s">
        <v>305</v>
      </c>
      <c r="G33" s="32" t="s">
        <v>311</v>
      </c>
    </row>
    <row r="34" ht="16.5" customHeight="1">
      <c r="A34" s="32">
        <v>33.0</v>
      </c>
      <c r="B34" s="32" t="s">
        <v>312</v>
      </c>
      <c r="C34" s="32" t="s">
        <v>184</v>
      </c>
      <c r="D34" s="32" t="s">
        <v>254</v>
      </c>
      <c r="E34" s="32" t="s">
        <v>255</v>
      </c>
      <c r="F34" s="32" t="s">
        <v>257</v>
      </c>
      <c r="G34" s="32" t="s">
        <v>256</v>
      </c>
    </row>
    <row r="35" ht="16.5" customHeight="1">
      <c r="A35" s="32">
        <v>34.0</v>
      </c>
      <c r="B35" s="32" t="s">
        <v>313</v>
      </c>
      <c r="C35" s="32" t="s">
        <v>184</v>
      </c>
      <c r="D35" s="35" t="s">
        <v>294</v>
      </c>
      <c r="E35" s="32" t="s">
        <v>255</v>
      </c>
      <c r="F35" s="32" t="s">
        <v>189</v>
      </c>
      <c r="G35" s="32" t="s">
        <v>314</v>
      </c>
    </row>
    <row r="36" ht="16.5" customHeight="1">
      <c r="A36" s="32">
        <v>35.0</v>
      </c>
      <c r="B36" s="32" t="s">
        <v>315</v>
      </c>
      <c r="C36" s="32" t="s">
        <v>184</v>
      </c>
      <c r="D36" s="32" t="s">
        <v>254</v>
      </c>
      <c r="E36" s="32" t="s">
        <v>316</v>
      </c>
      <c r="F36" s="32" t="s">
        <v>305</v>
      </c>
      <c r="G36" s="32" t="s">
        <v>317</v>
      </c>
    </row>
    <row r="37" ht="16.5" customHeight="1">
      <c r="A37" s="32">
        <v>36.0</v>
      </c>
      <c r="B37" s="32" t="s">
        <v>318</v>
      </c>
      <c r="C37" s="32" t="s">
        <v>184</v>
      </c>
      <c r="D37" s="32" t="s">
        <v>185</v>
      </c>
      <c r="E37" s="32" t="s">
        <v>255</v>
      </c>
      <c r="F37" s="32" t="s">
        <v>305</v>
      </c>
      <c r="G37" s="32" t="s">
        <v>319</v>
      </c>
    </row>
    <row r="38" ht="16.5" customHeight="1">
      <c r="A38" s="32">
        <v>37.0</v>
      </c>
      <c r="B38" s="32" t="s">
        <v>320</v>
      </c>
      <c r="C38" s="32" t="s">
        <v>184</v>
      </c>
      <c r="D38" s="32" t="s">
        <v>321</v>
      </c>
      <c r="E38" s="32" t="s">
        <v>255</v>
      </c>
    </row>
    <row r="39" ht="16.5" customHeight="1">
      <c r="A39" s="32">
        <v>38.0</v>
      </c>
      <c r="B39" s="32" t="s">
        <v>322</v>
      </c>
      <c r="C39" s="32" t="s">
        <v>184</v>
      </c>
      <c r="D39" s="32" t="s">
        <v>321</v>
      </c>
      <c r="E39" s="32" t="s">
        <v>255</v>
      </c>
    </row>
    <row r="40" ht="16.5" customHeight="1">
      <c r="A40" s="32">
        <v>39.0</v>
      </c>
      <c r="B40" s="32" t="s">
        <v>323</v>
      </c>
      <c r="C40" s="32" t="s">
        <v>184</v>
      </c>
      <c r="D40" s="32" t="s">
        <v>185</v>
      </c>
      <c r="E40" s="32" t="s">
        <v>255</v>
      </c>
    </row>
    <row r="41" ht="16.5" customHeight="1">
      <c r="A41" s="32">
        <v>40.0</v>
      </c>
      <c r="B41" s="32" t="s">
        <v>323</v>
      </c>
      <c r="C41" s="32" t="s">
        <v>184</v>
      </c>
      <c r="D41" s="32" t="s">
        <v>185</v>
      </c>
      <c r="E41" s="32" t="s">
        <v>255</v>
      </c>
      <c r="F41" s="32" t="s">
        <v>267</v>
      </c>
      <c r="G41" s="32" t="s">
        <v>188</v>
      </c>
    </row>
    <row r="42" ht="16.5" customHeight="1">
      <c r="A42" s="32">
        <v>41.0</v>
      </c>
      <c r="B42" s="32" t="s">
        <v>324</v>
      </c>
      <c r="C42" s="32" t="s">
        <v>184</v>
      </c>
      <c r="D42" s="32" t="s">
        <v>325</v>
      </c>
      <c r="E42" s="32" t="s">
        <v>255</v>
      </c>
      <c r="F42" s="32" t="s">
        <v>326</v>
      </c>
    </row>
    <row r="43" ht="16.5" customHeight="1">
      <c r="A43" s="32">
        <v>42.0</v>
      </c>
      <c r="B43" s="32" t="s">
        <v>327</v>
      </c>
      <c r="C43" s="32" t="s">
        <v>184</v>
      </c>
      <c r="D43" s="32" t="s">
        <v>325</v>
      </c>
      <c r="E43" s="32" t="s">
        <v>255</v>
      </c>
      <c r="F43" s="32" t="s">
        <v>326</v>
      </c>
    </row>
    <row r="44" ht="16.5" customHeight="1">
      <c r="A44" s="32">
        <v>43.0</v>
      </c>
      <c r="B44" s="32" t="s">
        <v>328</v>
      </c>
      <c r="C44" s="32" t="s">
        <v>184</v>
      </c>
      <c r="D44" s="32" t="s">
        <v>192</v>
      </c>
      <c r="E44" s="32" t="s">
        <v>255</v>
      </c>
      <c r="F44" s="32" t="s">
        <v>329</v>
      </c>
      <c r="G44" s="32" t="s">
        <v>330</v>
      </c>
    </row>
    <row r="45" ht="16.5" customHeight="1">
      <c r="A45" s="32">
        <v>44.0</v>
      </c>
      <c r="B45" s="32" t="s">
        <v>331</v>
      </c>
      <c r="C45" s="32" t="s">
        <v>184</v>
      </c>
      <c r="D45" s="32" t="s">
        <v>234</v>
      </c>
      <c r="E45" s="32" t="s">
        <v>255</v>
      </c>
      <c r="F45" s="32" t="s">
        <v>235</v>
      </c>
      <c r="G45" s="32" t="s">
        <v>243</v>
      </c>
    </row>
    <row r="46" ht="16.5" customHeight="1">
      <c r="A46" s="32">
        <v>45.0</v>
      </c>
      <c r="B46" s="32" t="s">
        <v>332</v>
      </c>
      <c r="C46" s="32" t="s">
        <v>184</v>
      </c>
      <c r="D46" s="32" t="s">
        <v>228</v>
      </c>
      <c r="E46" s="32" t="s">
        <v>255</v>
      </c>
      <c r="F46" s="32" t="s">
        <v>333</v>
      </c>
      <c r="G46" s="32" t="s">
        <v>334</v>
      </c>
    </row>
    <row r="47" ht="16.5" customHeight="1">
      <c r="A47" s="32">
        <v>46.0</v>
      </c>
      <c r="B47" s="32" t="s">
        <v>335</v>
      </c>
      <c r="C47" s="32" t="s">
        <v>184</v>
      </c>
      <c r="D47" s="32" t="s">
        <v>234</v>
      </c>
      <c r="E47" s="32" t="s">
        <v>255</v>
      </c>
      <c r="F47" s="32" t="s">
        <v>235</v>
      </c>
      <c r="G47" s="32" t="s">
        <v>336</v>
      </c>
    </row>
    <row r="48" ht="16.5" customHeight="1">
      <c r="A48" s="32">
        <v>47.0</v>
      </c>
      <c r="B48" s="32" t="s">
        <v>337</v>
      </c>
      <c r="C48" s="32" t="s">
        <v>184</v>
      </c>
      <c r="D48" s="32" t="s">
        <v>234</v>
      </c>
      <c r="E48" s="32" t="s">
        <v>255</v>
      </c>
      <c r="F48" s="32" t="s">
        <v>235</v>
      </c>
      <c r="G48" s="32" t="s">
        <v>336</v>
      </c>
    </row>
    <row r="49" ht="16.5" customHeight="1">
      <c r="A49" s="32">
        <v>48.0</v>
      </c>
      <c r="B49" s="32" t="s">
        <v>338</v>
      </c>
      <c r="C49" s="32" t="s">
        <v>184</v>
      </c>
      <c r="D49" s="32" t="s">
        <v>254</v>
      </c>
      <c r="E49" s="32" t="s">
        <v>255</v>
      </c>
      <c r="F49" s="32" t="s">
        <v>256</v>
      </c>
      <c r="G49" s="32" t="s">
        <v>339</v>
      </c>
    </row>
    <row r="50" ht="16.5" customHeight="1">
      <c r="A50" s="32">
        <v>49.0</v>
      </c>
      <c r="B50" s="32" t="s">
        <v>340</v>
      </c>
      <c r="C50" s="32" t="s">
        <v>184</v>
      </c>
      <c r="D50" s="32" t="s">
        <v>254</v>
      </c>
      <c r="E50" s="32" t="s">
        <v>255</v>
      </c>
      <c r="F50" s="32" t="s">
        <v>305</v>
      </c>
      <c r="G50" s="32" t="s">
        <v>341</v>
      </c>
    </row>
    <row r="51" ht="16.5" customHeight="1">
      <c r="A51" s="32">
        <v>50.0</v>
      </c>
      <c r="B51" s="32" t="s">
        <v>342</v>
      </c>
      <c r="C51" s="32" t="s">
        <v>184</v>
      </c>
      <c r="D51" s="32" t="s">
        <v>185</v>
      </c>
      <c r="E51" s="32" t="s">
        <v>255</v>
      </c>
    </row>
    <row r="52" ht="16.5" customHeight="1">
      <c r="A52" s="32">
        <v>51.0</v>
      </c>
      <c r="B52" s="32" t="s">
        <v>343</v>
      </c>
      <c r="C52" s="32" t="s">
        <v>184</v>
      </c>
      <c r="D52" s="32" t="s">
        <v>185</v>
      </c>
      <c r="E52" s="32" t="s">
        <v>255</v>
      </c>
      <c r="F52" s="32" t="s">
        <v>267</v>
      </c>
    </row>
    <row r="53" ht="16.5" customHeight="1">
      <c r="A53" s="32">
        <v>52.0</v>
      </c>
      <c r="B53" s="32" t="s">
        <v>344</v>
      </c>
      <c r="C53" s="32" t="s">
        <v>184</v>
      </c>
      <c r="D53" s="32" t="s">
        <v>285</v>
      </c>
      <c r="E53" s="32" t="s">
        <v>255</v>
      </c>
    </row>
    <row r="54" ht="16.5" customHeight="1">
      <c r="A54" s="32">
        <v>53.0</v>
      </c>
      <c r="B54" s="32" t="s">
        <v>345</v>
      </c>
      <c r="C54" s="32" t="s">
        <v>184</v>
      </c>
      <c r="D54" s="32" t="s">
        <v>234</v>
      </c>
      <c r="E54" s="32" t="s">
        <v>346</v>
      </c>
      <c r="F54" s="32" t="s">
        <v>347</v>
      </c>
      <c r="G54" s="32" t="s">
        <v>348</v>
      </c>
    </row>
    <row r="55" ht="16.5" customHeight="1">
      <c r="A55" s="32">
        <v>54.0</v>
      </c>
      <c r="B55" s="32" t="s">
        <v>349</v>
      </c>
      <c r="C55" s="32" t="s">
        <v>184</v>
      </c>
      <c r="D55" s="32" t="s">
        <v>234</v>
      </c>
      <c r="E55" s="32" t="s">
        <v>346</v>
      </c>
    </row>
    <row r="56" ht="16.5" customHeight="1">
      <c r="A56" s="32">
        <v>55.0</v>
      </c>
      <c r="B56" s="32" t="s">
        <v>350</v>
      </c>
      <c r="C56" s="32" t="s">
        <v>184</v>
      </c>
      <c r="D56" s="32" t="s">
        <v>351</v>
      </c>
      <c r="E56" s="32" t="s">
        <v>352</v>
      </c>
    </row>
    <row r="57" ht="16.5" customHeight="1">
      <c r="A57" s="32">
        <v>56.0</v>
      </c>
      <c r="B57" s="32" t="s">
        <v>353</v>
      </c>
      <c r="C57" s="32" t="s">
        <v>184</v>
      </c>
      <c r="D57" s="32" t="s">
        <v>351</v>
      </c>
      <c r="E57" s="32" t="s">
        <v>255</v>
      </c>
    </row>
    <row r="58" ht="16.5" customHeight="1">
      <c r="A58" s="32">
        <v>57.0</v>
      </c>
      <c r="B58" s="32" t="s">
        <v>354</v>
      </c>
      <c r="C58" s="32" t="s">
        <v>184</v>
      </c>
      <c r="D58" s="32" t="s">
        <v>192</v>
      </c>
      <c r="E58" s="32" t="s">
        <v>255</v>
      </c>
    </row>
    <row r="59" ht="16.5" customHeight="1">
      <c r="A59" s="32">
        <v>58.0</v>
      </c>
      <c r="B59" s="32" t="s">
        <v>355</v>
      </c>
      <c r="C59" s="32" t="s">
        <v>184</v>
      </c>
      <c r="D59" s="32" t="s">
        <v>192</v>
      </c>
      <c r="E59" s="32" t="s">
        <v>255</v>
      </c>
    </row>
    <row r="60" ht="16.5" customHeight="1">
      <c r="A60" s="32">
        <v>59.0</v>
      </c>
      <c r="B60" s="32" t="s">
        <v>356</v>
      </c>
      <c r="C60" s="32" t="s">
        <v>184</v>
      </c>
      <c r="D60" s="32" t="s">
        <v>192</v>
      </c>
      <c r="E60" s="32" t="s">
        <v>346</v>
      </c>
      <c r="F60" s="32" t="s">
        <v>329</v>
      </c>
      <c r="G60" s="32" t="s">
        <v>357</v>
      </c>
    </row>
    <row r="61" ht="16.5" customHeight="1">
      <c r="A61" s="32">
        <v>60.0</v>
      </c>
      <c r="B61" s="32" t="s">
        <v>358</v>
      </c>
      <c r="C61" s="32" t="s">
        <v>184</v>
      </c>
      <c r="D61" s="32" t="s">
        <v>192</v>
      </c>
      <c r="E61" s="32" t="s">
        <v>346</v>
      </c>
      <c r="F61" s="32" t="s">
        <v>300</v>
      </c>
      <c r="G61" s="32" t="s">
        <v>359</v>
      </c>
    </row>
    <row r="62" ht="16.5" customHeight="1">
      <c r="A62" s="32">
        <v>61.0</v>
      </c>
      <c r="B62" s="32" t="s">
        <v>360</v>
      </c>
      <c r="C62" s="32" t="s">
        <v>184</v>
      </c>
      <c r="D62" s="35" t="s">
        <v>361</v>
      </c>
      <c r="E62" s="32" t="s">
        <v>255</v>
      </c>
      <c r="F62" s="32" t="s">
        <v>362</v>
      </c>
      <c r="G62" s="32" t="s">
        <v>357</v>
      </c>
    </row>
    <row r="63" ht="16.5" customHeight="1">
      <c r="A63" s="32">
        <v>62.0</v>
      </c>
      <c r="B63" s="32" t="s">
        <v>363</v>
      </c>
      <c r="C63" s="32" t="s">
        <v>184</v>
      </c>
      <c r="D63" s="32" t="s">
        <v>254</v>
      </c>
      <c r="E63" s="32" t="s">
        <v>352</v>
      </c>
      <c r="F63" s="32" t="s">
        <v>256</v>
      </c>
      <c r="G63" s="32" t="s">
        <v>364</v>
      </c>
    </row>
    <row r="64" ht="16.5" customHeight="1">
      <c r="A64" s="32">
        <v>63.0</v>
      </c>
      <c r="B64" s="32" t="s">
        <v>365</v>
      </c>
      <c r="C64" s="32" t="s">
        <v>184</v>
      </c>
      <c r="D64" s="32" t="s">
        <v>254</v>
      </c>
      <c r="E64" s="32" t="s">
        <v>352</v>
      </c>
      <c r="F64" s="32" t="s">
        <v>305</v>
      </c>
      <c r="G64" s="32" t="s">
        <v>366</v>
      </c>
    </row>
    <row r="65" ht="16.5" customHeight="1">
      <c r="A65" s="32">
        <v>64.0</v>
      </c>
      <c r="B65" s="32" t="s">
        <v>367</v>
      </c>
      <c r="C65" s="32" t="s">
        <v>184</v>
      </c>
      <c r="D65" s="32" t="s">
        <v>285</v>
      </c>
      <c r="E65" s="32" t="s">
        <v>352</v>
      </c>
      <c r="F65" s="32" t="s">
        <v>188</v>
      </c>
      <c r="G65" s="32" t="s">
        <v>368</v>
      </c>
    </row>
    <row r="66" ht="16.5" customHeight="1">
      <c r="A66" s="32">
        <v>65.0</v>
      </c>
      <c r="B66" s="32" t="s">
        <v>369</v>
      </c>
      <c r="C66" s="32" t="s">
        <v>184</v>
      </c>
      <c r="D66" s="32" t="s">
        <v>254</v>
      </c>
      <c r="E66" s="32" t="s">
        <v>352</v>
      </c>
      <c r="F66" s="32" t="s">
        <v>260</v>
      </c>
      <c r="G66" s="32" t="s">
        <v>366</v>
      </c>
    </row>
    <row r="67" ht="16.5" customHeight="1">
      <c r="A67" s="32">
        <v>66.0</v>
      </c>
      <c r="B67" s="32" t="s">
        <v>370</v>
      </c>
      <c r="C67" s="32" t="s">
        <v>184</v>
      </c>
      <c r="D67" s="32" t="s">
        <v>254</v>
      </c>
      <c r="E67" s="32" t="s">
        <v>352</v>
      </c>
      <c r="F67" s="32" t="s">
        <v>256</v>
      </c>
      <c r="G67" s="32" t="s">
        <v>371</v>
      </c>
    </row>
    <row r="68" ht="16.5" customHeight="1">
      <c r="A68" s="32">
        <v>67.0</v>
      </c>
      <c r="B68" s="32" t="s">
        <v>372</v>
      </c>
      <c r="C68" s="32" t="s">
        <v>184</v>
      </c>
      <c r="D68" s="32" t="s">
        <v>254</v>
      </c>
      <c r="E68" s="32" t="s">
        <v>373</v>
      </c>
      <c r="F68" s="32" t="s">
        <v>257</v>
      </c>
      <c r="G68" s="32" t="s">
        <v>256</v>
      </c>
    </row>
    <row r="69" ht="16.5" customHeight="1">
      <c r="A69" s="32">
        <v>68.0</v>
      </c>
      <c r="B69" s="32" t="s">
        <v>374</v>
      </c>
      <c r="C69" s="32" t="s">
        <v>184</v>
      </c>
      <c r="D69" s="32" t="s">
        <v>192</v>
      </c>
      <c r="E69" s="32" t="s">
        <v>346</v>
      </c>
      <c r="F69" s="32" t="s">
        <v>300</v>
      </c>
      <c r="G69" s="32" t="s">
        <v>375</v>
      </c>
    </row>
    <row r="70" ht="16.5" customHeight="1">
      <c r="A70" s="32">
        <v>69.0</v>
      </c>
      <c r="B70" s="32" t="s">
        <v>376</v>
      </c>
      <c r="C70" s="32" t="s">
        <v>184</v>
      </c>
      <c r="D70" s="32" t="s">
        <v>285</v>
      </c>
      <c r="E70" s="32" t="s">
        <v>255</v>
      </c>
      <c r="F70" s="32" t="s">
        <v>189</v>
      </c>
      <c r="G70" s="32" t="s">
        <v>190</v>
      </c>
    </row>
    <row r="71" ht="16.5" customHeight="1">
      <c r="A71" s="32">
        <v>70.0</v>
      </c>
      <c r="B71" s="32" t="s">
        <v>377</v>
      </c>
      <c r="C71" s="32" t="s">
        <v>184</v>
      </c>
      <c r="D71" s="32" t="s">
        <v>285</v>
      </c>
      <c r="E71" s="32" t="s">
        <v>352</v>
      </c>
      <c r="F71" s="32" t="s">
        <v>188</v>
      </c>
    </row>
    <row r="72" ht="16.5" customHeight="1">
      <c r="A72" s="32">
        <v>71.0</v>
      </c>
      <c r="B72" s="32" t="s">
        <v>378</v>
      </c>
      <c r="C72" s="32" t="s">
        <v>184</v>
      </c>
      <c r="D72" s="32" t="s">
        <v>192</v>
      </c>
      <c r="E72" s="32" t="s">
        <v>346</v>
      </c>
    </row>
    <row r="73" ht="16.5" customHeight="1">
      <c r="A73" s="32">
        <v>72.0</v>
      </c>
      <c r="B73" s="32" t="s">
        <v>379</v>
      </c>
      <c r="C73" s="32" t="s">
        <v>184</v>
      </c>
      <c r="D73" s="32" t="s">
        <v>192</v>
      </c>
      <c r="E73" s="32" t="s">
        <v>346</v>
      </c>
      <c r="F73" s="32" t="s">
        <v>300</v>
      </c>
      <c r="G73" s="32" t="s">
        <v>380</v>
      </c>
    </row>
    <row r="74" ht="16.5" customHeight="1">
      <c r="A74" s="32">
        <v>73.0</v>
      </c>
      <c r="B74" s="32" t="s">
        <v>381</v>
      </c>
      <c r="C74" s="32" t="s">
        <v>184</v>
      </c>
      <c r="D74" s="32" t="s">
        <v>285</v>
      </c>
      <c r="E74" s="32" t="s">
        <v>346</v>
      </c>
      <c r="F74" s="32" t="s">
        <v>347</v>
      </c>
      <c r="G74" s="32" t="s">
        <v>382</v>
      </c>
    </row>
    <row r="75" ht="16.5" customHeight="1">
      <c r="A75" s="32">
        <v>74.0</v>
      </c>
      <c r="B75" s="32" t="s">
        <v>383</v>
      </c>
      <c r="C75" s="32" t="s">
        <v>184</v>
      </c>
      <c r="D75" s="32" t="s">
        <v>254</v>
      </c>
      <c r="E75" s="32" t="s">
        <v>352</v>
      </c>
      <c r="F75" s="32" t="s">
        <v>256</v>
      </c>
      <c r="G75" s="32" t="s">
        <v>257</v>
      </c>
    </row>
    <row r="76" ht="16.5" customHeight="1">
      <c r="A76" s="32">
        <v>75.0</v>
      </c>
      <c r="B76" s="32" t="s">
        <v>384</v>
      </c>
      <c r="C76" s="32" t="s">
        <v>184</v>
      </c>
      <c r="D76" s="32" t="s">
        <v>192</v>
      </c>
      <c r="E76" s="32" t="s">
        <v>346</v>
      </c>
      <c r="F76" s="32" t="s">
        <v>300</v>
      </c>
      <c r="G76" s="32" t="s">
        <v>385</v>
      </c>
    </row>
    <row r="77" ht="16.5" customHeight="1">
      <c r="A77" s="32">
        <v>76.0</v>
      </c>
      <c r="B77" s="32" t="s">
        <v>386</v>
      </c>
      <c r="C77" s="32" t="s">
        <v>184</v>
      </c>
      <c r="D77" s="32" t="s">
        <v>192</v>
      </c>
      <c r="E77" s="32" t="s">
        <v>346</v>
      </c>
      <c r="F77" s="32" t="s">
        <v>300</v>
      </c>
      <c r="G77" s="32" t="s">
        <v>387</v>
      </c>
    </row>
    <row r="78" ht="16.5" customHeight="1">
      <c r="A78" s="32">
        <v>77.0</v>
      </c>
      <c r="B78" s="32" t="s">
        <v>388</v>
      </c>
      <c r="C78" s="32" t="s">
        <v>184</v>
      </c>
      <c r="D78" s="32" t="s">
        <v>219</v>
      </c>
      <c r="E78" s="32" t="s">
        <v>346</v>
      </c>
      <c r="F78" s="32" t="s">
        <v>347</v>
      </c>
      <c r="G78" s="32" t="s">
        <v>389</v>
      </c>
    </row>
    <row r="79" ht="16.5" customHeight="1">
      <c r="A79" s="32">
        <v>78.0</v>
      </c>
      <c r="B79" s="32" t="s">
        <v>390</v>
      </c>
      <c r="C79" s="32" t="s">
        <v>184</v>
      </c>
      <c r="D79" s="32" t="s">
        <v>219</v>
      </c>
      <c r="E79" s="32" t="s">
        <v>352</v>
      </c>
      <c r="F79" s="32" t="s">
        <v>223</v>
      </c>
    </row>
    <row r="80" ht="16.5" customHeight="1">
      <c r="A80" s="32">
        <v>79.0</v>
      </c>
      <c r="B80" s="32" t="s">
        <v>391</v>
      </c>
      <c r="C80" s="32" t="s">
        <v>184</v>
      </c>
      <c r="D80" s="32" t="s">
        <v>219</v>
      </c>
      <c r="E80" s="32" t="s">
        <v>346</v>
      </c>
      <c r="F80" s="32" t="s">
        <v>223</v>
      </c>
      <c r="G80" s="32" t="s">
        <v>392</v>
      </c>
    </row>
    <row r="81" ht="16.5" customHeight="1">
      <c r="A81" s="32">
        <v>80.0</v>
      </c>
      <c r="B81" s="32" t="s">
        <v>393</v>
      </c>
      <c r="C81" s="32" t="s">
        <v>184</v>
      </c>
      <c r="D81" s="32" t="s">
        <v>219</v>
      </c>
      <c r="E81" s="32" t="s">
        <v>346</v>
      </c>
      <c r="F81" s="32" t="s">
        <v>223</v>
      </c>
      <c r="G81" s="32" t="s">
        <v>394</v>
      </c>
    </row>
    <row r="82" ht="16.5" customHeight="1">
      <c r="A82" s="32">
        <v>81.0</v>
      </c>
      <c r="B82" s="32" t="s">
        <v>395</v>
      </c>
      <c r="C82" s="32" t="s">
        <v>184</v>
      </c>
      <c r="D82" s="32" t="s">
        <v>234</v>
      </c>
      <c r="E82" s="32" t="s">
        <v>396</v>
      </c>
      <c r="F82" s="32" t="s">
        <v>347</v>
      </c>
      <c r="G82" s="32" t="s">
        <v>382</v>
      </c>
    </row>
    <row r="83" ht="16.5" customHeight="1">
      <c r="A83" s="32">
        <v>82.0</v>
      </c>
      <c r="B83" s="32" t="s">
        <v>397</v>
      </c>
      <c r="C83" s="32" t="s">
        <v>184</v>
      </c>
      <c r="D83" s="32" t="s">
        <v>234</v>
      </c>
      <c r="E83" s="32" t="s">
        <v>346</v>
      </c>
      <c r="F83" s="32" t="s">
        <v>235</v>
      </c>
      <c r="G83" s="32" t="s">
        <v>243</v>
      </c>
    </row>
    <row r="84" ht="16.5" customHeight="1">
      <c r="A84" s="32">
        <v>83.0</v>
      </c>
      <c r="B84" s="32" t="s">
        <v>398</v>
      </c>
      <c r="C84" s="32" t="s">
        <v>184</v>
      </c>
      <c r="D84" s="32" t="s">
        <v>192</v>
      </c>
      <c r="E84" s="32" t="s">
        <v>399</v>
      </c>
      <c r="F84" s="32" t="s">
        <v>275</v>
      </c>
    </row>
    <row r="85" ht="16.5" customHeight="1">
      <c r="A85" s="32">
        <v>84.0</v>
      </c>
      <c r="B85" s="32" t="s">
        <v>400</v>
      </c>
      <c r="C85" s="32" t="s">
        <v>184</v>
      </c>
      <c r="D85" s="32" t="s">
        <v>185</v>
      </c>
      <c r="E85" s="32" t="s">
        <v>255</v>
      </c>
      <c r="F85" s="32" t="s">
        <v>401</v>
      </c>
      <c r="G85" s="32" t="s">
        <v>188</v>
      </c>
    </row>
    <row r="86" ht="16.5" customHeight="1">
      <c r="A86" s="32">
        <v>85.0</v>
      </c>
      <c r="B86" s="32" t="s">
        <v>402</v>
      </c>
      <c r="C86" s="32" t="s">
        <v>184</v>
      </c>
      <c r="D86" s="32" t="s">
        <v>185</v>
      </c>
      <c r="E86" s="32" t="s">
        <v>255</v>
      </c>
      <c r="F86" s="32" t="s">
        <v>401</v>
      </c>
    </row>
    <row r="87" ht="16.5" customHeight="1">
      <c r="A87" s="32">
        <v>86.0</v>
      </c>
      <c r="B87" s="32" t="s">
        <v>403</v>
      </c>
      <c r="C87" s="32" t="s">
        <v>184</v>
      </c>
      <c r="D87" s="32" t="s">
        <v>192</v>
      </c>
      <c r="E87" s="32" t="s">
        <v>255</v>
      </c>
      <c r="F87" s="32" t="s">
        <v>404</v>
      </c>
      <c r="G87" s="32" t="s">
        <v>405</v>
      </c>
    </row>
    <row r="88" ht="16.5" customHeight="1">
      <c r="A88" s="32">
        <v>87.0</v>
      </c>
      <c r="B88" s="32" t="s">
        <v>406</v>
      </c>
      <c r="C88" s="32" t="s">
        <v>184</v>
      </c>
      <c r="D88" s="32" t="s">
        <v>192</v>
      </c>
      <c r="E88" s="32" t="s">
        <v>255</v>
      </c>
      <c r="F88" s="32" t="s">
        <v>407</v>
      </c>
      <c r="G88" s="32" t="s">
        <v>408</v>
      </c>
    </row>
    <row r="89" ht="16.5" customHeight="1">
      <c r="A89" s="32">
        <v>88.0</v>
      </c>
      <c r="B89" s="32" t="s">
        <v>409</v>
      </c>
      <c r="C89" s="32" t="s">
        <v>184</v>
      </c>
      <c r="D89" s="32" t="s">
        <v>325</v>
      </c>
      <c r="E89" s="32" t="s">
        <v>255</v>
      </c>
      <c r="F89" s="32" t="s">
        <v>410</v>
      </c>
    </row>
    <row r="90" ht="16.5" customHeight="1">
      <c r="A90" s="32">
        <v>89.0</v>
      </c>
      <c r="B90" s="32" t="s">
        <v>411</v>
      </c>
      <c r="C90" s="32" t="s">
        <v>184</v>
      </c>
      <c r="D90" s="32" t="s">
        <v>254</v>
      </c>
      <c r="E90" s="32" t="s">
        <v>399</v>
      </c>
      <c r="F90" s="32" t="s">
        <v>256</v>
      </c>
      <c r="G90" s="32" t="s">
        <v>412</v>
      </c>
    </row>
    <row r="91" ht="16.5" customHeight="1">
      <c r="A91" s="32">
        <v>90.0</v>
      </c>
      <c r="B91" s="32" t="s">
        <v>413</v>
      </c>
      <c r="C91" s="32" t="s">
        <v>184</v>
      </c>
      <c r="D91" s="32" t="s">
        <v>219</v>
      </c>
      <c r="E91" s="32" t="s">
        <v>291</v>
      </c>
      <c r="F91" s="32" t="s">
        <v>241</v>
      </c>
      <c r="G91" s="32" t="s">
        <v>292</v>
      </c>
    </row>
    <row r="92" ht="16.5" customHeight="1">
      <c r="A92" s="32">
        <v>91.0</v>
      </c>
      <c r="B92" s="32" t="s">
        <v>414</v>
      </c>
      <c r="C92" s="32" t="s">
        <v>184</v>
      </c>
      <c r="D92" s="32" t="s">
        <v>234</v>
      </c>
      <c r="E92" s="32" t="s">
        <v>291</v>
      </c>
      <c r="F92" s="32" t="s">
        <v>415</v>
      </c>
      <c r="G92" s="32" t="s">
        <v>416</v>
      </c>
    </row>
    <row r="93" ht="16.5" customHeight="1">
      <c r="A93" s="32">
        <v>92.0</v>
      </c>
      <c r="B93" s="32" t="s">
        <v>417</v>
      </c>
      <c r="C93" s="32" t="s">
        <v>184</v>
      </c>
      <c r="D93" s="32" t="s">
        <v>192</v>
      </c>
      <c r="E93" s="32" t="s">
        <v>291</v>
      </c>
      <c r="F93" s="32" t="s">
        <v>300</v>
      </c>
      <c r="G93" s="32" t="s">
        <v>418</v>
      </c>
    </row>
    <row r="94" ht="16.5" customHeight="1">
      <c r="A94" s="32">
        <v>93.0</v>
      </c>
      <c r="B94" s="32" t="s">
        <v>419</v>
      </c>
      <c r="C94" s="32" t="s">
        <v>184</v>
      </c>
      <c r="D94" s="32" t="s">
        <v>234</v>
      </c>
      <c r="E94" s="32" t="s">
        <v>291</v>
      </c>
      <c r="F94" s="32" t="s">
        <v>347</v>
      </c>
      <c r="G94" s="32" t="s">
        <v>420</v>
      </c>
    </row>
    <row r="95" ht="16.5" customHeight="1">
      <c r="A95" s="32">
        <v>94.0</v>
      </c>
      <c r="B95" s="32" t="s">
        <v>421</v>
      </c>
      <c r="C95" s="32" t="s">
        <v>184</v>
      </c>
      <c r="D95" s="32" t="s">
        <v>192</v>
      </c>
      <c r="E95" s="32" t="s">
        <v>291</v>
      </c>
      <c r="F95" s="32" t="s">
        <v>329</v>
      </c>
      <c r="G95" s="32" t="s">
        <v>330</v>
      </c>
    </row>
    <row r="96" ht="16.5" customHeight="1">
      <c r="A96" s="32">
        <v>95.0</v>
      </c>
      <c r="B96" s="32" t="s">
        <v>422</v>
      </c>
      <c r="C96" s="32" t="s">
        <v>184</v>
      </c>
      <c r="D96" s="32" t="s">
        <v>219</v>
      </c>
      <c r="E96" s="32" t="s">
        <v>291</v>
      </c>
      <c r="F96" s="32" t="s">
        <v>241</v>
      </c>
      <c r="G96" s="32" t="s">
        <v>292</v>
      </c>
    </row>
    <row r="97" ht="16.5" customHeight="1">
      <c r="A97" s="32">
        <v>96.0</v>
      </c>
      <c r="B97" s="32" t="s">
        <v>423</v>
      </c>
      <c r="C97" s="32" t="s">
        <v>184</v>
      </c>
      <c r="D97" s="32" t="s">
        <v>254</v>
      </c>
      <c r="E97" s="32" t="s">
        <v>291</v>
      </c>
      <c r="F97" s="32" t="s">
        <v>424</v>
      </c>
      <c r="G97" s="32" t="s">
        <v>425</v>
      </c>
    </row>
    <row r="98" ht="16.5" customHeight="1">
      <c r="A98" s="32">
        <v>97.0</v>
      </c>
      <c r="B98" s="32" t="s">
        <v>426</v>
      </c>
      <c r="C98" s="32" t="s">
        <v>184</v>
      </c>
      <c r="D98" s="32" t="s">
        <v>192</v>
      </c>
      <c r="E98" s="32" t="s">
        <v>291</v>
      </c>
      <c r="F98" s="32" t="s">
        <v>329</v>
      </c>
      <c r="G98" s="32" t="s">
        <v>357</v>
      </c>
    </row>
    <row r="99" ht="16.5" customHeight="1">
      <c r="A99" s="32">
        <v>98.0</v>
      </c>
      <c r="B99" s="32" t="s">
        <v>427</v>
      </c>
      <c r="C99" s="32" t="s">
        <v>184</v>
      </c>
      <c r="D99" s="32" t="s">
        <v>192</v>
      </c>
      <c r="E99" s="32" t="s">
        <v>291</v>
      </c>
      <c r="F99" s="32" t="s">
        <v>329</v>
      </c>
      <c r="G99" s="32" t="s">
        <v>357</v>
      </c>
    </row>
    <row r="100" ht="16.5" customHeight="1">
      <c r="A100" s="32">
        <v>99.0</v>
      </c>
      <c r="B100" s="32" t="s">
        <v>428</v>
      </c>
      <c r="C100" s="32" t="s">
        <v>184</v>
      </c>
      <c r="D100" s="32" t="s">
        <v>192</v>
      </c>
      <c r="E100" s="32" t="s">
        <v>291</v>
      </c>
      <c r="F100" s="32" t="s">
        <v>223</v>
      </c>
      <c r="G100" s="32" t="s">
        <v>394</v>
      </c>
    </row>
    <row r="101" ht="16.5" customHeight="1">
      <c r="A101" s="32">
        <v>100.0</v>
      </c>
      <c r="B101" s="32" t="s">
        <v>429</v>
      </c>
      <c r="C101" s="32" t="s">
        <v>184</v>
      </c>
      <c r="D101" s="32" t="s">
        <v>219</v>
      </c>
      <c r="E101" s="32" t="s">
        <v>291</v>
      </c>
    </row>
    <row r="102" ht="16.5" customHeight="1">
      <c r="A102" s="32">
        <v>101.0</v>
      </c>
      <c r="B102" s="32" t="s">
        <v>430</v>
      </c>
      <c r="C102" s="32" t="s">
        <v>184</v>
      </c>
      <c r="D102" s="32" t="s">
        <v>285</v>
      </c>
      <c r="E102" s="32" t="s">
        <v>291</v>
      </c>
    </row>
    <row r="103" ht="16.5" customHeight="1">
      <c r="A103" s="32">
        <v>102.0</v>
      </c>
      <c r="B103" s="32" t="s">
        <v>431</v>
      </c>
      <c r="C103" s="32" t="s">
        <v>184</v>
      </c>
      <c r="D103" s="32" t="s">
        <v>192</v>
      </c>
      <c r="E103" s="32" t="s">
        <v>291</v>
      </c>
    </row>
    <row r="104" ht="16.5" customHeight="1">
      <c r="A104" s="32">
        <v>103.0</v>
      </c>
      <c r="B104" s="32" t="s">
        <v>432</v>
      </c>
      <c r="C104" s="32" t="s">
        <v>184</v>
      </c>
      <c r="D104" s="32" t="s">
        <v>192</v>
      </c>
      <c r="E104" s="32" t="s">
        <v>291</v>
      </c>
      <c r="F104" s="32" t="s">
        <v>329</v>
      </c>
      <c r="G104" s="32" t="s">
        <v>357</v>
      </c>
    </row>
    <row r="105" ht="16.5" customHeight="1">
      <c r="A105" s="32">
        <v>104.0</v>
      </c>
      <c r="B105" s="32" t="s">
        <v>433</v>
      </c>
      <c r="C105" s="32" t="s">
        <v>184</v>
      </c>
      <c r="D105" s="32" t="s">
        <v>192</v>
      </c>
      <c r="E105" s="32" t="s">
        <v>291</v>
      </c>
      <c r="F105" s="32" t="s">
        <v>300</v>
      </c>
      <c r="G105" s="32" t="s">
        <v>434</v>
      </c>
    </row>
    <row r="106" ht="16.5" customHeight="1">
      <c r="A106" s="32">
        <v>105.0</v>
      </c>
      <c r="B106" s="32" t="s">
        <v>435</v>
      </c>
      <c r="C106" s="32" t="s">
        <v>184</v>
      </c>
      <c r="D106" s="32" t="s">
        <v>192</v>
      </c>
      <c r="E106" s="32" t="s">
        <v>291</v>
      </c>
      <c r="F106" s="32" t="s">
        <v>300</v>
      </c>
      <c r="G106" s="32" t="s">
        <v>434</v>
      </c>
    </row>
    <row r="107" ht="16.5" customHeight="1">
      <c r="A107" s="32">
        <v>106.0</v>
      </c>
      <c r="B107" s="32" t="s">
        <v>436</v>
      </c>
      <c r="C107" s="32" t="s">
        <v>184</v>
      </c>
      <c r="D107" s="32" t="s">
        <v>254</v>
      </c>
      <c r="E107" s="32" t="s">
        <v>291</v>
      </c>
      <c r="F107" s="32" t="s">
        <v>271</v>
      </c>
      <c r="G107" s="32" t="s">
        <v>437</v>
      </c>
    </row>
    <row r="108" ht="16.5" customHeight="1">
      <c r="A108" s="32">
        <v>107.0</v>
      </c>
      <c r="B108" s="32" t="s">
        <v>438</v>
      </c>
      <c r="C108" s="32" t="s">
        <v>184</v>
      </c>
      <c r="D108" s="32" t="s">
        <v>254</v>
      </c>
      <c r="E108" s="32" t="s">
        <v>439</v>
      </c>
    </row>
    <row r="109" ht="16.5" customHeight="1">
      <c r="A109" s="32">
        <v>108.0</v>
      </c>
      <c r="B109" s="32" t="s">
        <v>440</v>
      </c>
      <c r="C109" s="32" t="s">
        <v>184</v>
      </c>
      <c r="D109" s="32" t="s">
        <v>192</v>
      </c>
      <c r="E109" s="32" t="s">
        <v>291</v>
      </c>
      <c r="F109" s="32" t="s">
        <v>275</v>
      </c>
    </row>
    <row r="110" ht="16.5" customHeight="1">
      <c r="A110" s="32">
        <v>109.0</v>
      </c>
      <c r="B110" s="32" t="s">
        <v>441</v>
      </c>
      <c r="C110" s="32" t="s">
        <v>184</v>
      </c>
      <c r="D110" s="32" t="s">
        <v>228</v>
      </c>
      <c r="E110" s="32" t="s">
        <v>291</v>
      </c>
      <c r="F110" s="32" t="s">
        <v>229</v>
      </c>
      <c r="G110" s="32" t="s">
        <v>442</v>
      </c>
    </row>
    <row r="111" ht="16.5" customHeight="1">
      <c r="A111" s="32">
        <v>110.0</v>
      </c>
      <c r="B111" s="32" t="s">
        <v>443</v>
      </c>
      <c r="C111" s="32" t="s">
        <v>184</v>
      </c>
      <c r="D111" s="32" t="s">
        <v>234</v>
      </c>
      <c r="E111" s="32" t="s">
        <v>291</v>
      </c>
      <c r="F111" s="32" t="s">
        <v>235</v>
      </c>
      <c r="G111" s="32" t="s">
        <v>243</v>
      </c>
    </row>
    <row r="112" ht="16.5" customHeight="1">
      <c r="A112" s="32">
        <v>111.0</v>
      </c>
      <c r="B112" s="32" t="s">
        <v>444</v>
      </c>
      <c r="C112" s="32" t="s">
        <v>184</v>
      </c>
      <c r="D112" s="32" t="s">
        <v>192</v>
      </c>
      <c r="E112" s="32" t="s">
        <v>291</v>
      </c>
      <c r="F112" s="32" t="s">
        <v>300</v>
      </c>
      <c r="G112" s="32" t="s">
        <v>445</v>
      </c>
    </row>
    <row r="113" ht="16.5" customHeight="1">
      <c r="A113" s="32">
        <v>112.0</v>
      </c>
      <c r="B113" s="32" t="s">
        <v>446</v>
      </c>
      <c r="C113" s="32" t="s">
        <v>184</v>
      </c>
      <c r="D113" s="32" t="s">
        <v>192</v>
      </c>
      <c r="E113" s="32" t="s">
        <v>291</v>
      </c>
      <c r="F113" s="32" t="s">
        <v>329</v>
      </c>
      <c r="G113" s="32" t="s">
        <v>447</v>
      </c>
    </row>
    <row r="114" ht="16.5" customHeight="1">
      <c r="A114" s="32">
        <v>113.0</v>
      </c>
      <c r="B114" s="32" t="s">
        <v>448</v>
      </c>
      <c r="C114" s="32" t="s">
        <v>184</v>
      </c>
      <c r="D114" s="32" t="s">
        <v>192</v>
      </c>
      <c r="E114" s="32" t="s">
        <v>291</v>
      </c>
      <c r="F114" s="32" t="s">
        <v>329</v>
      </c>
      <c r="G114" s="32" t="s">
        <v>447</v>
      </c>
    </row>
    <row r="115" ht="16.5" customHeight="1">
      <c r="A115" s="32">
        <v>114.0</v>
      </c>
      <c r="B115" s="32" t="s">
        <v>449</v>
      </c>
      <c r="C115" s="32" t="s">
        <v>184</v>
      </c>
      <c r="D115" s="32" t="s">
        <v>185</v>
      </c>
      <c r="E115" s="32" t="s">
        <v>291</v>
      </c>
      <c r="F115" s="32" t="s">
        <v>187</v>
      </c>
      <c r="G115" s="32" t="s">
        <v>188</v>
      </c>
    </row>
    <row r="116" ht="16.5" customHeight="1">
      <c r="A116" s="32">
        <v>115.0</v>
      </c>
      <c r="B116" s="32" t="s">
        <v>450</v>
      </c>
      <c r="C116" s="32" t="s">
        <v>184</v>
      </c>
      <c r="D116" s="32" t="s">
        <v>185</v>
      </c>
      <c r="E116" s="32" t="s">
        <v>291</v>
      </c>
      <c r="F116" s="32" t="s">
        <v>187</v>
      </c>
      <c r="G116" s="32" t="s">
        <v>188</v>
      </c>
    </row>
    <row r="117" ht="16.5" customHeight="1">
      <c r="A117" s="32">
        <v>116.0</v>
      </c>
      <c r="B117" s="32" t="s">
        <v>451</v>
      </c>
      <c r="C117" s="32" t="s">
        <v>184</v>
      </c>
      <c r="D117" s="32" t="s">
        <v>228</v>
      </c>
      <c r="E117" s="32" t="s">
        <v>291</v>
      </c>
      <c r="F117" s="32" t="s">
        <v>408</v>
      </c>
      <c r="G117" s="32" t="s">
        <v>452</v>
      </c>
    </row>
    <row r="118" ht="16.5" customHeight="1">
      <c r="A118" s="32">
        <v>117.0</v>
      </c>
      <c r="B118" s="32" t="s">
        <v>453</v>
      </c>
      <c r="C118" s="32" t="s">
        <v>184</v>
      </c>
      <c r="D118" s="32" t="s">
        <v>228</v>
      </c>
      <c r="E118" s="32" t="s">
        <v>291</v>
      </c>
      <c r="F118" s="32" t="s">
        <v>454</v>
      </c>
      <c r="G118" s="32" t="s">
        <v>455</v>
      </c>
    </row>
    <row r="119" ht="16.5" customHeight="1">
      <c r="A119" s="32">
        <v>118.0</v>
      </c>
      <c r="B119" s="32" t="s">
        <v>456</v>
      </c>
      <c r="C119" s="32" t="s">
        <v>184</v>
      </c>
      <c r="D119" s="32" t="s">
        <v>192</v>
      </c>
      <c r="E119" s="32" t="s">
        <v>291</v>
      </c>
      <c r="F119" s="32" t="s">
        <v>329</v>
      </c>
      <c r="G119" s="32" t="s">
        <v>457</v>
      </c>
    </row>
    <row r="120" ht="16.5" customHeight="1">
      <c r="A120" s="32">
        <v>119.0</v>
      </c>
      <c r="B120" s="32" t="s">
        <v>458</v>
      </c>
      <c r="C120" s="32" t="s">
        <v>184</v>
      </c>
      <c r="D120" s="32" t="s">
        <v>219</v>
      </c>
      <c r="E120" s="32" t="s">
        <v>291</v>
      </c>
    </row>
    <row r="121" ht="16.5" customHeight="1">
      <c r="A121" s="32">
        <v>120.0</v>
      </c>
      <c r="B121" s="32" t="s">
        <v>459</v>
      </c>
      <c r="C121" s="32" t="s">
        <v>184</v>
      </c>
      <c r="D121" s="32" t="s">
        <v>219</v>
      </c>
      <c r="E121" s="32" t="s">
        <v>291</v>
      </c>
      <c r="F121" s="32" t="s">
        <v>241</v>
      </c>
      <c r="G121" s="32" t="s">
        <v>292</v>
      </c>
    </row>
    <row r="122" ht="16.5" customHeight="1">
      <c r="A122" s="32">
        <v>121.0</v>
      </c>
      <c r="B122" s="32" t="s">
        <v>460</v>
      </c>
      <c r="C122" s="32" t="s">
        <v>184</v>
      </c>
      <c r="D122" s="32" t="s">
        <v>254</v>
      </c>
      <c r="E122" s="32" t="s">
        <v>291</v>
      </c>
      <c r="F122" s="32" t="s">
        <v>424</v>
      </c>
      <c r="G122" s="32" t="s">
        <v>461</v>
      </c>
    </row>
    <row r="123" ht="16.5" customHeight="1">
      <c r="A123" s="32">
        <v>122.0</v>
      </c>
      <c r="B123" s="32" t="s">
        <v>462</v>
      </c>
      <c r="C123" s="32" t="s">
        <v>184</v>
      </c>
      <c r="D123" s="32" t="s">
        <v>325</v>
      </c>
      <c r="E123" s="32" t="s">
        <v>291</v>
      </c>
      <c r="F123" s="32" t="s">
        <v>368</v>
      </c>
      <c r="G123" s="32" t="s">
        <v>463</v>
      </c>
    </row>
    <row r="124" ht="16.5" customHeight="1">
      <c r="A124" s="32">
        <v>123.0</v>
      </c>
      <c r="B124" s="32" t="s">
        <v>464</v>
      </c>
      <c r="C124" s="32" t="s">
        <v>184</v>
      </c>
      <c r="D124" s="32" t="s">
        <v>325</v>
      </c>
      <c r="E124" s="32" t="s">
        <v>291</v>
      </c>
      <c r="F124" s="32" t="s">
        <v>368</v>
      </c>
      <c r="G124" s="32" t="s">
        <v>463</v>
      </c>
    </row>
    <row r="125" ht="16.5" customHeight="1">
      <c r="A125" s="32">
        <v>124.0</v>
      </c>
      <c r="B125" s="32" t="s">
        <v>465</v>
      </c>
      <c r="C125" s="32" t="s">
        <v>184</v>
      </c>
      <c r="D125" s="32" t="s">
        <v>325</v>
      </c>
      <c r="E125" s="32" t="s">
        <v>291</v>
      </c>
    </row>
    <row r="126" ht="16.5" customHeight="1">
      <c r="A126" s="32">
        <v>125.0</v>
      </c>
      <c r="B126" s="32" t="s">
        <v>466</v>
      </c>
      <c r="C126" s="32" t="s">
        <v>184</v>
      </c>
      <c r="D126" s="32" t="s">
        <v>234</v>
      </c>
      <c r="E126" s="32" t="s">
        <v>291</v>
      </c>
      <c r="F126" s="32" t="s">
        <v>235</v>
      </c>
      <c r="G126" s="32" t="s">
        <v>236</v>
      </c>
    </row>
    <row r="127" ht="16.5" customHeight="1">
      <c r="A127" s="32">
        <v>126.0</v>
      </c>
      <c r="B127" s="32" t="s">
        <v>467</v>
      </c>
      <c r="C127" s="32" t="s">
        <v>184</v>
      </c>
      <c r="D127" s="32" t="s">
        <v>219</v>
      </c>
      <c r="E127" s="32" t="s">
        <v>291</v>
      </c>
      <c r="F127" s="32" t="s">
        <v>241</v>
      </c>
      <c r="G127" s="32" t="s">
        <v>292</v>
      </c>
    </row>
    <row r="128" ht="16.5" customHeight="1">
      <c r="A128" s="32">
        <v>127.0</v>
      </c>
      <c r="B128" s="32" t="s">
        <v>468</v>
      </c>
      <c r="C128" s="32" t="s">
        <v>184</v>
      </c>
      <c r="D128" s="32" t="s">
        <v>192</v>
      </c>
      <c r="E128" s="32" t="s">
        <v>291</v>
      </c>
      <c r="F128" s="32" t="s">
        <v>329</v>
      </c>
      <c r="G128" s="32" t="s">
        <v>357</v>
      </c>
    </row>
    <row r="129" ht="16.5" customHeight="1">
      <c r="A129" s="32">
        <v>128.0</v>
      </c>
      <c r="B129" s="32" t="s">
        <v>469</v>
      </c>
      <c r="C129" s="32" t="s">
        <v>184</v>
      </c>
      <c r="D129" s="32" t="s">
        <v>192</v>
      </c>
      <c r="E129" s="32" t="s">
        <v>291</v>
      </c>
      <c r="F129" s="32" t="s">
        <v>300</v>
      </c>
      <c r="G129" s="32" t="s">
        <v>470</v>
      </c>
    </row>
    <row r="130" ht="16.5" customHeight="1">
      <c r="A130" s="32">
        <v>129.0</v>
      </c>
      <c r="B130" s="32" t="s">
        <v>471</v>
      </c>
      <c r="C130" s="32" t="s">
        <v>184</v>
      </c>
      <c r="D130" s="32" t="s">
        <v>219</v>
      </c>
      <c r="E130" s="32" t="s">
        <v>291</v>
      </c>
      <c r="F130" s="32" t="s">
        <v>223</v>
      </c>
      <c r="G130" s="32" t="s">
        <v>472</v>
      </c>
    </row>
    <row r="131" ht="16.5" customHeight="1">
      <c r="A131" s="32">
        <v>130.0</v>
      </c>
      <c r="B131" s="32" t="s">
        <v>473</v>
      </c>
      <c r="C131" s="32" t="s">
        <v>184</v>
      </c>
      <c r="D131" s="32" t="s">
        <v>219</v>
      </c>
      <c r="E131" s="32" t="s">
        <v>291</v>
      </c>
      <c r="F131" s="32" t="s">
        <v>232</v>
      </c>
      <c r="G131" s="32" t="s">
        <v>233</v>
      </c>
    </row>
    <row r="132" ht="16.5" customHeight="1">
      <c r="A132" s="32">
        <v>131.0</v>
      </c>
      <c r="B132" s="32" t="s">
        <v>474</v>
      </c>
      <c r="C132" s="32" t="s">
        <v>184</v>
      </c>
      <c r="D132" s="32" t="s">
        <v>185</v>
      </c>
      <c r="E132" s="32" t="s">
        <v>291</v>
      </c>
      <c r="F132" s="32" t="s">
        <v>475</v>
      </c>
      <c r="G132" s="32" t="s">
        <v>476</v>
      </c>
    </row>
    <row r="133" ht="16.5" customHeight="1">
      <c r="A133" s="32">
        <v>132.0</v>
      </c>
      <c r="B133" s="32" t="s">
        <v>477</v>
      </c>
      <c r="C133" s="32" t="s">
        <v>184</v>
      </c>
      <c r="D133" s="32" t="s">
        <v>234</v>
      </c>
      <c r="E133" s="32" t="s">
        <v>291</v>
      </c>
      <c r="F133" s="32" t="s">
        <v>347</v>
      </c>
      <c r="G133" s="32" t="s">
        <v>382</v>
      </c>
    </row>
    <row r="134" ht="16.5" customHeight="1">
      <c r="A134" s="32">
        <v>133.0</v>
      </c>
      <c r="B134" s="32" t="s">
        <v>478</v>
      </c>
      <c r="C134" s="32" t="s">
        <v>184</v>
      </c>
      <c r="D134" s="32" t="s">
        <v>219</v>
      </c>
      <c r="E134" s="32" t="s">
        <v>291</v>
      </c>
      <c r="F134" s="32" t="s">
        <v>241</v>
      </c>
      <c r="G134" s="32" t="s">
        <v>292</v>
      </c>
    </row>
    <row r="135" ht="16.5" customHeight="1">
      <c r="A135" s="32">
        <v>134.0</v>
      </c>
      <c r="B135" s="32" t="s">
        <v>479</v>
      </c>
      <c r="C135" s="32" t="s">
        <v>184</v>
      </c>
      <c r="D135" s="32" t="s">
        <v>185</v>
      </c>
      <c r="E135" s="32" t="s">
        <v>291</v>
      </c>
      <c r="F135" s="32" t="s">
        <v>187</v>
      </c>
      <c r="G135" s="32" t="s">
        <v>480</v>
      </c>
    </row>
    <row r="136" ht="16.5" customHeight="1">
      <c r="A136" s="32">
        <v>135.0</v>
      </c>
      <c r="B136" s="32" t="s">
        <v>481</v>
      </c>
      <c r="C136" s="32" t="s">
        <v>184</v>
      </c>
      <c r="D136" s="32" t="s">
        <v>185</v>
      </c>
      <c r="E136" s="32" t="s">
        <v>291</v>
      </c>
      <c r="F136" s="32" t="s">
        <v>187</v>
      </c>
      <c r="G136" s="32" t="s">
        <v>482</v>
      </c>
    </row>
    <row r="137" ht="16.5" customHeight="1">
      <c r="A137" s="32">
        <v>136.0</v>
      </c>
      <c r="B137" s="32" t="s">
        <v>483</v>
      </c>
      <c r="C137" s="32" t="s">
        <v>184</v>
      </c>
      <c r="D137" s="35" t="s">
        <v>484</v>
      </c>
      <c r="E137" s="32" t="s">
        <v>291</v>
      </c>
    </row>
    <row r="138" ht="16.5" customHeight="1">
      <c r="A138" s="32">
        <v>137.0</v>
      </c>
      <c r="B138" s="32" t="s">
        <v>485</v>
      </c>
      <c r="C138" s="32" t="s">
        <v>184</v>
      </c>
      <c r="D138" s="35" t="s">
        <v>310</v>
      </c>
      <c r="E138" s="32" t="s">
        <v>291</v>
      </c>
      <c r="F138" s="32" t="s">
        <v>305</v>
      </c>
      <c r="G138" s="32" t="s">
        <v>319</v>
      </c>
    </row>
    <row r="139" ht="16.5" customHeight="1">
      <c r="A139" s="32">
        <v>138.0</v>
      </c>
      <c r="B139" s="32" t="s">
        <v>486</v>
      </c>
      <c r="C139" s="32" t="s">
        <v>184</v>
      </c>
      <c r="D139" s="32" t="s">
        <v>185</v>
      </c>
      <c r="E139" s="32" t="s">
        <v>291</v>
      </c>
      <c r="F139" s="32" t="s">
        <v>271</v>
      </c>
      <c r="G139" s="32" t="s">
        <v>487</v>
      </c>
    </row>
    <row r="140" ht="16.5" customHeight="1">
      <c r="A140" s="32">
        <v>139.0</v>
      </c>
      <c r="B140" s="32" t="s">
        <v>488</v>
      </c>
      <c r="C140" s="32" t="s">
        <v>184</v>
      </c>
      <c r="D140" s="32" t="s">
        <v>219</v>
      </c>
      <c r="E140" s="32" t="s">
        <v>291</v>
      </c>
    </row>
    <row r="141" ht="16.5" customHeight="1">
      <c r="A141" s="32">
        <v>140.0</v>
      </c>
      <c r="B141" s="32" t="s">
        <v>489</v>
      </c>
      <c r="C141" s="32" t="s">
        <v>184</v>
      </c>
      <c r="D141" s="32" t="s">
        <v>228</v>
      </c>
      <c r="E141" s="32" t="s">
        <v>291</v>
      </c>
      <c r="F141" s="32" t="s">
        <v>408</v>
      </c>
      <c r="G141" s="32" t="s">
        <v>490</v>
      </c>
    </row>
    <row r="142" ht="16.5" customHeight="1">
      <c r="A142" s="32">
        <v>141.0</v>
      </c>
      <c r="B142" s="32" t="s">
        <v>491</v>
      </c>
      <c r="C142" s="32" t="s">
        <v>184</v>
      </c>
      <c r="D142" s="32" t="s">
        <v>228</v>
      </c>
      <c r="E142" s="32" t="s">
        <v>291</v>
      </c>
      <c r="F142" s="32" t="s">
        <v>408</v>
      </c>
      <c r="G142" s="32" t="s">
        <v>490</v>
      </c>
    </row>
    <row r="143" ht="16.5" customHeight="1">
      <c r="A143" s="32">
        <v>142.0</v>
      </c>
      <c r="B143" s="32" t="s">
        <v>492</v>
      </c>
      <c r="C143" s="32" t="s">
        <v>184</v>
      </c>
      <c r="D143" s="32" t="s">
        <v>192</v>
      </c>
      <c r="E143" s="32" t="s">
        <v>291</v>
      </c>
      <c r="F143" s="32" t="s">
        <v>300</v>
      </c>
      <c r="G143" s="32" t="s">
        <v>493</v>
      </c>
    </row>
    <row r="144" ht="16.5" customHeight="1">
      <c r="A144" s="32">
        <v>143.0</v>
      </c>
      <c r="B144" s="32" t="s">
        <v>494</v>
      </c>
      <c r="C144" s="32" t="s">
        <v>184</v>
      </c>
      <c r="D144" s="32" t="s">
        <v>192</v>
      </c>
      <c r="E144" s="32" t="s">
        <v>291</v>
      </c>
      <c r="F144" s="32" t="s">
        <v>300</v>
      </c>
      <c r="G144" s="32" t="s">
        <v>434</v>
      </c>
    </row>
    <row r="145" ht="16.5" customHeight="1">
      <c r="A145" s="32">
        <v>144.0</v>
      </c>
      <c r="B145" s="32" t="s">
        <v>495</v>
      </c>
      <c r="C145" s="32" t="s">
        <v>184</v>
      </c>
      <c r="D145" s="32" t="s">
        <v>228</v>
      </c>
      <c r="E145" s="32" t="s">
        <v>291</v>
      </c>
      <c r="F145" s="32" t="s">
        <v>229</v>
      </c>
      <c r="G145" s="32" t="s">
        <v>496</v>
      </c>
    </row>
    <row r="146" ht="16.5" customHeight="1">
      <c r="A146" s="32">
        <v>145.0</v>
      </c>
      <c r="B146" s="32" t="s">
        <v>497</v>
      </c>
      <c r="C146" s="32" t="s">
        <v>184</v>
      </c>
      <c r="D146" s="32" t="s">
        <v>228</v>
      </c>
      <c r="E146" s="32" t="s">
        <v>291</v>
      </c>
      <c r="F146" s="32" t="s">
        <v>454</v>
      </c>
      <c r="G146" s="32" t="s">
        <v>455</v>
      </c>
    </row>
    <row r="147" ht="16.5" customHeight="1">
      <c r="A147" s="32">
        <v>146.0</v>
      </c>
      <c r="B147" s="32" t="s">
        <v>498</v>
      </c>
      <c r="C147" s="32" t="s">
        <v>184</v>
      </c>
      <c r="D147" s="35" t="s">
        <v>361</v>
      </c>
      <c r="E147" s="32" t="s">
        <v>291</v>
      </c>
    </row>
    <row r="148" ht="16.5" customHeight="1">
      <c r="A148" s="32">
        <v>147.0</v>
      </c>
      <c r="B148" s="32" t="s">
        <v>499</v>
      </c>
      <c r="C148" s="32" t="s">
        <v>184</v>
      </c>
      <c r="D148" s="32" t="s">
        <v>228</v>
      </c>
      <c r="E148" s="32" t="s">
        <v>291</v>
      </c>
      <c r="F148" s="32" t="s">
        <v>229</v>
      </c>
      <c r="G148" s="32" t="s">
        <v>244</v>
      </c>
    </row>
    <row r="149" ht="16.5" customHeight="1">
      <c r="A149" s="32">
        <v>148.0</v>
      </c>
      <c r="B149" s="32" t="s">
        <v>500</v>
      </c>
      <c r="C149" s="32" t="s">
        <v>184</v>
      </c>
      <c r="D149" s="32" t="s">
        <v>185</v>
      </c>
      <c r="E149" s="32" t="s">
        <v>291</v>
      </c>
    </row>
    <row r="150" ht="16.5" customHeight="1">
      <c r="A150" s="32">
        <v>149.0</v>
      </c>
      <c r="B150" s="32" t="s">
        <v>501</v>
      </c>
      <c r="C150" s="32" t="s">
        <v>184</v>
      </c>
      <c r="D150" s="32" t="s">
        <v>254</v>
      </c>
      <c r="E150" s="32" t="s">
        <v>291</v>
      </c>
      <c r="F150" s="32" t="s">
        <v>257</v>
      </c>
      <c r="G150" s="32" t="s">
        <v>502</v>
      </c>
    </row>
    <row r="151" ht="16.5" customHeight="1">
      <c r="A151" s="32">
        <v>150.0</v>
      </c>
      <c r="B151" s="32" t="s">
        <v>503</v>
      </c>
      <c r="C151" s="32" t="s">
        <v>184</v>
      </c>
      <c r="D151" s="32" t="s">
        <v>214</v>
      </c>
      <c r="E151" s="32" t="s">
        <v>291</v>
      </c>
      <c r="F151" s="32" t="s">
        <v>216</v>
      </c>
      <c r="G151" s="32" t="s">
        <v>217</v>
      </c>
    </row>
    <row r="152" ht="16.5" customHeight="1">
      <c r="A152" s="32">
        <v>151.0</v>
      </c>
      <c r="B152" s="32" t="s">
        <v>504</v>
      </c>
      <c r="C152" s="32" t="s">
        <v>184</v>
      </c>
      <c r="D152" s="32" t="s">
        <v>234</v>
      </c>
      <c r="E152" s="32" t="s">
        <v>291</v>
      </c>
      <c r="F152" s="32" t="s">
        <v>347</v>
      </c>
      <c r="G152" s="32" t="s">
        <v>505</v>
      </c>
    </row>
    <row r="153" ht="16.5" customHeight="1">
      <c r="A153" s="32">
        <v>152.0</v>
      </c>
      <c r="B153" s="32" t="s">
        <v>506</v>
      </c>
      <c r="C153" s="32" t="s">
        <v>184</v>
      </c>
      <c r="D153" s="32" t="s">
        <v>234</v>
      </c>
      <c r="E153" s="32" t="s">
        <v>291</v>
      </c>
      <c r="F153" s="32" t="s">
        <v>235</v>
      </c>
      <c r="G153" s="32" t="s">
        <v>236</v>
      </c>
    </row>
    <row r="154" ht="16.5" customHeight="1">
      <c r="A154" s="32">
        <v>153.0</v>
      </c>
      <c r="B154" s="32" t="s">
        <v>507</v>
      </c>
      <c r="C154" s="32" t="s">
        <v>184</v>
      </c>
      <c r="D154" s="32" t="s">
        <v>185</v>
      </c>
      <c r="E154" s="32" t="s">
        <v>291</v>
      </c>
      <c r="F154" s="32" t="s">
        <v>508</v>
      </c>
    </row>
    <row r="155" ht="16.5" customHeight="1">
      <c r="A155" s="32">
        <v>154.0</v>
      </c>
      <c r="B155" s="32" t="s">
        <v>509</v>
      </c>
      <c r="C155" s="32" t="s">
        <v>184</v>
      </c>
      <c r="D155" s="32" t="s">
        <v>185</v>
      </c>
      <c r="E155" s="32" t="s">
        <v>291</v>
      </c>
      <c r="F155" s="32" t="s">
        <v>475</v>
      </c>
      <c r="G155" s="32" t="s">
        <v>476</v>
      </c>
    </row>
    <row r="156" ht="16.5" customHeight="1">
      <c r="A156" s="32">
        <v>155.0</v>
      </c>
      <c r="B156" s="32" t="s">
        <v>510</v>
      </c>
      <c r="C156" s="32" t="s">
        <v>184</v>
      </c>
      <c r="D156" s="32" t="s">
        <v>185</v>
      </c>
      <c r="E156" s="32" t="s">
        <v>291</v>
      </c>
      <c r="F156" s="32" t="s">
        <v>511</v>
      </c>
      <c r="G156" s="32" t="s">
        <v>512</v>
      </c>
    </row>
    <row r="157" ht="16.5" customHeight="1">
      <c r="A157" s="32">
        <v>156.0</v>
      </c>
      <c r="B157" s="32" t="s">
        <v>513</v>
      </c>
      <c r="C157" s="32" t="s">
        <v>184</v>
      </c>
      <c r="D157" s="32" t="s">
        <v>185</v>
      </c>
      <c r="E157" s="32" t="s">
        <v>291</v>
      </c>
      <c r="F157" s="32" t="s">
        <v>514</v>
      </c>
      <c r="G157" s="32" t="s">
        <v>515</v>
      </c>
    </row>
    <row r="158" ht="16.5" customHeight="1">
      <c r="A158" s="32">
        <v>157.0</v>
      </c>
      <c r="B158" s="32" t="s">
        <v>516</v>
      </c>
      <c r="C158" s="32" t="s">
        <v>184</v>
      </c>
      <c r="D158" s="32" t="s">
        <v>185</v>
      </c>
      <c r="E158" s="32" t="s">
        <v>291</v>
      </c>
      <c r="F158" s="32" t="s">
        <v>187</v>
      </c>
      <c r="G158" s="32" t="s">
        <v>275</v>
      </c>
    </row>
    <row r="159" ht="16.5" customHeight="1">
      <c r="A159" s="32">
        <v>158.0</v>
      </c>
      <c r="B159" s="32" t="s">
        <v>517</v>
      </c>
      <c r="C159" s="32" t="s">
        <v>184</v>
      </c>
      <c r="D159" s="32" t="s">
        <v>185</v>
      </c>
      <c r="E159" s="32" t="s">
        <v>291</v>
      </c>
    </row>
    <row r="160" ht="16.5" customHeight="1">
      <c r="A160" s="32">
        <v>159.0</v>
      </c>
      <c r="B160" s="32" t="s">
        <v>518</v>
      </c>
      <c r="C160" s="32" t="s">
        <v>184</v>
      </c>
      <c r="D160" s="32" t="s">
        <v>185</v>
      </c>
      <c r="E160" s="32" t="s">
        <v>291</v>
      </c>
      <c r="F160" s="32" t="s">
        <v>187</v>
      </c>
      <c r="G160" s="32" t="s">
        <v>188</v>
      </c>
    </row>
    <row r="161" ht="16.5" customHeight="1">
      <c r="A161" s="32">
        <v>160.0</v>
      </c>
      <c r="B161" s="32" t="s">
        <v>519</v>
      </c>
      <c r="C161" s="32" t="s">
        <v>184</v>
      </c>
      <c r="D161" s="32" t="s">
        <v>219</v>
      </c>
      <c r="E161" s="32" t="s">
        <v>291</v>
      </c>
      <c r="F161" s="32" t="s">
        <v>241</v>
      </c>
      <c r="G161" s="32" t="s">
        <v>292</v>
      </c>
    </row>
    <row r="162" ht="16.5" customHeight="1">
      <c r="A162" s="32">
        <v>161.0</v>
      </c>
      <c r="B162" s="32" t="s">
        <v>520</v>
      </c>
      <c r="C162" s="32" t="s">
        <v>184</v>
      </c>
      <c r="D162" s="32" t="s">
        <v>254</v>
      </c>
      <c r="E162" s="32" t="s">
        <v>291</v>
      </c>
      <c r="F162" s="32" t="s">
        <v>257</v>
      </c>
    </row>
    <row r="163" ht="16.5" customHeight="1">
      <c r="A163" s="32">
        <v>162.0</v>
      </c>
      <c r="B163" s="32" t="s">
        <v>521</v>
      </c>
      <c r="C163" s="32" t="s">
        <v>184</v>
      </c>
      <c r="D163" s="35" t="s">
        <v>522</v>
      </c>
      <c r="E163" s="32" t="s">
        <v>523</v>
      </c>
      <c r="F163" s="32" t="s">
        <v>524</v>
      </c>
    </row>
    <row r="164" ht="16.5" customHeight="1">
      <c r="A164" s="32">
        <v>163.0</v>
      </c>
      <c r="B164" s="32" t="s">
        <v>525</v>
      </c>
      <c r="C164" s="32" t="s">
        <v>184</v>
      </c>
      <c r="D164" s="32" t="s">
        <v>192</v>
      </c>
      <c r="E164" s="32" t="s">
        <v>291</v>
      </c>
      <c r="F164" s="32" t="s">
        <v>267</v>
      </c>
    </row>
    <row r="165" ht="16.5" customHeight="1">
      <c r="A165" s="32">
        <v>164.0</v>
      </c>
      <c r="B165" s="32" t="s">
        <v>526</v>
      </c>
      <c r="C165" s="32" t="s">
        <v>184</v>
      </c>
      <c r="D165" s="32" t="s">
        <v>234</v>
      </c>
      <c r="E165" s="32" t="s">
        <v>291</v>
      </c>
    </row>
    <row r="166" ht="16.5" customHeight="1">
      <c r="A166" s="32">
        <v>165.0</v>
      </c>
      <c r="B166" s="32" t="s">
        <v>527</v>
      </c>
      <c r="C166" s="32" t="s">
        <v>184</v>
      </c>
      <c r="D166" s="35" t="s">
        <v>310</v>
      </c>
      <c r="E166" s="32" t="s">
        <v>291</v>
      </c>
    </row>
    <row r="167" ht="16.5" customHeight="1">
      <c r="A167" s="32">
        <v>166.0</v>
      </c>
      <c r="B167" s="32" t="s">
        <v>528</v>
      </c>
      <c r="C167" s="32" t="s">
        <v>184</v>
      </c>
      <c r="D167" s="32" t="s">
        <v>254</v>
      </c>
      <c r="E167" s="32" t="s">
        <v>291</v>
      </c>
      <c r="F167" s="32" t="s">
        <v>305</v>
      </c>
      <c r="G167" s="32" t="s">
        <v>529</v>
      </c>
    </row>
    <row r="168" ht="16.5" customHeight="1">
      <c r="A168" s="32">
        <v>167.0</v>
      </c>
      <c r="B168" s="32" t="s">
        <v>530</v>
      </c>
      <c r="C168" s="32" t="s">
        <v>184</v>
      </c>
      <c r="D168" s="32" t="s">
        <v>219</v>
      </c>
      <c r="E168" s="32" t="s">
        <v>291</v>
      </c>
      <c r="F168" s="32" t="s">
        <v>223</v>
      </c>
    </row>
    <row r="169" ht="16.5" customHeight="1">
      <c r="A169" s="32">
        <v>168.0</v>
      </c>
      <c r="B169" s="32" t="s">
        <v>531</v>
      </c>
      <c r="C169" s="32" t="s">
        <v>184</v>
      </c>
      <c r="D169" s="32" t="s">
        <v>254</v>
      </c>
      <c r="E169" s="32" t="s">
        <v>291</v>
      </c>
      <c r="F169" s="32" t="s">
        <v>256</v>
      </c>
      <c r="G169" s="32" t="s">
        <v>257</v>
      </c>
    </row>
    <row r="170" ht="16.5" customHeight="1">
      <c r="A170" s="32">
        <v>169.0</v>
      </c>
      <c r="B170" s="32" t="s">
        <v>532</v>
      </c>
      <c r="C170" s="32" t="s">
        <v>184</v>
      </c>
      <c r="D170" s="32" t="s">
        <v>254</v>
      </c>
      <c r="E170" s="32" t="s">
        <v>291</v>
      </c>
      <c r="F170" s="32" t="s">
        <v>256</v>
      </c>
      <c r="G170" s="32" t="s">
        <v>257</v>
      </c>
    </row>
    <row r="171" ht="16.5" customHeight="1">
      <c r="A171" s="32">
        <v>170.0</v>
      </c>
      <c r="B171" s="32" t="s">
        <v>533</v>
      </c>
      <c r="C171" s="32" t="s">
        <v>184</v>
      </c>
      <c r="D171" s="32" t="s">
        <v>254</v>
      </c>
      <c r="E171" s="32" t="s">
        <v>291</v>
      </c>
    </row>
    <row r="172" ht="16.5" customHeight="1">
      <c r="A172" s="32">
        <v>171.0</v>
      </c>
      <c r="B172" s="32" t="s">
        <v>534</v>
      </c>
      <c r="C172" s="32" t="s">
        <v>184</v>
      </c>
      <c r="D172" s="32" t="s">
        <v>192</v>
      </c>
      <c r="E172" s="32" t="s">
        <v>291</v>
      </c>
      <c r="F172" s="32" t="s">
        <v>300</v>
      </c>
      <c r="G172" s="32" t="s">
        <v>535</v>
      </c>
    </row>
    <row r="173" ht="16.5" customHeight="1">
      <c r="A173" s="32">
        <v>172.0</v>
      </c>
      <c r="B173" s="32" t="s">
        <v>536</v>
      </c>
      <c r="C173" s="32" t="s">
        <v>184</v>
      </c>
      <c r="D173" s="32" t="s">
        <v>192</v>
      </c>
      <c r="E173" s="32" t="s">
        <v>291</v>
      </c>
      <c r="F173" s="32" t="s">
        <v>300</v>
      </c>
      <c r="G173" s="32" t="s">
        <v>537</v>
      </c>
    </row>
    <row r="174" ht="16.5" customHeight="1">
      <c r="A174" s="32">
        <v>173.0</v>
      </c>
      <c r="B174" s="32" t="s">
        <v>538</v>
      </c>
      <c r="C174" s="32" t="s">
        <v>184</v>
      </c>
      <c r="D174" s="32" t="s">
        <v>192</v>
      </c>
      <c r="E174" s="32" t="s">
        <v>291</v>
      </c>
      <c r="F174" s="32" t="s">
        <v>300</v>
      </c>
      <c r="G174" s="32" t="s">
        <v>387</v>
      </c>
    </row>
    <row r="175" ht="16.5" customHeight="1">
      <c r="A175" s="32">
        <v>174.0</v>
      </c>
      <c r="B175" s="32" t="s">
        <v>539</v>
      </c>
      <c r="C175" s="32" t="s">
        <v>184</v>
      </c>
      <c r="D175" s="32" t="s">
        <v>219</v>
      </c>
      <c r="E175" s="32" t="s">
        <v>291</v>
      </c>
      <c r="F175" s="32" t="s">
        <v>241</v>
      </c>
      <c r="G175" s="32" t="s">
        <v>292</v>
      </c>
    </row>
    <row r="176" ht="16.5" customHeight="1">
      <c r="A176" s="32">
        <v>175.0</v>
      </c>
      <c r="B176" s="32" t="s">
        <v>540</v>
      </c>
      <c r="C176" s="32" t="s">
        <v>184</v>
      </c>
      <c r="D176" s="32" t="s">
        <v>192</v>
      </c>
      <c r="E176" s="32" t="s">
        <v>291</v>
      </c>
      <c r="F176" s="32" t="s">
        <v>300</v>
      </c>
      <c r="G176" s="32" t="s">
        <v>387</v>
      </c>
    </row>
    <row r="177" ht="16.5" customHeight="1">
      <c r="A177" s="32">
        <v>176.0</v>
      </c>
      <c r="B177" s="32" t="s">
        <v>541</v>
      </c>
      <c r="C177" s="32" t="s">
        <v>184</v>
      </c>
      <c r="D177" s="32" t="s">
        <v>185</v>
      </c>
      <c r="E177" s="32" t="s">
        <v>291</v>
      </c>
      <c r="F177" s="32" t="s">
        <v>187</v>
      </c>
    </row>
    <row r="178" ht="16.5" customHeight="1">
      <c r="A178" s="32">
        <v>177.0</v>
      </c>
      <c r="B178" s="32" t="s">
        <v>542</v>
      </c>
      <c r="C178" s="32" t="s">
        <v>184</v>
      </c>
      <c r="D178" s="32" t="s">
        <v>254</v>
      </c>
      <c r="E178" s="32" t="s">
        <v>291</v>
      </c>
      <c r="F178" s="32" t="s">
        <v>257</v>
      </c>
      <c r="G178" s="32" t="s">
        <v>256</v>
      </c>
    </row>
    <row r="179" ht="16.5" customHeight="1">
      <c r="A179" s="32">
        <v>178.0</v>
      </c>
      <c r="B179" s="32" t="s">
        <v>543</v>
      </c>
      <c r="C179" s="32" t="s">
        <v>184</v>
      </c>
      <c r="D179" s="32" t="s">
        <v>228</v>
      </c>
      <c r="E179" s="32" t="s">
        <v>291</v>
      </c>
      <c r="F179" s="32" t="s">
        <v>544</v>
      </c>
      <c r="G179" s="32" t="s">
        <v>545</v>
      </c>
    </row>
    <row r="180" ht="16.5" customHeight="1">
      <c r="A180" s="32">
        <v>179.0</v>
      </c>
      <c r="B180" s="32" t="s">
        <v>546</v>
      </c>
      <c r="C180" s="32" t="s">
        <v>184</v>
      </c>
      <c r="D180" s="32" t="s">
        <v>228</v>
      </c>
      <c r="E180" s="32" t="s">
        <v>291</v>
      </c>
      <c r="F180" s="32" t="s">
        <v>544</v>
      </c>
      <c r="G180" s="32" t="s">
        <v>545</v>
      </c>
    </row>
    <row r="181" ht="16.5" customHeight="1">
      <c r="A181" s="32">
        <v>180.0</v>
      </c>
      <c r="B181" s="32" t="s">
        <v>547</v>
      </c>
      <c r="C181" s="32" t="s">
        <v>184</v>
      </c>
      <c r="D181" s="32" t="s">
        <v>234</v>
      </c>
      <c r="E181" s="32" t="s">
        <v>291</v>
      </c>
      <c r="F181" s="32" t="s">
        <v>347</v>
      </c>
      <c r="G181" s="32" t="s">
        <v>382</v>
      </c>
    </row>
    <row r="182" ht="16.5" customHeight="1">
      <c r="A182" s="32">
        <v>181.0</v>
      </c>
      <c r="B182" s="32" t="s">
        <v>548</v>
      </c>
      <c r="C182" s="32" t="s">
        <v>184</v>
      </c>
      <c r="D182" s="32" t="s">
        <v>234</v>
      </c>
      <c r="E182" s="32" t="s">
        <v>291</v>
      </c>
      <c r="F182" s="32" t="s">
        <v>235</v>
      </c>
      <c r="G182" s="32" t="s">
        <v>236</v>
      </c>
    </row>
    <row r="183" ht="16.5" customHeight="1">
      <c r="A183" s="32">
        <v>182.0</v>
      </c>
      <c r="B183" s="32" t="s">
        <v>549</v>
      </c>
      <c r="C183" s="32" t="s">
        <v>184</v>
      </c>
      <c r="D183" s="32" t="s">
        <v>234</v>
      </c>
      <c r="E183" s="32" t="s">
        <v>291</v>
      </c>
      <c r="F183" s="32" t="s">
        <v>235</v>
      </c>
      <c r="G183" s="32" t="s">
        <v>243</v>
      </c>
    </row>
    <row r="184" ht="16.5" customHeight="1">
      <c r="A184" s="32">
        <v>183.0</v>
      </c>
      <c r="B184" s="32" t="s">
        <v>550</v>
      </c>
      <c r="C184" s="32" t="s">
        <v>184</v>
      </c>
      <c r="D184" s="32" t="s">
        <v>234</v>
      </c>
      <c r="E184" s="32" t="s">
        <v>291</v>
      </c>
      <c r="F184" s="32" t="s">
        <v>415</v>
      </c>
      <c r="G184" s="32" t="s">
        <v>236</v>
      </c>
    </row>
    <row r="185" ht="16.5" customHeight="1">
      <c r="A185" s="32">
        <v>184.0</v>
      </c>
      <c r="B185" s="32" t="s">
        <v>551</v>
      </c>
      <c r="C185" s="32" t="s">
        <v>184</v>
      </c>
      <c r="D185" s="32" t="s">
        <v>285</v>
      </c>
      <c r="E185" s="32" t="s">
        <v>291</v>
      </c>
      <c r="F185" s="32" t="s">
        <v>552</v>
      </c>
      <c r="G185" s="32" t="s">
        <v>553</v>
      </c>
    </row>
    <row r="186" ht="16.5" customHeight="1">
      <c r="A186" s="32">
        <v>185.0</v>
      </c>
      <c r="B186" s="32" t="s">
        <v>554</v>
      </c>
      <c r="C186" s="32" t="s">
        <v>184</v>
      </c>
      <c r="D186" s="32" t="s">
        <v>185</v>
      </c>
      <c r="E186" s="32" t="s">
        <v>291</v>
      </c>
      <c r="F186" s="32" t="s">
        <v>555</v>
      </c>
    </row>
    <row r="187" ht="16.5" customHeight="1">
      <c r="A187" s="32">
        <v>186.0</v>
      </c>
      <c r="B187" s="32" t="s">
        <v>556</v>
      </c>
      <c r="C187" s="32" t="s">
        <v>184</v>
      </c>
      <c r="D187" s="32" t="s">
        <v>185</v>
      </c>
      <c r="E187" s="32" t="s">
        <v>255</v>
      </c>
    </row>
    <row r="188" ht="16.5" customHeight="1">
      <c r="A188" s="32">
        <v>187.0</v>
      </c>
      <c r="B188" s="32" t="s">
        <v>557</v>
      </c>
      <c r="C188" s="32" t="s">
        <v>184</v>
      </c>
      <c r="D188" s="32" t="s">
        <v>185</v>
      </c>
      <c r="E188" s="32" t="s">
        <v>291</v>
      </c>
      <c r="F188" s="32" t="s">
        <v>508</v>
      </c>
    </row>
    <row r="189" ht="16.5" customHeight="1">
      <c r="A189" s="32">
        <v>188.0</v>
      </c>
      <c r="B189" s="32" t="s">
        <v>558</v>
      </c>
      <c r="C189" s="32" t="s">
        <v>184</v>
      </c>
      <c r="D189" s="32" t="s">
        <v>185</v>
      </c>
      <c r="E189" s="32" t="s">
        <v>291</v>
      </c>
    </row>
    <row r="190" ht="16.5" customHeight="1">
      <c r="A190" s="32">
        <v>189.0</v>
      </c>
      <c r="B190" s="32" t="s">
        <v>559</v>
      </c>
      <c r="C190" s="32" t="s">
        <v>184</v>
      </c>
      <c r="D190" s="32" t="s">
        <v>254</v>
      </c>
      <c r="E190" s="32" t="s">
        <v>291</v>
      </c>
      <c r="F190" s="32" t="s">
        <v>305</v>
      </c>
      <c r="G190" s="32" t="s">
        <v>371</v>
      </c>
    </row>
    <row r="191" ht="16.5" customHeight="1">
      <c r="A191" s="32">
        <v>190.0</v>
      </c>
      <c r="B191" s="32" t="s">
        <v>560</v>
      </c>
      <c r="C191" s="32" t="s">
        <v>184</v>
      </c>
      <c r="D191" s="32" t="s">
        <v>285</v>
      </c>
      <c r="E191" s="32" t="s">
        <v>291</v>
      </c>
      <c r="F191" s="32" t="s">
        <v>188</v>
      </c>
      <c r="G191" s="32" t="s">
        <v>561</v>
      </c>
    </row>
    <row r="192" ht="16.5" customHeight="1">
      <c r="A192" s="32">
        <v>191.0</v>
      </c>
      <c r="B192" s="32" t="s">
        <v>562</v>
      </c>
      <c r="C192" s="32" t="s">
        <v>184</v>
      </c>
      <c r="D192" s="32" t="s">
        <v>185</v>
      </c>
      <c r="E192" s="32" t="s">
        <v>291</v>
      </c>
      <c r="F192" s="32" t="s">
        <v>271</v>
      </c>
      <c r="G192" s="32" t="s">
        <v>563</v>
      </c>
    </row>
    <row r="193" ht="16.5" customHeight="1">
      <c r="A193" s="32">
        <v>192.0</v>
      </c>
      <c r="B193" s="32" t="s">
        <v>564</v>
      </c>
      <c r="C193" s="32" t="s">
        <v>184</v>
      </c>
      <c r="D193" s="32" t="s">
        <v>219</v>
      </c>
      <c r="E193" s="32" t="s">
        <v>291</v>
      </c>
    </row>
    <row r="194" ht="16.5" customHeight="1">
      <c r="A194" s="32">
        <v>193.0</v>
      </c>
      <c r="B194" s="32" t="s">
        <v>565</v>
      </c>
      <c r="C194" s="32" t="s">
        <v>184</v>
      </c>
      <c r="D194" s="32" t="s">
        <v>185</v>
      </c>
      <c r="E194" s="32" t="s">
        <v>291</v>
      </c>
      <c r="F194" s="32" t="s">
        <v>271</v>
      </c>
      <c r="G194" s="32" t="s">
        <v>566</v>
      </c>
    </row>
    <row r="195" ht="16.5" customHeight="1">
      <c r="A195" s="32">
        <v>194.0</v>
      </c>
      <c r="B195" s="32" t="s">
        <v>567</v>
      </c>
      <c r="C195" s="32" t="s">
        <v>184</v>
      </c>
      <c r="D195" s="32" t="s">
        <v>234</v>
      </c>
      <c r="E195" s="32" t="s">
        <v>291</v>
      </c>
      <c r="F195" s="32" t="s">
        <v>347</v>
      </c>
      <c r="G195" s="32" t="s">
        <v>568</v>
      </c>
    </row>
    <row r="196" ht="16.5" customHeight="1">
      <c r="A196" s="32">
        <v>195.0</v>
      </c>
      <c r="B196" s="32" t="s">
        <v>569</v>
      </c>
      <c r="C196" s="32" t="s">
        <v>184</v>
      </c>
      <c r="D196" s="32" t="s">
        <v>192</v>
      </c>
      <c r="E196" s="32" t="s">
        <v>291</v>
      </c>
      <c r="F196" s="32" t="s">
        <v>570</v>
      </c>
      <c r="G196" s="32" t="s">
        <v>447</v>
      </c>
    </row>
    <row r="197" ht="16.5" customHeight="1">
      <c r="A197" s="32">
        <v>196.0</v>
      </c>
      <c r="B197" s="32" t="s">
        <v>571</v>
      </c>
      <c r="C197" s="32" t="s">
        <v>184</v>
      </c>
      <c r="D197" s="32" t="s">
        <v>192</v>
      </c>
      <c r="E197" s="32" t="s">
        <v>291</v>
      </c>
      <c r="F197" s="32" t="s">
        <v>570</v>
      </c>
      <c r="G197" s="32" t="s">
        <v>447</v>
      </c>
    </row>
    <row r="198" ht="16.5" customHeight="1">
      <c r="A198" s="32">
        <v>197.0</v>
      </c>
      <c r="B198" s="32" t="s">
        <v>572</v>
      </c>
      <c r="C198" s="32" t="s">
        <v>184</v>
      </c>
      <c r="D198" s="32" t="s">
        <v>219</v>
      </c>
      <c r="E198" s="32" t="s">
        <v>291</v>
      </c>
      <c r="F198" s="32" t="s">
        <v>232</v>
      </c>
      <c r="G198" s="32" t="s">
        <v>233</v>
      </c>
    </row>
    <row r="199" ht="16.5" customHeight="1">
      <c r="A199" s="32">
        <v>198.0</v>
      </c>
      <c r="B199" s="32" t="s">
        <v>573</v>
      </c>
      <c r="C199" s="32" t="s">
        <v>184</v>
      </c>
      <c r="D199" s="32" t="s">
        <v>185</v>
      </c>
      <c r="E199" s="32" t="s">
        <v>291</v>
      </c>
      <c r="F199" s="32" t="s">
        <v>187</v>
      </c>
      <c r="G199" s="32" t="s">
        <v>480</v>
      </c>
    </row>
    <row r="200" ht="16.5" customHeight="1">
      <c r="A200" s="32">
        <v>199.0</v>
      </c>
      <c r="B200" s="32" t="s">
        <v>574</v>
      </c>
      <c r="C200" s="32" t="s">
        <v>184</v>
      </c>
      <c r="D200" s="32" t="s">
        <v>192</v>
      </c>
      <c r="E200" s="32" t="s">
        <v>291</v>
      </c>
      <c r="F200" s="32" t="s">
        <v>329</v>
      </c>
      <c r="G200" s="32" t="s">
        <v>457</v>
      </c>
    </row>
    <row r="201" ht="16.5" customHeight="1">
      <c r="A201" s="32">
        <v>200.0</v>
      </c>
      <c r="B201" s="32" t="s">
        <v>575</v>
      </c>
      <c r="C201" s="32" t="s">
        <v>184</v>
      </c>
      <c r="D201" s="32" t="s">
        <v>192</v>
      </c>
      <c r="E201" s="32" t="s">
        <v>291</v>
      </c>
      <c r="F201" s="32" t="s">
        <v>329</v>
      </c>
      <c r="G201" s="32" t="s">
        <v>447</v>
      </c>
    </row>
    <row r="202" ht="16.5" customHeight="1">
      <c r="A202" s="32">
        <v>201.0</v>
      </c>
      <c r="B202" s="32" t="s">
        <v>576</v>
      </c>
      <c r="C202" s="32" t="s">
        <v>184</v>
      </c>
      <c r="D202" s="32" t="s">
        <v>234</v>
      </c>
      <c r="E202" s="32" t="s">
        <v>291</v>
      </c>
      <c r="F202" s="32" t="s">
        <v>347</v>
      </c>
      <c r="G202" s="32" t="s">
        <v>577</v>
      </c>
    </row>
    <row r="203" ht="16.5" customHeight="1">
      <c r="A203" s="32">
        <v>202.0</v>
      </c>
      <c r="B203" s="32" t="s">
        <v>578</v>
      </c>
      <c r="C203" s="32" t="s">
        <v>184</v>
      </c>
      <c r="D203" s="32" t="s">
        <v>192</v>
      </c>
      <c r="E203" s="32" t="s">
        <v>291</v>
      </c>
      <c r="F203" s="32" t="s">
        <v>329</v>
      </c>
      <c r="G203" s="32" t="s">
        <v>579</v>
      </c>
    </row>
    <row r="204" ht="16.5" customHeight="1">
      <c r="A204" s="32">
        <v>203.0</v>
      </c>
      <c r="B204" s="32" t="s">
        <v>580</v>
      </c>
      <c r="C204" s="32" t="s">
        <v>184</v>
      </c>
      <c r="D204" s="35" t="s">
        <v>361</v>
      </c>
      <c r="E204" s="32" t="s">
        <v>291</v>
      </c>
      <c r="F204" s="32" t="s">
        <v>362</v>
      </c>
      <c r="G204" s="32" t="s">
        <v>447</v>
      </c>
    </row>
    <row r="205" ht="16.5" customHeight="1">
      <c r="A205" s="32">
        <v>204.0</v>
      </c>
      <c r="B205" s="32" t="s">
        <v>581</v>
      </c>
      <c r="C205" s="32" t="s">
        <v>184</v>
      </c>
      <c r="D205" s="32" t="s">
        <v>254</v>
      </c>
      <c r="E205" s="32" t="s">
        <v>291</v>
      </c>
      <c r="F205" s="32" t="s">
        <v>257</v>
      </c>
      <c r="G205" s="32" t="s">
        <v>271</v>
      </c>
    </row>
    <row r="206" ht="16.5" customHeight="1">
      <c r="A206" s="32">
        <v>205.0</v>
      </c>
      <c r="B206" s="32" t="s">
        <v>582</v>
      </c>
      <c r="C206" s="32" t="s">
        <v>184</v>
      </c>
      <c r="D206" s="32" t="s">
        <v>219</v>
      </c>
      <c r="E206" s="32" t="s">
        <v>291</v>
      </c>
      <c r="F206" s="32" t="s">
        <v>223</v>
      </c>
    </row>
    <row r="207" ht="16.5" customHeight="1">
      <c r="A207" s="32">
        <v>206.0</v>
      </c>
      <c r="B207" s="32" t="s">
        <v>583</v>
      </c>
      <c r="C207" s="32" t="s">
        <v>184</v>
      </c>
      <c r="D207" s="32" t="s">
        <v>219</v>
      </c>
      <c r="E207" s="32" t="s">
        <v>291</v>
      </c>
      <c r="F207" s="32" t="s">
        <v>223</v>
      </c>
    </row>
    <row r="208" ht="16.5" customHeight="1">
      <c r="A208" s="32">
        <v>207.0</v>
      </c>
      <c r="B208" s="32" t="s">
        <v>584</v>
      </c>
      <c r="C208" s="32" t="s">
        <v>184</v>
      </c>
      <c r="D208" s="32" t="s">
        <v>219</v>
      </c>
      <c r="E208" s="32" t="s">
        <v>291</v>
      </c>
      <c r="F208" s="32" t="s">
        <v>223</v>
      </c>
    </row>
    <row r="209" ht="16.5" customHeight="1">
      <c r="A209" s="32">
        <v>208.0</v>
      </c>
      <c r="B209" s="32" t="s">
        <v>585</v>
      </c>
      <c r="C209" s="32" t="s">
        <v>184</v>
      </c>
      <c r="D209" s="32" t="s">
        <v>219</v>
      </c>
      <c r="E209" s="32" t="s">
        <v>291</v>
      </c>
      <c r="F209" s="32" t="s">
        <v>223</v>
      </c>
    </row>
    <row r="210" ht="16.5" customHeight="1">
      <c r="A210" s="32">
        <v>209.0</v>
      </c>
      <c r="B210" s="32" t="s">
        <v>586</v>
      </c>
      <c r="C210" s="32" t="s">
        <v>184</v>
      </c>
      <c r="D210" s="32" t="s">
        <v>219</v>
      </c>
      <c r="E210" s="32" t="s">
        <v>291</v>
      </c>
      <c r="F210" s="32" t="s">
        <v>223</v>
      </c>
    </row>
    <row r="211" ht="16.5" customHeight="1">
      <c r="A211" s="32">
        <v>210.0</v>
      </c>
      <c r="B211" s="32" t="s">
        <v>587</v>
      </c>
      <c r="C211" s="32" t="s">
        <v>184</v>
      </c>
      <c r="D211" s="32" t="s">
        <v>219</v>
      </c>
      <c r="E211" s="32" t="s">
        <v>291</v>
      </c>
      <c r="F211" s="32" t="s">
        <v>223</v>
      </c>
    </row>
    <row r="212" ht="16.5" customHeight="1">
      <c r="A212" s="32">
        <v>211.0</v>
      </c>
      <c r="B212" s="32" t="s">
        <v>588</v>
      </c>
      <c r="C212" s="32" t="s">
        <v>184</v>
      </c>
      <c r="D212" s="32" t="s">
        <v>228</v>
      </c>
      <c r="E212" s="32" t="s">
        <v>291</v>
      </c>
    </row>
    <row r="213" ht="16.5" customHeight="1">
      <c r="A213" s="32">
        <v>212.0</v>
      </c>
      <c r="B213" s="32" t="s">
        <v>589</v>
      </c>
      <c r="C213" s="32" t="s">
        <v>184</v>
      </c>
      <c r="D213" s="32" t="s">
        <v>185</v>
      </c>
      <c r="E213" s="32" t="s">
        <v>291</v>
      </c>
      <c r="F213" s="32" t="s">
        <v>187</v>
      </c>
      <c r="G213" s="32" t="s">
        <v>590</v>
      </c>
    </row>
    <row r="214" ht="16.5" customHeight="1">
      <c r="A214" s="32">
        <v>213.0</v>
      </c>
      <c r="B214" s="32" t="s">
        <v>591</v>
      </c>
      <c r="C214" s="32" t="s">
        <v>184</v>
      </c>
      <c r="D214" s="32" t="s">
        <v>185</v>
      </c>
      <c r="E214" s="32" t="s">
        <v>291</v>
      </c>
      <c r="F214" s="32" t="s">
        <v>187</v>
      </c>
      <c r="G214" s="32" t="s">
        <v>188</v>
      </c>
    </row>
    <row r="215" ht="16.5" customHeight="1">
      <c r="A215" s="32">
        <v>214.0</v>
      </c>
      <c r="B215" s="32" t="s">
        <v>592</v>
      </c>
      <c r="C215" s="32" t="s">
        <v>184</v>
      </c>
      <c r="D215" s="32" t="s">
        <v>254</v>
      </c>
      <c r="E215" s="32" t="s">
        <v>291</v>
      </c>
      <c r="F215" s="32" t="s">
        <v>305</v>
      </c>
      <c r="G215" s="32" t="s">
        <v>593</v>
      </c>
    </row>
    <row r="216" ht="16.5" customHeight="1">
      <c r="A216" s="32">
        <v>215.0</v>
      </c>
      <c r="B216" s="32" t="s">
        <v>594</v>
      </c>
      <c r="C216" s="32" t="s">
        <v>184</v>
      </c>
      <c r="D216" s="32" t="s">
        <v>234</v>
      </c>
      <c r="E216" s="32" t="s">
        <v>291</v>
      </c>
      <c r="F216" s="32" t="s">
        <v>347</v>
      </c>
      <c r="G216" s="32" t="s">
        <v>382</v>
      </c>
    </row>
    <row r="217" ht="16.5" customHeight="1">
      <c r="A217" s="32">
        <v>216.0</v>
      </c>
      <c r="B217" s="32" t="s">
        <v>595</v>
      </c>
      <c r="C217" s="32" t="s">
        <v>184</v>
      </c>
      <c r="D217" s="32" t="s">
        <v>219</v>
      </c>
      <c r="E217" s="32" t="s">
        <v>291</v>
      </c>
      <c r="F217" s="32" t="s">
        <v>223</v>
      </c>
    </row>
    <row r="218" ht="16.5" customHeight="1">
      <c r="A218" s="32">
        <v>217.0</v>
      </c>
      <c r="B218" s="32" t="s">
        <v>596</v>
      </c>
      <c r="C218" s="32" t="s">
        <v>184</v>
      </c>
      <c r="D218" s="32" t="s">
        <v>219</v>
      </c>
      <c r="E218" s="32" t="s">
        <v>291</v>
      </c>
      <c r="F218" s="32" t="s">
        <v>223</v>
      </c>
    </row>
    <row r="219" ht="16.5" customHeight="1">
      <c r="A219" s="32">
        <v>218.0</v>
      </c>
      <c r="B219" s="32" t="s">
        <v>597</v>
      </c>
      <c r="C219" s="32" t="s">
        <v>184</v>
      </c>
      <c r="D219" s="32" t="s">
        <v>228</v>
      </c>
      <c r="E219" s="32" t="s">
        <v>291</v>
      </c>
      <c r="F219" s="32" t="s">
        <v>408</v>
      </c>
      <c r="G219" s="32" t="s">
        <v>490</v>
      </c>
    </row>
    <row r="220" ht="16.5" customHeight="1">
      <c r="A220" s="32">
        <v>219.0</v>
      </c>
      <c r="B220" s="32" t="s">
        <v>598</v>
      </c>
      <c r="C220" s="32" t="s">
        <v>184</v>
      </c>
      <c r="D220" s="32" t="s">
        <v>192</v>
      </c>
      <c r="E220" s="32" t="s">
        <v>291</v>
      </c>
    </row>
    <row r="221" ht="16.5" customHeight="1">
      <c r="A221" s="32">
        <v>220.0</v>
      </c>
      <c r="B221" s="32" t="s">
        <v>599</v>
      </c>
      <c r="C221" s="32" t="s">
        <v>184</v>
      </c>
      <c r="D221" s="32" t="s">
        <v>254</v>
      </c>
      <c r="E221" s="32" t="s">
        <v>291</v>
      </c>
      <c r="F221" s="32" t="s">
        <v>305</v>
      </c>
      <c r="G221" s="32" t="s">
        <v>600</v>
      </c>
    </row>
    <row r="222" ht="16.5" customHeight="1">
      <c r="A222" s="32">
        <v>221.0</v>
      </c>
      <c r="B222" s="32" t="s">
        <v>601</v>
      </c>
      <c r="C222" s="32" t="s">
        <v>184</v>
      </c>
      <c r="D222" s="32" t="s">
        <v>214</v>
      </c>
      <c r="E222" s="32" t="s">
        <v>291</v>
      </c>
      <c r="F222" s="32" t="s">
        <v>216</v>
      </c>
      <c r="G222" s="32" t="s">
        <v>217</v>
      </c>
    </row>
    <row r="223" ht="16.5" customHeight="1">
      <c r="A223" s="32">
        <v>222.0</v>
      </c>
      <c r="B223" s="32" t="s">
        <v>602</v>
      </c>
      <c r="C223" s="32" t="s">
        <v>184</v>
      </c>
      <c r="D223" s="32" t="s">
        <v>228</v>
      </c>
      <c r="E223" s="32" t="s">
        <v>291</v>
      </c>
      <c r="F223" s="32" t="s">
        <v>408</v>
      </c>
      <c r="G223" s="32" t="s">
        <v>452</v>
      </c>
    </row>
    <row r="224" ht="16.5" customHeight="1">
      <c r="A224" s="32">
        <v>223.0</v>
      </c>
      <c r="B224" s="32" t="s">
        <v>603</v>
      </c>
      <c r="C224" s="32" t="s">
        <v>184</v>
      </c>
      <c r="D224" s="32" t="s">
        <v>214</v>
      </c>
      <c r="E224" s="32" t="s">
        <v>291</v>
      </c>
      <c r="F224" s="32" t="s">
        <v>604</v>
      </c>
    </row>
    <row r="225" ht="16.5" customHeight="1">
      <c r="A225" s="32">
        <v>224.0</v>
      </c>
      <c r="B225" s="32" t="s">
        <v>605</v>
      </c>
      <c r="C225" s="32" t="s">
        <v>184</v>
      </c>
      <c r="D225" s="32" t="s">
        <v>185</v>
      </c>
      <c r="E225" s="32" t="s">
        <v>291</v>
      </c>
      <c r="F225" s="32" t="s">
        <v>555</v>
      </c>
    </row>
    <row r="226" ht="16.5" customHeight="1">
      <c r="A226" s="32">
        <v>225.0</v>
      </c>
      <c r="B226" s="32" t="s">
        <v>606</v>
      </c>
      <c r="C226" s="32" t="s">
        <v>184</v>
      </c>
      <c r="D226" s="32" t="s">
        <v>185</v>
      </c>
      <c r="E226" s="32" t="s">
        <v>291</v>
      </c>
      <c r="F226" s="32" t="s">
        <v>508</v>
      </c>
    </row>
    <row r="227" ht="16.5" customHeight="1">
      <c r="A227" s="32">
        <v>226.0</v>
      </c>
      <c r="B227" s="32" t="s">
        <v>607</v>
      </c>
      <c r="C227" s="32" t="s">
        <v>184</v>
      </c>
      <c r="D227" s="32" t="s">
        <v>285</v>
      </c>
      <c r="E227" s="32" t="s">
        <v>291</v>
      </c>
      <c r="F227" s="32" t="s">
        <v>552</v>
      </c>
    </row>
    <row r="228" ht="16.5" customHeight="1">
      <c r="A228" s="32">
        <v>227.0</v>
      </c>
      <c r="B228" s="32" t="s">
        <v>608</v>
      </c>
      <c r="C228" s="32" t="s">
        <v>184</v>
      </c>
      <c r="D228" s="32" t="s">
        <v>285</v>
      </c>
      <c r="E228" s="32" t="s">
        <v>291</v>
      </c>
      <c r="F228" s="32" t="s">
        <v>552</v>
      </c>
    </row>
    <row r="229" ht="16.5" customHeight="1">
      <c r="A229" s="32">
        <v>228.0</v>
      </c>
      <c r="B229" s="32" t="s">
        <v>609</v>
      </c>
      <c r="C229" s="32" t="s">
        <v>184</v>
      </c>
      <c r="D229" s="32" t="s">
        <v>192</v>
      </c>
      <c r="E229" s="32" t="s">
        <v>291</v>
      </c>
      <c r="F229" s="32" t="s">
        <v>329</v>
      </c>
      <c r="G229" s="32" t="s">
        <v>447</v>
      </c>
    </row>
    <row r="230" ht="16.5" customHeight="1">
      <c r="A230" s="32">
        <v>229.0</v>
      </c>
      <c r="B230" s="32" t="s">
        <v>610</v>
      </c>
      <c r="C230" s="32" t="s">
        <v>184</v>
      </c>
      <c r="D230" s="32" t="s">
        <v>192</v>
      </c>
      <c r="E230" s="32" t="s">
        <v>291</v>
      </c>
      <c r="F230" s="32" t="s">
        <v>329</v>
      </c>
      <c r="G230" s="32" t="s">
        <v>447</v>
      </c>
    </row>
    <row r="231" ht="16.5" customHeight="1">
      <c r="A231" s="32">
        <v>230.0</v>
      </c>
      <c r="B231" s="32" t="s">
        <v>611</v>
      </c>
      <c r="C231" s="32" t="s">
        <v>184</v>
      </c>
      <c r="D231" s="32" t="s">
        <v>192</v>
      </c>
      <c r="E231" s="32" t="s">
        <v>291</v>
      </c>
      <c r="F231" s="32" t="s">
        <v>329</v>
      </c>
      <c r="G231" s="32" t="s">
        <v>447</v>
      </c>
    </row>
    <row r="232" ht="16.5" customHeight="1">
      <c r="A232" s="32">
        <v>231.0</v>
      </c>
      <c r="B232" s="32" t="s">
        <v>612</v>
      </c>
      <c r="C232" s="32" t="s">
        <v>184</v>
      </c>
      <c r="D232" s="32" t="s">
        <v>254</v>
      </c>
      <c r="E232" s="32" t="s">
        <v>291</v>
      </c>
      <c r="F232" s="32" t="s">
        <v>257</v>
      </c>
      <c r="G232" s="32" t="s">
        <v>271</v>
      </c>
    </row>
    <row r="233" ht="16.5" customHeight="1">
      <c r="A233" s="32">
        <v>232.0</v>
      </c>
      <c r="B233" s="32" t="s">
        <v>613</v>
      </c>
      <c r="C233" s="32" t="s">
        <v>184</v>
      </c>
      <c r="D233" s="32" t="s">
        <v>254</v>
      </c>
      <c r="E233" s="32" t="s">
        <v>291</v>
      </c>
    </row>
    <row r="234" ht="16.5" customHeight="1">
      <c r="A234" s="32">
        <v>233.0</v>
      </c>
      <c r="B234" s="32" t="s">
        <v>614</v>
      </c>
      <c r="C234" s="32" t="s">
        <v>184</v>
      </c>
      <c r="D234" s="32" t="s">
        <v>192</v>
      </c>
      <c r="E234" s="32" t="s">
        <v>291</v>
      </c>
      <c r="F234" s="32" t="s">
        <v>329</v>
      </c>
      <c r="G234" s="32" t="s">
        <v>357</v>
      </c>
    </row>
    <row r="235" ht="16.5" customHeight="1">
      <c r="A235" s="32">
        <v>234.0</v>
      </c>
      <c r="B235" s="32" t="s">
        <v>615</v>
      </c>
      <c r="C235" s="32" t="s">
        <v>184</v>
      </c>
      <c r="D235" s="32" t="s">
        <v>192</v>
      </c>
      <c r="E235" s="32" t="s">
        <v>291</v>
      </c>
      <c r="F235" s="32" t="s">
        <v>329</v>
      </c>
      <c r="G235" s="32" t="s">
        <v>447</v>
      </c>
    </row>
    <row r="236" ht="16.5" customHeight="1">
      <c r="A236" s="32">
        <v>235.0</v>
      </c>
      <c r="B236" s="32" t="s">
        <v>616</v>
      </c>
      <c r="C236" s="32" t="s">
        <v>184</v>
      </c>
      <c r="D236" s="32" t="s">
        <v>228</v>
      </c>
      <c r="E236" s="32" t="s">
        <v>291</v>
      </c>
      <c r="F236" s="32" t="s">
        <v>229</v>
      </c>
      <c r="G236" s="32" t="s">
        <v>230</v>
      </c>
    </row>
    <row r="237" ht="16.5" customHeight="1">
      <c r="A237" s="32">
        <v>236.0</v>
      </c>
      <c r="B237" s="32" t="s">
        <v>617</v>
      </c>
      <c r="C237" s="32" t="s">
        <v>184</v>
      </c>
      <c r="D237" s="32" t="s">
        <v>192</v>
      </c>
      <c r="E237" s="32" t="s">
        <v>291</v>
      </c>
      <c r="F237" s="32" t="s">
        <v>238</v>
      </c>
      <c r="G237" s="32" t="s">
        <v>618</v>
      </c>
    </row>
    <row r="238" ht="16.5" customHeight="1">
      <c r="A238" s="32">
        <v>237.0</v>
      </c>
      <c r="B238" s="32" t="s">
        <v>619</v>
      </c>
      <c r="C238" s="32" t="s">
        <v>184</v>
      </c>
      <c r="D238" s="32" t="s">
        <v>254</v>
      </c>
      <c r="E238" s="32" t="s">
        <v>291</v>
      </c>
      <c r="F238" s="32" t="s">
        <v>257</v>
      </c>
      <c r="G238" s="32" t="s">
        <v>271</v>
      </c>
    </row>
    <row r="239" ht="16.5" customHeight="1">
      <c r="A239" s="32">
        <v>238.0</v>
      </c>
      <c r="B239" s="32" t="s">
        <v>620</v>
      </c>
      <c r="C239" s="32" t="s">
        <v>184</v>
      </c>
      <c r="D239" s="32" t="s">
        <v>254</v>
      </c>
      <c r="E239" s="32" t="s">
        <v>291</v>
      </c>
      <c r="F239" s="32" t="s">
        <v>257</v>
      </c>
    </row>
    <row r="240" ht="16.5" customHeight="1">
      <c r="A240" s="32">
        <v>239.0</v>
      </c>
      <c r="B240" s="32" t="s">
        <v>621</v>
      </c>
      <c r="C240" s="32" t="s">
        <v>184</v>
      </c>
      <c r="D240" s="32" t="s">
        <v>254</v>
      </c>
      <c r="E240" s="32" t="s">
        <v>291</v>
      </c>
      <c r="F240" s="32" t="s">
        <v>257</v>
      </c>
      <c r="G240" s="32" t="s">
        <v>271</v>
      </c>
    </row>
    <row r="241" ht="16.5" customHeight="1">
      <c r="A241" s="32">
        <v>240.0</v>
      </c>
      <c r="B241" s="32" t="s">
        <v>622</v>
      </c>
      <c r="C241" s="32" t="s">
        <v>184</v>
      </c>
      <c r="D241" s="32" t="s">
        <v>192</v>
      </c>
      <c r="E241" s="32" t="s">
        <v>291</v>
      </c>
    </row>
    <row r="242" ht="16.5" customHeight="1">
      <c r="A242" s="32">
        <v>241.0</v>
      </c>
      <c r="B242" s="32" t="s">
        <v>623</v>
      </c>
      <c r="C242" s="32" t="s">
        <v>184</v>
      </c>
      <c r="D242" s="32" t="s">
        <v>185</v>
      </c>
      <c r="E242" s="32" t="s">
        <v>291</v>
      </c>
    </row>
    <row r="243" ht="16.5" customHeight="1">
      <c r="A243" s="32">
        <v>242.0</v>
      </c>
      <c r="B243" s="32" t="s">
        <v>624</v>
      </c>
      <c r="C243" s="32" t="s">
        <v>184</v>
      </c>
      <c r="D243" s="32" t="s">
        <v>219</v>
      </c>
      <c r="E243" s="32" t="s">
        <v>291</v>
      </c>
      <c r="F243" s="32" t="s">
        <v>223</v>
      </c>
    </row>
    <row r="244" ht="16.5" customHeight="1">
      <c r="A244" s="32">
        <v>243.0</v>
      </c>
      <c r="B244" s="32" t="s">
        <v>625</v>
      </c>
      <c r="C244" s="32" t="s">
        <v>184</v>
      </c>
      <c r="D244" s="32" t="s">
        <v>228</v>
      </c>
      <c r="E244" s="32" t="s">
        <v>291</v>
      </c>
      <c r="F244" s="32" t="s">
        <v>229</v>
      </c>
      <c r="G244" s="32" t="s">
        <v>626</v>
      </c>
    </row>
    <row r="245" ht="16.5" customHeight="1">
      <c r="A245" s="32">
        <v>244.0</v>
      </c>
      <c r="B245" s="32" t="s">
        <v>627</v>
      </c>
      <c r="C245" s="32" t="s">
        <v>184</v>
      </c>
      <c r="D245" s="32" t="s">
        <v>228</v>
      </c>
      <c r="E245" s="32" t="s">
        <v>291</v>
      </c>
      <c r="F245" s="32" t="s">
        <v>229</v>
      </c>
      <c r="G245" s="32" t="s">
        <v>626</v>
      </c>
    </row>
    <row r="246" ht="16.5" customHeight="1">
      <c r="A246" s="32">
        <v>245.0</v>
      </c>
      <c r="B246" s="32" t="s">
        <v>628</v>
      </c>
      <c r="C246" s="32" t="s">
        <v>184</v>
      </c>
      <c r="D246" s="32" t="s">
        <v>325</v>
      </c>
      <c r="E246" s="32" t="s">
        <v>291</v>
      </c>
      <c r="F246" s="32" t="s">
        <v>368</v>
      </c>
      <c r="G246" s="32" t="s">
        <v>463</v>
      </c>
    </row>
    <row r="247" ht="16.5" customHeight="1">
      <c r="A247" s="32">
        <v>246.0</v>
      </c>
      <c r="B247" s="32" t="s">
        <v>629</v>
      </c>
      <c r="C247" s="32" t="s">
        <v>184</v>
      </c>
      <c r="D247" s="32" t="s">
        <v>325</v>
      </c>
      <c r="E247" s="32" t="s">
        <v>291</v>
      </c>
      <c r="F247" s="32" t="s">
        <v>630</v>
      </c>
    </row>
    <row r="248" ht="16.5" customHeight="1">
      <c r="A248" s="32">
        <v>247.0</v>
      </c>
      <c r="B248" s="32" t="s">
        <v>631</v>
      </c>
      <c r="C248" s="32" t="s">
        <v>184</v>
      </c>
      <c r="D248" s="32" t="s">
        <v>185</v>
      </c>
      <c r="E248" s="32" t="s">
        <v>291</v>
      </c>
      <c r="F248" s="32" t="s">
        <v>187</v>
      </c>
      <c r="G248" s="32" t="s">
        <v>480</v>
      </c>
    </row>
    <row r="249" ht="16.5" customHeight="1">
      <c r="A249" s="32">
        <v>248.0</v>
      </c>
      <c r="B249" s="32" t="s">
        <v>632</v>
      </c>
      <c r="C249" s="32" t="s">
        <v>184</v>
      </c>
      <c r="D249" s="32" t="s">
        <v>185</v>
      </c>
      <c r="E249" s="32" t="s">
        <v>291</v>
      </c>
      <c r="F249" s="32" t="s">
        <v>187</v>
      </c>
      <c r="G249" s="32" t="s">
        <v>188</v>
      </c>
    </row>
    <row r="250" ht="16.5" customHeight="1">
      <c r="A250" s="32">
        <v>249.0</v>
      </c>
      <c r="B250" s="32" t="s">
        <v>633</v>
      </c>
      <c r="C250" s="32" t="s">
        <v>184</v>
      </c>
      <c r="D250" s="35" t="s">
        <v>484</v>
      </c>
      <c r="E250" s="32" t="s">
        <v>291</v>
      </c>
    </row>
    <row r="251" ht="16.5" customHeight="1">
      <c r="A251" s="32">
        <v>250.0</v>
      </c>
      <c r="B251" s="32" t="s">
        <v>634</v>
      </c>
      <c r="C251" s="32" t="s">
        <v>184</v>
      </c>
      <c r="D251" s="32" t="s">
        <v>192</v>
      </c>
      <c r="E251" s="32" t="s">
        <v>291</v>
      </c>
    </row>
    <row r="252" ht="16.5" customHeight="1">
      <c r="A252" s="32">
        <v>251.0</v>
      </c>
      <c r="B252" s="32" t="s">
        <v>635</v>
      </c>
      <c r="C252" s="32" t="s">
        <v>184</v>
      </c>
      <c r="D252" s="32" t="s">
        <v>219</v>
      </c>
      <c r="E252" s="32" t="s">
        <v>291</v>
      </c>
    </row>
    <row r="253" ht="16.5" customHeight="1">
      <c r="A253" s="32">
        <v>252.0</v>
      </c>
      <c r="B253" s="32" t="s">
        <v>636</v>
      </c>
      <c r="C253" s="32" t="s">
        <v>184</v>
      </c>
      <c r="D253" s="32" t="s">
        <v>285</v>
      </c>
      <c r="E253" s="32" t="s">
        <v>291</v>
      </c>
      <c r="F253" s="32" t="s">
        <v>189</v>
      </c>
      <c r="G253" s="32" t="s">
        <v>190</v>
      </c>
    </row>
    <row r="254" ht="16.5" customHeight="1">
      <c r="A254" s="32">
        <v>253.0</v>
      </c>
      <c r="B254" s="32" t="s">
        <v>637</v>
      </c>
      <c r="C254" s="32" t="s">
        <v>184</v>
      </c>
      <c r="D254" s="35" t="s">
        <v>522</v>
      </c>
      <c r="E254" s="32" t="s">
        <v>291</v>
      </c>
    </row>
    <row r="255" ht="16.5" customHeight="1">
      <c r="A255" s="32">
        <v>254.0</v>
      </c>
      <c r="B255" s="32" t="s">
        <v>638</v>
      </c>
      <c r="C255" s="32" t="s">
        <v>184</v>
      </c>
      <c r="D255" s="32" t="s">
        <v>185</v>
      </c>
      <c r="E255" s="32" t="s">
        <v>291</v>
      </c>
      <c r="F255" s="32" t="s">
        <v>187</v>
      </c>
      <c r="G255" s="32" t="s">
        <v>480</v>
      </c>
    </row>
    <row r="256" ht="16.5" customHeight="1">
      <c r="A256" s="32">
        <v>255.0</v>
      </c>
      <c r="B256" s="32" t="s">
        <v>639</v>
      </c>
      <c r="C256" s="32" t="s">
        <v>184</v>
      </c>
      <c r="D256" s="32" t="s">
        <v>192</v>
      </c>
      <c r="E256" s="32" t="s">
        <v>291</v>
      </c>
      <c r="F256" s="32" t="s">
        <v>640</v>
      </c>
      <c r="G256" s="32" t="s">
        <v>641</v>
      </c>
    </row>
    <row r="257" ht="16.5" customHeight="1">
      <c r="A257" s="32">
        <v>256.0</v>
      </c>
      <c r="B257" s="32" t="s">
        <v>642</v>
      </c>
      <c r="C257" s="32" t="s">
        <v>184</v>
      </c>
      <c r="D257" s="32" t="s">
        <v>254</v>
      </c>
      <c r="E257" s="32" t="s">
        <v>291</v>
      </c>
      <c r="F257" s="32" t="s">
        <v>524</v>
      </c>
      <c r="G257" s="32" t="s">
        <v>190</v>
      </c>
    </row>
    <row r="258" ht="16.5" customHeight="1">
      <c r="A258" s="32">
        <v>257.0</v>
      </c>
      <c r="B258" s="32" t="s">
        <v>643</v>
      </c>
      <c r="C258" s="32" t="s">
        <v>184</v>
      </c>
      <c r="D258" s="35" t="s">
        <v>522</v>
      </c>
      <c r="E258" s="32" t="s">
        <v>291</v>
      </c>
    </row>
    <row r="259" ht="16.5" customHeight="1">
      <c r="A259" s="32">
        <v>258.0</v>
      </c>
      <c r="B259" s="32" t="s">
        <v>644</v>
      </c>
      <c r="C259" s="32" t="s">
        <v>184</v>
      </c>
      <c r="D259" s="35" t="s">
        <v>645</v>
      </c>
      <c r="E259" s="32" t="s">
        <v>291</v>
      </c>
    </row>
    <row r="260" ht="16.5" customHeight="1">
      <c r="A260" s="32">
        <v>259.0</v>
      </c>
      <c r="B260" s="32" t="s">
        <v>646</v>
      </c>
      <c r="C260" s="32" t="s">
        <v>184</v>
      </c>
      <c r="D260" s="32" t="s">
        <v>219</v>
      </c>
      <c r="E260" s="32" t="s">
        <v>291</v>
      </c>
      <c r="F260" s="32" t="s">
        <v>241</v>
      </c>
      <c r="G260" s="32" t="s">
        <v>292</v>
      </c>
    </row>
    <row r="261" ht="16.5" customHeight="1">
      <c r="A261" s="32">
        <v>260.0</v>
      </c>
      <c r="B261" s="32" t="s">
        <v>647</v>
      </c>
      <c r="C261" s="32" t="s">
        <v>184</v>
      </c>
      <c r="D261" s="32" t="s">
        <v>234</v>
      </c>
      <c r="E261" s="32" t="s">
        <v>291</v>
      </c>
      <c r="F261" s="32" t="s">
        <v>347</v>
      </c>
      <c r="G261" s="32" t="s">
        <v>382</v>
      </c>
    </row>
    <row r="262" ht="16.5" customHeight="1">
      <c r="A262" s="32">
        <v>261.0</v>
      </c>
      <c r="B262" s="32" t="s">
        <v>648</v>
      </c>
      <c r="C262" s="32" t="s">
        <v>184</v>
      </c>
      <c r="D262" s="32" t="s">
        <v>234</v>
      </c>
      <c r="E262" s="32" t="s">
        <v>291</v>
      </c>
      <c r="F262" s="32" t="s">
        <v>347</v>
      </c>
      <c r="G262" s="32" t="s">
        <v>382</v>
      </c>
    </row>
    <row r="263" ht="16.5" customHeight="1">
      <c r="A263" s="32">
        <v>262.0</v>
      </c>
      <c r="B263" s="32" t="s">
        <v>649</v>
      </c>
      <c r="C263" s="32" t="s">
        <v>184</v>
      </c>
      <c r="D263" s="32" t="s">
        <v>234</v>
      </c>
      <c r="E263" s="32" t="s">
        <v>291</v>
      </c>
      <c r="F263" s="32" t="s">
        <v>347</v>
      </c>
      <c r="G263" s="32" t="s">
        <v>382</v>
      </c>
    </row>
    <row r="264" ht="16.5" customHeight="1">
      <c r="A264" s="32">
        <v>263.0</v>
      </c>
      <c r="B264" s="32" t="s">
        <v>650</v>
      </c>
      <c r="C264" s="32" t="s">
        <v>184</v>
      </c>
      <c r="D264" s="32" t="s">
        <v>234</v>
      </c>
      <c r="E264" s="32" t="s">
        <v>291</v>
      </c>
      <c r="F264" s="32" t="s">
        <v>235</v>
      </c>
      <c r="G264" s="32" t="s">
        <v>243</v>
      </c>
    </row>
    <row r="265" ht="16.5" customHeight="1">
      <c r="A265" s="32">
        <v>264.0</v>
      </c>
      <c r="B265" s="32" t="s">
        <v>651</v>
      </c>
      <c r="C265" s="32" t="s">
        <v>184</v>
      </c>
      <c r="D265" s="32" t="s">
        <v>254</v>
      </c>
      <c r="E265" s="32" t="s">
        <v>291</v>
      </c>
      <c r="F265" s="32" t="s">
        <v>256</v>
      </c>
      <c r="G265" s="32" t="s">
        <v>257</v>
      </c>
    </row>
    <row r="266" ht="16.5" customHeight="1">
      <c r="A266" s="32">
        <v>265.0</v>
      </c>
      <c r="B266" s="32" t="s">
        <v>652</v>
      </c>
      <c r="C266" s="32" t="s">
        <v>184</v>
      </c>
      <c r="D266" s="32" t="s">
        <v>254</v>
      </c>
      <c r="E266" s="32" t="s">
        <v>291</v>
      </c>
      <c r="F266" s="32" t="s">
        <v>256</v>
      </c>
      <c r="G266" s="32" t="s">
        <v>257</v>
      </c>
    </row>
    <row r="267" ht="16.5" customHeight="1">
      <c r="A267" s="32">
        <v>266.0</v>
      </c>
      <c r="B267" s="32" t="s">
        <v>653</v>
      </c>
      <c r="C267" s="32" t="s">
        <v>184</v>
      </c>
      <c r="D267" s="32" t="s">
        <v>192</v>
      </c>
      <c r="E267" s="32" t="s">
        <v>291</v>
      </c>
      <c r="F267" s="32" t="s">
        <v>654</v>
      </c>
    </row>
    <row r="268" ht="16.5" customHeight="1">
      <c r="A268" s="32">
        <v>267.0</v>
      </c>
      <c r="B268" s="32" t="s">
        <v>655</v>
      </c>
      <c r="C268" s="32" t="s">
        <v>184</v>
      </c>
      <c r="D268" s="32" t="s">
        <v>219</v>
      </c>
      <c r="E268" s="32" t="s">
        <v>291</v>
      </c>
      <c r="F268" s="32" t="s">
        <v>216</v>
      </c>
      <c r="G268" s="32" t="s">
        <v>217</v>
      </c>
    </row>
    <row r="269" ht="16.5" customHeight="1">
      <c r="A269" s="32">
        <v>268.0</v>
      </c>
      <c r="B269" s="32" t="s">
        <v>656</v>
      </c>
      <c r="C269" s="32" t="s">
        <v>184</v>
      </c>
      <c r="D269" s="32" t="s">
        <v>185</v>
      </c>
      <c r="E269" s="32" t="s">
        <v>291</v>
      </c>
      <c r="F269" s="32" t="s">
        <v>187</v>
      </c>
      <c r="G269" s="32" t="s">
        <v>188</v>
      </c>
    </row>
    <row r="270" ht="16.5" customHeight="1">
      <c r="A270" s="32">
        <v>269.0</v>
      </c>
      <c r="B270" s="32" t="s">
        <v>657</v>
      </c>
      <c r="C270" s="32" t="s">
        <v>184</v>
      </c>
      <c r="D270" s="32" t="s">
        <v>185</v>
      </c>
      <c r="E270" s="32" t="s">
        <v>291</v>
      </c>
      <c r="F270" s="32" t="s">
        <v>187</v>
      </c>
      <c r="G270" s="32" t="s">
        <v>188</v>
      </c>
    </row>
    <row r="271" ht="16.5" customHeight="1">
      <c r="A271" s="32">
        <v>270.0</v>
      </c>
      <c r="B271" s="32" t="s">
        <v>658</v>
      </c>
      <c r="C271" s="32" t="s">
        <v>184</v>
      </c>
      <c r="D271" s="32" t="s">
        <v>234</v>
      </c>
      <c r="E271" s="32" t="s">
        <v>291</v>
      </c>
      <c r="F271" s="32" t="s">
        <v>415</v>
      </c>
      <c r="G271" s="32" t="s">
        <v>659</v>
      </c>
    </row>
    <row r="272" ht="16.5" customHeight="1">
      <c r="A272" s="32">
        <v>271.0</v>
      </c>
      <c r="B272" s="32" t="s">
        <v>660</v>
      </c>
      <c r="C272" s="32" t="s">
        <v>184</v>
      </c>
      <c r="D272" s="32" t="s">
        <v>192</v>
      </c>
      <c r="E272" s="32" t="s">
        <v>291</v>
      </c>
      <c r="F272" s="32" t="s">
        <v>661</v>
      </c>
      <c r="G272" s="32" t="s">
        <v>662</v>
      </c>
    </row>
    <row r="273" ht="16.5" customHeight="1">
      <c r="A273" s="32">
        <v>272.0</v>
      </c>
      <c r="B273" s="32" t="s">
        <v>663</v>
      </c>
      <c r="C273" s="32" t="s">
        <v>184</v>
      </c>
      <c r="D273" s="32" t="s">
        <v>285</v>
      </c>
      <c r="E273" s="32" t="s">
        <v>291</v>
      </c>
      <c r="F273" s="32" t="s">
        <v>188</v>
      </c>
      <c r="G273" s="32" t="s">
        <v>368</v>
      </c>
    </row>
    <row r="274" ht="16.5" customHeight="1">
      <c r="A274" s="32">
        <v>273.0</v>
      </c>
      <c r="B274" s="32" t="s">
        <v>664</v>
      </c>
      <c r="C274" s="32" t="s">
        <v>184</v>
      </c>
      <c r="D274" s="32" t="s">
        <v>285</v>
      </c>
      <c r="E274" s="32" t="s">
        <v>291</v>
      </c>
      <c r="F274" s="32" t="s">
        <v>188</v>
      </c>
      <c r="G274" s="32" t="s">
        <v>665</v>
      </c>
    </row>
    <row r="275" ht="16.5" customHeight="1">
      <c r="A275" s="32">
        <v>274.0</v>
      </c>
      <c r="B275" s="32" t="s">
        <v>666</v>
      </c>
      <c r="C275" s="32" t="s">
        <v>184</v>
      </c>
      <c r="D275" s="32" t="s">
        <v>285</v>
      </c>
      <c r="E275" s="32" t="s">
        <v>291</v>
      </c>
      <c r="F275" s="32" t="s">
        <v>552</v>
      </c>
      <c r="G275" s="32" t="s">
        <v>476</v>
      </c>
    </row>
    <row r="276" ht="16.5" customHeight="1">
      <c r="A276" s="32">
        <v>275.0</v>
      </c>
      <c r="B276" s="32" t="s">
        <v>667</v>
      </c>
      <c r="C276" s="32" t="s">
        <v>184</v>
      </c>
      <c r="D276" s="32" t="s">
        <v>185</v>
      </c>
      <c r="E276" s="32" t="s">
        <v>291</v>
      </c>
      <c r="F276" s="32" t="s">
        <v>271</v>
      </c>
      <c r="G276" s="32" t="s">
        <v>668</v>
      </c>
    </row>
    <row r="277" ht="16.5" customHeight="1">
      <c r="A277" s="32">
        <v>276.0</v>
      </c>
      <c r="B277" s="32" t="s">
        <v>669</v>
      </c>
      <c r="C277" s="32" t="s">
        <v>184</v>
      </c>
      <c r="D277" s="32" t="s">
        <v>228</v>
      </c>
      <c r="E277" s="32" t="s">
        <v>291</v>
      </c>
      <c r="F277" s="32" t="s">
        <v>408</v>
      </c>
      <c r="G277" s="32" t="s">
        <v>490</v>
      </c>
    </row>
    <row r="278" ht="16.5" customHeight="1">
      <c r="A278" s="32">
        <v>277.0</v>
      </c>
      <c r="B278" s="32" t="s">
        <v>670</v>
      </c>
      <c r="C278" s="32" t="s">
        <v>184</v>
      </c>
      <c r="D278" s="32" t="s">
        <v>228</v>
      </c>
      <c r="E278" s="32" t="s">
        <v>291</v>
      </c>
      <c r="F278" s="32" t="s">
        <v>408</v>
      </c>
      <c r="G278" s="32" t="s">
        <v>671</v>
      </c>
    </row>
    <row r="279" ht="16.5" customHeight="1">
      <c r="A279" s="32">
        <v>278.0</v>
      </c>
      <c r="B279" s="32" t="s">
        <v>672</v>
      </c>
      <c r="C279" s="32" t="s">
        <v>184</v>
      </c>
      <c r="D279" s="32" t="s">
        <v>192</v>
      </c>
      <c r="E279" s="32" t="s">
        <v>291</v>
      </c>
    </row>
    <row r="280" ht="16.5" customHeight="1">
      <c r="A280" s="32">
        <v>279.0</v>
      </c>
      <c r="B280" s="32" t="s">
        <v>673</v>
      </c>
      <c r="C280" s="32" t="s">
        <v>184</v>
      </c>
      <c r="D280" s="32" t="s">
        <v>192</v>
      </c>
      <c r="E280" s="32" t="s">
        <v>291</v>
      </c>
      <c r="F280" s="32" t="s">
        <v>570</v>
      </c>
      <c r="G280" s="32" t="s">
        <v>447</v>
      </c>
    </row>
    <row r="281" ht="16.5" customHeight="1">
      <c r="A281" s="32">
        <v>280.0</v>
      </c>
      <c r="B281" s="32" t="s">
        <v>674</v>
      </c>
      <c r="C281" s="32" t="s">
        <v>184</v>
      </c>
      <c r="D281" s="32" t="s">
        <v>192</v>
      </c>
      <c r="E281" s="32" t="s">
        <v>291</v>
      </c>
    </row>
    <row r="282" ht="16.5" customHeight="1">
      <c r="A282" s="32">
        <v>281.0</v>
      </c>
      <c r="B282" s="32" t="s">
        <v>675</v>
      </c>
      <c r="C282" s="32" t="s">
        <v>184</v>
      </c>
      <c r="D282" s="32" t="s">
        <v>185</v>
      </c>
      <c r="E282" s="32" t="s">
        <v>291</v>
      </c>
      <c r="F282" s="32" t="s">
        <v>271</v>
      </c>
      <c r="G282" s="32" t="s">
        <v>676</v>
      </c>
    </row>
    <row r="283" ht="16.5" customHeight="1">
      <c r="A283" s="32">
        <v>282.0</v>
      </c>
      <c r="B283" s="32" t="s">
        <v>677</v>
      </c>
      <c r="C283" s="32" t="s">
        <v>184</v>
      </c>
      <c r="D283" s="32" t="s">
        <v>254</v>
      </c>
      <c r="E283" s="32" t="s">
        <v>291</v>
      </c>
      <c r="F283" s="32" t="s">
        <v>257</v>
      </c>
      <c r="G283" s="32" t="s">
        <v>256</v>
      </c>
    </row>
    <row r="284" ht="16.5" customHeight="1">
      <c r="A284" s="32">
        <v>283.0</v>
      </c>
      <c r="B284" s="32" t="s">
        <v>678</v>
      </c>
      <c r="C284" s="32" t="s">
        <v>184</v>
      </c>
      <c r="D284" s="32" t="s">
        <v>185</v>
      </c>
      <c r="E284" s="32" t="s">
        <v>291</v>
      </c>
      <c r="F284" s="32" t="s">
        <v>187</v>
      </c>
      <c r="G284" s="32" t="s">
        <v>679</v>
      </c>
    </row>
    <row r="285" ht="16.5" customHeight="1">
      <c r="A285" s="32">
        <v>284.0</v>
      </c>
      <c r="B285" s="32" t="s">
        <v>680</v>
      </c>
      <c r="C285" s="32" t="s">
        <v>184</v>
      </c>
      <c r="D285" s="32" t="s">
        <v>185</v>
      </c>
      <c r="E285" s="32" t="s">
        <v>291</v>
      </c>
      <c r="F285" s="32" t="s">
        <v>187</v>
      </c>
      <c r="G285" s="32" t="s">
        <v>590</v>
      </c>
    </row>
    <row r="286" ht="16.5" customHeight="1">
      <c r="A286" s="32">
        <v>285.0</v>
      </c>
      <c r="B286" s="32" t="s">
        <v>681</v>
      </c>
      <c r="C286" s="32" t="s">
        <v>184</v>
      </c>
      <c r="D286" s="32" t="s">
        <v>192</v>
      </c>
      <c r="E286" s="32" t="s">
        <v>291</v>
      </c>
      <c r="F286" s="32" t="s">
        <v>329</v>
      </c>
      <c r="G286" s="32" t="s">
        <v>447</v>
      </c>
    </row>
    <row r="287" ht="16.5" customHeight="1">
      <c r="A287" s="32">
        <v>286.0</v>
      </c>
      <c r="B287" s="32" t="s">
        <v>682</v>
      </c>
      <c r="C287" s="32" t="s">
        <v>184</v>
      </c>
      <c r="D287" s="32" t="s">
        <v>185</v>
      </c>
      <c r="E287" s="32" t="s">
        <v>291</v>
      </c>
      <c r="F287" s="32" t="s">
        <v>187</v>
      </c>
      <c r="G287" s="32" t="s">
        <v>683</v>
      </c>
    </row>
    <row r="288" ht="16.5" customHeight="1">
      <c r="A288" s="32">
        <v>287.0</v>
      </c>
      <c r="B288" s="32" t="s">
        <v>684</v>
      </c>
      <c r="C288" s="32" t="s">
        <v>184</v>
      </c>
      <c r="D288" s="32" t="s">
        <v>192</v>
      </c>
      <c r="E288" s="32" t="s">
        <v>291</v>
      </c>
      <c r="F288" s="32" t="s">
        <v>275</v>
      </c>
      <c r="G288" s="32" t="s">
        <v>685</v>
      </c>
    </row>
    <row r="289" ht="16.5" customHeight="1">
      <c r="A289" s="32">
        <v>288.0</v>
      </c>
      <c r="B289" s="32" t="s">
        <v>686</v>
      </c>
      <c r="C289" s="32" t="s">
        <v>184</v>
      </c>
      <c r="D289" s="32" t="s">
        <v>192</v>
      </c>
      <c r="E289" s="32" t="s">
        <v>291</v>
      </c>
      <c r="F289" s="32" t="s">
        <v>300</v>
      </c>
      <c r="G289" s="32" t="s">
        <v>687</v>
      </c>
    </row>
    <row r="290" ht="16.5" customHeight="1">
      <c r="A290" s="32">
        <v>289.0</v>
      </c>
      <c r="B290" s="32" t="s">
        <v>688</v>
      </c>
      <c r="C290" s="32" t="s">
        <v>184</v>
      </c>
      <c r="D290" s="32" t="s">
        <v>192</v>
      </c>
      <c r="E290" s="32" t="s">
        <v>291</v>
      </c>
      <c r="F290" s="32" t="s">
        <v>329</v>
      </c>
      <c r="G290" s="32" t="s">
        <v>457</v>
      </c>
    </row>
    <row r="291" ht="16.5" customHeight="1">
      <c r="A291" s="32">
        <v>290.0</v>
      </c>
      <c r="B291" s="32" t="s">
        <v>689</v>
      </c>
      <c r="C291" s="32" t="s">
        <v>184</v>
      </c>
      <c r="D291" s="32" t="s">
        <v>192</v>
      </c>
      <c r="E291" s="32" t="s">
        <v>291</v>
      </c>
      <c r="F291" s="32" t="s">
        <v>329</v>
      </c>
      <c r="G291" s="32" t="s">
        <v>457</v>
      </c>
    </row>
    <row r="292" ht="16.5" customHeight="1">
      <c r="A292" s="32">
        <v>291.0</v>
      </c>
      <c r="B292" s="32" t="s">
        <v>690</v>
      </c>
      <c r="C292" s="32" t="s">
        <v>184</v>
      </c>
      <c r="D292" s="35" t="s">
        <v>691</v>
      </c>
      <c r="E292" s="32" t="s">
        <v>291</v>
      </c>
    </row>
    <row r="293" ht="16.5" customHeight="1">
      <c r="A293" s="32">
        <v>292.0</v>
      </c>
      <c r="B293" s="32" t="s">
        <v>692</v>
      </c>
      <c r="C293" s="32" t="s">
        <v>184</v>
      </c>
      <c r="D293" s="35" t="s">
        <v>691</v>
      </c>
      <c r="E293" s="32" t="s">
        <v>291</v>
      </c>
    </row>
    <row r="294" ht="16.5" customHeight="1">
      <c r="A294" s="32">
        <v>293.0</v>
      </c>
      <c r="B294" s="32" t="s">
        <v>693</v>
      </c>
      <c r="C294" s="32" t="s">
        <v>184</v>
      </c>
      <c r="D294" s="32" t="s">
        <v>219</v>
      </c>
      <c r="E294" s="32" t="s">
        <v>291</v>
      </c>
      <c r="F294" s="32" t="s">
        <v>223</v>
      </c>
    </row>
    <row r="295" ht="16.5" customHeight="1">
      <c r="A295" s="32">
        <v>294.0</v>
      </c>
      <c r="B295" s="32" t="s">
        <v>694</v>
      </c>
      <c r="C295" s="32" t="s">
        <v>184</v>
      </c>
      <c r="D295" s="32" t="s">
        <v>254</v>
      </c>
      <c r="E295" s="32" t="s">
        <v>291</v>
      </c>
      <c r="F295" s="32" t="s">
        <v>257</v>
      </c>
      <c r="G295" s="32" t="s">
        <v>695</v>
      </c>
    </row>
    <row r="296" ht="16.5" customHeight="1">
      <c r="A296" s="32">
        <v>295.0</v>
      </c>
      <c r="B296" s="32" t="s">
        <v>696</v>
      </c>
      <c r="C296" s="32" t="s">
        <v>184</v>
      </c>
      <c r="D296" s="32" t="s">
        <v>254</v>
      </c>
      <c r="E296" s="32" t="s">
        <v>291</v>
      </c>
      <c r="F296" s="32" t="s">
        <v>257</v>
      </c>
      <c r="G296" s="32" t="s">
        <v>697</v>
      </c>
    </row>
    <row r="297" ht="16.5" customHeight="1">
      <c r="A297" s="32">
        <v>296.0</v>
      </c>
      <c r="B297" s="32" t="s">
        <v>698</v>
      </c>
      <c r="C297" s="32" t="s">
        <v>184</v>
      </c>
      <c r="D297" s="32" t="s">
        <v>254</v>
      </c>
      <c r="E297" s="32" t="s">
        <v>291</v>
      </c>
      <c r="F297" s="32" t="s">
        <v>257</v>
      </c>
      <c r="G297" s="32" t="s">
        <v>695</v>
      </c>
    </row>
    <row r="298" ht="16.5" customHeight="1">
      <c r="A298" s="32">
        <v>297.0</v>
      </c>
      <c r="B298" s="32" t="s">
        <v>699</v>
      </c>
      <c r="C298" s="32" t="s">
        <v>184</v>
      </c>
      <c r="D298" s="32" t="s">
        <v>254</v>
      </c>
      <c r="E298" s="32" t="s">
        <v>291</v>
      </c>
      <c r="F298" s="32" t="s">
        <v>257</v>
      </c>
      <c r="G298" s="32" t="s">
        <v>700</v>
      </c>
    </row>
    <row r="299" ht="16.5" customHeight="1">
      <c r="A299" s="32">
        <v>298.0</v>
      </c>
      <c r="B299" s="32" t="s">
        <v>701</v>
      </c>
      <c r="C299" s="32" t="s">
        <v>184</v>
      </c>
      <c r="D299" s="32" t="s">
        <v>254</v>
      </c>
      <c r="E299" s="32" t="s">
        <v>291</v>
      </c>
      <c r="F299" s="32" t="s">
        <v>257</v>
      </c>
      <c r="G299" s="32" t="s">
        <v>702</v>
      </c>
    </row>
    <row r="300" ht="16.5" customHeight="1">
      <c r="A300" s="32">
        <v>299.0</v>
      </c>
      <c r="B300" s="32" t="s">
        <v>703</v>
      </c>
      <c r="C300" s="32" t="s">
        <v>184</v>
      </c>
      <c r="D300" s="32" t="s">
        <v>228</v>
      </c>
      <c r="E300" s="32" t="s">
        <v>291</v>
      </c>
      <c r="F300" s="32" t="s">
        <v>229</v>
      </c>
      <c r="G300" s="32" t="s">
        <v>704</v>
      </c>
    </row>
    <row r="301" ht="16.5" customHeight="1">
      <c r="A301" s="32">
        <v>300.0</v>
      </c>
      <c r="B301" s="32" t="s">
        <v>705</v>
      </c>
      <c r="C301" s="32" t="s">
        <v>184</v>
      </c>
      <c r="D301" s="32" t="s">
        <v>325</v>
      </c>
      <c r="E301" s="32" t="s">
        <v>291</v>
      </c>
      <c r="F301" s="32" t="s">
        <v>368</v>
      </c>
      <c r="G301" s="32" t="s">
        <v>463</v>
      </c>
    </row>
    <row r="302" ht="16.5" customHeight="1">
      <c r="A302" s="32">
        <v>301.0</v>
      </c>
      <c r="B302" s="32" t="s">
        <v>706</v>
      </c>
      <c r="C302" s="32" t="s">
        <v>184</v>
      </c>
      <c r="D302" s="32" t="s">
        <v>325</v>
      </c>
      <c r="E302" s="32" t="s">
        <v>291</v>
      </c>
      <c r="F302" s="32" t="s">
        <v>368</v>
      </c>
      <c r="G302" s="32" t="s">
        <v>463</v>
      </c>
    </row>
    <row r="303" ht="16.5" customHeight="1">
      <c r="A303" s="32">
        <v>302.0</v>
      </c>
      <c r="B303" s="32" t="s">
        <v>707</v>
      </c>
      <c r="C303" s="32" t="s">
        <v>184</v>
      </c>
      <c r="D303" s="32" t="s">
        <v>192</v>
      </c>
      <c r="E303" s="32" t="s">
        <v>291</v>
      </c>
      <c r="F303" s="32" t="s">
        <v>300</v>
      </c>
      <c r="G303" s="32" t="s">
        <v>708</v>
      </c>
    </row>
    <row r="304" ht="16.5" customHeight="1">
      <c r="A304" s="32">
        <v>303.0</v>
      </c>
      <c r="B304" s="32" t="s">
        <v>709</v>
      </c>
      <c r="C304" s="32" t="s">
        <v>184</v>
      </c>
      <c r="D304" s="35" t="s">
        <v>310</v>
      </c>
      <c r="E304" s="32" t="s">
        <v>291</v>
      </c>
    </row>
    <row r="305" ht="16.5" customHeight="1">
      <c r="A305" s="32">
        <v>304.0</v>
      </c>
      <c r="B305" s="32" t="s">
        <v>710</v>
      </c>
      <c r="C305" s="32" t="s">
        <v>184</v>
      </c>
      <c r="D305" s="32" t="s">
        <v>254</v>
      </c>
      <c r="E305" s="32" t="s">
        <v>291</v>
      </c>
    </row>
    <row r="306" ht="16.5" customHeight="1">
      <c r="A306" s="32">
        <v>305.0</v>
      </c>
      <c r="B306" s="32" t="s">
        <v>711</v>
      </c>
      <c r="C306" s="32" t="s">
        <v>184</v>
      </c>
      <c r="D306" s="32" t="s">
        <v>254</v>
      </c>
      <c r="E306" s="32" t="s">
        <v>291</v>
      </c>
      <c r="F306" s="32" t="s">
        <v>256</v>
      </c>
      <c r="G306" s="32" t="s">
        <v>257</v>
      </c>
    </row>
    <row r="307" ht="16.5" customHeight="1">
      <c r="A307" s="32">
        <v>306.0</v>
      </c>
      <c r="B307" s="32" t="s">
        <v>712</v>
      </c>
      <c r="C307" s="32" t="s">
        <v>184</v>
      </c>
      <c r="D307" s="32" t="s">
        <v>228</v>
      </c>
      <c r="E307" s="32" t="s">
        <v>291</v>
      </c>
      <c r="F307" s="32" t="s">
        <v>544</v>
      </c>
      <c r="G307" s="32" t="s">
        <v>713</v>
      </c>
    </row>
    <row r="308" ht="16.5" customHeight="1">
      <c r="A308" s="32">
        <v>307.0</v>
      </c>
      <c r="B308" s="32" t="s">
        <v>714</v>
      </c>
      <c r="C308" s="32" t="s">
        <v>184</v>
      </c>
      <c r="D308" s="32" t="s">
        <v>228</v>
      </c>
      <c r="E308" s="32" t="s">
        <v>291</v>
      </c>
      <c r="F308" s="32" t="s">
        <v>544</v>
      </c>
      <c r="G308" s="32" t="s">
        <v>715</v>
      </c>
    </row>
    <row r="309" ht="16.5" customHeight="1">
      <c r="A309" s="32">
        <v>308.0</v>
      </c>
      <c r="B309" s="32" t="s">
        <v>716</v>
      </c>
      <c r="C309" s="32" t="s">
        <v>184</v>
      </c>
      <c r="D309" s="32" t="s">
        <v>192</v>
      </c>
      <c r="E309" s="32" t="s">
        <v>291</v>
      </c>
      <c r="F309" s="32" t="s">
        <v>661</v>
      </c>
    </row>
    <row r="310" ht="16.5" customHeight="1">
      <c r="A310" s="32">
        <v>309.0</v>
      </c>
      <c r="B310" s="32" t="s">
        <v>717</v>
      </c>
      <c r="C310" s="32" t="s">
        <v>184</v>
      </c>
      <c r="D310" s="32" t="s">
        <v>254</v>
      </c>
      <c r="E310" s="32" t="s">
        <v>291</v>
      </c>
      <c r="F310" s="32" t="s">
        <v>305</v>
      </c>
      <c r="G310" s="32" t="s">
        <v>317</v>
      </c>
    </row>
    <row r="311" ht="16.5" customHeight="1">
      <c r="A311" s="32">
        <v>310.0</v>
      </c>
      <c r="B311" s="32" t="s">
        <v>718</v>
      </c>
      <c r="C311" s="32" t="s">
        <v>184</v>
      </c>
      <c r="D311" s="32" t="s">
        <v>254</v>
      </c>
      <c r="E311" s="32" t="s">
        <v>291</v>
      </c>
      <c r="F311" s="32" t="s">
        <v>257</v>
      </c>
    </row>
    <row r="312" ht="16.5" customHeight="1">
      <c r="A312" s="32">
        <v>311.0</v>
      </c>
      <c r="B312" s="32" t="s">
        <v>719</v>
      </c>
      <c r="C312" s="32" t="s">
        <v>184</v>
      </c>
      <c r="D312" s="32" t="s">
        <v>214</v>
      </c>
      <c r="E312" s="32" t="s">
        <v>291</v>
      </c>
      <c r="F312" s="32" t="s">
        <v>720</v>
      </c>
    </row>
    <row r="313" ht="16.5" customHeight="1">
      <c r="A313" s="32">
        <v>312.0</v>
      </c>
      <c r="B313" s="32" t="s">
        <v>721</v>
      </c>
      <c r="C313" s="32" t="s">
        <v>184</v>
      </c>
      <c r="D313" s="32" t="s">
        <v>228</v>
      </c>
      <c r="E313" s="32" t="s">
        <v>291</v>
      </c>
      <c r="F313" s="32" t="s">
        <v>544</v>
      </c>
      <c r="G313" s="32" t="s">
        <v>722</v>
      </c>
    </row>
    <row r="314" ht="16.5" customHeight="1">
      <c r="A314" s="32">
        <v>313.0</v>
      </c>
      <c r="B314" s="32" t="s">
        <v>723</v>
      </c>
      <c r="C314" s="32" t="s">
        <v>184</v>
      </c>
      <c r="D314" s="32" t="s">
        <v>285</v>
      </c>
      <c r="E314" s="32" t="s">
        <v>291</v>
      </c>
      <c r="F314" s="32" t="s">
        <v>188</v>
      </c>
      <c r="G314" s="32" t="s">
        <v>187</v>
      </c>
    </row>
    <row r="315" ht="16.5" customHeight="1">
      <c r="A315" s="32">
        <v>314.0</v>
      </c>
      <c r="B315" s="32" t="s">
        <v>724</v>
      </c>
      <c r="C315" s="32" t="s">
        <v>184</v>
      </c>
      <c r="D315" s="32" t="s">
        <v>285</v>
      </c>
      <c r="E315" s="32" t="s">
        <v>291</v>
      </c>
    </row>
    <row r="316" ht="16.5" customHeight="1">
      <c r="A316" s="32">
        <v>315.0</v>
      </c>
      <c r="B316" s="32" t="s">
        <v>725</v>
      </c>
      <c r="C316" s="32" t="s">
        <v>184</v>
      </c>
      <c r="D316" s="32" t="s">
        <v>254</v>
      </c>
      <c r="E316" s="32" t="s">
        <v>291</v>
      </c>
    </row>
    <row r="317" ht="16.5" customHeight="1">
      <c r="A317" s="32">
        <v>316.0</v>
      </c>
      <c r="B317" s="32" t="s">
        <v>726</v>
      </c>
      <c r="C317" s="32" t="s">
        <v>184</v>
      </c>
      <c r="D317" s="32" t="s">
        <v>254</v>
      </c>
      <c r="E317" s="32" t="s">
        <v>727</v>
      </c>
      <c r="F317" s="32" t="s">
        <v>728</v>
      </c>
      <c r="G317" s="32" t="s">
        <v>729</v>
      </c>
    </row>
    <row r="318" ht="16.5" customHeight="1">
      <c r="A318" s="32">
        <v>317.0</v>
      </c>
      <c r="B318" s="32" t="s">
        <v>730</v>
      </c>
      <c r="C318" s="32" t="s">
        <v>184</v>
      </c>
      <c r="D318" s="32" t="s">
        <v>228</v>
      </c>
      <c r="E318" s="32" t="s">
        <v>727</v>
      </c>
      <c r="F318" s="32" t="s">
        <v>408</v>
      </c>
      <c r="G318" s="32" t="s">
        <v>731</v>
      </c>
    </row>
    <row r="319" ht="16.5" customHeight="1">
      <c r="A319" s="32">
        <v>318.0</v>
      </c>
      <c r="B319" s="32" t="s">
        <v>732</v>
      </c>
      <c r="C319" s="32" t="s">
        <v>184</v>
      </c>
      <c r="D319" s="32" t="s">
        <v>192</v>
      </c>
      <c r="E319" s="32" t="s">
        <v>727</v>
      </c>
      <c r="F319" s="32" t="s">
        <v>329</v>
      </c>
      <c r="G319" s="32" t="s">
        <v>447</v>
      </c>
    </row>
    <row r="320" ht="16.5" customHeight="1">
      <c r="A320" s="32">
        <v>319.0</v>
      </c>
      <c r="B320" s="32" t="s">
        <v>733</v>
      </c>
      <c r="C320" s="32" t="s">
        <v>184</v>
      </c>
      <c r="D320" s="32" t="s">
        <v>254</v>
      </c>
      <c r="E320" s="32" t="s">
        <v>727</v>
      </c>
      <c r="F320" s="32" t="s">
        <v>257</v>
      </c>
      <c r="G320" s="32" t="s">
        <v>734</v>
      </c>
    </row>
    <row r="321" ht="16.5" customHeight="1">
      <c r="A321" s="32">
        <v>320.0</v>
      </c>
      <c r="B321" s="32" t="s">
        <v>735</v>
      </c>
      <c r="C321" s="32" t="s">
        <v>184</v>
      </c>
      <c r="D321" s="32" t="s">
        <v>234</v>
      </c>
      <c r="E321" s="32" t="s">
        <v>727</v>
      </c>
      <c r="F321" s="32" t="s">
        <v>415</v>
      </c>
      <c r="G321" s="32" t="s">
        <v>243</v>
      </c>
    </row>
    <row r="322" ht="16.5" customHeight="1">
      <c r="A322" s="32">
        <v>321.0</v>
      </c>
      <c r="B322" s="32" t="s">
        <v>736</v>
      </c>
      <c r="C322" s="32" t="s">
        <v>184</v>
      </c>
      <c r="D322" s="32" t="s">
        <v>185</v>
      </c>
      <c r="E322" s="32" t="s">
        <v>727</v>
      </c>
      <c r="F322" s="32" t="s">
        <v>187</v>
      </c>
      <c r="G322" s="32" t="s">
        <v>188</v>
      </c>
    </row>
    <row r="323" ht="16.5" customHeight="1">
      <c r="A323" s="32">
        <v>322.0</v>
      </c>
      <c r="B323" s="32" t="s">
        <v>737</v>
      </c>
      <c r="C323" s="32" t="s">
        <v>184</v>
      </c>
      <c r="D323" s="32" t="s">
        <v>285</v>
      </c>
      <c r="E323" s="32" t="s">
        <v>727</v>
      </c>
      <c r="F323" s="32" t="s">
        <v>189</v>
      </c>
      <c r="G323" s="32" t="s">
        <v>305</v>
      </c>
    </row>
    <row r="324" ht="16.5" customHeight="1">
      <c r="A324" s="32">
        <v>323.0</v>
      </c>
      <c r="B324" s="32" t="s">
        <v>738</v>
      </c>
      <c r="C324" s="32" t="s">
        <v>184</v>
      </c>
      <c r="D324" s="32" t="s">
        <v>219</v>
      </c>
      <c r="E324" s="32" t="s">
        <v>727</v>
      </c>
      <c r="F324" s="32" t="s">
        <v>223</v>
      </c>
    </row>
    <row r="325" ht="16.5" customHeight="1">
      <c r="A325" s="32">
        <v>324.0</v>
      </c>
      <c r="B325" s="32" t="s">
        <v>739</v>
      </c>
      <c r="C325" s="32" t="s">
        <v>184</v>
      </c>
      <c r="D325" s="35" t="s">
        <v>740</v>
      </c>
      <c r="E325" s="32" t="s">
        <v>727</v>
      </c>
      <c r="F325" s="32" t="s">
        <v>741</v>
      </c>
      <c r="G325" s="32" t="s">
        <v>626</v>
      </c>
    </row>
    <row r="326" ht="16.5" customHeight="1">
      <c r="A326" s="32">
        <v>325.0</v>
      </c>
      <c r="B326" s="32" t="s">
        <v>742</v>
      </c>
      <c r="C326" s="32" t="s">
        <v>184</v>
      </c>
      <c r="D326" s="32" t="s">
        <v>185</v>
      </c>
      <c r="E326" s="32" t="s">
        <v>727</v>
      </c>
      <c r="F326" s="32" t="s">
        <v>267</v>
      </c>
      <c r="G326" s="32" t="s">
        <v>188</v>
      </c>
    </row>
    <row r="327" ht="16.5" customHeight="1">
      <c r="A327" s="32">
        <v>326.0</v>
      </c>
      <c r="B327" s="32" t="s">
        <v>743</v>
      </c>
      <c r="C327" s="32" t="s">
        <v>184</v>
      </c>
      <c r="D327" s="32" t="s">
        <v>228</v>
      </c>
      <c r="E327" s="32" t="s">
        <v>727</v>
      </c>
      <c r="F327" s="32" t="s">
        <v>408</v>
      </c>
      <c r="G327" s="32" t="s">
        <v>731</v>
      </c>
    </row>
    <row r="328" ht="16.5" customHeight="1">
      <c r="A328" s="32">
        <v>327.0</v>
      </c>
      <c r="B328" s="32" t="s">
        <v>744</v>
      </c>
      <c r="C328" s="32" t="s">
        <v>184</v>
      </c>
      <c r="D328" s="32" t="s">
        <v>285</v>
      </c>
      <c r="E328" s="32" t="s">
        <v>727</v>
      </c>
      <c r="F328" s="32" t="s">
        <v>189</v>
      </c>
      <c r="G328" s="32" t="s">
        <v>190</v>
      </c>
    </row>
    <row r="329" ht="16.5" customHeight="1">
      <c r="A329" s="32">
        <v>328.0</v>
      </c>
      <c r="B329" s="32" t="s">
        <v>745</v>
      </c>
      <c r="C329" s="32" t="s">
        <v>184</v>
      </c>
      <c r="D329" s="32" t="s">
        <v>285</v>
      </c>
      <c r="E329" s="32" t="s">
        <v>727</v>
      </c>
      <c r="F329" s="32" t="s">
        <v>189</v>
      </c>
      <c r="G329" s="32" t="s">
        <v>190</v>
      </c>
    </row>
    <row r="330" ht="16.5" customHeight="1">
      <c r="A330" s="32">
        <v>329.0</v>
      </c>
      <c r="B330" s="32" t="s">
        <v>746</v>
      </c>
      <c r="C330" s="32" t="s">
        <v>184</v>
      </c>
      <c r="D330" s="32" t="s">
        <v>228</v>
      </c>
      <c r="E330" s="32" t="s">
        <v>727</v>
      </c>
      <c r="F330" s="32" t="s">
        <v>229</v>
      </c>
      <c r="G330" s="32" t="s">
        <v>230</v>
      </c>
    </row>
    <row r="331" ht="16.5" customHeight="1">
      <c r="A331" s="32">
        <v>330.0</v>
      </c>
      <c r="B331" s="32" t="s">
        <v>747</v>
      </c>
      <c r="C331" s="32" t="s">
        <v>184</v>
      </c>
      <c r="D331" s="32" t="s">
        <v>254</v>
      </c>
      <c r="E331" s="32" t="s">
        <v>727</v>
      </c>
      <c r="F331" s="32" t="s">
        <v>257</v>
      </c>
    </row>
    <row r="332" ht="16.5" customHeight="1">
      <c r="A332" s="32">
        <v>331.0</v>
      </c>
      <c r="B332" s="32" t="s">
        <v>748</v>
      </c>
      <c r="C332" s="32" t="s">
        <v>184</v>
      </c>
      <c r="D332" s="32" t="s">
        <v>228</v>
      </c>
      <c r="E332" s="32" t="s">
        <v>727</v>
      </c>
      <c r="F332" s="32" t="s">
        <v>544</v>
      </c>
      <c r="G332" s="32" t="s">
        <v>713</v>
      </c>
    </row>
    <row r="333" ht="16.5" customHeight="1">
      <c r="A333" s="32">
        <v>332.0</v>
      </c>
      <c r="B333" s="32" t="s">
        <v>749</v>
      </c>
      <c r="C333" s="32" t="s">
        <v>184</v>
      </c>
      <c r="D333" s="32" t="s">
        <v>219</v>
      </c>
      <c r="E333" s="32" t="s">
        <v>727</v>
      </c>
      <c r="F333" s="32" t="s">
        <v>223</v>
      </c>
    </row>
    <row r="334" ht="16.5" customHeight="1">
      <c r="A334" s="32">
        <v>333.0</v>
      </c>
      <c r="B334" s="32" t="s">
        <v>750</v>
      </c>
      <c r="C334" s="32" t="s">
        <v>184</v>
      </c>
      <c r="D334" s="32" t="s">
        <v>185</v>
      </c>
      <c r="E334" s="32" t="s">
        <v>727</v>
      </c>
      <c r="F334" s="32" t="s">
        <v>751</v>
      </c>
      <c r="G334" s="32" t="s">
        <v>752</v>
      </c>
    </row>
    <row r="335" ht="16.5" customHeight="1">
      <c r="A335" s="32">
        <v>334.0</v>
      </c>
      <c r="B335" s="32" t="s">
        <v>753</v>
      </c>
      <c r="C335" s="32" t="s">
        <v>184</v>
      </c>
      <c r="D335" s="32" t="s">
        <v>219</v>
      </c>
      <c r="E335" s="32" t="s">
        <v>255</v>
      </c>
    </row>
    <row r="336" ht="16.5" customHeight="1">
      <c r="A336" s="32">
        <v>335.0</v>
      </c>
      <c r="B336" s="32" t="s">
        <v>754</v>
      </c>
      <c r="C336" s="32" t="s">
        <v>184</v>
      </c>
      <c r="D336" s="32" t="s">
        <v>219</v>
      </c>
      <c r="E336" s="32" t="s">
        <v>255</v>
      </c>
    </row>
    <row r="337" ht="16.5" customHeight="1">
      <c r="A337" s="32">
        <v>336.0</v>
      </c>
      <c r="B337" s="32" t="s">
        <v>755</v>
      </c>
      <c r="C337" s="32" t="s">
        <v>184</v>
      </c>
      <c r="D337" s="32" t="s">
        <v>219</v>
      </c>
      <c r="E337" s="32" t="s">
        <v>186</v>
      </c>
      <c r="F337" s="32" t="s">
        <v>241</v>
      </c>
      <c r="G337" s="32" t="s">
        <v>292</v>
      </c>
    </row>
    <row r="338" ht="16.5" customHeight="1">
      <c r="A338" s="32">
        <v>337.0</v>
      </c>
      <c r="B338" s="32" t="s">
        <v>756</v>
      </c>
      <c r="C338" s="32" t="s">
        <v>184</v>
      </c>
      <c r="D338" s="32" t="s">
        <v>285</v>
      </c>
      <c r="E338" s="32" t="s">
        <v>186</v>
      </c>
    </row>
    <row r="339" ht="16.5" customHeight="1">
      <c r="A339" s="32">
        <v>338.0</v>
      </c>
      <c r="B339" s="32" t="s">
        <v>237</v>
      </c>
      <c r="C339" s="32" t="s">
        <v>184</v>
      </c>
      <c r="D339" s="32" t="s">
        <v>192</v>
      </c>
      <c r="E339" s="32" t="s">
        <v>186</v>
      </c>
      <c r="F339" s="32" t="s">
        <v>238</v>
      </c>
      <c r="G339" s="32" t="s">
        <v>239</v>
      </c>
    </row>
    <row r="340" ht="16.5" customHeight="1">
      <c r="A340" s="32">
        <v>339.0</v>
      </c>
      <c r="B340" s="32" t="s">
        <v>757</v>
      </c>
      <c r="C340" s="32" t="s">
        <v>184</v>
      </c>
      <c r="D340" s="32" t="s">
        <v>185</v>
      </c>
      <c r="E340" s="32" t="s">
        <v>186</v>
      </c>
    </row>
    <row r="341" ht="16.5" customHeight="1">
      <c r="A341" s="32">
        <v>340.0</v>
      </c>
      <c r="B341" s="32" t="s">
        <v>758</v>
      </c>
      <c r="C341" s="32" t="s">
        <v>184</v>
      </c>
      <c r="D341" s="32" t="s">
        <v>285</v>
      </c>
      <c r="E341" s="32" t="s">
        <v>186</v>
      </c>
    </row>
    <row r="342" ht="16.5" customHeight="1">
      <c r="A342" s="32">
        <v>341.0</v>
      </c>
      <c r="B342" s="32" t="s">
        <v>759</v>
      </c>
      <c r="C342" s="32" t="s">
        <v>184</v>
      </c>
      <c r="D342" s="32" t="s">
        <v>185</v>
      </c>
      <c r="E342" s="32" t="s">
        <v>186</v>
      </c>
    </row>
    <row r="343" ht="16.5" customHeight="1">
      <c r="A343" s="32">
        <v>342.0</v>
      </c>
      <c r="B343" s="32" t="s">
        <v>760</v>
      </c>
      <c r="C343" s="32" t="s">
        <v>184</v>
      </c>
      <c r="D343" s="35" t="s">
        <v>294</v>
      </c>
      <c r="E343" s="32" t="s">
        <v>186</v>
      </c>
      <c r="F343" s="32" t="s">
        <v>189</v>
      </c>
      <c r="G343" s="32" t="s">
        <v>190</v>
      </c>
    </row>
    <row r="344" ht="16.5" customHeight="1">
      <c r="A344" s="32">
        <v>343.0</v>
      </c>
      <c r="B344" s="32" t="s">
        <v>761</v>
      </c>
      <c r="C344" s="32" t="s">
        <v>184</v>
      </c>
      <c r="D344" s="32" t="s">
        <v>185</v>
      </c>
      <c r="E344" s="32" t="s">
        <v>186</v>
      </c>
    </row>
    <row r="345" ht="16.5" customHeight="1">
      <c r="A345" s="32">
        <v>344.0</v>
      </c>
      <c r="B345" s="32" t="s">
        <v>240</v>
      </c>
      <c r="C345" s="32" t="s">
        <v>184</v>
      </c>
      <c r="D345" s="32" t="s">
        <v>214</v>
      </c>
      <c r="E345" s="32" t="s">
        <v>186</v>
      </c>
    </row>
    <row r="346" ht="16.5" customHeight="1">
      <c r="A346" s="32">
        <v>345.0</v>
      </c>
      <c r="B346" s="32" t="s">
        <v>762</v>
      </c>
      <c r="C346" s="32" t="s">
        <v>184</v>
      </c>
      <c r="D346" s="32" t="s">
        <v>185</v>
      </c>
      <c r="E346" s="32" t="s">
        <v>186</v>
      </c>
    </row>
    <row r="347" ht="16.5" customHeight="1">
      <c r="A347" s="32">
        <v>346.0</v>
      </c>
      <c r="B347" s="32" t="s">
        <v>763</v>
      </c>
      <c r="C347" s="32" t="s">
        <v>184</v>
      </c>
      <c r="D347" s="32" t="s">
        <v>764</v>
      </c>
      <c r="E347" s="32" t="s">
        <v>186</v>
      </c>
      <c r="F347" s="32" t="s">
        <v>229</v>
      </c>
      <c r="G347" s="32" t="s">
        <v>230</v>
      </c>
    </row>
    <row r="348" ht="16.5" customHeight="1">
      <c r="A348" s="32">
        <v>347.0</v>
      </c>
      <c r="B348" s="32" t="s">
        <v>765</v>
      </c>
      <c r="C348" s="32" t="s">
        <v>184</v>
      </c>
      <c r="D348" s="32" t="s">
        <v>192</v>
      </c>
      <c r="E348" s="32" t="s">
        <v>186</v>
      </c>
      <c r="F348" s="32" t="s">
        <v>238</v>
      </c>
      <c r="G348" s="32" t="s">
        <v>239</v>
      </c>
    </row>
    <row r="349" ht="16.5" customHeight="1">
      <c r="A349" s="32">
        <v>348.0</v>
      </c>
      <c r="B349" s="32" t="s">
        <v>766</v>
      </c>
      <c r="C349" s="32" t="s">
        <v>184</v>
      </c>
      <c r="D349" s="32" t="s">
        <v>285</v>
      </c>
      <c r="E349" s="32" t="s">
        <v>186</v>
      </c>
      <c r="F349" s="32" t="s">
        <v>552</v>
      </c>
      <c r="G349" s="32" t="s">
        <v>190</v>
      </c>
    </row>
    <row r="350" ht="16.5" customHeight="1">
      <c r="A350" s="32">
        <v>349.0</v>
      </c>
      <c r="B350" s="32" t="s">
        <v>767</v>
      </c>
      <c r="C350" s="32" t="s">
        <v>184</v>
      </c>
      <c r="D350" s="35" t="s">
        <v>294</v>
      </c>
      <c r="E350" s="32" t="s">
        <v>186</v>
      </c>
    </row>
    <row r="351" ht="16.5" customHeight="1">
      <c r="A351" s="32">
        <v>350.0</v>
      </c>
      <c r="B351" s="32" t="s">
        <v>768</v>
      </c>
      <c r="C351" s="32" t="s">
        <v>184</v>
      </c>
      <c r="D351" s="32" t="s">
        <v>234</v>
      </c>
      <c r="E351" s="32" t="s">
        <v>186</v>
      </c>
      <c r="F351" s="32" t="s">
        <v>347</v>
      </c>
      <c r="G351" s="32" t="s">
        <v>382</v>
      </c>
    </row>
    <row r="352" ht="16.5" customHeight="1">
      <c r="A352" s="32">
        <v>351.0</v>
      </c>
      <c r="B352" s="32" t="s">
        <v>769</v>
      </c>
      <c r="C352" s="32" t="s">
        <v>184</v>
      </c>
      <c r="D352" s="32" t="s">
        <v>234</v>
      </c>
      <c r="E352" s="32" t="s">
        <v>186</v>
      </c>
      <c r="F352" s="32" t="s">
        <v>235</v>
      </c>
      <c r="G352" s="32" t="s">
        <v>243</v>
      </c>
    </row>
    <row r="353" ht="16.5" customHeight="1">
      <c r="A353" s="32">
        <v>352.0</v>
      </c>
      <c r="B353" s="32" t="s">
        <v>770</v>
      </c>
      <c r="C353" s="32" t="s">
        <v>184</v>
      </c>
      <c r="D353" s="32" t="s">
        <v>234</v>
      </c>
      <c r="E353" s="32" t="s">
        <v>186</v>
      </c>
      <c r="F353" s="32" t="s">
        <v>235</v>
      </c>
      <c r="G353" s="32" t="s">
        <v>243</v>
      </c>
    </row>
    <row r="354" ht="16.5" customHeight="1">
      <c r="A354" s="32">
        <v>353.0</v>
      </c>
      <c r="B354" s="32" t="s">
        <v>771</v>
      </c>
      <c r="C354" s="32" t="s">
        <v>184</v>
      </c>
      <c r="D354" s="32" t="s">
        <v>234</v>
      </c>
      <c r="E354" s="32" t="s">
        <v>186</v>
      </c>
      <c r="F354" s="32" t="s">
        <v>235</v>
      </c>
      <c r="G354" s="32" t="s">
        <v>243</v>
      </c>
    </row>
    <row r="355" ht="16.5" customHeight="1">
      <c r="A355" s="32">
        <v>354.0</v>
      </c>
      <c r="B355" s="32" t="s">
        <v>772</v>
      </c>
      <c r="C355" s="32" t="s">
        <v>184</v>
      </c>
      <c r="D355" s="32" t="s">
        <v>234</v>
      </c>
      <c r="E355" s="32" t="s">
        <v>186</v>
      </c>
    </row>
    <row r="356" ht="16.5" customHeight="1">
      <c r="A356" s="32">
        <v>355.0</v>
      </c>
      <c r="B356" s="32" t="s">
        <v>773</v>
      </c>
      <c r="C356" s="32" t="s">
        <v>184</v>
      </c>
      <c r="D356" s="32" t="s">
        <v>234</v>
      </c>
      <c r="E356" s="32" t="s">
        <v>186</v>
      </c>
    </row>
    <row r="357" ht="16.5" customHeight="1">
      <c r="A357" s="32">
        <v>356.0</v>
      </c>
      <c r="B357" s="32" t="s">
        <v>774</v>
      </c>
      <c r="C357" s="32" t="s">
        <v>184</v>
      </c>
      <c r="D357" s="32" t="s">
        <v>234</v>
      </c>
      <c r="E357" s="32" t="s">
        <v>186</v>
      </c>
    </row>
    <row r="358" ht="16.5" customHeight="1">
      <c r="A358" s="32">
        <v>357.0</v>
      </c>
      <c r="B358" s="32" t="s">
        <v>775</v>
      </c>
      <c r="C358" s="32" t="s">
        <v>184</v>
      </c>
      <c r="D358" s="32" t="s">
        <v>234</v>
      </c>
      <c r="E358" s="32" t="s">
        <v>186</v>
      </c>
    </row>
    <row r="359" ht="16.5" customHeight="1">
      <c r="A359" s="32">
        <v>358.0</v>
      </c>
      <c r="B359" s="32" t="s">
        <v>776</v>
      </c>
      <c r="C359" s="32" t="s">
        <v>184</v>
      </c>
      <c r="D359" s="32" t="s">
        <v>234</v>
      </c>
      <c r="E359" s="32" t="s">
        <v>186</v>
      </c>
    </row>
    <row r="360" ht="16.5" customHeight="1">
      <c r="A360" s="32">
        <v>359.0</v>
      </c>
      <c r="B360" s="32" t="s">
        <v>777</v>
      </c>
      <c r="C360" s="32" t="s">
        <v>184</v>
      </c>
      <c r="D360" s="32" t="s">
        <v>185</v>
      </c>
      <c r="E360" s="32" t="s">
        <v>186</v>
      </c>
      <c r="F360" s="32" t="s">
        <v>552</v>
      </c>
      <c r="G360" s="32" t="s">
        <v>190</v>
      </c>
    </row>
    <row r="361" ht="16.5" customHeight="1">
      <c r="A361" s="32">
        <v>360.0</v>
      </c>
      <c r="B361" s="32" t="s">
        <v>778</v>
      </c>
      <c r="C361" s="32" t="s">
        <v>184</v>
      </c>
      <c r="D361" s="35" t="s">
        <v>294</v>
      </c>
      <c r="E361" s="32" t="s">
        <v>186</v>
      </c>
      <c r="F361" s="32" t="s">
        <v>189</v>
      </c>
      <c r="G361" s="32" t="s">
        <v>190</v>
      </c>
    </row>
    <row r="362" ht="16.5" customHeight="1">
      <c r="A362" s="32">
        <v>361.0</v>
      </c>
      <c r="B362" s="32" t="s">
        <v>779</v>
      </c>
      <c r="C362" s="32" t="s">
        <v>184</v>
      </c>
      <c r="D362" s="32" t="s">
        <v>285</v>
      </c>
      <c r="E362" s="32" t="s">
        <v>186</v>
      </c>
    </row>
    <row r="363" ht="16.5" customHeight="1">
      <c r="A363" s="32">
        <v>362.0</v>
      </c>
      <c r="B363" s="32" t="s">
        <v>780</v>
      </c>
      <c r="C363" s="32" t="s">
        <v>184</v>
      </c>
      <c r="D363" s="32" t="s">
        <v>192</v>
      </c>
      <c r="E363" s="32" t="s">
        <v>186</v>
      </c>
      <c r="F363" s="32" t="s">
        <v>300</v>
      </c>
      <c r="G363" s="32" t="s">
        <v>781</v>
      </c>
    </row>
    <row r="364" ht="16.5" customHeight="1">
      <c r="A364" s="32">
        <v>363.0</v>
      </c>
      <c r="B364" s="32" t="s">
        <v>782</v>
      </c>
      <c r="C364" s="32" t="s">
        <v>184</v>
      </c>
      <c r="D364" s="32" t="s">
        <v>192</v>
      </c>
      <c r="E364" s="32" t="s">
        <v>186</v>
      </c>
      <c r="F364" s="32" t="s">
        <v>570</v>
      </c>
      <c r="G364" s="32" t="s">
        <v>447</v>
      </c>
    </row>
    <row r="365" ht="16.5" customHeight="1">
      <c r="A365" s="32">
        <v>364.0</v>
      </c>
      <c r="B365" s="32" t="s">
        <v>783</v>
      </c>
      <c r="C365" s="32" t="s">
        <v>184</v>
      </c>
      <c r="D365" s="32" t="s">
        <v>192</v>
      </c>
      <c r="E365" s="32" t="s">
        <v>186</v>
      </c>
      <c r="F365" s="32" t="s">
        <v>570</v>
      </c>
      <c r="G365" s="32" t="s">
        <v>447</v>
      </c>
    </row>
    <row r="366" ht="16.5" customHeight="1">
      <c r="A366" s="32">
        <v>365.0</v>
      </c>
      <c r="B366" s="32" t="s">
        <v>784</v>
      </c>
      <c r="C366" s="32" t="s">
        <v>184</v>
      </c>
      <c r="D366" s="32" t="s">
        <v>192</v>
      </c>
      <c r="E366" s="32" t="s">
        <v>186</v>
      </c>
      <c r="F366" s="32" t="s">
        <v>329</v>
      </c>
      <c r="G366" s="32" t="s">
        <v>447</v>
      </c>
    </row>
    <row r="367" ht="16.5" customHeight="1">
      <c r="A367" s="32">
        <v>366.0</v>
      </c>
      <c r="B367" s="32" t="s">
        <v>785</v>
      </c>
      <c r="C367" s="32" t="s">
        <v>184</v>
      </c>
      <c r="D367" s="32" t="s">
        <v>192</v>
      </c>
      <c r="E367" s="32" t="s">
        <v>186</v>
      </c>
      <c r="F367" s="32" t="s">
        <v>329</v>
      </c>
      <c r="G367" s="32" t="s">
        <v>447</v>
      </c>
    </row>
    <row r="368" ht="16.5" customHeight="1">
      <c r="A368" s="32">
        <v>367.0</v>
      </c>
      <c r="B368" s="32" t="s">
        <v>786</v>
      </c>
      <c r="C368" s="32" t="s">
        <v>184</v>
      </c>
      <c r="D368" s="32" t="s">
        <v>192</v>
      </c>
      <c r="E368" s="32" t="s">
        <v>186</v>
      </c>
      <c r="F368" s="32" t="s">
        <v>329</v>
      </c>
      <c r="G368" s="32" t="s">
        <v>447</v>
      </c>
    </row>
    <row r="369" ht="16.5" customHeight="1">
      <c r="A369" s="32">
        <v>368.0</v>
      </c>
      <c r="B369" s="32" t="s">
        <v>787</v>
      </c>
      <c r="C369" s="32" t="s">
        <v>184</v>
      </c>
      <c r="D369" s="32" t="s">
        <v>219</v>
      </c>
      <c r="E369" s="32" t="s">
        <v>186</v>
      </c>
      <c r="F369" s="32" t="s">
        <v>241</v>
      </c>
      <c r="G369" s="32" t="s">
        <v>292</v>
      </c>
    </row>
    <row r="370" ht="16.5" customHeight="1">
      <c r="A370" s="32">
        <v>369.0</v>
      </c>
      <c r="B370" s="32" t="s">
        <v>788</v>
      </c>
      <c r="C370" s="32" t="s">
        <v>184</v>
      </c>
      <c r="D370" s="32" t="s">
        <v>185</v>
      </c>
      <c r="E370" s="32" t="s">
        <v>186</v>
      </c>
      <c r="F370" s="32" t="s">
        <v>189</v>
      </c>
      <c r="G370" s="32" t="s">
        <v>190</v>
      </c>
    </row>
    <row r="371" ht="16.5" customHeight="1">
      <c r="A371" s="32">
        <v>370.0</v>
      </c>
      <c r="B371" s="32" t="s">
        <v>789</v>
      </c>
      <c r="C371" s="32" t="s">
        <v>184</v>
      </c>
      <c r="D371" s="32" t="s">
        <v>234</v>
      </c>
      <c r="E371" s="35" t="s">
        <v>790</v>
      </c>
      <c r="F371" s="32" t="s">
        <v>235</v>
      </c>
      <c r="G371" s="32" t="s">
        <v>243</v>
      </c>
    </row>
    <row r="372" ht="16.5" customHeight="1">
      <c r="A372" s="32">
        <v>371.0</v>
      </c>
      <c r="B372" s="32" t="s">
        <v>791</v>
      </c>
      <c r="C372" s="32" t="s">
        <v>184</v>
      </c>
      <c r="D372" s="32" t="s">
        <v>764</v>
      </c>
      <c r="E372" s="32" t="s">
        <v>186</v>
      </c>
    </row>
    <row r="373" ht="16.5" customHeight="1">
      <c r="A373" s="32">
        <v>372.0</v>
      </c>
      <c r="B373" s="32" t="s">
        <v>792</v>
      </c>
      <c r="C373" s="32" t="s">
        <v>184</v>
      </c>
      <c r="D373" s="32" t="s">
        <v>228</v>
      </c>
      <c r="E373" s="32" t="s">
        <v>186</v>
      </c>
      <c r="F373" s="32" t="s">
        <v>793</v>
      </c>
    </row>
    <row r="374" ht="16.5" customHeight="1">
      <c r="A374" s="32">
        <v>373.0</v>
      </c>
      <c r="B374" s="32" t="s">
        <v>794</v>
      </c>
      <c r="C374" s="32" t="s">
        <v>184</v>
      </c>
      <c r="D374" s="35" t="s">
        <v>691</v>
      </c>
      <c r="E374" s="32" t="s">
        <v>186</v>
      </c>
      <c r="F374" s="32" t="s">
        <v>795</v>
      </c>
    </row>
    <row r="375" ht="16.5" customHeight="1">
      <c r="A375" s="32">
        <v>374.0</v>
      </c>
      <c r="B375" s="32" t="s">
        <v>796</v>
      </c>
      <c r="C375" s="32" t="s">
        <v>184</v>
      </c>
      <c r="D375" s="32" t="s">
        <v>285</v>
      </c>
      <c r="E375" s="32" t="s">
        <v>186</v>
      </c>
    </row>
    <row r="376" ht="16.5" customHeight="1">
      <c r="A376" s="32">
        <v>375.0</v>
      </c>
      <c r="B376" s="32" t="s">
        <v>797</v>
      </c>
      <c r="C376" s="32" t="s">
        <v>184</v>
      </c>
      <c r="D376" s="32" t="s">
        <v>764</v>
      </c>
      <c r="E376" s="32" t="s">
        <v>186</v>
      </c>
    </row>
    <row r="377" ht="16.5" customHeight="1">
      <c r="A377" s="32">
        <v>376.0</v>
      </c>
      <c r="B377" s="32" t="s">
        <v>798</v>
      </c>
      <c r="C377" s="32" t="s">
        <v>184</v>
      </c>
      <c r="D377" s="32" t="s">
        <v>764</v>
      </c>
      <c r="E377" s="32" t="s">
        <v>186</v>
      </c>
      <c r="F377" s="32" t="s">
        <v>799</v>
      </c>
      <c r="G377" s="32" t="s">
        <v>800</v>
      </c>
    </row>
    <row r="378" ht="16.5" customHeight="1">
      <c r="A378" s="32">
        <v>377.0</v>
      </c>
      <c r="B378" s="32" t="s">
        <v>801</v>
      </c>
      <c r="C378" s="32" t="s">
        <v>184</v>
      </c>
      <c r="D378" s="32" t="s">
        <v>764</v>
      </c>
      <c r="E378" s="32" t="s">
        <v>186</v>
      </c>
    </row>
    <row r="379" ht="16.5" customHeight="1">
      <c r="A379" s="32">
        <v>378.0</v>
      </c>
      <c r="B379" s="32" t="s">
        <v>802</v>
      </c>
      <c r="C379" s="32" t="s">
        <v>184</v>
      </c>
      <c r="D379" s="32" t="s">
        <v>285</v>
      </c>
      <c r="E379" s="32" t="s">
        <v>186</v>
      </c>
      <c r="F379" s="32" t="s">
        <v>189</v>
      </c>
      <c r="G379" s="32" t="s">
        <v>190</v>
      </c>
    </row>
    <row r="380" ht="16.5" customHeight="1">
      <c r="A380" s="32">
        <v>379.0</v>
      </c>
      <c r="B380" s="32" t="s">
        <v>803</v>
      </c>
      <c r="C380" s="32" t="s">
        <v>184</v>
      </c>
      <c r="D380" s="32" t="s">
        <v>219</v>
      </c>
      <c r="E380" s="32" t="s">
        <v>186</v>
      </c>
      <c r="F380" s="32" t="s">
        <v>223</v>
      </c>
      <c r="G380" s="32" t="s">
        <v>804</v>
      </c>
    </row>
    <row r="381" ht="16.5" customHeight="1">
      <c r="A381" s="32">
        <v>380.0</v>
      </c>
      <c r="B381" s="32" t="s">
        <v>805</v>
      </c>
      <c r="C381" s="32" t="s">
        <v>184</v>
      </c>
      <c r="D381" s="32" t="s">
        <v>219</v>
      </c>
      <c r="E381" s="32" t="s">
        <v>186</v>
      </c>
      <c r="F381" s="32" t="s">
        <v>223</v>
      </c>
      <c r="G381" s="32" t="s">
        <v>472</v>
      </c>
    </row>
    <row r="382" ht="16.5" customHeight="1">
      <c r="A382" s="32">
        <v>381.0</v>
      </c>
      <c r="B382" s="32" t="s">
        <v>806</v>
      </c>
      <c r="C382" s="32" t="s">
        <v>184</v>
      </c>
      <c r="D382" s="35" t="s">
        <v>691</v>
      </c>
      <c r="E382" s="32" t="s">
        <v>186</v>
      </c>
    </row>
    <row r="383" ht="16.5" customHeight="1">
      <c r="A383" s="32">
        <v>382.0</v>
      </c>
      <c r="B383" s="32" t="s">
        <v>13</v>
      </c>
      <c r="C383" s="32" t="s">
        <v>184</v>
      </c>
      <c r="D383" s="32" t="s">
        <v>219</v>
      </c>
      <c r="E383" s="32" t="s">
        <v>186</v>
      </c>
      <c r="F383" s="32" t="s">
        <v>241</v>
      </c>
      <c r="G383" s="32" t="s">
        <v>292</v>
      </c>
    </row>
    <row r="384" ht="16.5" customHeight="1">
      <c r="A384" s="32">
        <v>383.0</v>
      </c>
      <c r="B384" s="32" t="s">
        <v>807</v>
      </c>
      <c r="C384" s="32" t="s">
        <v>184</v>
      </c>
      <c r="D384" s="32" t="s">
        <v>219</v>
      </c>
      <c r="E384" s="32" t="s">
        <v>186</v>
      </c>
      <c r="F384" s="32" t="s">
        <v>217</v>
      </c>
      <c r="G384" s="32" t="s">
        <v>216</v>
      </c>
    </row>
    <row r="385" ht="16.5" customHeight="1">
      <c r="A385" s="32">
        <v>384.0</v>
      </c>
      <c r="B385" s="32" t="s">
        <v>808</v>
      </c>
      <c r="C385" s="32" t="s">
        <v>184</v>
      </c>
      <c r="D385" s="32" t="s">
        <v>219</v>
      </c>
      <c r="E385" s="32" t="s">
        <v>186</v>
      </c>
    </row>
    <row r="386" ht="16.5" customHeight="1">
      <c r="A386" s="32">
        <v>385.0</v>
      </c>
      <c r="B386" s="32" t="s">
        <v>809</v>
      </c>
      <c r="C386" s="32" t="s">
        <v>184</v>
      </c>
      <c r="D386" s="35" t="s">
        <v>294</v>
      </c>
      <c r="E386" s="32" t="s">
        <v>186</v>
      </c>
      <c r="F386" s="32" t="s">
        <v>295</v>
      </c>
      <c r="G386" s="32" t="s">
        <v>810</v>
      </c>
    </row>
    <row r="387" ht="16.5" customHeight="1">
      <c r="A387" s="32">
        <v>386.0</v>
      </c>
      <c r="B387" s="32" t="s">
        <v>811</v>
      </c>
      <c r="C387" s="32" t="s">
        <v>184</v>
      </c>
      <c r="D387" s="32" t="s">
        <v>185</v>
      </c>
      <c r="E387" s="32" t="s">
        <v>186</v>
      </c>
      <c r="F387" s="32" t="s">
        <v>187</v>
      </c>
      <c r="G387" s="32" t="s">
        <v>482</v>
      </c>
    </row>
    <row r="388" ht="16.5" customHeight="1">
      <c r="A388" s="32">
        <v>387.0</v>
      </c>
      <c r="B388" s="32" t="s">
        <v>812</v>
      </c>
      <c r="C388" s="32" t="s">
        <v>184</v>
      </c>
      <c r="D388" s="35" t="s">
        <v>294</v>
      </c>
      <c r="E388" s="32" t="s">
        <v>186</v>
      </c>
      <c r="F388" s="32" t="s">
        <v>187</v>
      </c>
      <c r="G388" s="32" t="s">
        <v>482</v>
      </c>
    </row>
    <row r="389" ht="16.5" customHeight="1">
      <c r="A389" s="32">
        <v>388.0</v>
      </c>
      <c r="B389" s="32" t="s">
        <v>813</v>
      </c>
      <c r="C389" s="32" t="s">
        <v>184</v>
      </c>
      <c r="D389" s="32" t="s">
        <v>185</v>
      </c>
      <c r="E389" s="32" t="s">
        <v>186</v>
      </c>
    </row>
    <row r="390" ht="16.5" customHeight="1">
      <c r="A390" s="32">
        <v>389.0</v>
      </c>
      <c r="B390" s="32" t="s">
        <v>814</v>
      </c>
      <c r="C390" s="32" t="s">
        <v>184</v>
      </c>
      <c r="D390" s="32" t="s">
        <v>185</v>
      </c>
      <c r="E390" s="32" t="s">
        <v>186</v>
      </c>
    </row>
    <row r="391" ht="16.5" customHeight="1">
      <c r="A391" s="32">
        <v>390.0</v>
      </c>
      <c r="B391" s="32" t="s">
        <v>815</v>
      </c>
      <c r="C391" s="32" t="s">
        <v>184</v>
      </c>
      <c r="D391" s="32" t="s">
        <v>192</v>
      </c>
      <c r="E391" s="32" t="s">
        <v>186</v>
      </c>
    </row>
    <row r="392" ht="16.5" customHeight="1">
      <c r="A392" s="32">
        <v>391.0</v>
      </c>
      <c r="B392" s="32" t="s">
        <v>816</v>
      </c>
      <c r="C392" s="32" t="s">
        <v>184</v>
      </c>
      <c r="D392" s="32" t="s">
        <v>285</v>
      </c>
      <c r="E392" s="32" t="s">
        <v>186</v>
      </c>
    </row>
    <row r="393" ht="16.5" customHeight="1">
      <c r="A393" s="32">
        <v>392.0</v>
      </c>
      <c r="B393" s="32" t="s">
        <v>817</v>
      </c>
      <c r="C393" s="32" t="s">
        <v>184</v>
      </c>
      <c r="D393" s="32" t="s">
        <v>234</v>
      </c>
      <c r="E393" s="32" t="s">
        <v>186</v>
      </c>
      <c r="F393" s="32" t="s">
        <v>347</v>
      </c>
      <c r="G393" s="32" t="s">
        <v>382</v>
      </c>
    </row>
    <row r="394" ht="16.5" customHeight="1">
      <c r="A394" s="32">
        <v>393.0</v>
      </c>
      <c r="B394" s="32" t="s">
        <v>818</v>
      </c>
      <c r="C394" s="32" t="s">
        <v>184</v>
      </c>
      <c r="D394" s="32" t="s">
        <v>234</v>
      </c>
      <c r="E394" s="32" t="s">
        <v>186</v>
      </c>
      <c r="F394" s="32" t="s">
        <v>347</v>
      </c>
      <c r="G394" s="32" t="s">
        <v>382</v>
      </c>
    </row>
    <row r="395" ht="16.5" customHeight="1">
      <c r="A395" s="32">
        <v>394.0</v>
      </c>
      <c r="B395" s="32" t="s">
        <v>819</v>
      </c>
      <c r="C395" s="32" t="s">
        <v>184</v>
      </c>
      <c r="D395" s="32" t="s">
        <v>192</v>
      </c>
      <c r="E395" s="32" t="s">
        <v>186</v>
      </c>
      <c r="F395" s="32" t="s">
        <v>300</v>
      </c>
      <c r="G395" s="32" t="s">
        <v>820</v>
      </c>
    </row>
    <row r="396" ht="16.5" customHeight="1">
      <c r="A396" s="32">
        <v>395.0</v>
      </c>
      <c r="B396" s="32" t="s">
        <v>821</v>
      </c>
      <c r="C396" s="32" t="s">
        <v>184</v>
      </c>
      <c r="D396" s="32" t="s">
        <v>219</v>
      </c>
      <c r="E396" s="32" t="s">
        <v>186</v>
      </c>
      <c r="F396" s="32" t="s">
        <v>223</v>
      </c>
    </row>
    <row r="397" ht="16.5" customHeight="1">
      <c r="A397" s="32">
        <v>396.0</v>
      </c>
      <c r="B397" s="32" t="s">
        <v>822</v>
      </c>
      <c r="C397" s="32" t="s">
        <v>184</v>
      </c>
      <c r="D397" s="32" t="s">
        <v>219</v>
      </c>
      <c r="E397" s="32" t="s">
        <v>186</v>
      </c>
    </row>
    <row r="398" ht="16.5" customHeight="1">
      <c r="A398" s="32">
        <v>397.0</v>
      </c>
      <c r="B398" s="32" t="s">
        <v>823</v>
      </c>
      <c r="C398" s="32" t="s">
        <v>184</v>
      </c>
      <c r="D398" s="32" t="s">
        <v>234</v>
      </c>
      <c r="E398" s="32" t="s">
        <v>186</v>
      </c>
      <c r="F398" s="32" t="s">
        <v>347</v>
      </c>
      <c r="G398" s="32" t="s">
        <v>824</v>
      </c>
    </row>
    <row r="399" ht="16.5" customHeight="1">
      <c r="A399" s="32">
        <v>398.0</v>
      </c>
      <c r="B399" s="32" t="s">
        <v>825</v>
      </c>
      <c r="C399" s="32" t="s">
        <v>184</v>
      </c>
      <c r="D399" s="32" t="s">
        <v>234</v>
      </c>
      <c r="E399" s="32" t="s">
        <v>186</v>
      </c>
      <c r="F399" s="32" t="s">
        <v>347</v>
      </c>
      <c r="G399" s="32" t="s">
        <v>382</v>
      </c>
    </row>
    <row r="400" ht="16.5" customHeight="1">
      <c r="A400" s="32">
        <v>399.0</v>
      </c>
      <c r="B400" s="32" t="s">
        <v>826</v>
      </c>
      <c r="C400" s="32" t="s">
        <v>184</v>
      </c>
      <c r="D400" s="32" t="s">
        <v>192</v>
      </c>
      <c r="E400" s="32" t="s">
        <v>186</v>
      </c>
      <c r="F400" s="32" t="s">
        <v>300</v>
      </c>
      <c r="G400" s="32" t="s">
        <v>827</v>
      </c>
    </row>
    <row r="401" ht="16.5" customHeight="1">
      <c r="A401" s="32">
        <v>400.0</v>
      </c>
      <c r="B401" s="32" t="s">
        <v>145</v>
      </c>
      <c r="C401" s="32" t="s">
        <v>184</v>
      </c>
      <c r="D401" s="32" t="s">
        <v>219</v>
      </c>
      <c r="E401" s="32" t="s">
        <v>186</v>
      </c>
      <c r="F401" s="32" t="s">
        <v>241</v>
      </c>
      <c r="G401" s="32" t="s">
        <v>242</v>
      </c>
    </row>
    <row r="402" ht="16.5" customHeight="1">
      <c r="A402" s="32">
        <v>401.0</v>
      </c>
      <c r="B402" s="32" t="s">
        <v>828</v>
      </c>
      <c r="C402" s="32" t="s">
        <v>184</v>
      </c>
      <c r="D402" s="35" t="s">
        <v>829</v>
      </c>
      <c r="E402" s="32" t="s">
        <v>186</v>
      </c>
      <c r="F402" s="32" t="s">
        <v>236</v>
      </c>
      <c r="G402" s="32" t="s">
        <v>292</v>
      </c>
    </row>
    <row r="403" ht="16.5" customHeight="1">
      <c r="A403" s="32">
        <v>402.0</v>
      </c>
      <c r="B403" s="32" t="s">
        <v>830</v>
      </c>
      <c r="C403" s="32" t="s">
        <v>184</v>
      </c>
      <c r="D403" s="32" t="s">
        <v>285</v>
      </c>
      <c r="E403" s="32" t="s">
        <v>186</v>
      </c>
    </row>
    <row r="404" ht="16.5" customHeight="1">
      <c r="A404" s="32">
        <v>403.0</v>
      </c>
      <c r="B404" s="32" t="s">
        <v>831</v>
      </c>
      <c r="C404" s="32" t="s">
        <v>184</v>
      </c>
      <c r="D404" s="32" t="s">
        <v>285</v>
      </c>
      <c r="E404" s="32" t="s">
        <v>186</v>
      </c>
    </row>
    <row r="405" ht="16.5" customHeight="1">
      <c r="A405" s="32">
        <v>404.0</v>
      </c>
      <c r="B405" s="32" t="s">
        <v>832</v>
      </c>
      <c r="C405" s="32" t="s">
        <v>184</v>
      </c>
      <c r="D405" s="32" t="s">
        <v>325</v>
      </c>
      <c r="E405" s="32" t="s">
        <v>186</v>
      </c>
      <c r="F405" s="32" t="s">
        <v>368</v>
      </c>
      <c r="G405" s="32" t="s">
        <v>463</v>
      </c>
    </row>
    <row r="406" ht="16.5" customHeight="1">
      <c r="A406" s="32">
        <v>405.0</v>
      </c>
      <c r="B406" s="32" t="s">
        <v>181</v>
      </c>
      <c r="C406" s="32" t="s">
        <v>184</v>
      </c>
      <c r="D406" s="32" t="s">
        <v>234</v>
      </c>
      <c r="E406" s="32" t="s">
        <v>186</v>
      </c>
      <c r="F406" s="32" t="s">
        <v>235</v>
      </c>
      <c r="G406" s="32" t="s">
        <v>243</v>
      </c>
    </row>
    <row r="407" ht="16.5" customHeight="1">
      <c r="A407" s="32">
        <v>406.0</v>
      </c>
      <c r="B407" s="32" t="s">
        <v>833</v>
      </c>
      <c r="C407" s="32" t="s">
        <v>184</v>
      </c>
      <c r="D407" s="32" t="s">
        <v>285</v>
      </c>
      <c r="E407" s="32" t="s">
        <v>186</v>
      </c>
      <c r="F407" s="32" t="s">
        <v>189</v>
      </c>
      <c r="G407" s="32" t="s">
        <v>190</v>
      </c>
    </row>
    <row r="408" ht="16.5" customHeight="1">
      <c r="A408" s="32">
        <v>407.0</v>
      </c>
      <c r="B408" s="32" t="s">
        <v>834</v>
      </c>
      <c r="C408" s="32" t="s">
        <v>184</v>
      </c>
      <c r="D408" s="32" t="s">
        <v>285</v>
      </c>
      <c r="E408" s="32" t="s">
        <v>186</v>
      </c>
      <c r="F408" s="32" t="s">
        <v>189</v>
      </c>
      <c r="G408" s="32" t="s">
        <v>190</v>
      </c>
    </row>
    <row r="409" ht="16.5" customHeight="1">
      <c r="A409" s="32">
        <v>408.0</v>
      </c>
      <c r="B409" s="32" t="s">
        <v>835</v>
      </c>
      <c r="C409" s="32" t="s">
        <v>184</v>
      </c>
      <c r="D409" s="32" t="s">
        <v>285</v>
      </c>
      <c r="E409" s="32" t="s">
        <v>186</v>
      </c>
    </row>
    <row r="410" ht="16.5" customHeight="1">
      <c r="A410" s="32">
        <v>409.0</v>
      </c>
      <c r="B410" s="32" t="s">
        <v>836</v>
      </c>
      <c r="C410" s="32" t="s">
        <v>184</v>
      </c>
      <c r="D410" s="32" t="s">
        <v>285</v>
      </c>
      <c r="E410" s="32" t="s">
        <v>186</v>
      </c>
    </row>
    <row r="411" ht="16.5" customHeight="1">
      <c r="A411" s="32">
        <v>410.0</v>
      </c>
      <c r="B411" s="32" t="s">
        <v>836</v>
      </c>
      <c r="C411" s="32" t="s">
        <v>184</v>
      </c>
      <c r="D411" s="32" t="s">
        <v>285</v>
      </c>
      <c r="E411" s="32" t="s">
        <v>186</v>
      </c>
      <c r="F411" s="32" t="s">
        <v>189</v>
      </c>
      <c r="G411" s="32" t="s">
        <v>190</v>
      </c>
    </row>
    <row r="412" ht="16.5" customHeight="1">
      <c r="A412" s="32">
        <v>411.0</v>
      </c>
      <c r="B412" s="32" t="s">
        <v>837</v>
      </c>
      <c r="C412" s="32" t="s">
        <v>184</v>
      </c>
      <c r="D412" s="32" t="s">
        <v>285</v>
      </c>
      <c r="E412" s="32" t="s">
        <v>186</v>
      </c>
    </row>
    <row r="413" ht="16.5" customHeight="1">
      <c r="A413" s="32">
        <v>412.0</v>
      </c>
      <c r="B413" s="32" t="s">
        <v>838</v>
      </c>
      <c r="C413" s="32" t="s">
        <v>184</v>
      </c>
      <c r="D413" s="32" t="s">
        <v>285</v>
      </c>
      <c r="E413" s="32" t="s">
        <v>186</v>
      </c>
    </row>
    <row r="414" ht="16.5" customHeight="1">
      <c r="A414" s="32">
        <v>413.0</v>
      </c>
      <c r="B414" s="32" t="s">
        <v>166</v>
      </c>
      <c r="C414" s="32" t="s">
        <v>184</v>
      </c>
      <c r="D414" s="32" t="s">
        <v>228</v>
      </c>
      <c r="E414" s="32" t="s">
        <v>186</v>
      </c>
      <c r="F414" s="32" t="s">
        <v>229</v>
      </c>
      <c r="G414" s="32" t="s">
        <v>244</v>
      </c>
    </row>
    <row r="415" ht="16.5" customHeight="1">
      <c r="A415" s="32">
        <v>414.0</v>
      </c>
      <c r="B415" s="32" t="s">
        <v>839</v>
      </c>
      <c r="C415" s="32" t="s">
        <v>184</v>
      </c>
      <c r="D415" s="32" t="s">
        <v>228</v>
      </c>
      <c r="E415" s="32" t="s">
        <v>186</v>
      </c>
      <c r="F415" s="32" t="s">
        <v>229</v>
      </c>
      <c r="G415" s="32" t="s">
        <v>244</v>
      </c>
    </row>
    <row r="416" ht="16.5" customHeight="1">
      <c r="A416" s="32">
        <v>415.0</v>
      </c>
      <c r="B416" s="32" t="s">
        <v>840</v>
      </c>
      <c r="C416" s="32" t="s">
        <v>184</v>
      </c>
      <c r="D416" s="32" t="s">
        <v>234</v>
      </c>
      <c r="E416" s="32" t="s">
        <v>186</v>
      </c>
      <c r="F416" s="32" t="s">
        <v>235</v>
      </c>
      <c r="G416" s="32" t="s">
        <v>841</v>
      </c>
    </row>
    <row r="417" ht="16.5" customHeight="1">
      <c r="A417" s="32">
        <v>416.0</v>
      </c>
      <c r="B417" s="32" t="s">
        <v>842</v>
      </c>
      <c r="C417" s="32" t="s">
        <v>184</v>
      </c>
      <c r="D417" s="32" t="s">
        <v>185</v>
      </c>
      <c r="E417" s="32" t="s">
        <v>186</v>
      </c>
      <c r="F417" s="32" t="s">
        <v>189</v>
      </c>
      <c r="G417" s="32" t="s">
        <v>190</v>
      </c>
    </row>
    <row r="418" ht="16.5" customHeight="1">
      <c r="A418" s="32">
        <v>417.0</v>
      </c>
      <c r="B418" s="32" t="s">
        <v>843</v>
      </c>
      <c r="C418" s="32" t="s">
        <v>184</v>
      </c>
      <c r="D418" s="35" t="s">
        <v>294</v>
      </c>
      <c r="E418" s="32" t="s">
        <v>186</v>
      </c>
      <c r="F418" s="32" t="s">
        <v>189</v>
      </c>
      <c r="G418" s="32" t="s">
        <v>190</v>
      </c>
    </row>
    <row r="419" ht="16.5" customHeight="1">
      <c r="A419" s="32">
        <v>418.0</v>
      </c>
      <c r="B419" s="32" t="s">
        <v>844</v>
      </c>
      <c r="C419" s="32" t="s">
        <v>184</v>
      </c>
      <c r="D419" s="32" t="s">
        <v>285</v>
      </c>
      <c r="E419" s="32" t="s">
        <v>186</v>
      </c>
      <c r="F419" s="32" t="s">
        <v>189</v>
      </c>
      <c r="G419" s="32" t="s">
        <v>314</v>
      </c>
    </row>
    <row r="420" ht="16.5" customHeight="1">
      <c r="A420" s="32">
        <v>419.0</v>
      </c>
      <c r="B420" s="32" t="s">
        <v>845</v>
      </c>
      <c r="C420" s="32" t="s">
        <v>184</v>
      </c>
      <c r="D420" s="32" t="s">
        <v>285</v>
      </c>
      <c r="E420" s="32" t="s">
        <v>186</v>
      </c>
      <c r="F420" s="32" t="s">
        <v>189</v>
      </c>
      <c r="G420" s="32" t="s">
        <v>190</v>
      </c>
    </row>
    <row r="421" ht="16.5" customHeight="1">
      <c r="A421" s="32">
        <v>420.0</v>
      </c>
      <c r="B421" s="32" t="s">
        <v>846</v>
      </c>
      <c r="C421" s="32" t="s">
        <v>184</v>
      </c>
      <c r="D421" s="32" t="s">
        <v>764</v>
      </c>
      <c r="E421" s="32" t="s">
        <v>186</v>
      </c>
    </row>
    <row r="422" ht="16.5" customHeight="1">
      <c r="A422" s="32">
        <v>421.0</v>
      </c>
      <c r="B422" s="32" t="s">
        <v>847</v>
      </c>
      <c r="C422" s="32" t="s">
        <v>184</v>
      </c>
      <c r="D422" s="32" t="s">
        <v>285</v>
      </c>
      <c r="E422" s="32" t="s">
        <v>186</v>
      </c>
      <c r="F422" s="32" t="s">
        <v>189</v>
      </c>
      <c r="G422" s="32" t="s">
        <v>190</v>
      </c>
    </row>
    <row r="423" ht="16.5" customHeight="1">
      <c r="A423" s="32">
        <v>422.0</v>
      </c>
      <c r="B423" s="32" t="s">
        <v>848</v>
      </c>
      <c r="C423" s="32" t="s">
        <v>184</v>
      </c>
      <c r="D423" s="32" t="s">
        <v>285</v>
      </c>
      <c r="E423" s="32" t="s">
        <v>186</v>
      </c>
      <c r="F423" s="32" t="s">
        <v>189</v>
      </c>
      <c r="G423" s="32" t="s">
        <v>190</v>
      </c>
    </row>
    <row r="424" ht="16.5" customHeight="1">
      <c r="A424" s="32">
        <v>423.0</v>
      </c>
      <c r="B424" s="32" t="s">
        <v>849</v>
      </c>
      <c r="C424" s="32" t="s">
        <v>184</v>
      </c>
      <c r="D424" s="32" t="s">
        <v>285</v>
      </c>
      <c r="E424" s="32" t="s">
        <v>186</v>
      </c>
      <c r="F424" s="32" t="s">
        <v>189</v>
      </c>
      <c r="G424" s="32" t="s">
        <v>190</v>
      </c>
    </row>
    <row r="425" ht="16.5" customHeight="1">
      <c r="A425" s="32">
        <v>424.0</v>
      </c>
      <c r="B425" s="32" t="s">
        <v>850</v>
      </c>
      <c r="C425" s="32" t="s">
        <v>184</v>
      </c>
      <c r="D425" s="32" t="s">
        <v>285</v>
      </c>
      <c r="E425" s="32" t="s">
        <v>186</v>
      </c>
      <c r="F425" s="32" t="s">
        <v>189</v>
      </c>
      <c r="G425" s="32" t="s">
        <v>190</v>
      </c>
    </row>
    <row r="426" ht="16.5" customHeight="1">
      <c r="A426" s="32">
        <v>425.0</v>
      </c>
      <c r="B426" s="32" t="s">
        <v>851</v>
      </c>
      <c r="C426" s="32" t="s">
        <v>184</v>
      </c>
      <c r="D426" s="32" t="s">
        <v>285</v>
      </c>
      <c r="E426" s="32" t="s">
        <v>186</v>
      </c>
      <c r="F426" s="32" t="s">
        <v>189</v>
      </c>
      <c r="G426" s="32" t="s">
        <v>190</v>
      </c>
    </row>
    <row r="427" ht="16.5" customHeight="1">
      <c r="A427" s="32">
        <v>426.0</v>
      </c>
      <c r="B427" s="32" t="s">
        <v>172</v>
      </c>
      <c r="C427" s="32" t="s">
        <v>184</v>
      </c>
      <c r="D427" s="32" t="s">
        <v>185</v>
      </c>
      <c r="E427" s="32" t="s">
        <v>186</v>
      </c>
      <c r="F427" s="32" t="s">
        <v>187</v>
      </c>
      <c r="G427" s="32" t="s">
        <v>188</v>
      </c>
    </row>
    <row r="428" ht="16.5" customHeight="1">
      <c r="A428" s="32">
        <v>427.0</v>
      </c>
      <c r="B428" s="32" t="s">
        <v>852</v>
      </c>
      <c r="C428" s="32" t="s">
        <v>184</v>
      </c>
      <c r="D428" s="32" t="s">
        <v>185</v>
      </c>
      <c r="E428" s="32" t="s">
        <v>186</v>
      </c>
    </row>
    <row r="429" ht="16.5" customHeight="1">
      <c r="A429" s="32">
        <v>428.0</v>
      </c>
      <c r="B429" s="32" t="s">
        <v>853</v>
      </c>
      <c r="C429" s="32" t="s">
        <v>184</v>
      </c>
      <c r="D429" s="32" t="s">
        <v>185</v>
      </c>
      <c r="E429" s="32" t="s">
        <v>186</v>
      </c>
      <c r="F429" s="32" t="s">
        <v>187</v>
      </c>
      <c r="G429" s="32" t="s">
        <v>854</v>
      </c>
    </row>
    <row r="430" ht="16.5" customHeight="1">
      <c r="A430" s="32">
        <v>429.0</v>
      </c>
      <c r="B430" s="32" t="s">
        <v>855</v>
      </c>
      <c r="C430" s="32" t="s">
        <v>184</v>
      </c>
      <c r="D430" s="32" t="s">
        <v>185</v>
      </c>
      <c r="E430" s="32" t="s">
        <v>186</v>
      </c>
      <c r="F430" s="32" t="s">
        <v>187</v>
      </c>
      <c r="G430" s="32" t="s">
        <v>188</v>
      </c>
    </row>
    <row r="431" ht="16.5" customHeight="1">
      <c r="A431" s="32">
        <v>430.0</v>
      </c>
      <c r="B431" s="32" t="s">
        <v>856</v>
      </c>
      <c r="C431" s="32" t="s">
        <v>184</v>
      </c>
      <c r="D431" s="32" t="s">
        <v>285</v>
      </c>
      <c r="E431" s="32" t="s">
        <v>186</v>
      </c>
      <c r="F431" s="32" t="s">
        <v>188</v>
      </c>
      <c r="G431" s="32" t="s">
        <v>857</v>
      </c>
    </row>
    <row r="432" ht="16.5" customHeight="1">
      <c r="A432" s="32">
        <v>431.0</v>
      </c>
      <c r="B432" s="32" t="s">
        <v>858</v>
      </c>
      <c r="C432" s="32" t="s">
        <v>184</v>
      </c>
      <c r="D432" s="32" t="s">
        <v>185</v>
      </c>
      <c r="E432" s="32" t="s">
        <v>186</v>
      </c>
      <c r="F432" s="32" t="s">
        <v>188</v>
      </c>
      <c r="G432" s="32" t="s">
        <v>857</v>
      </c>
    </row>
    <row r="433" ht="16.5" customHeight="1">
      <c r="A433" s="32">
        <v>432.0</v>
      </c>
      <c r="B433" s="32" t="s">
        <v>859</v>
      </c>
      <c r="C433" s="32" t="s">
        <v>184</v>
      </c>
      <c r="D433" s="32" t="s">
        <v>234</v>
      </c>
      <c r="E433" s="32" t="s">
        <v>186</v>
      </c>
      <c r="F433" s="32" t="s">
        <v>347</v>
      </c>
      <c r="G433" s="32" t="s">
        <v>382</v>
      </c>
    </row>
    <row r="434" ht="16.5" customHeight="1">
      <c r="A434" s="32">
        <v>433.0</v>
      </c>
      <c r="B434" s="32" t="s">
        <v>175</v>
      </c>
      <c r="C434" s="32" t="s">
        <v>184</v>
      </c>
      <c r="D434" s="32" t="s">
        <v>185</v>
      </c>
      <c r="E434" s="32" t="s">
        <v>186</v>
      </c>
      <c r="F434" s="32" t="s">
        <v>189</v>
      </c>
      <c r="G434" s="32" t="s">
        <v>190</v>
      </c>
    </row>
    <row r="435" ht="16.5" customHeight="1">
      <c r="A435" s="32">
        <v>434.0</v>
      </c>
      <c r="B435" s="32" t="s">
        <v>860</v>
      </c>
      <c r="C435" s="32" t="s">
        <v>184</v>
      </c>
      <c r="D435" s="35" t="s">
        <v>294</v>
      </c>
      <c r="E435" s="32" t="s">
        <v>186</v>
      </c>
    </row>
    <row r="436" ht="16.5" customHeight="1">
      <c r="A436" s="32">
        <v>435.0</v>
      </c>
      <c r="B436" s="32" t="s">
        <v>861</v>
      </c>
      <c r="C436" s="32" t="s">
        <v>184</v>
      </c>
      <c r="D436" s="32" t="s">
        <v>764</v>
      </c>
      <c r="E436" s="32" t="s">
        <v>186</v>
      </c>
    </row>
    <row r="437" ht="16.5" customHeight="1">
      <c r="A437" s="32">
        <v>436.0</v>
      </c>
      <c r="B437" s="32" t="s">
        <v>862</v>
      </c>
      <c r="C437" s="32" t="s">
        <v>184</v>
      </c>
      <c r="D437" s="32" t="s">
        <v>764</v>
      </c>
      <c r="E437" s="32" t="s">
        <v>186</v>
      </c>
    </row>
    <row r="438" ht="16.5" customHeight="1">
      <c r="A438" s="32">
        <v>437.0</v>
      </c>
      <c r="B438" s="32" t="s">
        <v>863</v>
      </c>
      <c r="C438" s="32" t="s">
        <v>184</v>
      </c>
      <c r="D438" s="32" t="s">
        <v>764</v>
      </c>
      <c r="E438" s="32" t="s">
        <v>186</v>
      </c>
    </row>
    <row r="439" ht="16.5" customHeight="1">
      <c r="A439" s="32">
        <v>438.0</v>
      </c>
      <c r="B439" s="32" t="s">
        <v>864</v>
      </c>
      <c r="C439" s="32" t="s">
        <v>184</v>
      </c>
      <c r="D439" s="32" t="s">
        <v>764</v>
      </c>
      <c r="E439" s="32" t="s">
        <v>186</v>
      </c>
    </row>
    <row r="440" ht="16.5" customHeight="1">
      <c r="A440" s="32">
        <v>439.0</v>
      </c>
      <c r="B440" s="32" t="s">
        <v>865</v>
      </c>
      <c r="C440" s="32" t="s">
        <v>184</v>
      </c>
      <c r="D440" s="32" t="s">
        <v>764</v>
      </c>
      <c r="E440" s="32" t="s">
        <v>186</v>
      </c>
      <c r="F440" s="32" t="s">
        <v>866</v>
      </c>
    </row>
    <row r="441" ht="16.5" customHeight="1">
      <c r="A441" s="32">
        <v>440.0</v>
      </c>
      <c r="B441" s="32" t="s">
        <v>867</v>
      </c>
      <c r="C441" s="32" t="s">
        <v>184</v>
      </c>
      <c r="D441" s="32" t="s">
        <v>764</v>
      </c>
      <c r="E441" s="32" t="s">
        <v>186</v>
      </c>
    </row>
    <row r="442" ht="16.5" customHeight="1">
      <c r="A442" s="32">
        <v>441.0</v>
      </c>
      <c r="B442" s="32" t="s">
        <v>868</v>
      </c>
      <c r="C442" s="32" t="s">
        <v>184</v>
      </c>
      <c r="D442" s="32" t="s">
        <v>764</v>
      </c>
      <c r="E442" s="32" t="s">
        <v>186</v>
      </c>
    </row>
    <row r="443" ht="16.5" customHeight="1">
      <c r="A443" s="32">
        <v>442.0</v>
      </c>
      <c r="B443" s="32" t="s">
        <v>869</v>
      </c>
      <c r="C443" s="32" t="s">
        <v>184</v>
      </c>
      <c r="D443" s="32" t="s">
        <v>285</v>
      </c>
      <c r="E443" s="32" t="s">
        <v>186</v>
      </c>
      <c r="F443" s="32" t="s">
        <v>189</v>
      </c>
      <c r="G443" s="32" t="s">
        <v>190</v>
      </c>
    </row>
    <row r="444" ht="16.5" customHeight="1">
      <c r="A444" s="32">
        <v>443.0</v>
      </c>
      <c r="B444" s="32" t="s">
        <v>870</v>
      </c>
      <c r="C444" s="32" t="s">
        <v>184</v>
      </c>
      <c r="D444" s="32" t="s">
        <v>185</v>
      </c>
      <c r="E444" s="32" t="s">
        <v>186</v>
      </c>
      <c r="F444" s="32" t="s">
        <v>187</v>
      </c>
      <c r="G444" s="32" t="s">
        <v>854</v>
      </c>
    </row>
    <row r="445" ht="16.5" customHeight="1">
      <c r="A445" s="32">
        <v>444.0</v>
      </c>
      <c r="B445" s="32" t="s">
        <v>871</v>
      </c>
      <c r="C445" s="32" t="s">
        <v>184</v>
      </c>
      <c r="D445" s="32" t="s">
        <v>185</v>
      </c>
      <c r="E445" s="32" t="s">
        <v>186</v>
      </c>
      <c r="F445" s="32" t="s">
        <v>187</v>
      </c>
      <c r="G445" s="32" t="s">
        <v>188</v>
      </c>
    </row>
    <row r="446" ht="16.5" customHeight="1">
      <c r="A446" s="32">
        <v>445.0</v>
      </c>
      <c r="B446" s="32" t="s">
        <v>872</v>
      </c>
      <c r="C446" s="32" t="s">
        <v>184</v>
      </c>
      <c r="D446" s="32" t="s">
        <v>185</v>
      </c>
      <c r="E446" s="32" t="s">
        <v>186</v>
      </c>
    </row>
    <row r="447" ht="16.5" customHeight="1">
      <c r="A447" s="32">
        <v>446.0</v>
      </c>
      <c r="B447" s="32" t="s">
        <v>873</v>
      </c>
      <c r="C447" s="32" t="s">
        <v>184</v>
      </c>
      <c r="D447" s="32" t="s">
        <v>234</v>
      </c>
      <c r="E447" s="32" t="s">
        <v>186</v>
      </c>
      <c r="F447" s="32" t="s">
        <v>415</v>
      </c>
      <c r="G447" s="32" t="s">
        <v>243</v>
      </c>
    </row>
    <row r="448" ht="16.5" customHeight="1">
      <c r="A448" s="32">
        <v>447.0</v>
      </c>
      <c r="B448" s="32" t="s">
        <v>874</v>
      </c>
      <c r="C448" s="32" t="s">
        <v>184</v>
      </c>
      <c r="D448" s="32" t="s">
        <v>234</v>
      </c>
      <c r="E448" s="32" t="s">
        <v>186</v>
      </c>
      <c r="F448" s="32" t="s">
        <v>415</v>
      </c>
      <c r="G448" s="32" t="s">
        <v>243</v>
      </c>
    </row>
    <row r="449" ht="16.5" customHeight="1">
      <c r="A449" s="32">
        <v>448.0</v>
      </c>
      <c r="B449" s="32" t="s">
        <v>875</v>
      </c>
      <c r="C449" s="32" t="s">
        <v>184</v>
      </c>
      <c r="D449" s="32" t="s">
        <v>219</v>
      </c>
      <c r="E449" s="32" t="s">
        <v>186</v>
      </c>
      <c r="F449" s="32" t="s">
        <v>223</v>
      </c>
      <c r="G449" s="32" t="s">
        <v>472</v>
      </c>
    </row>
    <row r="450" ht="16.5" customHeight="1">
      <c r="A450" s="32">
        <v>449.0</v>
      </c>
      <c r="B450" s="32" t="s">
        <v>876</v>
      </c>
      <c r="C450" s="32" t="s">
        <v>184</v>
      </c>
      <c r="D450" s="32" t="s">
        <v>234</v>
      </c>
      <c r="E450" s="32" t="s">
        <v>186</v>
      </c>
    </row>
    <row r="451" ht="16.5" customHeight="1">
      <c r="A451" s="32">
        <v>450.0</v>
      </c>
      <c r="B451" s="32" t="s">
        <v>877</v>
      </c>
      <c r="C451" s="32" t="s">
        <v>184</v>
      </c>
      <c r="D451" s="32" t="s">
        <v>228</v>
      </c>
      <c r="E451" s="32" t="s">
        <v>186</v>
      </c>
      <c r="F451" s="32" t="s">
        <v>229</v>
      </c>
      <c r="G451" s="32" t="s">
        <v>878</v>
      </c>
    </row>
    <row r="452" ht="16.5" customHeight="1">
      <c r="A452" s="32">
        <v>451.0</v>
      </c>
      <c r="B452" s="32" t="s">
        <v>879</v>
      </c>
      <c r="C452" s="32" t="s">
        <v>184</v>
      </c>
      <c r="D452" s="32" t="s">
        <v>192</v>
      </c>
      <c r="E452" s="32" t="s">
        <v>186</v>
      </c>
    </row>
    <row r="453" ht="16.5" customHeight="1">
      <c r="A453" s="32">
        <v>452.0</v>
      </c>
      <c r="B453" s="32" t="s">
        <v>880</v>
      </c>
      <c r="C453" s="32" t="s">
        <v>184</v>
      </c>
      <c r="D453" s="32" t="s">
        <v>214</v>
      </c>
      <c r="E453" s="32" t="s">
        <v>186</v>
      </c>
      <c r="F453" s="32" t="s">
        <v>216</v>
      </c>
      <c r="G453" s="32" t="s">
        <v>217</v>
      </c>
    </row>
    <row r="454" ht="16.5" customHeight="1">
      <c r="A454" s="32">
        <v>453.0</v>
      </c>
      <c r="B454" s="32" t="s">
        <v>881</v>
      </c>
      <c r="C454" s="32" t="s">
        <v>184</v>
      </c>
      <c r="D454" s="32" t="s">
        <v>219</v>
      </c>
      <c r="E454" s="32" t="s">
        <v>186</v>
      </c>
      <c r="F454" s="32" t="s">
        <v>223</v>
      </c>
      <c r="G454" s="32" t="s">
        <v>882</v>
      </c>
    </row>
    <row r="455" ht="16.5" customHeight="1">
      <c r="A455" s="32">
        <v>454.0</v>
      </c>
      <c r="B455" s="32" t="s">
        <v>191</v>
      </c>
      <c r="C455" s="32" t="s">
        <v>184</v>
      </c>
      <c r="D455" s="32" t="s">
        <v>192</v>
      </c>
      <c r="E455" s="32" t="s">
        <v>186</v>
      </c>
      <c r="F455" s="32" t="s">
        <v>193</v>
      </c>
      <c r="G455" s="32" t="s">
        <v>194</v>
      </c>
    </row>
    <row r="456" ht="16.5" customHeight="1">
      <c r="A456" s="32">
        <v>455.0</v>
      </c>
      <c r="B456" s="32" t="s">
        <v>883</v>
      </c>
      <c r="C456" s="32" t="s">
        <v>184</v>
      </c>
      <c r="D456" s="32" t="s">
        <v>192</v>
      </c>
      <c r="E456" s="32" t="s">
        <v>186</v>
      </c>
    </row>
    <row r="457" ht="16.5" customHeight="1">
      <c r="A457" s="32">
        <v>456.0</v>
      </c>
      <c r="B457" s="32" t="s">
        <v>884</v>
      </c>
      <c r="C457" s="32" t="s">
        <v>184</v>
      </c>
      <c r="D457" s="32" t="s">
        <v>234</v>
      </c>
      <c r="E457" s="32" t="s">
        <v>186</v>
      </c>
      <c r="F457" s="32" t="s">
        <v>885</v>
      </c>
      <c r="G457" s="32" t="s">
        <v>415</v>
      </c>
    </row>
    <row r="458" ht="16.5" customHeight="1">
      <c r="A458" s="32">
        <v>457.0</v>
      </c>
      <c r="B458" s="32" t="s">
        <v>886</v>
      </c>
      <c r="C458" s="32" t="s">
        <v>184</v>
      </c>
      <c r="D458" s="32" t="s">
        <v>219</v>
      </c>
      <c r="E458" s="32" t="s">
        <v>186</v>
      </c>
      <c r="F458" s="32" t="s">
        <v>223</v>
      </c>
    </row>
    <row r="459" ht="16.5" customHeight="1">
      <c r="A459" s="32">
        <v>458.0</v>
      </c>
      <c r="B459" s="32" t="s">
        <v>887</v>
      </c>
      <c r="C459" s="32" t="s">
        <v>184</v>
      </c>
      <c r="D459" s="32" t="s">
        <v>234</v>
      </c>
      <c r="E459" s="32" t="s">
        <v>186</v>
      </c>
      <c r="F459" s="32" t="s">
        <v>415</v>
      </c>
      <c r="G459" s="32" t="s">
        <v>888</v>
      </c>
    </row>
    <row r="460" ht="16.5" customHeight="1">
      <c r="A460" s="32">
        <v>459.0</v>
      </c>
      <c r="B460" s="32" t="s">
        <v>889</v>
      </c>
      <c r="C460" s="32" t="s">
        <v>184</v>
      </c>
      <c r="D460" s="32" t="s">
        <v>214</v>
      </c>
      <c r="E460" s="32" t="s">
        <v>186</v>
      </c>
      <c r="F460" s="32" t="s">
        <v>720</v>
      </c>
    </row>
    <row r="461" ht="16.5" customHeight="1">
      <c r="A461" s="32">
        <v>460.0</v>
      </c>
      <c r="B461" s="32" t="s">
        <v>890</v>
      </c>
      <c r="C461" s="32" t="s">
        <v>184</v>
      </c>
      <c r="D461" s="32" t="s">
        <v>185</v>
      </c>
      <c r="E461" s="32" t="s">
        <v>186</v>
      </c>
      <c r="F461" s="32" t="s">
        <v>891</v>
      </c>
      <c r="G461" s="32" t="s">
        <v>892</v>
      </c>
    </row>
    <row r="462" ht="16.5" customHeight="1">
      <c r="A462" s="32">
        <v>461.0</v>
      </c>
      <c r="B462" s="32" t="s">
        <v>893</v>
      </c>
      <c r="C462" s="32" t="s">
        <v>184</v>
      </c>
      <c r="D462" s="32" t="s">
        <v>285</v>
      </c>
      <c r="E462" s="32" t="s">
        <v>186</v>
      </c>
      <c r="F462" s="32" t="s">
        <v>189</v>
      </c>
      <c r="G462" s="32" t="s">
        <v>190</v>
      </c>
    </row>
    <row r="463" ht="16.5" customHeight="1">
      <c r="A463" s="32">
        <v>462.0</v>
      </c>
      <c r="B463" s="32" t="s">
        <v>894</v>
      </c>
      <c r="C463" s="32" t="s">
        <v>184</v>
      </c>
      <c r="D463" s="32" t="s">
        <v>285</v>
      </c>
      <c r="E463" s="32" t="s">
        <v>186</v>
      </c>
    </row>
    <row r="464" ht="16.5" customHeight="1">
      <c r="A464" s="32">
        <v>463.0</v>
      </c>
      <c r="B464" s="32" t="s">
        <v>895</v>
      </c>
      <c r="C464" s="32" t="s">
        <v>184</v>
      </c>
      <c r="D464" s="32" t="s">
        <v>219</v>
      </c>
      <c r="E464" s="32" t="s">
        <v>186</v>
      </c>
      <c r="F464" s="32" t="s">
        <v>223</v>
      </c>
      <c r="G464" s="32" t="s">
        <v>896</v>
      </c>
    </row>
    <row r="465" ht="16.5" customHeight="1">
      <c r="A465" s="32">
        <v>464.0</v>
      </c>
      <c r="B465" s="32" t="s">
        <v>897</v>
      </c>
      <c r="C465" s="32" t="s">
        <v>184</v>
      </c>
      <c r="D465" s="32" t="s">
        <v>219</v>
      </c>
      <c r="E465" s="32" t="s">
        <v>186</v>
      </c>
    </row>
    <row r="466" ht="16.5" customHeight="1">
      <c r="A466" s="32">
        <v>465.0</v>
      </c>
      <c r="B466" s="32" t="s">
        <v>898</v>
      </c>
      <c r="C466" s="32" t="s">
        <v>184</v>
      </c>
      <c r="D466" s="32" t="s">
        <v>185</v>
      </c>
      <c r="E466" s="32" t="s">
        <v>186</v>
      </c>
      <c r="F466" s="32" t="s">
        <v>187</v>
      </c>
      <c r="G466" s="32" t="s">
        <v>854</v>
      </c>
    </row>
    <row r="467" ht="16.5" customHeight="1">
      <c r="A467" s="32">
        <v>466.0</v>
      </c>
      <c r="B467" s="32" t="s">
        <v>899</v>
      </c>
      <c r="C467" s="32" t="s">
        <v>184</v>
      </c>
      <c r="D467" s="32" t="s">
        <v>285</v>
      </c>
      <c r="E467" s="32" t="s">
        <v>186</v>
      </c>
    </row>
    <row r="468" ht="16.5" customHeight="1">
      <c r="A468" s="32">
        <v>467.0</v>
      </c>
      <c r="B468" s="32" t="s">
        <v>900</v>
      </c>
      <c r="C468" s="32" t="s">
        <v>184</v>
      </c>
      <c r="D468" s="32" t="s">
        <v>185</v>
      </c>
      <c r="E468" s="32" t="s">
        <v>186</v>
      </c>
      <c r="F468" s="32" t="s">
        <v>189</v>
      </c>
      <c r="G468" s="32" t="s">
        <v>190</v>
      </c>
    </row>
    <row r="469" ht="16.5" customHeight="1">
      <c r="A469" s="32">
        <v>468.0</v>
      </c>
      <c r="B469" s="32" t="s">
        <v>901</v>
      </c>
      <c r="C469" s="32" t="s">
        <v>184</v>
      </c>
      <c r="D469" s="35" t="s">
        <v>294</v>
      </c>
      <c r="E469" s="32" t="s">
        <v>186</v>
      </c>
      <c r="F469" s="32" t="s">
        <v>189</v>
      </c>
      <c r="G469" s="32" t="s">
        <v>902</v>
      </c>
    </row>
    <row r="470" ht="16.5" customHeight="1">
      <c r="A470" s="32">
        <v>469.0</v>
      </c>
      <c r="B470" s="32" t="s">
        <v>903</v>
      </c>
      <c r="C470" s="32" t="s">
        <v>184</v>
      </c>
      <c r="D470" s="32" t="s">
        <v>254</v>
      </c>
      <c r="E470" s="32" t="s">
        <v>186</v>
      </c>
    </row>
    <row r="471" ht="16.5" customHeight="1">
      <c r="A471" s="32">
        <v>470.0</v>
      </c>
      <c r="B471" s="32" t="s">
        <v>904</v>
      </c>
      <c r="C471" s="32" t="s">
        <v>184</v>
      </c>
      <c r="D471" s="32" t="s">
        <v>285</v>
      </c>
      <c r="E471" s="32" t="s">
        <v>186</v>
      </c>
      <c r="F471" s="32" t="s">
        <v>189</v>
      </c>
      <c r="G471" s="32" t="s">
        <v>190</v>
      </c>
    </row>
    <row r="472" ht="16.5" customHeight="1">
      <c r="A472" s="32">
        <v>471.0</v>
      </c>
      <c r="B472" s="32" t="s">
        <v>905</v>
      </c>
      <c r="C472" s="32" t="s">
        <v>184</v>
      </c>
      <c r="D472" s="32" t="s">
        <v>285</v>
      </c>
      <c r="E472" s="32" t="s">
        <v>186</v>
      </c>
    </row>
    <row r="473" ht="16.5" customHeight="1">
      <c r="A473" s="32">
        <v>472.0</v>
      </c>
      <c r="B473" s="32" t="s">
        <v>906</v>
      </c>
      <c r="C473" s="32" t="s">
        <v>184</v>
      </c>
      <c r="D473" s="32" t="s">
        <v>285</v>
      </c>
      <c r="E473" s="32" t="s">
        <v>186</v>
      </c>
      <c r="F473" s="32" t="s">
        <v>189</v>
      </c>
      <c r="G473" s="32" t="s">
        <v>190</v>
      </c>
    </row>
    <row r="474" ht="16.5" customHeight="1">
      <c r="A474" s="32">
        <v>473.0</v>
      </c>
      <c r="B474" s="32" t="s">
        <v>907</v>
      </c>
      <c r="C474" s="32" t="s">
        <v>184</v>
      </c>
      <c r="D474" s="35" t="s">
        <v>294</v>
      </c>
      <c r="E474" s="32" t="s">
        <v>186</v>
      </c>
      <c r="F474" s="32" t="s">
        <v>189</v>
      </c>
      <c r="G474" s="32" t="s">
        <v>190</v>
      </c>
    </row>
    <row r="475" ht="16.5" customHeight="1">
      <c r="A475" s="32">
        <v>474.0</v>
      </c>
      <c r="B475" s="32" t="s">
        <v>218</v>
      </c>
      <c r="C475" s="32" t="s">
        <v>184</v>
      </c>
      <c r="D475" s="32" t="s">
        <v>219</v>
      </c>
      <c r="E475" s="32" t="s">
        <v>186</v>
      </c>
    </row>
    <row r="476" ht="16.5" customHeight="1">
      <c r="A476" s="32">
        <v>475.0</v>
      </c>
      <c r="B476" s="32" t="s">
        <v>908</v>
      </c>
      <c r="C476" s="32" t="s">
        <v>184</v>
      </c>
      <c r="D476" s="32" t="s">
        <v>219</v>
      </c>
      <c r="E476" s="32" t="s">
        <v>186</v>
      </c>
    </row>
    <row r="477" ht="16.5" customHeight="1">
      <c r="A477" s="32">
        <v>476.0</v>
      </c>
      <c r="B477" s="32" t="s">
        <v>909</v>
      </c>
      <c r="C477" s="32" t="s">
        <v>184</v>
      </c>
      <c r="D477" s="32" t="s">
        <v>192</v>
      </c>
      <c r="E477" s="32" t="s">
        <v>186</v>
      </c>
      <c r="F477" s="32" t="s">
        <v>329</v>
      </c>
      <c r="G477" s="32" t="s">
        <v>447</v>
      </c>
    </row>
    <row r="478" ht="16.5" customHeight="1">
      <c r="A478" s="32">
        <v>477.0</v>
      </c>
      <c r="B478" s="32" t="s">
        <v>910</v>
      </c>
      <c r="C478" s="32" t="s">
        <v>184</v>
      </c>
      <c r="D478" s="32" t="s">
        <v>219</v>
      </c>
      <c r="E478" s="32" t="s">
        <v>186</v>
      </c>
      <c r="F478" s="32" t="s">
        <v>223</v>
      </c>
      <c r="G478" s="32" t="s">
        <v>896</v>
      </c>
    </row>
    <row r="479" ht="16.5" customHeight="1">
      <c r="A479" s="32">
        <v>478.0</v>
      </c>
      <c r="B479" s="32" t="s">
        <v>911</v>
      </c>
      <c r="C479" s="32" t="s">
        <v>184</v>
      </c>
      <c r="D479" s="32" t="s">
        <v>219</v>
      </c>
      <c r="E479" s="32" t="s">
        <v>186</v>
      </c>
      <c r="F479" s="32" t="s">
        <v>223</v>
      </c>
    </row>
    <row r="480" ht="16.5" customHeight="1">
      <c r="A480" s="32">
        <v>479.0</v>
      </c>
      <c r="B480" s="32" t="s">
        <v>912</v>
      </c>
      <c r="C480" s="32" t="s">
        <v>184</v>
      </c>
      <c r="D480" s="32" t="s">
        <v>192</v>
      </c>
      <c r="E480" s="32" t="s">
        <v>186</v>
      </c>
      <c r="F480" s="32" t="s">
        <v>329</v>
      </c>
      <c r="G480" s="32" t="s">
        <v>357</v>
      </c>
    </row>
    <row r="481" ht="16.5" customHeight="1">
      <c r="A481" s="32">
        <v>480.0</v>
      </c>
      <c r="B481" s="32" t="s">
        <v>913</v>
      </c>
      <c r="C481" s="32" t="s">
        <v>184</v>
      </c>
      <c r="D481" s="32" t="s">
        <v>219</v>
      </c>
      <c r="E481" s="32" t="s">
        <v>186</v>
      </c>
      <c r="F481" s="32" t="s">
        <v>223</v>
      </c>
    </row>
    <row r="482" ht="16.5" customHeight="1">
      <c r="A482" s="32">
        <v>481.0</v>
      </c>
      <c r="B482" s="32" t="s">
        <v>914</v>
      </c>
      <c r="C482" s="32" t="s">
        <v>184</v>
      </c>
      <c r="D482" s="32" t="s">
        <v>185</v>
      </c>
      <c r="E482" s="32" t="s">
        <v>186</v>
      </c>
      <c r="F482" s="32" t="s">
        <v>187</v>
      </c>
      <c r="G482" s="32" t="s">
        <v>665</v>
      </c>
    </row>
    <row r="483" ht="16.5" customHeight="1">
      <c r="A483" s="32">
        <v>482.0</v>
      </c>
      <c r="B483" s="32" t="s">
        <v>915</v>
      </c>
      <c r="C483" s="32" t="s">
        <v>184</v>
      </c>
      <c r="D483" s="32" t="s">
        <v>219</v>
      </c>
      <c r="E483" s="32" t="s">
        <v>186</v>
      </c>
      <c r="F483" s="32" t="s">
        <v>232</v>
      </c>
      <c r="G483" s="32" t="s">
        <v>233</v>
      </c>
    </row>
    <row r="484" ht="16.5" customHeight="1">
      <c r="A484" s="32">
        <v>483.0</v>
      </c>
      <c r="B484" s="32" t="s">
        <v>916</v>
      </c>
      <c r="C484" s="32" t="s">
        <v>184</v>
      </c>
      <c r="D484" s="32" t="s">
        <v>192</v>
      </c>
      <c r="E484" s="32" t="s">
        <v>186</v>
      </c>
      <c r="F484" s="32" t="s">
        <v>329</v>
      </c>
      <c r="G484" s="32" t="s">
        <v>447</v>
      </c>
    </row>
    <row r="485" ht="16.5" customHeight="1">
      <c r="A485" s="32">
        <v>484.0</v>
      </c>
      <c r="B485" s="32" t="s">
        <v>917</v>
      </c>
      <c r="C485" s="32" t="s">
        <v>184</v>
      </c>
      <c r="D485" s="32" t="s">
        <v>219</v>
      </c>
      <c r="E485" s="32" t="s">
        <v>186</v>
      </c>
      <c r="F485" s="32" t="s">
        <v>223</v>
      </c>
    </row>
    <row r="486" ht="16.5" customHeight="1">
      <c r="A486" s="32">
        <v>485.0</v>
      </c>
      <c r="B486" s="32" t="s">
        <v>918</v>
      </c>
      <c r="C486" s="32" t="s">
        <v>184</v>
      </c>
      <c r="D486" s="32" t="s">
        <v>219</v>
      </c>
      <c r="E486" s="32" t="s">
        <v>186</v>
      </c>
      <c r="F486" s="32" t="s">
        <v>223</v>
      </c>
    </row>
    <row r="487" ht="16.5" customHeight="1">
      <c r="A487" s="32">
        <v>486.0</v>
      </c>
      <c r="B487" s="32" t="s">
        <v>919</v>
      </c>
      <c r="C487" s="32" t="s">
        <v>184</v>
      </c>
      <c r="D487" s="32" t="s">
        <v>219</v>
      </c>
      <c r="E487" s="32" t="s">
        <v>186</v>
      </c>
      <c r="F487" s="32" t="s">
        <v>223</v>
      </c>
      <c r="G487" s="32" t="s">
        <v>472</v>
      </c>
    </row>
    <row r="488" ht="16.5" customHeight="1">
      <c r="A488" s="32">
        <v>487.0</v>
      </c>
      <c r="B488" s="32" t="s">
        <v>920</v>
      </c>
      <c r="C488" s="32" t="s">
        <v>184</v>
      </c>
      <c r="D488" s="32" t="s">
        <v>228</v>
      </c>
      <c r="E488" s="32" t="s">
        <v>186</v>
      </c>
      <c r="F488" s="32" t="s">
        <v>229</v>
      </c>
      <c r="G488" s="32" t="s">
        <v>626</v>
      </c>
    </row>
    <row r="489" ht="16.5" customHeight="1">
      <c r="A489" s="32">
        <v>488.0</v>
      </c>
      <c r="B489" s="32" t="s">
        <v>921</v>
      </c>
      <c r="C489" s="32" t="s">
        <v>184</v>
      </c>
      <c r="D489" s="32" t="s">
        <v>764</v>
      </c>
      <c r="E489" s="32" t="s">
        <v>186</v>
      </c>
    </row>
    <row r="490" ht="16.5" customHeight="1">
      <c r="A490" s="32">
        <v>489.0</v>
      </c>
      <c r="B490" s="32" t="s">
        <v>922</v>
      </c>
      <c r="C490" s="32" t="s">
        <v>184</v>
      </c>
      <c r="D490" s="32" t="s">
        <v>192</v>
      </c>
      <c r="E490" s="32" t="s">
        <v>186</v>
      </c>
      <c r="F490" s="32" t="s">
        <v>570</v>
      </c>
      <c r="G490" s="32" t="s">
        <v>447</v>
      </c>
    </row>
    <row r="491" ht="16.5" customHeight="1">
      <c r="A491" s="32">
        <v>490.0</v>
      </c>
      <c r="B491" s="32" t="s">
        <v>923</v>
      </c>
      <c r="C491" s="32" t="s">
        <v>184</v>
      </c>
      <c r="D491" s="32" t="s">
        <v>285</v>
      </c>
      <c r="E491" s="32" t="s">
        <v>186</v>
      </c>
      <c r="F491" s="32" t="s">
        <v>189</v>
      </c>
      <c r="G491" s="32" t="s">
        <v>190</v>
      </c>
    </row>
    <row r="492" ht="16.5" customHeight="1">
      <c r="A492" s="32">
        <v>491.0</v>
      </c>
      <c r="B492" s="32" t="s">
        <v>924</v>
      </c>
      <c r="C492" s="32" t="s">
        <v>184</v>
      </c>
      <c r="D492" s="32" t="s">
        <v>285</v>
      </c>
      <c r="E492" s="32" t="s">
        <v>186</v>
      </c>
      <c r="F492" s="32" t="s">
        <v>189</v>
      </c>
      <c r="G492" s="32" t="s">
        <v>190</v>
      </c>
    </row>
    <row r="493" ht="16.5" customHeight="1">
      <c r="A493" s="32">
        <v>492.0</v>
      </c>
      <c r="B493" s="32" t="s">
        <v>925</v>
      </c>
      <c r="C493" s="32" t="s">
        <v>184</v>
      </c>
      <c r="D493" s="32" t="s">
        <v>285</v>
      </c>
      <c r="E493" s="32" t="s">
        <v>186</v>
      </c>
      <c r="F493" s="32" t="s">
        <v>552</v>
      </c>
      <c r="G493" s="32" t="s">
        <v>553</v>
      </c>
    </row>
    <row r="494" ht="16.5" customHeight="1">
      <c r="A494" s="32">
        <v>493.0</v>
      </c>
      <c r="B494" s="32" t="s">
        <v>926</v>
      </c>
      <c r="C494" s="32" t="s">
        <v>184</v>
      </c>
      <c r="D494" s="32" t="s">
        <v>285</v>
      </c>
      <c r="E494" s="32" t="s">
        <v>186</v>
      </c>
    </row>
    <row r="495" ht="16.5" customHeight="1">
      <c r="A495" s="32">
        <v>494.0</v>
      </c>
      <c r="B495" s="32" t="s">
        <v>927</v>
      </c>
      <c r="C495" s="32" t="s">
        <v>184</v>
      </c>
      <c r="D495" s="32" t="s">
        <v>192</v>
      </c>
      <c r="E495" s="32" t="s">
        <v>186</v>
      </c>
      <c r="F495" s="32" t="s">
        <v>329</v>
      </c>
      <c r="G495" s="32" t="s">
        <v>330</v>
      </c>
    </row>
    <row r="496" ht="16.5" customHeight="1">
      <c r="A496" s="32">
        <v>495.0</v>
      </c>
      <c r="B496" s="32" t="s">
        <v>928</v>
      </c>
      <c r="C496" s="32" t="s">
        <v>184</v>
      </c>
      <c r="D496" s="32" t="s">
        <v>219</v>
      </c>
      <c r="E496" s="32" t="s">
        <v>186</v>
      </c>
      <c r="F496" s="32" t="s">
        <v>223</v>
      </c>
      <c r="G496" s="32" t="s">
        <v>408</v>
      </c>
    </row>
    <row r="497" ht="16.5" customHeight="1">
      <c r="A497" s="32">
        <v>496.0</v>
      </c>
      <c r="B497" s="32" t="s">
        <v>929</v>
      </c>
      <c r="C497" s="32" t="s">
        <v>184</v>
      </c>
      <c r="D497" s="32" t="s">
        <v>285</v>
      </c>
      <c r="E497" s="32" t="s">
        <v>186</v>
      </c>
      <c r="F497" s="32" t="s">
        <v>189</v>
      </c>
      <c r="G497" s="32" t="s">
        <v>190</v>
      </c>
    </row>
    <row r="498" ht="16.5" customHeight="1">
      <c r="A498" s="32">
        <v>497.0</v>
      </c>
      <c r="B498" s="32" t="s">
        <v>930</v>
      </c>
      <c r="C498" s="32" t="s">
        <v>184</v>
      </c>
      <c r="D498" s="32" t="s">
        <v>228</v>
      </c>
      <c r="E498" s="32" t="s">
        <v>186</v>
      </c>
    </row>
    <row r="499" ht="16.5" customHeight="1">
      <c r="A499" s="32">
        <v>498.0</v>
      </c>
      <c r="B499" s="32" t="s">
        <v>931</v>
      </c>
      <c r="C499" s="32" t="s">
        <v>184</v>
      </c>
      <c r="D499" s="32" t="s">
        <v>185</v>
      </c>
      <c r="E499" s="32" t="s">
        <v>186</v>
      </c>
      <c r="F499" s="32" t="s">
        <v>187</v>
      </c>
      <c r="G499" s="32" t="s">
        <v>854</v>
      </c>
    </row>
    <row r="500" ht="16.5" customHeight="1">
      <c r="A500" s="32">
        <v>499.0</v>
      </c>
      <c r="B500" s="32" t="s">
        <v>932</v>
      </c>
      <c r="C500" s="32" t="s">
        <v>184</v>
      </c>
      <c r="D500" s="32" t="s">
        <v>285</v>
      </c>
      <c r="E500" s="32" t="s">
        <v>186</v>
      </c>
      <c r="F500" s="32" t="s">
        <v>552</v>
      </c>
      <c r="G500" s="32" t="s">
        <v>553</v>
      </c>
    </row>
    <row r="501" ht="16.5" customHeight="1">
      <c r="A501" s="32">
        <v>500.0</v>
      </c>
      <c r="B501" s="32" t="s">
        <v>933</v>
      </c>
      <c r="C501" s="32" t="s">
        <v>184</v>
      </c>
      <c r="D501" s="32" t="s">
        <v>285</v>
      </c>
      <c r="E501" s="32" t="s">
        <v>186</v>
      </c>
    </row>
    <row r="502" ht="16.5" customHeight="1">
      <c r="A502" s="32">
        <v>501.0</v>
      </c>
      <c r="B502" s="32" t="s">
        <v>934</v>
      </c>
      <c r="C502" s="32" t="s">
        <v>184</v>
      </c>
      <c r="D502" s="32" t="s">
        <v>285</v>
      </c>
      <c r="E502" s="32" t="s">
        <v>186</v>
      </c>
      <c r="F502" s="32" t="s">
        <v>189</v>
      </c>
      <c r="G502" s="32" t="s">
        <v>190</v>
      </c>
    </row>
    <row r="503" ht="16.5" customHeight="1">
      <c r="A503" s="32">
        <v>502.0</v>
      </c>
      <c r="B503" s="32" t="s">
        <v>935</v>
      </c>
      <c r="C503" s="32" t="s">
        <v>184</v>
      </c>
      <c r="D503" s="32" t="s">
        <v>192</v>
      </c>
      <c r="E503" s="32" t="s">
        <v>186</v>
      </c>
      <c r="F503" s="32" t="s">
        <v>238</v>
      </c>
      <c r="G503" s="32" t="s">
        <v>618</v>
      </c>
    </row>
    <row r="504" ht="16.5" customHeight="1">
      <c r="A504" s="32">
        <v>503.0</v>
      </c>
      <c r="B504" s="32" t="s">
        <v>936</v>
      </c>
      <c r="C504" s="32" t="s">
        <v>184</v>
      </c>
      <c r="D504" s="32" t="s">
        <v>285</v>
      </c>
      <c r="E504" s="32" t="s">
        <v>186</v>
      </c>
      <c r="F504" s="32" t="s">
        <v>552</v>
      </c>
      <c r="G504" s="32" t="s">
        <v>553</v>
      </c>
    </row>
    <row r="505" ht="16.5" customHeight="1">
      <c r="A505" s="32">
        <v>504.0</v>
      </c>
      <c r="B505" s="32" t="s">
        <v>937</v>
      </c>
      <c r="C505" s="32" t="s">
        <v>184</v>
      </c>
      <c r="D505" s="32" t="s">
        <v>214</v>
      </c>
      <c r="E505" s="32" t="s">
        <v>186</v>
      </c>
      <c r="F505" s="32" t="s">
        <v>604</v>
      </c>
    </row>
    <row r="506" ht="16.5" customHeight="1">
      <c r="A506" s="32">
        <v>505.0</v>
      </c>
      <c r="B506" s="32" t="s">
        <v>938</v>
      </c>
      <c r="C506" s="32" t="s">
        <v>184</v>
      </c>
      <c r="D506" s="32" t="s">
        <v>214</v>
      </c>
      <c r="E506" s="32" t="s">
        <v>186</v>
      </c>
    </row>
    <row r="507" ht="16.5" customHeight="1">
      <c r="A507" s="32">
        <v>506.0</v>
      </c>
      <c r="B507" s="32" t="s">
        <v>939</v>
      </c>
      <c r="C507" s="32" t="s">
        <v>184</v>
      </c>
      <c r="D507" s="32" t="s">
        <v>214</v>
      </c>
      <c r="E507" s="32" t="s">
        <v>186</v>
      </c>
      <c r="F507" s="32" t="s">
        <v>720</v>
      </c>
    </row>
    <row r="508" ht="16.5" customHeight="1">
      <c r="A508" s="32">
        <v>507.0</v>
      </c>
      <c r="B508" s="32" t="s">
        <v>940</v>
      </c>
      <c r="C508" s="32" t="s">
        <v>184</v>
      </c>
      <c r="D508" s="32" t="s">
        <v>214</v>
      </c>
      <c r="E508" s="32" t="s">
        <v>186</v>
      </c>
    </row>
    <row r="509" ht="16.5" customHeight="1">
      <c r="A509" s="32">
        <v>508.0</v>
      </c>
      <c r="B509" s="32" t="s">
        <v>941</v>
      </c>
      <c r="C509" s="32" t="s">
        <v>184</v>
      </c>
      <c r="D509" s="32" t="s">
        <v>234</v>
      </c>
      <c r="E509" s="32" t="s">
        <v>186</v>
      </c>
      <c r="F509" s="32" t="s">
        <v>347</v>
      </c>
      <c r="G509" s="32" t="s">
        <v>382</v>
      </c>
    </row>
    <row r="510" ht="16.5" customHeight="1">
      <c r="A510" s="32">
        <v>509.0</v>
      </c>
      <c r="B510" s="32" t="s">
        <v>942</v>
      </c>
      <c r="C510" s="32" t="s">
        <v>184</v>
      </c>
      <c r="D510" s="32" t="s">
        <v>185</v>
      </c>
      <c r="E510" s="32" t="s">
        <v>186</v>
      </c>
    </row>
    <row r="511" ht="16.5" customHeight="1">
      <c r="A511" s="32">
        <v>510.0</v>
      </c>
      <c r="B511" s="32" t="s">
        <v>943</v>
      </c>
      <c r="C511" s="32" t="s">
        <v>184</v>
      </c>
      <c r="D511" s="32" t="s">
        <v>234</v>
      </c>
      <c r="E511" s="32" t="s">
        <v>186</v>
      </c>
      <c r="F511" s="32" t="s">
        <v>347</v>
      </c>
      <c r="G511" s="32" t="s">
        <v>382</v>
      </c>
    </row>
    <row r="512" ht="16.5" customHeight="1">
      <c r="A512" s="32">
        <v>511.0</v>
      </c>
      <c r="B512" s="32" t="s">
        <v>944</v>
      </c>
      <c r="C512" s="32" t="s">
        <v>184</v>
      </c>
      <c r="D512" s="32" t="s">
        <v>234</v>
      </c>
      <c r="E512" s="32" t="s">
        <v>186</v>
      </c>
      <c r="F512" s="32" t="s">
        <v>415</v>
      </c>
      <c r="G512" s="32" t="s">
        <v>243</v>
      </c>
    </row>
    <row r="513" ht="16.5" customHeight="1">
      <c r="A513" s="32">
        <v>512.0</v>
      </c>
      <c r="B513" s="32" t="s">
        <v>945</v>
      </c>
      <c r="C513" s="32" t="s">
        <v>184</v>
      </c>
      <c r="D513" s="32" t="s">
        <v>185</v>
      </c>
      <c r="E513" s="32" t="s">
        <v>186</v>
      </c>
    </row>
    <row r="514" ht="16.5" customHeight="1">
      <c r="A514" s="32">
        <v>513.0</v>
      </c>
      <c r="B514" s="32" t="s">
        <v>946</v>
      </c>
      <c r="C514" s="32" t="s">
        <v>184</v>
      </c>
      <c r="D514" s="32" t="s">
        <v>192</v>
      </c>
      <c r="E514" s="32" t="s">
        <v>186</v>
      </c>
      <c r="F514" s="32" t="s">
        <v>329</v>
      </c>
      <c r="G514" s="32" t="s">
        <v>447</v>
      </c>
    </row>
    <row r="515" ht="16.5" customHeight="1">
      <c r="A515" s="32">
        <v>514.0</v>
      </c>
      <c r="B515" s="32" t="s">
        <v>947</v>
      </c>
      <c r="C515" s="32" t="s">
        <v>184</v>
      </c>
      <c r="D515" s="32" t="s">
        <v>234</v>
      </c>
      <c r="E515" s="32" t="s">
        <v>186</v>
      </c>
    </row>
    <row r="516" ht="16.5" customHeight="1">
      <c r="A516" s="32">
        <v>515.0</v>
      </c>
      <c r="B516" s="32" t="s">
        <v>948</v>
      </c>
      <c r="C516" s="32" t="s">
        <v>184</v>
      </c>
      <c r="D516" s="32" t="s">
        <v>219</v>
      </c>
      <c r="E516" s="32" t="s">
        <v>186</v>
      </c>
    </row>
    <row r="517" ht="16.5" customHeight="1">
      <c r="A517" s="32">
        <v>516.0</v>
      </c>
      <c r="B517" s="32" t="s">
        <v>949</v>
      </c>
      <c r="C517" s="32" t="s">
        <v>184</v>
      </c>
      <c r="D517" s="32" t="s">
        <v>285</v>
      </c>
      <c r="E517" s="32" t="s">
        <v>186</v>
      </c>
    </row>
    <row r="518" ht="16.5" customHeight="1">
      <c r="A518" s="32">
        <v>517.0</v>
      </c>
      <c r="B518" s="32" t="s">
        <v>950</v>
      </c>
      <c r="C518" s="32" t="s">
        <v>184</v>
      </c>
      <c r="D518" s="32" t="s">
        <v>285</v>
      </c>
      <c r="E518" s="32" t="s">
        <v>186</v>
      </c>
    </row>
    <row r="519" ht="16.5" customHeight="1">
      <c r="A519" s="32">
        <v>518.0</v>
      </c>
      <c r="B519" s="32" t="s">
        <v>951</v>
      </c>
      <c r="C519" s="32" t="s">
        <v>184</v>
      </c>
      <c r="D519" s="32" t="s">
        <v>219</v>
      </c>
      <c r="E519" s="32" t="s">
        <v>186</v>
      </c>
    </row>
    <row r="520" ht="16.5" customHeight="1">
      <c r="A520" s="32">
        <v>519.0</v>
      </c>
      <c r="B520" s="32" t="s">
        <v>952</v>
      </c>
      <c r="C520" s="32" t="s">
        <v>184</v>
      </c>
      <c r="D520" s="32" t="s">
        <v>285</v>
      </c>
      <c r="E520" s="32" t="s">
        <v>186</v>
      </c>
    </row>
    <row r="521" ht="16.5" customHeight="1">
      <c r="A521" s="32">
        <v>520.0</v>
      </c>
      <c r="B521" s="32" t="s">
        <v>953</v>
      </c>
      <c r="C521" s="32" t="s">
        <v>184</v>
      </c>
      <c r="D521" s="32" t="s">
        <v>764</v>
      </c>
      <c r="E521" s="32" t="s">
        <v>186</v>
      </c>
      <c r="F521" s="32" t="s">
        <v>954</v>
      </c>
    </row>
    <row r="522" ht="16.5" customHeight="1">
      <c r="A522" s="32">
        <v>521.0</v>
      </c>
      <c r="B522" s="32" t="s">
        <v>955</v>
      </c>
      <c r="C522" s="32" t="s">
        <v>184</v>
      </c>
      <c r="D522" s="32" t="s">
        <v>764</v>
      </c>
      <c r="E522" s="32" t="s">
        <v>186</v>
      </c>
      <c r="F522" s="32" t="s">
        <v>956</v>
      </c>
    </row>
    <row r="523" ht="16.5" customHeight="1">
      <c r="A523" s="32">
        <v>522.0</v>
      </c>
      <c r="B523" s="32" t="s">
        <v>957</v>
      </c>
      <c r="C523" s="32" t="s">
        <v>184</v>
      </c>
      <c r="D523" s="35" t="s">
        <v>691</v>
      </c>
      <c r="E523" s="32" t="s">
        <v>186</v>
      </c>
    </row>
    <row r="524" ht="16.5" customHeight="1">
      <c r="A524" s="32">
        <v>523.0</v>
      </c>
      <c r="B524" s="32" t="s">
        <v>958</v>
      </c>
      <c r="C524" s="32" t="s">
        <v>184</v>
      </c>
      <c r="D524" s="32" t="s">
        <v>192</v>
      </c>
      <c r="E524" s="32" t="s">
        <v>186</v>
      </c>
    </row>
    <row r="525" ht="16.5" customHeight="1">
      <c r="A525" s="32">
        <v>524.0</v>
      </c>
      <c r="B525" s="32" t="s">
        <v>959</v>
      </c>
      <c r="C525" s="32" t="s">
        <v>184</v>
      </c>
      <c r="D525" s="32" t="s">
        <v>764</v>
      </c>
      <c r="E525" s="32" t="s">
        <v>186</v>
      </c>
      <c r="F525" s="32" t="s">
        <v>954</v>
      </c>
    </row>
    <row r="526" ht="16.5" customHeight="1">
      <c r="A526" s="32">
        <v>525.0</v>
      </c>
      <c r="B526" s="32" t="s">
        <v>960</v>
      </c>
      <c r="C526" s="32" t="s">
        <v>184</v>
      </c>
      <c r="D526" s="32" t="s">
        <v>764</v>
      </c>
      <c r="E526" s="32" t="s">
        <v>186</v>
      </c>
      <c r="F526" s="32" t="s">
        <v>961</v>
      </c>
    </row>
    <row r="527" ht="16.5" customHeight="1">
      <c r="A527" s="32">
        <v>526.0</v>
      </c>
      <c r="B527" s="32" t="s">
        <v>962</v>
      </c>
      <c r="C527" s="32" t="s">
        <v>184</v>
      </c>
      <c r="D527" s="32" t="s">
        <v>219</v>
      </c>
      <c r="E527" s="32" t="s">
        <v>186</v>
      </c>
      <c r="F527" s="32" t="s">
        <v>232</v>
      </c>
      <c r="G527" s="32" t="s">
        <v>233</v>
      </c>
    </row>
    <row r="528" ht="16.5" customHeight="1">
      <c r="A528" s="32">
        <v>527.0</v>
      </c>
      <c r="B528" s="32" t="s">
        <v>963</v>
      </c>
      <c r="C528" s="32" t="s">
        <v>184</v>
      </c>
      <c r="D528" s="32" t="s">
        <v>219</v>
      </c>
      <c r="E528" s="32" t="s">
        <v>186</v>
      </c>
      <c r="F528" s="32" t="s">
        <v>232</v>
      </c>
      <c r="G528" s="32" t="s">
        <v>233</v>
      </c>
    </row>
    <row r="529" ht="16.5" customHeight="1">
      <c r="A529" s="32">
        <v>528.0</v>
      </c>
      <c r="B529" s="32" t="s">
        <v>964</v>
      </c>
      <c r="C529" s="32" t="s">
        <v>184</v>
      </c>
      <c r="D529" s="32" t="s">
        <v>254</v>
      </c>
      <c r="E529" s="32" t="s">
        <v>186</v>
      </c>
      <c r="F529" s="32" t="s">
        <v>965</v>
      </c>
      <c r="G529" s="32" t="s">
        <v>966</v>
      </c>
    </row>
    <row r="530" ht="16.5" customHeight="1">
      <c r="A530" s="32">
        <v>529.0</v>
      </c>
      <c r="B530" s="32" t="s">
        <v>967</v>
      </c>
      <c r="C530" s="32" t="s">
        <v>184</v>
      </c>
      <c r="D530" s="32" t="s">
        <v>219</v>
      </c>
      <c r="E530" s="32" t="s">
        <v>186</v>
      </c>
      <c r="F530" s="32" t="s">
        <v>232</v>
      </c>
      <c r="G530" s="32" t="s">
        <v>233</v>
      </c>
    </row>
    <row r="531" ht="16.5" customHeight="1">
      <c r="A531" s="32">
        <v>530.0</v>
      </c>
      <c r="B531" s="32" t="s">
        <v>968</v>
      </c>
      <c r="C531" s="32" t="s">
        <v>184</v>
      </c>
      <c r="D531" s="32" t="s">
        <v>219</v>
      </c>
      <c r="E531" s="32" t="s">
        <v>186</v>
      </c>
      <c r="F531" s="32" t="s">
        <v>241</v>
      </c>
      <c r="G531" s="32" t="s">
        <v>292</v>
      </c>
    </row>
    <row r="532" ht="16.5" customHeight="1">
      <c r="A532" s="32">
        <v>531.0</v>
      </c>
      <c r="B532" s="32" t="s">
        <v>969</v>
      </c>
      <c r="C532" s="32" t="s">
        <v>184</v>
      </c>
      <c r="D532" s="32" t="s">
        <v>192</v>
      </c>
      <c r="E532" s="32" t="s">
        <v>186</v>
      </c>
      <c r="F532" s="32" t="s">
        <v>300</v>
      </c>
      <c r="G532" s="32" t="s">
        <v>970</v>
      </c>
    </row>
    <row r="533" ht="16.5" customHeight="1">
      <c r="A533" s="32">
        <v>532.0</v>
      </c>
      <c r="B533" s="32" t="s">
        <v>969</v>
      </c>
      <c r="C533" s="32" t="s">
        <v>184</v>
      </c>
      <c r="D533" s="32" t="s">
        <v>192</v>
      </c>
      <c r="E533" s="32" t="s">
        <v>186</v>
      </c>
    </row>
    <row r="534" ht="16.5" customHeight="1">
      <c r="A534" s="32">
        <v>533.0</v>
      </c>
      <c r="B534" s="32" t="s">
        <v>971</v>
      </c>
      <c r="C534" s="32" t="s">
        <v>184</v>
      </c>
      <c r="D534" s="32" t="s">
        <v>192</v>
      </c>
      <c r="E534" s="32" t="s">
        <v>186</v>
      </c>
      <c r="F534" s="32" t="s">
        <v>300</v>
      </c>
      <c r="G534" s="32" t="s">
        <v>972</v>
      </c>
    </row>
    <row r="535" ht="16.5" customHeight="1">
      <c r="A535" s="32">
        <v>534.0</v>
      </c>
      <c r="B535" s="32" t="s">
        <v>973</v>
      </c>
      <c r="C535" s="32" t="s">
        <v>184</v>
      </c>
      <c r="D535" s="32" t="s">
        <v>285</v>
      </c>
      <c r="E535" s="32" t="s">
        <v>186</v>
      </c>
      <c r="F535" s="32" t="s">
        <v>189</v>
      </c>
      <c r="G535" s="32" t="s">
        <v>190</v>
      </c>
    </row>
    <row r="536" ht="16.5" customHeight="1">
      <c r="A536" s="32">
        <v>535.0</v>
      </c>
      <c r="B536" s="32" t="s">
        <v>974</v>
      </c>
      <c r="C536" s="32" t="s">
        <v>184</v>
      </c>
      <c r="D536" s="32" t="s">
        <v>185</v>
      </c>
      <c r="E536" s="32" t="s">
        <v>186</v>
      </c>
      <c r="F536" s="32" t="s">
        <v>267</v>
      </c>
      <c r="G536" s="32" t="s">
        <v>975</v>
      </c>
    </row>
    <row r="537" ht="16.5" customHeight="1">
      <c r="A537" s="32">
        <v>536.0</v>
      </c>
      <c r="B537" s="32" t="s">
        <v>976</v>
      </c>
      <c r="C537" s="32" t="s">
        <v>184</v>
      </c>
      <c r="D537" s="32" t="s">
        <v>228</v>
      </c>
      <c r="E537" s="32" t="s">
        <v>186</v>
      </c>
      <c r="F537" s="32" t="s">
        <v>408</v>
      </c>
      <c r="G537" s="32" t="s">
        <v>977</v>
      </c>
    </row>
    <row r="538" ht="16.5" customHeight="1">
      <c r="A538" s="32">
        <v>537.0</v>
      </c>
      <c r="B538" s="32" t="s">
        <v>978</v>
      </c>
      <c r="C538" s="32" t="s">
        <v>184</v>
      </c>
      <c r="D538" s="32" t="s">
        <v>228</v>
      </c>
      <c r="E538" s="32" t="s">
        <v>186</v>
      </c>
      <c r="F538" s="32" t="s">
        <v>408</v>
      </c>
      <c r="G538" s="32" t="s">
        <v>452</v>
      </c>
    </row>
    <row r="539" ht="16.5" customHeight="1">
      <c r="A539" s="32">
        <v>538.0</v>
      </c>
      <c r="B539" s="32" t="s">
        <v>979</v>
      </c>
      <c r="C539" s="32" t="s">
        <v>184</v>
      </c>
      <c r="D539" s="32" t="s">
        <v>228</v>
      </c>
      <c r="E539" s="32" t="s">
        <v>186</v>
      </c>
      <c r="F539" s="32" t="s">
        <v>408</v>
      </c>
      <c r="G539" s="32" t="s">
        <v>980</v>
      </c>
    </row>
    <row r="540" ht="16.5" customHeight="1">
      <c r="A540" s="32">
        <v>539.0</v>
      </c>
      <c r="B540" s="32" t="s">
        <v>97</v>
      </c>
      <c r="C540" s="32" t="s">
        <v>184</v>
      </c>
      <c r="D540" s="32" t="s">
        <v>285</v>
      </c>
      <c r="E540" s="32" t="s">
        <v>186</v>
      </c>
      <c r="F540" s="32" t="s">
        <v>189</v>
      </c>
      <c r="G540" s="32" t="s">
        <v>190</v>
      </c>
    </row>
    <row r="541" ht="16.5" customHeight="1">
      <c r="A541" s="32">
        <v>540.0</v>
      </c>
      <c r="B541" s="32" t="s">
        <v>981</v>
      </c>
      <c r="C541" s="32" t="s">
        <v>184</v>
      </c>
      <c r="D541" s="35" t="s">
        <v>294</v>
      </c>
      <c r="E541" s="32" t="s">
        <v>186</v>
      </c>
      <c r="F541" s="32" t="s">
        <v>189</v>
      </c>
      <c r="G541" s="32" t="s">
        <v>190</v>
      </c>
    </row>
    <row r="542" ht="16.5" customHeight="1">
      <c r="A542" s="32">
        <v>541.0</v>
      </c>
      <c r="B542" s="32" t="s">
        <v>982</v>
      </c>
      <c r="C542" s="32" t="s">
        <v>184</v>
      </c>
      <c r="D542" s="32" t="s">
        <v>285</v>
      </c>
      <c r="E542" s="32" t="s">
        <v>186</v>
      </c>
      <c r="F542" s="32" t="s">
        <v>189</v>
      </c>
      <c r="G542" s="32" t="s">
        <v>190</v>
      </c>
    </row>
    <row r="543" ht="16.5" customHeight="1">
      <c r="A543" s="32">
        <v>542.0</v>
      </c>
      <c r="B543" s="32" t="s">
        <v>983</v>
      </c>
      <c r="C543" s="32" t="s">
        <v>184</v>
      </c>
      <c r="D543" s="32" t="s">
        <v>185</v>
      </c>
      <c r="E543" s="32" t="s">
        <v>186</v>
      </c>
    </row>
    <row r="544" ht="16.5" customHeight="1">
      <c r="A544" s="32">
        <v>543.0</v>
      </c>
      <c r="B544" s="32" t="s">
        <v>984</v>
      </c>
      <c r="C544" s="32" t="s">
        <v>184</v>
      </c>
      <c r="D544" s="32" t="s">
        <v>185</v>
      </c>
      <c r="E544" s="32" t="s">
        <v>186</v>
      </c>
    </row>
    <row r="545" ht="16.5" customHeight="1">
      <c r="A545" s="32">
        <v>544.0</v>
      </c>
      <c r="B545" s="32" t="s">
        <v>985</v>
      </c>
      <c r="C545" s="32" t="s">
        <v>184</v>
      </c>
      <c r="D545" s="32" t="s">
        <v>214</v>
      </c>
      <c r="E545" s="32" t="s">
        <v>186</v>
      </c>
      <c r="F545" s="32" t="s">
        <v>604</v>
      </c>
    </row>
    <row r="546" ht="16.5" customHeight="1">
      <c r="A546" s="32">
        <v>545.0</v>
      </c>
      <c r="B546" s="32" t="s">
        <v>986</v>
      </c>
      <c r="C546" s="32" t="s">
        <v>184</v>
      </c>
      <c r="D546" s="32" t="s">
        <v>214</v>
      </c>
      <c r="E546" s="32" t="s">
        <v>186</v>
      </c>
    </row>
    <row r="547" ht="16.5" customHeight="1">
      <c r="A547" s="32">
        <v>546.0</v>
      </c>
      <c r="B547" s="32" t="s">
        <v>987</v>
      </c>
      <c r="C547" s="32" t="s">
        <v>184</v>
      </c>
      <c r="D547" s="32" t="s">
        <v>219</v>
      </c>
      <c r="E547" s="32" t="s">
        <v>291</v>
      </c>
      <c r="F547" s="32" t="s">
        <v>223</v>
      </c>
      <c r="G547" s="32" t="s">
        <v>472</v>
      </c>
    </row>
    <row r="548" ht="16.5" customHeight="1">
      <c r="A548" s="32">
        <v>547.0</v>
      </c>
      <c r="B548" s="32" t="s">
        <v>988</v>
      </c>
      <c r="C548" s="32" t="s">
        <v>184</v>
      </c>
      <c r="D548" s="32" t="s">
        <v>219</v>
      </c>
      <c r="E548" s="32" t="s">
        <v>186</v>
      </c>
      <c r="F548" s="32" t="s">
        <v>223</v>
      </c>
      <c r="G548" s="32" t="s">
        <v>472</v>
      </c>
    </row>
    <row r="549" ht="16.5" customHeight="1">
      <c r="A549" s="32">
        <v>548.0</v>
      </c>
      <c r="B549" s="32" t="s">
        <v>989</v>
      </c>
      <c r="C549" s="32" t="s">
        <v>184</v>
      </c>
      <c r="D549" s="32" t="s">
        <v>214</v>
      </c>
      <c r="E549" s="32" t="s">
        <v>186</v>
      </c>
      <c r="F549" s="32" t="s">
        <v>216</v>
      </c>
      <c r="G549" s="32" t="s">
        <v>217</v>
      </c>
    </row>
    <row r="550" ht="16.5" customHeight="1">
      <c r="A550" s="32">
        <v>549.0</v>
      </c>
      <c r="B550" s="32" t="s">
        <v>990</v>
      </c>
      <c r="C550" s="32" t="s">
        <v>184</v>
      </c>
      <c r="D550" s="32" t="s">
        <v>214</v>
      </c>
      <c r="E550" s="32" t="s">
        <v>186</v>
      </c>
      <c r="F550" s="32" t="s">
        <v>216</v>
      </c>
      <c r="G550" s="32" t="s">
        <v>217</v>
      </c>
    </row>
    <row r="551" ht="16.5" customHeight="1">
      <c r="A551" s="32">
        <v>550.0</v>
      </c>
      <c r="B551" s="32" t="s">
        <v>991</v>
      </c>
      <c r="C551" s="32" t="s">
        <v>184</v>
      </c>
      <c r="D551" s="32" t="s">
        <v>234</v>
      </c>
      <c r="E551" s="32" t="s">
        <v>186</v>
      </c>
      <c r="F551" s="32" t="s">
        <v>347</v>
      </c>
      <c r="G551" s="32" t="s">
        <v>382</v>
      </c>
    </row>
    <row r="552" ht="16.5" customHeight="1">
      <c r="A552" s="32">
        <v>551.0</v>
      </c>
      <c r="B552" s="32" t="s">
        <v>992</v>
      </c>
      <c r="C552" s="32" t="s">
        <v>184</v>
      </c>
      <c r="D552" s="32" t="s">
        <v>192</v>
      </c>
      <c r="E552" s="32" t="s">
        <v>186</v>
      </c>
      <c r="F552" s="32" t="s">
        <v>329</v>
      </c>
      <c r="G552" s="32" t="s">
        <v>330</v>
      </c>
    </row>
    <row r="553" ht="16.5" customHeight="1">
      <c r="A553" s="32">
        <v>552.0</v>
      </c>
      <c r="B553" s="32" t="s">
        <v>993</v>
      </c>
      <c r="C553" s="32" t="s">
        <v>184</v>
      </c>
      <c r="D553" s="32" t="s">
        <v>192</v>
      </c>
      <c r="E553" s="32" t="s">
        <v>186</v>
      </c>
      <c r="F553" s="32" t="s">
        <v>329</v>
      </c>
      <c r="G553" s="32" t="s">
        <v>457</v>
      </c>
    </row>
    <row r="554" ht="16.5" customHeight="1">
      <c r="A554" s="32">
        <v>553.0</v>
      </c>
      <c r="B554" s="32" t="s">
        <v>823</v>
      </c>
      <c r="C554" s="32" t="s">
        <v>184</v>
      </c>
      <c r="D554" s="32" t="s">
        <v>234</v>
      </c>
      <c r="E554" s="32" t="s">
        <v>186</v>
      </c>
      <c r="F554" s="32" t="s">
        <v>347</v>
      </c>
      <c r="G554" s="32" t="s">
        <v>382</v>
      </c>
    </row>
    <row r="555" ht="16.5" customHeight="1">
      <c r="A555" s="32">
        <v>554.0</v>
      </c>
      <c r="B555" s="32" t="s">
        <v>823</v>
      </c>
      <c r="C555" s="32" t="s">
        <v>184</v>
      </c>
      <c r="D555" s="32" t="s">
        <v>234</v>
      </c>
      <c r="E555" s="32" t="s">
        <v>186</v>
      </c>
      <c r="F555" s="32" t="s">
        <v>415</v>
      </c>
      <c r="G555" s="32" t="s">
        <v>243</v>
      </c>
    </row>
    <row r="556" ht="16.5" customHeight="1">
      <c r="A556" s="32">
        <v>555.0</v>
      </c>
      <c r="B556" s="32" t="s">
        <v>994</v>
      </c>
      <c r="C556" s="32" t="s">
        <v>184</v>
      </c>
      <c r="D556" s="32" t="s">
        <v>192</v>
      </c>
      <c r="E556" s="32" t="s">
        <v>186</v>
      </c>
      <c r="F556" s="32" t="s">
        <v>329</v>
      </c>
      <c r="G556" s="32" t="s">
        <v>447</v>
      </c>
    </row>
    <row r="557" ht="16.5" customHeight="1">
      <c r="A557" s="32">
        <v>556.0</v>
      </c>
      <c r="B557" s="32" t="s">
        <v>995</v>
      </c>
      <c r="C557" s="32" t="s">
        <v>184</v>
      </c>
      <c r="D557" s="32" t="s">
        <v>192</v>
      </c>
      <c r="E557" s="32" t="s">
        <v>186</v>
      </c>
    </row>
    <row r="558" ht="16.5" customHeight="1">
      <c r="A558" s="32">
        <v>557.0</v>
      </c>
      <c r="B558" s="32" t="s">
        <v>996</v>
      </c>
      <c r="C558" s="32" t="s">
        <v>184</v>
      </c>
      <c r="D558" s="32" t="s">
        <v>219</v>
      </c>
      <c r="E558" s="32" t="s">
        <v>186</v>
      </c>
    </row>
    <row r="559" ht="16.5" customHeight="1">
      <c r="A559" s="32">
        <v>558.0</v>
      </c>
      <c r="B559" s="32" t="s">
        <v>997</v>
      </c>
      <c r="C559" s="32" t="s">
        <v>184</v>
      </c>
      <c r="D559" s="32" t="s">
        <v>214</v>
      </c>
      <c r="E559" s="32" t="s">
        <v>186</v>
      </c>
      <c r="F559" s="32" t="s">
        <v>216</v>
      </c>
      <c r="G559" s="32" t="s">
        <v>217</v>
      </c>
    </row>
    <row r="560" ht="16.5" customHeight="1">
      <c r="A560" s="32">
        <v>559.0</v>
      </c>
      <c r="B560" s="32" t="s">
        <v>998</v>
      </c>
      <c r="C560" s="32" t="s">
        <v>184</v>
      </c>
      <c r="D560" s="32" t="s">
        <v>214</v>
      </c>
      <c r="E560" s="32" t="s">
        <v>186</v>
      </c>
    </row>
    <row r="561" ht="16.5" customHeight="1">
      <c r="A561" s="32">
        <v>560.0</v>
      </c>
      <c r="B561" s="32" t="s">
        <v>125</v>
      </c>
      <c r="C561" s="32" t="s">
        <v>184</v>
      </c>
      <c r="D561" s="32" t="s">
        <v>214</v>
      </c>
      <c r="E561" s="32" t="s">
        <v>186</v>
      </c>
      <c r="F561" s="32" t="s">
        <v>604</v>
      </c>
    </row>
    <row r="562" ht="16.5" customHeight="1">
      <c r="A562" s="32">
        <v>561.0</v>
      </c>
      <c r="B562" s="32" t="s">
        <v>999</v>
      </c>
      <c r="C562" s="32" t="s">
        <v>184</v>
      </c>
      <c r="D562" s="32" t="s">
        <v>214</v>
      </c>
      <c r="E562" s="32" t="s">
        <v>186</v>
      </c>
      <c r="F562" s="32" t="s">
        <v>604</v>
      </c>
    </row>
    <row r="563" ht="16.5" customHeight="1">
      <c r="A563" s="32">
        <v>562.0</v>
      </c>
      <c r="B563" s="32" t="s">
        <v>1000</v>
      </c>
      <c r="C563" s="32" t="s">
        <v>184</v>
      </c>
      <c r="D563" s="32" t="s">
        <v>219</v>
      </c>
      <c r="E563" s="32" t="s">
        <v>186</v>
      </c>
      <c r="F563" s="32" t="s">
        <v>223</v>
      </c>
      <c r="G563" s="32" t="s">
        <v>472</v>
      </c>
    </row>
    <row r="564" ht="16.5" customHeight="1">
      <c r="A564" s="32">
        <v>563.0</v>
      </c>
      <c r="B564" s="32" t="s">
        <v>1001</v>
      </c>
      <c r="C564" s="32" t="s">
        <v>184</v>
      </c>
      <c r="D564" s="32" t="s">
        <v>185</v>
      </c>
      <c r="E564" s="32" t="s">
        <v>186</v>
      </c>
      <c r="F564" s="32" t="s">
        <v>305</v>
      </c>
      <c r="G564" s="32" t="s">
        <v>1002</v>
      </c>
    </row>
    <row r="565" ht="16.5" customHeight="1">
      <c r="A565" s="32">
        <v>564.0</v>
      </c>
      <c r="B565" s="32" t="s">
        <v>1003</v>
      </c>
      <c r="C565" s="32" t="s">
        <v>184</v>
      </c>
      <c r="D565" s="32" t="s">
        <v>254</v>
      </c>
      <c r="E565" s="32" t="s">
        <v>186</v>
      </c>
    </row>
    <row r="566" ht="16.5" customHeight="1">
      <c r="A566" s="32">
        <v>565.0</v>
      </c>
      <c r="B566" s="32" t="s">
        <v>1004</v>
      </c>
      <c r="C566" s="32" t="s">
        <v>184</v>
      </c>
      <c r="D566" s="32" t="s">
        <v>254</v>
      </c>
      <c r="E566" s="32" t="s">
        <v>186</v>
      </c>
      <c r="F566" s="32" t="s">
        <v>305</v>
      </c>
      <c r="G566" s="32" t="s">
        <v>1005</v>
      </c>
    </row>
    <row r="567" ht="16.5" customHeight="1">
      <c r="A567" s="32">
        <v>566.0</v>
      </c>
      <c r="B567" s="32" t="s">
        <v>1006</v>
      </c>
      <c r="C567" s="32" t="s">
        <v>184</v>
      </c>
      <c r="D567" s="32" t="s">
        <v>185</v>
      </c>
      <c r="E567" s="32" t="s">
        <v>186</v>
      </c>
      <c r="F567" s="32" t="s">
        <v>267</v>
      </c>
      <c r="G567" s="32" t="s">
        <v>975</v>
      </c>
    </row>
    <row r="568" ht="16.5" customHeight="1">
      <c r="A568" s="32">
        <v>567.0</v>
      </c>
      <c r="B568" s="32" t="s">
        <v>1007</v>
      </c>
      <c r="C568" s="32" t="s">
        <v>184</v>
      </c>
      <c r="D568" s="35" t="s">
        <v>294</v>
      </c>
      <c r="E568" s="32" t="s">
        <v>186</v>
      </c>
      <c r="F568" s="32" t="s">
        <v>267</v>
      </c>
      <c r="G568" s="32" t="s">
        <v>975</v>
      </c>
    </row>
    <row r="569" ht="16.5" customHeight="1">
      <c r="A569" s="32">
        <v>568.0</v>
      </c>
      <c r="B569" s="32" t="s">
        <v>1008</v>
      </c>
      <c r="C569" s="32" t="s">
        <v>184</v>
      </c>
      <c r="D569" s="32" t="s">
        <v>185</v>
      </c>
      <c r="E569" s="32" t="s">
        <v>186</v>
      </c>
    </row>
    <row r="570" ht="16.5" customHeight="1">
      <c r="A570" s="32">
        <v>569.0</v>
      </c>
      <c r="B570" s="32" t="s">
        <v>1009</v>
      </c>
      <c r="C570" s="32" t="s">
        <v>184</v>
      </c>
      <c r="D570" s="32" t="s">
        <v>228</v>
      </c>
      <c r="E570" s="32" t="s">
        <v>186</v>
      </c>
      <c r="F570" s="32" t="s">
        <v>229</v>
      </c>
      <c r="G570" s="32" t="s">
        <v>230</v>
      </c>
    </row>
    <row r="571" ht="16.5" customHeight="1">
      <c r="A571" s="32">
        <v>570.0</v>
      </c>
      <c r="B571" s="32" t="s">
        <v>1010</v>
      </c>
      <c r="C571" s="32" t="s">
        <v>184</v>
      </c>
      <c r="D571" s="32" t="s">
        <v>228</v>
      </c>
      <c r="E571" s="32" t="s">
        <v>186</v>
      </c>
      <c r="F571" s="32" t="s">
        <v>229</v>
      </c>
      <c r="G571" s="32" t="s">
        <v>230</v>
      </c>
    </row>
    <row r="572" ht="16.5" customHeight="1">
      <c r="A572" s="32">
        <v>571.0</v>
      </c>
      <c r="B572" s="32" t="s">
        <v>1011</v>
      </c>
      <c r="C572" s="32" t="s">
        <v>184</v>
      </c>
      <c r="D572" s="32" t="s">
        <v>228</v>
      </c>
      <c r="E572" s="32" t="s">
        <v>186</v>
      </c>
      <c r="F572" s="32" t="s">
        <v>229</v>
      </c>
      <c r="G572" s="32" t="s">
        <v>230</v>
      </c>
    </row>
    <row r="573" ht="16.5" customHeight="1">
      <c r="A573" s="32">
        <v>572.0</v>
      </c>
      <c r="B573" s="32" t="s">
        <v>1012</v>
      </c>
      <c r="C573" s="32" t="s">
        <v>184</v>
      </c>
      <c r="D573" s="32" t="s">
        <v>325</v>
      </c>
      <c r="E573" s="32" t="s">
        <v>186</v>
      </c>
      <c r="F573" s="32" t="s">
        <v>368</v>
      </c>
      <c r="G573" s="32" t="s">
        <v>463</v>
      </c>
    </row>
    <row r="574" ht="16.5" customHeight="1">
      <c r="A574" s="32">
        <v>573.0</v>
      </c>
      <c r="B574" s="32" t="s">
        <v>1012</v>
      </c>
      <c r="C574" s="32" t="s">
        <v>184</v>
      </c>
      <c r="D574" s="32" t="s">
        <v>325</v>
      </c>
      <c r="E574" s="32" t="s">
        <v>186</v>
      </c>
      <c r="F574" s="32" t="s">
        <v>368</v>
      </c>
      <c r="G574" s="32" t="s">
        <v>463</v>
      </c>
    </row>
    <row r="575" ht="16.5" customHeight="1">
      <c r="A575" s="32">
        <v>574.0</v>
      </c>
      <c r="B575" s="32" t="s">
        <v>1013</v>
      </c>
      <c r="C575" s="32" t="s">
        <v>184</v>
      </c>
      <c r="D575" s="32" t="s">
        <v>325</v>
      </c>
      <c r="E575" s="32" t="s">
        <v>186</v>
      </c>
    </row>
    <row r="576" ht="16.5" customHeight="1">
      <c r="A576" s="32">
        <v>575.0</v>
      </c>
      <c r="B576" s="32" t="s">
        <v>1014</v>
      </c>
      <c r="C576" s="32" t="s">
        <v>184</v>
      </c>
      <c r="D576" s="32" t="s">
        <v>219</v>
      </c>
      <c r="E576" s="32" t="s">
        <v>186</v>
      </c>
    </row>
    <row r="577" ht="16.5" customHeight="1">
      <c r="A577" s="32">
        <v>576.0</v>
      </c>
      <c r="B577" s="32" t="s">
        <v>1015</v>
      </c>
      <c r="C577" s="32" t="s">
        <v>184</v>
      </c>
      <c r="D577" s="32" t="s">
        <v>219</v>
      </c>
      <c r="E577" s="32" t="s">
        <v>186</v>
      </c>
      <c r="F577" s="32" t="s">
        <v>232</v>
      </c>
      <c r="G577" s="32" t="s">
        <v>233</v>
      </c>
    </row>
    <row r="578" ht="16.5" customHeight="1">
      <c r="A578" s="32">
        <v>577.0</v>
      </c>
      <c r="B578" s="32" t="s">
        <v>1016</v>
      </c>
      <c r="C578" s="32" t="s">
        <v>184</v>
      </c>
      <c r="D578" s="32" t="s">
        <v>228</v>
      </c>
      <c r="E578" s="32" t="s">
        <v>186</v>
      </c>
      <c r="F578" s="32" t="s">
        <v>229</v>
      </c>
      <c r="G578" s="32" t="s">
        <v>244</v>
      </c>
    </row>
    <row r="579" ht="16.5" customHeight="1">
      <c r="A579" s="32">
        <v>578.0</v>
      </c>
      <c r="B579" s="32" t="s">
        <v>1017</v>
      </c>
      <c r="C579" s="32" t="s">
        <v>184</v>
      </c>
      <c r="D579" s="32" t="s">
        <v>185</v>
      </c>
      <c r="E579" s="32" t="s">
        <v>186</v>
      </c>
      <c r="F579" s="32" t="s">
        <v>187</v>
      </c>
      <c r="G579" s="32" t="s">
        <v>188</v>
      </c>
    </row>
    <row r="580" ht="16.5" customHeight="1">
      <c r="A580" s="32">
        <v>579.0</v>
      </c>
      <c r="B580" s="32" t="s">
        <v>1018</v>
      </c>
      <c r="C580" s="32" t="s">
        <v>184</v>
      </c>
      <c r="D580" s="32" t="s">
        <v>185</v>
      </c>
      <c r="E580" s="32" t="s">
        <v>186</v>
      </c>
    </row>
    <row r="581" ht="16.5" customHeight="1">
      <c r="A581" s="32">
        <v>580.0</v>
      </c>
      <c r="B581" s="32" t="s">
        <v>1019</v>
      </c>
      <c r="C581" s="32" t="s">
        <v>184</v>
      </c>
      <c r="D581" s="32" t="s">
        <v>228</v>
      </c>
      <c r="E581" s="32" t="s">
        <v>186</v>
      </c>
    </row>
    <row r="582" ht="16.5" customHeight="1">
      <c r="A582" s="32">
        <v>581.0</v>
      </c>
      <c r="B582" s="32" t="s">
        <v>1020</v>
      </c>
      <c r="C582" s="32" t="s">
        <v>184</v>
      </c>
      <c r="D582" s="32" t="s">
        <v>228</v>
      </c>
      <c r="E582" s="32" t="s">
        <v>186</v>
      </c>
      <c r="F582" s="32" t="s">
        <v>229</v>
      </c>
      <c r="G582" s="32" t="s">
        <v>626</v>
      </c>
    </row>
    <row r="583" ht="16.5" customHeight="1">
      <c r="A583" s="32">
        <v>582.0</v>
      </c>
      <c r="B583" s="32" t="s">
        <v>1021</v>
      </c>
      <c r="C583" s="32" t="s">
        <v>184</v>
      </c>
      <c r="D583" s="32" t="s">
        <v>228</v>
      </c>
      <c r="E583" s="32" t="s">
        <v>186</v>
      </c>
      <c r="F583" s="32" t="s">
        <v>229</v>
      </c>
      <c r="G583" s="32" t="s">
        <v>230</v>
      </c>
    </row>
    <row r="584" ht="16.5" customHeight="1">
      <c r="A584" s="32">
        <v>583.0</v>
      </c>
      <c r="B584" s="32" t="s">
        <v>1022</v>
      </c>
      <c r="C584" s="32" t="s">
        <v>184</v>
      </c>
      <c r="D584" s="32" t="s">
        <v>228</v>
      </c>
      <c r="E584" s="32" t="s">
        <v>186</v>
      </c>
      <c r="F584" s="32" t="s">
        <v>229</v>
      </c>
      <c r="G584" s="32" t="s">
        <v>230</v>
      </c>
    </row>
    <row r="585" ht="16.5" customHeight="1">
      <c r="A585" s="32">
        <v>584.0</v>
      </c>
      <c r="B585" s="32" t="s">
        <v>1023</v>
      </c>
      <c r="C585" s="32" t="s">
        <v>184</v>
      </c>
      <c r="D585" s="32" t="s">
        <v>219</v>
      </c>
      <c r="E585" s="32" t="s">
        <v>186</v>
      </c>
      <c r="F585" s="32" t="s">
        <v>223</v>
      </c>
    </row>
    <row r="586" ht="16.5" customHeight="1">
      <c r="A586" s="32">
        <v>585.0</v>
      </c>
      <c r="B586" s="32" t="s">
        <v>1024</v>
      </c>
      <c r="C586" s="32" t="s">
        <v>184</v>
      </c>
      <c r="D586" s="32" t="s">
        <v>219</v>
      </c>
      <c r="E586" s="32" t="s">
        <v>186</v>
      </c>
      <c r="F586" s="32" t="s">
        <v>223</v>
      </c>
    </row>
    <row r="587" ht="16.5" customHeight="1">
      <c r="A587" s="32">
        <v>586.0</v>
      </c>
      <c r="B587" s="32" t="s">
        <v>1025</v>
      </c>
      <c r="C587" s="32" t="s">
        <v>184</v>
      </c>
      <c r="D587" s="32" t="s">
        <v>192</v>
      </c>
      <c r="E587" s="32" t="s">
        <v>186</v>
      </c>
      <c r="F587" s="32" t="s">
        <v>238</v>
      </c>
      <c r="G587" s="32" t="s">
        <v>239</v>
      </c>
    </row>
    <row r="588" ht="16.5" customHeight="1">
      <c r="A588" s="32">
        <v>587.0</v>
      </c>
      <c r="B588" s="32" t="s">
        <v>1026</v>
      </c>
      <c r="C588" s="32" t="s">
        <v>184</v>
      </c>
      <c r="D588" s="32" t="s">
        <v>254</v>
      </c>
      <c r="E588" s="32" t="s">
        <v>186</v>
      </c>
      <c r="F588" s="32" t="s">
        <v>257</v>
      </c>
      <c r="G588" s="32" t="s">
        <v>271</v>
      </c>
    </row>
    <row r="589" ht="16.5" customHeight="1">
      <c r="A589" s="32">
        <v>588.0</v>
      </c>
      <c r="B589" s="32" t="s">
        <v>1027</v>
      </c>
      <c r="C589" s="32" t="s">
        <v>184</v>
      </c>
      <c r="D589" s="32" t="s">
        <v>254</v>
      </c>
      <c r="E589" s="32" t="s">
        <v>186</v>
      </c>
      <c r="F589" s="32" t="s">
        <v>257</v>
      </c>
      <c r="G589" s="32" t="s">
        <v>271</v>
      </c>
    </row>
    <row r="590" ht="16.5" customHeight="1">
      <c r="A590" s="32">
        <v>589.0</v>
      </c>
      <c r="B590" s="32" t="s">
        <v>1028</v>
      </c>
      <c r="C590" s="32" t="s">
        <v>184</v>
      </c>
      <c r="D590" s="32" t="s">
        <v>228</v>
      </c>
      <c r="E590" s="32" t="s">
        <v>186</v>
      </c>
      <c r="F590" s="32" t="s">
        <v>544</v>
      </c>
      <c r="G590" s="32" t="s">
        <v>713</v>
      </c>
    </row>
    <row r="591" ht="16.5" customHeight="1">
      <c r="A591" s="32">
        <v>590.0</v>
      </c>
      <c r="B591" s="32" t="s">
        <v>1029</v>
      </c>
      <c r="C591" s="32" t="s">
        <v>184</v>
      </c>
      <c r="D591" s="32" t="s">
        <v>228</v>
      </c>
      <c r="E591" s="32" t="s">
        <v>186</v>
      </c>
      <c r="F591" s="32" t="s">
        <v>544</v>
      </c>
      <c r="G591" s="32" t="s">
        <v>715</v>
      </c>
    </row>
    <row r="592" ht="16.5" customHeight="1">
      <c r="A592" s="32">
        <v>591.0</v>
      </c>
      <c r="B592" s="32" t="s">
        <v>1030</v>
      </c>
      <c r="C592" s="32" t="s">
        <v>184</v>
      </c>
      <c r="D592" s="32" t="s">
        <v>192</v>
      </c>
      <c r="E592" s="32" t="s">
        <v>186</v>
      </c>
      <c r="F592" s="32" t="s">
        <v>238</v>
      </c>
      <c r="G592" s="32" t="s">
        <v>618</v>
      </c>
    </row>
    <row r="593" ht="16.5" customHeight="1">
      <c r="A593" s="32">
        <v>592.0</v>
      </c>
      <c r="B593" s="32" t="s">
        <v>1031</v>
      </c>
      <c r="C593" s="32" t="s">
        <v>184</v>
      </c>
      <c r="D593" s="32" t="s">
        <v>192</v>
      </c>
      <c r="E593" s="32" t="s">
        <v>186</v>
      </c>
      <c r="F593" s="32" t="s">
        <v>238</v>
      </c>
      <c r="G593" s="32" t="s">
        <v>618</v>
      </c>
    </row>
    <row r="594" ht="16.5" customHeight="1">
      <c r="A594" s="32">
        <v>593.0</v>
      </c>
      <c r="B594" s="32" t="s">
        <v>1032</v>
      </c>
      <c r="C594" s="32" t="s">
        <v>184</v>
      </c>
      <c r="D594" s="32" t="s">
        <v>254</v>
      </c>
      <c r="E594" s="32" t="s">
        <v>186</v>
      </c>
      <c r="F594" s="32" t="s">
        <v>257</v>
      </c>
      <c r="G594" s="32" t="s">
        <v>271</v>
      </c>
    </row>
    <row r="595" ht="16.5" customHeight="1">
      <c r="A595" s="32">
        <v>594.0</v>
      </c>
      <c r="B595" s="32" t="s">
        <v>1033</v>
      </c>
      <c r="C595" s="32" t="s">
        <v>184</v>
      </c>
      <c r="D595" s="32" t="s">
        <v>285</v>
      </c>
      <c r="E595" s="32" t="s">
        <v>186</v>
      </c>
      <c r="F595" s="32" t="s">
        <v>189</v>
      </c>
      <c r="G595" s="32" t="s">
        <v>1034</v>
      </c>
    </row>
    <row r="596" ht="16.5" customHeight="1">
      <c r="A596" s="32">
        <v>595.0</v>
      </c>
      <c r="B596" s="32" t="s">
        <v>1035</v>
      </c>
      <c r="C596" s="32" t="s">
        <v>184</v>
      </c>
      <c r="D596" s="32" t="s">
        <v>285</v>
      </c>
      <c r="E596" s="32" t="s">
        <v>186</v>
      </c>
      <c r="F596" s="32" t="s">
        <v>189</v>
      </c>
      <c r="G596" s="32" t="s">
        <v>190</v>
      </c>
    </row>
    <row r="597" ht="16.5" customHeight="1">
      <c r="A597" s="32">
        <v>596.0</v>
      </c>
      <c r="B597" s="32" t="s">
        <v>1036</v>
      </c>
      <c r="C597" s="32" t="s">
        <v>184</v>
      </c>
      <c r="D597" s="32" t="s">
        <v>185</v>
      </c>
      <c r="E597" s="32" t="s">
        <v>186</v>
      </c>
      <c r="F597" s="32" t="s">
        <v>187</v>
      </c>
      <c r="G597" s="32" t="s">
        <v>482</v>
      </c>
    </row>
    <row r="598" ht="16.5" customHeight="1">
      <c r="A598" s="32">
        <v>597.0</v>
      </c>
      <c r="B598" s="32" t="s">
        <v>1037</v>
      </c>
      <c r="C598" s="32" t="s">
        <v>184</v>
      </c>
      <c r="D598" s="32" t="s">
        <v>185</v>
      </c>
      <c r="E598" s="32" t="s">
        <v>186</v>
      </c>
    </row>
    <row r="599" ht="16.5" customHeight="1">
      <c r="A599" s="32">
        <v>598.0</v>
      </c>
      <c r="B599" s="32" t="s">
        <v>1038</v>
      </c>
      <c r="C599" s="32" t="s">
        <v>184</v>
      </c>
      <c r="D599" s="32" t="s">
        <v>285</v>
      </c>
      <c r="E599" s="32" t="s">
        <v>186</v>
      </c>
    </row>
    <row r="600" ht="16.5" customHeight="1">
      <c r="A600" s="32">
        <v>599.0</v>
      </c>
      <c r="B600" s="32" t="s">
        <v>1039</v>
      </c>
      <c r="C600" s="32" t="s">
        <v>184</v>
      </c>
      <c r="D600" s="32" t="s">
        <v>185</v>
      </c>
      <c r="E600" s="32" t="s">
        <v>186</v>
      </c>
      <c r="F600" s="32" t="s">
        <v>189</v>
      </c>
      <c r="G600" s="32" t="s">
        <v>190</v>
      </c>
    </row>
    <row r="601" ht="16.5" customHeight="1">
      <c r="A601" s="32">
        <v>600.0</v>
      </c>
      <c r="B601" s="32" t="s">
        <v>1040</v>
      </c>
      <c r="C601" s="32" t="s">
        <v>184</v>
      </c>
      <c r="D601" s="35" t="s">
        <v>294</v>
      </c>
      <c r="E601" s="32" t="s">
        <v>186</v>
      </c>
      <c r="F601" s="32" t="s">
        <v>189</v>
      </c>
      <c r="G601" s="32" t="s">
        <v>190</v>
      </c>
    </row>
    <row r="602" ht="16.5" customHeight="1">
      <c r="A602" s="32">
        <v>601.0</v>
      </c>
      <c r="B602" s="32" t="s">
        <v>1041</v>
      </c>
      <c r="C602" s="32" t="s">
        <v>184</v>
      </c>
      <c r="D602" s="32" t="s">
        <v>285</v>
      </c>
      <c r="E602" s="32" t="s">
        <v>186</v>
      </c>
    </row>
    <row r="603" ht="16.5" customHeight="1">
      <c r="A603" s="32">
        <v>602.0</v>
      </c>
      <c r="B603" s="32" t="s">
        <v>1042</v>
      </c>
      <c r="C603" s="32" t="s">
        <v>184</v>
      </c>
      <c r="D603" s="32" t="s">
        <v>254</v>
      </c>
      <c r="E603" s="32" t="s">
        <v>186</v>
      </c>
    </row>
    <row r="604" ht="16.5" customHeight="1">
      <c r="A604" s="32">
        <v>603.0</v>
      </c>
      <c r="B604" s="32" t="s">
        <v>1043</v>
      </c>
      <c r="C604" s="32" t="s">
        <v>184</v>
      </c>
      <c r="D604" s="32" t="s">
        <v>254</v>
      </c>
      <c r="E604" s="32" t="s">
        <v>186</v>
      </c>
    </row>
    <row r="605" ht="16.5" customHeight="1">
      <c r="A605" s="32">
        <v>604.0</v>
      </c>
      <c r="B605" s="32" t="s">
        <v>1044</v>
      </c>
      <c r="C605" s="32" t="s">
        <v>184</v>
      </c>
      <c r="D605" s="32" t="s">
        <v>254</v>
      </c>
      <c r="E605" s="32" t="s">
        <v>186</v>
      </c>
    </row>
    <row r="606" ht="16.5" customHeight="1">
      <c r="A606" s="32">
        <v>605.0</v>
      </c>
      <c r="B606" s="32" t="s">
        <v>1045</v>
      </c>
      <c r="C606" s="32" t="s">
        <v>184</v>
      </c>
      <c r="D606" s="32" t="s">
        <v>228</v>
      </c>
      <c r="E606" s="32" t="s">
        <v>186</v>
      </c>
      <c r="F606" s="32" t="s">
        <v>408</v>
      </c>
      <c r="G606" s="32" t="s">
        <v>1046</v>
      </c>
    </row>
    <row r="607" ht="16.5" customHeight="1">
      <c r="A607" s="32">
        <v>606.0</v>
      </c>
      <c r="B607" s="32" t="s">
        <v>1047</v>
      </c>
      <c r="C607" s="32" t="s">
        <v>184</v>
      </c>
      <c r="D607" s="32" t="s">
        <v>228</v>
      </c>
      <c r="E607" s="32" t="s">
        <v>186</v>
      </c>
    </row>
    <row r="608" ht="16.5" customHeight="1">
      <c r="A608" s="32">
        <v>607.0</v>
      </c>
      <c r="B608" s="32" t="s">
        <v>1048</v>
      </c>
      <c r="C608" s="32" t="s">
        <v>184</v>
      </c>
      <c r="D608" s="32" t="s">
        <v>764</v>
      </c>
      <c r="E608" s="32" t="s">
        <v>186</v>
      </c>
      <c r="F608" s="32" t="s">
        <v>1049</v>
      </c>
    </row>
    <row r="609" ht="16.5" customHeight="1">
      <c r="A609" s="32">
        <v>608.0</v>
      </c>
      <c r="B609" s="32" t="s">
        <v>1050</v>
      </c>
      <c r="C609" s="32" t="s">
        <v>184</v>
      </c>
      <c r="D609" s="32" t="s">
        <v>764</v>
      </c>
      <c r="E609" s="32" t="s">
        <v>186</v>
      </c>
      <c r="F609" s="32" t="s">
        <v>1051</v>
      </c>
    </row>
    <row r="610" ht="16.5" customHeight="1">
      <c r="A610" s="32">
        <v>609.0</v>
      </c>
      <c r="B610" s="32" t="s">
        <v>1052</v>
      </c>
      <c r="C610" s="32" t="s">
        <v>184</v>
      </c>
      <c r="D610" s="32" t="s">
        <v>285</v>
      </c>
      <c r="E610" s="32" t="s">
        <v>186</v>
      </c>
      <c r="F610" s="32" t="s">
        <v>1053</v>
      </c>
    </row>
    <row r="611" ht="16.5" customHeight="1">
      <c r="A611" s="32">
        <v>610.0</v>
      </c>
      <c r="B611" s="32" t="s">
        <v>1054</v>
      </c>
      <c r="C611" s="32" t="s">
        <v>184</v>
      </c>
      <c r="D611" s="32" t="s">
        <v>764</v>
      </c>
      <c r="E611" s="32" t="s">
        <v>186</v>
      </c>
      <c r="F611" s="32" t="s">
        <v>1055</v>
      </c>
    </row>
    <row r="612" ht="16.5" customHeight="1">
      <c r="A612" s="32">
        <v>611.0</v>
      </c>
      <c r="B612" s="32" t="s">
        <v>1056</v>
      </c>
      <c r="C612" s="32" t="s">
        <v>184</v>
      </c>
      <c r="D612" s="32" t="s">
        <v>285</v>
      </c>
      <c r="E612" s="32" t="s">
        <v>186</v>
      </c>
      <c r="F612" s="32" t="s">
        <v>189</v>
      </c>
      <c r="G612" s="32" t="s">
        <v>190</v>
      </c>
    </row>
    <row r="613" ht="16.5" customHeight="1">
      <c r="A613" s="32">
        <v>612.0</v>
      </c>
      <c r="B613" s="32" t="s">
        <v>1057</v>
      </c>
      <c r="C613" s="32" t="s">
        <v>184</v>
      </c>
      <c r="D613" s="32" t="s">
        <v>219</v>
      </c>
      <c r="E613" s="32" t="s">
        <v>186</v>
      </c>
    </row>
    <row r="614" ht="16.5" customHeight="1">
      <c r="A614" s="32">
        <v>613.0</v>
      </c>
      <c r="B614" s="32" t="s">
        <v>1058</v>
      </c>
      <c r="C614" s="32" t="s">
        <v>184</v>
      </c>
      <c r="D614" s="32" t="s">
        <v>764</v>
      </c>
      <c r="E614" s="32" t="s">
        <v>186</v>
      </c>
      <c r="F614" s="32" t="s">
        <v>1059</v>
      </c>
    </row>
    <row r="615" ht="16.5" customHeight="1">
      <c r="A615" s="32">
        <v>614.0</v>
      </c>
      <c r="B615" s="32" t="s">
        <v>1060</v>
      </c>
      <c r="C615" s="32" t="s">
        <v>184</v>
      </c>
      <c r="D615" s="32" t="s">
        <v>764</v>
      </c>
      <c r="E615" s="32" t="s">
        <v>186</v>
      </c>
      <c r="F615" s="32" t="s">
        <v>1061</v>
      </c>
    </row>
    <row r="616" ht="16.5" customHeight="1">
      <c r="A616" s="32">
        <v>615.0</v>
      </c>
      <c r="B616" s="32" t="s">
        <v>1062</v>
      </c>
      <c r="C616" s="32" t="s">
        <v>184</v>
      </c>
      <c r="D616" s="35" t="s">
        <v>294</v>
      </c>
      <c r="E616" s="32" t="s">
        <v>186</v>
      </c>
      <c r="F616" s="32" t="s">
        <v>189</v>
      </c>
      <c r="G616" s="32" t="s">
        <v>190</v>
      </c>
    </row>
    <row r="617" ht="16.5" customHeight="1">
      <c r="A617" s="32">
        <v>616.0</v>
      </c>
      <c r="B617" s="32" t="s">
        <v>1063</v>
      </c>
      <c r="C617" s="32" t="s">
        <v>184</v>
      </c>
      <c r="D617" s="35" t="s">
        <v>294</v>
      </c>
      <c r="E617" s="32" t="s">
        <v>186</v>
      </c>
      <c r="F617" s="32" t="s">
        <v>189</v>
      </c>
      <c r="G617" s="32" t="s">
        <v>190</v>
      </c>
    </row>
    <row r="618" ht="16.5" customHeight="1">
      <c r="A618" s="32">
        <v>617.0</v>
      </c>
      <c r="B618" s="32" t="s">
        <v>1064</v>
      </c>
      <c r="C618" s="32" t="s">
        <v>184</v>
      </c>
      <c r="D618" s="32" t="s">
        <v>185</v>
      </c>
      <c r="E618" s="32" t="s">
        <v>186</v>
      </c>
      <c r="F618" s="32" t="s">
        <v>189</v>
      </c>
      <c r="G618" s="32" t="s">
        <v>190</v>
      </c>
    </row>
    <row r="619" ht="16.5" customHeight="1">
      <c r="A619" s="32">
        <v>618.0</v>
      </c>
      <c r="B619" s="32" t="s">
        <v>1065</v>
      </c>
      <c r="C619" s="32" t="s">
        <v>184</v>
      </c>
      <c r="D619" s="32" t="s">
        <v>185</v>
      </c>
      <c r="E619" s="32" t="s">
        <v>186</v>
      </c>
    </row>
    <row r="620" ht="16.5" customHeight="1">
      <c r="A620" s="32">
        <v>619.0</v>
      </c>
      <c r="B620" s="32" t="s">
        <v>1066</v>
      </c>
      <c r="C620" s="32" t="s">
        <v>184</v>
      </c>
      <c r="D620" s="35" t="s">
        <v>294</v>
      </c>
      <c r="E620" s="32" t="s">
        <v>186</v>
      </c>
      <c r="F620" s="32" t="s">
        <v>189</v>
      </c>
      <c r="G620" s="32" t="s">
        <v>190</v>
      </c>
    </row>
    <row r="621" ht="16.5" customHeight="1">
      <c r="A621" s="32">
        <v>620.0</v>
      </c>
      <c r="B621" s="32" t="s">
        <v>1067</v>
      </c>
      <c r="C621" s="32" t="s">
        <v>184</v>
      </c>
      <c r="D621" s="32" t="s">
        <v>285</v>
      </c>
      <c r="E621" s="32" t="s">
        <v>186</v>
      </c>
      <c r="F621" s="32" t="s">
        <v>552</v>
      </c>
      <c r="G621" s="32" t="s">
        <v>683</v>
      </c>
    </row>
    <row r="622" ht="16.5" customHeight="1">
      <c r="A622" s="32">
        <v>621.0</v>
      </c>
      <c r="B622" s="32" t="s">
        <v>1068</v>
      </c>
      <c r="C622" s="32" t="s">
        <v>184</v>
      </c>
      <c r="D622" s="32" t="s">
        <v>285</v>
      </c>
      <c r="E622" s="32" t="s">
        <v>186</v>
      </c>
      <c r="F622" s="32" t="s">
        <v>189</v>
      </c>
      <c r="G622" s="32" t="s">
        <v>190</v>
      </c>
    </row>
    <row r="623" ht="16.5" customHeight="1">
      <c r="A623" s="32">
        <v>622.0</v>
      </c>
      <c r="B623" s="32" t="s">
        <v>1069</v>
      </c>
      <c r="C623" s="32" t="s">
        <v>184</v>
      </c>
      <c r="D623" s="35" t="s">
        <v>294</v>
      </c>
      <c r="E623" s="32" t="s">
        <v>186</v>
      </c>
    </row>
    <row r="624" ht="16.5" customHeight="1">
      <c r="A624" s="32">
        <v>623.0</v>
      </c>
      <c r="B624" s="32" t="s">
        <v>1070</v>
      </c>
      <c r="C624" s="32" t="s">
        <v>184</v>
      </c>
      <c r="D624" s="32" t="s">
        <v>285</v>
      </c>
      <c r="E624" s="32" t="s">
        <v>186</v>
      </c>
    </row>
    <row r="625" ht="16.5" customHeight="1">
      <c r="A625" s="32">
        <v>624.0</v>
      </c>
      <c r="B625" s="32" t="s">
        <v>1071</v>
      </c>
      <c r="C625" s="32" t="s">
        <v>184</v>
      </c>
      <c r="D625" s="35" t="s">
        <v>294</v>
      </c>
      <c r="E625" s="32" t="s">
        <v>186</v>
      </c>
    </row>
    <row r="626" ht="16.5" customHeight="1">
      <c r="A626" s="32">
        <v>625.0</v>
      </c>
      <c r="B626" s="32" t="s">
        <v>1072</v>
      </c>
      <c r="C626" s="32" t="s">
        <v>184</v>
      </c>
      <c r="D626" s="32" t="s">
        <v>285</v>
      </c>
      <c r="E626" s="32" t="s">
        <v>186</v>
      </c>
      <c r="F626" s="32" t="s">
        <v>189</v>
      </c>
      <c r="G626" s="32" t="s">
        <v>190</v>
      </c>
    </row>
    <row r="627" ht="16.5" customHeight="1">
      <c r="A627" s="32">
        <v>626.0</v>
      </c>
      <c r="B627" s="32" t="s">
        <v>1073</v>
      </c>
      <c r="C627" s="32" t="s">
        <v>184</v>
      </c>
      <c r="D627" s="32" t="s">
        <v>285</v>
      </c>
      <c r="E627" s="32" t="s">
        <v>186</v>
      </c>
    </row>
    <row r="628" ht="16.5" customHeight="1">
      <c r="A628" s="32">
        <v>627.0</v>
      </c>
      <c r="B628" s="32" t="s">
        <v>1074</v>
      </c>
      <c r="C628" s="32" t="s">
        <v>184</v>
      </c>
      <c r="D628" s="32" t="s">
        <v>285</v>
      </c>
      <c r="E628" s="32" t="s">
        <v>186</v>
      </c>
    </row>
    <row r="629" ht="16.5" customHeight="1">
      <c r="A629" s="32">
        <v>628.0</v>
      </c>
      <c r="B629" s="32" t="s">
        <v>1075</v>
      </c>
      <c r="C629" s="32" t="s">
        <v>184</v>
      </c>
      <c r="D629" s="32" t="s">
        <v>285</v>
      </c>
      <c r="E629" s="32" t="s">
        <v>186</v>
      </c>
    </row>
    <row r="630" ht="16.5" customHeight="1">
      <c r="A630" s="32">
        <v>629.0</v>
      </c>
      <c r="B630" s="32" t="s">
        <v>1076</v>
      </c>
      <c r="C630" s="32" t="s">
        <v>184</v>
      </c>
      <c r="D630" s="32" t="s">
        <v>219</v>
      </c>
      <c r="E630" s="32" t="s">
        <v>186</v>
      </c>
    </row>
    <row r="631" ht="16.5" customHeight="1">
      <c r="A631" s="32">
        <v>630.0</v>
      </c>
      <c r="B631" s="32" t="s">
        <v>1077</v>
      </c>
      <c r="C631" s="32" t="s">
        <v>184</v>
      </c>
      <c r="D631" s="32" t="s">
        <v>185</v>
      </c>
      <c r="E631" s="32" t="s">
        <v>186</v>
      </c>
    </row>
    <row r="632" ht="16.5" customHeight="1">
      <c r="A632" s="32">
        <v>631.0</v>
      </c>
      <c r="B632" s="32" t="s">
        <v>1078</v>
      </c>
      <c r="C632" s="32" t="s">
        <v>184</v>
      </c>
      <c r="D632" s="32" t="s">
        <v>254</v>
      </c>
      <c r="E632" s="32" t="s">
        <v>186</v>
      </c>
      <c r="F632" s="32" t="s">
        <v>305</v>
      </c>
      <c r="G632" s="32" t="s">
        <v>1079</v>
      </c>
    </row>
    <row r="633" ht="16.5" customHeight="1">
      <c r="A633" s="32">
        <v>632.0</v>
      </c>
      <c r="B633" s="32" t="s">
        <v>1080</v>
      </c>
      <c r="C633" s="32" t="s">
        <v>184</v>
      </c>
      <c r="D633" s="32" t="s">
        <v>254</v>
      </c>
      <c r="E633" s="32" t="s">
        <v>186</v>
      </c>
    </row>
    <row r="634" ht="16.5" customHeight="1">
      <c r="A634" s="32">
        <v>633.0</v>
      </c>
      <c r="B634" s="32" t="s">
        <v>1081</v>
      </c>
      <c r="C634" s="32" t="s">
        <v>184</v>
      </c>
      <c r="D634" s="32" t="s">
        <v>214</v>
      </c>
      <c r="E634" s="32" t="s">
        <v>186</v>
      </c>
      <c r="F634" s="32" t="s">
        <v>720</v>
      </c>
    </row>
    <row r="635" ht="16.5" customHeight="1">
      <c r="A635" s="32">
        <v>634.0</v>
      </c>
      <c r="B635" s="32" t="s">
        <v>1082</v>
      </c>
      <c r="C635" s="32" t="s">
        <v>184</v>
      </c>
      <c r="D635" s="32" t="s">
        <v>214</v>
      </c>
      <c r="E635" s="32" t="s">
        <v>186</v>
      </c>
      <c r="F635" s="32" t="s">
        <v>720</v>
      </c>
    </row>
    <row r="636" ht="16.5" customHeight="1">
      <c r="A636" s="32">
        <v>635.0</v>
      </c>
      <c r="B636" s="32" t="s">
        <v>1083</v>
      </c>
      <c r="C636" s="32" t="s">
        <v>184</v>
      </c>
      <c r="D636" s="32" t="s">
        <v>228</v>
      </c>
      <c r="E636" s="32" t="s">
        <v>186</v>
      </c>
      <c r="F636" s="32" t="s">
        <v>229</v>
      </c>
      <c r="G636" s="32" t="s">
        <v>230</v>
      </c>
    </row>
    <row r="637" ht="16.5" customHeight="1">
      <c r="A637" s="32">
        <v>636.0</v>
      </c>
      <c r="B637" s="32" t="s">
        <v>1084</v>
      </c>
      <c r="C637" s="32" t="s">
        <v>184</v>
      </c>
      <c r="D637" s="32" t="s">
        <v>325</v>
      </c>
      <c r="E637" s="32" t="s">
        <v>186</v>
      </c>
      <c r="F637" s="32" t="s">
        <v>368</v>
      </c>
      <c r="G637" s="32" t="s">
        <v>463</v>
      </c>
    </row>
    <row r="638" ht="16.5" customHeight="1">
      <c r="A638" s="32">
        <v>637.0</v>
      </c>
      <c r="B638" s="32" t="s">
        <v>1085</v>
      </c>
      <c r="C638" s="32" t="s">
        <v>184</v>
      </c>
      <c r="D638" s="32" t="s">
        <v>325</v>
      </c>
      <c r="E638" s="32" t="s">
        <v>186</v>
      </c>
    </row>
    <row r="639" ht="16.5" customHeight="1">
      <c r="A639" s="32">
        <v>638.0</v>
      </c>
      <c r="B639" s="32" t="s">
        <v>1086</v>
      </c>
      <c r="C639" s="32" t="s">
        <v>184</v>
      </c>
      <c r="D639" s="32" t="s">
        <v>219</v>
      </c>
      <c r="E639" s="32" t="s">
        <v>186</v>
      </c>
      <c r="F639" s="32" t="s">
        <v>241</v>
      </c>
      <c r="G639" s="32" t="s">
        <v>292</v>
      </c>
    </row>
    <row r="640" ht="16.5" customHeight="1">
      <c r="A640" s="32">
        <v>639.0</v>
      </c>
      <c r="B640" s="32" t="s">
        <v>1087</v>
      </c>
      <c r="C640" s="32" t="s">
        <v>184</v>
      </c>
      <c r="D640" s="32" t="s">
        <v>219</v>
      </c>
      <c r="E640" s="32" t="s">
        <v>186</v>
      </c>
    </row>
    <row r="641" ht="16.5" customHeight="1">
      <c r="A641" s="32">
        <v>640.0</v>
      </c>
      <c r="B641" s="32" t="s">
        <v>1088</v>
      </c>
      <c r="C641" s="32" t="s">
        <v>184</v>
      </c>
      <c r="D641" s="32" t="s">
        <v>228</v>
      </c>
      <c r="E641" s="32" t="s">
        <v>186</v>
      </c>
      <c r="F641" s="32" t="s">
        <v>243</v>
      </c>
      <c r="G641" s="32" t="s">
        <v>244</v>
      </c>
    </row>
    <row r="642" ht="16.5" customHeight="1">
      <c r="A642" s="32">
        <v>641.0</v>
      </c>
      <c r="B642" s="32" t="s">
        <v>1089</v>
      </c>
      <c r="C642" s="32" t="s">
        <v>184</v>
      </c>
      <c r="D642" s="32" t="s">
        <v>228</v>
      </c>
      <c r="E642" s="32" t="s">
        <v>186</v>
      </c>
    </row>
    <row r="643" ht="16.5" customHeight="1">
      <c r="A643" s="32">
        <v>642.0</v>
      </c>
      <c r="B643" s="32" t="s">
        <v>1090</v>
      </c>
      <c r="C643" s="32" t="s">
        <v>184</v>
      </c>
      <c r="D643" s="32" t="s">
        <v>219</v>
      </c>
      <c r="E643" s="32" t="s">
        <v>186</v>
      </c>
      <c r="F643" s="32" t="s">
        <v>232</v>
      </c>
      <c r="G643" s="32" t="s">
        <v>233</v>
      </c>
    </row>
    <row r="644" ht="16.5" customHeight="1">
      <c r="A644" s="32">
        <v>643.0</v>
      </c>
      <c r="B644" s="32" t="s">
        <v>1091</v>
      </c>
      <c r="C644" s="32" t="s">
        <v>184</v>
      </c>
      <c r="D644" s="32" t="s">
        <v>228</v>
      </c>
      <c r="E644" s="32" t="s">
        <v>186</v>
      </c>
      <c r="F644" s="32" t="s">
        <v>229</v>
      </c>
      <c r="G644" s="32" t="s">
        <v>626</v>
      </c>
    </row>
    <row r="645" ht="16.5" customHeight="1">
      <c r="A645" s="32">
        <v>644.0</v>
      </c>
      <c r="B645" s="32" t="s">
        <v>1092</v>
      </c>
      <c r="C645" s="32" t="s">
        <v>184</v>
      </c>
      <c r="D645" s="32" t="s">
        <v>228</v>
      </c>
      <c r="E645" s="32" t="s">
        <v>186</v>
      </c>
    </row>
    <row r="646" ht="16.5" customHeight="1">
      <c r="A646" s="32">
        <v>645.0</v>
      </c>
      <c r="B646" s="32" t="s">
        <v>1093</v>
      </c>
      <c r="C646" s="32" t="s">
        <v>184</v>
      </c>
      <c r="D646" s="32" t="s">
        <v>325</v>
      </c>
      <c r="E646" s="32" t="s">
        <v>186</v>
      </c>
      <c r="F646" s="32" t="s">
        <v>368</v>
      </c>
      <c r="G646" s="32" t="s">
        <v>463</v>
      </c>
    </row>
    <row r="647" ht="16.5" customHeight="1">
      <c r="A647" s="32">
        <v>646.0</v>
      </c>
      <c r="B647" s="32" t="s">
        <v>1094</v>
      </c>
      <c r="C647" s="32" t="s">
        <v>184</v>
      </c>
      <c r="D647" s="32" t="s">
        <v>228</v>
      </c>
      <c r="E647" s="32" t="s">
        <v>186</v>
      </c>
      <c r="F647" s="32" t="s">
        <v>229</v>
      </c>
      <c r="G647" s="32" t="s">
        <v>626</v>
      </c>
    </row>
    <row r="648" ht="16.5" customHeight="1">
      <c r="A648" s="32">
        <v>647.0</v>
      </c>
      <c r="B648" s="32" t="s">
        <v>1095</v>
      </c>
      <c r="C648" s="32" t="s">
        <v>184</v>
      </c>
      <c r="D648" s="32" t="s">
        <v>228</v>
      </c>
      <c r="E648" s="32" t="s">
        <v>186</v>
      </c>
      <c r="F648" s="32" t="s">
        <v>229</v>
      </c>
      <c r="G648" s="32" t="s">
        <v>626</v>
      </c>
    </row>
    <row r="649" ht="16.5" customHeight="1">
      <c r="A649" s="32">
        <v>648.0</v>
      </c>
      <c r="B649" s="32" t="s">
        <v>1096</v>
      </c>
      <c r="C649" s="32" t="s">
        <v>184</v>
      </c>
      <c r="D649" s="32" t="s">
        <v>219</v>
      </c>
      <c r="E649" s="32" t="s">
        <v>186</v>
      </c>
      <c r="F649" s="32" t="s">
        <v>223</v>
      </c>
    </row>
    <row r="650" ht="16.5" customHeight="1">
      <c r="A650" s="32">
        <v>649.0</v>
      </c>
      <c r="B650" s="32" t="s">
        <v>1097</v>
      </c>
      <c r="C650" s="32" t="s">
        <v>184</v>
      </c>
      <c r="D650" s="32" t="s">
        <v>219</v>
      </c>
      <c r="E650" s="32" t="s">
        <v>186</v>
      </c>
      <c r="F650" s="32" t="s">
        <v>223</v>
      </c>
    </row>
    <row r="651" ht="16.5" customHeight="1">
      <c r="A651" s="32">
        <v>650.0</v>
      </c>
      <c r="B651" s="32" t="s">
        <v>1098</v>
      </c>
      <c r="C651" s="32" t="s">
        <v>184</v>
      </c>
      <c r="D651" s="32" t="s">
        <v>214</v>
      </c>
      <c r="E651" s="32" t="s">
        <v>186</v>
      </c>
      <c r="F651" s="32" t="s">
        <v>216</v>
      </c>
      <c r="G651" s="32" t="s">
        <v>217</v>
      </c>
    </row>
    <row r="652" ht="16.5" customHeight="1">
      <c r="A652" s="32">
        <v>651.0</v>
      </c>
      <c r="B652" s="32" t="s">
        <v>1099</v>
      </c>
      <c r="C652" s="32" t="s">
        <v>184</v>
      </c>
      <c r="D652" s="32" t="s">
        <v>325</v>
      </c>
      <c r="E652" s="32" t="s">
        <v>186</v>
      </c>
      <c r="F652" s="32" t="s">
        <v>1100</v>
      </c>
      <c r="G652" s="32" t="s">
        <v>463</v>
      </c>
    </row>
    <row r="653" ht="16.5" customHeight="1">
      <c r="A653" s="32">
        <v>652.0</v>
      </c>
      <c r="B653" s="32" t="s">
        <v>1101</v>
      </c>
      <c r="C653" s="32" t="s">
        <v>184</v>
      </c>
      <c r="D653" s="32" t="s">
        <v>228</v>
      </c>
      <c r="E653" s="32" t="s">
        <v>186</v>
      </c>
    </row>
    <row r="654" ht="16.5" customHeight="1">
      <c r="A654" s="32">
        <v>653.0</v>
      </c>
      <c r="B654" s="32" t="s">
        <v>1102</v>
      </c>
      <c r="C654" s="32" t="s">
        <v>184</v>
      </c>
      <c r="D654" s="32" t="s">
        <v>228</v>
      </c>
      <c r="E654" s="32" t="s">
        <v>186</v>
      </c>
      <c r="F654" s="32" t="s">
        <v>229</v>
      </c>
      <c r="G654" s="32" t="s">
        <v>230</v>
      </c>
    </row>
    <row r="655" ht="16.5" customHeight="1">
      <c r="A655" s="32">
        <v>654.0</v>
      </c>
      <c r="B655" s="32" t="s">
        <v>1103</v>
      </c>
      <c r="C655" s="32" t="s">
        <v>184</v>
      </c>
      <c r="D655" s="32" t="s">
        <v>192</v>
      </c>
      <c r="E655" s="32" t="s">
        <v>186</v>
      </c>
    </row>
    <row r="656" ht="16.5" customHeight="1">
      <c r="A656" s="32">
        <v>655.0</v>
      </c>
      <c r="B656" s="32" t="s">
        <v>1104</v>
      </c>
      <c r="C656" s="32" t="s">
        <v>184</v>
      </c>
      <c r="D656" s="32" t="s">
        <v>254</v>
      </c>
      <c r="E656" s="32" t="s">
        <v>186</v>
      </c>
      <c r="F656" s="32" t="s">
        <v>257</v>
      </c>
      <c r="G656" s="32" t="s">
        <v>271</v>
      </c>
    </row>
    <row r="657" ht="16.5" customHeight="1">
      <c r="A657" s="32">
        <v>656.0</v>
      </c>
      <c r="B657" s="32" t="s">
        <v>1105</v>
      </c>
      <c r="C657" s="32" t="s">
        <v>184</v>
      </c>
      <c r="D657" s="32" t="s">
        <v>254</v>
      </c>
      <c r="E657" s="32" t="s">
        <v>186</v>
      </c>
      <c r="F657" s="32" t="s">
        <v>257</v>
      </c>
      <c r="G657" s="32" t="s">
        <v>271</v>
      </c>
    </row>
    <row r="658" ht="16.5" customHeight="1">
      <c r="A658" s="32">
        <v>657.0</v>
      </c>
      <c r="B658" s="32" t="s">
        <v>1106</v>
      </c>
      <c r="C658" s="32" t="s">
        <v>184</v>
      </c>
      <c r="D658" s="32" t="s">
        <v>219</v>
      </c>
      <c r="E658" s="32" t="s">
        <v>186</v>
      </c>
      <c r="F658" s="32" t="s">
        <v>241</v>
      </c>
      <c r="G658" s="32" t="s">
        <v>232</v>
      </c>
    </row>
    <row r="659" ht="16.5" customHeight="1">
      <c r="A659" s="32">
        <v>658.0</v>
      </c>
      <c r="B659" s="32" t="s">
        <v>1107</v>
      </c>
      <c r="C659" s="32" t="s">
        <v>184</v>
      </c>
      <c r="D659" s="32" t="s">
        <v>228</v>
      </c>
      <c r="E659" s="32" t="s">
        <v>186</v>
      </c>
      <c r="F659" s="32" t="s">
        <v>229</v>
      </c>
      <c r="G659" s="32" t="s">
        <v>230</v>
      </c>
    </row>
    <row r="660" ht="16.5" customHeight="1">
      <c r="A660" s="32">
        <v>659.0</v>
      </c>
      <c r="B660" s="32" t="s">
        <v>1108</v>
      </c>
      <c r="C660" s="32" t="s">
        <v>184</v>
      </c>
      <c r="D660" s="32" t="s">
        <v>228</v>
      </c>
      <c r="E660" s="32" t="s">
        <v>186</v>
      </c>
    </row>
    <row r="661" ht="16.5" customHeight="1">
      <c r="A661" s="32">
        <v>660.0</v>
      </c>
      <c r="B661" s="32" t="s">
        <v>1109</v>
      </c>
      <c r="C661" s="32" t="s">
        <v>184</v>
      </c>
      <c r="D661" s="32" t="s">
        <v>219</v>
      </c>
      <c r="E661" s="32" t="s">
        <v>186</v>
      </c>
      <c r="F661" s="32" t="s">
        <v>217</v>
      </c>
      <c r="G661" s="32" t="s">
        <v>216</v>
      </c>
    </row>
    <row r="662" ht="16.5" customHeight="1">
      <c r="A662" s="32">
        <v>661.0</v>
      </c>
      <c r="B662" s="32" t="s">
        <v>1110</v>
      </c>
      <c r="C662" s="32" t="s">
        <v>184</v>
      </c>
      <c r="D662" s="35" t="s">
        <v>294</v>
      </c>
      <c r="E662" s="32" t="s">
        <v>186</v>
      </c>
    </row>
    <row r="663" ht="16.5" customHeight="1">
      <c r="A663" s="32">
        <v>662.0</v>
      </c>
      <c r="B663" s="32" t="s">
        <v>1111</v>
      </c>
      <c r="C663" s="32" t="s">
        <v>184</v>
      </c>
      <c r="D663" s="32" t="s">
        <v>285</v>
      </c>
      <c r="E663" s="32" t="s">
        <v>186</v>
      </c>
      <c r="F663" s="32" t="s">
        <v>189</v>
      </c>
      <c r="G663" s="32" t="s">
        <v>190</v>
      </c>
    </row>
    <row r="664" ht="16.5" customHeight="1">
      <c r="A664" s="32">
        <v>663.0</v>
      </c>
      <c r="B664" s="32" t="s">
        <v>1112</v>
      </c>
      <c r="C664" s="32" t="s">
        <v>184</v>
      </c>
      <c r="D664" s="32" t="s">
        <v>185</v>
      </c>
      <c r="E664" s="32" t="s">
        <v>186</v>
      </c>
    </row>
    <row r="665" ht="16.5" customHeight="1">
      <c r="A665" s="32">
        <v>664.0</v>
      </c>
      <c r="B665" s="32" t="s">
        <v>1113</v>
      </c>
      <c r="C665" s="32" t="s">
        <v>184</v>
      </c>
      <c r="D665" s="32" t="s">
        <v>285</v>
      </c>
      <c r="E665" s="32" t="s">
        <v>186</v>
      </c>
      <c r="F665" s="32" t="s">
        <v>1114</v>
      </c>
      <c r="G665" s="32" t="s">
        <v>1115</v>
      </c>
    </row>
    <row r="666" ht="16.5" customHeight="1">
      <c r="A666" s="32">
        <v>665.0</v>
      </c>
      <c r="B666" s="32" t="s">
        <v>1116</v>
      </c>
      <c r="C666" s="32" t="s">
        <v>184</v>
      </c>
      <c r="D666" s="32" t="s">
        <v>185</v>
      </c>
      <c r="E666" s="32" t="s">
        <v>186</v>
      </c>
      <c r="F666" s="32" t="s">
        <v>267</v>
      </c>
      <c r="G666" s="32" t="s">
        <v>188</v>
      </c>
    </row>
    <row r="667" ht="16.5" customHeight="1">
      <c r="A667" s="32">
        <v>666.0</v>
      </c>
      <c r="B667" s="32" t="s">
        <v>1117</v>
      </c>
      <c r="C667" s="32" t="s">
        <v>184</v>
      </c>
      <c r="D667" s="32" t="s">
        <v>285</v>
      </c>
      <c r="E667" s="32" t="s">
        <v>186</v>
      </c>
      <c r="F667" s="32" t="s">
        <v>227</v>
      </c>
      <c r="G667" s="32" t="s">
        <v>857</v>
      </c>
    </row>
    <row r="668" ht="16.5" customHeight="1">
      <c r="A668" s="32">
        <v>667.0</v>
      </c>
      <c r="B668" s="32" t="s">
        <v>1118</v>
      </c>
      <c r="C668" s="32" t="s">
        <v>184</v>
      </c>
      <c r="D668" s="32" t="s">
        <v>185</v>
      </c>
      <c r="E668" s="32" t="s">
        <v>186</v>
      </c>
      <c r="F668" s="32" t="s">
        <v>267</v>
      </c>
      <c r="G668" s="32" t="s">
        <v>188</v>
      </c>
    </row>
    <row r="669" ht="16.5" customHeight="1">
      <c r="A669" s="32">
        <v>668.0</v>
      </c>
      <c r="B669" s="32" t="s">
        <v>1119</v>
      </c>
      <c r="C669" s="32" t="s">
        <v>184</v>
      </c>
      <c r="D669" s="32" t="s">
        <v>285</v>
      </c>
      <c r="E669" s="32" t="s">
        <v>186</v>
      </c>
    </row>
    <row r="670" ht="16.5" customHeight="1">
      <c r="A670" s="32">
        <v>669.0</v>
      </c>
      <c r="B670" s="32" t="s">
        <v>1120</v>
      </c>
      <c r="C670" s="32" t="s">
        <v>184</v>
      </c>
      <c r="D670" s="32" t="s">
        <v>185</v>
      </c>
      <c r="E670" s="32" t="s">
        <v>186</v>
      </c>
      <c r="F670" s="32" t="s">
        <v>189</v>
      </c>
      <c r="G670" s="32" t="s">
        <v>1121</v>
      </c>
    </row>
    <row r="671" ht="16.5" customHeight="1">
      <c r="A671" s="32">
        <v>670.0</v>
      </c>
      <c r="B671" s="32" t="s">
        <v>1122</v>
      </c>
      <c r="C671" s="32" t="s">
        <v>184</v>
      </c>
      <c r="D671" s="35" t="s">
        <v>294</v>
      </c>
      <c r="E671" s="32" t="s">
        <v>186</v>
      </c>
      <c r="F671" s="32" t="s">
        <v>189</v>
      </c>
      <c r="G671" s="32" t="s">
        <v>1121</v>
      </c>
    </row>
    <row r="672" ht="16.5" customHeight="1">
      <c r="A672" s="32">
        <v>671.0</v>
      </c>
      <c r="B672" s="32" t="s">
        <v>1123</v>
      </c>
      <c r="C672" s="32" t="s">
        <v>184</v>
      </c>
      <c r="D672" s="32" t="s">
        <v>185</v>
      </c>
      <c r="E672" s="32" t="s">
        <v>186</v>
      </c>
    </row>
    <row r="673" ht="16.5" customHeight="1">
      <c r="A673" s="32">
        <v>672.0</v>
      </c>
      <c r="B673" s="32" t="s">
        <v>1124</v>
      </c>
      <c r="C673" s="32" t="s">
        <v>184</v>
      </c>
      <c r="D673" s="32" t="s">
        <v>185</v>
      </c>
      <c r="E673" s="32" t="s">
        <v>186</v>
      </c>
    </row>
    <row r="674" ht="16.5" customHeight="1">
      <c r="A674" s="32">
        <v>673.0</v>
      </c>
      <c r="B674" s="32" t="s">
        <v>1125</v>
      </c>
      <c r="C674" s="32" t="s">
        <v>184</v>
      </c>
      <c r="D674" s="32" t="s">
        <v>185</v>
      </c>
      <c r="E674" s="32" t="s">
        <v>186</v>
      </c>
      <c r="F674" s="32" t="s">
        <v>267</v>
      </c>
      <c r="G674" s="32" t="s">
        <v>975</v>
      </c>
    </row>
    <row r="675" ht="16.5" customHeight="1">
      <c r="A675" s="32">
        <v>674.0</v>
      </c>
      <c r="B675" s="32" t="s">
        <v>1126</v>
      </c>
      <c r="C675" s="32" t="s">
        <v>184</v>
      </c>
      <c r="D675" s="32" t="s">
        <v>285</v>
      </c>
      <c r="E675" s="32" t="s">
        <v>186</v>
      </c>
      <c r="F675" s="32" t="s">
        <v>189</v>
      </c>
      <c r="G675" s="32" t="s">
        <v>1127</v>
      </c>
    </row>
    <row r="676" ht="16.5" customHeight="1">
      <c r="A676" s="32">
        <v>675.0</v>
      </c>
      <c r="B676" s="32" t="s">
        <v>1128</v>
      </c>
      <c r="C676" s="32" t="s">
        <v>184</v>
      </c>
      <c r="D676" s="35" t="s">
        <v>1129</v>
      </c>
      <c r="E676" s="32" t="s">
        <v>186</v>
      </c>
      <c r="F676" s="32" t="s">
        <v>793</v>
      </c>
      <c r="G676" s="32" t="s">
        <v>1130</v>
      </c>
    </row>
    <row r="677" ht="16.5" customHeight="1">
      <c r="A677" s="32">
        <v>676.0</v>
      </c>
      <c r="B677" s="32" t="s">
        <v>50</v>
      </c>
      <c r="C677" s="32" t="s">
        <v>184</v>
      </c>
      <c r="D677" s="32" t="s">
        <v>228</v>
      </c>
      <c r="E677" s="32" t="s">
        <v>186</v>
      </c>
      <c r="F677" s="32" t="s">
        <v>544</v>
      </c>
      <c r="G677" s="32" t="s">
        <v>713</v>
      </c>
    </row>
    <row r="678" ht="16.5" customHeight="1">
      <c r="A678" s="32">
        <v>677.0</v>
      </c>
      <c r="B678" s="32" t="s">
        <v>1131</v>
      </c>
      <c r="C678" s="32" t="s">
        <v>184</v>
      </c>
      <c r="D678" s="32" t="s">
        <v>228</v>
      </c>
      <c r="E678" s="32" t="s">
        <v>186</v>
      </c>
    </row>
    <row r="679" ht="16.5" customHeight="1">
      <c r="A679" s="32">
        <v>678.0</v>
      </c>
      <c r="B679" s="32" t="s">
        <v>1132</v>
      </c>
      <c r="C679" s="32" t="s">
        <v>184</v>
      </c>
      <c r="D679" s="32" t="s">
        <v>228</v>
      </c>
      <c r="E679" s="32" t="s">
        <v>186</v>
      </c>
      <c r="F679" s="32" t="s">
        <v>544</v>
      </c>
      <c r="G679" s="32" t="s">
        <v>1133</v>
      </c>
    </row>
    <row r="680" ht="16.5" customHeight="1">
      <c r="A680" s="32">
        <v>679.0</v>
      </c>
      <c r="B680" s="32" t="s">
        <v>1134</v>
      </c>
      <c r="C680" s="32" t="s">
        <v>184</v>
      </c>
      <c r="D680" s="32" t="s">
        <v>228</v>
      </c>
      <c r="E680" s="32" t="s">
        <v>186</v>
      </c>
      <c r="F680" s="32" t="s">
        <v>544</v>
      </c>
      <c r="G680" s="32" t="s">
        <v>713</v>
      </c>
    </row>
    <row r="681" ht="16.5" customHeight="1">
      <c r="A681" s="32">
        <v>680.0</v>
      </c>
      <c r="B681" s="32" t="s">
        <v>1135</v>
      </c>
      <c r="C681" s="32" t="s">
        <v>184</v>
      </c>
      <c r="D681" s="32" t="s">
        <v>234</v>
      </c>
      <c r="E681" s="32" t="s">
        <v>186</v>
      </c>
      <c r="F681" s="32" t="s">
        <v>235</v>
      </c>
      <c r="G681" s="32" t="s">
        <v>243</v>
      </c>
    </row>
    <row r="682" ht="16.5" customHeight="1">
      <c r="A682" s="32">
        <v>681.0</v>
      </c>
      <c r="B682" s="32" t="s">
        <v>1136</v>
      </c>
      <c r="C682" s="32" t="s">
        <v>184</v>
      </c>
      <c r="D682" s="32" t="s">
        <v>185</v>
      </c>
      <c r="E682" s="32" t="s">
        <v>186</v>
      </c>
    </row>
    <row r="683" ht="16.5" customHeight="1">
      <c r="A683" s="32">
        <v>682.0</v>
      </c>
      <c r="B683" s="32" t="s">
        <v>1137</v>
      </c>
      <c r="C683" s="32" t="s">
        <v>184</v>
      </c>
      <c r="D683" s="32" t="s">
        <v>185</v>
      </c>
      <c r="E683" s="32" t="s">
        <v>186</v>
      </c>
      <c r="F683" s="32" t="s">
        <v>189</v>
      </c>
      <c r="G683" s="32" t="s">
        <v>314</v>
      </c>
    </row>
    <row r="684" ht="16.5" customHeight="1">
      <c r="A684" s="32">
        <v>683.0</v>
      </c>
      <c r="B684" s="32" t="s">
        <v>1138</v>
      </c>
      <c r="C684" s="32" t="s">
        <v>184</v>
      </c>
      <c r="D684" s="32" t="s">
        <v>285</v>
      </c>
      <c r="E684" s="32" t="s">
        <v>186</v>
      </c>
      <c r="F684" s="32" t="s">
        <v>189</v>
      </c>
      <c r="G684" s="32" t="s">
        <v>314</v>
      </c>
    </row>
    <row r="685" ht="16.5" customHeight="1">
      <c r="A685" s="32">
        <v>684.0</v>
      </c>
      <c r="B685" s="32" t="s">
        <v>1139</v>
      </c>
      <c r="C685" s="32" t="s">
        <v>184</v>
      </c>
      <c r="D685" s="35" t="s">
        <v>691</v>
      </c>
      <c r="E685" s="32" t="s">
        <v>186</v>
      </c>
      <c r="F685" s="32" t="s">
        <v>793</v>
      </c>
      <c r="G685" s="32" t="s">
        <v>1140</v>
      </c>
    </row>
    <row r="686" ht="16.5" customHeight="1">
      <c r="A686" s="32">
        <v>685.0</v>
      </c>
      <c r="B686" s="32" t="s">
        <v>1141</v>
      </c>
      <c r="C686" s="32" t="s">
        <v>184</v>
      </c>
      <c r="D686" s="32" t="s">
        <v>234</v>
      </c>
      <c r="E686" s="32" t="s">
        <v>186</v>
      </c>
      <c r="F686" s="32" t="s">
        <v>347</v>
      </c>
      <c r="G686" s="32" t="s">
        <v>382</v>
      </c>
    </row>
    <row r="687" ht="16.5" customHeight="1">
      <c r="A687" s="32">
        <v>686.0</v>
      </c>
      <c r="B687" s="32" t="s">
        <v>1142</v>
      </c>
      <c r="C687" s="32" t="s">
        <v>184</v>
      </c>
      <c r="D687" s="32" t="s">
        <v>228</v>
      </c>
      <c r="E687" s="32" t="s">
        <v>186</v>
      </c>
      <c r="F687" s="32" t="s">
        <v>544</v>
      </c>
      <c r="G687" s="32" t="s">
        <v>1143</v>
      </c>
    </row>
    <row r="688" ht="16.5" customHeight="1">
      <c r="A688" s="32">
        <v>687.0</v>
      </c>
      <c r="B688" s="32" t="s">
        <v>1144</v>
      </c>
      <c r="C688" s="32" t="s">
        <v>184</v>
      </c>
      <c r="D688" s="32" t="s">
        <v>192</v>
      </c>
      <c r="E688" s="32" t="s">
        <v>186</v>
      </c>
    </row>
    <row r="689" ht="16.5" customHeight="1">
      <c r="A689" s="32">
        <v>688.0</v>
      </c>
      <c r="B689" s="32" t="s">
        <v>823</v>
      </c>
      <c r="C689" s="32" t="s">
        <v>184</v>
      </c>
      <c r="D689" s="32" t="s">
        <v>234</v>
      </c>
      <c r="E689" s="32" t="s">
        <v>186</v>
      </c>
      <c r="F689" s="32" t="s">
        <v>347</v>
      </c>
      <c r="G689" s="32" t="s">
        <v>382</v>
      </c>
    </row>
    <row r="690" ht="16.5" customHeight="1">
      <c r="A690" s="32">
        <v>689.0</v>
      </c>
      <c r="B690" s="32" t="s">
        <v>1145</v>
      </c>
      <c r="C690" s="32" t="s">
        <v>184</v>
      </c>
      <c r="D690" s="32" t="s">
        <v>192</v>
      </c>
      <c r="E690" s="32" t="s">
        <v>186</v>
      </c>
      <c r="F690" s="32" t="s">
        <v>238</v>
      </c>
      <c r="G690" s="32" t="s">
        <v>239</v>
      </c>
    </row>
    <row r="691" ht="16.5" customHeight="1">
      <c r="A691" s="32">
        <v>690.0</v>
      </c>
      <c r="B691" s="32" t="s">
        <v>1146</v>
      </c>
      <c r="C691" s="32" t="s">
        <v>184</v>
      </c>
      <c r="D691" s="32" t="s">
        <v>285</v>
      </c>
      <c r="E691" s="32" t="s">
        <v>186</v>
      </c>
      <c r="F691" s="32" t="s">
        <v>552</v>
      </c>
      <c r="G691" s="32" t="s">
        <v>553</v>
      </c>
    </row>
    <row r="692" ht="16.5" customHeight="1">
      <c r="A692" s="32">
        <v>691.0</v>
      </c>
      <c r="B692" s="32" t="s">
        <v>1147</v>
      </c>
      <c r="C692" s="32" t="s">
        <v>184</v>
      </c>
      <c r="D692" s="35" t="s">
        <v>294</v>
      </c>
      <c r="E692" s="32" t="s">
        <v>186</v>
      </c>
    </row>
    <row r="693" ht="16.5" customHeight="1">
      <c r="A693" s="32">
        <v>692.0</v>
      </c>
      <c r="B693" s="32" t="s">
        <v>1148</v>
      </c>
      <c r="C693" s="32" t="s">
        <v>184</v>
      </c>
      <c r="D693" s="32" t="s">
        <v>185</v>
      </c>
      <c r="E693" s="32" t="s">
        <v>186</v>
      </c>
    </row>
    <row r="694" ht="16.5" customHeight="1">
      <c r="A694" s="32">
        <v>693.0</v>
      </c>
      <c r="B694" s="32" t="s">
        <v>1149</v>
      </c>
      <c r="C694" s="32" t="s">
        <v>184</v>
      </c>
      <c r="D694" s="32" t="s">
        <v>219</v>
      </c>
      <c r="E694" s="32" t="s">
        <v>186</v>
      </c>
      <c r="F694" s="32" t="s">
        <v>241</v>
      </c>
      <c r="G694" s="32" t="s">
        <v>242</v>
      </c>
    </row>
    <row r="695" ht="16.5" customHeight="1">
      <c r="A695" s="32">
        <v>694.0</v>
      </c>
      <c r="B695" s="32" t="s">
        <v>1150</v>
      </c>
      <c r="C695" s="32" t="s">
        <v>184</v>
      </c>
      <c r="D695" s="32" t="s">
        <v>228</v>
      </c>
      <c r="E695" s="32" t="s">
        <v>186</v>
      </c>
      <c r="F695" s="32" t="s">
        <v>544</v>
      </c>
      <c r="G695" s="32" t="s">
        <v>1151</v>
      </c>
    </row>
    <row r="696" ht="16.5" customHeight="1">
      <c r="A696" s="32">
        <v>695.0</v>
      </c>
      <c r="B696" s="32" t="s">
        <v>1152</v>
      </c>
      <c r="C696" s="32" t="s">
        <v>184</v>
      </c>
      <c r="D696" s="32" t="s">
        <v>214</v>
      </c>
      <c r="E696" s="32" t="s">
        <v>186</v>
      </c>
      <c r="F696" s="32" t="s">
        <v>720</v>
      </c>
    </row>
    <row r="697" ht="16.5" customHeight="1">
      <c r="A697" s="32">
        <v>696.0</v>
      </c>
      <c r="B697" s="32" t="s">
        <v>1153</v>
      </c>
      <c r="C697" s="32" t="s">
        <v>184</v>
      </c>
      <c r="D697" s="32" t="s">
        <v>214</v>
      </c>
      <c r="E697" s="32" t="s">
        <v>186</v>
      </c>
      <c r="F697" s="32" t="s">
        <v>720</v>
      </c>
    </row>
    <row r="698" ht="16.5" customHeight="1">
      <c r="A698" s="32">
        <v>697.0</v>
      </c>
      <c r="B698" s="32" t="s">
        <v>1154</v>
      </c>
      <c r="C698" s="32" t="s">
        <v>184</v>
      </c>
      <c r="D698" s="32" t="s">
        <v>214</v>
      </c>
      <c r="E698" s="32" t="s">
        <v>186</v>
      </c>
      <c r="F698" s="32" t="s">
        <v>720</v>
      </c>
    </row>
    <row r="699" ht="16.5" customHeight="1">
      <c r="A699" s="32">
        <v>698.0</v>
      </c>
      <c r="B699" s="32" t="s">
        <v>1155</v>
      </c>
      <c r="C699" s="32" t="s">
        <v>184</v>
      </c>
      <c r="D699" s="32" t="s">
        <v>228</v>
      </c>
      <c r="E699" s="32" t="s">
        <v>186</v>
      </c>
    </row>
    <row r="700" ht="16.5" customHeight="1">
      <c r="A700" s="32">
        <v>699.0</v>
      </c>
      <c r="B700" s="32" t="s">
        <v>1156</v>
      </c>
      <c r="C700" s="32" t="s">
        <v>184</v>
      </c>
      <c r="D700" s="32" t="s">
        <v>285</v>
      </c>
      <c r="E700" s="32" t="s">
        <v>186</v>
      </c>
    </row>
    <row r="701" ht="16.5" customHeight="1">
      <c r="A701" s="32">
        <v>700.0</v>
      </c>
      <c r="B701" s="32" t="s">
        <v>1157</v>
      </c>
      <c r="C701" s="32" t="s">
        <v>184</v>
      </c>
      <c r="D701" s="32" t="s">
        <v>185</v>
      </c>
      <c r="E701" s="32" t="s">
        <v>186</v>
      </c>
    </row>
    <row r="702" ht="16.5" customHeight="1">
      <c r="A702" s="32">
        <v>701.0</v>
      </c>
      <c r="B702" s="32" t="s">
        <v>1158</v>
      </c>
      <c r="C702" s="32" t="s">
        <v>184</v>
      </c>
      <c r="D702" s="32" t="s">
        <v>185</v>
      </c>
      <c r="E702" s="32" t="s">
        <v>186</v>
      </c>
      <c r="F702" s="32" t="s">
        <v>189</v>
      </c>
      <c r="G702" s="32" t="s">
        <v>190</v>
      </c>
    </row>
    <row r="703" ht="16.5" customHeight="1">
      <c r="A703" s="32">
        <v>702.0</v>
      </c>
      <c r="B703" s="32" t="s">
        <v>1159</v>
      </c>
      <c r="C703" s="32" t="s">
        <v>184</v>
      </c>
      <c r="D703" s="32" t="s">
        <v>228</v>
      </c>
      <c r="E703" s="32" t="s">
        <v>1160</v>
      </c>
      <c r="F703" s="32" t="s">
        <v>408</v>
      </c>
      <c r="G703" s="32" t="s">
        <v>490</v>
      </c>
    </row>
    <row r="704" ht="16.5" customHeight="1">
      <c r="A704" s="32">
        <v>703.0</v>
      </c>
      <c r="B704" s="32" t="s">
        <v>1161</v>
      </c>
      <c r="C704" s="32" t="s">
        <v>184</v>
      </c>
      <c r="D704" s="32" t="s">
        <v>1162</v>
      </c>
      <c r="E704" s="32" t="s">
        <v>1163</v>
      </c>
    </row>
    <row r="705" ht="16.5" customHeight="1">
      <c r="A705" s="32">
        <v>704.0</v>
      </c>
      <c r="B705" s="32" t="s">
        <v>1164</v>
      </c>
      <c r="C705" s="32" t="s">
        <v>184</v>
      </c>
      <c r="D705" s="35" t="s">
        <v>1165</v>
      </c>
      <c r="E705" s="32" t="s">
        <v>1163</v>
      </c>
    </row>
    <row r="706" ht="16.5" customHeight="1">
      <c r="A706" s="32">
        <v>705.0</v>
      </c>
      <c r="B706" s="32" t="s">
        <v>1166</v>
      </c>
      <c r="C706" s="32" t="s">
        <v>184</v>
      </c>
      <c r="D706" s="35" t="s">
        <v>1165</v>
      </c>
      <c r="E706" s="32" t="s">
        <v>1163</v>
      </c>
    </row>
    <row r="707" ht="16.5" customHeight="1">
      <c r="A707" s="32">
        <v>706.0</v>
      </c>
      <c r="B707" s="32" t="s">
        <v>1167</v>
      </c>
      <c r="C707" s="32" t="s">
        <v>184</v>
      </c>
      <c r="D707" s="35" t="s">
        <v>1168</v>
      </c>
      <c r="E707" s="32" t="s">
        <v>1163</v>
      </c>
    </row>
    <row r="708" ht="16.5" customHeight="1">
      <c r="A708" s="32">
        <v>707.0</v>
      </c>
      <c r="B708" s="32" t="s">
        <v>1169</v>
      </c>
      <c r="C708" s="32" t="s">
        <v>184</v>
      </c>
      <c r="D708" s="35" t="s">
        <v>1170</v>
      </c>
      <c r="E708" s="32" t="s">
        <v>1163</v>
      </c>
    </row>
    <row r="709" ht="16.5" customHeight="1">
      <c r="A709" s="32">
        <v>708.0</v>
      </c>
      <c r="B709" s="32" t="s">
        <v>1171</v>
      </c>
      <c r="C709" s="32" t="s">
        <v>184</v>
      </c>
      <c r="D709" s="35" t="s">
        <v>1172</v>
      </c>
      <c r="E709" s="32" t="s">
        <v>1163</v>
      </c>
    </row>
    <row r="710" ht="16.5" customHeight="1">
      <c r="A710" s="32">
        <v>709.0</v>
      </c>
      <c r="B710" s="32" t="s">
        <v>1173</v>
      </c>
      <c r="C710" s="32" t="s">
        <v>184</v>
      </c>
      <c r="D710" s="35" t="s">
        <v>1174</v>
      </c>
      <c r="E710" s="32" t="s">
        <v>1163</v>
      </c>
    </row>
    <row r="711" ht="16.5" customHeight="1">
      <c r="A711" s="32">
        <v>710.0</v>
      </c>
      <c r="B711" s="32" t="s">
        <v>1175</v>
      </c>
      <c r="C711" s="32" t="s">
        <v>184</v>
      </c>
      <c r="D711" s="35" t="s">
        <v>1172</v>
      </c>
      <c r="E711" s="32" t="s">
        <v>1163</v>
      </c>
    </row>
    <row r="712" ht="16.5" customHeight="1">
      <c r="A712" s="32">
        <v>711.0</v>
      </c>
      <c r="B712" s="32" t="s">
        <v>1176</v>
      </c>
      <c r="C712" s="32" t="s">
        <v>184</v>
      </c>
      <c r="D712" s="35" t="s">
        <v>1177</v>
      </c>
      <c r="E712" s="32" t="s">
        <v>1163</v>
      </c>
    </row>
    <row r="713" ht="16.5" customHeight="1">
      <c r="A713" s="32">
        <v>712.0</v>
      </c>
      <c r="B713" s="32" t="s">
        <v>1178</v>
      </c>
      <c r="C713" s="32" t="s">
        <v>184</v>
      </c>
      <c r="D713" s="32" t="s">
        <v>254</v>
      </c>
      <c r="E713" s="32" t="s">
        <v>1163</v>
      </c>
    </row>
    <row r="714" ht="16.5" customHeight="1">
      <c r="A714" s="32">
        <v>713.0</v>
      </c>
      <c r="B714" s="32" t="s">
        <v>1179</v>
      </c>
      <c r="C714" s="32" t="s">
        <v>184</v>
      </c>
      <c r="D714" s="35" t="s">
        <v>1177</v>
      </c>
      <c r="E714" s="32" t="s">
        <v>1163</v>
      </c>
    </row>
    <row r="715" ht="16.5" customHeight="1">
      <c r="A715" s="32">
        <v>714.0</v>
      </c>
      <c r="B715" s="32" t="s">
        <v>1180</v>
      </c>
      <c r="C715" s="32" t="s">
        <v>184</v>
      </c>
      <c r="D715" s="32" t="s">
        <v>219</v>
      </c>
      <c r="E715" s="32" t="s">
        <v>255</v>
      </c>
      <c r="F715" s="32" t="s">
        <v>223</v>
      </c>
      <c r="G715" s="32" t="s">
        <v>1181</v>
      </c>
    </row>
    <row r="716" ht="16.5" customHeight="1">
      <c r="A716" s="32">
        <v>715.0</v>
      </c>
      <c r="B716" s="32" t="s">
        <v>1182</v>
      </c>
      <c r="C716" s="32" t="s">
        <v>184</v>
      </c>
      <c r="D716" s="32" t="s">
        <v>219</v>
      </c>
      <c r="E716" s="32" t="s">
        <v>255</v>
      </c>
      <c r="F716" s="32" t="s">
        <v>223</v>
      </c>
      <c r="G716" s="32" t="s">
        <v>1183</v>
      </c>
    </row>
    <row r="717" ht="16.5" customHeight="1">
      <c r="A717" s="32">
        <v>716.0</v>
      </c>
      <c r="B717" s="32" t="s">
        <v>1184</v>
      </c>
      <c r="C717" s="32" t="s">
        <v>184</v>
      </c>
      <c r="D717" s="32" t="s">
        <v>219</v>
      </c>
      <c r="E717" s="32" t="s">
        <v>255</v>
      </c>
    </row>
    <row r="718" ht="16.5" customHeight="1">
      <c r="A718" s="32">
        <v>717.0</v>
      </c>
      <c r="B718" s="32" t="s">
        <v>1185</v>
      </c>
      <c r="C718" s="32" t="s">
        <v>184</v>
      </c>
      <c r="D718" s="32" t="s">
        <v>219</v>
      </c>
      <c r="E718" s="32" t="s">
        <v>255</v>
      </c>
      <c r="F718" s="32" t="s">
        <v>223</v>
      </c>
      <c r="G718" s="32" t="s">
        <v>394</v>
      </c>
    </row>
    <row r="719" ht="16.5" customHeight="1">
      <c r="A719" s="32">
        <v>718.0</v>
      </c>
      <c r="B719" s="32" t="s">
        <v>1186</v>
      </c>
      <c r="C719" s="32" t="s">
        <v>184</v>
      </c>
      <c r="D719" s="32" t="s">
        <v>219</v>
      </c>
      <c r="E719" s="32" t="s">
        <v>255</v>
      </c>
      <c r="F719" s="32" t="s">
        <v>223</v>
      </c>
      <c r="G719" s="32" t="s">
        <v>394</v>
      </c>
    </row>
    <row r="720" ht="16.5" customHeight="1">
      <c r="A720" s="32">
        <v>719.0</v>
      </c>
      <c r="B720" s="32" t="s">
        <v>1187</v>
      </c>
      <c r="C720" s="32" t="s">
        <v>184</v>
      </c>
      <c r="D720" s="32" t="s">
        <v>219</v>
      </c>
      <c r="E720" s="32" t="s">
        <v>255</v>
      </c>
      <c r="F720" s="32" t="s">
        <v>223</v>
      </c>
      <c r="G720" s="32" t="s">
        <v>1188</v>
      </c>
    </row>
    <row r="721" ht="16.5" customHeight="1">
      <c r="A721" s="32">
        <v>720.0</v>
      </c>
      <c r="B721" s="32" t="s">
        <v>1189</v>
      </c>
      <c r="C721" s="32" t="s">
        <v>184</v>
      </c>
      <c r="D721" s="32" t="s">
        <v>219</v>
      </c>
      <c r="E721" s="32" t="s">
        <v>255</v>
      </c>
      <c r="F721" s="32" t="s">
        <v>223</v>
      </c>
      <c r="G721" s="32" t="s">
        <v>1190</v>
      </c>
    </row>
    <row r="722" ht="16.5" customHeight="1">
      <c r="A722" s="32">
        <v>721.0</v>
      </c>
      <c r="B722" s="32" t="s">
        <v>1191</v>
      </c>
      <c r="C722" s="32" t="s">
        <v>184</v>
      </c>
      <c r="D722" s="32" t="s">
        <v>219</v>
      </c>
      <c r="E722" s="32" t="s">
        <v>255</v>
      </c>
      <c r="F722" s="32" t="s">
        <v>223</v>
      </c>
      <c r="G722" s="32" t="s">
        <v>1188</v>
      </c>
    </row>
    <row r="723" ht="16.5" customHeight="1">
      <c r="A723" s="32">
        <v>722.0</v>
      </c>
      <c r="B723" s="32" t="s">
        <v>1192</v>
      </c>
      <c r="C723" s="32" t="s">
        <v>184</v>
      </c>
      <c r="D723" s="35" t="s">
        <v>294</v>
      </c>
      <c r="E723" s="32" t="s">
        <v>255</v>
      </c>
    </row>
    <row r="724" ht="16.5" customHeight="1">
      <c r="A724" s="32">
        <v>723.0</v>
      </c>
      <c r="B724" s="32" t="s">
        <v>1193</v>
      </c>
      <c r="C724" s="32" t="s">
        <v>184</v>
      </c>
      <c r="D724" s="32" t="s">
        <v>185</v>
      </c>
      <c r="E724" s="32" t="s">
        <v>255</v>
      </c>
      <c r="F724" s="32" t="s">
        <v>187</v>
      </c>
      <c r="G724" s="32" t="s">
        <v>188</v>
      </c>
    </row>
    <row r="725" ht="16.5" customHeight="1">
      <c r="A725" s="32">
        <v>724.0</v>
      </c>
      <c r="B725" s="32" t="s">
        <v>1194</v>
      </c>
      <c r="C725" s="32" t="s">
        <v>184</v>
      </c>
      <c r="D725" s="32" t="s">
        <v>192</v>
      </c>
      <c r="E725" s="32" t="s">
        <v>255</v>
      </c>
      <c r="F725" s="32" t="s">
        <v>300</v>
      </c>
      <c r="G725" s="32" t="s">
        <v>387</v>
      </c>
    </row>
    <row r="726" ht="16.5" customHeight="1">
      <c r="A726" s="32">
        <v>725.0</v>
      </c>
      <c r="B726" s="32" t="s">
        <v>1195</v>
      </c>
      <c r="C726" s="32" t="s">
        <v>184</v>
      </c>
      <c r="D726" s="32" t="s">
        <v>192</v>
      </c>
      <c r="E726" s="32" t="s">
        <v>255</v>
      </c>
      <c r="F726" s="32" t="s">
        <v>300</v>
      </c>
      <c r="G726" s="32" t="s">
        <v>387</v>
      </c>
    </row>
    <row r="727" ht="16.5" customHeight="1">
      <c r="A727" s="32">
        <v>726.0</v>
      </c>
      <c r="B727" s="32" t="s">
        <v>1196</v>
      </c>
      <c r="C727" s="32" t="s">
        <v>184</v>
      </c>
      <c r="D727" s="35" t="s">
        <v>310</v>
      </c>
      <c r="E727" s="32" t="s">
        <v>255</v>
      </c>
      <c r="F727" s="32" t="s">
        <v>1197</v>
      </c>
      <c r="G727" s="32" t="s">
        <v>1198</v>
      </c>
    </row>
    <row r="728" ht="16.5" customHeight="1">
      <c r="A728" s="32">
        <v>727.0</v>
      </c>
      <c r="B728" s="32" t="s">
        <v>1199</v>
      </c>
      <c r="C728" s="32" t="s">
        <v>184</v>
      </c>
      <c r="D728" s="32" t="s">
        <v>192</v>
      </c>
      <c r="E728" s="32" t="s">
        <v>255</v>
      </c>
    </row>
    <row r="729" ht="16.5" customHeight="1">
      <c r="A729" s="32">
        <v>728.0</v>
      </c>
      <c r="B729" s="32" t="s">
        <v>1200</v>
      </c>
      <c r="C729" s="32" t="s">
        <v>184</v>
      </c>
      <c r="D729" s="32" t="s">
        <v>185</v>
      </c>
      <c r="E729" s="32" t="s">
        <v>255</v>
      </c>
      <c r="F729" s="32" t="s">
        <v>1201</v>
      </c>
      <c r="G729" s="32" t="s">
        <v>1202</v>
      </c>
    </row>
    <row r="730" ht="16.5" customHeight="1">
      <c r="A730" s="32">
        <v>729.0</v>
      </c>
      <c r="B730" s="32" t="s">
        <v>1203</v>
      </c>
      <c r="C730" s="32" t="s">
        <v>184</v>
      </c>
      <c r="D730" s="32" t="s">
        <v>185</v>
      </c>
      <c r="E730" s="32" t="s">
        <v>255</v>
      </c>
      <c r="F730" s="32" t="s">
        <v>1201</v>
      </c>
      <c r="G730" s="32" t="s">
        <v>1204</v>
      </c>
    </row>
    <row r="731" ht="16.5" customHeight="1">
      <c r="A731" s="32">
        <v>730.0</v>
      </c>
      <c r="B731" s="32" t="s">
        <v>1205</v>
      </c>
      <c r="C731" s="32" t="s">
        <v>184</v>
      </c>
      <c r="D731" s="32" t="s">
        <v>185</v>
      </c>
      <c r="E731" s="32" t="s">
        <v>255</v>
      </c>
      <c r="F731" s="32" t="s">
        <v>475</v>
      </c>
      <c r="G731" s="32" t="s">
        <v>1206</v>
      </c>
    </row>
    <row r="732" ht="16.5" customHeight="1">
      <c r="A732" s="32">
        <v>731.0</v>
      </c>
      <c r="B732" s="32" t="s">
        <v>1207</v>
      </c>
      <c r="C732" s="32" t="s">
        <v>184</v>
      </c>
      <c r="D732" s="32" t="s">
        <v>185</v>
      </c>
      <c r="E732" s="32" t="s">
        <v>255</v>
      </c>
    </row>
    <row r="733" ht="16.5" customHeight="1">
      <c r="A733" s="32">
        <v>732.0</v>
      </c>
      <c r="B733" s="32" t="s">
        <v>1208</v>
      </c>
      <c r="C733" s="32" t="s">
        <v>184</v>
      </c>
      <c r="D733" s="32" t="s">
        <v>185</v>
      </c>
      <c r="E733" s="32" t="s">
        <v>255</v>
      </c>
      <c r="F733" s="32" t="s">
        <v>187</v>
      </c>
    </row>
    <row r="734" ht="16.5" customHeight="1">
      <c r="A734" s="32">
        <v>733.0</v>
      </c>
      <c r="B734" s="32" t="s">
        <v>1209</v>
      </c>
      <c r="C734" s="32" t="s">
        <v>184</v>
      </c>
      <c r="D734" s="32" t="s">
        <v>185</v>
      </c>
      <c r="E734" s="32" t="s">
        <v>255</v>
      </c>
      <c r="F734" s="32" t="s">
        <v>187</v>
      </c>
    </row>
    <row r="735" ht="16.5" customHeight="1">
      <c r="A735" s="32">
        <v>734.0</v>
      </c>
      <c r="B735" s="32" t="s">
        <v>1210</v>
      </c>
      <c r="C735" s="32" t="s">
        <v>184</v>
      </c>
      <c r="D735" s="32" t="s">
        <v>185</v>
      </c>
      <c r="E735" s="32" t="s">
        <v>255</v>
      </c>
      <c r="F735" s="32" t="s">
        <v>475</v>
      </c>
      <c r="G735" s="32" t="s">
        <v>476</v>
      </c>
    </row>
    <row r="736" ht="16.5" customHeight="1">
      <c r="A736" s="32">
        <v>735.0</v>
      </c>
      <c r="B736" s="32" t="s">
        <v>1211</v>
      </c>
      <c r="C736" s="32" t="s">
        <v>184</v>
      </c>
      <c r="D736" s="32" t="s">
        <v>185</v>
      </c>
      <c r="E736" s="32" t="s">
        <v>255</v>
      </c>
      <c r="F736" s="32" t="s">
        <v>475</v>
      </c>
      <c r="G736" s="32" t="s">
        <v>476</v>
      </c>
    </row>
    <row r="737" ht="16.5" customHeight="1">
      <c r="A737" s="32">
        <v>736.0</v>
      </c>
      <c r="B737" s="32" t="s">
        <v>1212</v>
      </c>
      <c r="C737" s="32" t="s">
        <v>184</v>
      </c>
      <c r="D737" s="32" t="s">
        <v>185</v>
      </c>
      <c r="E737" s="32" t="s">
        <v>255</v>
      </c>
      <c r="F737" s="32" t="s">
        <v>1213</v>
      </c>
      <c r="G737" s="32" t="s">
        <v>1214</v>
      </c>
    </row>
    <row r="738" ht="16.5" customHeight="1">
      <c r="A738" s="32">
        <v>737.0</v>
      </c>
      <c r="B738" s="32" t="s">
        <v>1215</v>
      </c>
      <c r="C738" s="32" t="s">
        <v>184</v>
      </c>
      <c r="D738" s="32" t="s">
        <v>254</v>
      </c>
      <c r="E738" s="32" t="s">
        <v>255</v>
      </c>
      <c r="F738" s="32" t="s">
        <v>257</v>
      </c>
    </row>
    <row r="739" ht="16.5" customHeight="1">
      <c r="A739" s="32">
        <v>738.0</v>
      </c>
      <c r="B739" s="32" t="s">
        <v>1216</v>
      </c>
      <c r="C739" s="32" t="s">
        <v>184</v>
      </c>
      <c r="D739" s="32" t="s">
        <v>254</v>
      </c>
      <c r="E739" s="32" t="s">
        <v>399</v>
      </c>
      <c r="F739" s="32" t="s">
        <v>257</v>
      </c>
    </row>
    <row r="740" ht="16.5" customHeight="1">
      <c r="A740" s="32">
        <v>739.0</v>
      </c>
      <c r="B740" s="32" t="s">
        <v>1217</v>
      </c>
      <c r="C740" s="32" t="s">
        <v>184</v>
      </c>
      <c r="D740" s="32" t="s">
        <v>254</v>
      </c>
      <c r="E740" s="32" t="s">
        <v>255</v>
      </c>
      <c r="F740" s="32" t="s">
        <v>257</v>
      </c>
    </row>
    <row r="741" ht="16.5" customHeight="1">
      <c r="A741" s="32">
        <v>740.0</v>
      </c>
      <c r="B741" s="32" t="s">
        <v>1218</v>
      </c>
      <c r="C741" s="32" t="s">
        <v>184</v>
      </c>
      <c r="D741" s="32" t="s">
        <v>192</v>
      </c>
      <c r="E741" s="32" t="s">
        <v>222</v>
      </c>
    </row>
    <row r="742" ht="16.5" customHeight="1">
      <c r="A742" s="32">
        <v>741.0</v>
      </c>
      <c r="B742" s="32" t="s">
        <v>1219</v>
      </c>
      <c r="C742" s="32" t="s">
        <v>184</v>
      </c>
      <c r="D742" s="32" t="s">
        <v>192</v>
      </c>
      <c r="E742" s="32" t="s">
        <v>255</v>
      </c>
      <c r="F742" s="32" t="s">
        <v>570</v>
      </c>
      <c r="G742" s="32" t="s">
        <v>447</v>
      </c>
    </row>
    <row r="743" ht="16.5" customHeight="1">
      <c r="A743" s="32">
        <v>742.0</v>
      </c>
      <c r="B743" s="32" t="s">
        <v>1220</v>
      </c>
      <c r="C743" s="32" t="s">
        <v>184</v>
      </c>
      <c r="D743" s="32" t="s">
        <v>219</v>
      </c>
      <c r="E743" s="32" t="s">
        <v>222</v>
      </c>
    </row>
    <row r="744" ht="16.5" customHeight="1">
      <c r="A744" s="32">
        <v>743.0</v>
      </c>
      <c r="B744" s="32" t="s">
        <v>1221</v>
      </c>
      <c r="C744" s="32" t="s">
        <v>184</v>
      </c>
      <c r="D744" s="32" t="s">
        <v>219</v>
      </c>
      <c r="E744" s="32" t="s">
        <v>255</v>
      </c>
      <c r="F744" s="32" t="s">
        <v>241</v>
      </c>
      <c r="G744" s="32" t="s">
        <v>292</v>
      </c>
    </row>
    <row r="745" ht="16.5" customHeight="1">
      <c r="A745" s="32">
        <v>744.0</v>
      </c>
      <c r="B745" s="32" t="s">
        <v>1222</v>
      </c>
      <c r="C745" s="32" t="s">
        <v>184</v>
      </c>
      <c r="D745" s="32" t="s">
        <v>219</v>
      </c>
      <c r="E745" s="32" t="s">
        <v>255</v>
      </c>
      <c r="F745" s="32" t="s">
        <v>241</v>
      </c>
      <c r="G745" s="32" t="s">
        <v>292</v>
      </c>
    </row>
    <row r="746" ht="16.5" customHeight="1">
      <c r="A746" s="32">
        <v>745.0</v>
      </c>
      <c r="B746" s="32" t="s">
        <v>1223</v>
      </c>
      <c r="C746" s="32" t="s">
        <v>184</v>
      </c>
      <c r="D746" s="32" t="s">
        <v>254</v>
      </c>
      <c r="E746" s="32" t="s">
        <v>255</v>
      </c>
      <c r="F746" s="32" t="s">
        <v>275</v>
      </c>
      <c r="G746" s="32" t="s">
        <v>1224</v>
      </c>
    </row>
    <row r="747" ht="16.5" customHeight="1">
      <c r="A747" s="32">
        <v>746.0</v>
      </c>
      <c r="B747" s="32" t="s">
        <v>1225</v>
      </c>
      <c r="C747" s="32" t="s">
        <v>184</v>
      </c>
      <c r="D747" s="32" t="s">
        <v>185</v>
      </c>
      <c r="E747" s="32" t="s">
        <v>255</v>
      </c>
    </row>
    <row r="748" ht="16.5" customHeight="1">
      <c r="A748" s="32">
        <v>747.0</v>
      </c>
      <c r="B748" s="32" t="s">
        <v>1226</v>
      </c>
      <c r="C748" s="32" t="s">
        <v>184</v>
      </c>
      <c r="D748" s="32" t="s">
        <v>192</v>
      </c>
      <c r="E748" s="32" t="s">
        <v>255</v>
      </c>
      <c r="F748" s="32" t="s">
        <v>267</v>
      </c>
      <c r="G748" s="32" t="s">
        <v>1227</v>
      </c>
    </row>
    <row r="749" ht="16.5" customHeight="1">
      <c r="A749" s="32">
        <v>748.0</v>
      </c>
      <c r="B749" s="32" t="s">
        <v>1228</v>
      </c>
      <c r="C749" s="32" t="s">
        <v>184</v>
      </c>
      <c r="D749" s="32" t="s">
        <v>234</v>
      </c>
      <c r="E749" s="32" t="s">
        <v>255</v>
      </c>
    </row>
    <row r="750" ht="16.5" customHeight="1">
      <c r="A750" s="32">
        <v>749.0</v>
      </c>
      <c r="B750" s="32" t="s">
        <v>1229</v>
      </c>
      <c r="C750" s="32" t="s">
        <v>184</v>
      </c>
      <c r="D750" s="32" t="s">
        <v>228</v>
      </c>
      <c r="E750" s="32" t="s">
        <v>255</v>
      </c>
      <c r="F750" s="32" t="s">
        <v>1230</v>
      </c>
      <c r="G750" s="32" t="s">
        <v>1231</v>
      </c>
    </row>
    <row r="751" ht="16.5" customHeight="1">
      <c r="A751" s="32">
        <v>750.0</v>
      </c>
      <c r="B751" s="32" t="s">
        <v>1232</v>
      </c>
      <c r="C751" s="32" t="s">
        <v>184</v>
      </c>
      <c r="D751" s="32" t="s">
        <v>228</v>
      </c>
      <c r="E751" s="32" t="s">
        <v>255</v>
      </c>
      <c r="F751" s="32" t="s">
        <v>223</v>
      </c>
      <c r="G751" s="32" t="s">
        <v>472</v>
      </c>
    </row>
    <row r="752" ht="16.5" customHeight="1">
      <c r="A752" s="32">
        <v>751.0</v>
      </c>
      <c r="B752" s="32" t="s">
        <v>1233</v>
      </c>
      <c r="C752" s="32" t="s">
        <v>184</v>
      </c>
      <c r="D752" s="32" t="s">
        <v>185</v>
      </c>
      <c r="E752" s="32" t="s">
        <v>255</v>
      </c>
    </row>
    <row r="753" ht="16.5" customHeight="1">
      <c r="A753" s="32">
        <v>752.0</v>
      </c>
      <c r="B753" s="32" t="s">
        <v>1234</v>
      </c>
      <c r="C753" s="32" t="s">
        <v>184</v>
      </c>
      <c r="D753" s="32" t="s">
        <v>228</v>
      </c>
      <c r="E753" s="32" t="s">
        <v>255</v>
      </c>
    </row>
    <row r="754" ht="16.5" customHeight="1">
      <c r="A754" s="32">
        <v>753.0</v>
      </c>
      <c r="B754" s="32" t="s">
        <v>1235</v>
      </c>
      <c r="C754" s="32" t="s">
        <v>184</v>
      </c>
      <c r="D754" s="35" t="s">
        <v>1236</v>
      </c>
      <c r="E754" s="32" t="s">
        <v>255</v>
      </c>
    </row>
    <row r="755" ht="16.5" customHeight="1">
      <c r="A755" s="32">
        <v>754.0</v>
      </c>
      <c r="B755" s="32" t="s">
        <v>1237</v>
      </c>
      <c r="C755" s="32" t="s">
        <v>184</v>
      </c>
      <c r="D755" s="35" t="s">
        <v>294</v>
      </c>
      <c r="E755" s="32" t="s">
        <v>255</v>
      </c>
      <c r="F755" s="32" t="s">
        <v>189</v>
      </c>
      <c r="G755" s="32" t="s">
        <v>190</v>
      </c>
    </row>
    <row r="756" ht="16.5" customHeight="1">
      <c r="A756" s="32">
        <v>755.0</v>
      </c>
      <c r="B756" s="32" t="s">
        <v>1238</v>
      </c>
      <c r="C756" s="32" t="s">
        <v>184</v>
      </c>
      <c r="D756" s="32" t="s">
        <v>285</v>
      </c>
      <c r="E756" s="32" t="s">
        <v>255</v>
      </c>
      <c r="F756" s="32" t="s">
        <v>552</v>
      </c>
      <c r="G756" s="32" t="s">
        <v>553</v>
      </c>
    </row>
    <row r="757" ht="16.5" customHeight="1">
      <c r="A757" s="32">
        <v>756.0</v>
      </c>
      <c r="B757" s="32" t="s">
        <v>1239</v>
      </c>
      <c r="C757" s="32" t="s">
        <v>184</v>
      </c>
      <c r="D757" s="32" t="s">
        <v>185</v>
      </c>
      <c r="E757" s="32" t="s">
        <v>255</v>
      </c>
      <c r="F757" s="32" t="s">
        <v>1240</v>
      </c>
      <c r="G757" s="32" t="s">
        <v>1241</v>
      </c>
    </row>
    <row r="758" ht="16.5" customHeight="1">
      <c r="A758" s="32">
        <v>757.0</v>
      </c>
      <c r="B758" s="32" t="s">
        <v>1242</v>
      </c>
      <c r="C758" s="32" t="s">
        <v>184</v>
      </c>
      <c r="D758" s="32" t="s">
        <v>321</v>
      </c>
      <c r="E758" s="32" t="s">
        <v>255</v>
      </c>
    </row>
    <row r="759" ht="16.5" customHeight="1">
      <c r="A759" s="32">
        <v>758.0</v>
      </c>
      <c r="B759" s="32" t="s">
        <v>1243</v>
      </c>
      <c r="C759" s="32" t="s">
        <v>184</v>
      </c>
      <c r="D759" s="35" t="s">
        <v>294</v>
      </c>
      <c r="E759" s="32" t="s">
        <v>255</v>
      </c>
      <c r="F759" s="32" t="s">
        <v>189</v>
      </c>
      <c r="G759" s="32" t="s">
        <v>190</v>
      </c>
    </row>
    <row r="760" ht="16.5" customHeight="1">
      <c r="A760" s="32">
        <v>759.0</v>
      </c>
      <c r="B760" s="32" t="s">
        <v>1244</v>
      </c>
      <c r="C760" s="32" t="s">
        <v>184</v>
      </c>
      <c r="D760" s="32" t="s">
        <v>185</v>
      </c>
      <c r="E760" s="32" t="s">
        <v>255</v>
      </c>
    </row>
    <row r="761" ht="16.5" customHeight="1">
      <c r="A761" s="32">
        <v>760.0</v>
      </c>
      <c r="B761" s="32" t="s">
        <v>1245</v>
      </c>
      <c r="C761" s="32" t="s">
        <v>184</v>
      </c>
      <c r="D761" s="32" t="s">
        <v>254</v>
      </c>
      <c r="E761" s="32" t="s">
        <v>255</v>
      </c>
      <c r="F761" s="32" t="s">
        <v>257</v>
      </c>
      <c r="G761" s="32" t="s">
        <v>1246</v>
      </c>
    </row>
    <row r="762" ht="16.5" customHeight="1">
      <c r="A762" s="32">
        <v>761.0</v>
      </c>
      <c r="B762" s="32" t="s">
        <v>1247</v>
      </c>
      <c r="C762" s="32" t="s">
        <v>184</v>
      </c>
      <c r="D762" s="32" t="s">
        <v>285</v>
      </c>
      <c r="E762" s="32" t="s">
        <v>255</v>
      </c>
      <c r="F762" s="32" t="s">
        <v>189</v>
      </c>
      <c r="G762" s="32" t="s">
        <v>190</v>
      </c>
    </row>
    <row r="763" ht="16.5" customHeight="1">
      <c r="A763" s="32">
        <v>762.0</v>
      </c>
      <c r="B763" s="32" t="s">
        <v>1248</v>
      </c>
      <c r="C763" s="32" t="s">
        <v>184</v>
      </c>
      <c r="D763" s="32" t="s">
        <v>234</v>
      </c>
      <c r="E763" s="32" t="s">
        <v>255</v>
      </c>
      <c r="F763" s="32" t="s">
        <v>1249</v>
      </c>
      <c r="G763" s="32" t="s">
        <v>1250</v>
      </c>
    </row>
    <row r="764" ht="16.5" customHeight="1">
      <c r="A764" s="32">
        <v>763.0</v>
      </c>
      <c r="B764" s="32" t="s">
        <v>1251</v>
      </c>
      <c r="C764" s="32" t="s">
        <v>184</v>
      </c>
      <c r="D764" s="32" t="s">
        <v>285</v>
      </c>
      <c r="E764" s="32" t="s">
        <v>255</v>
      </c>
      <c r="F764" s="32" t="s">
        <v>552</v>
      </c>
    </row>
    <row r="765" ht="16.5" customHeight="1">
      <c r="A765" s="32">
        <v>764.0</v>
      </c>
      <c r="B765" s="32" t="s">
        <v>1252</v>
      </c>
      <c r="C765" s="32" t="s">
        <v>184</v>
      </c>
      <c r="D765" s="32" t="s">
        <v>219</v>
      </c>
      <c r="E765" s="32" t="s">
        <v>255</v>
      </c>
      <c r="F765" s="32" t="s">
        <v>223</v>
      </c>
    </row>
    <row r="766" ht="16.5" customHeight="1">
      <c r="A766" s="32">
        <v>765.0</v>
      </c>
      <c r="B766" s="32" t="s">
        <v>1253</v>
      </c>
      <c r="C766" s="32" t="s">
        <v>184</v>
      </c>
      <c r="D766" s="32" t="s">
        <v>219</v>
      </c>
      <c r="E766" s="32" t="s">
        <v>255</v>
      </c>
      <c r="F766" s="32" t="s">
        <v>223</v>
      </c>
    </row>
    <row r="767" ht="16.5" customHeight="1">
      <c r="A767" s="32">
        <v>766.0</v>
      </c>
      <c r="B767" s="32" t="s">
        <v>1254</v>
      </c>
      <c r="C767" s="32" t="s">
        <v>184</v>
      </c>
      <c r="D767" s="32" t="s">
        <v>192</v>
      </c>
      <c r="E767" s="32" t="s">
        <v>255</v>
      </c>
    </row>
    <row r="768" ht="16.5" customHeight="1">
      <c r="A768" s="32">
        <v>767.0</v>
      </c>
      <c r="B768" s="32" t="s">
        <v>1255</v>
      </c>
      <c r="C768" s="32" t="s">
        <v>184</v>
      </c>
      <c r="D768" s="32" t="s">
        <v>285</v>
      </c>
      <c r="E768" s="32" t="s">
        <v>255</v>
      </c>
      <c r="F768" s="32" t="s">
        <v>189</v>
      </c>
      <c r="G768" s="32" t="s">
        <v>190</v>
      </c>
    </row>
    <row r="769" ht="16.5" customHeight="1">
      <c r="A769" s="32">
        <v>768.0</v>
      </c>
      <c r="B769" s="32" t="s">
        <v>1256</v>
      </c>
      <c r="C769" s="32" t="s">
        <v>184</v>
      </c>
      <c r="D769" s="32" t="s">
        <v>285</v>
      </c>
      <c r="E769" s="32" t="s">
        <v>255</v>
      </c>
      <c r="F769" s="32" t="s">
        <v>189</v>
      </c>
      <c r="G769" s="32" t="s">
        <v>190</v>
      </c>
    </row>
    <row r="770" ht="16.5" customHeight="1">
      <c r="A770" s="32">
        <v>769.0</v>
      </c>
      <c r="B770" s="32" t="s">
        <v>1257</v>
      </c>
      <c r="C770" s="32" t="s">
        <v>184</v>
      </c>
      <c r="D770" s="32" t="s">
        <v>219</v>
      </c>
      <c r="E770" s="32" t="s">
        <v>255</v>
      </c>
      <c r="F770" s="32" t="s">
        <v>223</v>
      </c>
    </row>
    <row r="771" ht="16.5" customHeight="1">
      <c r="A771" s="32">
        <v>770.0</v>
      </c>
      <c r="B771" s="32" t="s">
        <v>1258</v>
      </c>
      <c r="C771" s="32" t="s">
        <v>184</v>
      </c>
      <c r="D771" s="35" t="s">
        <v>294</v>
      </c>
      <c r="E771" s="32" t="s">
        <v>255</v>
      </c>
      <c r="F771" s="32" t="s">
        <v>189</v>
      </c>
      <c r="G771" s="32" t="s">
        <v>190</v>
      </c>
    </row>
    <row r="772" ht="16.5" customHeight="1">
      <c r="A772" s="32">
        <v>771.0</v>
      </c>
      <c r="B772" s="32" t="s">
        <v>1259</v>
      </c>
      <c r="C772" s="32" t="s">
        <v>184</v>
      </c>
      <c r="D772" s="32" t="s">
        <v>285</v>
      </c>
      <c r="E772" s="32" t="s">
        <v>255</v>
      </c>
      <c r="F772" s="32" t="s">
        <v>189</v>
      </c>
      <c r="G772" s="32" t="s">
        <v>190</v>
      </c>
    </row>
    <row r="773" ht="16.5" customHeight="1">
      <c r="A773" s="32">
        <v>772.0</v>
      </c>
      <c r="B773" s="32" t="s">
        <v>1260</v>
      </c>
      <c r="C773" s="32" t="s">
        <v>184</v>
      </c>
      <c r="D773" s="32" t="s">
        <v>285</v>
      </c>
      <c r="E773" s="32" t="s">
        <v>255</v>
      </c>
      <c r="F773" s="32" t="s">
        <v>189</v>
      </c>
      <c r="G773" s="32" t="s">
        <v>190</v>
      </c>
    </row>
    <row r="774" ht="16.5" customHeight="1">
      <c r="A774" s="32">
        <v>773.0</v>
      </c>
      <c r="B774" s="32" t="s">
        <v>1261</v>
      </c>
      <c r="C774" s="32" t="s">
        <v>184</v>
      </c>
      <c r="D774" s="32" t="s">
        <v>192</v>
      </c>
      <c r="E774" s="32" t="s">
        <v>255</v>
      </c>
      <c r="F774" s="32" t="s">
        <v>329</v>
      </c>
      <c r="G774" s="32" t="s">
        <v>447</v>
      </c>
    </row>
    <row r="775" ht="16.5" customHeight="1">
      <c r="A775" s="32">
        <v>774.0</v>
      </c>
      <c r="B775" s="32" t="s">
        <v>1262</v>
      </c>
      <c r="C775" s="32" t="s">
        <v>184</v>
      </c>
      <c r="D775" s="32" t="s">
        <v>192</v>
      </c>
      <c r="E775" s="32" t="s">
        <v>255</v>
      </c>
      <c r="F775" s="32" t="s">
        <v>238</v>
      </c>
      <c r="G775" s="32" t="s">
        <v>239</v>
      </c>
    </row>
    <row r="776" ht="16.5" customHeight="1">
      <c r="A776" s="32">
        <v>775.0</v>
      </c>
      <c r="B776" s="32" t="s">
        <v>1263</v>
      </c>
      <c r="C776" s="32" t="s">
        <v>184</v>
      </c>
      <c r="D776" s="32" t="s">
        <v>219</v>
      </c>
      <c r="E776" s="32" t="s">
        <v>255</v>
      </c>
    </row>
    <row r="777" ht="16.5" customHeight="1">
      <c r="A777" s="32">
        <v>776.0</v>
      </c>
      <c r="B777" s="32" t="s">
        <v>1264</v>
      </c>
      <c r="C777" s="32" t="s">
        <v>184</v>
      </c>
      <c r="D777" s="32" t="s">
        <v>285</v>
      </c>
      <c r="E777" s="32" t="s">
        <v>255</v>
      </c>
      <c r="F777" s="32" t="s">
        <v>187</v>
      </c>
      <c r="G777" s="32" t="s">
        <v>482</v>
      </c>
    </row>
    <row r="778" ht="16.5" customHeight="1">
      <c r="A778" s="32">
        <v>777.0</v>
      </c>
      <c r="B778" s="32" t="s">
        <v>1265</v>
      </c>
      <c r="C778" s="32" t="s">
        <v>184</v>
      </c>
      <c r="D778" s="32" t="s">
        <v>185</v>
      </c>
      <c r="E778" s="32" t="s">
        <v>255</v>
      </c>
    </row>
    <row r="779" ht="16.5" customHeight="1">
      <c r="A779" s="32">
        <v>778.0</v>
      </c>
      <c r="B779" s="32" t="s">
        <v>1266</v>
      </c>
      <c r="C779" s="32" t="s">
        <v>184</v>
      </c>
      <c r="D779" s="32" t="s">
        <v>185</v>
      </c>
      <c r="E779" s="32" t="s">
        <v>255</v>
      </c>
    </row>
    <row r="780" ht="16.5" customHeight="1">
      <c r="A780" s="32">
        <v>779.0</v>
      </c>
      <c r="B780" s="32" t="s">
        <v>1267</v>
      </c>
      <c r="C780" s="32" t="s">
        <v>184</v>
      </c>
      <c r="D780" s="32" t="s">
        <v>285</v>
      </c>
      <c r="E780" s="32" t="s">
        <v>255</v>
      </c>
    </row>
    <row r="781" ht="16.5" customHeight="1">
      <c r="A781" s="32">
        <v>780.0</v>
      </c>
      <c r="B781" s="32" t="s">
        <v>1268</v>
      </c>
      <c r="C781" s="32" t="s">
        <v>184</v>
      </c>
      <c r="D781" s="32" t="s">
        <v>192</v>
      </c>
      <c r="E781" s="32" t="s">
        <v>255</v>
      </c>
      <c r="F781" s="32" t="s">
        <v>329</v>
      </c>
      <c r="G781" s="32" t="s">
        <v>447</v>
      </c>
    </row>
    <row r="782" ht="16.5" customHeight="1">
      <c r="A782" s="32">
        <v>781.0</v>
      </c>
      <c r="B782" s="32" t="s">
        <v>1269</v>
      </c>
      <c r="C782" s="32" t="s">
        <v>184</v>
      </c>
      <c r="D782" s="32" t="s">
        <v>192</v>
      </c>
      <c r="E782" s="32" t="s">
        <v>255</v>
      </c>
      <c r="F782" s="32" t="s">
        <v>329</v>
      </c>
      <c r="G782" s="32" t="s">
        <v>447</v>
      </c>
    </row>
    <row r="783" ht="16.5" customHeight="1">
      <c r="A783" s="32">
        <v>782.0</v>
      </c>
      <c r="B783" s="32" t="s">
        <v>1270</v>
      </c>
      <c r="C783" s="32" t="s">
        <v>184</v>
      </c>
      <c r="D783" s="32" t="s">
        <v>192</v>
      </c>
      <c r="E783" s="32" t="s">
        <v>255</v>
      </c>
      <c r="F783" s="32" t="s">
        <v>329</v>
      </c>
      <c r="G783" s="32" t="s">
        <v>447</v>
      </c>
    </row>
    <row r="784" ht="16.5" customHeight="1">
      <c r="A784" s="32">
        <v>783.0</v>
      </c>
      <c r="B784" s="32" t="s">
        <v>1271</v>
      </c>
      <c r="C784" s="32" t="s">
        <v>184</v>
      </c>
      <c r="D784" s="32" t="s">
        <v>192</v>
      </c>
      <c r="E784" s="32" t="s">
        <v>255</v>
      </c>
      <c r="F784" s="32" t="s">
        <v>329</v>
      </c>
      <c r="G784" s="32" t="s">
        <v>447</v>
      </c>
    </row>
    <row r="785" ht="16.5" customHeight="1">
      <c r="A785" s="32">
        <v>784.0</v>
      </c>
      <c r="B785" s="32" t="s">
        <v>1272</v>
      </c>
      <c r="C785" s="32" t="s">
        <v>184</v>
      </c>
      <c r="D785" s="32" t="s">
        <v>228</v>
      </c>
      <c r="E785" s="32" t="s">
        <v>255</v>
      </c>
      <c r="F785" s="32" t="s">
        <v>333</v>
      </c>
      <c r="G785" s="32" t="s">
        <v>1273</v>
      </c>
    </row>
    <row r="786" ht="16.5" customHeight="1">
      <c r="A786" s="32">
        <v>785.0</v>
      </c>
      <c r="B786" s="32" t="s">
        <v>1274</v>
      </c>
      <c r="C786" s="32" t="s">
        <v>184</v>
      </c>
      <c r="D786" s="32" t="s">
        <v>219</v>
      </c>
      <c r="E786" s="32" t="s">
        <v>255</v>
      </c>
    </row>
    <row r="787" ht="16.5" customHeight="1">
      <c r="A787" s="32">
        <v>786.0</v>
      </c>
      <c r="B787" s="32" t="s">
        <v>1275</v>
      </c>
      <c r="C787" s="32" t="s">
        <v>184</v>
      </c>
      <c r="D787" s="32" t="s">
        <v>219</v>
      </c>
      <c r="E787" s="32" t="s">
        <v>255</v>
      </c>
    </row>
    <row r="788" ht="16.5" customHeight="1">
      <c r="A788" s="32">
        <v>787.0</v>
      </c>
      <c r="B788" s="32" t="s">
        <v>1276</v>
      </c>
      <c r="C788" s="32" t="s">
        <v>184</v>
      </c>
      <c r="D788" s="32" t="s">
        <v>325</v>
      </c>
      <c r="E788" s="32" t="s">
        <v>255</v>
      </c>
      <c r="F788" s="32" t="s">
        <v>368</v>
      </c>
      <c r="G788" s="32" t="s">
        <v>463</v>
      </c>
    </row>
    <row r="789" ht="16.5" customHeight="1">
      <c r="A789" s="32">
        <v>788.0</v>
      </c>
      <c r="B789" s="32" t="s">
        <v>1277</v>
      </c>
      <c r="C789" s="32" t="s">
        <v>184</v>
      </c>
      <c r="D789" s="32" t="s">
        <v>192</v>
      </c>
      <c r="E789" s="32" t="s">
        <v>255</v>
      </c>
      <c r="F789" s="32" t="s">
        <v>329</v>
      </c>
      <c r="G789" s="32" t="s">
        <v>447</v>
      </c>
    </row>
    <row r="790" ht="16.5" customHeight="1">
      <c r="A790" s="32">
        <v>789.0</v>
      </c>
      <c r="B790" s="32" t="s">
        <v>1278</v>
      </c>
      <c r="C790" s="32" t="s">
        <v>184</v>
      </c>
      <c r="D790" s="32" t="s">
        <v>192</v>
      </c>
      <c r="E790" s="32" t="s">
        <v>255</v>
      </c>
      <c r="F790" s="32" t="s">
        <v>329</v>
      </c>
      <c r="G790" s="32" t="s">
        <v>447</v>
      </c>
    </row>
    <row r="791" ht="16.5" customHeight="1">
      <c r="A791" s="32">
        <v>790.0</v>
      </c>
      <c r="B791" s="32" t="s">
        <v>4924</v>
      </c>
      <c r="C791" s="32" t="s">
        <v>184</v>
      </c>
      <c r="D791" s="32" t="s">
        <v>192</v>
      </c>
      <c r="E791" s="32" t="s">
        <v>255</v>
      </c>
      <c r="F791" s="32" t="s">
        <v>329</v>
      </c>
      <c r="G791" s="32" t="s">
        <v>447</v>
      </c>
    </row>
    <row r="792" ht="16.5" customHeight="1">
      <c r="A792" s="32">
        <v>791.0</v>
      </c>
      <c r="B792" s="32" t="s">
        <v>1280</v>
      </c>
      <c r="C792" s="32" t="s">
        <v>184</v>
      </c>
      <c r="D792" s="32" t="s">
        <v>192</v>
      </c>
      <c r="E792" s="32" t="s">
        <v>255</v>
      </c>
      <c r="F792" s="32" t="s">
        <v>329</v>
      </c>
      <c r="G792" s="32" t="s">
        <v>447</v>
      </c>
    </row>
    <row r="793" ht="16.5" customHeight="1">
      <c r="A793" s="32">
        <v>792.0</v>
      </c>
      <c r="B793" s="32" t="s">
        <v>1281</v>
      </c>
      <c r="C793" s="32" t="s">
        <v>184</v>
      </c>
      <c r="D793" s="32" t="s">
        <v>234</v>
      </c>
      <c r="E793" s="32" t="s">
        <v>255</v>
      </c>
      <c r="F793" s="32" t="s">
        <v>235</v>
      </c>
      <c r="G793" s="32" t="s">
        <v>236</v>
      </c>
    </row>
    <row r="794" ht="16.5" customHeight="1">
      <c r="A794" s="32">
        <v>793.0</v>
      </c>
      <c r="B794" s="32" t="s">
        <v>1282</v>
      </c>
      <c r="C794" s="32" t="s">
        <v>184</v>
      </c>
      <c r="D794" s="32" t="s">
        <v>228</v>
      </c>
      <c r="E794" s="32" t="s">
        <v>255</v>
      </c>
    </row>
    <row r="795" ht="16.5" customHeight="1">
      <c r="A795" s="32">
        <v>794.0</v>
      </c>
      <c r="B795" s="32" t="s">
        <v>1283</v>
      </c>
      <c r="C795" s="32" t="s">
        <v>184</v>
      </c>
      <c r="D795" s="32" t="s">
        <v>228</v>
      </c>
      <c r="E795" s="32" t="s">
        <v>255</v>
      </c>
      <c r="F795" s="32" t="s">
        <v>229</v>
      </c>
      <c r="G795" s="32" t="s">
        <v>230</v>
      </c>
    </row>
    <row r="796" ht="16.5" customHeight="1">
      <c r="A796" s="32">
        <v>795.0</v>
      </c>
      <c r="B796" s="32" t="s">
        <v>1284</v>
      </c>
      <c r="C796" s="32" t="s">
        <v>184</v>
      </c>
      <c r="D796" s="32" t="s">
        <v>254</v>
      </c>
      <c r="E796" s="32" t="s">
        <v>255</v>
      </c>
    </row>
    <row r="797" ht="16.5" customHeight="1">
      <c r="A797" s="32">
        <v>796.0</v>
      </c>
      <c r="B797" s="32" t="s">
        <v>1285</v>
      </c>
      <c r="C797" s="32" t="s">
        <v>184</v>
      </c>
      <c r="D797" s="32" t="s">
        <v>192</v>
      </c>
      <c r="E797" s="32" t="s">
        <v>255</v>
      </c>
      <c r="F797" s="32" t="s">
        <v>329</v>
      </c>
      <c r="G797" s="32" t="s">
        <v>447</v>
      </c>
    </row>
    <row r="798" ht="16.5" customHeight="1">
      <c r="A798" s="32">
        <v>797.0</v>
      </c>
      <c r="B798" s="32" t="s">
        <v>1286</v>
      </c>
      <c r="C798" s="32" t="s">
        <v>184</v>
      </c>
      <c r="D798" s="32" t="s">
        <v>192</v>
      </c>
      <c r="E798" s="32" t="s">
        <v>255</v>
      </c>
      <c r="F798" s="32" t="s">
        <v>329</v>
      </c>
      <c r="G798" s="32" t="s">
        <v>447</v>
      </c>
    </row>
    <row r="799" ht="16.5" customHeight="1">
      <c r="A799" s="32">
        <v>798.0</v>
      </c>
      <c r="B799" s="32" t="s">
        <v>1287</v>
      </c>
      <c r="C799" s="32" t="s">
        <v>184</v>
      </c>
      <c r="D799" s="32" t="s">
        <v>192</v>
      </c>
      <c r="E799" s="32" t="s">
        <v>255</v>
      </c>
      <c r="F799" s="32" t="s">
        <v>329</v>
      </c>
      <c r="G799" s="32" t="s">
        <v>447</v>
      </c>
    </row>
    <row r="800" ht="16.5" customHeight="1">
      <c r="A800" s="32">
        <v>799.0</v>
      </c>
      <c r="B800" s="32" t="s">
        <v>1288</v>
      </c>
      <c r="C800" s="32" t="s">
        <v>184</v>
      </c>
      <c r="D800" s="32" t="s">
        <v>192</v>
      </c>
      <c r="E800" s="32" t="s">
        <v>255</v>
      </c>
      <c r="F800" s="32" t="s">
        <v>329</v>
      </c>
      <c r="G800" s="32" t="s">
        <v>447</v>
      </c>
    </row>
    <row r="801" ht="16.5" customHeight="1">
      <c r="A801" s="32">
        <v>800.0</v>
      </c>
      <c r="B801" s="32" t="s">
        <v>1289</v>
      </c>
      <c r="C801" s="32" t="s">
        <v>184</v>
      </c>
      <c r="D801" s="32" t="s">
        <v>325</v>
      </c>
      <c r="E801" s="32" t="s">
        <v>255</v>
      </c>
      <c r="F801" s="32" t="s">
        <v>561</v>
      </c>
    </row>
    <row r="802" ht="16.5" customHeight="1">
      <c r="A802" s="32">
        <v>801.0</v>
      </c>
      <c r="B802" s="32" t="s">
        <v>1290</v>
      </c>
      <c r="C802" s="32" t="s">
        <v>184</v>
      </c>
      <c r="D802" s="32" t="s">
        <v>192</v>
      </c>
      <c r="E802" s="32" t="s">
        <v>255</v>
      </c>
      <c r="F802" s="32" t="s">
        <v>329</v>
      </c>
      <c r="G802" s="32" t="s">
        <v>447</v>
      </c>
    </row>
    <row r="803" ht="16.5" customHeight="1">
      <c r="A803" s="32">
        <v>802.0</v>
      </c>
      <c r="B803" s="32" t="s">
        <v>1291</v>
      </c>
      <c r="C803" s="32" t="s">
        <v>184</v>
      </c>
      <c r="D803" s="32" t="s">
        <v>192</v>
      </c>
      <c r="E803" s="32" t="s">
        <v>255</v>
      </c>
      <c r="F803" s="32" t="s">
        <v>329</v>
      </c>
      <c r="G803" s="32" t="s">
        <v>447</v>
      </c>
    </row>
    <row r="804" ht="16.5" customHeight="1">
      <c r="A804" s="32">
        <v>803.0</v>
      </c>
      <c r="B804" s="32" t="s">
        <v>1292</v>
      </c>
      <c r="C804" s="32" t="s">
        <v>184</v>
      </c>
      <c r="D804" s="32" t="s">
        <v>192</v>
      </c>
      <c r="E804" s="32" t="s">
        <v>255</v>
      </c>
      <c r="F804" s="32" t="s">
        <v>329</v>
      </c>
      <c r="G804" s="32" t="s">
        <v>447</v>
      </c>
    </row>
    <row r="805" ht="16.5" customHeight="1">
      <c r="A805" s="32">
        <v>804.0</v>
      </c>
      <c r="B805" s="32" t="s">
        <v>1293</v>
      </c>
      <c r="C805" s="32" t="s">
        <v>184</v>
      </c>
      <c r="D805" s="32" t="s">
        <v>192</v>
      </c>
      <c r="E805" s="32" t="s">
        <v>255</v>
      </c>
      <c r="F805" s="32" t="s">
        <v>329</v>
      </c>
      <c r="G805" s="32" t="s">
        <v>447</v>
      </c>
    </row>
    <row r="806" ht="16.5" customHeight="1">
      <c r="A806" s="32">
        <v>805.0</v>
      </c>
      <c r="B806" s="32" t="s">
        <v>1294</v>
      </c>
      <c r="C806" s="32" t="s">
        <v>184</v>
      </c>
      <c r="D806" s="32" t="s">
        <v>285</v>
      </c>
      <c r="E806" s="32" t="s">
        <v>255</v>
      </c>
    </row>
    <row r="807" ht="16.5" customHeight="1">
      <c r="A807" s="32">
        <v>806.0</v>
      </c>
      <c r="B807" s="32" t="s">
        <v>1295</v>
      </c>
      <c r="C807" s="32" t="s">
        <v>184</v>
      </c>
      <c r="D807" s="32" t="s">
        <v>285</v>
      </c>
      <c r="E807" s="32" t="s">
        <v>255</v>
      </c>
      <c r="F807" s="32" t="s">
        <v>189</v>
      </c>
      <c r="G807" s="32" t="s">
        <v>190</v>
      </c>
    </row>
    <row r="808" ht="16.5" customHeight="1">
      <c r="A808" s="32">
        <v>807.0</v>
      </c>
      <c r="B808" s="32" t="s">
        <v>1296</v>
      </c>
      <c r="C808" s="32" t="s">
        <v>184</v>
      </c>
      <c r="D808" s="32" t="s">
        <v>234</v>
      </c>
      <c r="E808" s="32" t="s">
        <v>255</v>
      </c>
    </row>
    <row r="809" ht="16.5" customHeight="1">
      <c r="A809" s="32">
        <v>808.0</v>
      </c>
      <c r="B809" s="32" t="s">
        <v>1297</v>
      </c>
      <c r="C809" s="32" t="s">
        <v>184</v>
      </c>
      <c r="D809" s="32" t="s">
        <v>185</v>
      </c>
      <c r="E809" s="32" t="s">
        <v>255</v>
      </c>
    </row>
    <row r="810" ht="16.5" customHeight="1">
      <c r="A810" s="32">
        <v>809.0</v>
      </c>
      <c r="B810" s="32" t="s">
        <v>1298</v>
      </c>
      <c r="C810" s="32" t="s">
        <v>184</v>
      </c>
      <c r="D810" s="32" t="s">
        <v>325</v>
      </c>
      <c r="E810" s="32" t="s">
        <v>255</v>
      </c>
    </row>
    <row r="811" ht="16.5" customHeight="1">
      <c r="A811" s="32">
        <v>810.0</v>
      </c>
      <c r="B811" s="32" t="s">
        <v>1299</v>
      </c>
      <c r="C811" s="32" t="s">
        <v>184</v>
      </c>
      <c r="D811" s="32" t="s">
        <v>285</v>
      </c>
      <c r="E811" s="32" t="s">
        <v>255</v>
      </c>
      <c r="F811" s="32" t="s">
        <v>189</v>
      </c>
      <c r="G811" s="32" t="s">
        <v>190</v>
      </c>
    </row>
    <row r="812" ht="16.5" customHeight="1">
      <c r="A812" s="32">
        <v>811.0</v>
      </c>
      <c r="B812" s="32" t="s">
        <v>1300</v>
      </c>
      <c r="C812" s="32" t="s">
        <v>184</v>
      </c>
      <c r="D812" s="32" t="s">
        <v>254</v>
      </c>
      <c r="E812" s="32" t="s">
        <v>255</v>
      </c>
      <c r="F812" s="32" t="s">
        <v>260</v>
      </c>
      <c r="G812" s="32" t="s">
        <v>271</v>
      </c>
    </row>
    <row r="813" ht="16.5" customHeight="1">
      <c r="A813" s="32">
        <v>812.0</v>
      </c>
      <c r="B813" s="32" t="s">
        <v>1301</v>
      </c>
      <c r="C813" s="32" t="s">
        <v>184</v>
      </c>
      <c r="D813" s="32" t="s">
        <v>254</v>
      </c>
      <c r="E813" s="32" t="s">
        <v>255</v>
      </c>
      <c r="F813" s="32" t="s">
        <v>424</v>
      </c>
      <c r="G813" s="32" t="s">
        <v>1302</v>
      </c>
    </row>
    <row r="814" ht="16.5" customHeight="1">
      <c r="A814" s="32">
        <v>813.0</v>
      </c>
      <c r="B814" s="32" t="s">
        <v>1303</v>
      </c>
      <c r="C814" s="32" t="s">
        <v>184</v>
      </c>
      <c r="D814" s="32" t="s">
        <v>254</v>
      </c>
      <c r="E814" s="32" t="s">
        <v>255</v>
      </c>
    </row>
    <row r="815" ht="16.5" customHeight="1">
      <c r="A815" s="32">
        <v>814.0</v>
      </c>
      <c r="B815" s="32" t="s">
        <v>1304</v>
      </c>
      <c r="C815" s="32" t="s">
        <v>184</v>
      </c>
      <c r="D815" s="32" t="s">
        <v>219</v>
      </c>
      <c r="E815" s="32" t="s">
        <v>396</v>
      </c>
      <c r="F815" s="32" t="s">
        <v>232</v>
      </c>
      <c r="G815" s="32" t="s">
        <v>233</v>
      </c>
    </row>
    <row r="816" ht="16.5" customHeight="1">
      <c r="A816" s="32">
        <v>815.0</v>
      </c>
      <c r="B816" s="32" t="s">
        <v>1305</v>
      </c>
      <c r="C816" s="32" t="s">
        <v>184</v>
      </c>
      <c r="D816" s="35" t="s">
        <v>310</v>
      </c>
      <c r="E816" s="32" t="s">
        <v>255</v>
      </c>
      <c r="F816" s="32" t="s">
        <v>305</v>
      </c>
      <c r="G816" s="32" t="s">
        <v>1306</v>
      </c>
    </row>
    <row r="817" ht="16.5" customHeight="1">
      <c r="A817" s="32">
        <v>816.0</v>
      </c>
      <c r="B817" s="32" t="s">
        <v>1307</v>
      </c>
      <c r="C817" s="32" t="s">
        <v>184</v>
      </c>
      <c r="D817" s="32" t="s">
        <v>254</v>
      </c>
      <c r="E817" s="32" t="s">
        <v>255</v>
      </c>
      <c r="F817" s="32" t="s">
        <v>256</v>
      </c>
      <c r="G817" s="32" t="s">
        <v>1308</v>
      </c>
    </row>
    <row r="818" ht="16.5" customHeight="1">
      <c r="A818" s="32">
        <v>817.0</v>
      </c>
      <c r="B818" s="32" t="s">
        <v>1309</v>
      </c>
      <c r="C818" s="32" t="s">
        <v>184</v>
      </c>
      <c r="D818" s="32" t="s">
        <v>192</v>
      </c>
      <c r="E818" s="32" t="s">
        <v>255</v>
      </c>
    </row>
    <row r="819" ht="16.5" customHeight="1">
      <c r="A819" s="32">
        <v>818.0</v>
      </c>
      <c r="B819" s="32" t="s">
        <v>1310</v>
      </c>
      <c r="C819" s="32" t="s">
        <v>184</v>
      </c>
      <c r="D819" s="32" t="s">
        <v>219</v>
      </c>
      <c r="E819" s="32" t="s">
        <v>255</v>
      </c>
      <c r="F819" s="32" t="s">
        <v>216</v>
      </c>
      <c r="G819" s="32" t="s">
        <v>217</v>
      </c>
    </row>
    <row r="820" ht="16.5" customHeight="1">
      <c r="A820" s="32">
        <v>819.0</v>
      </c>
      <c r="B820" s="32" t="s">
        <v>1311</v>
      </c>
      <c r="C820" s="32" t="s">
        <v>184</v>
      </c>
      <c r="D820" s="32" t="s">
        <v>214</v>
      </c>
      <c r="E820" s="32" t="s">
        <v>255</v>
      </c>
      <c r="F820" s="32" t="s">
        <v>292</v>
      </c>
      <c r="G820" s="32" t="s">
        <v>1312</v>
      </c>
    </row>
    <row r="821" ht="16.5" customHeight="1">
      <c r="A821" s="32">
        <v>820.0</v>
      </c>
      <c r="B821" s="32" t="s">
        <v>1313</v>
      </c>
      <c r="C821" s="32" t="s">
        <v>184</v>
      </c>
      <c r="D821" s="32" t="s">
        <v>254</v>
      </c>
      <c r="E821" s="32" t="s">
        <v>255</v>
      </c>
      <c r="F821" s="32" t="s">
        <v>256</v>
      </c>
      <c r="G821" s="32" t="s">
        <v>1314</v>
      </c>
    </row>
    <row r="822" ht="16.5" customHeight="1">
      <c r="A822" s="32">
        <v>821.0</v>
      </c>
      <c r="B822" s="32" t="s">
        <v>1315</v>
      </c>
      <c r="C822" s="32" t="s">
        <v>184</v>
      </c>
      <c r="D822" s="32" t="s">
        <v>254</v>
      </c>
      <c r="E822" s="32" t="s">
        <v>255</v>
      </c>
      <c r="F822" s="32" t="s">
        <v>256</v>
      </c>
      <c r="G822" s="32" t="s">
        <v>1316</v>
      </c>
    </row>
    <row r="823" ht="16.5" customHeight="1">
      <c r="A823" s="32">
        <v>822.0</v>
      </c>
      <c r="B823" s="32" t="s">
        <v>1317</v>
      </c>
      <c r="C823" s="32" t="s">
        <v>184</v>
      </c>
      <c r="D823" s="32" t="s">
        <v>254</v>
      </c>
      <c r="E823" s="32" t="s">
        <v>255</v>
      </c>
      <c r="F823" s="32" t="s">
        <v>260</v>
      </c>
    </row>
    <row r="824" ht="16.5" customHeight="1">
      <c r="A824" s="32">
        <v>823.0</v>
      </c>
      <c r="B824" s="32" t="s">
        <v>1318</v>
      </c>
      <c r="C824" s="32" t="s">
        <v>184</v>
      </c>
      <c r="D824" s="32" t="s">
        <v>254</v>
      </c>
      <c r="E824" s="32" t="s">
        <v>255</v>
      </c>
      <c r="F824" s="32" t="s">
        <v>257</v>
      </c>
      <c r="G824" s="32" t="s">
        <v>1319</v>
      </c>
    </row>
    <row r="825" ht="16.5" customHeight="1">
      <c r="A825" s="32">
        <v>824.0</v>
      </c>
      <c r="B825" s="32" t="s">
        <v>1320</v>
      </c>
      <c r="C825" s="32" t="s">
        <v>184</v>
      </c>
      <c r="D825" s="32" t="s">
        <v>185</v>
      </c>
      <c r="E825" s="32" t="s">
        <v>255</v>
      </c>
      <c r="F825" s="32" t="s">
        <v>508</v>
      </c>
    </row>
    <row r="826" ht="16.5" customHeight="1">
      <c r="A826" s="32">
        <v>825.0</v>
      </c>
      <c r="B826" s="32" t="s">
        <v>1321</v>
      </c>
      <c r="C826" s="32" t="s">
        <v>184</v>
      </c>
      <c r="D826" s="32" t="s">
        <v>185</v>
      </c>
      <c r="E826" s="32" t="s">
        <v>255</v>
      </c>
      <c r="F826" s="32" t="s">
        <v>1322</v>
      </c>
      <c r="G826" s="32" t="s">
        <v>1323</v>
      </c>
    </row>
    <row r="827" ht="16.5" customHeight="1">
      <c r="A827" s="32">
        <v>826.0</v>
      </c>
      <c r="B827" s="32" t="s">
        <v>1324</v>
      </c>
      <c r="C827" s="32" t="s">
        <v>184</v>
      </c>
      <c r="D827" s="35" t="s">
        <v>294</v>
      </c>
      <c r="E827" s="32" t="s">
        <v>255</v>
      </c>
      <c r="F827" s="32" t="s">
        <v>189</v>
      </c>
      <c r="G827" s="32" t="s">
        <v>190</v>
      </c>
    </row>
    <row r="828" ht="16.5" customHeight="1">
      <c r="A828" s="32">
        <v>827.0</v>
      </c>
      <c r="B828" s="32" t="s">
        <v>1325</v>
      </c>
      <c r="C828" s="32" t="s">
        <v>184</v>
      </c>
      <c r="D828" s="32" t="s">
        <v>285</v>
      </c>
      <c r="E828" s="32" t="s">
        <v>255</v>
      </c>
      <c r="F828" s="32" t="s">
        <v>189</v>
      </c>
      <c r="G828" s="32" t="s">
        <v>190</v>
      </c>
    </row>
    <row r="829" ht="16.5" customHeight="1">
      <c r="A829" s="32">
        <v>828.0</v>
      </c>
      <c r="B829" s="32" t="s">
        <v>1326</v>
      </c>
      <c r="C829" s="32" t="s">
        <v>184</v>
      </c>
      <c r="D829" s="32" t="s">
        <v>254</v>
      </c>
      <c r="E829" s="32" t="s">
        <v>255</v>
      </c>
      <c r="F829" s="32" t="s">
        <v>1327</v>
      </c>
      <c r="G829" s="32" t="s">
        <v>1328</v>
      </c>
    </row>
    <row r="830" ht="16.5" customHeight="1">
      <c r="A830" s="32">
        <v>829.0</v>
      </c>
      <c r="B830" s="32" t="s">
        <v>1329</v>
      </c>
      <c r="C830" s="32" t="s">
        <v>184</v>
      </c>
      <c r="D830" s="32" t="s">
        <v>254</v>
      </c>
      <c r="E830" s="32" t="s">
        <v>255</v>
      </c>
      <c r="F830" s="32" t="s">
        <v>305</v>
      </c>
      <c r="G830" s="32" t="s">
        <v>1330</v>
      </c>
    </row>
    <row r="831" ht="16.5" customHeight="1">
      <c r="A831" s="32">
        <v>830.0</v>
      </c>
      <c r="B831" s="32" t="s">
        <v>1331</v>
      </c>
      <c r="C831" s="32" t="s">
        <v>184</v>
      </c>
      <c r="D831" s="32" t="s">
        <v>254</v>
      </c>
      <c r="E831" s="32" t="s">
        <v>255</v>
      </c>
      <c r="F831" s="32" t="s">
        <v>260</v>
      </c>
      <c r="G831" s="32" t="s">
        <v>1332</v>
      </c>
    </row>
    <row r="832" ht="16.5" customHeight="1">
      <c r="A832" s="32">
        <v>831.0</v>
      </c>
      <c r="B832" s="32" t="s">
        <v>1333</v>
      </c>
      <c r="C832" s="32" t="s">
        <v>184</v>
      </c>
      <c r="D832" s="32" t="s">
        <v>228</v>
      </c>
      <c r="E832" s="32" t="s">
        <v>215</v>
      </c>
      <c r="F832" s="32" t="s">
        <v>229</v>
      </c>
      <c r="G832" s="32" t="s">
        <v>1334</v>
      </c>
    </row>
    <row r="833" ht="16.5" customHeight="1">
      <c r="A833" s="32">
        <v>832.0</v>
      </c>
      <c r="B833" s="32" t="s">
        <v>1335</v>
      </c>
      <c r="C833" s="32" t="s">
        <v>184</v>
      </c>
      <c r="D833" s="32" t="s">
        <v>228</v>
      </c>
      <c r="E833" s="32" t="s">
        <v>215</v>
      </c>
    </row>
    <row r="834" ht="16.5" customHeight="1">
      <c r="A834" s="32">
        <v>833.0</v>
      </c>
      <c r="B834" s="32" t="s">
        <v>1336</v>
      </c>
      <c r="C834" s="32" t="s">
        <v>184</v>
      </c>
      <c r="D834" s="32" t="s">
        <v>219</v>
      </c>
      <c r="E834" s="32" t="s">
        <v>215</v>
      </c>
      <c r="F834" s="32" t="s">
        <v>223</v>
      </c>
    </row>
    <row r="835" ht="16.5" customHeight="1">
      <c r="A835" s="32">
        <v>834.0</v>
      </c>
      <c r="B835" s="32" t="s">
        <v>1337</v>
      </c>
      <c r="C835" s="32" t="s">
        <v>184</v>
      </c>
      <c r="D835" s="32" t="s">
        <v>219</v>
      </c>
      <c r="E835" s="32" t="s">
        <v>215</v>
      </c>
    </row>
    <row r="836" ht="16.5" customHeight="1">
      <c r="A836" s="32">
        <v>835.0</v>
      </c>
      <c r="B836" s="32" t="s">
        <v>1338</v>
      </c>
      <c r="C836" s="32" t="s">
        <v>184</v>
      </c>
      <c r="D836" s="32" t="s">
        <v>285</v>
      </c>
      <c r="E836" s="32" t="s">
        <v>215</v>
      </c>
      <c r="F836" s="32" t="s">
        <v>854</v>
      </c>
      <c r="G836" s="32" t="s">
        <v>1339</v>
      </c>
    </row>
    <row r="837" ht="16.5" customHeight="1">
      <c r="A837" s="32">
        <v>836.0</v>
      </c>
      <c r="B837" s="32" t="s">
        <v>1340</v>
      </c>
      <c r="C837" s="32" t="s">
        <v>184</v>
      </c>
      <c r="D837" s="32" t="s">
        <v>219</v>
      </c>
      <c r="E837" s="32" t="s">
        <v>215</v>
      </c>
    </row>
    <row r="838" ht="16.5" customHeight="1">
      <c r="A838" s="32">
        <v>837.0</v>
      </c>
      <c r="B838" s="32" t="s">
        <v>1341</v>
      </c>
      <c r="C838" s="32" t="s">
        <v>184</v>
      </c>
      <c r="D838" s="32" t="s">
        <v>192</v>
      </c>
      <c r="E838" s="32" t="s">
        <v>215</v>
      </c>
      <c r="F838" s="32" t="s">
        <v>300</v>
      </c>
      <c r="G838" s="32" t="s">
        <v>387</v>
      </c>
    </row>
    <row r="839" ht="16.5" customHeight="1">
      <c r="A839" s="32">
        <v>838.0</v>
      </c>
      <c r="B839" s="32" t="s">
        <v>1342</v>
      </c>
      <c r="C839" s="32" t="s">
        <v>184</v>
      </c>
      <c r="D839" s="32" t="s">
        <v>192</v>
      </c>
      <c r="E839" s="32" t="s">
        <v>215</v>
      </c>
    </row>
    <row r="840" ht="16.5" customHeight="1">
      <c r="A840" s="32">
        <v>839.0</v>
      </c>
      <c r="B840" s="32" t="s">
        <v>113</v>
      </c>
      <c r="C840" s="32" t="s">
        <v>184</v>
      </c>
      <c r="D840" s="32" t="s">
        <v>234</v>
      </c>
      <c r="E840" s="32" t="s">
        <v>215</v>
      </c>
      <c r="F840" s="32" t="s">
        <v>235</v>
      </c>
      <c r="G840" s="32" t="s">
        <v>243</v>
      </c>
    </row>
    <row r="841" ht="16.5" customHeight="1">
      <c r="A841" s="32">
        <v>840.0</v>
      </c>
      <c r="B841" s="32" t="s">
        <v>1343</v>
      </c>
      <c r="C841" s="32" t="s">
        <v>184</v>
      </c>
      <c r="D841" s="32" t="s">
        <v>234</v>
      </c>
      <c r="E841" s="32" t="s">
        <v>215</v>
      </c>
    </row>
    <row r="842" ht="16.5" customHeight="1">
      <c r="A842" s="32">
        <v>841.0</v>
      </c>
      <c r="B842" s="32" t="s">
        <v>1344</v>
      </c>
      <c r="C842" s="32" t="s">
        <v>184</v>
      </c>
      <c r="D842" s="32" t="s">
        <v>192</v>
      </c>
      <c r="E842" s="32" t="s">
        <v>215</v>
      </c>
    </row>
    <row r="843" ht="16.5" customHeight="1">
      <c r="A843" s="32">
        <v>842.0</v>
      </c>
      <c r="B843" s="32" t="s">
        <v>1345</v>
      </c>
      <c r="C843" s="32" t="s">
        <v>184</v>
      </c>
      <c r="D843" s="32" t="s">
        <v>192</v>
      </c>
      <c r="E843" s="32" t="s">
        <v>215</v>
      </c>
      <c r="F843" s="32" t="s">
        <v>329</v>
      </c>
      <c r="G843" s="32" t="s">
        <v>447</v>
      </c>
    </row>
    <row r="844" ht="16.5" customHeight="1">
      <c r="A844" s="32">
        <v>843.0</v>
      </c>
      <c r="B844" s="32" t="s">
        <v>1346</v>
      </c>
      <c r="C844" s="32" t="s">
        <v>184</v>
      </c>
      <c r="D844" s="32" t="s">
        <v>219</v>
      </c>
      <c r="E844" s="32" t="s">
        <v>215</v>
      </c>
    </row>
    <row r="845" ht="16.5" customHeight="1">
      <c r="A845" s="32">
        <v>844.0</v>
      </c>
      <c r="B845" s="32" t="s">
        <v>1347</v>
      </c>
      <c r="C845" s="32" t="s">
        <v>184</v>
      </c>
      <c r="D845" s="32" t="s">
        <v>228</v>
      </c>
      <c r="E845" s="32" t="s">
        <v>215</v>
      </c>
      <c r="F845" s="32" t="s">
        <v>408</v>
      </c>
      <c r="G845" s="32" t="s">
        <v>1348</v>
      </c>
    </row>
    <row r="846" ht="16.5" customHeight="1">
      <c r="A846" s="32">
        <v>845.0</v>
      </c>
      <c r="B846" s="32" t="s">
        <v>1349</v>
      </c>
      <c r="C846" s="32" t="s">
        <v>184</v>
      </c>
      <c r="D846" s="32" t="s">
        <v>192</v>
      </c>
      <c r="E846" s="32" t="s">
        <v>215</v>
      </c>
      <c r="F846" s="32" t="s">
        <v>570</v>
      </c>
      <c r="G846" s="32" t="s">
        <v>447</v>
      </c>
    </row>
    <row r="847" ht="16.5" customHeight="1">
      <c r="A847" s="32">
        <v>846.0</v>
      </c>
      <c r="B847" s="32" t="s">
        <v>1350</v>
      </c>
      <c r="C847" s="32" t="s">
        <v>184</v>
      </c>
      <c r="D847" s="32" t="s">
        <v>192</v>
      </c>
      <c r="E847" s="32" t="s">
        <v>215</v>
      </c>
    </row>
    <row r="848" ht="16.5" customHeight="1">
      <c r="A848" s="32">
        <v>847.0</v>
      </c>
      <c r="B848" s="32" t="s">
        <v>1351</v>
      </c>
      <c r="C848" s="32" t="s">
        <v>184</v>
      </c>
      <c r="D848" s="32" t="s">
        <v>219</v>
      </c>
      <c r="E848" s="32" t="s">
        <v>215</v>
      </c>
    </row>
    <row r="849" ht="16.5" customHeight="1">
      <c r="A849" s="32">
        <v>848.0</v>
      </c>
      <c r="B849" s="32" t="s">
        <v>1352</v>
      </c>
      <c r="C849" s="32" t="s">
        <v>184</v>
      </c>
      <c r="D849" s="32" t="s">
        <v>219</v>
      </c>
      <c r="E849" s="32" t="s">
        <v>215</v>
      </c>
    </row>
    <row r="850" ht="16.5" customHeight="1">
      <c r="A850" s="32">
        <v>849.0</v>
      </c>
      <c r="B850" s="32" t="s">
        <v>1353</v>
      </c>
      <c r="C850" s="32" t="s">
        <v>184</v>
      </c>
      <c r="D850" s="32" t="s">
        <v>219</v>
      </c>
      <c r="E850" s="32" t="s">
        <v>215</v>
      </c>
      <c r="F850" s="32" t="s">
        <v>241</v>
      </c>
      <c r="G850" s="32" t="s">
        <v>292</v>
      </c>
    </row>
    <row r="851" ht="16.5" customHeight="1">
      <c r="A851" s="32">
        <v>850.0</v>
      </c>
      <c r="B851" s="32" t="s">
        <v>1354</v>
      </c>
      <c r="C851" s="32" t="s">
        <v>184</v>
      </c>
      <c r="D851" s="32" t="s">
        <v>219</v>
      </c>
      <c r="E851" s="32" t="s">
        <v>215</v>
      </c>
    </row>
    <row r="852" ht="16.5" customHeight="1">
      <c r="A852" s="32">
        <v>851.0</v>
      </c>
      <c r="B852" s="32" t="s">
        <v>1355</v>
      </c>
      <c r="C852" s="32" t="s">
        <v>184</v>
      </c>
      <c r="D852" s="32" t="s">
        <v>219</v>
      </c>
      <c r="E852" s="32" t="s">
        <v>215</v>
      </c>
    </row>
    <row r="853" ht="16.5" customHeight="1">
      <c r="A853" s="32">
        <v>852.0</v>
      </c>
      <c r="B853" s="32" t="s">
        <v>1356</v>
      </c>
      <c r="C853" s="32" t="s">
        <v>184</v>
      </c>
      <c r="D853" s="32" t="s">
        <v>192</v>
      </c>
      <c r="E853" s="32" t="s">
        <v>215</v>
      </c>
      <c r="F853" s="32" t="s">
        <v>300</v>
      </c>
      <c r="G853" s="32" t="s">
        <v>1357</v>
      </c>
    </row>
    <row r="854" ht="16.5" customHeight="1">
      <c r="A854" s="32">
        <v>853.0</v>
      </c>
      <c r="B854" s="32" t="s">
        <v>1358</v>
      </c>
      <c r="C854" s="32" t="s">
        <v>184</v>
      </c>
      <c r="D854" s="32" t="s">
        <v>192</v>
      </c>
      <c r="E854" s="32" t="s">
        <v>215</v>
      </c>
      <c r="F854" s="32" t="s">
        <v>300</v>
      </c>
      <c r="G854" s="32" t="s">
        <v>445</v>
      </c>
    </row>
    <row r="855" ht="16.5" customHeight="1">
      <c r="A855" s="32">
        <v>854.0</v>
      </c>
      <c r="B855" s="32" t="s">
        <v>1359</v>
      </c>
      <c r="C855" s="32" t="s">
        <v>184</v>
      </c>
      <c r="D855" s="32" t="s">
        <v>219</v>
      </c>
      <c r="E855" s="32" t="s">
        <v>215</v>
      </c>
    </row>
    <row r="856" ht="16.5" customHeight="1">
      <c r="A856" s="32">
        <v>855.0</v>
      </c>
      <c r="B856" s="32" t="s">
        <v>1360</v>
      </c>
      <c r="C856" s="32" t="s">
        <v>184</v>
      </c>
      <c r="D856" s="32" t="s">
        <v>219</v>
      </c>
      <c r="E856" s="32" t="s">
        <v>215</v>
      </c>
    </row>
    <row r="857" ht="16.5" customHeight="1">
      <c r="A857" s="32">
        <v>856.0</v>
      </c>
      <c r="B857" s="32" t="s">
        <v>1361</v>
      </c>
      <c r="C857" s="32" t="s">
        <v>184</v>
      </c>
      <c r="D857" s="32" t="s">
        <v>219</v>
      </c>
      <c r="E857" s="32" t="s">
        <v>215</v>
      </c>
      <c r="F857" s="32" t="s">
        <v>223</v>
      </c>
    </row>
    <row r="858" ht="16.5" customHeight="1">
      <c r="A858" s="32">
        <v>857.0</v>
      </c>
      <c r="B858" s="32" t="s">
        <v>1362</v>
      </c>
      <c r="C858" s="32" t="s">
        <v>184</v>
      </c>
      <c r="D858" s="32" t="s">
        <v>219</v>
      </c>
      <c r="E858" s="32" t="s">
        <v>215</v>
      </c>
    </row>
    <row r="859" ht="16.5" customHeight="1">
      <c r="A859" s="32">
        <v>858.0</v>
      </c>
      <c r="B859" s="32" t="s">
        <v>1363</v>
      </c>
      <c r="C859" s="32" t="s">
        <v>184</v>
      </c>
      <c r="D859" s="32" t="s">
        <v>192</v>
      </c>
      <c r="E859" s="32" t="s">
        <v>215</v>
      </c>
    </row>
    <row r="860" ht="16.5" customHeight="1">
      <c r="A860" s="32">
        <v>859.0</v>
      </c>
      <c r="B860" s="32" t="s">
        <v>1364</v>
      </c>
      <c r="C860" s="32" t="s">
        <v>184</v>
      </c>
      <c r="D860" s="32" t="s">
        <v>228</v>
      </c>
      <c r="E860" s="32" t="s">
        <v>215</v>
      </c>
      <c r="F860" s="32" t="s">
        <v>408</v>
      </c>
      <c r="G860" s="32" t="s">
        <v>452</v>
      </c>
    </row>
    <row r="861" ht="16.5" customHeight="1">
      <c r="A861" s="32">
        <v>860.0</v>
      </c>
      <c r="B861" s="32" t="s">
        <v>1365</v>
      </c>
      <c r="C861" s="32" t="s">
        <v>184</v>
      </c>
      <c r="D861" s="32" t="s">
        <v>192</v>
      </c>
      <c r="E861" s="32" t="s">
        <v>215</v>
      </c>
      <c r="F861" s="32" t="s">
        <v>300</v>
      </c>
      <c r="G861" s="32" t="s">
        <v>535</v>
      </c>
    </row>
    <row r="862" ht="16.5" customHeight="1">
      <c r="A862" s="32">
        <v>861.0</v>
      </c>
      <c r="B862" s="32" t="s">
        <v>1366</v>
      </c>
      <c r="C862" s="32" t="s">
        <v>184</v>
      </c>
      <c r="D862" s="32" t="s">
        <v>228</v>
      </c>
      <c r="E862" s="32" t="s">
        <v>215</v>
      </c>
      <c r="F862" s="32" t="s">
        <v>408</v>
      </c>
      <c r="G862" s="32" t="s">
        <v>452</v>
      </c>
    </row>
    <row r="863" ht="16.5" customHeight="1">
      <c r="A863" s="32">
        <v>862.0</v>
      </c>
      <c r="B863" s="32" t="s">
        <v>1367</v>
      </c>
      <c r="C863" s="32" t="s">
        <v>184</v>
      </c>
      <c r="D863" s="32" t="s">
        <v>234</v>
      </c>
      <c r="E863" s="32" t="s">
        <v>215</v>
      </c>
      <c r="F863" s="32" t="s">
        <v>235</v>
      </c>
      <c r="G863" s="32" t="s">
        <v>229</v>
      </c>
    </row>
    <row r="864" ht="16.5" customHeight="1">
      <c r="A864" s="32">
        <v>863.0</v>
      </c>
      <c r="B864" s="32" t="s">
        <v>1368</v>
      </c>
      <c r="C864" s="32" t="s">
        <v>184</v>
      </c>
      <c r="D864" s="32" t="s">
        <v>219</v>
      </c>
      <c r="E864" s="32" t="s">
        <v>215</v>
      </c>
      <c r="F864" s="32" t="s">
        <v>241</v>
      </c>
      <c r="G864" s="32" t="s">
        <v>292</v>
      </c>
    </row>
    <row r="865" ht="16.5" customHeight="1">
      <c r="A865" s="32">
        <v>864.0</v>
      </c>
      <c r="B865" s="32" t="s">
        <v>1368</v>
      </c>
      <c r="C865" s="32" t="s">
        <v>184</v>
      </c>
      <c r="D865" s="32" t="s">
        <v>219</v>
      </c>
      <c r="E865" s="32" t="s">
        <v>215</v>
      </c>
      <c r="F865" s="32" t="s">
        <v>241</v>
      </c>
      <c r="G865" s="32" t="s">
        <v>292</v>
      </c>
    </row>
    <row r="866" ht="16.5" customHeight="1">
      <c r="A866" s="32">
        <v>865.0</v>
      </c>
      <c r="B866" s="32" t="s">
        <v>1369</v>
      </c>
      <c r="C866" s="32" t="s">
        <v>184</v>
      </c>
      <c r="D866" s="32" t="s">
        <v>214</v>
      </c>
      <c r="E866" s="32" t="s">
        <v>215</v>
      </c>
    </row>
    <row r="867" ht="16.5" customHeight="1">
      <c r="A867" s="32">
        <v>866.0</v>
      </c>
      <c r="B867" s="32" t="s">
        <v>1370</v>
      </c>
      <c r="C867" s="32" t="s">
        <v>184</v>
      </c>
      <c r="D867" s="32" t="s">
        <v>285</v>
      </c>
      <c r="E867" s="32" t="s">
        <v>215</v>
      </c>
      <c r="F867" s="32" t="s">
        <v>189</v>
      </c>
      <c r="G867" s="32" t="s">
        <v>190</v>
      </c>
    </row>
    <row r="868" ht="16.5" customHeight="1">
      <c r="A868" s="32">
        <v>867.0</v>
      </c>
      <c r="B868" s="32" t="s">
        <v>1371</v>
      </c>
      <c r="C868" s="32" t="s">
        <v>184</v>
      </c>
      <c r="D868" s="35" t="s">
        <v>294</v>
      </c>
      <c r="E868" s="32" t="s">
        <v>215</v>
      </c>
    </row>
    <row r="869" ht="16.5" customHeight="1">
      <c r="A869" s="32">
        <v>868.0</v>
      </c>
      <c r="B869" s="32" t="s">
        <v>1372</v>
      </c>
      <c r="C869" s="32" t="s">
        <v>184</v>
      </c>
      <c r="D869" s="32" t="s">
        <v>234</v>
      </c>
      <c r="E869" s="32" t="s">
        <v>215</v>
      </c>
      <c r="F869" s="32" t="s">
        <v>347</v>
      </c>
      <c r="G869" s="32" t="s">
        <v>420</v>
      </c>
    </row>
    <row r="870" ht="16.5" customHeight="1">
      <c r="A870" s="32">
        <v>869.0</v>
      </c>
      <c r="B870" s="32" t="s">
        <v>1373</v>
      </c>
      <c r="C870" s="32" t="s">
        <v>184</v>
      </c>
      <c r="D870" s="32" t="s">
        <v>234</v>
      </c>
      <c r="E870" s="32" t="s">
        <v>215</v>
      </c>
      <c r="F870" s="32" t="s">
        <v>347</v>
      </c>
      <c r="G870" s="32" t="s">
        <v>420</v>
      </c>
    </row>
    <row r="871" ht="16.5" customHeight="1">
      <c r="A871" s="32">
        <v>870.0</v>
      </c>
      <c r="B871" s="32" t="s">
        <v>823</v>
      </c>
      <c r="C871" s="32" t="s">
        <v>184</v>
      </c>
      <c r="D871" s="32" t="s">
        <v>234</v>
      </c>
      <c r="E871" s="32" t="s">
        <v>215</v>
      </c>
      <c r="F871" s="32" t="s">
        <v>347</v>
      </c>
      <c r="G871" s="32" t="s">
        <v>382</v>
      </c>
    </row>
    <row r="872" ht="16.5" customHeight="1">
      <c r="A872" s="32">
        <v>871.0</v>
      </c>
      <c r="B872" s="32" t="s">
        <v>823</v>
      </c>
      <c r="C872" s="32" t="s">
        <v>184</v>
      </c>
      <c r="D872" s="32" t="s">
        <v>234</v>
      </c>
      <c r="E872" s="32" t="s">
        <v>215</v>
      </c>
      <c r="F872" s="32" t="s">
        <v>347</v>
      </c>
      <c r="G872" s="32" t="s">
        <v>382</v>
      </c>
    </row>
    <row r="873" ht="16.5" customHeight="1">
      <c r="A873" s="32">
        <v>872.0</v>
      </c>
      <c r="B873" s="32" t="s">
        <v>1374</v>
      </c>
      <c r="C873" s="32" t="s">
        <v>184</v>
      </c>
      <c r="D873" s="32" t="s">
        <v>234</v>
      </c>
      <c r="E873" s="32" t="s">
        <v>215</v>
      </c>
    </row>
    <row r="874" ht="16.5" customHeight="1">
      <c r="A874" s="32">
        <v>873.0</v>
      </c>
      <c r="B874" s="32" t="s">
        <v>1375</v>
      </c>
      <c r="C874" s="32" t="s">
        <v>184</v>
      </c>
      <c r="D874" s="32" t="s">
        <v>192</v>
      </c>
      <c r="E874" s="32" t="s">
        <v>215</v>
      </c>
      <c r="F874" s="32" t="s">
        <v>329</v>
      </c>
      <c r="G874" s="32" t="s">
        <v>447</v>
      </c>
    </row>
    <row r="875" ht="16.5" customHeight="1">
      <c r="A875" s="32">
        <v>874.0</v>
      </c>
      <c r="B875" s="32" t="s">
        <v>1376</v>
      </c>
      <c r="C875" s="32" t="s">
        <v>184</v>
      </c>
      <c r="D875" s="32" t="s">
        <v>185</v>
      </c>
      <c r="E875" s="32" t="s">
        <v>215</v>
      </c>
      <c r="F875" s="32" t="s">
        <v>187</v>
      </c>
      <c r="G875" s="32" t="s">
        <v>188</v>
      </c>
    </row>
    <row r="876" ht="16.5" customHeight="1">
      <c r="A876" s="32">
        <v>875.0</v>
      </c>
      <c r="B876" s="32" t="s">
        <v>1377</v>
      </c>
      <c r="C876" s="32" t="s">
        <v>184</v>
      </c>
      <c r="D876" s="32" t="s">
        <v>219</v>
      </c>
      <c r="E876" s="32" t="s">
        <v>215</v>
      </c>
    </row>
    <row r="877" ht="16.5" customHeight="1">
      <c r="A877" s="32">
        <v>876.0</v>
      </c>
      <c r="B877" s="32" t="s">
        <v>1378</v>
      </c>
      <c r="C877" s="32" t="s">
        <v>184</v>
      </c>
      <c r="D877" s="32" t="s">
        <v>192</v>
      </c>
      <c r="E877" s="32" t="s">
        <v>215</v>
      </c>
      <c r="F877" s="32" t="s">
        <v>300</v>
      </c>
      <c r="G877" s="32" t="s">
        <v>1379</v>
      </c>
    </row>
    <row r="878" ht="16.5" customHeight="1">
      <c r="A878" s="32">
        <v>877.0</v>
      </c>
      <c r="B878" s="32" t="s">
        <v>1380</v>
      </c>
      <c r="C878" s="32" t="s">
        <v>184</v>
      </c>
      <c r="D878" s="32" t="s">
        <v>192</v>
      </c>
      <c r="E878" s="32" t="s">
        <v>215</v>
      </c>
      <c r="F878" s="32" t="s">
        <v>329</v>
      </c>
      <c r="G878" s="32" t="s">
        <v>447</v>
      </c>
    </row>
    <row r="879" ht="16.5" customHeight="1">
      <c r="A879" s="32">
        <v>878.0</v>
      </c>
      <c r="B879" s="32" t="s">
        <v>1381</v>
      </c>
      <c r="C879" s="32" t="s">
        <v>184</v>
      </c>
      <c r="D879" s="32" t="s">
        <v>234</v>
      </c>
      <c r="E879" s="32" t="s">
        <v>215</v>
      </c>
    </row>
    <row r="880" ht="16.5" customHeight="1">
      <c r="A880" s="32">
        <v>879.0</v>
      </c>
      <c r="B880" s="32" t="s">
        <v>1382</v>
      </c>
      <c r="C880" s="32" t="s">
        <v>184</v>
      </c>
      <c r="D880" s="32" t="s">
        <v>285</v>
      </c>
      <c r="E880" s="32" t="s">
        <v>215</v>
      </c>
      <c r="F880" s="32" t="s">
        <v>189</v>
      </c>
    </row>
    <row r="881" ht="16.5" customHeight="1">
      <c r="A881" s="32">
        <v>880.0</v>
      </c>
      <c r="B881" s="32" t="s">
        <v>1383</v>
      </c>
      <c r="C881" s="32" t="s">
        <v>184</v>
      </c>
      <c r="D881" s="32" t="s">
        <v>228</v>
      </c>
      <c r="E881" s="32" t="s">
        <v>215</v>
      </c>
      <c r="F881" s="32" t="s">
        <v>229</v>
      </c>
      <c r="G881" s="32" t="s">
        <v>244</v>
      </c>
    </row>
    <row r="882" ht="16.5" customHeight="1">
      <c r="A882" s="32">
        <v>881.0</v>
      </c>
      <c r="B882" s="32" t="s">
        <v>57</v>
      </c>
      <c r="C882" s="32" t="s">
        <v>184</v>
      </c>
      <c r="D882" s="32" t="s">
        <v>228</v>
      </c>
      <c r="E882" s="32" t="s">
        <v>215</v>
      </c>
      <c r="F882" s="32" t="s">
        <v>229</v>
      </c>
      <c r="G882" s="32" t="s">
        <v>244</v>
      </c>
    </row>
    <row r="883" ht="16.5" customHeight="1">
      <c r="A883" s="32">
        <v>882.0</v>
      </c>
      <c r="B883" s="32" t="s">
        <v>1384</v>
      </c>
      <c r="C883" s="32" t="s">
        <v>184</v>
      </c>
      <c r="D883" s="32" t="s">
        <v>228</v>
      </c>
      <c r="E883" s="32" t="s">
        <v>215</v>
      </c>
      <c r="F883" s="32" t="s">
        <v>229</v>
      </c>
      <c r="G883" s="32" t="s">
        <v>244</v>
      </c>
    </row>
    <row r="884" ht="16.5" customHeight="1">
      <c r="A884" s="32">
        <v>883.0</v>
      </c>
      <c r="B884" s="32" t="s">
        <v>1384</v>
      </c>
      <c r="C884" s="32" t="s">
        <v>184</v>
      </c>
      <c r="D884" s="32" t="s">
        <v>234</v>
      </c>
      <c r="E884" s="32" t="s">
        <v>215</v>
      </c>
    </row>
    <row r="885" ht="16.5" customHeight="1">
      <c r="A885" s="32">
        <v>884.0</v>
      </c>
      <c r="B885" s="32" t="s">
        <v>1385</v>
      </c>
      <c r="C885" s="32" t="s">
        <v>184</v>
      </c>
      <c r="D885" s="32" t="s">
        <v>192</v>
      </c>
      <c r="E885" s="32" t="s">
        <v>215</v>
      </c>
      <c r="F885" s="32" t="s">
        <v>329</v>
      </c>
      <c r="G885" s="32" t="s">
        <v>357</v>
      </c>
    </row>
    <row r="886" ht="16.5" customHeight="1">
      <c r="A886" s="32">
        <v>885.0</v>
      </c>
      <c r="B886" s="32" t="s">
        <v>1386</v>
      </c>
      <c r="C886" s="32" t="s">
        <v>184</v>
      </c>
      <c r="D886" s="32" t="s">
        <v>228</v>
      </c>
      <c r="E886" s="32" t="s">
        <v>215</v>
      </c>
      <c r="F886" s="32" t="s">
        <v>229</v>
      </c>
      <c r="G886" s="32" t="s">
        <v>244</v>
      </c>
    </row>
    <row r="887" ht="16.5" customHeight="1">
      <c r="A887" s="32">
        <v>886.0</v>
      </c>
      <c r="B887" s="32" t="s">
        <v>1387</v>
      </c>
      <c r="C887" s="32" t="s">
        <v>184</v>
      </c>
      <c r="D887" s="32" t="s">
        <v>285</v>
      </c>
      <c r="E887" s="32" t="s">
        <v>215</v>
      </c>
      <c r="F887" s="32" t="s">
        <v>189</v>
      </c>
      <c r="G887" s="32" t="s">
        <v>190</v>
      </c>
    </row>
    <row r="888" ht="16.5" customHeight="1">
      <c r="A888" s="32">
        <v>887.0</v>
      </c>
      <c r="B888" s="32" t="s">
        <v>1388</v>
      </c>
      <c r="C888" s="32" t="s">
        <v>184</v>
      </c>
      <c r="D888" s="32" t="s">
        <v>285</v>
      </c>
      <c r="E888" s="32" t="s">
        <v>215</v>
      </c>
      <c r="F888" s="32" t="s">
        <v>189</v>
      </c>
    </row>
    <row r="889" ht="16.5" customHeight="1">
      <c r="A889" s="32">
        <v>888.0</v>
      </c>
      <c r="B889" s="32" t="s">
        <v>1389</v>
      </c>
      <c r="C889" s="32" t="s">
        <v>184</v>
      </c>
      <c r="D889" s="35" t="s">
        <v>294</v>
      </c>
      <c r="E889" s="32" t="s">
        <v>215</v>
      </c>
      <c r="F889" s="32" t="s">
        <v>189</v>
      </c>
      <c r="G889" s="32" t="s">
        <v>190</v>
      </c>
    </row>
    <row r="890" ht="16.5" customHeight="1">
      <c r="A890" s="32">
        <v>889.0</v>
      </c>
      <c r="B890" s="32" t="s">
        <v>1390</v>
      </c>
      <c r="C890" s="32" t="s">
        <v>184</v>
      </c>
      <c r="D890" s="32" t="s">
        <v>254</v>
      </c>
      <c r="E890" s="32" t="s">
        <v>215</v>
      </c>
    </row>
    <row r="891" ht="16.5" customHeight="1">
      <c r="A891" s="32">
        <v>890.0</v>
      </c>
      <c r="B891" s="32" t="s">
        <v>1391</v>
      </c>
      <c r="C891" s="32" t="s">
        <v>184</v>
      </c>
      <c r="D891" s="32" t="s">
        <v>192</v>
      </c>
      <c r="E891" s="32" t="s">
        <v>215</v>
      </c>
    </row>
    <row r="892" ht="16.5" customHeight="1">
      <c r="A892" s="32">
        <v>891.0</v>
      </c>
      <c r="B892" s="32" t="s">
        <v>1392</v>
      </c>
      <c r="C892" s="32" t="s">
        <v>184</v>
      </c>
      <c r="D892" s="32" t="s">
        <v>254</v>
      </c>
      <c r="E892" s="32" t="s">
        <v>215</v>
      </c>
    </row>
    <row r="893" ht="16.5" customHeight="1">
      <c r="A893" s="32">
        <v>892.0</v>
      </c>
      <c r="B893" s="32" t="s">
        <v>1393</v>
      </c>
      <c r="C893" s="32" t="s">
        <v>184</v>
      </c>
      <c r="D893" s="32" t="s">
        <v>192</v>
      </c>
      <c r="E893" s="32" t="s">
        <v>215</v>
      </c>
    </row>
    <row r="894" ht="16.5" customHeight="1">
      <c r="A894" s="32">
        <v>893.0</v>
      </c>
      <c r="B894" s="32" t="s">
        <v>1394</v>
      </c>
      <c r="C894" s="32" t="s">
        <v>184</v>
      </c>
      <c r="D894" s="32" t="s">
        <v>214</v>
      </c>
      <c r="E894" s="32" t="s">
        <v>215</v>
      </c>
      <c r="F894" s="32" t="s">
        <v>216</v>
      </c>
      <c r="G894" s="32" t="s">
        <v>217</v>
      </c>
    </row>
    <row r="895" ht="16.5" customHeight="1">
      <c r="A895" s="32">
        <v>894.0</v>
      </c>
      <c r="B895" s="32" t="s">
        <v>213</v>
      </c>
      <c r="C895" s="32" t="s">
        <v>184</v>
      </c>
      <c r="D895" s="32" t="s">
        <v>214</v>
      </c>
      <c r="E895" s="32" t="s">
        <v>215</v>
      </c>
      <c r="F895" s="32" t="s">
        <v>216</v>
      </c>
      <c r="G895" s="32" t="s">
        <v>217</v>
      </c>
    </row>
    <row r="896" ht="16.5" customHeight="1">
      <c r="A896" s="32">
        <v>895.0</v>
      </c>
      <c r="B896" s="32" t="s">
        <v>1395</v>
      </c>
      <c r="C896" s="32" t="s">
        <v>184</v>
      </c>
      <c r="D896" s="32" t="s">
        <v>254</v>
      </c>
      <c r="E896" s="32" t="s">
        <v>215</v>
      </c>
      <c r="F896" s="32" t="s">
        <v>305</v>
      </c>
      <c r="G896" s="32" t="s">
        <v>600</v>
      </c>
    </row>
    <row r="897" ht="16.5" customHeight="1">
      <c r="A897" s="32">
        <v>896.0</v>
      </c>
      <c r="B897" s="32" t="s">
        <v>1396</v>
      </c>
      <c r="C897" s="32" t="s">
        <v>184</v>
      </c>
      <c r="D897" s="32" t="s">
        <v>254</v>
      </c>
      <c r="E897" s="32" t="s">
        <v>215</v>
      </c>
      <c r="F897" s="32" t="s">
        <v>305</v>
      </c>
      <c r="G897" s="32" t="s">
        <v>600</v>
      </c>
    </row>
    <row r="898" ht="16.5" customHeight="1">
      <c r="A898" s="32">
        <v>897.0</v>
      </c>
      <c r="B898" s="32" t="s">
        <v>1397</v>
      </c>
      <c r="C898" s="32" t="s">
        <v>184</v>
      </c>
      <c r="D898" s="32" t="s">
        <v>219</v>
      </c>
      <c r="E898" s="32" t="s">
        <v>215</v>
      </c>
      <c r="F898" s="32" t="s">
        <v>223</v>
      </c>
    </row>
    <row r="899" ht="16.5" customHeight="1">
      <c r="A899" s="32">
        <v>898.0</v>
      </c>
      <c r="B899" s="32" t="s">
        <v>1398</v>
      </c>
      <c r="C899" s="32" t="s">
        <v>184</v>
      </c>
      <c r="D899" s="32" t="s">
        <v>219</v>
      </c>
      <c r="E899" s="32" t="s">
        <v>215</v>
      </c>
      <c r="F899" s="32" t="s">
        <v>223</v>
      </c>
    </row>
    <row r="900" ht="16.5" customHeight="1">
      <c r="A900" s="32">
        <v>899.0</v>
      </c>
      <c r="B900" s="32" t="s">
        <v>1399</v>
      </c>
      <c r="C900" s="32" t="s">
        <v>184</v>
      </c>
      <c r="D900" s="32" t="s">
        <v>228</v>
      </c>
      <c r="E900" s="32" t="s">
        <v>215</v>
      </c>
    </row>
    <row r="901" ht="16.5" customHeight="1">
      <c r="A901" s="32">
        <v>900.0</v>
      </c>
      <c r="B901" s="32" t="s">
        <v>1400</v>
      </c>
      <c r="C901" s="32" t="s">
        <v>184</v>
      </c>
      <c r="D901" s="32" t="s">
        <v>192</v>
      </c>
      <c r="E901" s="32" t="s">
        <v>215</v>
      </c>
      <c r="F901" s="32" t="s">
        <v>329</v>
      </c>
      <c r="G901" s="32" t="s">
        <v>447</v>
      </c>
    </row>
    <row r="902" ht="16.5" customHeight="1">
      <c r="A902" s="32">
        <v>901.0</v>
      </c>
      <c r="B902" s="32" t="s">
        <v>1401</v>
      </c>
      <c r="C902" s="32" t="s">
        <v>184</v>
      </c>
      <c r="D902" s="32" t="s">
        <v>219</v>
      </c>
      <c r="E902" s="32" t="s">
        <v>215</v>
      </c>
      <c r="F902" s="32" t="s">
        <v>223</v>
      </c>
    </row>
    <row r="903" ht="16.5" customHeight="1">
      <c r="A903" s="32">
        <v>902.0</v>
      </c>
      <c r="B903" s="32" t="s">
        <v>1402</v>
      </c>
      <c r="C903" s="32" t="s">
        <v>184</v>
      </c>
      <c r="D903" s="32" t="s">
        <v>185</v>
      </c>
      <c r="E903" s="32" t="s">
        <v>215</v>
      </c>
    </row>
    <row r="904" ht="16.5" customHeight="1">
      <c r="A904" s="32">
        <v>903.0</v>
      </c>
      <c r="B904" s="32" t="s">
        <v>1403</v>
      </c>
      <c r="C904" s="32" t="s">
        <v>184</v>
      </c>
      <c r="D904" s="32" t="s">
        <v>185</v>
      </c>
      <c r="E904" s="32" t="s">
        <v>215</v>
      </c>
    </row>
    <row r="905" ht="16.5" customHeight="1">
      <c r="A905" s="32">
        <v>904.0</v>
      </c>
      <c r="B905" s="32" t="s">
        <v>1404</v>
      </c>
      <c r="C905" s="32" t="s">
        <v>184</v>
      </c>
      <c r="D905" s="32" t="s">
        <v>185</v>
      </c>
      <c r="E905" s="32" t="s">
        <v>215</v>
      </c>
      <c r="F905" s="32" t="s">
        <v>508</v>
      </c>
    </row>
    <row r="906" ht="16.5" customHeight="1">
      <c r="A906" s="32">
        <v>905.0</v>
      </c>
      <c r="B906" s="32" t="s">
        <v>1405</v>
      </c>
      <c r="C906" s="32" t="s">
        <v>184</v>
      </c>
      <c r="D906" s="32" t="s">
        <v>185</v>
      </c>
      <c r="E906" s="32" t="s">
        <v>215</v>
      </c>
      <c r="F906" s="32" t="s">
        <v>475</v>
      </c>
      <c r="G906" s="32" t="s">
        <v>476</v>
      </c>
    </row>
    <row r="907" ht="16.5" customHeight="1">
      <c r="A907" s="32">
        <v>906.0</v>
      </c>
      <c r="B907" s="32" t="s">
        <v>1406</v>
      </c>
      <c r="C907" s="32" t="s">
        <v>184</v>
      </c>
      <c r="D907" s="32" t="s">
        <v>285</v>
      </c>
      <c r="E907" s="32" t="s">
        <v>215</v>
      </c>
      <c r="F907" s="32" t="s">
        <v>1407</v>
      </c>
      <c r="G907" s="32" t="s">
        <v>1408</v>
      </c>
    </row>
    <row r="908" ht="16.5" customHeight="1">
      <c r="A908" s="32">
        <v>907.0</v>
      </c>
      <c r="B908" s="32" t="s">
        <v>1409</v>
      </c>
      <c r="C908" s="32" t="s">
        <v>184</v>
      </c>
      <c r="D908" s="32" t="s">
        <v>185</v>
      </c>
      <c r="E908" s="32" t="s">
        <v>215</v>
      </c>
      <c r="F908" s="32" t="s">
        <v>1410</v>
      </c>
      <c r="G908" s="32" t="s">
        <v>515</v>
      </c>
    </row>
    <row r="909" ht="16.5" customHeight="1">
      <c r="A909" s="32">
        <v>908.0</v>
      </c>
      <c r="B909" s="32" t="s">
        <v>1411</v>
      </c>
      <c r="C909" s="32" t="s">
        <v>184</v>
      </c>
      <c r="D909" s="32" t="s">
        <v>254</v>
      </c>
      <c r="E909" s="32" t="s">
        <v>215</v>
      </c>
      <c r="F909" s="32" t="s">
        <v>257</v>
      </c>
    </row>
    <row r="910" ht="16.5" customHeight="1">
      <c r="A910" s="32">
        <v>909.0</v>
      </c>
      <c r="B910" s="32" t="s">
        <v>1412</v>
      </c>
      <c r="C910" s="32" t="s">
        <v>184</v>
      </c>
      <c r="D910" s="32" t="s">
        <v>254</v>
      </c>
      <c r="E910" s="32" t="s">
        <v>215</v>
      </c>
    </row>
    <row r="911" ht="16.5" customHeight="1">
      <c r="A911" s="32">
        <v>910.0</v>
      </c>
      <c r="B911" s="32" t="s">
        <v>1413</v>
      </c>
      <c r="C911" s="32" t="s">
        <v>184</v>
      </c>
      <c r="D911" s="32" t="s">
        <v>234</v>
      </c>
      <c r="E911" s="32" t="s">
        <v>215</v>
      </c>
      <c r="F911" s="32" t="s">
        <v>415</v>
      </c>
      <c r="G911" s="32" t="s">
        <v>243</v>
      </c>
    </row>
    <row r="912" ht="16.5" customHeight="1">
      <c r="A912" s="32">
        <v>911.0</v>
      </c>
      <c r="B912" s="32" t="s">
        <v>1414</v>
      </c>
      <c r="C912" s="32" t="s">
        <v>184</v>
      </c>
      <c r="D912" s="32" t="s">
        <v>234</v>
      </c>
      <c r="E912" s="32" t="s">
        <v>215</v>
      </c>
      <c r="F912" s="32" t="s">
        <v>415</v>
      </c>
      <c r="G912" s="32" t="s">
        <v>243</v>
      </c>
    </row>
    <row r="913" ht="16.5" customHeight="1">
      <c r="A913" s="32">
        <v>912.0</v>
      </c>
      <c r="B913" s="32" t="s">
        <v>1415</v>
      </c>
      <c r="C913" s="32" t="s">
        <v>184</v>
      </c>
      <c r="D913" s="32" t="s">
        <v>192</v>
      </c>
      <c r="E913" s="32" t="s">
        <v>215</v>
      </c>
      <c r="F913" s="32" t="s">
        <v>329</v>
      </c>
      <c r="G913" s="32" t="s">
        <v>457</v>
      </c>
    </row>
    <row r="914" ht="16.5" customHeight="1">
      <c r="A914" s="32">
        <v>913.0</v>
      </c>
      <c r="B914" s="32" t="s">
        <v>1416</v>
      </c>
      <c r="C914" s="32" t="s">
        <v>184</v>
      </c>
      <c r="D914" s="32" t="s">
        <v>219</v>
      </c>
      <c r="E914" s="32" t="s">
        <v>215</v>
      </c>
    </row>
    <row r="915" ht="16.5" customHeight="1">
      <c r="A915" s="32">
        <v>914.0</v>
      </c>
      <c r="B915" s="32" t="s">
        <v>1417</v>
      </c>
      <c r="C915" s="32" t="s">
        <v>184</v>
      </c>
      <c r="D915" s="32" t="s">
        <v>219</v>
      </c>
      <c r="E915" s="32" t="s">
        <v>215</v>
      </c>
    </row>
    <row r="916" ht="16.5" customHeight="1">
      <c r="A916" s="32">
        <v>915.0</v>
      </c>
      <c r="B916" s="32" t="s">
        <v>1418</v>
      </c>
      <c r="C916" s="32" t="s">
        <v>184</v>
      </c>
      <c r="D916" s="32" t="s">
        <v>228</v>
      </c>
      <c r="E916" s="32" t="s">
        <v>215</v>
      </c>
      <c r="F916" s="32" t="s">
        <v>408</v>
      </c>
      <c r="G916" s="32" t="s">
        <v>731</v>
      </c>
    </row>
    <row r="917" ht="16.5" customHeight="1">
      <c r="A917" s="32">
        <v>916.0</v>
      </c>
      <c r="B917" s="32" t="s">
        <v>1419</v>
      </c>
      <c r="C917" s="32" t="s">
        <v>184</v>
      </c>
      <c r="D917" s="32" t="s">
        <v>234</v>
      </c>
      <c r="E917" s="32" t="s">
        <v>215</v>
      </c>
      <c r="F917" s="32" t="s">
        <v>415</v>
      </c>
      <c r="G917" s="32" t="s">
        <v>236</v>
      </c>
    </row>
    <row r="918" ht="16.5" customHeight="1">
      <c r="A918" s="32">
        <v>917.0</v>
      </c>
      <c r="B918" s="32" t="s">
        <v>1420</v>
      </c>
      <c r="C918" s="32" t="s">
        <v>184</v>
      </c>
      <c r="D918" s="32" t="s">
        <v>234</v>
      </c>
      <c r="E918" s="32" t="s">
        <v>215</v>
      </c>
      <c r="F918" s="32" t="s">
        <v>415</v>
      </c>
      <c r="G918" s="32" t="s">
        <v>236</v>
      </c>
    </row>
    <row r="919" ht="16.5" customHeight="1">
      <c r="A919" s="32">
        <v>918.0</v>
      </c>
      <c r="B919" s="32" t="s">
        <v>1421</v>
      </c>
      <c r="C919" s="32" t="s">
        <v>184</v>
      </c>
      <c r="D919" s="32" t="s">
        <v>234</v>
      </c>
      <c r="E919" s="32" t="s">
        <v>215</v>
      </c>
      <c r="F919" s="32" t="s">
        <v>415</v>
      </c>
      <c r="G919" s="32" t="s">
        <v>236</v>
      </c>
    </row>
    <row r="920" ht="16.5" customHeight="1">
      <c r="A920" s="32">
        <v>919.0</v>
      </c>
      <c r="B920" s="32" t="s">
        <v>1422</v>
      </c>
      <c r="C920" s="32" t="s">
        <v>184</v>
      </c>
      <c r="D920" s="32" t="s">
        <v>192</v>
      </c>
      <c r="E920" s="32" t="s">
        <v>215</v>
      </c>
      <c r="F920" s="32" t="s">
        <v>300</v>
      </c>
      <c r="G920" s="32" t="s">
        <v>1423</v>
      </c>
    </row>
    <row r="921" ht="16.5" customHeight="1">
      <c r="A921" s="32">
        <v>920.0</v>
      </c>
      <c r="B921" s="32" t="s">
        <v>1424</v>
      </c>
      <c r="C921" s="32" t="s">
        <v>184</v>
      </c>
      <c r="D921" s="32" t="s">
        <v>192</v>
      </c>
      <c r="E921" s="32" t="s">
        <v>215</v>
      </c>
      <c r="F921" s="32" t="s">
        <v>300</v>
      </c>
      <c r="G921" s="32" t="s">
        <v>1423</v>
      </c>
    </row>
    <row r="922" ht="16.5" customHeight="1">
      <c r="A922" s="32">
        <v>921.0</v>
      </c>
      <c r="B922" s="32" t="s">
        <v>1425</v>
      </c>
      <c r="C922" s="32" t="s">
        <v>184</v>
      </c>
      <c r="D922" s="32" t="s">
        <v>219</v>
      </c>
      <c r="E922" s="32" t="s">
        <v>215</v>
      </c>
    </row>
    <row r="923" ht="16.5" customHeight="1">
      <c r="A923" s="32">
        <v>922.0</v>
      </c>
      <c r="B923" s="32" t="s">
        <v>1426</v>
      </c>
      <c r="C923" s="32" t="s">
        <v>184</v>
      </c>
      <c r="D923" s="32" t="s">
        <v>219</v>
      </c>
      <c r="E923" s="32" t="s">
        <v>215</v>
      </c>
      <c r="F923" s="32" t="s">
        <v>223</v>
      </c>
    </row>
    <row r="924" ht="16.5" customHeight="1">
      <c r="A924" s="32">
        <v>923.0</v>
      </c>
      <c r="B924" s="32" t="s">
        <v>1427</v>
      </c>
      <c r="C924" s="32" t="s">
        <v>184</v>
      </c>
      <c r="D924" s="32" t="s">
        <v>219</v>
      </c>
      <c r="E924" s="32" t="s">
        <v>215</v>
      </c>
      <c r="F924" s="32" t="s">
        <v>223</v>
      </c>
    </row>
    <row r="925" ht="16.5" customHeight="1">
      <c r="A925" s="32">
        <v>924.0</v>
      </c>
      <c r="B925" s="32" t="s">
        <v>1428</v>
      </c>
      <c r="C925" s="32" t="s">
        <v>184</v>
      </c>
      <c r="D925" s="32" t="s">
        <v>254</v>
      </c>
      <c r="E925" s="32" t="s">
        <v>215</v>
      </c>
      <c r="F925" s="32" t="s">
        <v>257</v>
      </c>
      <c r="G925" s="32" t="s">
        <v>256</v>
      </c>
    </row>
    <row r="926" ht="16.5" customHeight="1">
      <c r="A926" s="32">
        <v>925.0</v>
      </c>
      <c r="B926" s="32" t="s">
        <v>1429</v>
      </c>
      <c r="C926" s="32" t="s">
        <v>184</v>
      </c>
      <c r="D926" s="32" t="s">
        <v>254</v>
      </c>
      <c r="E926" s="32" t="s">
        <v>215</v>
      </c>
    </row>
    <row r="927" ht="16.5" customHeight="1">
      <c r="A927" s="32">
        <v>926.0</v>
      </c>
      <c r="B927" s="32" t="s">
        <v>1430</v>
      </c>
      <c r="C927" s="32" t="s">
        <v>184</v>
      </c>
      <c r="D927" s="32" t="s">
        <v>219</v>
      </c>
      <c r="E927" s="32" t="s">
        <v>215</v>
      </c>
      <c r="F927" s="32" t="s">
        <v>223</v>
      </c>
    </row>
    <row r="928" ht="16.5" customHeight="1">
      <c r="A928" s="32">
        <v>927.0</v>
      </c>
      <c r="B928" s="32" t="s">
        <v>1431</v>
      </c>
      <c r="C928" s="32" t="s">
        <v>184</v>
      </c>
      <c r="D928" s="32" t="s">
        <v>219</v>
      </c>
      <c r="E928" s="32" t="s">
        <v>215</v>
      </c>
    </row>
    <row r="929" ht="16.5" customHeight="1">
      <c r="A929" s="32">
        <v>928.0</v>
      </c>
      <c r="B929" s="32" t="s">
        <v>1432</v>
      </c>
      <c r="C929" s="32" t="s">
        <v>184</v>
      </c>
      <c r="D929" s="32" t="s">
        <v>185</v>
      </c>
      <c r="E929" s="32" t="s">
        <v>215</v>
      </c>
    </row>
    <row r="930" ht="16.5" customHeight="1">
      <c r="A930" s="32">
        <v>929.0</v>
      </c>
      <c r="B930" s="32" t="s">
        <v>1433</v>
      </c>
      <c r="C930" s="32" t="s">
        <v>184</v>
      </c>
      <c r="D930" s="32" t="s">
        <v>219</v>
      </c>
      <c r="E930" s="32" t="s">
        <v>215</v>
      </c>
      <c r="F930" s="32" t="s">
        <v>223</v>
      </c>
    </row>
    <row r="931" ht="16.5" customHeight="1">
      <c r="A931" s="32">
        <v>930.0</v>
      </c>
      <c r="B931" s="32" t="s">
        <v>1279</v>
      </c>
      <c r="C931" s="32" t="s">
        <v>184</v>
      </c>
      <c r="D931" s="32" t="s">
        <v>254</v>
      </c>
      <c r="E931" s="32" t="s">
        <v>215</v>
      </c>
      <c r="F931" s="32" t="s">
        <v>256</v>
      </c>
      <c r="G931" s="32" t="s">
        <v>257</v>
      </c>
    </row>
    <row r="932" ht="16.5" customHeight="1">
      <c r="A932" s="32">
        <v>931.0</v>
      </c>
      <c r="B932" s="32" t="s">
        <v>1434</v>
      </c>
      <c r="C932" s="32" t="s">
        <v>184</v>
      </c>
      <c r="D932" s="32" t="s">
        <v>254</v>
      </c>
      <c r="E932" s="32" t="s">
        <v>215</v>
      </c>
      <c r="F932" s="32" t="s">
        <v>256</v>
      </c>
      <c r="G932" s="32" t="s">
        <v>257</v>
      </c>
    </row>
    <row r="933" ht="16.5" customHeight="1">
      <c r="A933" s="32">
        <v>932.0</v>
      </c>
      <c r="B933" s="32" t="s">
        <v>1435</v>
      </c>
      <c r="C933" s="32" t="s">
        <v>184</v>
      </c>
      <c r="D933" s="32" t="s">
        <v>254</v>
      </c>
      <c r="E933" s="32" t="s">
        <v>215</v>
      </c>
      <c r="F933" s="32" t="s">
        <v>305</v>
      </c>
      <c r="G933" s="32" t="s">
        <v>257</v>
      </c>
    </row>
    <row r="934" ht="16.5" customHeight="1">
      <c r="A934" s="32">
        <v>933.0</v>
      </c>
      <c r="B934" s="32" t="s">
        <v>1436</v>
      </c>
      <c r="C934" s="32" t="s">
        <v>184</v>
      </c>
      <c r="D934" s="32" t="s">
        <v>192</v>
      </c>
      <c r="E934" s="32" t="s">
        <v>215</v>
      </c>
    </row>
    <row r="935" ht="16.5" customHeight="1">
      <c r="A935" s="32">
        <v>934.0</v>
      </c>
      <c r="B935" s="32" t="s">
        <v>1437</v>
      </c>
      <c r="C935" s="32" t="s">
        <v>184</v>
      </c>
      <c r="D935" s="32" t="s">
        <v>192</v>
      </c>
      <c r="E935" s="32" t="s">
        <v>215</v>
      </c>
      <c r="F935" s="32" t="s">
        <v>300</v>
      </c>
      <c r="G935" s="32" t="s">
        <v>535</v>
      </c>
    </row>
    <row r="936" ht="16.5" customHeight="1">
      <c r="A936" s="32">
        <v>935.0</v>
      </c>
      <c r="B936" s="32" t="s">
        <v>1438</v>
      </c>
      <c r="C936" s="32" t="s">
        <v>184</v>
      </c>
      <c r="D936" s="32" t="s">
        <v>192</v>
      </c>
      <c r="E936" s="32" t="s">
        <v>215</v>
      </c>
    </row>
    <row r="937" ht="16.5" customHeight="1">
      <c r="A937" s="32">
        <v>936.0</v>
      </c>
      <c r="B937" s="32" t="s">
        <v>1439</v>
      </c>
      <c r="C937" s="32" t="s">
        <v>184</v>
      </c>
      <c r="D937" s="32" t="s">
        <v>219</v>
      </c>
      <c r="E937" s="32" t="s">
        <v>215</v>
      </c>
      <c r="F937" s="32" t="s">
        <v>241</v>
      </c>
      <c r="G937" s="32" t="s">
        <v>292</v>
      </c>
    </row>
    <row r="938" ht="16.5" customHeight="1">
      <c r="A938" s="32">
        <v>937.0</v>
      </c>
      <c r="B938" s="32" t="s">
        <v>1440</v>
      </c>
      <c r="C938" s="32" t="s">
        <v>184</v>
      </c>
      <c r="D938" s="32" t="s">
        <v>185</v>
      </c>
      <c r="E938" s="32" t="s">
        <v>215</v>
      </c>
      <c r="F938" s="32" t="s">
        <v>187</v>
      </c>
      <c r="G938" s="32" t="s">
        <v>188</v>
      </c>
    </row>
    <row r="939" ht="16.5" customHeight="1">
      <c r="A939" s="32">
        <v>938.0</v>
      </c>
      <c r="B939" s="32" t="s">
        <v>1441</v>
      </c>
      <c r="C939" s="32" t="s">
        <v>184</v>
      </c>
      <c r="D939" s="32" t="s">
        <v>228</v>
      </c>
      <c r="E939" s="32" t="s">
        <v>215</v>
      </c>
      <c r="F939" s="32" t="s">
        <v>408</v>
      </c>
      <c r="G939" s="32" t="s">
        <v>490</v>
      </c>
    </row>
    <row r="940" ht="16.5" customHeight="1">
      <c r="A940" s="32">
        <v>939.0</v>
      </c>
      <c r="B940" s="32" t="s">
        <v>1442</v>
      </c>
      <c r="C940" s="32" t="s">
        <v>184</v>
      </c>
      <c r="D940" s="32" t="s">
        <v>192</v>
      </c>
      <c r="E940" s="32" t="s">
        <v>215</v>
      </c>
    </row>
    <row r="941" ht="16.5" customHeight="1">
      <c r="A941" s="32">
        <v>940.0</v>
      </c>
      <c r="B941" s="32" t="s">
        <v>1443</v>
      </c>
      <c r="C941" s="32" t="s">
        <v>184</v>
      </c>
      <c r="D941" s="32" t="s">
        <v>228</v>
      </c>
      <c r="E941" s="32" t="s">
        <v>215</v>
      </c>
      <c r="F941" s="32" t="s">
        <v>243</v>
      </c>
      <c r="G941" s="32" t="s">
        <v>1444</v>
      </c>
    </row>
    <row r="942" ht="16.5" customHeight="1">
      <c r="A942" s="32">
        <v>941.0</v>
      </c>
      <c r="B942" s="32" t="s">
        <v>1445</v>
      </c>
      <c r="C942" s="32" t="s">
        <v>184</v>
      </c>
      <c r="D942" s="32" t="s">
        <v>192</v>
      </c>
      <c r="E942" s="32" t="s">
        <v>215</v>
      </c>
    </row>
    <row r="943" ht="16.5" customHeight="1">
      <c r="A943" s="32">
        <v>942.0</v>
      </c>
      <c r="B943" s="32" t="s">
        <v>1446</v>
      </c>
      <c r="C943" s="32" t="s">
        <v>184</v>
      </c>
      <c r="D943" s="32" t="s">
        <v>219</v>
      </c>
      <c r="E943" s="32" t="s">
        <v>215</v>
      </c>
      <c r="F943" s="32" t="s">
        <v>223</v>
      </c>
    </row>
    <row r="944" ht="16.5" customHeight="1">
      <c r="A944" s="32">
        <v>943.0</v>
      </c>
      <c r="B944" s="32" t="s">
        <v>1447</v>
      </c>
      <c r="C944" s="32" t="s">
        <v>184</v>
      </c>
      <c r="D944" s="32" t="s">
        <v>219</v>
      </c>
      <c r="E944" s="32" t="s">
        <v>215</v>
      </c>
      <c r="F944" s="32" t="s">
        <v>223</v>
      </c>
    </row>
    <row r="945" ht="16.5" customHeight="1">
      <c r="A945" s="32">
        <v>944.0</v>
      </c>
      <c r="B945" s="32" t="s">
        <v>1448</v>
      </c>
      <c r="C945" s="32" t="s">
        <v>184</v>
      </c>
      <c r="D945" s="32" t="s">
        <v>192</v>
      </c>
      <c r="E945" s="32" t="s">
        <v>215</v>
      </c>
      <c r="F945" s="32" t="s">
        <v>300</v>
      </c>
      <c r="G945" s="32" t="s">
        <v>1449</v>
      </c>
    </row>
    <row r="946" ht="16.5" customHeight="1">
      <c r="A946" s="32">
        <v>945.0</v>
      </c>
      <c r="B946" s="32" t="s">
        <v>1450</v>
      </c>
      <c r="C946" s="32" t="s">
        <v>184</v>
      </c>
      <c r="D946" s="32" t="s">
        <v>285</v>
      </c>
      <c r="E946" s="32" t="s">
        <v>215</v>
      </c>
      <c r="F946" s="32" t="s">
        <v>295</v>
      </c>
    </row>
    <row r="947" ht="16.5" customHeight="1">
      <c r="A947" s="32">
        <v>946.0</v>
      </c>
      <c r="B947" s="32" t="s">
        <v>1451</v>
      </c>
      <c r="C947" s="32" t="s">
        <v>184</v>
      </c>
      <c r="D947" s="32" t="s">
        <v>285</v>
      </c>
      <c r="E947" s="32" t="s">
        <v>215</v>
      </c>
      <c r="F947" s="32" t="s">
        <v>295</v>
      </c>
    </row>
    <row r="948" ht="16.5" customHeight="1">
      <c r="A948" s="32">
        <v>947.0</v>
      </c>
      <c r="B948" s="32" t="s">
        <v>1452</v>
      </c>
      <c r="C948" s="32" t="s">
        <v>184</v>
      </c>
      <c r="D948" s="32" t="s">
        <v>192</v>
      </c>
      <c r="E948" s="32" t="s">
        <v>215</v>
      </c>
      <c r="F948" s="32" t="s">
        <v>300</v>
      </c>
      <c r="G948" s="32" t="s">
        <v>1357</v>
      </c>
    </row>
    <row r="949" ht="16.5" customHeight="1">
      <c r="A949" s="32">
        <v>948.0</v>
      </c>
      <c r="B949" s="32" t="s">
        <v>1453</v>
      </c>
      <c r="C949" s="32" t="s">
        <v>184</v>
      </c>
      <c r="D949" s="32" t="s">
        <v>192</v>
      </c>
      <c r="E949" s="32" t="s">
        <v>215</v>
      </c>
      <c r="F949" s="32" t="s">
        <v>300</v>
      </c>
      <c r="G949" s="32" t="s">
        <v>1357</v>
      </c>
    </row>
    <row r="950" ht="16.5" customHeight="1">
      <c r="A950" s="32">
        <v>949.0</v>
      </c>
      <c r="B950" s="32" t="s">
        <v>54</v>
      </c>
      <c r="C950" s="32" t="s">
        <v>184</v>
      </c>
      <c r="D950" s="32" t="s">
        <v>228</v>
      </c>
      <c r="E950" s="32" t="s">
        <v>215</v>
      </c>
      <c r="F950" s="32" t="s">
        <v>544</v>
      </c>
      <c r="G950" s="32" t="s">
        <v>545</v>
      </c>
    </row>
    <row r="951" ht="16.5" customHeight="1">
      <c r="A951" s="32">
        <v>950.0</v>
      </c>
      <c r="B951" s="32" t="s">
        <v>1454</v>
      </c>
      <c r="C951" s="32" t="s">
        <v>184</v>
      </c>
      <c r="D951" s="32" t="s">
        <v>228</v>
      </c>
      <c r="E951" s="32" t="s">
        <v>215</v>
      </c>
      <c r="F951" s="32" t="s">
        <v>544</v>
      </c>
      <c r="G951" s="32" t="s">
        <v>545</v>
      </c>
    </row>
    <row r="952" ht="16.5" customHeight="1">
      <c r="A952" s="32">
        <v>951.0</v>
      </c>
      <c r="B952" s="32" t="s">
        <v>1455</v>
      </c>
      <c r="C952" s="32" t="s">
        <v>184</v>
      </c>
      <c r="D952" s="32" t="s">
        <v>228</v>
      </c>
      <c r="E952" s="32" t="s">
        <v>215</v>
      </c>
    </row>
    <row r="953" ht="16.5" customHeight="1">
      <c r="A953" s="32">
        <v>952.0</v>
      </c>
      <c r="B953" s="32" t="s">
        <v>1456</v>
      </c>
      <c r="C953" s="32" t="s">
        <v>184</v>
      </c>
      <c r="D953" s="32" t="s">
        <v>234</v>
      </c>
      <c r="E953" s="32" t="s">
        <v>215</v>
      </c>
    </row>
    <row r="954" ht="16.5" customHeight="1">
      <c r="A954" s="32">
        <v>953.0</v>
      </c>
      <c r="B954" s="32" t="s">
        <v>1457</v>
      </c>
      <c r="C954" s="32" t="s">
        <v>184</v>
      </c>
      <c r="D954" s="32" t="s">
        <v>234</v>
      </c>
      <c r="E954" s="32" t="s">
        <v>215</v>
      </c>
      <c r="F954" s="32" t="s">
        <v>415</v>
      </c>
      <c r="G954" s="32" t="s">
        <v>236</v>
      </c>
    </row>
    <row r="955" ht="16.5" customHeight="1">
      <c r="A955" s="32">
        <v>954.0</v>
      </c>
      <c r="B955" s="32" t="s">
        <v>1458</v>
      </c>
      <c r="C955" s="32" t="s">
        <v>184</v>
      </c>
      <c r="D955" s="32" t="s">
        <v>234</v>
      </c>
      <c r="E955" s="32" t="s">
        <v>215</v>
      </c>
      <c r="F955" s="32" t="s">
        <v>347</v>
      </c>
      <c r="G955" s="32" t="s">
        <v>420</v>
      </c>
    </row>
    <row r="956" ht="16.5" customHeight="1">
      <c r="A956" s="32">
        <v>955.0</v>
      </c>
      <c r="B956" s="32" t="s">
        <v>1459</v>
      </c>
      <c r="C956" s="32" t="s">
        <v>184</v>
      </c>
      <c r="D956" s="32" t="s">
        <v>192</v>
      </c>
      <c r="E956" s="32" t="s">
        <v>215</v>
      </c>
    </row>
    <row r="957" ht="16.5" customHeight="1">
      <c r="A957" s="32">
        <v>956.0</v>
      </c>
      <c r="B957" s="32" t="s">
        <v>1460</v>
      </c>
      <c r="C957" s="32" t="s">
        <v>184</v>
      </c>
      <c r="D957" s="32" t="s">
        <v>192</v>
      </c>
      <c r="E957" s="32" t="s">
        <v>215</v>
      </c>
      <c r="F957" s="32" t="s">
        <v>329</v>
      </c>
      <c r="G957" s="32" t="s">
        <v>457</v>
      </c>
    </row>
    <row r="958" ht="16.5" customHeight="1">
      <c r="A958" s="32">
        <v>957.0</v>
      </c>
      <c r="B958" s="32" t="s">
        <v>1461</v>
      </c>
      <c r="C958" s="32" t="s">
        <v>184</v>
      </c>
      <c r="D958" s="32" t="s">
        <v>192</v>
      </c>
      <c r="E958" s="32" t="s">
        <v>215</v>
      </c>
      <c r="F958" s="32" t="s">
        <v>329</v>
      </c>
      <c r="G958" s="32" t="s">
        <v>447</v>
      </c>
    </row>
    <row r="959" ht="16.5" customHeight="1">
      <c r="A959" s="32">
        <v>958.0</v>
      </c>
      <c r="B959" s="32" t="s">
        <v>1462</v>
      </c>
      <c r="C959" s="32" t="s">
        <v>184</v>
      </c>
      <c r="D959" s="32" t="s">
        <v>285</v>
      </c>
      <c r="E959" s="32" t="s">
        <v>215</v>
      </c>
      <c r="F959" s="32" t="s">
        <v>189</v>
      </c>
    </row>
    <row r="960" ht="16.5" customHeight="1">
      <c r="A960" s="32">
        <v>959.0</v>
      </c>
      <c r="B960" s="32" t="s">
        <v>1463</v>
      </c>
      <c r="C960" s="32" t="s">
        <v>184</v>
      </c>
      <c r="D960" s="32" t="s">
        <v>219</v>
      </c>
      <c r="E960" s="32" t="s">
        <v>215</v>
      </c>
      <c r="F960" s="32" t="s">
        <v>241</v>
      </c>
      <c r="G960" s="32" t="s">
        <v>292</v>
      </c>
    </row>
    <row r="961" ht="16.5" customHeight="1">
      <c r="A961" s="32">
        <v>960.0</v>
      </c>
      <c r="B961" s="32" t="s">
        <v>1464</v>
      </c>
      <c r="C961" s="32" t="s">
        <v>184</v>
      </c>
      <c r="D961" s="32" t="s">
        <v>219</v>
      </c>
      <c r="E961" s="32" t="s">
        <v>215</v>
      </c>
    </row>
    <row r="962" ht="16.5" customHeight="1">
      <c r="A962" s="32">
        <v>961.0</v>
      </c>
      <c r="B962" s="32" t="s">
        <v>1465</v>
      </c>
      <c r="C962" s="32" t="s">
        <v>184</v>
      </c>
      <c r="D962" s="32" t="s">
        <v>219</v>
      </c>
      <c r="E962" s="32" t="s">
        <v>215</v>
      </c>
      <c r="F962" s="32" t="s">
        <v>241</v>
      </c>
      <c r="G962" s="32" t="s">
        <v>292</v>
      </c>
    </row>
    <row r="963" ht="16.5" customHeight="1">
      <c r="A963" s="32">
        <v>962.0</v>
      </c>
      <c r="B963" s="32" t="s">
        <v>1466</v>
      </c>
      <c r="C963" s="32" t="s">
        <v>184</v>
      </c>
      <c r="D963" s="32" t="s">
        <v>219</v>
      </c>
      <c r="E963" s="32" t="s">
        <v>215</v>
      </c>
      <c r="F963" s="32" t="s">
        <v>223</v>
      </c>
      <c r="G963" s="32" t="s">
        <v>472</v>
      </c>
    </row>
    <row r="964" ht="16.5" customHeight="1">
      <c r="A964" s="32">
        <v>963.0</v>
      </c>
      <c r="B964" s="32" t="s">
        <v>1467</v>
      </c>
      <c r="C964" s="32" t="s">
        <v>184</v>
      </c>
      <c r="D964" s="32" t="s">
        <v>219</v>
      </c>
      <c r="E964" s="32" t="s">
        <v>215</v>
      </c>
      <c r="F964" s="32" t="s">
        <v>241</v>
      </c>
      <c r="G964" s="32" t="s">
        <v>292</v>
      </c>
    </row>
    <row r="965" ht="16.5" customHeight="1">
      <c r="A965" s="32">
        <v>964.0</v>
      </c>
      <c r="B965" s="32" t="s">
        <v>1467</v>
      </c>
      <c r="C965" s="32" t="s">
        <v>184</v>
      </c>
      <c r="D965" s="32" t="s">
        <v>219</v>
      </c>
      <c r="E965" s="32" t="s">
        <v>215</v>
      </c>
      <c r="F965" s="32" t="s">
        <v>241</v>
      </c>
      <c r="G965" s="32" t="s">
        <v>292</v>
      </c>
    </row>
    <row r="966" ht="16.5" customHeight="1">
      <c r="A966" s="32">
        <v>965.0</v>
      </c>
      <c r="B966" s="32" t="s">
        <v>1468</v>
      </c>
      <c r="C966" s="32" t="s">
        <v>184</v>
      </c>
      <c r="D966" s="32" t="s">
        <v>228</v>
      </c>
      <c r="E966" s="32" t="s">
        <v>215</v>
      </c>
      <c r="F966" s="32" t="s">
        <v>544</v>
      </c>
      <c r="G966" s="32" t="s">
        <v>545</v>
      </c>
    </row>
    <row r="967" ht="16.5" customHeight="1">
      <c r="A967" s="32">
        <v>966.0</v>
      </c>
      <c r="B967" s="32" t="s">
        <v>1469</v>
      </c>
      <c r="C967" s="32" t="s">
        <v>184</v>
      </c>
      <c r="D967" s="32" t="s">
        <v>219</v>
      </c>
      <c r="E967" s="32" t="s">
        <v>215</v>
      </c>
      <c r="F967" s="32" t="s">
        <v>241</v>
      </c>
      <c r="G967" s="32" t="s">
        <v>292</v>
      </c>
    </row>
    <row r="968" ht="16.5" customHeight="1">
      <c r="A968" s="32">
        <v>967.0</v>
      </c>
      <c r="B968" s="32" t="s">
        <v>1470</v>
      </c>
      <c r="C968" s="32" t="s">
        <v>184</v>
      </c>
      <c r="D968" s="32" t="s">
        <v>192</v>
      </c>
      <c r="E968" s="32" t="s">
        <v>215</v>
      </c>
      <c r="F968" s="32" t="s">
        <v>300</v>
      </c>
      <c r="G968" s="32" t="s">
        <v>781</v>
      </c>
    </row>
    <row r="969" ht="16.5" customHeight="1">
      <c r="A969" s="32">
        <v>968.0</v>
      </c>
      <c r="B969" s="32" t="s">
        <v>1471</v>
      </c>
      <c r="C969" s="32" t="s">
        <v>184</v>
      </c>
      <c r="D969" s="32" t="s">
        <v>192</v>
      </c>
      <c r="E969" s="32" t="s">
        <v>215</v>
      </c>
    </row>
    <row r="970" ht="16.5" customHeight="1">
      <c r="A970" s="32">
        <v>969.0</v>
      </c>
      <c r="B970" s="32" t="s">
        <v>1472</v>
      </c>
      <c r="C970" s="32" t="s">
        <v>184</v>
      </c>
      <c r="D970" s="32" t="s">
        <v>234</v>
      </c>
      <c r="E970" s="32" t="s">
        <v>215</v>
      </c>
      <c r="F970" s="32" t="s">
        <v>235</v>
      </c>
      <c r="G970" s="32" t="s">
        <v>236</v>
      </c>
    </row>
    <row r="971" ht="16.5" customHeight="1">
      <c r="A971" s="32">
        <v>970.0</v>
      </c>
      <c r="B971" s="32" t="s">
        <v>1473</v>
      </c>
      <c r="C971" s="32" t="s">
        <v>184</v>
      </c>
      <c r="D971" s="32" t="s">
        <v>234</v>
      </c>
      <c r="E971" s="32" t="s">
        <v>215</v>
      </c>
      <c r="F971" s="32" t="s">
        <v>235</v>
      </c>
      <c r="G971" s="32" t="s">
        <v>236</v>
      </c>
    </row>
    <row r="972" ht="16.5" customHeight="1">
      <c r="A972" s="32">
        <v>971.0</v>
      </c>
      <c r="B972" s="32" t="s">
        <v>1474</v>
      </c>
      <c r="C972" s="32" t="s">
        <v>184</v>
      </c>
      <c r="D972" s="32" t="s">
        <v>228</v>
      </c>
      <c r="E972" s="32" t="s">
        <v>215</v>
      </c>
    </row>
    <row r="973" ht="16.5" customHeight="1">
      <c r="A973" s="32">
        <v>972.0</v>
      </c>
      <c r="B973" s="32" t="s">
        <v>1475</v>
      </c>
      <c r="C973" s="32" t="s">
        <v>184</v>
      </c>
      <c r="D973" s="32" t="s">
        <v>254</v>
      </c>
      <c r="E973" s="32" t="s">
        <v>215</v>
      </c>
    </row>
    <row r="974" ht="16.5" customHeight="1">
      <c r="A974" s="32">
        <v>973.0</v>
      </c>
      <c r="B974" s="32" t="s">
        <v>1476</v>
      </c>
      <c r="C974" s="32" t="s">
        <v>184</v>
      </c>
      <c r="D974" s="32" t="s">
        <v>219</v>
      </c>
      <c r="E974" s="32" t="s">
        <v>215</v>
      </c>
    </row>
    <row r="975" ht="16.5" customHeight="1">
      <c r="A975" s="32">
        <v>974.0</v>
      </c>
      <c r="B975" s="32" t="s">
        <v>1477</v>
      </c>
      <c r="C975" s="32" t="s">
        <v>184</v>
      </c>
      <c r="D975" s="32" t="s">
        <v>192</v>
      </c>
      <c r="E975" s="32" t="s">
        <v>215</v>
      </c>
    </row>
    <row r="976" ht="16.5" customHeight="1">
      <c r="A976" s="32">
        <v>975.0</v>
      </c>
      <c r="B976" s="32" t="s">
        <v>1478</v>
      </c>
      <c r="C976" s="32" t="s">
        <v>184</v>
      </c>
      <c r="D976" s="32" t="s">
        <v>219</v>
      </c>
      <c r="E976" s="32" t="s">
        <v>215</v>
      </c>
      <c r="F976" s="32" t="s">
        <v>223</v>
      </c>
    </row>
    <row r="977" ht="16.5" customHeight="1">
      <c r="A977" s="32">
        <v>976.0</v>
      </c>
      <c r="B977" s="32" t="s">
        <v>1479</v>
      </c>
      <c r="C977" s="32" t="s">
        <v>184</v>
      </c>
      <c r="D977" s="32" t="s">
        <v>219</v>
      </c>
      <c r="E977" s="32" t="s">
        <v>215</v>
      </c>
      <c r="F977" s="32" t="s">
        <v>223</v>
      </c>
    </row>
    <row r="978" ht="16.5" customHeight="1">
      <c r="A978" s="32">
        <v>977.0</v>
      </c>
      <c r="B978" s="32" t="s">
        <v>1480</v>
      </c>
      <c r="C978" s="32" t="s">
        <v>184</v>
      </c>
      <c r="D978" s="32" t="s">
        <v>219</v>
      </c>
      <c r="E978" s="32" t="s">
        <v>215</v>
      </c>
      <c r="F978" s="32" t="s">
        <v>223</v>
      </c>
    </row>
    <row r="979" ht="16.5" customHeight="1">
      <c r="A979" s="32">
        <v>978.0</v>
      </c>
      <c r="B979" s="32" t="s">
        <v>1481</v>
      </c>
      <c r="C979" s="32" t="s">
        <v>184</v>
      </c>
      <c r="D979" s="32" t="s">
        <v>219</v>
      </c>
      <c r="E979" s="32" t="s">
        <v>215</v>
      </c>
      <c r="F979" s="32" t="s">
        <v>223</v>
      </c>
    </row>
    <row r="980" ht="16.5" customHeight="1">
      <c r="A980" s="32">
        <v>979.0</v>
      </c>
      <c r="B980" s="32" t="s">
        <v>1482</v>
      </c>
      <c r="C980" s="32" t="s">
        <v>184</v>
      </c>
      <c r="D980" s="32" t="s">
        <v>219</v>
      </c>
      <c r="E980" s="32" t="s">
        <v>215</v>
      </c>
      <c r="F980" s="32" t="s">
        <v>223</v>
      </c>
    </row>
    <row r="981" ht="16.5" customHeight="1">
      <c r="A981" s="32">
        <v>980.0</v>
      </c>
      <c r="B981" s="32" t="s">
        <v>1483</v>
      </c>
      <c r="C981" s="32" t="s">
        <v>184</v>
      </c>
      <c r="D981" s="32" t="s">
        <v>228</v>
      </c>
      <c r="E981" s="32" t="s">
        <v>215</v>
      </c>
    </row>
    <row r="982" ht="16.5" customHeight="1">
      <c r="A982" s="32">
        <v>981.0</v>
      </c>
      <c r="B982" s="32" t="s">
        <v>1484</v>
      </c>
      <c r="C982" s="32" t="s">
        <v>184</v>
      </c>
      <c r="D982" s="32" t="s">
        <v>185</v>
      </c>
      <c r="E982" s="32" t="s">
        <v>215</v>
      </c>
    </row>
    <row r="983" ht="16.5" customHeight="1">
      <c r="A983" s="32">
        <v>982.0</v>
      </c>
      <c r="B983" s="32" t="s">
        <v>1485</v>
      </c>
      <c r="C983" s="32" t="s">
        <v>184</v>
      </c>
      <c r="D983" s="32" t="s">
        <v>234</v>
      </c>
      <c r="E983" s="32" t="s">
        <v>215</v>
      </c>
      <c r="F983" s="32" t="s">
        <v>347</v>
      </c>
      <c r="G983" s="32" t="s">
        <v>568</v>
      </c>
    </row>
    <row r="984" ht="16.5" customHeight="1">
      <c r="A984" s="32">
        <v>983.0</v>
      </c>
      <c r="B984" s="32" t="s">
        <v>1486</v>
      </c>
      <c r="C984" s="32" t="s">
        <v>184</v>
      </c>
      <c r="D984" s="32" t="s">
        <v>234</v>
      </c>
      <c r="E984" s="32" t="s">
        <v>215</v>
      </c>
    </row>
    <row r="985" ht="16.5" customHeight="1">
      <c r="A985" s="32">
        <v>984.0</v>
      </c>
      <c r="B985" s="32" t="s">
        <v>1487</v>
      </c>
      <c r="C985" s="32" t="s">
        <v>184</v>
      </c>
      <c r="D985" s="32" t="s">
        <v>185</v>
      </c>
      <c r="E985" s="32" t="s">
        <v>215</v>
      </c>
      <c r="F985" s="32" t="s">
        <v>189</v>
      </c>
      <c r="G985" s="32" t="s">
        <v>190</v>
      </c>
    </row>
    <row r="986" ht="16.5" customHeight="1">
      <c r="A986" s="32">
        <v>985.0</v>
      </c>
      <c r="B986" s="32" t="s">
        <v>1488</v>
      </c>
      <c r="C986" s="32" t="s">
        <v>184</v>
      </c>
      <c r="D986" s="32" t="s">
        <v>219</v>
      </c>
      <c r="E986" s="32" t="s">
        <v>215</v>
      </c>
      <c r="F986" s="32" t="s">
        <v>223</v>
      </c>
    </row>
    <row r="987" ht="16.5" customHeight="1">
      <c r="A987" s="32">
        <v>986.0</v>
      </c>
      <c r="B987" s="32" t="s">
        <v>1489</v>
      </c>
      <c r="C987" s="32" t="s">
        <v>184</v>
      </c>
      <c r="D987" s="32" t="s">
        <v>192</v>
      </c>
      <c r="E987" s="32" t="s">
        <v>215</v>
      </c>
      <c r="F987" s="32" t="s">
        <v>329</v>
      </c>
      <c r="G987" s="32" t="s">
        <v>457</v>
      </c>
    </row>
    <row r="988" ht="16.5" customHeight="1">
      <c r="A988" s="32">
        <v>987.0</v>
      </c>
      <c r="B988" s="32" t="s">
        <v>1490</v>
      </c>
      <c r="C988" s="32" t="s">
        <v>184</v>
      </c>
      <c r="D988" s="32" t="s">
        <v>219</v>
      </c>
      <c r="E988" s="32" t="s">
        <v>215</v>
      </c>
      <c r="F988" s="32" t="s">
        <v>241</v>
      </c>
      <c r="G988" s="32" t="s">
        <v>292</v>
      </c>
    </row>
    <row r="989" ht="16.5" customHeight="1">
      <c r="A989" s="32">
        <v>988.0</v>
      </c>
      <c r="B989" s="32" t="s">
        <v>1491</v>
      </c>
      <c r="C989" s="32" t="s">
        <v>184</v>
      </c>
      <c r="D989" s="32" t="s">
        <v>219</v>
      </c>
      <c r="E989" s="32" t="s">
        <v>215</v>
      </c>
      <c r="F989" s="32" t="s">
        <v>241</v>
      </c>
      <c r="G989" s="32" t="s">
        <v>292</v>
      </c>
    </row>
    <row r="990" ht="16.5" customHeight="1">
      <c r="A990" s="32">
        <v>989.0</v>
      </c>
      <c r="B990" s="32" t="s">
        <v>1492</v>
      </c>
      <c r="C990" s="32" t="s">
        <v>184</v>
      </c>
      <c r="D990" s="32" t="s">
        <v>219</v>
      </c>
      <c r="E990" s="32" t="s">
        <v>215</v>
      </c>
      <c r="F990" s="32" t="s">
        <v>241</v>
      </c>
      <c r="G990" s="32" t="s">
        <v>292</v>
      </c>
    </row>
    <row r="991" ht="16.5" customHeight="1">
      <c r="A991" s="32">
        <v>990.0</v>
      </c>
      <c r="B991" s="32" t="s">
        <v>1493</v>
      </c>
      <c r="C991" s="32" t="s">
        <v>184</v>
      </c>
      <c r="D991" s="32" t="s">
        <v>219</v>
      </c>
      <c r="E991" s="32" t="s">
        <v>215</v>
      </c>
      <c r="F991" s="32" t="s">
        <v>241</v>
      </c>
      <c r="G991" s="32" t="s">
        <v>292</v>
      </c>
    </row>
    <row r="992" ht="16.5" customHeight="1">
      <c r="A992" s="32">
        <v>991.0</v>
      </c>
      <c r="B992" s="32" t="s">
        <v>823</v>
      </c>
      <c r="C992" s="32" t="s">
        <v>184</v>
      </c>
      <c r="D992" s="32" t="s">
        <v>234</v>
      </c>
      <c r="E992" s="32" t="s">
        <v>215</v>
      </c>
      <c r="F992" s="32" t="s">
        <v>347</v>
      </c>
      <c r="G992" s="32" t="s">
        <v>420</v>
      </c>
    </row>
    <row r="993" ht="16.5" customHeight="1">
      <c r="A993" s="32">
        <v>992.0</v>
      </c>
      <c r="B993" s="32" t="s">
        <v>823</v>
      </c>
      <c r="C993" s="32" t="s">
        <v>184</v>
      </c>
      <c r="D993" s="32" t="s">
        <v>234</v>
      </c>
      <c r="E993" s="32" t="s">
        <v>215</v>
      </c>
      <c r="F993" s="32" t="s">
        <v>347</v>
      </c>
      <c r="G993" s="32" t="s">
        <v>420</v>
      </c>
    </row>
    <row r="994" ht="16.5" customHeight="1">
      <c r="A994" s="32">
        <v>993.0</v>
      </c>
      <c r="B994" s="32" t="s">
        <v>1494</v>
      </c>
      <c r="C994" s="32" t="s">
        <v>184</v>
      </c>
      <c r="D994" s="32" t="s">
        <v>228</v>
      </c>
      <c r="E994" s="32" t="s">
        <v>215</v>
      </c>
      <c r="F994" s="32" t="s">
        <v>229</v>
      </c>
      <c r="G994" s="32" t="s">
        <v>244</v>
      </c>
    </row>
    <row r="995" ht="16.5" customHeight="1">
      <c r="A995" s="32">
        <v>994.0</v>
      </c>
      <c r="B995" s="32" t="s">
        <v>1495</v>
      </c>
      <c r="C995" s="32" t="s">
        <v>184</v>
      </c>
      <c r="D995" s="32" t="s">
        <v>219</v>
      </c>
      <c r="E995" s="32" t="s">
        <v>215</v>
      </c>
      <c r="F995" s="32" t="s">
        <v>223</v>
      </c>
    </row>
    <row r="996" ht="16.5" customHeight="1">
      <c r="A996" s="32">
        <v>995.0</v>
      </c>
      <c r="B996" s="32" t="s">
        <v>823</v>
      </c>
      <c r="C996" s="32" t="s">
        <v>184</v>
      </c>
      <c r="D996" s="32" t="s">
        <v>234</v>
      </c>
      <c r="E996" s="32" t="s">
        <v>215</v>
      </c>
      <c r="F996" s="32" t="s">
        <v>415</v>
      </c>
      <c r="G996" s="32" t="s">
        <v>236</v>
      </c>
    </row>
    <row r="997" ht="16.5" customHeight="1">
      <c r="A997" s="32">
        <v>996.0</v>
      </c>
      <c r="B997" s="32" t="s">
        <v>823</v>
      </c>
      <c r="C997" s="32" t="s">
        <v>184</v>
      </c>
      <c r="D997" s="32" t="s">
        <v>234</v>
      </c>
      <c r="E997" s="32" t="s">
        <v>215</v>
      </c>
      <c r="F997" s="32" t="s">
        <v>415</v>
      </c>
      <c r="G997" s="32" t="s">
        <v>243</v>
      </c>
    </row>
    <row r="998" ht="16.5" customHeight="1">
      <c r="A998" s="32">
        <v>997.0</v>
      </c>
      <c r="B998" s="32" t="s">
        <v>823</v>
      </c>
      <c r="C998" s="32" t="s">
        <v>184</v>
      </c>
      <c r="D998" s="32" t="s">
        <v>234</v>
      </c>
      <c r="E998" s="32" t="s">
        <v>215</v>
      </c>
      <c r="F998" s="32" t="s">
        <v>415</v>
      </c>
      <c r="G998" s="32" t="s">
        <v>243</v>
      </c>
    </row>
    <row r="999" ht="16.5" customHeight="1">
      <c r="A999" s="32">
        <v>998.0</v>
      </c>
      <c r="B999" s="32" t="s">
        <v>1496</v>
      </c>
      <c r="C999" s="32" t="s">
        <v>184</v>
      </c>
      <c r="D999" s="32" t="s">
        <v>219</v>
      </c>
      <c r="E999" s="32" t="s">
        <v>215</v>
      </c>
      <c r="F999" s="32" t="s">
        <v>232</v>
      </c>
      <c r="G999" s="32" t="s">
        <v>233</v>
      </c>
    </row>
    <row r="1000" ht="16.5" customHeight="1">
      <c r="A1000" s="32">
        <v>999.0</v>
      </c>
      <c r="B1000" s="32" t="s">
        <v>1497</v>
      </c>
      <c r="C1000" s="32" t="s">
        <v>184</v>
      </c>
      <c r="D1000" s="32" t="s">
        <v>192</v>
      </c>
      <c r="E1000" s="32" t="s">
        <v>215</v>
      </c>
      <c r="F1000" s="32" t="s">
        <v>300</v>
      </c>
      <c r="G1000" s="32" t="s">
        <v>1498</v>
      </c>
    </row>
    <row r="1001" ht="16.5" customHeight="1">
      <c r="A1001" s="32">
        <v>1000.0</v>
      </c>
      <c r="B1001" s="32" t="s">
        <v>1499</v>
      </c>
      <c r="C1001" s="32" t="s">
        <v>184</v>
      </c>
      <c r="D1001" s="32" t="s">
        <v>192</v>
      </c>
      <c r="E1001" s="32" t="s">
        <v>215</v>
      </c>
      <c r="F1001" s="32" t="s">
        <v>300</v>
      </c>
      <c r="G1001" s="32" t="s">
        <v>1500</v>
      </c>
    </row>
    <row r="1002" ht="16.5" customHeight="1">
      <c r="A1002" s="32">
        <v>1001.0</v>
      </c>
      <c r="B1002" s="32" t="s">
        <v>1501</v>
      </c>
      <c r="C1002" s="32" t="s">
        <v>184</v>
      </c>
      <c r="D1002" s="32" t="s">
        <v>234</v>
      </c>
      <c r="E1002" s="32" t="s">
        <v>215</v>
      </c>
    </row>
    <row r="1003" ht="16.5" customHeight="1">
      <c r="A1003" s="32">
        <v>1002.0</v>
      </c>
      <c r="B1003" s="32" t="s">
        <v>1502</v>
      </c>
      <c r="C1003" s="32" t="s">
        <v>184</v>
      </c>
      <c r="D1003" s="32" t="s">
        <v>234</v>
      </c>
      <c r="E1003" s="32" t="s">
        <v>215</v>
      </c>
      <c r="F1003" s="32" t="s">
        <v>347</v>
      </c>
      <c r="G1003" s="32" t="s">
        <v>505</v>
      </c>
    </row>
    <row r="1004" ht="16.5" customHeight="1">
      <c r="A1004" s="32">
        <v>1003.0</v>
      </c>
      <c r="B1004" s="32" t="s">
        <v>1503</v>
      </c>
      <c r="C1004" s="32" t="s">
        <v>184</v>
      </c>
      <c r="D1004" s="32" t="s">
        <v>228</v>
      </c>
      <c r="E1004" s="32" t="s">
        <v>215</v>
      </c>
      <c r="F1004" s="32" t="s">
        <v>544</v>
      </c>
      <c r="G1004" s="32" t="s">
        <v>545</v>
      </c>
    </row>
    <row r="1005" ht="16.5" customHeight="1">
      <c r="A1005" s="32">
        <v>1004.0</v>
      </c>
      <c r="B1005" s="32" t="s">
        <v>1504</v>
      </c>
      <c r="C1005" s="32" t="s">
        <v>184</v>
      </c>
      <c r="D1005" s="32" t="s">
        <v>228</v>
      </c>
      <c r="E1005" s="32" t="s">
        <v>215</v>
      </c>
      <c r="F1005" s="32" t="s">
        <v>544</v>
      </c>
      <c r="G1005" s="32" t="s">
        <v>545</v>
      </c>
    </row>
    <row r="1006" ht="16.5" customHeight="1">
      <c r="A1006" s="32">
        <v>1005.0</v>
      </c>
      <c r="B1006" s="32" t="s">
        <v>1505</v>
      </c>
      <c r="C1006" s="32" t="s">
        <v>184</v>
      </c>
      <c r="D1006" s="32" t="s">
        <v>219</v>
      </c>
      <c r="E1006" s="32" t="s">
        <v>215</v>
      </c>
    </row>
    <row r="1007" ht="16.5" customHeight="1">
      <c r="A1007" s="32">
        <v>1006.0</v>
      </c>
      <c r="B1007" s="32" t="s">
        <v>823</v>
      </c>
      <c r="C1007" s="32" t="s">
        <v>184</v>
      </c>
      <c r="D1007" s="32" t="s">
        <v>234</v>
      </c>
      <c r="E1007" s="32" t="s">
        <v>215</v>
      </c>
      <c r="F1007" s="32" t="s">
        <v>347</v>
      </c>
      <c r="G1007" s="32" t="s">
        <v>382</v>
      </c>
    </row>
    <row r="1008" ht="16.5" customHeight="1">
      <c r="A1008" s="32">
        <v>1007.0</v>
      </c>
      <c r="B1008" s="32" t="s">
        <v>1506</v>
      </c>
      <c r="C1008" s="32" t="s">
        <v>184</v>
      </c>
      <c r="D1008" s="32" t="s">
        <v>192</v>
      </c>
      <c r="E1008" s="32" t="s">
        <v>215</v>
      </c>
      <c r="F1008" s="32" t="s">
        <v>300</v>
      </c>
      <c r="G1008" s="32" t="s">
        <v>1507</v>
      </c>
    </row>
    <row r="1009" ht="16.5" customHeight="1">
      <c r="A1009" s="32">
        <v>1008.0</v>
      </c>
      <c r="B1009" s="32" t="s">
        <v>1508</v>
      </c>
      <c r="C1009" s="32" t="s">
        <v>184</v>
      </c>
      <c r="D1009" s="32" t="s">
        <v>228</v>
      </c>
      <c r="E1009" s="32" t="s">
        <v>215</v>
      </c>
    </row>
    <row r="1010" ht="16.5" customHeight="1">
      <c r="A1010" s="32">
        <v>1009.0</v>
      </c>
      <c r="B1010" s="32" t="s">
        <v>1509</v>
      </c>
      <c r="C1010" s="32" t="s">
        <v>184</v>
      </c>
      <c r="D1010" s="32" t="s">
        <v>219</v>
      </c>
      <c r="E1010" s="32" t="s">
        <v>215</v>
      </c>
    </row>
    <row r="1011" ht="16.5" customHeight="1">
      <c r="A1011" s="32">
        <v>1010.0</v>
      </c>
      <c r="B1011" s="32" t="s">
        <v>1510</v>
      </c>
      <c r="C1011" s="32" t="s">
        <v>184</v>
      </c>
      <c r="D1011" s="32" t="s">
        <v>219</v>
      </c>
      <c r="E1011" s="32" t="s">
        <v>215</v>
      </c>
      <c r="F1011" s="32" t="s">
        <v>223</v>
      </c>
    </row>
    <row r="1012" ht="16.5" customHeight="1">
      <c r="A1012" s="32">
        <v>1011.0</v>
      </c>
      <c r="B1012" s="32" t="s">
        <v>1511</v>
      </c>
      <c r="C1012" s="32" t="s">
        <v>184</v>
      </c>
      <c r="D1012" s="32" t="s">
        <v>192</v>
      </c>
      <c r="E1012" s="32" t="s">
        <v>215</v>
      </c>
      <c r="F1012" s="32" t="s">
        <v>329</v>
      </c>
      <c r="G1012" s="32" t="s">
        <v>457</v>
      </c>
    </row>
    <row r="1013" ht="16.5" customHeight="1">
      <c r="A1013" s="32">
        <v>1012.0</v>
      </c>
      <c r="B1013" s="32" t="s">
        <v>1512</v>
      </c>
      <c r="C1013" s="32" t="s">
        <v>184</v>
      </c>
      <c r="D1013" s="32" t="s">
        <v>219</v>
      </c>
      <c r="E1013" s="32" t="s">
        <v>215</v>
      </c>
      <c r="F1013" s="32" t="s">
        <v>223</v>
      </c>
    </row>
    <row r="1014" ht="16.5" customHeight="1">
      <c r="A1014" s="32">
        <v>1013.0</v>
      </c>
      <c r="B1014" s="32" t="s">
        <v>1513</v>
      </c>
      <c r="C1014" s="32" t="s">
        <v>184</v>
      </c>
      <c r="D1014" s="32" t="s">
        <v>192</v>
      </c>
      <c r="E1014" s="32" t="s">
        <v>215</v>
      </c>
      <c r="F1014" s="32" t="s">
        <v>329</v>
      </c>
      <c r="G1014" s="32" t="s">
        <v>1514</v>
      </c>
    </row>
    <row r="1015" ht="16.5" customHeight="1">
      <c r="A1015" s="32">
        <v>1014.0</v>
      </c>
      <c r="B1015" s="32" t="s">
        <v>1515</v>
      </c>
      <c r="C1015" s="32" t="s">
        <v>184</v>
      </c>
      <c r="D1015" s="32" t="s">
        <v>192</v>
      </c>
      <c r="E1015" s="32" t="s">
        <v>215</v>
      </c>
      <c r="F1015" s="32" t="s">
        <v>300</v>
      </c>
      <c r="G1015" s="32" t="s">
        <v>1516</v>
      </c>
    </row>
    <row r="1016" ht="16.5" customHeight="1">
      <c r="A1016" s="32">
        <v>1015.0</v>
      </c>
      <c r="B1016" s="32" t="s">
        <v>1517</v>
      </c>
      <c r="C1016" s="32" t="s">
        <v>184</v>
      </c>
      <c r="D1016" s="32" t="s">
        <v>214</v>
      </c>
      <c r="E1016" s="32" t="s">
        <v>215</v>
      </c>
      <c r="F1016" s="32" t="s">
        <v>720</v>
      </c>
    </row>
    <row r="1017" ht="16.5" customHeight="1">
      <c r="A1017" s="32">
        <v>1016.0</v>
      </c>
      <c r="B1017" s="32" t="s">
        <v>1518</v>
      </c>
      <c r="C1017" s="32" t="s">
        <v>184</v>
      </c>
      <c r="D1017" s="32" t="s">
        <v>219</v>
      </c>
      <c r="E1017" s="32" t="s">
        <v>215</v>
      </c>
      <c r="F1017" s="32" t="s">
        <v>241</v>
      </c>
      <c r="G1017" s="32" t="s">
        <v>292</v>
      </c>
    </row>
    <row r="1018" ht="16.5" customHeight="1">
      <c r="A1018" s="32">
        <v>1017.0</v>
      </c>
      <c r="B1018" s="32" t="s">
        <v>1519</v>
      </c>
      <c r="C1018" s="32" t="s">
        <v>184</v>
      </c>
      <c r="D1018" s="32" t="s">
        <v>219</v>
      </c>
      <c r="E1018" s="32" t="s">
        <v>215</v>
      </c>
    </row>
    <row r="1019" ht="16.5" customHeight="1">
      <c r="A1019" s="32">
        <v>1018.0</v>
      </c>
      <c r="B1019" s="32" t="s">
        <v>1520</v>
      </c>
      <c r="C1019" s="32" t="s">
        <v>184</v>
      </c>
      <c r="D1019" s="32" t="s">
        <v>219</v>
      </c>
      <c r="E1019" s="32" t="s">
        <v>215</v>
      </c>
      <c r="F1019" s="32" t="s">
        <v>223</v>
      </c>
    </row>
    <row r="1020" ht="16.5" customHeight="1">
      <c r="A1020" s="32">
        <v>1019.0</v>
      </c>
      <c r="B1020" s="32" t="s">
        <v>1521</v>
      </c>
      <c r="C1020" s="32" t="s">
        <v>184</v>
      </c>
      <c r="D1020" s="32" t="s">
        <v>219</v>
      </c>
      <c r="E1020" s="32" t="s">
        <v>215</v>
      </c>
    </row>
    <row r="1021" ht="16.5" customHeight="1">
      <c r="A1021" s="32">
        <v>1020.0</v>
      </c>
      <c r="B1021" s="32" t="s">
        <v>225</v>
      </c>
      <c r="C1021" s="32" t="s">
        <v>184</v>
      </c>
      <c r="D1021" s="32" t="s">
        <v>219</v>
      </c>
      <c r="E1021" s="32" t="s">
        <v>215</v>
      </c>
      <c r="F1021" s="32" t="s">
        <v>223</v>
      </c>
    </row>
    <row r="1022" ht="16.5" customHeight="1">
      <c r="A1022" s="32">
        <v>1021.0</v>
      </c>
      <c r="B1022" s="32" t="s">
        <v>1522</v>
      </c>
      <c r="C1022" s="32" t="s">
        <v>184</v>
      </c>
      <c r="D1022" s="32" t="s">
        <v>219</v>
      </c>
      <c r="E1022" s="32" t="s">
        <v>215</v>
      </c>
      <c r="F1022" s="32" t="s">
        <v>223</v>
      </c>
    </row>
    <row r="1023" ht="16.5" customHeight="1">
      <c r="A1023" s="32">
        <v>1022.0</v>
      </c>
      <c r="B1023" s="32" t="s">
        <v>224</v>
      </c>
      <c r="C1023" s="32" t="s">
        <v>184</v>
      </c>
      <c r="D1023" s="32" t="s">
        <v>254</v>
      </c>
      <c r="E1023" s="32" t="s">
        <v>215</v>
      </c>
    </row>
    <row r="1024" ht="16.5" customHeight="1">
      <c r="A1024" s="32">
        <v>1023.0</v>
      </c>
      <c r="B1024" s="32" t="s">
        <v>1523</v>
      </c>
      <c r="C1024" s="32" t="s">
        <v>184</v>
      </c>
      <c r="D1024" s="32" t="s">
        <v>192</v>
      </c>
      <c r="E1024" s="32" t="s">
        <v>215</v>
      </c>
      <c r="F1024" s="32" t="s">
        <v>329</v>
      </c>
      <c r="G1024" s="32" t="s">
        <v>457</v>
      </c>
    </row>
    <row r="1025" ht="16.5" customHeight="1">
      <c r="A1025" s="32">
        <v>1024.0</v>
      </c>
      <c r="B1025" s="32" t="s">
        <v>1524</v>
      </c>
      <c r="C1025" s="32" t="s">
        <v>184</v>
      </c>
      <c r="D1025" s="32" t="s">
        <v>192</v>
      </c>
      <c r="E1025" s="32" t="s">
        <v>215</v>
      </c>
      <c r="F1025" s="32" t="s">
        <v>300</v>
      </c>
    </row>
    <row r="1026" ht="16.5" customHeight="1">
      <c r="A1026" s="32">
        <v>1025.0</v>
      </c>
      <c r="B1026" s="32" t="s">
        <v>1525</v>
      </c>
      <c r="C1026" s="32" t="s">
        <v>184</v>
      </c>
      <c r="D1026" s="32" t="s">
        <v>219</v>
      </c>
      <c r="E1026" s="32" t="s">
        <v>215</v>
      </c>
      <c r="F1026" s="32" t="s">
        <v>232</v>
      </c>
      <c r="G1026" s="32" t="s">
        <v>233</v>
      </c>
    </row>
    <row r="1027" ht="16.5" customHeight="1">
      <c r="A1027" s="32">
        <v>1026.0</v>
      </c>
      <c r="B1027" s="32" t="s">
        <v>823</v>
      </c>
      <c r="C1027" s="32" t="s">
        <v>184</v>
      </c>
      <c r="D1027" s="32" t="s">
        <v>234</v>
      </c>
      <c r="E1027" s="32" t="s">
        <v>215</v>
      </c>
      <c r="F1027" s="32" t="s">
        <v>347</v>
      </c>
      <c r="G1027" s="32" t="s">
        <v>382</v>
      </c>
    </row>
    <row r="1028" ht="16.5" customHeight="1">
      <c r="A1028" s="32">
        <v>1027.0</v>
      </c>
      <c r="B1028" s="32" t="s">
        <v>226</v>
      </c>
      <c r="C1028" s="32" t="s">
        <v>184</v>
      </c>
      <c r="D1028" s="32" t="s">
        <v>185</v>
      </c>
      <c r="E1028" s="32" t="s">
        <v>215</v>
      </c>
      <c r="F1028" s="32" t="s">
        <v>187</v>
      </c>
      <c r="G1028" s="32" t="s">
        <v>227</v>
      </c>
    </row>
    <row r="1029" ht="16.5" customHeight="1">
      <c r="A1029" s="32">
        <v>1028.0</v>
      </c>
      <c r="B1029" s="32" t="s">
        <v>1526</v>
      </c>
      <c r="C1029" s="32" t="s">
        <v>184</v>
      </c>
      <c r="D1029" s="32" t="s">
        <v>185</v>
      </c>
      <c r="E1029" s="32" t="s">
        <v>215</v>
      </c>
      <c r="F1029" s="32" t="s">
        <v>187</v>
      </c>
      <c r="G1029" s="32" t="s">
        <v>227</v>
      </c>
    </row>
    <row r="1030" ht="16.5" customHeight="1">
      <c r="A1030" s="32">
        <v>1029.0</v>
      </c>
      <c r="B1030" s="32" t="s">
        <v>1527</v>
      </c>
      <c r="C1030" s="32" t="s">
        <v>184</v>
      </c>
      <c r="D1030" s="32" t="s">
        <v>192</v>
      </c>
      <c r="E1030" s="32" t="s">
        <v>215</v>
      </c>
      <c r="F1030" s="32" t="s">
        <v>300</v>
      </c>
      <c r="G1030" s="32" t="s">
        <v>387</v>
      </c>
    </row>
    <row r="1031" ht="16.5" customHeight="1">
      <c r="A1031" s="32">
        <v>1030.0</v>
      </c>
      <c r="B1031" s="32" t="s">
        <v>1528</v>
      </c>
      <c r="C1031" s="32" t="s">
        <v>184</v>
      </c>
      <c r="D1031" s="32" t="s">
        <v>192</v>
      </c>
      <c r="E1031" s="32" t="s">
        <v>215</v>
      </c>
    </row>
    <row r="1032" ht="16.5" customHeight="1">
      <c r="A1032" s="32">
        <v>1031.0</v>
      </c>
      <c r="B1032" s="32" t="s">
        <v>1529</v>
      </c>
      <c r="C1032" s="32" t="s">
        <v>184</v>
      </c>
      <c r="D1032" s="32" t="s">
        <v>219</v>
      </c>
      <c r="E1032" s="32" t="s">
        <v>215</v>
      </c>
    </row>
    <row r="1033" ht="16.5" customHeight="1">
      <c r="A1033" s="32">
        <v>1032.0</v>
      </c>
      <c r="B1033" s="32" t="s">
        <v>1530</v>
      </c>
      <c r="C1033" s="32" t="s">
        <v>184</v>
      </c>
      <c r="D1033" s="32" t="s">
        <v>219</v>
      </c>
      <c r="E1033" s="32" t="s">
        <v>215</v>
      </c>
    </row>
    <row r="1034" ht="16.5" customHeight="1">
      <c r="A1034" s="32">
        <v>1033.0</v>
      </c>
      <c r="B1034" s="32" t="s">
        <v>1531</v>
      </c>
      <c r="C1034" s="32" t="s">
        <v>184</v>
      </c>
      <c r="D1034" s="32" t="s">
        <v>219</v>
      </c>
      <c r="E1034" s="32" t="s">
        <v>215</v>
      </c>
      <c r="F1034" s="32" t="s">
        <v>223</v>
      </c>
    </row>
    <row r="1035" ht="16.5" customHeight="1">
      <c r="A1035" s="32">
        <v>1034.0</v>
      </c>
      <c r="B1035" s="32" t="s">
        <v>1532</v>
      </c>
      <c r="C1035" s="32" t="s">
        <v>184</v>
      </c>
      <c r="D1035" s="32" t="s">
        <v>192</v>
      </c>
      <c r="E1035" s="32" t="s">
        <v>215</v>
      </c>
      <c r="F1035" s="32" t="s">
        <v>300</v>
      </c>
      <c r="G1035" s="32" t="s">
        <v>1533</v>
      </c>
    </row>
    <row r="1036" ht="16.5" customHeight="1">
      <c r="A1036" s="32">
        <v>1035.0</v>
      </c>
      <c r="B1036" s="32" t="s">
        <v>1534</v>
      </c>
      <c r="C1036" s="32" t="s">
        <v>184</v>
      </c>
      <c r="D1036" s="32" t="s">
        <v>219</v>
      </c>
      <c r="E1036" s="32" t="s">
        <v>215</v>
      </c>
      <c r="F1036" s="32" t="s">
        <v>223</v>
      </c>
    </row>
    <row r="1037" ht="16.5" customHeight="1">
      <c r="A1037" s="32">
        <v>1036.0</v>
      </c>
      <c r="B1037" s="32" t="s">
        <v>1535</v>
      </c>
      <c r="C1037" s="32" t="s">
        <v>184</v>
      </c>
      <c r="D1037" s="32" t="s">
        <v>219</v>
      </c>
      <c r="E1037" s="32" t="s">
        <v>215</v>
      </c>
      <c r="F1037" s="32" t="s">
        <v>223</v>
      </c>
    </row>
    <row r="1038" ht="16.5" customHeight="1">
      <c r="A1038" s="32">
        <v>1037.0</v>
      </c>
      <c r="B1038" s="32" t="s">
        <v>1536</v>
      </c>
      <c r="C1038" s="32" t="s">
        <v>184</v>
      </c>
      <c r="D1038" s="32" t="s">
        <v>228</v>
      </c>
      <c r="E1038" s="32" t="s">
        <v>215</v>
      </c>
    </row>
    <row r="1039" ht="16.5" customHeight="1">
      <c r="A1039" s="32">
        <v>1038.0</v>
      </c>
      <c r="B1039" s="32" t="s">
        <v>1537</v>
      </c>
      <c r="C1039" s="32" t="s">
        <v>184</v>
      </c>
      <c r="D1039" s="32" t="s">
        <v>228</v>
      </c>
      <c r="E1039" s="32" t="s">
        <v>215</v>
      </c>
      <c r="F1039" s="32" t="s">
        <v>408</v>
      </c>
      <c r="G1039" s="32" t="s">
        <v>490</v>
      </c>
    </row>
    <row r="1040" ht="16.5" customHeight="1">
      <c r="A1040" s="32">
        <v>1039.0</v>
      </c>
      <c r="B1040" s="32" t="s">
        <v>1538</v>
      </c>
      <c r="C1040" s="32" t="s">
        <v>184</v>
      </c>
      <c r="D1040" s="32" t="s">
        <v>228</v>
      </c>
      <c r="E1040" s="32" t="s">
        <v>215</v>
      </c>
    </row>
    <row r="1041" ht="16.5" customHeight="1">
      <c r="A1041" s="32">
        <v>1040.0</v>
      </c>
      <c r="B1041" s="32" t="s">
        <v>1539</v>
      </c>
      <c r="C1041" s="32" t="s">
        <v>184</v>
      </c>
      <c r="D1041" s="32" t="s">
        <v>228</v>
      </c>
      <c r="E1041" s="32" t="s">
        <v>215</v>
      </c>
      <c r="F1041" s="32" t="s">
        <v>408</v>
      </c>
      <c r="G1041" s="32" t="s">
        <v>490</v>
      </c>
    </row>
    <row r="1042" ht="16.5" customHeight="1">
      <c r="A1042" s="32">
        <v>1041.0</v>
      </c>
      <c r="B1042" s="32" t="s">
        <v>1540</v>
      </c>
      <c r="C1042" s="32" t="s">
        <v>184</v>
      </c>
      <c r="D1042" s="32" t="s">
        <v>219</v>
      </c>
      <c r="E1042" s="32" t="s">
        <v>215</v>
      </c>
      <c r="F1042" s="32" t="s">
        <v>223</v>
      </c>
      <c r="G1042" s="32" t="s">
        <v>1541</v>
      </c>
    </row>
    <row r="1043" ht="16.5" customHeight="1">
      <c r="A1043" s="32">
        <v>1042.0</v>
      </c>
      <c r="B1043" s="32" t="s">
        <v>1542</v>
      </c>
      <c r="C1043" s="32" t="s">
        <v>184</v>
      </c>
      <c r="D1043" s="32" t="s">
        <v>219</v>
      </c>
      <c r="E1043" s="32" t="s">
        <v>215</v>
      </c>
    </row>
    <row r="1044" ht="16.5" customHeight="1">
      <c r="A1044" s="32">
        <v>1043.0</v>
      </c>
      <c r="B1044" s="32" t="s">
        <v>1543</v>
      </c>
      <c r="C1044" s="32" t="s">
        <v>184</v>
      </c>
      <c r="D1044" s="32" t="s">
        <v>285</v>
      </c>
      <c r="E1044" s="32" t="s">
        <v>215</v>
      </c>
    </row>
    <row r="1045" ht="16.5" customHeight="1">
      <c r="A1045" s="32">
        <v>1044.0</v>
      </c>
      <c r="B1045" s="32" t="s">
        <v>1544</v>
      </c>
      <c r="C1045" s="32" t="s">
        <v>184</v>
      </c>
      <c r="D1045" s="32" t="s">
        <v>192</v>
      </c>
      <c r="E1045" s="32" t="s">
        <v>215</v>
      </c>
      <c r="F1045" s="32" t="s">
        <v>300</v>
      </c>
      <c r="G1045" s="32" t="s">
        <v>1545</v>
      </c>
    </row>
    <row r="1046" ht="16.5" customHeight="1">
      <c r="A1046" s="32">
        <v>1045.0</v>
      </c>
      <c r="B1046" s="32" t="s">
        <v>1546</v>
      </c>
      <c r="C1046" s="32" t="s">
        <v>184</v>
      </c>
      <c r="D1046" s="32" t="s">
        <v>254</v>
      </c>
      <c r="E1046" s="32" t="s">
        <v>215</v>
      </c>
      <c r="F1046" s="32" t="s">
        <v>256</v>
      </c>
      <c r="G1046" s="32" t="s">
        <v>257</v>
      </c>
    </row>
    <row r="1047" ht="16.5" customHeight="1">
      <c r="A1047" s="32">
        <v>1046.0</v>
      </c>
      <c r="B1047" s="32" t="s">
        <v>1547</v>
      </c>
      <c r="C1047" s="32" t="s">
        <v>184</v>
      </c>
      <c r="D1047" s="32" t="s">
        <v>254</v>
      </c>
      <c r="E1047" s="32" t="s">
        <v>215</v>
      </c>
    </row>
    <row r="1048" ht="16.5" customHeight="1">
      <c r="A1048" s="32">
        <v>1047.0</v>
      </c>
      <c r="B1048" s="32" t="s">
        <v>1548</v>
      </c>
      <c r="C1048" s="32" t="s">
        <v>184</v>
      </c>
      <c r="D1048" s="32" t="s">
        <v>214</v>
      </c>
      <c r="E1048" s="32" t="s">
        <v>215</v>
      </c>
      <c r="F1048" s="32" t="s">
        <v>216</v>
      </c>
      <c r="G1048" s="32" t="s">
        <v>217</v>
      </c>
    </row>
    <row r="1049" ht="16.5" customHeight="1">
      <c r="A1049" s="32">
        <v>1048.0</v>
      </c>
      <c r="B1049" s="32" t="s">
        <v>1549</v>
      </c>
      <c r="C1049" s="32" t="s">
        <v>184</v>
      </c>
      <c r="D1049" s="32" t="s">
        <v>219</v>
      </c>
      <c r="E1049" s="32" t="s">
        <v>215</v>
      </c>
    </row>
    <row r="1050" ht="16.5" customHeight="1">
      <c r="A1050" s="32">
        <v>1049.0</v>
      </c>
      <c r="B1050" s="32" t="s">
        <v>1550</v>
      </c>
      <c r="C1050" s="32" t="s">
        <v>184</v>
      </c>
      <c r="D1050" s="32" t="s">
        <v>192</v>
      </c>
      <c r="E1050" s="32" t="s">
        <v>215</v>
      </c>
    </row>
    <row r="1051" ht="16.5" customHeight="1">
      <c r="A1051" s="32">
        <v>1050.0</v>
      </c>
      <c r="B1051" s="32" t="s">
        <v>1551</v>
      </c>
      <c r="C1051" s="32" t="s">
        <v>184</v>
      </c>
      <c r="D1051" s="32" t="s">
        <v>192</v>
      </c>
      <c r="E1051" s="32" t="s">
        <v>215</v>
      </c>
      <c r="F1051" s="32" t="s">
        <v>329</v>
      </c>
      <c r="G1051" s="32" t="s">
        <v>447</v>
      </c>
    </row>
    <row r="1052" ht="16.5" customHeight="1">
      <c r="A1052" s="32">
        <v>1051.0</v>
      </c>
      <c r="B1052" s="32" t="s">
        <v>1552</v>
      </c>
      <c r="C1052" s="32" t="s">
        <v>184</v>
      </c>
      <c r="D1052" s="32" t="s">
        <v>219</v>
      </c>
      <c r="E1052" s="32" t="s">
        <v>215</v>
      </c>
      <c r="F1052" s="32" t="s">
        <v>223</v>
      </c>
    </row>
    <row r="1053" ht="16.5" customHeight="1">
      <c r="A1053" s="32">
        <v>1052.0</v>
      </c>
      <c r="B1053" s="32" t="s">
        <v>1553</v>
      </c>
      <c r="C1053" s="32" t="s">
        <v>184</v>
      </c>
      <c r="D1053" s="32" t="s">
        <v>219</v>
      </c>
      <c r="E1053" s="32" t="s">
        <v>215</v>
      </c>
      <c r="F1053" s="32" t="s">
        <v>223</v>
      </c>
    </row>
    <row r="1054" ht="16.5" customHeight="1">
      <c r="A1054" s="32">
        <v>1053.0</v>
      </c>
      <c r="B1054" s="32" t="s">
        <v>1554</v>
      </c>
      <c r="C1054" s="32" t="s">
        <v>184</v>
      </c>
      <c r="D1054" s="32" t="s">
        <v>219</v>
      </c>
      <c r="E1054" s="32" t="s">
        <v>215</v>
      </c>
      <c r="F1054" s="32" t="s">
        <v>223</v>
      </c>
    </row>
    <row r="1055" ht="16.5" customHeight="1">
      <c r="A1055" s="32">
        <v>1054.0</v>
      </c>
      <c r="B1055" s="32" t="s">
        <v>1555</v>
      </c>
      <c r="C1055" s="32" t="s">
        <v>184</v>
      </c>
      <c r="D1055" s="32" t="s">
        <v>214</v>
      </c>
      <c r="E1055" s="32" t="s">
        <v>215</v>
      </c>
      <c r="F1055" s="32" t="s">
        <v>216</v>
      </c>
      <c r="G1055" s="32" t="s">
        <v>217</v>
      </c>
    </row>
    <row r="1056" ht="16.5" customHeight="1">
      <c r="A1056" s="32">
        <v>1055.0</v>
      </c>
      <c r="B1056" s="32" t="s">
        <v>1556</v>
      </c>
      <c r="C1056" s="32" t="s">
        <v>184</v>
      </c>
      <c r="D1056" s="32" t="s">
        <v>219</v>
      </c>
      <c r="E1056" s="32" t="s">
        <v>215</v>
      </c>
    </row>
    <row r="1057" ht="16.5" customHeight="1">
      <c r="A1057" s="32">
        <v>1056.0</v>
      </c>
      <c r="B1057" s="32" t="s">
        <v>1557</v>
      </c>
      <c r="C1057" s="32" t="s">
        <v>184</v>
      </c>
      <c r="D1057" s="32" t="s">
        <v>214</v>
      </c>
      <c r="E1057" s="32" t="s">
        <v>215</v>
      </c>
      <c r="F1057" s="32" t="s">
        <v>216</v>
      </c>
      <c r="G1057" s="32" t="s">
        <v>217</v>
      </c>
    </row>
    <row r="1058" ht="16.5" customHeight="1">
      <c r="A1058" s="32">
        <v>1057.0</v>
      </c>
      <c r="B1058" s="32" t="s">
        <v>1558</v>
      </c>
      <c r="C1058" s="32" t="s">
        <v>184</v>
      </c>
      <c r="D1058" s="32" t="s">
        <v>214</v>
      </c>
      <c r="E1058" s="32" t="s">
        <v>215</v>
      </c>
      <c r="F1058" s="32" t="s">
        <v>604</v>
      </c>
    </row>
    <row r="1059" ht="16.5" customHeight="1">
      <c r="A1059" s="32">
        <v>1058.0</v>
      </c>
      <c r="B1059" s="32" t="s">
        <v>1559</v>
      </c>
      <c r="C1059" s="32" t="s">
        <v>184</v>
      </c>
      <c r="D1059" s="32" t="s">
        <v>219</v>
      </c>
      <c r="E1059" s="32" t="s">
        <v>215</v>
      </c>
      <c r="F1059" s="32" t="s">
        <v>223</v>
      </c>
    </row>
    <row r="1060" ht="16.5" customHeight="1">
      <c r="A1060" s="32">
        <v>1059.0</v>
      </c>
      <c r="B1060" s="32" t="s">
        <v>1560</v>
      </c>
      <c r="C1060" s="32" t="s">
        <v>184</v>
      </c>
      <c r="D1060" s="32" t="s">
        <v>192</v>
      </c>
      <c r="E1060" s="32" t="s">
        <v>215</v>
      </c>
      <c r="F1060" s="32" t="s">
        <v>329</v>
      </c>
      <c r="G1060" s="32" t="s">
        <v>447</v>
      </c>
    </row>
    <row r="1061" ht="16.5" customHeight="1">
      <c r="A1061" s="32">
        <v>1060.0</v>
      </c>
      <c r="B1061" s="32" t="s">
        <v>1561</v>
      </c>
      <c r="C1061" s="32" t="s">
        <v>184</v>
      </c>
      <c r="D1061" s="32" t="s">
        <v>192</v>
      </c>
      <c r="E1061" s="32" t="s">
        <v>215</v>
      </c>
      <c r="F1061" s="32" t="s">
        <v>404</v>
      </c>
      <c r="G1061" s="32" t="s">
        <v>457</v>
      </c>
    </row>
    <row r="1062" ht="16.5" customHeight="1">
      <c r="A1062" s="32">
        <v>1061.0</v>
      </c>
      <c r="B1062" s="32" t="s">
        <v>1562</v>
      </c>
      <c r="C1062" s="32" t="s">
        <v>184</v>
      </c>
      <c r="D1062" s="32" t="s">
        <v>192</v>
      </c>
      <c r="E1062" s="32" t="s">
        <v>215</v>
      </c>
      <c r="F1062" s="32" t="s">
        <v>329</v>
      </c>
      <c r="G1062" s="32" t="s">
        <v>457</v>
      </c>
    </row>
    <row r="1063" ht="16.5" customHeight="1">
      <c r="A1063" s="32">
        <v>1062.0</v>
      </c>
      <c r="B1063" s="32" t="s">
        <v>1563</v>
      </c>
      <c r="C1063" s="32" t="s">
        <v>184</v>
      </c>
      <c r="D1063" s="32" t="s">
        <v>192</v>
      </c>
      <c r="E1063" s="32" t="s">
        <v>215</v>
      </c>
      <c r="F1063" s="32" t="s">
        <v>570</v>
      </c>
      <c r="G1063" s="32" t="s">
        <v>457</v>
      </c>
    </row>
    <row r="1064" ht="16.5" customHeight="1">
      <c r="A1064" s="32">
        <v>1063.0</v>
      </c>
      <c r="B1064" s="32" t="s">
        <v>1564</v>
      </c>
      <c r="C1064" s="32" t="s">
        <v>184</v>
      </c>
      <c r="D1064" s="32" t="s">
        <v>219</v>
      </c>
      <c r="E1064" s="32" t="s">
        <v>215</v>
      </c>
    </row>
    <row r="1065" ht="16.5" customHeight="1">
      <c r="A1065" s="32">
        <v>1064.0</v>
      </c>
      <c r="B1065" s="32" t="s">
        <v>1565</v>
      </c>
      <c r="C1065" s="32" t="s">
        <v>184</v>
      </c>
      <c r="D1065" s="32" t="s">
        <v>219</v>
      </c>
      <c r="E1065" s="32" t="s">
        <v>215</v>
      </c>
      <c r="F1065" s="32" t="s">
        <v>223</v>
      </c>
    </row>
    <row r="1066" ht="16.5" customHeight="1">
      <c r="A1066" s="32">
        <v>1065.0</v>
      </c>
      <c r="B1066" s="32" t="s">
        <v>1566</v>
      </c>
      <c r="C1066" s="32" t="s">
        <v>184</v>
      </c>
      <c r="D1066" s="32" t="s">
        <v>219</v>
      </c>
      <c r="E1066" s="32" t="s">
        <v>215</v>
      </c>
    </row>
    <row r="1067" ht="16.5" customHeight="1">
      <c r="A1067" s="32">
        <v>1066.0</v>
      </c>
      <c r="B1067" s="32" t="s">
        <v>1567</v>
      </c>
      <c r="C1067" s="32" t="s">
        <v>184</v>
      </c>
      <c r="D1067" s="32" t="s">
        <v>219</v>
      </c>
      <c r="E1067" s="32" t="s">
        <v>215</v>
      </c>
    </row>
    <row r="1068" ht="16.5" customHeight="1">
      <c r="A1068" s="32">
        <v>1067.0</v>
      </c>
      <c r="B1068" s="32" t="s">
        <v>1568</v>
      </c>
      <c r="C1068" s="32" t="s">
        <v>184</v>
      </c>
      <c r="D1068" s="32" t="s">
        <v>219</v>
      </c>
      <c r="E1068" s="32" t="s">
        <v>215</v>
      </c>
    </row>
    <row r="1069" ht="16.5" customHeight="1">
      <c r="A1069" s="32">
        <v>1068.0</v>
      </c>
      <c r="B1069" s="32" t="s">
        <v>1569</v>
      </c>
      <c r="C1069" s="32" t="s">
        <v>184</v>
      </c>
      <c r="D1069" s="32" t="s">
        <v>192</v>
      </c>
      <c r="E1069" s="32" t="s">
        <v>215</v>
      </c>
      <c r="F1069" s="32" t="s">
        <v>329</v>
      </c>
      <c r="G1069" s="32" t="s">
        <v>457</v>
      </c>
    </row>
    <row r="1070" ht="16.5" customHeight="1">
      <c r="A1070" s="32">
        <v>1069.0</v>
      </c>
      <c r="B1070" s="32" t="s">
        <v>1570</v>
      </c>
      <c r="C1070" s="32" t="s">
        <v>184</v>
      </c>
      <c r="D1070" s="32" t="s">
        <v>254</v>
      </c>
      <c r="E1070" s="32" t="s">
        <v>215</v>
      </c>
      <c r="F1070" s="32" t="s">
        <v>257</v>
      </c>
    </row>
    <row r="1071" ht="16.5" customHeight="1">
      <c r="A1071" s="32">
        <v>1070.0</v>
      </c>
      <c r="B1071" s="32" t="s">
        <v>1571</v>
      </c>
      <c r="C1071" s="32" t="s">
        <v>184</v>
      </c>
      <c r="D1071" s="32" t="s">
        <v>254</v>
      </c>
      <c r="E1071" s="35" t="s">
        <v>1572</v>
      </c>
    </row>
    <row r="1072" ht="16.5" customHeight="1">
      <c r="A1072" s="32">
        <v>1071.0</v>
      </c>
      <c r="B1072" s="32" t="s">
        <v>1573</v>
      </c>
      <c r="C1072" s="32" t="s">
        <v>184</v>
      </c>
      <c r="D1072" s="32" t="s">
        <v>234</v>
      </c>
      <c r="E1072" s="32" t="s">
        <v>215</v>
      </c>
    </row>
    <row r="1073" ht="16.5" customHeight="1">
      <c r="A1073" s="32">
        <v>1072.0</v>
      </c>
      <c r="B1073" s="32" t="s">
        <v>1574</v>
      </c>
      <c r="C1073" s="32" t="s">
        <v>184</v>
      </c>
      <c r="D1073" s="32" t="s">
        <v>234</v>
      </c>
      <c r="E1073" s="32" t="s">
        <v>215</v>
      </c>
    </row>
    <row r="1074" ht="16.5" customHeight="1">
      <c r="A1074" s="32">
        <v>1073.0</v>
      </c>
      <c r="B1074" s="32" t="s">
        <v>1575</v>
      </c>
      <c r="C1074" s="32" t="s">
        <v>184</v>
      </c>
      <c r="D1074" s="32" t="s">
        <v>234</v>
      </c>
      <c r="E1074" s="32" t="s">
        <v>215</v>
      </c>
    </row>
    <row r="1075" ht="16.5" customHeight="1">
      <c r="A1075" s="32">
        <v>1074.0</v>
      </c>
      <c r="B1075" s="32" t="s">
        <v>1576</v>
      </c>
      <c r="C1075" s="32" t="s">
        <v>184</v>
      </c>
      <c r="D1075" s="32" t="s">
        <v>254</v>
      </c>
      <c r="E1075" s="32" t="s">
        <v>215</v>
      </c>
    </row>
    <row r="1076" ht="16.5" customHeight="1">
      <c r="A1076" s="32">
        <v>1075.0</v>
      </c>
      <c r="B1076" s="32" t="s">
        <v>1577</v>
      </c>
      <c r="C1076" s="32" t="s">
        <v>184</v>
      </c>
      <c r="D1076" s="32" t="s">
        <v>254</v>
      </c>
      <c r="E1076" s="32" t="s">
        <v>215</v>
      </c>
      <c r="F1076" s="32" t="s">
        <v>256</v>
      </c>
      <c r="G1076" s="32" t="s">
        <v>257</v>
      </c>
    </row>
    <row r="1077" ht="16.5" customHeight="1">
      <c r="A1077" s="32">
        <v>1076.0</v>
      </c>
      <c r="B1077" s="32" t="s">
        <v>1578</v>
      </c>
      <c r="C1077" s="32" t="s">
        <v>184</v>
      </c>
      <c r="D1077" s="32" t="s">
        <v>254</v>
      </c>
      <c r="E1077" s="32" t="s">
        <v>215</v>
      </c>
    </row>
    <row r="1078" ht="16.5" customHeight="1">
      <c r="A1078" s="32">
        <v>1077.0</v>
      </c>
      <c r="B1078" s="32" t="s">
        <v>1579</v>
      </c>
      <c r="C1078" s="32" t="s">
        <v>184</v>
      </c>
      <c r="D1078" s="32" t="s">
        <v>219</v>
      </c>
      <c r="E1078" s="32" t="s">
        <v>215</v>
      </c>
    </row>
    <row r="1079" ht="16.5" customHeight="1">
      <c r="A1079" s="32">
        <v>1078.0</v>
      </c>
      <c r="B1079" s="32" t="s">
        <v>1580</v>
      </c>
      <c r="C1079" s="32" t="s">
        <v>184</v>
      </c>
      <c r="D1079" s="32" t="s">
        <v>219</v>
      </c>
      <c r="E1079" s="32" t="s">
        <v>215</v>
      </c>
    </row>
    <row r="1080" ht="16.5" customHeight="1">
      <c r="A1080" s="32">
        <v>1079.0</v>
      </c>
      <c r="B1080" s="32" t="s">
        <v>1581</v>
      </c>
      <c r="C1080" s="32" t="s">
        <v>184</v>
      </c>
      <c r="D1080" s="32" t="s">
        <v>228</v>
      </c>
      <c r="E1080" s="32" t="s">
        <v>215</v>
      </c>
    </row>
    <row r="1081" ht="16.5" customHeight="1">
      <c r="A1081" s="32">
        <v>1080.0</v>
      </c>
      <c r="B1081" s="32" t="s">
        <v>1582</v>
      </c>
      <c r="C1081" s="32" t="s">
        <v>184</v>
      </c>
      <c r="D1081" s="32" t="s">
        <v>219</v>
      </c>
      <c r="E1081" s="32" t="s">
        <v>215</v>
      </c>
      <c r="F1081" s="32" t="s">
        <v>241</v>
      </c>
      <c r="G1081" s="32" t="s">
        <v>292</v>
      </c>
    </row>
    <row r="1082" ht="16.5" customHeight="1">
      <c r="A1082" s="32">
        <v>1081.0</v>
      </c>
      <c r="B1082" s="32" t="s">
        <v>1583</v>
      </c>
      <c r="C1082" s="32" t="s">
        <v>184</v>
      </c>
      <c r="D1082" s="32" t="s">
        <v>219</v>
      </c>
      <c r="E1082" s="32" t="s">
        <v>215</v>
      </c>
      <c r="F1082" s="32" t="s">
        <v>223</v>
      </c>
    </row>
    <row r="1083" ht="16.5" customHeight="1">
      <c r="A1083" s="32">
        <v>1082.0</v>
      </c>
      <c r="B1083" s="32" t="s">
        <v>1584</v>
      </c>
      <c r="C1083" s="32" t="s">
        <v>184</v>
      </c>
      <c r="D1083" s="32" t="s">
        <v>192</v>
      </c>
      <c r="E1083" s="32" t="s">
        <v>215</v>
      </c>
      <c r="F1083" s="32" t="s">
        <v>570</v>
      </c>
      <c r="G1083" s="32" t="s">
        <v>447</v>
      </c>
    </row>
    <row r="1084" ht="16.5" customHeight="1">
      <c r="A1084" s="32">
        <v>1083.0</v>
      </c>
      <c r="B1084" s="32" t="s">
        <v>1585</v>
      </c>
      <c r="C1084" s="32" t="s">
        <v>184</v>
      </c>
      <c r="D1084" s="32" t="s">
        <v>192</v>
      </c>
      <c r="E1084" s="32" t="s">
        <v>215</v>
      </c>
      <c r="F1084" s="32" t="s">
        <v>300</v>
      </c>
      <c r="G1084" s="32" t="s">
        <v>1357</v>
      </c>
    </row>
    <row r="1085" ht="16.5" customHeight="1">
      <c r="A1085" s="32">
        <v>1084.0</v>
      </c>
      <c r="B1085" s="32" t="s">
        <v>1586</v>
      </c>
      <c r="C1085" s="32" t="s">
        <v>184</v>
      </c>
      <c r="D1085" s="32" t="s">
        <v>192</v>
      </c>
      <c r="E1085" s="32" t="s">
        <v>215</v>
      </c>
    </row>
    <row r="1086" ht="16.5" customHeight="1">
      <c r="A1086" s="32">
        <v>1085.0</v>
      </c>
      <c r="B1086" s="32" t="s">
        <v>1587</v>
      </c>
      <c r="C1086" s="32" t="s">
        <v>184</v>
      </c>
      <c r="D1086" s="32" t="s">
        <v>192</v>
      </c>
      <c r="E1086" s="32" t="s">
        <v>215</v>
      </c>
      <c r="F1086" s="32" t="s">
        <v>300</v>
      </c>
      <c r="G1086" s="32" t="s">
        <v>387</v>
      </c>
    </row>
    <row r="1087" ht="16.5" customHeight="1">
      <c r="A1087" s="32">
        <v>1086.0</v>
      </c>
      <c r="B1087" s="32" t="s">
        <v>1588</v>
      </c>
      <c r="C1087" s="32" t="s">
        <v>184</v>
      </c>
      <c r="D1087" s="32" t="s">
        <v>285</v>
      </c>
      <c r="E1087" s="32" t="s">
        <v>215</v>
      </c>
    </row>
    <row r="1088" ht="16.5" customHeight="1">
      <c r="A1088" s="32">
        <v>1087.0</v>
      </c>
      <c r="B1088" s="32" t="s">
        <v>1589</v>
      </c>
      <c r="C1088" s="32" t="s">
        <v>184</v>
      </c>
      <c r="D1088" s="32" t="s">
        <v>351</v>
      </c>
      <c r="E1088" s="32" t="s">
        <v>215</v>
      </c>
      <c r="F1088" s="32" t="s">
        <v>1590</v>
      </c>
    </row>
    <row r="1089" ht="16.5" customHeight="1">
      <c r="A1089" s="32">
        <v>1088.0</v>
      </c>
      <c r="B1089" s="32" t="s">
        <v>1591</v>
      </c>
      <c r="C1089" s="32" t="s">
        <v>184</v>
      </c>
      <c r="D1089" s="32" t="s">
        <v>351</v>
      </c>
      <c r="E1089" s="32" t="s">
        <v>215</v>
      </c>
    </row>
    <row r="1090" ht="16.5" customHeight="1">
      <c r="A1090" s="32">
        <v>1089.0</v>
      </c>
      <c r="B1090" s="32" t="s">
        <v>1592</v>
      </c>
      <c r="C1090" s="32" t="s">
        <v>184</v>
      </c>
      <c r="D1090" s="32" t="s">
        <v>192</v>
      </c>
      <c r="E1090" s="32" t="s">
        <v>215</v>
      </c>
      <c r="F1090" s="32" t="s">
        <v>329</v>
      </c>
    </row>
    <row r="1091" ht="16.5" customHeight="1">
      <c r="A1091" s="32">
        <v>1090.0</v>
      </c>
      <c r="B1091" s="32" t="s">
        <v>1593</v>
      </c>
      <c r="C1091" s="32" t="s">
        <v>184</v>
      </c>
      <c r="D1091" s="32" t="s">
        <v>192</v>
      </c>
      <c r="E1091" s="32" t="s">
        <v>215</v>
      </c>
      <c r="F1091" s="32" t="s">
        <v>329</v>
      </c>
      <c r="G1091" s="32" t="s">
        <v>330</v>
      </c>
    </row>
    <row r="1092" ht="16.5" customHeight="1">
      <c r="A1092" s="32">
        <v>1091.0</v>
      </c>
      <c r="B1092" s="32" t="s">
        <v>1594</v>
      </c>
      <c r="C1092" s="32" t="s">
        <v>184</v>
      </c>
      <c r="D1092" s="32" t="s">
        <v>219</v>
      </c>
      <c r="E1092" s="32" t="s">
        <v>215</v>
      </c>
    </row>
    <row r="1093" ht="16.5" customHeight="1">
      <c r="A1093" s="32">
        <v>1092.0</v>
      </c>
      <c r="B1093" s="32" t="s">
        <v>1595</v>
      </c>
      <c r="C1093" s="32" t="s">
        <v>184</v>
      </c>
      <c r="D1093" s="32" t="s">
        <v>219</v>
      </c>
      <c r="E1093" s="32" t="s">
        <v>215</v>
      </c>
    </row>
    <row r="1094" ht="16.5" customHeight="1">
      <c r="A1094" s="32">
        <v>1093.0</v>
      </c>
      <c r="B1094" s="32" t="s">
        <v>1596</v>
      </c>
      <c r="C1094" s="32" t="s">
        <v>184</v>
      </c>
      <c r="D1094" s="32" t="s">
        <v>219</v>
      </c>
      <c r="E1094" s="32" t="s">
        <v>215</v>
      </c>
    </row>
    <row r="1095" ht="16.5" customHeight="1">
      <c r="A1095" s="32">
        <v>1094.0</v>
      </c>
      <c r="B1095" s="32" t="s">
        <v>1597</v>
      </c>
      <c r="C1095" s="32" t="s">
        <v>184</v>
      </c>
      <c r="D1095" s="32" t="s">
        <v>219</v>
      </c>
      <c r="E1095" s="32" t="s">
        <v>215</v>
      </c>
    </row>
    <row r="1096" ht="16.5" customHeight="1">
      <c r="A1096" s="32">
        <v>1095.0</v>
      </c>
      <c r="B1096" s="32" t="s">
        <v>1598</v>
      </c>
      <c r="C1096" s="32" t="s">
        <v>184</v>
      </c>
      <c r="D1096" s="32" t="s">
        <v>192</v>
      </c>
      <c r="E1096" s="32" t="s">
        <v>215</v>
      </c>
    </row>
    <row r="1097" ht="16.5" customHeight="1">
      <c r="A1097" s="32">
        <v>1096.0</v>
      </c>
      <c r="B1097" s="32" t="s">
        <v>1599</v>
      </c>
      <c r="C1097" s="32" t="s">
        <v>184</v>
      </c>
      <c r="D1097" s="32" t="s">
        <v>228</v>
      </c>
      <c r="E1097" s="32" t="s">
        <v>215</v>
      </c>
      <c r="F1097" s="32" t="s">
        <v>408</v>
      </c>
      <c r="G1097" s="32" t="s">
        <v>452</v>
      </c>
    </row>
    <row r="1098" ht="16.5" customHeight="1">
      <c r="A1098" s="32">
        <v>1097.0</v>
      </c>
      <c r="B1098" s="32" t="s">
        <v>1600</v>
      </c>
      <c r="C1098" s="32" t="s">
        <v>184</v>
      </c>
      <c r="D1098" s="32" t="s">
        <v>228</v>
      </c>
      <c r="E1098" s="32" t="s">
        <v>215</v>
      </c>
      <c r="F1098" s="32" t="s">
        <v>408</v>
      </c>
      <c r="G1098" s="32" t="s">
        <v>1601</v>
      </c>
    </row>
    <row r="1099" ht="16.5" customHeight="1">
      <c r="A1099" s="32">
        <v>1098.0</v>
      </c>
      <c r="B1099" s="32" t="s">
        <v>1602</v>
      </c>
      <c r="C1099" s="32" t="s">
        <v>184</v>
      </c>
      <c r="D1099" s="32" t="s">
        <v>192</v>
      </c>
      <c r="E1099" s="32" t="s">
        <v>215</v>
      </c>
      <c r="F1099" s="32" t="s">
        <v>329</v>
      </c>
      <c r="G1099" s="32" t="s">
        <v>457</v>
      </c>
    </row>
    <row r="1100" ht="16.5" customHeight="1">
      <c r="A1100" s="32">
        <v>1099.0</v>
      </c>
      <c r="B1100" s="32" t="s">
        <v>1603</v>
      </c>
      <c r="C1100" s="32" t="s">
        <v>184</v>
      </c>
      <c r="D1100" s="32" t="s">
        <v>192</v>
      </c>
      <c r="E1100" s="32" t="s">
        <v>215</v>
      </c>
      <c r="F1100" s="32" t="s">
        <v>329</v>
      </c>
      <c r="G1100" s="32" t="s">
        <v>457</v>
      </c>
    </row>
    <row r="1101" ht="16.5" customHeight="1">
      <c r="A1101" s="32">
        <v>1100.0</v>
      </c>
      <c r="B1101" s="32" t="s">
        <v>1604</v>
      </c>
      <c r="C1101" s="32" t="s">
        <v>184</v>
      </c>
      <c r="D1101" s="32" t="s">
        <v>192</v>
      </c>
      <c r="E1101" s="32" t="s">
        <v>215</v>
      </c>
    </row>
    <row r="1102" ht="16.5" customHeight="1">
      <c r="A1102" s="32">
        <v>1101.0</v>
      </c>
      <c r="B1102" s="32" t="s">
        <v>1605</v>
      </c>
      <c r="C1102" s="32" t="s">
        <v>184</v>
      </c>
      <c r="D1102" s="32" t="s">
        <v>192</v>
      </c>
      <c r="E1102" s="32" t="s">
        <v>215</v>
      </c>
      <c r="F1102" s="32" t="s">
        <v>329</v>
      </c>
      <c r="G1102" s="32" t="s">
        <v>447</v>
      </c>
    </row>
    <row r="1103" ht="16.5" customHeight="1">
      <c r="A1103" s="32">
        <v>1102.0</v>
      </c>
      <c r="B1103" s="32" t="s">
        <v>1606</v>
      </c>
      <c r="C1103" s="32" t="s">
        <v>184</v>
      </c>
      <c r="D1103" s="32" t="s">
        <v>192</v>
      </c>
      <c r="E1103" s="32" t="s">
        <v>215</v>
      </c>
      <c r="F1103" s="32" t="s">
        <v>1607</v>
      </c>
      <c r="G1103" s="32" t="s">
        <v>662</v>
      </c>
    </row>
    <row r="1104" ht="16.5" customHeight="1">
      <c r="A1104" s="32">
        <v>1103.0</v>
      </c>
      <c r="B1104" s="32" t="s">
        <v>1608</v>
      </c>
      <c r="C1104" s="32" t="s">
        <v>184</v>
      </c>
      <c r="D1104" s="32" t="s">
        <v>192</v>
      </c>
      <c r="E1104" s="32" t="s">
        <v>215</v>
      </c>
      <c r="F1104" s="32" t="s">
        <v>329</v>
      </c>
      <c r="G1104" s="32" t="s">
        <v>357</v>
      </c>
    </row>
    <row r="1105" ht="16.5" customHeight="1">
      <c r="A1105" s="32">
        <v>1104.0</v>
      </c>
      <c r="B1105" s="32" t="s">
        <v>1609</v>
      </c>
      <c r="C1105" s="32" t="s">
        <v>184</v>
      </c>
      <c r="D1105" s="32" t="s">
        <v>192</v>
      </c>
      <c r="E1105" s="32" t="s">
        <v>215</v>
      </c>
      <c r="F1105" s="32" t="s">
        <v>329</v>
      </c>
      <c r="G1105" s="32" t="s">
        <v>357</v>
      </c>
    </row>
    <row r="1106" ht="16.5" customHeight="1">
      <c r="A1106" s="32">
        <v>1105.0</v>
      </c>
      <c r="B1106" s="32" t="s">
        <v>1610</v>
      </c>
      <c r="C1106" s="32" t="s">
        <v>184</v>
      </c>
      <c r="D1106" s="32" t="s">
        <v>254</v>
      </c>
      <c r="E1106" s="32" t="s">
        <v>215</v>
      </c>
      <c r="F1106" s="32" t="s">
        <v>257</v>
      </c>
      <c r="G1106" s="32" t="s">
        <v>271</v>
      </c>
    </row>
    <row r="1107" ht="16.5" customHeight="1">
      <c r="A1107" s="32">
        <v>1106.0</v>
      </c>
      <c r="B1107" s="32" t="s">
        <v>1611</v>
      </c>
      <c r="C1107" s="32" t="s">
        <v>184</v>
      </c>
      <c r="D1107" s="32" t="s">
        <v>254</v>
      </c>
      <c r="E1107" s="32" t="s">
        <v>215</v>
      </c>
      <c r="F1107" s="32" t="s">
        <v>257</v>
      </c>
      <c r="G1107" s="32" t="s">
        <v>271</v>
      </c>
    </row>
    <row r="1108" ht="16.5" customHeight="1">
      <c r="A1108" s="32">
        <v>1107.0</v>
      </c>
      <c r="B1108" s="32" t="s">
        <v>1612</v>
      </c>
      <c r="C1108" s="32" t="s">
        <v>184</v>
      </c>
      <c r="D1108" s="32" t="s">
        <v>192</v>
      </c>
      <c r="E1108" s="32" t="s">
        <v>215</v>
      </c>
      <c r="F1108" s="32" t="s">
        <v>329</v>
      </c>
      <c r="G1108" s="32" t="s">
        <v>357</v>
      </c>
    </row>
    <row r="1109" ht="16.5" customHeight="1">
      <c r="A1109" s="32">
        <v>1108.0</v>
      </c>
      <c r="B1109" s="32" t="s">
        <v>1613</v>
      </c>
      <c r="C1109" s="32" t="s">
        <v>184</v>
      </c>
      <c r="D1109" s="32" t="s">
        <v>192</v>
      </c>
      <c r="E1109" s="32" t="s">
        <v>215</v>
      </c>
      <c r="F1109" s="32" t="s">
        <v>329</v>
      </c>
      <c r="G1109" s="32" t="s">
        <v>447</v>
      </c>
    </row>
    <row r="1110" ht="16.5" customHeight="1">
      <c r="A1110" s="32">
        <v>1109.0</v>
      </c>
      <c r="B1110" s="32" t="s">
        <v>1614</v>
      </c>
      <c r="C1110" s="32" t="s">
        <v>184</v>
      </c>
      <c r="D1110" s="32" t="s">
        <v>219</v>
      </c>
      <c r="E1110" s="32" t="s">
        <v>215</v>
      </c>
      <c r="F1110" s="32" t="s">
        <v>223</v>
      </c>
      <c r="G1110" s="32" t="s">
        <v>472</v>
      </c>
    </row>
    <row r="1111" ht="16.5" customHeight="1">
      <c r="A1111" s="32">
        <v>1110.0</v>
      </c>
      <c r="B1111" s="32" t="s">
        <v>1615</v>
      </c>
      <c r="C1111" s="32" t="s">
        <v>184</v>
      </c>
      <c r="D1111" s="32" t="s">
        <v>192</v>
      </c>
      <c r="E1111" s="32" t="s">
        <v>215</v>
      </c>
      <c r="F1111" s="32" t="s">
        <v>1607</v>
      </c>
      <c r="G1111" s="32" t="s">
        <v>408</v>
      </c>
    </row>
    <row r="1112" ht="16.5" customHeight="1">
      <c r="A1112" s="32">
        <v>1111.0</v>
      </c>
      <c r="B1112" s="32" t="s">
        <v>1616</v>
      </c>
      <c r="C1112" s="32" t="s">
        <v>184</v>
      </c>
      <c r="D1112" s="32" t="s">
        <v>192</v>
      </c>
      <c r="E1112" s="32" t="s">
        <v>215</v>
      </c>
      <c r="F1112" s="32" t="s">
        <v>347</v>
      </c>
      <c r="G1112" s="32" t="s">
        <v>882</v>
      </c>
    </row>
    <row r="1113" ht="16.5" customHeight="1">
      <c r="A1113" s="32">
        <v>1112.0</v>
      </c>
      <c r="B1113" s="32" t="s">
        <v>1617</v>
      </c>
      <c r="C1113" s="32" t="s">
        <v>184</v>
      </c>
      <c r="D1113" s="32" t="s">
        <v>228</v>
      </c>
      <c r="E1113" s="32" t="s">
        <v>215</v>
      </c>
      <c r="F1113" s="32" t="s">
        <v>472</v>
      </c>
    </row>
    <row r="1114" ht="16.5" customHeight="1">
      <c r="A1114" s="32">
        <v>1113.0</v>
      </c>
      <c r="B1114" s="32" t="s">
        <v>1618</v>
      </c>
      <c r="C1114" s="32" t="s">
        <v>184</v>
      </c>
      <c r="D1114" s="32" t="s">
        <v>228</v>
      </c>
      <c r="E1114" s="32" t="s">
        <v>215</v>
      </c>
      <c r="F1114" s="32" t="s">
        <v>229</v>
      </c>
      <c r="G1114" s="32" t="s">
        <v>230</v>
      </c>
    </row>
    <row r="1115" ht="16.5" customHeight="1">
      <c r="A1115" s="32">
        <v>1114.0</v>
      </c>
      <c r="B1115" s="32" t="s">
        <v>1619</v>
      </c>
      <c r="C1115" s="32" t="s">
        <v>184</v>
      </c>
      <c r="D1115" s="32" t="s">
        <v>228</v>
      </c>
      <c r="E1115" s="32" t="s">
        <v>215</v>
      </c>
    </row>
    <row r="1116" ht="16.5" customHeight="1">
      <c r="A1116" s="32">
        <v>1115.0</v>
      </c>
      <c r="B1116" s="32" t="s">
        <v>1620</v>
      </c>
      <c r="C1116" s="32" t="s">
        <v>184</v>
      </c>
      <c r="D1116" s="32" t="s">
        <v>192</v>
      </c>
      <c r="E1116" s="32" t="s">
        <v>215</v>
      </c>
      <c r="F1116" s="32" t="s">
        <v>238</v>
      </c>
      <c r="G1116" s="32" t="s">
        <v>1621</v>
      </c>
    </row>
    <row r="1117" ht="16.5" customHeight="1">
      <c r="A1117" s="32">
        <v>1116.0</v>
      </c>
      <c r="B1117" s="32" t="s">
        <v>1622</v>
      </c>
      <c r="C1117" s="32" t="s">
        <v>184</v>
      </c>
      <c r="D1117" s="32" t="s">
        <v>192</v>
      </c>
      <c r="E1117" s="32" t="s">
        <v>215</v>
      </c>
    </row>
    <row r="1118" ht="16.5" customHeight="1">
      <c r="A1118" s="32">
        <v>1117.0</v>
      </c>
      <c r="B1118" s="32" t="s">
        <v>1623</v>
      </c>
      <c r="C1118" s="32" t="s">
        <v>184</v>
      </c>
      <c r="D1118" s="32" t="s">
        <v>254</v>
      </c>
      <c r="E1118" s="32" t="s">
        <v>215</v>
      </c>
      <c r="F1118" s="32" t="s">
        <v>257</v>
      </c>
    </row>
    <row r="1119" ht="16.5" customHeight="1">
      <c r="A1119" s="32">
        <v>1118.0</v>
      </c>
      <c r="B1119" s="32" t="s">
        <v>1624</v>
      </c>
      <c r="C1119" s="32" t="s">
        <v>184</v>
      </c>
      <c r="D1119" s="32" t="s">
        <v>254</v>
      </c>
      <c r="E1119" s="32" t="s">
        <v>215</v>
      </c>
    </row>
    <row r="1120" ht="16.5" customHeight="1">
      <c r="A1120" s="32">
        <v>1119.0</v>
      </c>
      <c r="B1120" s="32" t="s">
        <v>1625</v>
      </c>
      <c r="C1120" s="32" t="s">
        <v>184</v>
      </c>
      <c r="D1120" s="32" t="s">
        <v>254</v>
      </c>
      <c r="E1120" s="32" t="s">
        <v>215</v>
      </c>
      <c r="F1120" s="32" t="s">
        <v>257</v>
      </c>
      <c r="G1120" s="32" t="s">
        <v>271</v>
      </c>
    </row>
    <row r="1121" ht="16.5" customHeight="1">
      <c r="A1121" s="32">
        <v>1120.0</v>
      </c>
      <c r="B1121" s="32" t="s">
        <v>1626</v>
      </c>
      <c r="C1121" s="32" t="s">
        <v>184</v>
      </c>
      <c r="D1121" s="32" t="s">
        <v>254</v>
      </c>
      <c r="E1121" s="32" t="s">
        <v>215</v>
      </c>
      <c r="F1121" s="32" t="s">
        <v>257</v>
      </c>
      <c r="G1121" s="32" t="s">
        <v>256</v>
      </c>
    </row>
    <row r="1122" ht="16.5" customHeight="1">
      <c r="A1122" s="32">
        <v>1121.0</v>
      </c>
      <c r="B1122" s="32" t="s">
        <v>1627</v>
      </c>
      <c r="C1122" s="32" t="s">
        <v>184</v>
      </c>
      <c r="D1122" s="32" t="s">
        <v>254</v>
      </c>
      <c r="E1122" s="32" t="s">
        <v>215</v>
      </c>
      <c r="F1122" s="32" t="s">
        <v>257</v>
      </c>
    </row>
    <row r="1123" ht="16.5" customHeight="1">
      <c r="A1123" s="32">
        <v>1122.0</v>
      </c>
      <c r="B1123" s="32" t="s">
        <v>1628</v>
      </c>
      <c r="C1123" s="32" t="s">
        <v>184</v>
      </c>
      <c r="D1123" s="32" t="s">
        <v>254</v>
      </c>
      <c r="E1123" s="32" t="s">
        <v>215</v>
      </c>
    </row>
    <row r="1124" ht="16.5" customHeight="1">
      <c r="A1124" s="32">
        <v>1123.0</v>
      </c>
      <c r="B1124" s="32" t="s">
        <v>1629</v>
      </c>
      <c r="C1124" s="32" t="s">
        <v>184</v>
      </c>
      <c r="D1124" s="32" t="s">
        <v>228</v>
      </c>
      <c r="E1124" s="32" t="s">
        <v>215</v>
      </c>
    </row>
    <row r="1125" ht="16.5" customHeight="1">
      <c r="A1125" s="32">
        <v>1124.0</v>
      </c>
      <c r="B1125" s="32" t="s">
        <v>1630</v>
      </c>
      <c r="C1125" s="32" t="s">
        <v>184</v>
      </c>
      <c r="D1125" s="32" t="s">
        <v>228</v>
      </c>
      <c r="E1125" s="32" t="s">
        <v>215</v>
      </c>
    </row>
    <row r="1126" ht="16.5" customHeight="1">
      <c r="A1126" s="32">
        <v>1125.0</v>
      </c>
      <c r="B1126" s="32" t="s">
        <v>1631</v>
      </c>
      <c r="C1126" s="32" t="s">
        <v>184</v>
      </c>
      <c r="D1126" s="32" t="s">
        <v>219</v>
      </c>
      <c r="E1126" s="32" t="s">
        <v>215</v>
      </c>
      <c r="F1126" s="32" t="s">
        <v>223</v>
      </c>
    </row>
    <row r="1127" ht="16.5" customHeight="1">
      <c r="A1127" s="32">
        <v>1126.0</v>
      </c>
      <c r="B1127" s="32" t="s">
        <v>1632</v>
      </c>
      <c r="C1127" s="32" t="s">
        <v>184</v>
      </c>
      <c r="D1127" s="32" t="s">
        <v>254</v>
      </c>
      <c r="E1127" s="32" t="s">
        <v>215</v>
      </c>
    </row>
    <row r="1128" ht="16.5" customHeight="1">
      <c r="A1128" s="32">
        <v>1127.0</v>
      </c>
      <c r="B1128" s="32" t="s">
        <v>1633</v>
      </c>
      <c r="C1128" s="32" t="s">
        <v>184</v>
      </c>
      <c r="D1128" s="32" t="s">
        <v>192</v>
      </c>
      <c r="E1128" s="32" t="s">
        <v>215</v>
      </c>
      <c r="F1128" s="32" t="s">
        <v>1634</v>
      </c>
      <c r="G1128" s="32" t="s">
        <v>1635</v>
      </c>
    </row>
    <row r="1129" ht="16.5" customHeight="1">
      <c r="A1129" s="32">
        <v>1128.0</v>
      </c>
      <c r="B1129" s="32" t="s">
        <v>1636</v>
      </c>
      <c r="C1129" s="32" t="s">
        <v>184</v>
      </c>
      <c r="D1129" s="35" t="s">
        <v>484</v>
      </c>
      <c r="E1129" s="32" t="s">
        <v>215</v>
      </c>
    </row>
    <row r="1130" ht="16.5" customHeight="1">
      <c r="A1130" s="32">
        <v>1129.0</v>
      </c>
      <c r="B1130" s="32" t="s">
        <v>1637</v>
      </c>
      <c r="C1130" s="32" t="s">
        <v>184</v>
      </c>
      <c r="D1130" s="32" t="s">
        <v>219</v>
      </c>
      <c r="E1130" s="32" t="s">
        <v>215</v>
      </c>
      <c r="F1130" s="32" t="s">
        <v>232</v>
      </c>
      <c r="G1130" s="32" t="s">
        <v>233</v>
      </c>
    </row>
    <row r="1131" ht="16.5" customHeight="1">
      <c r="A1131" s="32">
        <v>1130.0</v>
      </c>
      <c r="B1131" s="32" t="s">
        <v>1638</v>
      </c>
      <c r="C1131" s="32" t="s">
        <v>184</v>
      </c>
      <c r="D1131" s="32" t="s">
        <v>219</v>
      </c>
      <c r="E1131" s="32" t="s">
        <v>215</v>
      </c>
    </row>
    <row r="1132" ht="16.5" customHeight="1">
      <c r="A1132" s="32">
        <v>1131.0</v>
      </c>
      <c r="B1132" s="32" t="s">
        <v>1639</v>
      </c>
      <c r="C1132" s="32" t="s">
        <v>184</v>
      </c>
      <c r="D1132" s="32" t="s">
        <v>185</v>
      </c>
      <c r="E1132" s="32" t="s">
        <v>215</v>
      </c>
      <c r="F1132" s="32" t="s">
        <v>189</v>
      </c>
      <c r="G1132" s="32" t="s">
        <v>190</v>
      </c>
    </row>
    <row r="1133" ht="16.5" customHeight="1">
      <c r="A1133" s="32">
        <v>1132.0</v>
      </c>
      <c r="B1133" s="32" t="s">
        <v>1640</v>
      </c>
      <c r="C1133" s="32" t="s">
        <v>184</v>
      </c>
      <c r="D1133" s="32" t="s">
        <v>234</v>
      </c>
      <c r="E1133" s="32" t="s">
        <v>215</v>
      </c>
    </row>
    <row r="1134" ht="16.5" customHeight="1">
      <c r="A1134" s="32">
        <v>1133.0</v>
      </c>
      <c r="B1134" s="32" t="s">
        <v>1641</v>
      </c>
      <c r="C1134" s="32" t="s">
        <v>184</v>
      </c>
      <c r="D1134" s="32" t="s">
        <v>214</v>
      </c>
      <c r="E1134" s="32" t="s">
        <v>215</v>
      </c>
      <c r="F1134" s="32" t="s">
        <v>720</v>
      </c>
    </row>
    <row r="1135" ht="16.5" customHeight="1">
      <c r="A1135" s="32">
        <v>1134.0</v>
      </c>
      <c r="B1135" s="32" t="s">
        <v>1642</v>
      </c>
      <c r="C1135" s="32" t="s">
        <v>184</v>
      </c>
      <c r="D1135" s="32" t="s">
        <v>219</v>
      </c>
      <c r="E1135" s="32" t="s">
        <v>215</v>
      </c>
    </row>
    <row r="1136" ht="16.5" customHeight="1">
      <c r="A1136" s="32">
        <v>1135.0</v>
      </c>
      <c r="B1136" s="32" t="s">
        <v>1643</v>
      </c>
      <c r="C1136" s="32" t="s">
        <v>184</v>
      </c>
      <c r="D1136" s="32" t="s">
        <v>325</v>
      </c>
      <c r="E1136" s="32" t="s">
        <v>215</v>
      </c>
      <c r="F1136" s="32" t="s">
        <v>368</v>
      </c>
      <c r="G1136" s="32" t="s">
        <v>463</v>
      </c>
    </row>
    <row r="1137" ht="16.5" customHeight="1">
      <c r="A1137" s="32">
        <v>1136.0</v>
      </c>
      <c r="B1137" s="32" t="s">
        <v>1644</v>
      </c>
      <c r="C1137" s="32" t="s">
        <v>184</v>
      </c>
      <c r="D1137" s="32" t="s">
        <v>234</v>
      </c>
      <c r="E1137" s="32" t="s">
        <v>215</v>
      </c>
      <c r="F1137" s="32" t="s">
        <v>347</v>
      </c>
      <c r="G1137" s="32" t="s">
        <v>382</v>
      </c>
    </row>
    <row r="1138" ht="16.5" customHeight="1">
      <c r="A1138" s="32">
        <v>1137.0</v>
      </c>
      <c r="B1138" s="32" t="s">
        <v>1644</v>
      </c>
      <c r="C1138" s="32" t="s">
        <v>184</v>
      </c>
      <c r="D1138" s="32" t="s">
        <v>234</v>
      </c>
      <c r="E1138" s="32" t="s">
        <v>215</v>
      </c>
      <c r="F1138" s="32" t="s">
        <v>235</v>
      </c>
    </row>
    <row r="1139" ht="16.5" customHeight="1">
      <c r="A1139" s="32">
        <v>1138.0</v>
      </c>
      <c r="B1139" s="32" t="s">
        <v>1645</v>
      </c>
      <c r="C1139" s="32" t="s">
        <v>184</v>
      </c>
      <c r="D1139" s="32" t="s">
        <v>192</v>
      </c>
      <c r="E1139" s="32" t="s">
        <v>215</v>
      </c>
      <c r="F1139" s="32" t="s">
        <v>570</v>
      </c>
      <c r="G1139" s="32" t="s">
        <v>447</v>
      </c>
    </row>
    <row r="1140" ht="16.5" customHeight="1">
      <c r="A1140" s="32">
        <v>1139.0</v>
      </c>
      <c r="B1140" s="32" t="s">
        <v>1646</v>
      </c>
      <c r="C1140" s="32" t="s">
        <v>184</v>
      </c>
      <c r="D1140" s="32" t="s">
        <v>219</v>
      </c>
      <c r="E1140" s="32" t="s">
        <v>215</v>
      </c>
      <c r="F1140" s="32" t="s">
        <v>223</v>
      </c>
      <c r="G1140" s="32" t="s">
        <v>472</v>
      </c>
    </row>
    <row r="1141" ht="16.5" customHeight="1">
      <c r="A1141" s="32">
        <v>1140.0</v>
      </c>
      <c r="B1141" s="32" t="s">
        <v>1647</v>
      </c>
      <c r="C1141" s="32" t="s">
        <v>184</v>
      </c>
      <c r="D1141" s="32" t="s">
        <v>228</v>
      </c>
      <c r="E1141" s="32" t="s">
        <v>215</v>
      </c>
      <c r="F1141" s="32" t="s">
        <v>408</v>
      </c>
      <c r="G1141" s="32" t="s">
        <v>452</v>
      </c>
    </row>
    <row r="1142" ht="16.5" customHeight="1">
      <c r="A1142" s="32">
        <v>1141.0</v>
      </c>
      <c r="B1142" s="32" t="s">
        <v>1648</v>
      </c>
      <c r="C1142" s="32" t="s">
        <v>184</v>
      </c>
      <c r="D1142" s="32" t="s">
        <v>219</v>
      </c>
      <c r="E1142" s="32" t="s">
        <v>215</v>
      </c>
      <c r="F1142" s="32" t="s">
        <v>223</v>
      </c>
    </row>
    <row r="1143" ht="16.5" customHeight="1">
      <c r="A1143" s="32">
        <v>1142.0</v>
      </c>
      <c r="B1143" s="32" t="s">
        <v>1649</v>
      </c>
      <c r="C1143" s="32" t="s">
        <v>184</v>
      </c>
      <c r="D1143" s="32" t="s">
        <v>254</v>
      </c>
      <c r="E1143" s="32" t="s">
        <v>215</v>
      </c>
      <c r="F1143" s="32" t="s">
        <v>256</v>
      </c>
      <c r="G1143" s="32" t="s">
        <v>257</v>
      </c>
    </row>
    <row r="1144" ht="16.5" customHeight="1">
      <c r="A1144" s="32">
        <v>1143.0</v>
      </c>
      <c r="B1144" s="32" t="s">
        <v>1650</v>
      </c>
      <c r="C1144" s="32" t="s">
        <v>184</v>
      </c>
      <c r="D1144" s="32" t="s">
        <v>254</v>
      </c>
      <c r="E1144" s="32" t="s">
        <v>215</v>
      </c>
    </row>
    <row r="1145" ht="16.5" customHeight="1">
      <c r="A1145" s="32">
        <v>1144.0</v>
      </c>
      <c r="B1145" s="32" t="s">
        <v>1651</v>
      </c>
      <c r="C1145" s="32" t="s">
        <v>184</v>
      </c>
      <c r="D1145" s="32" t="s">
        <v>254</v>
      </c>
      <c r="E1145" s="32" t="s">
        <v>215</v>
      </c>
      <c r="F1145" s="32" t="s">
        <v>256</v>
      </c>
      <c r="G1145" s="32" t="s">
        <v>257</v>
      </c>
    </row>
    <row r="1146" ht="16.5" customHeight="1">
      <c r="A1146" s="32">
        <v>1145.0</v>
      </c>
      <c r="B1146" s="32" t="s">
        <v>1652</v>
      </c>
      <c r="C1146" s="32" t="s">
        <v>184</v>
      </c>
      <c r="D1146" s="32" t="s">
        <v>254</v>
      </c>
      <c r="E1146" s="32" t="s">
        <v>215</v>
      </c>
      <c r="F1146" s="32" t="s">
        <v>256</v>
      </c>
      <c r="G1146" s="32" t="s">
        <v>257</v>
      </c>
    </row>
    <row r="1147" ht="16.5" customHeight="1">
      <c r="A1147" s="32">
        <v>1146.0</v>
      </c>
      <c r="B1147" s="32" t="s">
        <v>1653</v>
      </c>
      <c r="C1147" s="32" t="s">
        <v>184</v>
      </c>
      <c r="D1147" s="32" t="s">
        <v>228</v>
      </c>
      <c r="E1147" s="32" t="s">
        <v>215</v>
      </c>
      <c r="F1147" s="32" t="s">
        <v>408</v>
      </c>
      <c r="G1147" s="32" t="s">
        <v>490</v>
      </c>
    </row>
    <row r="1148" ht="16.5" customHeight="1">
      <c r="A1148" s="32">
        <v>1147.0</v>
      </c>
      <c r="B1148" s="32" t="s">
        <v>1654</v>
      </c>
      <c r="C1148" s="32" t="s">
        <v>184</v>
      </c>
      <c r="D1148" s="32" t="s">
        <v>228</v>
      </c>
      <c r="E1148" s="32" t="s">
        <v>215</v>
      </c>
      <c r="F1148" s="32" t="s">
        <v>408</v>
      </c>
      <c r="G1148" s="32" t="s">
        <v>490</v>
      </c>
    </row>
    <row r="1149" ht="16.5" customHeight="1">
      <c r="A1149" s="32">
        <v>1148.0</v>
      </c>
      <c r="B1149" s="32" t="s">
        <v>1655</v>
      </c>
      <c r="C1149" s="32" t="s">
        <v>184</v>
      </c>
      <c r="D1149" s="32" t="s">
        <v>234</v>
      </c>
      <c r="E1149" s="32" t="s">
        <v>215</v>
      </c>
      <c r="F1149" s="32" t="s">
        <v>347</v>
      </c>
      <c r="G1149" s="32" t="s">
        <v>882</v>
      </c>
    </row>
    <row r="1150" ht="16.5" customHeight="1">
      <c r="A1150" s="32">
        <v>1149.0</v>
      </c>
      <c r="B1150" s="32" t="s">
        <v>1656</v>
      </c>
      <c r="C1150" s="32" t="s">
        <v>184</v>
      </c>
      <c r="D1150" s="32" t="s">
        <v>228</v>
      </c>
      <c r="E1150" s="32" t="s">
        <v>215</v>
      </c>
      <c r="F1150" s="32" t="s">
        <v>229</v>
      </c>
      <c r="G1150" s="32" t="s">
        <v>1657</v>
      </c>
    </row>
    <row r="1151" ht="16.5" customHeight="1">
      <c r="A1151" s="32">
        <v>1150.0</v>
      </c>
      <c r="B1151" s="32" t="s">
        <v>1658</v>
      </c>
      <c r="C1151" s="32" t="s">
        <v>184</v>
      </c>
      <c r="D1151" s="32" t="s">
        <v>219</v>
      </c>
      <c r="E1151" s="32" t="s">
        <v>215</v>
      </c>
      <c r="F1151" s="32" t="s">
        <v>223</v>
      </c>
    </row>
    <row r="1152" ht="16.5" customHeight="1">
      <c r="A1152" s="32">
        <v>1151.0</v>
      </c>
      <c r="B1152" s="32" t="s">
        <v>1659</v>
      </c>
      <c r="C1152" s="32" t="s">
        <v>184</v>
      </c>
      <c r="D1152" s="32" t="s">
        <v>185</v>
      </c>
      <c r="E1152" s="32" t="s">
        <v>215</v>
      </c>
      <c r="F1152" s="32" t="s">
        <v>187</v>
      </c>
      <c r="G1152" s="32" t="s">
        <v>188</v>
      </c>
    </row>
    <row r="1153" ht="16.5" customHeight="1">
      <c r="A1153" s="32">
        <v>1152.0</v>
      </c>
      <c r="B1153" s="32" t="s">
        <v>1660</v>
      </c>
      <c r="C1153" s="32" t="s">
        <v>184</v>
      </c>
      <c r="D1153" s="32" t="s">
        <v>185</v>
      </c>
      <c r="E1153" s="32" t="s">
        <v>215</v>
      </c>
      <c r="F1153" s="32" t="s">
        <v>187</v>
      </c>
      <c r="G1153" s="32" t="s">
        <v>188</v>
      </c>
    </row>
    <row r="1154" ht="16.5" customHeight="1">
      <c r="A1154" s="32">
        <v>1153.0</v>
      </c>
      <c r="B1154" s="32" t="s">
        <v>1661</v>
      </c>
      <c r="C1154" s="32" t="s">
        <v>184</v>
      </c>
      <c r="D1154" s="32" t="s">
        <v>185</v>
      </c>
      <c r="E1154" s="32" t="s">
        <v>346</v>
      </c>
    </row>
    <row r="1155" ht="16.5" customHeight="1">
      <c r="A1155" s="32">
        <v>1154.0</v>
      </c>
      <c r="B1155" s="32" t="s">
        <v>1662</v>
      </c>
      <c r="C1155" s="32" t="s">
        <v>184</v>
      </c>
      <c r="D1155" s="32" t="s">
        <v>219</v>
      </c>
      <c r="E1155" s="32" t="s">
        <v>215</v>
      </c>
      <c r="F1155" s="32" t="s">
        <v>241</v>
      </c>
      <c r="G1155" s="32" t="s">
        <v>232</v>
      </c>
    </row>
    <row r="1156" ht="16.5" customHeight="1">
      <c r="A1156" s="32">
        <v>1155.0</v>
      </c>
      <c r="B1156" s="32" t="s">
        <v>1663</v>
      </c>
      <c r="C1156" s="32" t="s">
        <v>184</v>
      </c>
      <c r="D1156" s="32" t="s">
        <v>219</v>
      </c>
      <c r="E1156" s="32" t="s">
        <v>215</v>
      </c>
      <c r="F1156" s="32" t="s">
        <v>241</v>
      </c>
      <c r="G1156" s="32" t="s">
        <v>292</v>
      </c>
    </row>
    <row r="1157" ht="16.5" customHeight="1">
      <c r="A1157" s="32">
        <v>1156.0</v>
      </c>
      <c r="B1157" s="32" t="s">
        <v>1664</v>
      </c>
      <c r="C1157" s="32" t="s">
        <v>184</v>
      </c>
      <c r="D1157" s="32" t="s">
        <v>192</v>
      </c>
      <c r="E1157" s="32" t="s">
        <v>215</v>
      </c>
      <c r="F1157" s="32" t="s">
        <v>300</v>
      </c>
      <c r="G1157" s="32" t="s">
        <v>781</v>
      </c>
    </row>
    <row r="1158" ht="16.5" customHeight="1">
      <c r="A1158" s="32">
        <v>1157.0</v>
      </c>
      <c r="B1158" s="32" t="s">
        <v>1665</v>
      </c>
      <c r="C1158" s="32" t="s">
        <v>184</v>
      </c>
      <c r="D1158" s="32" t="s">
        <v>285</v>
      </c>
      <c r="E1158" s="32" t="s">
        <v>215</v>
      </c>
    </row>
    <row r="1159" ht="16.5" customHeight="1">
      <c r="A1159" s="32">
        <v>1158.0</v>
      </c>
      <c r="B1159" s="32" t="s">
        <v>1666</v>
      </c>
      <c r="C1159" s="32" t="s">
        <v>184</v>
      </c>
      <c r="D1159" s="32" t="s">
        <v>254</v>
      </c>
      <c r="E1159" s="32" t="s">
        <v>215</v>
      </c>
      <c r="F1159" s="32" t="s">
        <v>257</v>
      </c>
      <c r="G1159" s="32" t="s">
        <v>1667</v>
      </c>
    </row>
    <row r="1160" ht="16.5" customHeight="1">
      <c r="A1160" s="32">
        <v>1159.0</v>
      </c>
      <c r="B1160" s="32" t="s">
        <v>1668</v>
      </c>
      <c r="C1160" s="32" t="s">
        <v>184</v>
      </c>
      <c r="D1160" s="32" t="s">
        <v>219</v>
      </c>
      <c r="E1160" s="32" t="s">
        <v>215</v>
      </c>
    </row>
    <row r="1161" ht="16.5" customHeight="1">
      <c r="A1161" s="32">
        <v>1160.0</v>
      </c>
      <c r="B1161" s="32" t="s">
        <v>1669</v>
      </c>
      <c r="C1161" s="32" t="s">
        <v>184</v>
      </c>
      <c r="D1161" s="32" t="s">
        <v>219</v>
      </c>
      <c r="E1161" s="32" t="s">
        <v>215</v>
      </c>
      <c r="F1161" s="32" t="s">
        <v>223</v>
      </c>
    </row>
    <row r="1162" ht="16.5" customHeight="1">
      <c r="A1162" s="32">
        <v>1161.0</v>
      </c>
      <c r="B1162" s="32" t="s">
        <v>1670</v>
      </c>
      <c r="C1162" s="32" t="s">
        <v>184</v>
      </c>
      <c r="D1162" s="32" t="s">
        <v>219</v>
      </c>
      <c r="E1162" s="32" t="s">
        <v>215</v>
      </c>
      <c r="F1162" s="32" t="s">
        <v>223</v>
      </c>
    </row>
    <row r="1163" ht="16.5" customHeight="1">
      <c r="A1163" s="32">
        <v>1162.0</v>
      </c>
      <c r="B1163" s="32" t="s">
        <v>1671</v>
      </c>
      <c r="C1163" s="32" t="s">
        <v>184</v>
      </c>
      <c r="D1163" s="32" t="s">
        <v>219</v>
      </c>
      <c r="E1163" s="32" t="s">
        <v>215</v>
      </c>
      <c r="F1163" s="32" t="s">
        <v>223</v>
      </c>
    </row>
    <row r="1164" ht="16.5" customHeight="1">
      <c r="A1164" s="32">
        <v>1163.0</v>
      </c>
      <c r="B1164" s="32" t="s">
        <v>1672</v>
      </c>
      <c r="C1164" s="32" t="s">
        <v>184</v>
      </c>
      <c r="D1164" s="32" t="s">
        <v>325</v>
      </c>
      <c r="E1164" s="32" t="s">
        <v>215</v>
      </c>
      <c r="F1164" s="32" t="s">
        <v>368</v>
      </c>
      <c r="G1164" s="32" t="s">
        <v>463</v>
      </c>
    </row>
    <row r="1165" ht="16.5" customHeight="1">
      <c r="A1165" s="32">
        <v>1164.0</v>
      </c>
      <c r="B1165" s="32" t="s">
        <v>1673</v>
      </c>
      <c r="C1165" s="32" t="s">
        <v>184</v>
      </c>
      <c r="D1165" s="32" t="s">
        <v>214</v>
      </c>
      <c r="E1165" s="32" t="s">
        <v>215</v>
      </c>
      <c r="F1165" s="32" t="s">
        <v>216</v>
      </c>
      <c r="G1165" s="32" t="s">
        <v>217</v>
      </c>
    </row>
    <row r="1166" ht="16.5" customHeight="1">
      <c r="A1166" s="32">
        <v>1165.0</v>
      </c>
      <c r="B1166" s="32" t="s">
        <v>1674</v>
      </c>
      <c r="C1166" s="32" t="s">
        <v>184</v>
      </c>
      <c r="D1166" s="32" t="s">
        <v>228</v>
      </c>
      <c r="E1166" s="32" t="s">
        <v>215</v>
      </c>
      <c r="F1166" s="32" t="s">
        <v>408</v>
      </c>
      <c r="G1166" s="32" t="s">
        <v>731</v>
      </c>
    </row>
    <row r="1167" ht="16.5" customHeight="1">
      <c r="A1167" s="32">
        <v>1166.0</v>
      </c>
      <c r="B1167" s="32" t="s">
        <v>1675</v>
      </c>
      <c r="C1167" s="32" t="s">
        <v>184</v>
      </c>
      <c r="D1167" s="32" t="s">
        <v>228</v>
      </c>
      <c r="E1167" s="32" t="s">
        <v>215</v>
      </c>
      <c r="F1167" s="32" t="s">
        <v>408</v>
      </c>
      <c r="G1167" s="32" t="s">
        <v>490</v>
      </c>
    </row>
    <row r="1168" ht="16.5" customHeight="1">
      <c r="A1168" s="32">
        <v>1167.0</v>
      </c>
      <c r="B1168" s="32" t="s">
        <v>1676</v>
      </c>
      <c r="C1168" s="32" t="s">
        <v>184</v>
      </c>
      <c r="D1168" s="32" t="s">
        <v>228</v>
      </c>
      <c r="E1168" s="32" t="s">
        <v>215</v>
      </c>
      <c r="F1168" s="32" t="s">
        <v>408</v>
      </c>
      <c r="G1168" s="32" t="s">
        <v>452</v>
      </c>
    </row>
    <row r="1169" ht="16.5" customHeight="1">
      <c r="A1169" s="32">
        <v>1168.0</v>
      </c>
      <c r="B1169" s="32" t="s">
        <v>1677</v>
      </c>
      <c r="C1169" s="32" t="s">
        <v>184</v>
      </c>
      <c r="D1169" s="32" t="s">
        <v>214</v>
      </c>
      <c r="E1169" s="32" t="s">
        <v>215</v>
      </c>
      <c r="F1169" s="32" t="s">
        <v>216</v>
      </c>
      <c r="G1169" s="32" t="s">
        <v>217</v>
      </c>
    </row>
    <row r="1170" ht="16.5" customHeight="1">
      <c r="A1170" s="32">
        <v>1169.0</v>
      </c>
      <c r="B1170" s="32" t="s">
        <v>1678</v>
      </c>
      <c r="C1170" s="32" t="s">
        <v>184</v>
      </c>
      <c r="D1170" s="32" t="s">
        <v>214</v>
      </c>
      <c r="E1170" s="32" t="s">
        <v>215</v>
      </c>
      <c r="F1170" s="32" t="s">
        <v>216</v>
      </c>
      <c r="G1170" s="32" t="s">
        <v>217</v>
      </c>
    </row>
    <row r="1171" ht="16.5" customHeight="1">
      <c r="A1171" s="32">
        <v>1170.0</v>
      </c>
      <c r="B1171" s="32" t="s">
        <v>1679</v>
      </c>
      <c r="C1171" s="32" t="s">
        <v>184</v>
      </c>
      <c r="D1171" s="32" t="s">
        <v>219</v>
      </c>
      <c r="E1171" s="32" t="s">
        <v>215</v>
      </c>
    </row>
    <row r="1172" ht="16.5" customHeight="1">
      <c r="A1172" s="32">
        <v>1171.0</v>
      </c>
      <c r="B1172" s="32" t="s">
        <v>1680</v>
      </c>
      <c r="C1172" s="32" t="s">
        <v>184</v>
      </c>
      <c r="D1172" s="32" t="s">
        <v>192</v>
      </c>
      <c r="E1172" s="32" t="s">
        <v>215</v>
      </c>
      <c r="F1172" s="32" t="s">
        <v>570</v>
      </c>
      <c r="G1172" s="32" t="s">
        <v>447</v>
      </c>
    </row>
    <row r="1173" ht="16.5" customHeight="1">
      <c r="A1173" s="32">
        <v>1172.0</v>
      </c>
      <c r="B1173" s="32" t="s">
        <v>1681</v>
      </c>
      <c r="C1173" s="32" t="s">
        <v>184</v>
      </c>
      <c r="D1173" s="32" t="s">
        <v>192</v>
      </c>
      <c r="E1173" s="32" t="s">
        <v>215</v>
      </c>
      <c r="F1173" s="32" t="s">
        <v>329</v>
      </c>
      <c r="G1173" s="32" t="s">
        <v>457</v>
      </c>
    </row>
    <row r="1174" ht="16.5" customHeight="1">
      <c r="A1174" s="32">
        <v>1173.0</v>
      </c>
      <c r="B1174" s="32" t="s">
        <v>1682</v>
      </c>
      <c r="C1174" s="32" t="s">
        <v>184</v>
      </c>
      <c r="D1174" s="32" t="s">
        <v>192</v>
      </c>
      <c r="E1174" s="32" t="s">
        <v>215</v>
      </c>
      <c r="F1174" s="32" t="s">
        <v>1607</v>
      </c>
      <c r="G1174" s="32" t="s">
        <v>408</v>
      </c>
    </row>
    <row r="1175" ht="16.5" customHeight="1">
      <c r="A1175" s="32">
        <v>1174.0</v>
      </c>
      <c r="B1175" s="32" t="s">
        <v>1683</v>
      </c>
      <c r="C1175" s="32" t="s">
        <v>184</v>
      </c>
      <c r="D1175" s="32" t="s">
        <v>192</v>
      </c>
      <c r="E1175" s="32" t="s">
        <v>215</v>
      </c>
    </row>
    <row r="1176" ht="16.5" customHeight="1">
      <c r="A1176" s="32">
        <v>1175.0</v>
      </c>
      <c r="B1176" s="32" t="s">
        <v>1684</v>
      </c>
      <c r="C1176" s="32" t="s">
        <v>184</v>
      </c>
      <c r="D1176" s="32" t="s">
        <v>192</v>
      </c>
      <c r="E1176" s="32" t="s">
        <v>215</v>
      </c>
      <c r="F1176" s="32" t="s">
        <v>329</v>
      </c>
      <c r="G1176" s="32" t="s">
        <v>579</v>
      </c>
    </row>
    <row r="1177" ht="16.5" customHeight="1">
      <c r="A1177" s="32">
        <v>1176.0</v>
      </c>
      <c r="B1177" s="32" t="s">
        <v>1685</v>
      </c>
      <c r="C1177" s="32" t="s">
        <v>184</v>
      </c>
      <c r="D1177" s="32" t="s">
        <v>234</v>
      </c>
      <c r="E1177" s="32" t="s">
        <v>215</v>
      </c>
      <c r="F1177" s="32" t="s">
        <v>347</v>
      </c>
      <c r="G1177" s="32" t="s">
        <v>420</v>
      </c>
    </row>
    <row r="1178" ht="16.5" customHeight="1">
      <c r="A1178" s="32">
        <v>1177.0</v>
      </c>
      <c r="B1178" s="32" t="s">
        <v>1686</v>
      </c>
      <c r="C1178" s="32" t="s">
        <v>184</v>
      </c>
      <c r="D1178" s="32" t="s">
        <v>234</v>
      </c>
      <c r="E1178" s="32" t="s">
        <v>215</v>
      </c>
      <c r="F1178" s="32" t="s">
        <v>347</v>
      </c>
      <c r="G1178" s="32" t="s">
        <v>420</v>
      </c>
    </row>
    <row r="1179" ht="16.5" customHeight="1">
      <c r="A1179" s="32">
        <v>1178.0</v>
      </c>
      <c r="B1179" s="32" t="s">
        <v>1687</v>
      </c>
      <c r="C1179" s="32" t="s">
        <v>184</v>
      </c>
      <c r="D1179" s="32" t="s">
        <v>185</v>
      </c>
      <c r="E1179" s="32" t="s">
        <v>215</v>
      </c>
      <c r="F1179" s="32" t="s">
        <v>267</v>
      </c>
      <c r="G1179" s="32" t="s">
        <v>188</v>
      </c>
    </row>
    <row r="1180" ht="16.5" customHeight="1">
      <c r="A1180" s="32">
        <v>1179.0</v>
      </c>
      <c r="B1180" s="32" t="s">
        <v>1688</v>
      </c>
      <c r="C1180" s="32" t="s">
        <v>184</v>
      </c>
      <c r="D1180" s="32" t="s">
        <v>192</v>
      </c>
      <c r="E1180" s="32" t="s">
        <v>215</v>
      </c>
      <c r="F1180" s="32" t="s">
        <v>300</v>
      </c>
      <c r="G1180" s="32" t="s">
        <v>1507</v>
      </c>
    </row>
    <row r="1181" ht="16.5" customHeight="1">
      <c r="A1181" s="32">
        <v>1180.0</v>
      </c>
      <c r="B1181" s="32" t="s">
        <v>1689</v>
      </c>
      <c r="C1181" s="32" t="s">
        <v>184</v>
      </c>
      <c r="D1181" s="32" t="s">
        <v>192</v>
      </c>
      <c r="E1181" s="32" t="s">
        <v>215</v>
      </c>
      <c r="F1181" s="32" t="s">
        <v>300</v>
      </c>
      <c r="G1181" s="32" t="s">
        <v>687</v>
      </c>
    </row>
    <row r="1182" ht="16.5" customHeight="1">
      <c r="A1182" s="32">
        <v>1181.0</v>
      </c>
      <c r="B1182" s="32" t="s">
        <v>1690</v>
      </c>
      <c r="C1182" s="32" t="s">
        <v>184</v>
      </c>
      <c r="D1182" s="32" t="s">
        <v>192</v>
      </c>
      <c r="E1182" s="32" t="s">
        <v>215</v>
      </c>
      <c r="F1182" s="32" t="s">
        <v>300</v>
      </c>
      <c r="G1182" s="32" t="s">
        <v>1507</v>
      </c>
    </row>
    <row r="1183" ht="16.5" customHeight="1">
      <c r="A1183" s="32">
        <v>1182.0</v>
      </c>
      <c r="B1183" s="32" t="s">
        <v>1691</v>
      </c>
      <c r="C1183" s="32" t="s">
        <v>184</v>
      </c>
      <c r="D1183" s="32" t="s">
        <v>192</v>
      </c>
      <c r="E1183" s="32" t="s">
        <v>215</v>
      </c>
      <c r="F1183" s="32" t="s">
        <v>329</v>
      </c>
      <c r="G1183" s="32" t="s">
        <v>457</v>
      </c>
    </row>
    <row r="1184" ht="16.5" customHeight="1">
      <c r="A1184" s="32">
        <v>1183.0</v>
      </c>
      <c r="B1184" s="32" t="s">
        <v>1692</v>
      </c>
      <c r="C1184" s="32" t="s">
        <v>184</v>
      </c>
      <c r="D1184" s="32" t="s">
        <v>192</v>
      </c>
      <c r="E1184" s="32" t="s">
        <v>215</v>
      </c>
      <c r="F1184" s="32" t="s">
        <v>570</v>
      </c>
      <c r="G1184" s="32" t="s">
        <v>447</v>
      </c>
    </row>
    <row r="1185" ht="16.5" customHeight="1">
      <c r="A1185" s="32">
        <v>1184.0</v>
      </c>
      <c r="B1185" s="32" t="s">
        <v>1693</v>
      </c>
      <c r="C1185" s="32" t="s">
        <v>184</v>
      </c>
      <c r="D1185" s="32" t="s">
        <v>185</v>
      </c>
      <c r="E1185" s="32" t="s">
        <v>215</v>
      </c>
      <c r="F1185" s="32" t="s">
        <v>187</v>
      </c>
      <c r="G1185" s="32" t="s">
        <v>188</v>
      </c>
    </row>
    <row r="1186" ht="16.5" customHeight="1">
      <c r="A1186" s="32">
        <v>1185.0</v>
      </c>
      <c r="B1186" s="32" t="s">
        <v>1694</v>
      </c>
      <c r="C1186" s="32" t="s">
        <v>184</v>
      </c>
      <c r="D1186" s="32" t="s">
        <v>228</v>
      </c>
      <c r="E1186" s="32" t="s">
        <v>215</v>
      </c>
      <c r="F1186" s="32" t="s">
        <v>408</v>
      </c>
      <c r="G1186" s="32" t="s">
        <v>1695</v>
      </c>
    </row>
    <row r="1187" ht="16.5" customHeight="1">
      <c r="A1187" s="32">
        <v>1186.0</v>
      </c>
      <c r="B1187" s="32" t="s">
        <v>1696</v>
      </c>
      <c r="C1187" s="32" t="s">
        <v>184</v>
      </c>
      <c r="D1187" s="35" t="s">
        <v>361</v>
      </c>
      <c r="E1187" s="32" t="s">
        <v>215</v>
      </c>
      <c r="F1187" s="32" t="s">
        <v>1697</v>
      </c>
      <c r="G1187" s="32" t="s">
        <v>1698</v>
      </c>
    </row>
    <row r="1188" ht="16.5" customHeight="1">
      <c r="A1188" s="32">
        <v>1187.0</v>
      </c>
      <c r="B1188" s="32" t="s">
        <v>1699</v>
      </c>
      <c r="C1188" s="32" t="s">
        <v>184</v>
      </c>
      <c r="D1188" s="32" t="s">
        <v>219</v>
      </c>
      <c r="E1188" s="32" t="s">
        <v>215</v>
      </c>
      <c r="F1188" s="32" t="s">
        <v>223</v>
      </c>
    </row>
    <row r="1189" ht="16.5" customHeight="1">
      <c r="A1189" s="32">
        <v>1188.0</v>
      </c>
      <c r="B1189" s="32" t="s">
        <v>1700</v>
      </c>
      <c r="C1189" s="32" t="s">
        <v>184</v>
      </c>
      <c r="D1189" s="32" t="s">
        <v>219</v>
      </c>
      <c r="E1189" s="32" t="s">
        <v>215</v>
      </c>
      <c r="F1189" s="32" t="s">
        <v>223</v>
      </c>
    </row>
    <row r="1190" ht="16.5" customHeight="1">
      <c r="A1190" s="32">
        <v>1189.0</v>
      </c>
      <c r="B1190" s="32" t="s">
        <v>1701</v>
      </c>
      <c r="C1190" s="32" t="s">
        <v>184</v>
      </c>
      <c r="D1190" s="32" t="s">
        <v>219</v>
      </c>
      <c r="E1190" s="32" t="s">
        <v>215</v>
      </c>
      <c r="F1190" s="32" t="s">
        <v>223</v>
      </c>
    </row>
    <row r="1191" ht="16.5" customHeight="1">
      <c r="A1191" s="32">
        <v>1190.0</v>
      </c>
      <c r="B1191" s="32" t="s">
        <v>1702</v>
      </c>
      <c r="C1191" s="32" t="s">
        <v>184</v>
      </c>
      <c r="D1191" s="32" t="s">
        <v>219</v>
      </c>
      <c r="E1191" s="32" t="s">
        <v>215</v>
      </c>
      <c r="F1191" s="32" t="s">
        <v>223</v>
      </c>
    </row>
    <row r="1192" ht="16.5" customHeight="1">
      <c r="A1192" s="32">
        <v>1191.0</v>
      </c>
      <c r="B1192" s="32" t="s">
        <v>1703</v>
      </c>
      <c r="C1192" s="32" t="s">
        <v>184</v>
      </c>
      <c r="D1192" s="32" t="s">
        <v>219</v>
      </c>
      <c r="E1192" s="32" t="s">
        <v>215</v>
      </c>
      <c r="F1192" s="32" t="s">
        <v>223</v>
      </c>
    </row>
    <row r="1193" ht="16.5" customHeight="1">
      <c r="A1193" s="32">
        <v>1192.0</v>
      </c>
      <c r="B1193" s="32" t="s">
        <v>1704</v>
      </c>
      <c r="C1193" s="32" t="s">
        <v>184</v>
      </c>
      <c r="D1193" s="32" t="s">
        <v>219</v>
      </c>
      <c r="E1193" s="32" t="s">
        <v>215</v>
      </c>
      <c r="F1193" s="32" t="s">
        <v>223</v>
      </c>
    </row>
    <row r="1194" ht="16.5" customHeight="1">
      <c r="A1194" s="32">
        <v>1193.0</v>
      </c>
      <c r="B1194" s="32" t="s">
        <v>1705</v>
      </c>
      <c r="C1194" s="32" t="s">
        <v>184</v>
      </c>
      <c r="D1194" s="32" t="s">
        <v>254</v>
      </c>
      <c r="E1194" s="32" t="s">
        <v>215</v>
      </c>
      <c r="F1194" s="32" t="s">
        <v>305</v>
      </c>
      <c r="G1194" s="32" t="s">
        <v>524</v>
      </c>
    </row>
    <row r="1195" ht="16.5" customHeight="1">
      <c r="A1195" s="32">
        <v>1194.0</v>
      </c>
      <c r="B1195" s="32" t="s">
        <v>1706</v>
      </c>
      <c r="C1195" s="32" t="s">
        <v>184</v>
      </c>
      <c r="D1195" s="32" t="s">
        <v>254</v>
      </c>
      <c r="E1195" s="32" t="s">
        <v>215</v>
      </c>
      <c r="F1195" s="32" t="s">
        <v>257</v>
      </c>
      <c r="G1195" s="32" t="s">
        <v>1707</v>
      </c>
    </row>
    <row r="1196" ht="16.5" customHeight="1">
      <c r="A1196" s="32">
        <v>1195.0</v>
      </c>
      <c r="B1196" s="32" t="s">
        <v>1708</v>
      </c>
      <c r="C1196" s="32" t="s">
        <v>184</v>
      </c>
      <c r="D1196" s="32" t="s">
        <v>254</v>
      </c>
      <c r="E1196" s="32" t="s">
        <v>215</v>
      </c>
      <c r="F1196" s="32" t="s">
        <v>257</v>
      </c>
      <c r="G1196" s="32" t="s">
        <v>1709</v>
      </c>
    </row>
    <row r="1197" ht="16.5" customHeight="1">
      <c r="A1197" s="32">
        <v>1196.0</v>
      </c>
      <c r="B1197" s="32" t="s">
        <v>1710</v>
      </c>
      <c r="C1197" s="32" t="s">
        <v>184</v>
      </c>
      <c r="D1197" s="32" t="s">
        <v>254</v>
      </c>
      <c r="E1197" s="32" t="s">
        <v>215</v>
      </c>
      <c r="F1197" s="32" t="s">
        <v>257</v>
      </c>
      <c r="G1197" s="32" t="s">
        <v>271</v>
      </c>
    </row>
    <row r="1198" ht="16.5" customHeight="1">
      <c r="A1198" s="32">
        <v>1197.0</v>
      </c>
      <c r="B1198" s="32" t="s">
        <v>1711</v>
      </c>
      <c r="C1198" s="32" t="s">
        <v>184</v>
      </c>
      <c r="D1198" s="32" t="s">
        <v>254</v>
      </c>
      <c r="E1198" s="32" t="s">
        <v>215</v>
      </c>
      <c r="F1198" s="32" t="s">
        <v>257</v>
      </c>
      <c r="G1198" s="32" t="s">
        <v>695</v>
      </c>
    </row>
    <row r="1199" ht="16.5" customHeight="1">
      <c r="A1199" s="32">
        <v>1198.0</v>
      </c>
      <c r="B1199" s="32" t="s">
        <v>1712</v>
      </c>
      <c r="C1199" s="32" t="s">
        <v>184</v>
      </c>
      <c r="D1199" s="32" t="s">
        <v>254</v>
      </c>
      <c r="E1199" s="32" t="s">
        <v>215</v>
      </c>
      <c r="F1199" s="32" t="s">
        <v>257</v>
      </c>
      <c r="G1199" s="32" t="s">
        <v>1713</v>
      </c>
    </row>
    <row r="1200" ht="16.5" customHeight="1">
      <c r="A1200" s="32">
        <v>1199.0</v>
      </c>
      <c r="B1200" s="32" t="s">
        <v>1714</v>
      </c>
      <c r="C1200" s="32" t="s">
        <v>184</v>
      </c>
      <c r="D1200" s="32" t="s">
        <v>254</v>
      </c>
      <c r="E1200" s="32" t="s">
        <v>215</v>
      </c>
      <c r="F1200" s="32" t="s">
        <v>257</v>
      </c>
      <c r="G1200" s="32" t="s">
        <v>1715</v>
      </c>
    </row>
    <row r="1201" ht="16.5" customHeight="1">
      <c r="A1201" s="32">
        <v>1200.0</v>
      </c>
      <c r="B1201" s="32" t="s">
        <v>1716</v>
      </c>
      <c r="C1201" s="32" t="s">
        <v>184</v>
      </c>
      <c r="D1201" s="32" t="s">
        <v>254</v>
      </c>
      <c r="E1201" s="32" t="s">
        <v>215</v>
      </c>
    </row>
    <row r="1202" ht="16.5" customHeight="1">
      <c r="A1202" s="32">
        <v>1201.0</v>
      </c>
      <c r="B1202" s="32" t="s">
        <v>1717</v>
      </c>
      <c r="C1202" s="32" t="s">
        <v>184</v>
      </c>
      <c r="D1202" s="32" t="s">
        <v>228</v>
      </c>
      <c r="E1202" s="32" t="s">
        <v>215</v>
      </c>
      <c r="F1202" s="32" t="s">
        <v>229</v>
      </c>
      <c r="G1202" s="32" t="s">
        <v>1718</v>
      </c>
    </row>
    <row r="1203" ht="16.5" customHeight="1">
      <c r="A1203" s="32">
        <v>1202.0</v>
      </c>
      <c r="B1203" s="32" t="s">
        <v>1719</v>
      </c>
      <c r="C1203" s="32" t="s">
        <v>184</v>
      </c>
      <c r="D1203" s="35" t="s">
        <v>1720</v>
      </c>
      <c r="E1203" s="32" t="s">
        <v>215</v>
      </c>
    </row>
    <row r="1204" ht="16.5" customHeight="1">
      <c r="A1204" s="32">
        <v>1203.0</v>
      </c>
      <c r="B1204" s="32" t="s">
        <v>1721</v>
      </c>
      <c r="C1204" s="32" t="s">
        <v>184</v>
      </c>
      <c r="D1204" s="32" t="s">
        <v>192</v>
      </c>
      <c r="E1204" s="32" t="s">
        <v>215</v>
      </c>
      <c r="F1204" s="32" t="s">
        <v>300</v>
      </c>
      <c r="G1204" s="32" t="s">
        <v>1722</v>
      </c>
    </row>
    <row r="1205" ht="16.5" customHeight="1">
      <c r="A1205" s="32">
        <v>1204.0</v>
      </c>
      <c r="B1205" s="32" t="s">
        <v>1723</v>
      </c>
      <c r="C1205" s="32" t="s">
        <v>184</v>
      </c>
      <c r="D1205" s="32" t="s">
        <v>192</v>
      </c>
      <c r="E1205" s="32" t="s">
        <v>215</v>
      </c>
      <c r="F1205" s="32" t="s">
        <v>329</v>
      </c>
      <c r="G1205" s="32" t="s">
        <v>1724</v>
      </c>
    </row>
    <row r="1206" ht="16.5" customHeight="1">
      <c r="A1206" s="32">
        <v>1205.0</v>
      </c>
      <c r="B1206" s="32" t="s">
        <v>1725</v>
      </c>
      <c r="C1206" s="32" t="s">
        <v>184</v>
      </c>
      <c r="D1206" s="32" t="s">
        <v>234</v>
      </c>
      <c r="E1206" s="32" t="s">
        <v>215</v>
      </c>
      <c r="F1206" s="32" t="s">
        <v>347</v>
      </c>
      <c r="G1206" s="32" t="s">
        <v>1726</v>
      </c>
    </row>
    <row r="1207" ht="16.5" customHeight="1">
      <c r="A1207" s="32">
        <v>1206.0</v>
      </c>
      <c r="B1207" s="32" t="s">
        <v>1727</v>
      </c>
      <c r="C1207" s="32" t="s">
        <v>184</v>
      </c>
      <c r="D1207" s="32" t="s">
        <v>192</v>
      </c>
      <c r="E1207" s="32" t="s">
        <v>215</v>
      </c>
      <c r="F1207" s="32" t="s">
        <v>329</v>
      </c>
      <c r="G1207" s="32" t="s">
        <v>1728</v>
      </c>
    </row>
    <row r="1208" ht="16.5" customHeight="1">
      <c r="A1208" s="32">
        <v>1207.0</v>
      </c>
      <c r="B1208" s="32" t="s">
        <v>1729</v>
      </c>
      <c r="C1208" s="32" t="s">
        <v>184</v>
      </c>
      <c r="D1208" s="32" t="s">
        <v>219</v>
      </c>
      <c r="E1208" s="32" t="s">
        <v>215</v>
      </c>
    </row>
    <row r="1209" ht="16.5" customHeight="1">
      <c r="A1209" s="32">
        <v>1208.0</v>
      </c>
      <c r="B1209" s="32" t="s">
        <v>1730</v>
      </c>
      <c r="C1209" s="32" t="s">
        <v>184</v>
      </c>
      <c r="D1209" s="32" t="s">
        <v>219</v>
      </c>
      <c r="E1209" s="32" t="s">
        <v>215</v>
      </c>
    </row>
    <row r="1210" ht="16.5" customHeight="1">
      <c r="A1210" s="32">
        <v>1209.0</v>
      </c>
      <c r="B1210" s="32" t="s">
        <v>1731</v>
      </c>
      <c r="C1210" s="32" t="s">
        <v>184</v>
      </c>
      <c r="D1210" s="32" t="s">
        <v>219</v>
      </c>
      <c r="E1210" s="32" t="s">
        <v>215</v>
      </c>
    </row>
    <row r="1211" ht="16.5" customHeight="1">
      <c r="A1211" s="32">
        <v>1210.0</v>
      </c>
      <c r="B1211" s="32" t="s">
        <v>1732</v>
      </c>
      <c r="C1211" s="32" t="s">
        <v>184</v>
      </c>
      <c r="D1211" s="32" t="s">
        <v>192</v>
      </c>
      <c r="E1211" s="32" t="s">
        <v>215</v>
      </c>
      <c r="F1211" s="32" t="s">
        <v>300</v>
      </c>
      <c r="G1211" s="32" t="s">
        <v>1733</v>
      </c>
    </row>
    <row r="1212" ht="16.5" customHeight="1">
      <c r="A1212" s="32">
        <v>1211.0</v>
      </c>
      <c r="B1212" s="32" t="s">
        <v>1734</v>
      </c>
      <c r="C1212" s="32" t="s">
        <v>184</v>
      </c>
      <c r="D1212" s="32" t="s">
        <v>219</v>
      </c>
      <c r="E1212" s="32" t="s">
        <v>215</v>
      </c>
    </row>
    <row r="1213" ht="16.5" customHeight="1">
      <c r="A1213" s="32">
        <v>1212.0</v>
      </c>
      <c r="B1213" s="32" t="s">
        <v>1735</v>
      </c>
      <c r="C1213" s="32" t="s">
        <v>184</v>
      </c>
      <c r="D1213" s="32" t="s">
        <v>234</v>
      </c>
      <c r="E1213" s="32" t="s">
        <v>215</v>
      </c>
      <c r="F1213" s="32" t="s">
        <v>415</v>
      </c>
      <c r="G1213" s="32" t="s">
        <v>236</v>
      </c>
    </row>
    <row r="1214" ht="16.5" customHeight="1">
      <c r="A1214" s="32">
        <v>1213.0</v>
      </c>
      <c r="B1214" s="32" t="s">
        <v>1736</v>
      </c>
      <c r="C1214" s="32" t="s">
        <v>184</v>
      </c>
      <c r="D1214" s="32" t="s">
        <v>234</v>
      </c>
      <c r="E1214" s="32" t="s">
        <v>215</v>
      </c>
    </row>
    <row r="1215" ht="16.5" customHeight="1">
      <c r="A1215" s="32">
        <v>1214.0</v>
      </c>
      <c r="B1215" s="32" t="s">
        <v>1737</v>
      </c>
      <c r="C1215" s="32" t="s">
        <v>184</v>
      </c>
      <c r="D1215" s="32" t="s">
        <v>192</v>
      </c>
      <c r="E1215" s="32" t="s">
        <v>215</v>
      </c>
      <c r="F1215" s="32" t="s">
        <v>329</v>
      </c>
      <c r="G1215" s="32" t="s">
        <v>457</v>
      </c>
    </row>
    <row r="1216" ht="16.5" customHeight="1">
      <c r="A1216" s="32">
        <v>1215.0</v>
      </c>
      <c r="B1216" s="32" t="s">
        <v>1738</v>
      </c>
      <c r="C1216" s="32" t="s">
        <v>184</v>
      </c>
      <c r="D1216" s="32" t="s">
        <v>228</v>
      </c>
      <c r="E1216" s="32" t="s">
        <v>215</v>
      </c>
      <c r="F1216" s="32" t="s">
        <v>544</v>
      </c>
      <c r="G1216" s="32" t="s">
        <v>1151</v>
      </c>
    </row>
    <row r="1217" ht="16.5" customHeight="1">
      <c r="A1217" s="32">
        <v>1216.0</v>
      </c>
      <c r="B1217" s="32" t="s">
        <v>1739</v>
      </c>
      <c r="C1217" s="32" t="s">
        <v>184</v>
      </c>
      <c r="D1217" s="32" t="s">
        <v>228</v>
      </c>
      <c r="E1217" s="32" t="s">
        <v>215</v>
      </c>
      <c r="F1217" s="32" t="s">
        <v>544</v>
      </c>
      <c r="G1217" s="32" t="s">
        <v>713</v>
      </c>
    </row>
    <row r="1218" ht="16.5" customHeight="1">
      <c r="A1218" s="32">
        <v>1217.0</v>
      </c>
      <c r="B1218" s="32" t="s">
        <v>1740</v>
      </c>
      <c r="C1218" s="32" t="s">
        <v>184</v>
      </c>
      <c r="D1218" s="32" t="s">
        <v>254</v>
      </c>
      <c r="E1218" s="32" t="s">
        <v>215</v>
      </c>
      <c r="F1218" s="32" t="s">
        <v>257</v>
      </c>
    </row>
    <row r="1219" ht="16.5" customHeight="1">
      <c r="A1219" s="32">
        <v>1218.0</v>
      </c>
      <c r="B1219" s="32" t="s">
        <v>1741</v>
      </c>
      <c r="C1219" s="32" t="s">
        <v>184</v>
      </c>
      <c r="D1219" s="32" t="s">
        <v>192</v>
      </c>
      <c r="E1219" s="32" t="s">
        <v>215</v>
      </c>
      <c r="F1219" s="32" t="s">
        <v>300</v>
      </c>
      <c r="G1219" s="32" t="s">
        <v>1742</v>
      </c>
    </row>
    <row r="1220" ht="16.5" customHeight="1">
      <c r="A1220" s="32">
        <v>1219.0</v>
      </c>
      <c r="B1220" s="32" t="s">
        <v>1743</v>
      </c>
      <c r="C1220" s="32" t="s">
        <v>184</v>
      </c>
      <c r="D1220" s="32" t="s">
        <v>192</v>
      </c>
      <c r="E1220" s="32" t="s">
        <v>215</v>
      </c>
    </row>
    <row r="1221" ht="16.5" customHeight="1">
      <c r="A1221" s="32">
        <v>1220.0</v>
      </c>
      <c r="B1221" s="32" t="s">
        <v>1744</v>
      </c>
      <c r="C1221" s="32" t="s">
        <v>184</v>
      </c>
      <c r="D1221" s="32" t="s">
        <v>192</v>
      </c>
      <c r="E1221" s="32" t="s">
        <v>215</v>
      </c>
    </row>
    <row r="1222" ht="16.5" customHeight="1">
      <c r="A1222" s="32">
        <v>1221.0</v>
      </c>
      <c r="B1222" s="32" t="s">
        <v>1745</v>
      </c>
      <c r="C1222" s="32" t="s">
        <v>184</v>
      </c>
      <c r="D1222" s="32" t="s">
        <v>192</v>
      </c>
      <c r="E1222" s="32" t="s">
        <v>215</v>
      </c>
      <c r="F1222" s="32" t="s">
        <v>300</v>
      </c>
      <c r="G1222" s="32" t="s">
        <v>387</v>
      </c>
    </row>
    <row r="1223" ht="16.5" customHeight="1">
      <c r="A1223" s="32">
        <v>1222.0</v>
      </c>
      <c r="B1223" s="32" t="s">
        <v>1746</v>
      </c>
      <c r="C1223" s="32" t="s">
        <v>184</v>
      </c>
      <c r="D1223" s="32" t="s">
        <v>192</v>
      </c>
      <c r="E1223" s="32" t="s">
        <v>215</v>
      </c>
      <c r="F1223" s="32" t="s">
        <v>300</v>
      </c>
      <c r="G1223" s="32" t="s">
        <v>1747</v>
      </c>
    </row>
    <row r="1224" ht="16.5" customHeight="1">
      <c r="A1224" s="32">
        <v>1223.0</v>
      </c>
      <c r="B1224" s="32" t="s">
        <v>1748</v>
      </c>
      <c r="C1224" s="32" t="s">
        <v>184</v>
      </c>
      <c r="D1224" s="32" t="s">
        <v>214</v>
      </c>
      <c r="E1224" s="32" t="s">
        <v>215</v>
      </c>
      <c r="F1224" s="32" t="s">
        <v>720</v>
      </c>
    </row>
    <row r="1225" ht="16.5" customHeight="1">
      <c r="A1225" s="32">
        <v>1224.0</v>
      </c>
      <c r="B1225" s="32" t="s">
        <v>1749</v>
      </c>
      <c r="C1225" s="32" t="s">
        <v>184</v>
      </c>
      <c r="D1225" s="32" t="s">
        <v>228</v>
      </c>
      <c r="E1225" s="32" t="s">
        <v>215</v>
      </c>
      <c r="F1225" s="32" t="s">
        <v>544</v>
      </c>
    </row>
    <row r="1226" ht="16.5" customHeight="1">
      <c r="A1226" s="32">
        <v>1225.0</v>
      </c>
      <c r="B1226" s="32" t="s">
        <v>1750</v>
      </c>
      <c r="C1226" s="32" t="s">
        <v>184</v>
      </c>
      <c r="D1226" s="32" t="s">
        <v>325</v>
      </c>
      <c r="E1226" s="32" t="s">
        <v>255</v>
      </c>
      <c r="F1226" s="32" t="s">
        <v>368</v>
      </c>
      <c r="G1226" s="32" t="s">
        <v>463</v>
      </c>
    </row>
    <row r="1227" ht="16.5" customHeight="1">
      <c r="A1227" s="32">
        <v>1226.0</v>
      </c>
      <c r="B1227" s="32" t="s">
        <v>1751</v>
      </c>
      <c r="C1227" s="32" t="s">
        <v>184</v>
      </c>
      <c r="D1227" s="32" t="s">
        <v>192</v>
      </c>
      <c r="E1227" s="32" t="s">
        <v>186</v>
      </c>
      <c r="F1227" s="32" t="s">
        <v>329</v>
      </c>
      <c r="G1227" s="32" t="s">
        <v>457</v>
      </c>
    </row>
    <row r="1228" ht="16.5" customHeight="1">
      <c r="A1228" s="32">
        <v>1227.0</v>
      </c>
      <c r="B1228" s="32" t="s">
        <v>1752</v>
      </c>
      <c r="C1228" s="32" t="s">
        <v>184</v>
      </c>
      <c r="D1228" s="32" t="s">
        <v>192</v>
      </c>
      <c r="E1228" s="32" t="s">
        <v>186</v>
      </c>
      <c r="F1228" s="32" t="s">
        <v>329</v>
      </c>
      <c r="G1228" s="32" t="s">
        <v>447</v>
      </c>
    </row>
    <row r="1229" ht="16.5" customHeight="1">
      <c r="A1229" s="32">
        <v>1228.0</v>
      </c>
      <c r="B1229" s="32" t="s">
        <v>1753</v>
      </c>
      <c r="C1229" s="32" t="s">
        <v>184</v>
      </c>
      <c r="D1229" s="32" t="s">
        <v>185</v>
      </c>
      <c r="E1229" s="32" t="s">
        <v>255</v>
      </c>
    </row>
    <row r="1230" ht="16.5" customHeight="1">
      <c r="A1230" s="32">
        <v>1229.0</v>
      </c>
      <c r="B1230" s="32" t="s">
        <v>1754</v>
      </c>
      <c r="C1230" s="32" t="s">
        <v>184</v>
      </c>
      <c r="D1230" s="32" t="s">
        <v>254</v>
      </c>
      <c r="E1230" s="32" t="s">
        <v>255</v>
      </c>
      <c r="F1230" s="32" t="s">
        <v>305</v>
      </c>
      <c r="G1230" s="32" t="s">
        <v>319</v>
      </c>
    </row>
    <row r="1231" ht="16.5" customHeight="1">
      <c r="A1231" s="32">
        <v>1230.0</v>
      </c>
      <c r="B1231" s="32" t="s">
        <v>1755</v>
      </c>
      <c r="C1231" s="32" t="s">
        <v>184</v>
      </c>
      <c r="D1231" s="32" t="s">
        <v>254</v>
      </c>
      <c r="E1231" s="32" t="s">
        <v>255</v>
      </c>
      <c r="F1231" s="32" t="s">
        <v>305</v>
      </c>
      <c r="G1231" s="32" t="s">
        <v>1306</v>
      </c>
    </row>
    <row r="1232" ht="16.5" customHeight="1">
      <c r="A1232" s="32">
        <v>1231.0</v>
      </c>
      <c r="B1232" s="32" t="s">
        <v>1756</v>
      </c>
      <c r="C1232" s="32" t="s">
        <v>184</v>
      </c>
      <c r="D1232" s="32" t="s">
        <v>219</v>
      </c>
      <c r="E1232" s="32" t="s">
        <v>255</v>
      </c>
    </row>
    <row r="1233" ht="16.5" customHeight="1">
      <c r="A1233" s="32">
        <v>1232.0</v>
      </c>
      <c r="B1233" s="32" t="s">
        <v>1757</v>
      </c>
      <c r="C1233" s="32" t="s">
        <v>184</v>
      </c>
      <c r="D1233" s="32" t="s">
        <v>234</v>
      </c>
      <c r="E1233" s="32" t="s">
        <v>186</v>
      </c>
    </row>
    <row r="1234" ht="16.5" customHeight="1">
      <c r="A1234" s="32">
        <v>1233.0</v>
      </c>
      <c r="B1234" s="32" t="s">
        <v>1758</v>
      </c>
      <c r="C1234" s="32" t="s">
        <v>184</v>
      </c>
      <c r="D1234" s="32" t="s">
        <v>234</v>
      </c>
      <c r="E1234" s="32" t="s">
        <v>186</v>
      </c>
    </row>
    <row r="1235" ht="16.5" customHeight="1">
      <c r="A1235" s="32">
        <v>1234.0</v>
      </c>
      <c r="B1235" s="32" t="s">
        <v>1759</v>
      </c>
      <c r="C1235" s="32" t="s">
        <v>184</v>
      </c>
      <c r="D1235" s="32" t="s">
        <v>234</v>
      </c>
      <c r="E1235" s="32" t="s">
        <v>186</v>
      </c>
    </row>
    <row r="1236" ht="16.5" customHeight="1">
      <c r="A1236" s="32">
        <v>1235.0</v>
      </c>
      <c r="B1236" s="32" t="s">
        <v>1760</v>
      </c>
      <c r="C1236" s="32" t="s">
        <v>184</v>
      </c>
      <c r="D1236" s="32" t="s">
        <v>234</v>
      </c>
      <c r="E1236" s="32" t="s">
        <v>186</v>
      </c>
    </row>
    <row r="1237" ht="16.5" customHeight="1">
      <c r="A1237" s="32">
        <v>1236.0</v>
      </c>
      <c r="B1237" s="32" t="s">
        <v>1761</v>
      </c>
      <c r="C1237" s="32" t="s">
        <v>184</v>
      </c>
      <c r="D1237" s="32" t="s">
        <v>234</v>
      </c>
      <c r="E1237" s="32" t="s">
        <v>186</v>
      </c>
    </row>
    <row r="1238" ht="16.5" customHeight="1">
      <c r="A1238" s="32">
        <v>1237.0</v>
      </c>
      <c r="B1238" s="32" t="s">
        <v>1762</v>
      </c>
      <c r="C1238" s="32" t="s">
        <v>184</v>
      </c>
      <c r="D1238" s="32" t="s">
        <v>234</v>
      </c>
      <c r="E1238" s="32" t="s">
        <v>186</v>
      </c>
    </row>
    <row r="1239" ht="16.5" customHeight="1">
      <c r="A1239" s="32">
        <v>1238.0</v>
      </c>
      <c r="B1239" s="32" t="s">
        <v>1763</v>
      </c>
      <c r="C1239" s="32" t="s">
        <v>184</v>
      </c>
      <c r="D1239" s="32" t="s">
        <v>234</v>
      </c>
      <c r="E1239" s="32" t="s">
        <v>255</v>
      </c>
      <c r="F1239" s="32" t="s">
        <v>347</v>
      </c>
      <c r="G1239" s="32" t="s">
        <v>1764</v>
      </c>
    </row>
    <row r="1240" ht="16.5" customHeight="1">
      <c r="A1240" s="32">
        <v>1239.0</v>
      </c>
      <c r="B1240" s="32" t="s">
        <v>1765</v>
      </c>
      <c r="C1240" s="32" t="s">
        <v>184</v>
      </c>
      <c r="D1240" s="32" t="s">
        <v>234</v>
      </c>
      <c r="E1240" s="32" t="s">
        <v>255</v>
      </c>
      <c r="F1240" s="32" t="s">
        <v>347</v>
      </c>
      <c r="G1240" s="32" t="s">
        <v>1764</v>
      </c>
    </row>
    <row r="1241" ht="16.5" customHeight="1">
      <c r="A1241" s="32">
        <v>1240.0</v>
      </c>
      <c r="B1241" s="32" t="s">
        <v>1766</v>
      </c>
      <c r="C1241" s="32" t="s">
        <v>184</v>
      </c>
      <c r="D1241" s="32" t="s">
        <v>234</v>
      </c>
      <c r="E1241" s="32" t="s">
        <v>255</v>
      </c>
      <c r="F1241" s="32" t="s">
        <v>347</v>
      </c>
      <c r="G1241" s="32" t="s">
        <v>1764</v>
      </c>
    </row>
    <row r="1242" ht="16.5" customHeight="1">
      <c r="A1242" s="32">
        <v>1241.0</v>
      </c>
      <c r="B1242" s="32" t="s">
        <v>1767</v>
      </c>
      <c r="C1242" s="32" t="s">
        <v>184</v>
      </c>
      <c r="D1242" s="32" t="s">
        <v>234</v>
      </c>
      <c r="E1242" s="32" t="s">
        <v>255</v>
      </c>
      <c r="F1242" s="32" t="s">
        <v>235</v>
      </c>
      <c r="G1242" s="32" t="s">
        <v>243</v>
      </c>
    </row>
    <row r="1243" ht="16.5" customHeight="1">
      <c r="A1243" s="32">
        <v>1242.0</v>
      </c>
      <c r="B1243" s="32" t="s">
        <v>1768</v>
      </c>
      <c r="C1243" s="32" t="s">
        <v>184</v>
      </c>
      <c r="D1243" s="32" t="s">
        <v>234</v>
      </c>
      <c r="E1243" s="32" t="s">
        <v>222</v>
      </c>
    </row>
    <row r="1244" ht="16.5" customHeight="1">
      <c r="A1244" s="32">
        <v>1243.0</v>
      </c>
      <c r="B1244" s="32" t="s">
        <v>1769</v>
      </c>
      <c r="C1244" s="32" t="s">
        <v>184</v>
      </c>
      <c r="D1244" s="32" t="s">
        <v>234</v>
      </c>
      <c r="E1244" s="32" t="s">
        <v>255</v>
      </c>
      <c r="F1244" s="32" t="s">
        <v>472</v>
      </c>
    </row>
    <row r="1245" ht="16.5" customHeight="1">
      <c r="A1245" s="32">
        <v>1244.0</v>
      </c>
      <c r="B1245" s="32" t="s">
        <v>1770</v>
      </c>
      <c r="C1245" s="32" t="s">
        <v>184</v>
      </c>
      <c r="D1245" s="32" t="s">
        <v>234</v>
      </c>
      <c r="E1245" s="32" t="s">
        <v>255</v>
      </c>
      <c r="F1245" s="32" t="s">
        <v>235</v>
      </c>
      <c r="G1245" s="32" t="s">
        <v>1771</v>
      </c>
    </row>
    <row r="1246" ht="16.5" customHeight="1">
      <c r="A1246" s="32">
        <v>1245.0</v>
      </c>
      <c r="B1246" s="32" t="s">
        <v>1772</v>
      </c>
      <c r="C1246" s="32" t="s">
        <v>184</v>
      </c>
      <c r="D1246" s="32" t="s">
        <v>351</v>
      </c>
      <c r="E1246" s="32" t="s">
        <v>255</v>
      </c>
    </row>
    <row r="1247" ht="16.5" customHeight="1">
      <c r="A1247" s="32">
        <v>1246.0</v>
      </c>
      <c r="B1247" s="32" t="s">
        <v>1773</v>
      </c>
      <c r="C1247" s="32" t="s">
        <v>184</v>
      </c>
      <c r="D1247" s="32" t="s">
        <v>351</v>
      </c>
      <c r="E1247" s="32" t="s">
        <v>255</v>
      </c>
    </row>
    <row r="1248" ht="16.5" customHeight="1">
      <c r="A1248" s="32">
        <v>1247.0</v>
      </c>
      <c r="B1248" s="32" t="s">
        <v>1774</v>
      </c>
      <c r="C1248" s="32" t="s">
        <v>184</v>
      </c>
      <c r="D1248" s="32" t="s">
        <v>192</v>
      </c>
      <c r="E1248" s="32" t="s">
        <v>255</v>
      </c>
      <c r="F1248" s="32" t="s">
        <v>329</v>
      </c>
      <c r="G1248" s="32" t="s">
        <v>447</v>
      </c>
    </row>
    <row r="1249" ht="16.5" customHeight="1">
      <c r="A1249" s="32">
        <v>1248.0</v>
      </c>
      <c r="B1249" s="32" t="s">
        <v>1775</v>
      </c>
      <c r="C1249" s="32" t="s">
        <v>184</v>
      </c>
      <c r="D1249" s="32" t="s">
        <v>192</v>
      </c>
      <c r="E1249" s="32" t="s">
        <v>255</v>
      </c>
      <c r="F1249" s="32" t="s">
        <v>300</v>
      </c>
      <c r="G1249" s="32" t="s">
        <v>1357</v>
      </c>
    </row>
    <row r="1250" ht="16.5" customHeight="1">
      <c r="A1250" s="32">
        <v>1249.0</v>
      </c>
      <c r="B1250" s="32" t="s">
        <v>1776</v>
      </c>
      <c r="C1250" s="32" t="s">
        <v>184</v>
      </c>
      <c r="D1250" s="32" t="s">
        <v>192</v>
      </c>
      <c r="E1250" s="32" t="s">
        <v>255</v>
      </c>
      <c r="F1250" s="32" t="s">
        <v>300</v>
      </c>
      <c r="G1250" s="32" t="s">
        <v>1777</v>
      </c>
    </row>
    <row r="1251" ht="16.5" customHeight="1">
      <c r="A1251" s="32">
        <v>1250.0</v>
      </c>
      <c r="B1251" s="32" t="s">
        <v>1778</v>
      </c>
      <c r="C1251" s="32" t="s">
        <v>184</v>
      </c>
      <c r="D1251" s="32" t="s">
        <v>192</v>
      </c>
      <c r="E1251" s="32" t="s">
        <v>255</v>
      </c>
    </row>
    <row r="1252" ht="16.5" customHeight="1">
      <c r="A1252" s="32">
        <v>1251.0</v>
      </c>
      <c r="B1252" s="32" t="s">
        <v>1779</v>
      </c>
      <c r="C1252" s="32" t="s">
        <v>184</v>
      </c>
      <c r="D1252" s="32" t="s">
        <v>192</v>
      </c>
      <c r="E1252" s="32" t="s">
        <v>255</v>
      </c>
      <c r="F1252" s="32" t="s">
        <v>329</v>
      </c>
      <c r="G1252" s="32" t="s">
        <v>447</v>
      </c>
    </row>
    <row r="1253" ht="16.5" customHeight="1">
      <c r="A1253" s="32">
        <v>1252.0</v>
      </c>
      <c r="B1253" s="32" t="s">
        <v>1780</v>
      </c>
      <c r="C1253" s="32" t="s">
        <v>184</v>
      </c>
      <c r="D1253" s="32" t="s">
        <v>192</v>
      </c>
      <c r="E1253" s="32" t="s">
        <v>255</v>
      </c>
    </row>
    <row r="1254" ht="16.5" customHeight="1">
      <c r="A1254" s="32">
        <v>1253.0</v>
      </c>
      <c r="B1254" s="32" t="s">
        <v>1781</v>
      </c>
      <c r="C1254" s="32" t="s">
        <v>184</v>
      </c>
      <c r="D1254" s="32" t="s">
        <v>192</v>
      </c>
      <c r="E1254" s="32" t="s">
        <v>255</v>
      </c>
      <c r="F1254" s="32" t="s">
        <v>329</v>
      </c>
      <c r="G1254" s="32" t="s">
        <v>457</v>
      </c>
    </row>
    <row r="1255" ht="16.5" customHeight="1">
      <c r="A1255" s="32">
        <v>1254.0</v>
      </c>
      <c r="B1255" s="32" t="s">
        <v>1782</v>
      </c>
      <c r="C1255" s="32" t="s">
        <v>184</v>
      </c>
      <c r="D1255" s="32" t="s">
        <v>228</v>
      </c>
      <c r="E1255" s="32" t="s">
        <v>255</v>
      </c>
      <c r="F1255" s="32" t="s">
        <v>333</v>
      </c>
    </row>
    <row r="1256" ht="16.5" customHeight="1">
      <c r="A1256" s="32">
        <v>1255.0</v>
      </c>
      <c r="B1256" s="32" t="s">
        <v>1783</v>
      </c>
      <c r="C1256" s="32" t="s">
        <v>184</v>
      </c>
      <c r="D1256" s="32" t="s">
        <v>228</v>
      </c>
      <c r="E1256" s="32" t="s">
        <v>255</v>
      </c>
      <c r="F1256" s="32" t="s">
        <v>333</v>
      </c>
      <c r="G1256" s="32" t="s">
        <v>334</v>
      </c>
    </row>
    <row r="1257" ht="16.5" customHeight="1">
      <c r="A1257" s="32">
        <v>1256.0</v>
      </c>
      <c r="B1257" s="32" t="s">
        <v>1784</v>
      </c>
      <c r="C1257" s="32" t="s">
        <v>184</v>
      </c>
      <c r="D1257" s="32" t="s">
        <v>228</v>
      </c>
      <c r="E1257" s="32" t="s">
        <v>399</v>
      </c>
      <c r="F1257" s="32" t="s">
        <v>1785</v>
      </c>
    </row>
    <row r="1258" ht="16.5" customHeight="1">
      <c r="A1258" s="32">
        <v>1257.0</v>
      </c>
      <c r="B1258" s="32" t="s">
        <v>1786</v>
      </c>
      <c r="C1258" s="32" t="s">
        <v>184</v>
      </c>
      <c r="D1258" s="32" t="s">
        <v>228</v>
      </c>
      <c r="E1258" s="32" t="s">
        <v>255</v>
      </c>
      <c r="F1258" s="32" t="s">
        <v>333</v>
      </c>
    </row>
    <row r="1259" ht="16.5" customHeight="1">
      <c r="A1259" s="32">
        <v>1258.0</v>
      </c>
      <c r="B1259" s="32" t="s">
        <v>1787</v>
      </c>
      <c r="C1259" s="32" t="s">
        <v>184</v>
      </c>
      <c r="D1259" s="32" t="s">
        <v>234</v>
      </c>
      <c r="E1259" s="32" t="s">
        <v>255</v>
      </c>
      <c r="F1259" s="32" t="s">
        <v>347</v>
      </c>
      <c r="G1259" s="32" t="s">
        <v>382</v>
      </c>
    </row>
    <row r="1260" ht="16.5" customHeight="1">
      <c r="A1260" s="32">
        <v>1259.0</v>
      </c>
      <c r="B1260" s="32" t="s">
        <v>1788</v>
      </c>
      <c r="C1260" s="32" t="s">
        <v>184</v>
      </c>
      <c r="D1260" s="32" t="s">
        <v>192</v>
      </c>
      <c r="E1260" s="32" t="s">
        <v>255</v>
      </c>
      <c r="F1260" s="32" t="s">
        <v>300</v>
      </c>
      <c r="G1260" s="32" t="s">
        <v>1789</v>
      </c>
    </row>
    <row r="1261" ht="16.5" customHeight="1">
      <c r="A1261" s="32">
        <v>1260.0</v>
      </c>
      <c r="B1261" s="32" t="s">
        <v>1790</v>
      </c>
      <c r="C1261" s="32" t="s">
        <v>184</v>
      </c>
      <c r="D1261" s="32" t="s">
        <v>192</v>
      </c>
      <c r="E1261" s="32" t="s">
        <v>255</v>
      </c>
    </row>
    <row r="1262" ht="16.5" customHeight="1">
      <c r="A1262" s="32">
        <v>1261.0</v>
      </c>
      <c r="B1262" s="32" t="s">
        <v>1791</v>
      </c>
      <c r="C1262" s="32" t="s">
        <v>184</v>
      </c>
      <c r="D1262" s="32" t="s">
        <v>192</v>
      </c>
      <c r="E1262" s="32" t="s">
        <v>255</v>
      </c>
      <c r="F1262" s="32" t="s">
        <v>300</v>
      </c>
      <c r="G1262" s="32" t="s">
        <v>1792</v>
      </c>
    </row>
    <row r="1263" ht="16.5" customHeight="1">
      <c r="A1263" s="32">
        <v>1262.0</v>
      </c>
      <c r="B1263" s="32" t="s">
        <v>1793</v>
      </c>
      <c r="C1263" s="32" t="s">
        <v>184</v>
      </c>
      <c r="D1263" s="32" t="s">
        <v>219</v>
      </c>
      <c r="E1263" s="32" t="s">
        <v>255</v>
      </c>
      <c r="F1263" s="32" t="s">
        <v>223</v>
      </c>
      <c r="G1263" s="32" t="s">
        <v>472</v>
      </c>
    </row>
    <row r="1264" ht="16.5" customHeight="1">
      <c r="A1264" s="32">
        <v>1263.0</v>
      </c>
      <c r="B1264" s="32" t="s">
        <v>1794</v>
      </c>
      <c r="C1264" s="32" t="s">
        <v>184</v>
      </c>
      <c r="D1264" s="32" t="s">
        <v>219</v>
      </c>
      <c r="E1264" s="32" t="s">
        <v>255</v>
      </c>
      <c r="F1264" s="32" t="s">
        <v>223</v>
      </c>
      <c r="G1264" s="32" t="s">
        <v>472</v>
      </c>
    </row>
    <row r="1265" ht="16.5" customHeight="1">
      <c r="A1265" s="32">
        <v>1264.0</v>
      </c>
      <c r="B1265" s="32" t="s">
        <v>1795</v>
      </c>
      <c r="C1265" s="32" t="s">
        <v>184</v>
      </c>
      <c r="D1265" s="32" t="s">
        <v>219</v>
      </c>
      <c r="E1265" s="32" t="s">
        <v>255</v>
      </c>
      <c r="F1265" s="32" t="s">
        <v>223</v>
      </c>
      <c r="G1265" s="32" t="s">
        <v>472</v>
      </c>
    </row>
    <row r="1266" ht="16.5" customHeight="1">
      <c r="A1266" s="32">
        <v>1265.0</v>
      </c>
      <c r="B1266" s="32" t="s">
        <v>1796</v>
      </c>
      <c r="C1266" s="32" t="s">
        <v>184</v>
      </c>
      <c r="D1266" s="32" t="s">
        <v>219</v>
      </c>
      <c r="E1266" s="32" t="s">
        <v>255</v>
      </c>
      <c r="F1266" s="32" t="s">
        <v>223</v>
      </c>
      <c r="G1266" s="32" t="s">
        <v>472</v>
      </c>
    </row>
    <row r="1267" ht="16.5" customHeight="1">
      <c r="A1267" s="32">
        <v>1266.0</v>
      </c>
      <c r="B1267" s="32" t="s">
        <v>1797</v>
      </c>
      <c r="C1267" s="32" t="s">
        <v>184</v>
      </c>
      <c r="D1267" s="35" t="s">
        <v>1798</v>
      </c>
      <c r="E1267" s="32" t="s">
        <v>255</v>
      </c>
      <c r="F1267" s="32" t="s">
        <v>1799</v>
      </c>
      <c r="G1267" s="32" t="s">
        <v>1800</v>
      </c>
    </row>
    <row r="1268" ht="16.5" customHeight="1">
      <c r="A1268" s="32">
        <v>1267.0</v>
      </c>
      <c r="B1268" s="32" t="s">
        <v>1801</v>
      </c>
      <c r="C1268" s="32" t="s">
        <v>184</v>
      </c>
      <c r="D1268" s="32" t="s">
        <v>254</v>
      </c>
      <c r="E1268" s="32" t="s">
        <v>255</v>
      </c>
      <c r="F1268" s="32" t="s">
        <v>305</v>
      </c>
      <c r="G1268" s="32" t="s">
        <v>189</v>
      </c>
    </row>
    <row r="1269" ht="16.5" customHeight="1">
      <c r="A1269" s="32">
        <v>1268.0</v>
      </c>
      <c r="B1269" s="32" t="s">
        <v>1802</v>
      </c>
      <c r="C1269" s="32" t="s">
        <v>184</v>
      </c>
      <c r="D1269" s="32" t="s">
        <v>254</v>
      </c>
      <c r="E1269" s="32" t="s">
        <v>255</v>
      </c>
      <c r="F1269" s="32" t="s">
        <v>305</v>
      </c>
      <c r="G1269" s="32" t="s">
        <v>319</v>
      </c>
    </row>
    <row r="1270" ht="16.5" customHeight="1">
      <c r="A1270" s="32">
        <v>1269.0</v>
      </c>
      <c r="B1270" s="32" t="s">
        <v>1803</v>
      </c>
      <c r="C1270" s="32" t="s">
        <v>184</v>
      </c>
      <c r="D1270" s="35" t="s">
        <v>361</v>
      </c>
      <c r="E1270" s="32" t="s">
        <v>255</v>
      </c>
      <c r="F1270" s="32" t="s">
        <v>362</v>
      </c>
      <c r="G1270" s="32" t="s">
        <v>357</v>
      </c>
    </row>
    <row r="1271" ht="16.5" customHeight="1">
      <c r="A1271" s="32">
        <v>1270.0</v>
      </c>
      <c r="B1271" s="32" t="s">
        <v>1804</v>
      </c>
      <c r="C1271" s="32" t="s">
        <v>184</v>
      </c>
      <c r="D1271" s="35" t="s">
        <v>361</v>
      </c>
      <c r="E1271" s="32" t="s">
        <v>255</v>
      </c>
      <c r="F1271" s="32" t="s">
        <v>362</v>
      </c>
      <c r="G1271" s="32" t="s">
        <v>357</v>
      </c>
    </row>
    <row r="1272" ht="16.5" customHeight="1">
      <c r="A1272" s="32">
        <v>1271.0</v>
      </c>
      <c r="B1272" s="32" t="s">
        <v>1805</v>
      </c>
      <c r="C1272" s="32" t="s">
        <v>184</v>
      </c>
      <c r="D1272" s="32" t="s">
        <v>219</v>
      </c>
      <c r="E1272" s="32" t="s">
        <v>222</v>
      </c>
    </row>
    <row r="1273" ht="16.5" customHeight="1">
      <c r="A1273" s="32">
        <v>1272.0</v>
      </c>
      <c r="B1273" s="32" t="s">
        <v>1806</v>
      </c>
      <c r="C1273" s="32" t="s">
        <v>184</v>
      </c>
      <c r="D1273" s="32" t="s">
        <v>254</v>
      </c>
      <c r="E1273" s="32" t="s">
        <v>255</v>
      </c>
      <c r="F1273" s="32" t="s">
        <v>1807</v>
      </c>
      <c r="G1273" s="32" t="s">
        <v>382</v>
      </c>
    </row>
    <row r="1274" ht="16.5" customHeight="1">
      <c r="A1274" s="32">
        <v>1273.0</v>
      </c>
      <c r="B1274" s="32" t="s">
        <v>1808</v>
      </c>
      <c r="C1274" s="32" t="s">
        <v>184</v>
      </c>
      <c r="D1274" s="35" t="s">
        <v>294</v>
      </c>
      <c r="E1274" s="32" t="s">
        <v>255</v>
      </c>
      <c r="F1274" s="32" t="s">
        <v>189</v>
      </c>
      <c r="G1274" s="32" t="s">
        <v>902</v>
      </c>
    </row>
    <row r="1275" ht="16.5" customHeight="1">
      <c r="A1275" s="32">
        <v>1274.0</v>
      </c>
      <c r="B1275" s="32" t="s">
        <v>1809</v>
      </c>
      <c r="C1275" s="32" t="s">
        <v>184</v>
      </c>
      <c r="D1275" s="32" t="s">
        <v>285</v>
      </c>
      <c r="E1275" s="32" t="s">
        <v>255</v>
      </c>
      <c r="F1275" s="32" t="s">
        <v>189</v>
      </c>
      <c r="G1275" s="32" t="s">
        <v>190</v>
      </c>
    </row>
    <row r="1276" ht="16.5" customHeight="1">
      <c r="A1276" s="32">
        <v>1275.0</v>
      </c>
      <c r="B1276" s="32" t="s">
        <v>1810</v>
      </c>
      <c r="C1276" s="32" t="s">
        <v>184</v>
      </c>
      <c r="D1276" s="32" t="s">
        <v>254</v>
      </c>
      <c r="E1276" s="32" t="s">
        <v>255</v>
      </c>
      <c r="F1276" s="32" t="s">
        <v>1811</v>
      </c>
      <c r="G1276" s="32" t="s">
        <v>1812</v>
      </c>
    </row>
    <row r="1277" ht="16.5" customHeight="1">
      <c r="A1277" s="32">
        <v>1276.0</v>
      </c>
      <c r="B1277" s="32" t="s">
        <v>1813</v>
      </c>
      <c r="C1277" s="32" t="s">
        <v>184</v>
      </c>
      <c r="D1277" s="32" t="s">
        <v>185</v>
      </c>
      <c r="E1277" s="32" t="s">
        <v>255</v>
      </c>
      <c r="F1277" s="32" t="s">
        <v>1814</v>
      </c>
      <c r="G1277" s="32" t="s">
        <v>1815</v>
      </c>
    </row>
    <row r="1278" ht="16.5" customHeight="1">
      <c r="A1278" s="32">
        <v>1277.0</v>
      </c>
      <c r="B1278" s="32" t="s">
        <v>1816</v>
      </c>
      <c r="C1278" s="32" t="s">
        <v>184</v>
      </c>
      <c r="D1278" s="32" t="s">
        <v>219</v>
      </c>
      <c r="E1278" s="32" t="s">
        <v>255</v>
      </c>
      <c r="F1278" s="32" t="s">
        <v>223</v>
      </c>
      <c r="G1278" s="32" t="s">
        <v>1817</v>
      </c>
    </row>
    <row r="1279" ht="16.5" customHeight="1">
      <c r="A1279" s="32">
        <v>1278.0</v>
      </c>
      <c r="B1279" s="32" t="s">
        <v>1818</v>
      </c>
      <c r="C1279" s="32" t="s">
        <v>184</v>
      </c>
      <c r="D1279" s="32" t="s">
        <v>254</v>
      </c>
      <c r="E1279" s="32" t="s">
        <v>255</v>
      </c>
      <c r="F1279" s="32" t="s">
        <v>260</v>
      </c>
      <c r="G1279" s="32" t="s">
        <v>189</v>
      </c>
    </row>
    <row r="1280" ht="16.5" customHeight="1">
      <c r="A1280" s="32">
        <v>1279.0</v>
      </c>
      <c r="B1280" s="32" t="s">
        <v>1819</v>
      </c>
      <c r="C1280" s="32" t="s">
        <v>184</v>
      </c>
      <c r="D1280" s="32" t="s">
        <v>234</v>
      </c>
      <c r="E1280" s="32" t="s">
        <v>255</v>
      </c>
    </row>
    <row r="1281" ht="16.5" customHeight="1">
      <c r="A1281" s="32">
        <v>1280.0</v>
      </c>
      <c r="B1281" s="32" t="s">
        <v>1820</v>
      </c>
      <c r="C1281" s="32" t="s">
        <v>184</v>
      </c>
      <c r="D1281" s="32" t="s">
        <v>254</v>
      </c>
      <c r="E1281" s="32" t="s">
        <v>255</v>
      </c>
      <c r="F1281" s="32" t="s">
        <v>260</v>
      </c>
      <c r="G1281" s="32" t="s">
        <v>189</v>
      </c>
    </row>
    <row r="1282" ht="16.5" customHeight="1">
      <c r="A1282" s="32">
        <v>1281.0</v>
      </c>
      <c r="B1282" s="32" t="s">
        <v>1821</v>
      </c>
      <c r="C1282" s="32" t="s">
        <v>184</v>
      </c>
      <c r="D1282" s="32" t="s">
        <v>254</v>
      </c>
      <c r="E1282" s="32" t="s">
        <v>255</v>
      </c>
    </row>
    <row r="1283" ht="16.5" customHeight="1">
      <c r="A1283" s="32">
        <v>1282.0</v>
      </c>
      <c r="B1283" s="32" t="s">
        <v>1822</v>
      </c>
      <c r="C1283" s="32" t="s">
        <v>184</v>
      </c>
      <c r="D1283" s="32" t="s">
        <v>254</v>
      </c>
      <c r="E1283" s="32" t="s">
        <v>255</v>
      </c>
    </row>
    <row r="1284" ht="16.5" customHeight="1">
      <c r="A1284" s="32">
        <v>1283.0</v>
      </c>
      <c r="B1284" s="32" t="s">
        <v>1823</v>
      </c>
      <c r="C1284" s="32" t="s">
        <v>184</v>
      </c>
      <c r="D1284" s="32" t="s">
        <v>254</v>
      </c>
      <c r="E1284" s="32" t="s">
        <v>255</v>
      </c>
    </row>
    <row r="1285" ht="16.5" customHeight="1">
      <c r="A1285" s="32">
        <v>1284.0</v>
      </c>
      <c r="B1285" s="32" t="s">
        <v>1824</v>
      </c>
      <c r="C1285" s="32" t="s">
        <v>184</v>
      </c>
      <c r="D1285" s="32" t="s">
        <v>254</v>
      </c>
      <c r="E1285" s="32" t="s">
        <v>255</v>
      </c>
      <c r="F1285" s="32" t="s">
        <v>256</v>
      </c>
      <c r="G1285" s="32" t="s">
        <v>257</v>
      </c>
    </row>
    <row r="1286" ht="16.5" customHeight="1">
      <c r="A1286" s="32">
        <v>1285.0</v>
      </c>
      <c r="B1286" s="32" t="s">
        <v>1825</v>
      </c>
      <c r="C1286" s="32" t="s">
        <v>184</v>
      </c>
      <c r="D1286" s="32" t="s">
        <v>254</v>
      </c>
      <c r="E1286" s="32" t="s">
        <v>255</v>
      </c>
      <c r="F1286" s="32" t="s">
        <v>256</v>
      </c>
      <c r="G1286" s="32" t="s">
        <v>257</v>
      </c>
    </row>
    <row r="1287" ht="16.5" customHeight="1">
      <c r="A1287" s="32">
        <v>1286.0</v>
      </c>
      <c r="B1287" s="32" t="s">
        <v>1826</v>
      </c>
      <c r="C1287" s="32" t="s">
        <v>184</v>
      </c>
      <c r="D1287" s="32" t="s">
        <v>254</v>
      </c>
      <c r="E1287" s="32" t="s">
        <v>255</v>
      </c>
      <c r="F1287" s="32" t="s">
        <v>256</v>
      </c>
      <c r="G1287" s="32" t="s">
        <v>257</v>
      </c>
    </row>
    <row r="1288" ht="16.5" customHeight="1">
      <c r="A1288" s="32">
        <v>1287.0</v>
      </c>
      <c r="B1288" s="32" t="s">
        <v>1827</v>
      </c>
      <c r="C1288" s="32" t="s">
        <v>184</v>
      </c>
      <c r="D1288" s="32" t="s">
        <v>254</v>
      </c>
      <c r="E1288" s="32" t="s">
        <v>255</v>
      </c>
      <c r="F1288" s="32" t="s">
        <v>256</v>
      </c>
      <c r="G1288" s="32" t="s">
        <v>524</v>
      </c>
    </row>
    <row r="1289" ht="16.5" customHeight="1">
      <c r="A1289" s="32">
        <v>1288.0</v>
      </c>
      <c r="B1289" s="32" t="s">
        <v>1828</v>
      </c>
      <c r="C1289" s="32" t="s">
        <v>184</v>
      </c>
      <c r="D1289" s="32" t="s">
        <v>254</v>
      </c>
      <c r="E1289" s="32" t="s">
        <v>399</v>
      </c>
      <c r="F1289" s="32" t="s">
        <v>256</v>
      </c>
      <c r="G1289" s="32" t="s">
        <v>257</v>
      </c>
    </row>
    <row r="1290" ht="16.5" customHeight="1">
      <c r="A1290" s="32">
        <v>1289.0</v>
      </c>
      <c r="B1290" s="32" t="s">
        <v>1829</v>
      </c>
      <c r="C1290" s="32" t="s">
        <v>184</v>
      </c>
      <c r="D1290" s="32" t="s">
        <v>254</v>
      </c>
      <c r="E1290" s="32" t="s">
        <v>255</v>
      </c>
      <c r="F1290" s="32" t="s">
        <v>256</v>
      </c>
      <c r="G1290" s="32" t="s">
        <v>257</v>
      </c>
    </row>
    <row r="1291" ht="16.5" customHeight="1">
      <c r="A1291" s="32">
        <v>1290.0</v>
      </c>
      <c r="B1291" s="32" t="s">
        <v>1830</v>
      </c>
      <c r="C1291" s="32" t="s">
        <v>184</v>
      </c>
      <c r="D1291" s="32" t="s">
        <v>254</v>
      </c>
      <c r="E1291" s="32" t="s">
        <v>255</v>
      </c>
      <c r="F1291" s="32" t="s">
        <v>256</v>
      </c>
      <c r="G1291" s="32" t="s">
        <v>257</v>
      </c>
    </row>
    <row r="1292" ht="16.5" customHeight="1">
      <c r="A1292" s="32">
        <v>1291.0</v>
      </c>
      <c r="B1292" s="32" t="s">
        <v>1831</v>
      </c>
      <c r="C1292" s="32" t="s">
        <v>184</v>
      </c>
      <c r="D1292" s="32" t="s">
        <v>254</v>
      </c>
      <c r="E1292" s="32" t="s">
        <v>316</v>
      </c>
      <c r="F1292" s="32" t="s">
        <v>256</v>
      </c>
      <c r="G1292" s="32" t="s">
        <v>257</v>
      </c>
    </row>
    <row r="1293" ht="16.5" customHeight="1">
      <c r="A1293" s="32">
        <v>1292.0</v>
      </c>
      <c r="B1293" s="32" t="s">
        <v>1832</v>
      </c>
      <c r="C1293" s="32" t="s">
        <v>184</v>
      </c>
      <c r="D1293" s="32" t="s">
        <v>254</v>
      </c>
      <c r="E1293" s="32" t="s">
        <v>399</v>
      </c>
      <c r="F1293" s="32" t="s">
        <v>256</v>
      </c>
      <c r="G1293" s="32" t="s">
        <v>257</v>
      </c>
    </row>
    <row r="1294" ht="16.5" customHeight="1">
      <c r="A1294" s="32">
        <v>1293.0</v>
      </c>
      <c r="B1294" s="32" t="s">
        <v>1833</v>
      </c>
      <c r="C1294" s="32" t="s">
        <v>184</v>
      </c>
      <c r="D1294" s="32" t="s">
        <v>254</v>
      </c>
      <c r="E1294" s="32" t="s">
        <v>399</v>
      </c>
    </row>
    <row r="1295" ht="16.5" customHeight="1">
      <c r="A1295" s="32">
        <v>1294.0</v>
      </c>
      <c r="B1295" s="32" t="s">
        <v>1834</v>
      </c>
      <c r="C1295" s="32" t="s">
        <v>184</v>
      </c>
      <c r="D1295" s="32" t="s">
        <v>254</v>
      </c>
      <c r="E1295" s="32" t="s">
        <v>399</v>
      </c>
      <c r="F1295" s="32" t="s">
        <v>256</v>
      </c>
      <c r="G1295" s="32" t="s">
        <v>257</v>
      </c>
    </row>
    <row r="1296" ht="16.5" customHeight="1">
      <c r="A1296" s="32">
        <v>1295.0</v>
      </c>
      <c r="B1296" s="32" t="s">
        <v>1835</v>
      </c>
      <c r="C1296" s="32" t="s">
        <v>184</v>
      </c>
      <c r="D1296" s="32" t="s">
        <v>254</v>
      </c>
      <c r="E1296" s="32" t="s">
        <v>255</v>
      </c>
      <c r="F1296" s="32" t="s">
        <v>256</v>
      </c>
      <c r="G1296" s="32" t="s">
        <v>424</v>
      </c>
    </row>
    <row r="1297" ht="16.5" customHeight="1">
      <c r="A1297" s="32">
        <v>1296.0</v>
      </c>
      <c r="B1297" s="32" t="s">
        <v>1836</v>
      </c>
      <c r="C1297" s="32" t="s">
        <v>184</v>
      </c>
      <c r="D1297" s="32" t="s">
        <v>254</v>
      </c>
      <c r="E1297" s="32" t="s">
        <v>255</v>
      </c>
    </row>
    <row r="1298" ht="16.5" customHeight="1">
      <c r="A1298" s="32">
        <v>1297.0</v>
      </c>
      <c r="B1298" s="32" t="s">
        <v>1837</v>
      </c>
      <c r="C1298" s="32" t="s">
        <v>184</v>
      </c>
      <c r="D1298" s="32" t="s">
        <v>254</v>
      </c>
      <c r="E1298" s="32" t="s">
        <v>255</v>
      </c>
      <c r="F1298" s="32" t="s">
        <v>256</v>
      </c>
      <c r="G1298" s="32" t="s">
        <v>257</v>
      </c>
    </row>
    <row r="1299" ht="16.5" customHeight="1">
      <c r="A1299" s="32">
        <v>1298.0</v>
      </c>
      <c r="B1299" s="32" t="s">
        <v>1837</v>
      </c>
      <c r="C1299" s="32" t="s">
        <v>184</v>
      </c>
      <c r="D1299" s="32" t="s">
        <v>254</v>
      </c>
      <c r="E1299" s="32" t="s">
        <v>255</v>
      </c>
      <c r="F1299" s="32" t="s">
        <v>256</v>
      </c>
      <c r="G1299" s="32" t="s">
        <v>257</v>
      </c>
    </row>
    <row r="1300" ht="16.5" customHeight="1">
      <c r="A1300" s="32">
        <v>1299.0</v>
      </c>
      <c r="B1300" s="32" t="s">
        <v>1838</v>
      </c>
      <c r="C1300" s="32" t="s">
        <v>184</v>
      </c>
      <c r="D1300" s="32" t="s">
        <v>254</v>
      </c>
      <c r="E1300" s="32" t="s">
        <v>255</v>
      </c>
      <c r="F1300" s="32" t="s">
        <v>256</v>
      </c>
      <c r="G1300" s="32" t="s">
        <v>257</v>
      </c>
    </row>
    <row r="1301" ht="16.5" customHeight="1">
      <c r="A1301" s="32">
        <v>1300.0</v>
      </c>
      <c r="B1301" s="32" t="s">
        <v>1839</v>
      </c>
      <c r="C1301" s="32" t="s">
        <v>184</v>
      </c>
      <c r="D1301" s="32" t="s">
        <v>254</v>
      </c>
      <c r="E1301" s="32" t="s">
        <v>255</v>
      </c>
      <c r="F1301" s="32" t="s">
        <v>305</v>
      </c>
      <c r="G1301" s="32" t="s">
        <v>1840</v>
      </c>
    </row>
    <row r="1302" ht="16.5" customHeight="1">
      <c r="A1302" s="32">
        <v>1301.0</v>
      </c>
      <c r="B1302" s="32" t="s">
        <v>1841</v>
      </c>
      <c r="C1302" s="32" t="s">
        <v>184</v>
      </c>
      <c r="D1302" s="32" t="s">
        <v>254</v>
      </c>
      <c r="E1302" s="32" t="s">
        <v>255</v>
      </c>
    </row>
    <row r="1303" ht="16.5" customHeight="1">
      <c r="A1303" s="32">
        <v>1302.0</v>
      </c>
      <c r="B1303" s="32" t="s">
        <v>1842</v>
      </c>
      <c r="C1303" s="32" t="s">
        <v>184</v>
      </c>
      <c r="D1303" s="32" t="s">
        <v>254</v>
      </c>
      <c r="E1303" s="32" t="s">
        <v>373</v>
      </c>
      <c r="F1303" s="32" t="s">
        <v>256</v>
      </c>
      <c r="G1303" s="32" t="s">
        <v>257</v>
      </c>
    </row>
    <row r="1304" ht="16.5" customHeight="1">
      <c r="A1304" s="32">
        <v>1303.0</v>
      </c>
      <c r="B1304" s="32" t="s">
        <v>1843</v>
      </c>
      <c r="C1304" s="32" t="s">
        <v>184</v>
      </c>
      <c r="D1304" s="32" t="s">
        <v>254</v>
      </c>
      <c r="E1304" s="32" t="s">
        <v>373</v>
      </c>
      <c r="F1304" s="32" t="s">
        <v>256</v>
      </c>
      <c r="G1304" s="32" t="s">
        <v>257</v>
      </c>
    </row>
    <row r="1305" ht="16.5" customHeight="1">
      <c r="A1305" s="32">
        <v>1304.0</v>
      </c>
      <c r="B1305" s="32" t="s">
        <v>1844</v>
      </c>
      <c r="C1305" s="32" t="s">
        <v>184</v>
      </c>
      <c r="D1305" s="35" t="s">
        <v>1845</v>
      </c>
      <c r="E1305" s="32" t="s">
        <v>255</v>
      </c>
      <c r="F1305" s="32" t="s">
        <v>1846</v>
      </c>
      <c r="G1305" s="32" t="s">
        <v>1847</v>
      </c>
    </row>
    <row r="1306" ht="16.5" customHeight="1">
      <c r="A1306" s="32">
        <v>1305.0</v>
      </c>
      <c r="B1306" s="32" t="s">
        <v>1848</v>
      </c>
      <c r="C1306" s="32" t="s">
        <v>184</v>
      </c>
      <c r="D1306" s="32" t="s">
        <v>254</v>
      </c>
      <c r="E1306" s="32" t="s">
        <v>255</v>
      </c>
      <c r="F1306" s="32" t="s">
        <v>256</v>
      </c>
      <c r="G1306" s="32" t="s">
        <v>257</v>
      </c>
    </row>
    <row r="1307" ht="16.5" customHeight="1">
      <c r="A1307" s="32">
        <v>1306.0</v>
      </c>
      <c r="B1307" s="32" t="s">
        <v>1849</v>
      </c>
      <c r="C1307" s="32" t="s">
        <v>184</v>
      </c>
      <c r="D1307" s="32" t="s">
        <v>254</v>
      </c>
      <c r="E1307" s="32" t="s">
        <v>255</v>
      </c>
      <c r="F1307" s="32" t="s">
        <v>256</v>
      </c>
      <c r="G1307" s="32" t="s">
        <v>257</v>
      </c>
    </row>
    <row r="1308" ht="16.5" customHeight="1">
      <c r="A1308" s="32">
        <v>1307.0</v>
      </c>
      <c r="B1308" s="32" t="s">
        <v>1850</v>
      </c>
      <c r="C1308" s="32" t="s">
        <v>184</v>
      </c>
      <c r="D1308" s="35" t="s">
        <v>294</v>
      </c>
      <c r="E1308" s="32" t="s">
        <v>255</v>
      </c>
      <c r="F1308" s="32" t="s">
        <v>1851</v>
      </c>
      <c r="G1308" s="32" t="s">
        <v>1852</v>
      </c>
    </row>
    <row r="1309" ht="16.5" customHeight="1">
      <c r="A1309" s="32">
        <v>1308.0</v>
      </c>
      <c r="B1309" s="32" t="s">
        <v>1853</v>
      </c>
      <c r="C1309" s="32" t="s">
        <v>184</v>
      </c>
      <c r="D1309" s="32" t="s">
        <v>254</v>
      </c>
      <c r="E1309" s="32" t="s">
        <v>255</v>
      </c>
      <c r="F1309" s="32" t="s">
        <v>256</v>
      </c>
      <c r="G1309" s="32" t="s">
        <v>189</v>
      </c>
    </row>
    <row r="1310" ht="16.5" customHeight="1">
      <c r="A1310" s="32">
        <v>1309.0</v>
      </c>
      <c r="B1310" s="32" t="s">
        <v>1854</v>
      </c>
      <c r="C1310" s="32" t="s">
        <v>184</v>
      </c>
      <c r="D1310" s="35" t="s">
        <v>522</v>
      </c>
      <c r="E1310" s="32" t="s">
        <v>255</v>
      </c>
      <c r="F1310" s="32" t="s">
        <v>256</v>
      </c>
      <c r="G1310" s="32" t="s">
        <v>189</v>
      </c>
    </row>
    <row r="1311" ht="16.5" customHeight="1">
      <c r="A1311" s="32">
        <v>1310.0</v>
      </c>
      <c r="B1311" s="32" t="s">
        <v>1855</v>
      </c>
      <c r="C1311" s="32" t="s">
        <v>184</v>
      </c>
      <c r="D1311" s="32" t="s">
        <v>254</v>
      </c>
      <c r="E1311" s="32" t="s">
        <v>255</v>
      </c>
      <c r="F1311" s="32" t="s">
        <v>305</v>
      </c>
      <c r="G1311" s="32" t="s">
        <v>189</v>
      </c>
    </row>
    <row r="1312" ht="16.5" customHeight="1">
      <c r="A1312" s="32">
        <v>1311.0</v>
      </c>
      <c r="B1312" s="32" t="s">
        <v>1856</v>
      </c>
      <c r="C1312" s="32" t="s">
        <v>184</v>
      </c>
      <c r="D1312" s="32" t="s">
        <v>254</v>
      </c>
      <c r="E1312" s="32" t="s">
        <v>255</v>
      </c>
      <c r="F1312" s="32" t="s">
        <v>256</v>
      </c>
      <c r="G1312" s="32" t="s">
        <v>189</v>
      </c>
    </row>
    <row r="1313" ht="16.5" customHeight="1">
      <c r="A1313" s="32">
        <v>1312.0</v>
      </c>
      <c r="B1313" s="32" t="s">
        <v>1857</v>
      </c>
      <c r="C1313" s="32" t="s">
        <v>184</v>
      </c>
      <c r="D1313" s="32" t="s">
        <v>254</v>
      </c>
      <c r="E1313" s="32" t="s">
        <v>373</v>
      </c>
    </row>
    <row r="1314" ht="16.5" customHeight="1">
      <c r="A1314" s="32">
        <v>1313.0</v>
      </c>
      <c r="B1314" s="32" t="s">
        <v>1858</v>
      </c>
      <c r="C1314" s="32" t="s">
        <v>184</v>
      </c>
      <c r="D1314" s="32" t="s">
        <v>254</v>
      </c>
      <c r="E1314" s="32" t="s">
        <v>399</v>
      </c>
    </row>
    <row r="1315" ht="16.5" customHeight="1">
      <c r="A1315" s="32">
        <v>1314.0</v>
      </c>
      <c r="B1315" s="32" t="s">
        <v>1859</v>
      </c>
      <c r="C1315" s="32" t="s">
        <v>184</v>
      </c>
      <c r="D1315" s="32" t="s">
        <v>285</v>
      </c>
      <c r="E1315" s="32" t="s">
        <v>186</v>
      </c>
    </row>
    <row r="1316" ht="16.5" customHeight="1">
      <c r="A1316" s="32">
        <v>1315.0</v>
      </c>
      <c r="B1316" s="32" t="s">
        <v>1860</v>
      </c>
      <c r="C1316" s="32" t="s">
        <v>184</v>
      </c>
      <c r="D1316" s="35" t="s">
        <v>294</v>
      </c>
      <c r="E1316" s="32" t="s">
        <v>186</v>
      </c>
    </row>
    <row r="1317" ht="16.5" customHeight="1">
      <c r="A1317" s="32">
        <v>1316.0</v>
      </c>
      <c r="B1317" s="32" t="s">
        <v>1861</v>
      </c>
      <c r="C1317" s="32" t="s">
        <v>184</v>
      </c>
      <c r="D1317" s="32" t="s">
        <v>254</v>
      </c>
      <c r="E1317" s="32" t="s">
        <v>255</v>
      </c>
    </row>
    <row r="1318" ht="16.5" customHeight="1">
      <c r="A1318" s="32">
        <v>1317.0</v>
      </c>
      <c r="B1318" s="32" t="s">
        <v>1862</v>
      </c>
      <c r="C1318" s="32" t="s">
        <v>184</v>
      </c>
      <c r="D1318" s="32" t="s">
        <v>254</v>
      </c>
      <c r="E1318" s="32" t="s">
        <v>255</v>
      </c>
      <c r="F1318" s="32" t="s">
        <v>256</v>
      </c>
      <c r="G1318" s="32" t="s">
        <v>257</v>
      </c>
    </row>
    <row r="1319" ht="16.5" customHeight="1">
      <c r="A1319" s="32">
        <v>1318.0</v>
      </c>
      <c r="B1319" s="32" t="s">
        <v>1863</v>
      </c>
      <c r="C1319" s="32" t="s">
        <v>184</v>
      </c>
      <c r="D1319" s="32" t="s">
        <v>254</v>
      </c>
      <c r="E1319" s="32" t="s">
        <v>255</v>
      </c>
      <c r="F1319" s="32" t="s">
        <v>256</v>
      </c>
      <c r="G1319" s="32" t="s">
        <v>257</v>
      </c>
    </row>
    <row r="1320" ht="16.5" customHeight="1">
      <c r="A1320" s="32">
        <v>1319.0</v>
      </c>
      <c r="B1320" s="32" t="s">
        <v>1864</v>
      </c>
      <c r="C1320" s="32" t="s">
        <v>184</v>
      </c>
      <c r="D1320" s="32" t="s">
        <v>254</v>
      </c>
      <c r="E1320" s="32" t="s">
        <v>255</v>
      </c>
    </row>
    <row r="1321" ht="16.5" customHeight="1">
      <c r="A1321" s="32">
        <v>1320.0</v>
      </c>
      <c r="B1321" s="32" t="s">
        <v>1865</v>
      </c>
      <c r="C1321" s="32" t="s">
        <v>184</v>
      </c>
      <c r="D1321" s="32" t="s">
        <v>234</v>
      </c>
      <c r="E1321" s="32" t="s">
        <v>255</v>
      </c>
    </row>
    <row r="1322" ht="16.5" customHeight="1">
      <c r="A1322" s="32">
        <v>1321.0</v>
      </c>
      <c r="B1322" s="32" t="s">
        <v>1866</v>
      </c>
      <c r="C1322" s="32" t="s">
        <v>184</v>
      </c>
      <c r="D1322" s="32" t="s">
        <v>234</v>
      </c>
      <c r="E1322" s="32" t="s">
        <v>255</v>
      </c>
      <c r="F1322" s="32" t="s">
        <v>235</v>
      </c>
      <c r="G1322" s="32" t="s">
        <v>243</v>
      </c>
    </row>
    <row r="1323" ht="16.5" customHeight="1">
      <c r="A1323" s="32">
        <v>1322.0</v>
      </c>
      <c r="B1323" s="32" t="s">
        <v>1867</v>
      </c>
      <c r="C1323" s="32" t="s">
        <v>184</v>
      </c>
      <c r="D1323" s="35" t="s">
        <v>310</v>
      </c>
      <c r="E1323" s="32" t="s">
        <v>255</v>
      </c>
      <c r="F1323" s="32" t="s">
        <v>305</v>
      </c>
      <c r="G1323" s="32" t="s">
        <v>600</v>
      </c>
    </row>
    <row r="1324" ht="16.5" customHeight="1">
      <c r="A1324" s="32">
        <v>1323.0</v>
      </c>
      <c r="B1324" s="32" t="s">
        <v>1868</v>
      </c>
      <c r="C1324" s="32" t="s">
        <v>184</v>
      </c>
      <c r="D1324" s="32" t="s">
        <v>228</v>
      </c>
      <c r="E1324" s="32" t="s">
        <v>255</v>
      </c>
    </row>
    <row r="1325" ht="16.5" customHeight="1">
      <c r="A1325" s="32">
        <v>1324.0</v>
      </c>
      <c r="B1325" s="32" t="s">
        <v>1869</v>
      </c>
      <c r="C1325" s="32" t="s">
        <v>184</v>
      </c>
      <c r="D1325" s="32" t="s">
        <v>234</v>
      </c>
      <c r="E1325" s="32" t="s">
        <v>255</v>
      </c>
      <c r="F1325" s="32" t="s">
        <v>235</v>
      </c>
      <c r="G1325" s="32" t="s">
        <v>243</v>
      </c>
    </row>
    <row r="1326" ht="16.5" customHeight="1">
      <c r="A1326" s="32">
        <v>1325.0</v>
      </c>
      <c r="B1326" s="32" t="s">
        <v>1869</v>
      </c>
      <c r="C1326" s="32" t="s">
        <v>184</v>
      </c>
      <c r="D1326" s="32" t="s">
        <v>234</v>
      </c>
      <c r="E1326" s="32" t="s">
        <v>255</v>
      </c>
      <c r="F1326" s="32" t="s">
        <v>235</v>
      </c>
      <c r="G1326" s="32" t="s">
        <v>243</v>
      </c>
    </row>
    <row r="1327" ht="16.5" customHeight="1">
      <c r="A1327" s="32">
        <v>1326.0</v>
      </c>
      <c r="B1327" s="32" t="s">
        <v>1870</v>
      </c>
      <c r="C1327" s="32" t="s">
        <v>184</v>
      </c>
      <c r="D1327" s="32" t="s">
        <v>234</v>
      </c>
      <c r="E1327" s="32" t="s">
        <v>255</v>
      </c>
      <c r="F1327" s="32" t="s">
        <v>235</v>
      </c>
      <c r="G1327" s="32" t="s">
        <v>243</v>
      </c>
    </row>
    <row r="1328" ht="16.5" customHeight="1">
      <c r="A1328" s="32">
        <v>1327.0</v>
      </c>
      <c r="B1328" s="32" t="s">
        <v>1871</v>
      </c>
      <c r="C1328" s="32" t="s">
        <v>184</v>
      </c>
      <c r="D1328" s="32" t="s">
        <v>234</v>
      </c>
      <c r="E1328" s="32" t="s">
        <v>399</v>
      </c>
      <c r="F1328" s="32" t="s">
        <v>235</v>
      </c>
      <c r="G1328" s="32" t="s">
        <v>243</v>
      </c>
    </row>
    <row r="1329" ht="16.5" customHeight="1">
      <c r="A1329" s="32">
        <v>1328.0</v>
      </c>
      <c r="B1329" s="32" t="s">
        <v>1872</v>
      </c>
      <c r="C1329" s="32" t="s">
        <v>184</v>
      </c>
      <c r="D1329" s="32" t="s">
        <v>234</v>
      </c>
      <c r="E1329" s="32" t="s">
        <v>255</v>
      </c>
      <c r="F1329" s="32" t="s">
        <v>235</v>
      </c>
      <c r="G1329" s="32" t="s">
        <v>243</v>
      </c>
    </row>
    <row r="1330" ht="16.5" customHeight="1">
      <c r="A1330" s="32">
        <v>1329.0</v>
      </c>
      <c r="B1330" s="32" t="s">
        <v>1873</v>
      </c>
      <c r="C1330" s="32" t="s">
        <v>184</v>
      </c>
      <c r="D1330" s="32" t="s">
        <v>234</v>
      </c>
      <c r="E1330" s="32" t="s">
        <v>255</v>
      </c>
      <c r="F1330" s="32" t="s">
        <v>1874</v>
      </c>
      <c r="G1330" s="32" t="s">
        <v>1875</v>
      </c>
    </row>
    <row r="1331" ht="16.5" customHeight="1">
      <c r="A1331" s="32">
        <v>1330.0</v>
      </c>
      <c r="B1331" s="32" t="s">
        <v>1876</v>
      </c>
      <c r="C1331" s="32" t="s">
        <v>184</v>
      </c>
      <c r="D1331" s="32" t="s">
        <v>254</v>
      </c>
      <c r="E1331" s="32" t="s">
        <v>255</v>
      </c>
    </row>
    <row r="1332" ht="16.5" customHeight="1">
      <c r="A1332" s="32">
        <v>1331.0</v>
      </c>
      <c r="B1332" s="32" t="s">
        <v>1877</v>
      </c>
      <c r="C1332" s="32" t="s">
        <v>184</v>
      </c>
      <c r="D1332" s="32" t="s">
        <v>185</v>
      </c>
      <c r="E1332" s="32" t="s">
        <v>255</v>
      </c>
      <c r="F1332" s="32" t="s">
        <v>271</v>
      </c>
      <c r="G1332" s="32" t="s">
        <v>1878</v>
      </c>
    </row>
    <row r="1333" ht="16.5" customHeight="1">
      <c r="A1333" s="32">
        <v>1332.0</v>
      </c>
      <c r="B1333" s="32" t="s">
        <v>1879</v>
      </c>
      <c r="C1333" s="32" t="s">
        <v>184</v>
      </c>
      <c r="D1333" s="32" t="s">
        <v>254</v>
      </c>
      <c r="E1333" s="32" t="s">
        <v>255</v>
      </c>
      <c r="F1333" s="32" t="s">
        <v>256</v>
      </c>
      <c r="G1333" s="32" t="s">
        <v>600</v>
      </c>
    </row>
    <row r="1334" ht="16.5" customHeight="1">
      <c r="A1334" s="32">
        <v>1333.0</v>
      </c>
      <c r="B1334" s="32" t="s">
        <v>1880</v>
      </c>
      <c r="C1334" s="32" t="s">
        <v>184</v>
      </c>
      <c r="D1334" s="32" t="s">
        <v>254</v>
      </c>
      <c r="E1334" s="32" t="s">
        <v>255</v>
      </c>
    </row>
    <row r="1335" ht="16.5" customHeight="1">
      <c r="A1335" s="32">
        <v>1334.0</v>
      </c>
      <c r="B1335" s="32" t="s">
        <v>1881</v>
      </c>
      <c r="C1335" s="32" t="s">
        <v>184</v>
      </c>
      <c r="D1335" s="32" t="s">
        <v>254</v>
      </c>
      <c r="E1335" s="32" t="s">
        <v>255</v>
      </c>
    </row>
    <row r="1336" ht="16.5" customHeight="1">
      <c r="A1336" s="32">
        <v>1335.0</v>
      </c>
      <c r="B1336" s="32" t="s">
        <v>1882</v>
      </c>
      <c r="C1336" s="32" t="s">
        <v>184</v>
      </c>
      <c r="D1336" s="32" t="s">
        <v>254</v>
      </c>
      <c r="E1336" s="32" t="s">
        <v>255</v>
      </c>
    </row>
    <row r="1337" ht="16.5" customHeight="1">
      <c r="A1337" s="32">
        <v>1336.0</v>
      </c>
      <c r="B1337" s="32" t="s">
        <v>1883</v>
      </c>
      <c r="C1337" s="32" t="s">
        <v>184</v>
      </c>
      <c r="D1337" s="32" t="s">
        <v>234</v>
      </c>
      <c r="E1337" s="32" t="s">
        <v>222</v>
      </c>
      <c r="F1337" s="32" t="s">
        <v>347</v>
      </c>
      <c r="G1337" s="32" t="s">
        <v>1884</v>
      </c>
    </row>
    <row r="1338" ht="16.5" customHeight="1">
      <c r="A1338" s="32">
        <v>1337.0</v>
      </c>
      <c r="B1338" s="32" t="s">
        <v>1885</v>
      </c>
      <c r="C1338" s="32" t="s">
        <v>184</v>
      </c>
      <c r="D1338" s="32" t="s">
        <v>234</v>
      </c>
      <c r="E1338" s="32" t="s">
        <v>222</v>
      </c>
      <c r="F1338" s="32" t="s">
        <v>235</v>
      </c>
      <c r="G1338" s="32" t="s">
        <v>243</v>
      </c>
    </row>
    <row r="1339" ht="16.5" customHeight="1">
      <c r="A1339" s="32">
        <v>1338.0</v>
      </c>
      <c r="B1339" s="32" t="s">
        <v>1886</v>
      </c>
      <c r="C1339" s="32" t="s">
        <v>184</v>
      </c>
      <c r="D1339" s="32" t="s">
        <v>321</v>
      </c>
      <c r="E1339" s="32" t="s">
        <v>255</v>
      </c>
    </row>
    <row r="1340" ht="16.5" customHeight="1">
      <c r="A1340" s="32">
        <v>1339.0</v>
      </c>
      <c r="B1340" s="32" t="s">
        <v>1887</v>
      </c>
      <c r="C1340" s="32" t="s">
        <v>184</v>
      </c>
      <c r="D1340" s="35" t="s">
        <v>1888</v>
      </c>
      <c r="E1340" s="32" t="s">
        <v>255</v>
      </c>
      <c r="F1340" s="32" t="s">
        <v>1889</v>
      </c>
      <c r="G1340" s="32" t="s">
        <v>229</v>
      </c>
    </row>
    <row r="1341" ht="16.5" customHeight="1">
      <c r="A1341" s="32">
        <v>1340.0</v>
      </c>
      <c r="B1341" s="32" t="s">
        <v>1890</v>
      </c>
      <c r="C1341" s="32" t="s">
        <v>184</v>
      </c>
      <c r="D1341" s="32" t="s">
        <v>219</v>
      </c>
      <c r="E1341" s="32" t="s">
        <v>255</v>
      </c>
      <c r="F1341" s="32" t="s">
        <v>223</v>
      </c>
      <c r="G1341" s="32" t="s">
        <v>472</v>
      </c>
    </row>
    <row r="1342" ht="16.5" customHeight="1">
      <c r="A1342" s="32">
        <v>1341.0</v>
      </c>
      <c r="B1342" s="32" t="s">
        <v>1891</v>
      </c>
      <c r="C1342" s="32" t="s">
        <v>184</v>
      </c>
      <c r="D1342" s="32" t="s">
        <v>219</v>
      </c>
      <c r="E1342" s="32" t="s">
        <v>255</v>
      </c>
      <c r="F1342" s="32" t="s">
        <v>223</v>
      </c>
      <c r="G1342" s="32" t="s">
        <v>472</v>
      </c>
    </row>
    <row r="1343" ht="16.5" customHeight="1">
      <c r="A1343" s="32">
        <v>1342.0</v>
      </c>
      <c r="B1343" s="32" t="s">
        <v>1892</v>
      </c>
      <c r="C1343" s="32" t="s">
        <v>184</v>
      </c>
      <c r="D1343" s="32" t="s">
        <v>219</v>
      </c>
      <c r="E1343" s="32" t="s">
        <v>255</v>
      </c>
      <c r="F1343" s="32" t="s">
        <v>223</v>
      </c>
      <c r="G1343" s="32" t="s">
        <v>420</v>
      </c>
    </row>
    <row r="1344" ht="16.5" customHeight="1">
      <c r="A1344" s="32">
        <v>1343.0</v>
      </c>
      <c r="B1344" s="32" t="s">
        <v>1893</v>
      </c>
      <c r="C1344" s="32" t="s">
        <v>184</v>
      </c>
      <c r="D1344" s="35" t="s">
        <v>1894</v>
      </c>
      <c r="E1344" s="32" t="s">
        <v>255</v>
      </c>
      <c r="F1344" s="32" t="s">
        <v>1895</v>
      </c>
      <c r="G1344" s="32" t="s">
        <v>1896</v>
      </c>
    </row>
    <row r="1345" ht="16.5" customHeight="1">
      <c r="A1345" s="32">
        <v>1344.0</v>
      </c>
      <c r="B1345" s="32" t="s">
        <v>1897</v>
      </c>
      <c r="C1345" s="32" t="s">
        <v>184</v>
      </c>
      <c r="D1345" s="32" t="s">
        <v>234</v>
      </c>
      <c r="E1345" s="32" t="s">
        <v>255</v>
      </c>
      <c r="F1345" s="32" t="s">
        <v>347</v>
      </c>
      <c r="G1345" s="32" t="s">
        <v>1764</v>
      </c>
    </row>
    <row r="1346" ht="16.5" customHeight="1">
      <c r="A1346" s="32">
        <v>1345.0</v>
      </c>
      <c r="B1346" s="32" t="s">
        <v>1898</v>
      </c>
      <c r="C1346" s="32" t="s">
        <v>184</v>
      </c>
      <c r="D1346" s="35" t="s">
        <v>1894</v>
      </c>
      <c r="E1346" s="32" t="s">
        <v>255</v>
      </c>
      <c r="F1346" s="32" t="s">
        <v>1895</v>
      </c>
      <c r="G1346" s="32" t="s">
        <v>505</v>
      </c>
    </row>
    <row r="1347" ht="16.5" customHeight="1">
      <c r="A1347" s="32">
        <v>1346.0</v>
      </c>
      <c r="B1347" s="32" t="s">
        <v>1899</v>
      </c>
      <c r="C1347" s="32" t="s">
        <v>184</v>
      </c>
      <c r="D1347" s="32" t="s">
        <v>325</v>
      </c>
      <c r="E1347" s="32" t="s">
        <v>255</v>
      </c>
      <c r="F1347" s="32" t="s">
        <v>368</v>
      </c>
      <c r="G1347" s="32" t="s">
        <v>463</v>
      </c>
    </row>
    <row r="1348" ht="16.5" customHeight="1">
      <c r="A1348" s="32">
        <v>1347.0</v>
      </c>
      <c r="B1348" s="32" t="s">
        <v>1900</v>
      </c>
      <c r="C1348" s="32" t="s">
        <v>184</v>
      </c>
      <c r="D1348" s="32" t="s">
        <v>325</v>
      </c>
      <c r="E1348" s="32" t="s">
        <v>255</v>
      </c>
      <c r="F1348" s="32" t="s">
        <v>368</v>
      </c>
      <c r="G1348" s="32" t="s">
        <v>463</v>
      </c>
    </row>
    <row r="1349" ht="16.5" customHeight="1">
      <c r="A1349" s="32">
        <v>1348.0</v>
      </c>
      <c r="B1349" s="32" t="s">
        <v>1901</v>
      </c>
      <c r="C1349" s="32" t="s">
        <v>184</v>
      </c>
      <c r="D1349" s="32" t="s">
        <v>234</v>
      </c>
      <c r="E1349" s="32" t="s">
        <v>255</v>
      </c>
      <c r="F1349" s="32" t="s">
        <v>347</v>
      </c>
      <c r="G1349" s="32" t="s">
        <v>1902</v>
      </c>
    </row>
    <row r="1350" ht="16.5" customHeight="1">
      <c r="A1350" s="32">
        <v>1349.0</v>
      </c>
      <c r="B1350" s="32" t="s">
        <v>1903</v>
      </c>
      <c r="C1350" s="32" t="s">
        <v>184</v>
      </c>
      <c r="D1350" s="32" t="s">
        <v>228</v>
      </c>
      <c r="E1350" s="32" t="s">
        <v>222</v>
      </c>
    </row>
    <row r="1351" ht="16.5" customHeight="1">
      <c r="A1351" s="32">
        <v>1350.0</v>
      </c>
      <c r="B1351" s="32" t="s">
        <v>1904</v>
      </c>
      <c r="C1351" s="32" t="s">
        <v>184</v>
      </c>
      <c r="D1351" s="32" t="s">
        <v>228</v>
      </c>
      <c r="E1351" s="32" t="s">
        <v>222</v>
      </c>
    </row>
    <row r="1352" ht="16.5" customHeight="1">
      <c r="A1352" s="32">
        <v>1351.0</v>
      </c>
      <c r="B1352" s="32" t="s">
        <v>1905</v>
      </c>
      <c r="C1352" s="32" t="s">
        <v>184</v>
      </c>
      <c r="D1352" s="32" t="s">
        <v>228</v>
      </c>
      <c r="E1352" s="32" t="s">
        <v>222</v>
      </c>
    </row>
    <row r="1353" ht="16.5" customHeight="1">
      <c r="A1353" s="32">
        <v>1352.0</v>
      </c>
      <c r="B1353" s="32" t="s">
        <v>1906</v>
      </c>
      <c r="C1353" s="32" t="s">
        <v>184</v>
      </c>
      <c r="D1353" s="32" t="s">
        <v>234</v>
      </c>
      <c r="E1353" s="32" t="s">
        <v>222</v>
      </c>
      <c r="F1353" s="32" t="s">
        <v>235</v>
      </c>
      <c r="G1353" s="32" t="s">
        <v>1907</v>
      </c>
    </row>
    <row r="1354" ht="16.5" customHeight="1">
      <c r="A1354" s="32">
        <v>1353.0</v>
      </c>
      <c r="B1354" s="32" t="s">
        <v>1908</v>
      </c>
      <c r="C1354" s="32" t="s">
        <v>184</v>
      </c>
      <c r="D1354" s="32" t="s">
        <v>219</v>
      </c>
      <c r="E1354" s="32" t="s">
        <v>222</v>
      </c>
      <c r="F1354" s="32" t="s">
        <v>241</v>
      </c>
      <c r="G1354" s="32" t="s">
        <v>292</v>
      </c>
    </row>
    <row r="1355" ht="16.5" customHeight="1">
      <c r="A1355" s="32">
        <v>1354.0</v>
      </c>
      <c r="B1355" s="32" t="s">
        <v>1908</v>
      </c>
      <c r="C1355" s="32" t="s">
        <v>184</v>
      </c>
      <c r="D1355" s="32" t="s">
        <v>219</v>
      </c>
      <c r="E1355" s="32" t="s">
        <v>222</v>
      </c>
      <c r="F1355" s="32" t="s">
        <v>241</v>
      </c>
      <c r="G1355" s="32" t="s">
        <v>292</v>
      </c>
    </row>
    <row r="1356" ht="16.5" customHeight="1">
      <c r="A1356" s="32">
        <v>1355.0</v>
      </c>
      <c r="B1356" s="32" t="s">
        <v>1909</v>
      </c>
      <c r="C1356" s="32" t="s">
        <v>184</v>
      </c>
      <c r="D1356" s="32" t="s">
        <v>219</v>
      </c>
      <c r="E1356" s="32" t="s">
        <v>222</v>
      </c>
      <c r="F1356" s="32" t="s">
        <v>241</v>
      </c>
      <c r="G1356" s="32" t="s">
        <v>292</v>
      </c>
    </row>
    <row r="1357" ht="16.5" customHeight="1">
      <c r="A1357" s="32">
        <v>1356.0</v>
      </c>
      <c r="B1357" s="32" t="s">
        <v>1910</v>
      </c>
      <c r="C1357" s="32" t="s">
        <v>184</v>
      </c>
      <c r="D1357" s="32" t="s">
        <v>219</v>
      </c>
      <c r="E1357" s="32" t="s">
        <v>222</v>
      </c>
      <c r="F1357" s="32" t="s">
        <v>241</v>
      </c>
      <c r="G1357" s="32" t="s">
        <v>292</v>
      </c>
    </row>
    <row r="1358" ht="16.5" customHeight="1">
      <c r="A1358" s="32">
        <v>1357.0</v>
      </c>
      <c r="B1358" s="32" t="s">
        <v>1911</v>
      </c>
      <c r="C1358" s="32" t="s">
        <v>184</v>
      </c>
      <c r="D1358" s="32" t="s">
        <v>234</v>
      </c>
      <c r="E1358" s="32" t="s">
        <v>222</v>
      </c>
    </row>
    <row r="1359" ht="16.5" customHeight="1">
      <c r="A1359" s="32">
        <v>1358.0</v>
      </c>
      <c r="B1359" s="32" t="s">
        <v>1912</v>
      </c>
      <c r="C1359" s="32" t="s">
        <v>184</v>
      </c>
      <c r="D1359" s="32" t="s">
        <v>228</v>
      </c>
      <c r="E1359" s="32" t="s">
        <v>222</v>
      </c>
    </row>
    <row r="1360" ht="16.5" customHeight="1">
      <c r="A1360" s="32">
        <v>1359.0</v>
      </c>
      <c r="B1360" s="32" t="s">
        <v>1913</v>
      </c>
      <c r="C1360" s="32" t="s">
        <v>184</v>
      </c>
      <c r="D1360" s="32" t="s">
        <v>219</v>
      </c>
      <c r="E1360" s="32" t="s">
        <v>222</v>
      </c>
    </row>
    <row r="1361" ht="16.5" customHeight="1">
      <c r="A1361" s="32">
        <v>1360.0</v>
      </c>
      <c r="B1361" s="32" t="s">
        <v>1914</v>
      </c>
      <c r="C1361" s="32" t="s">
        <v>184</v>
      </c>
      <c r="D1361" s="32" t="s">
        <v>219</v>
      </c>
      <c r="E1361" s="32" t="s">
        <v>222</v>
      </c>
    </row>
    <row r="1362" ht="16.5" customHeight="1">
      <c r="A1362" s="32">
        <v>1361.0</v>
      </c>
      <c r="B1362" s="32" t="s">
        <v>1915</v>
      </c>
      <c r="C1362" s="32" t="s">
        <v>184</v>
      </c>
      <c r="D1362" s="32" t="s">
        <v>228</v>
      </c>
      <c r="E1362" s="32" t="s">
        <v>222</v>
      </c>
    </row>
    <row r="1363" ht="16.5" customHeight="1">
      <c r="A1363" s="32">
        <v>1362.0</v>
      </c>
      <c r="B1363" s="32" t="s">
        <v>1916</v>
      </c>
      <c r="C1363" s="32" t="s">
        <v>184</v>
      </c>
      <c r="D1363" s="32" t="s">
        <v>219</v>
      </c>
      <c r="E1363" s="32" t="s">
        <v>222</v>
      </c>
    </row>
    <row r="1364" ht="16.5" customHeight="1">
      <c r="A1364" s="32">
        <v>1363.0</v>
      </c>
      <c r="B1364" s="32" t="s">
        <v>1917</v>
      </c>
      <c r="C1364" s="32" t="s">
        <v>184</v>
      </c>
      <c r="D1364" s="32" t="s">
        <v>219</v>
      </c>
      <c r="E1364" s="32" t="s">
        <v>222</v>
      </c>
    </row>
    <row r="1365" ht="16.5" customHeight="1">
      <c r="A1365" s="32">
        <v>1364.0</v>
      </c>
      <c r="B1365" s="32" t="s">
        <v>1918</v>
      </c>
      <c r="C1365" s="32" t="s">
        <v>184</v>
      </c>
      <c r="D1365" s="32" t="s">
        <v>219</v>
      </c>
      <c r="E1365" s="32" t="s">
        <v>222</v>
      </c>
    </row>
    <row r="1366" ht="16.5" customHeight="1">
      <c r="A1366" s="32">
        <v>1365.0</v>
      </c>
      <c r="B1366" s="32" t="s">
        <v>1919</v>
      </c>
      <c r="C1366" s="32" t="s">
        <v>184</v>
      </c>
      <c r="D1366" s="32" t="s">
        <v>214</v>
      </c>
      <c r="E1366" s="32" t="s">
        <v>222</v>
      </c>
    </row>
    <row r="1367" ht="16.5" customHeight="1">
      <c r="A1367" s="32">
        <v>1366.0</v>
      </c>
      <c r="B1367" s="32" t="s">
        <v>1920</v>
      </c>
      <c r="C1367" s="32" t="s">
        <v>184</v>
      </c>
      <c r="D1367" s="32" t="s">
        <v>228</v>
      </c>
      <c r="E1367" s="32" t="s">
        <v>222</v>
      </c>
      <c r="F1367" s="32" t="s">
        <v>229</v>
      </c>
      <c r="G1367" s="32" t="s">
        <v>230</v>
      </c>
    </row>
    <row r="1368" ht="16.5" customHeight="1">
      <c r="A1368" s="32">
        <v>1367.0</v>
      </c>
      <c r="B1368" s="32" t="s">
        <v>1921</v>
      </c>
      <c r="C1368" s="32" t="s">
        <v>184</v>
      </c>
      <c r="D1368" s="32" t="s">
        <v>228</v>
      </c>
      <c r="E1368" s="32" t="s">
        <v>222</v>
      </c>
      <c r="F1368" s="32" t="s">
        <v>229</v>
      </c>
      <c r="G1368" s="32" t="s">
        <v>626</v>
      </c>
    </row>
    <row r="1369" ht="16.5" customHeight="1">
      <c r="A1369" s="32">
        <v>1368.0</v>
      </c>
      <c r="B1369" s="32" t="s">
        <v>1922</v>
      </c>
      <c r="C1369" s="32" t="s">
        <v>184</v>
      </c>
      <c r="D1369" s="32" t="s">
        <v>228</v>
      </c>
      <c r="E1369" s="32" t="s">
        <v>222</v>
      </c>
      <c r="F1369" s="32" t="s">
        <v>229</v>
      </c>
      <c r="G1369" s="32" t="s">
        <v>1334</v>
      </c>
    </row>
    <row r="1370" ht="16.5" customHeight="1">
      <c r="A1370" s="32">
        <v>1369.0</v>
      </c>
      <c r="B1370" s="32" t="s">
        <v>1923</v>
      </c>
      <c r="C1370" s="32" t="s">
        <v>184</v>
      </c>
      <c r="D1370" s="32" t="s">
        <v>228</v>
      </c>
      <c r="E1370" s="32" t="s">
        <v>222</v>
      </c>
    </row>
    <row r="1371" ht="16.5" customHeight="1">
      <c r="A1371" s="32">
        <v>1370.0</v>
      </c>
      <c r="B1371" s="32" t="s">
        <v>1924</v>
      </c>
      <c r="C1371" s="32" t="s">
        <v>184</v>
      </c>
      <c r="D1371" s="32" t="s">
        <v>219</v>
      </c>
      <c r="E1371" s="32" t="s">
        <v>222</v>
      </c>
    </row>
    <row r="1372" ht="16.5" customHeight="1">
      <c r="A1372" s="32">
        <v>1371.0</v>
      </c>
      <c r="B1372" s="32" t="s">
        <v>1925</v>
      </c>
      <c r="C1372" s="32" t="s">
        <v>184</v>
      </c>
      <c r="D1372" s="32" t="s">
        <v>234</v>
      </c>
      <c r="E1372" s="32" t="s">
        <v>222</v>
      </c>
    </row>
    <row r="1373" ht="16.5" customHeight="1">
      <c r="A1373" s="32">
        <v>1372.0</v>
      </c>
      <c r="B1373" s="32" t="s">
        <v>1926</v>
      </c>
      <c r="C1373" s="32" t="s">
        <v>184</v>
      </c>
      <c r="D1373" s="32" t="s">
        <v>234</v>
      </c>
      <c r="E1373" s="32" t="s">
        <v>222</v>
      </c>
    </row>
    <row r="1374" ht="16.5" customHeight="1">
      <c r="A1374" s="32">
        <v>1373.0</v>
      </c>
      <c r="B1374" s="32" t="s">
        <v>1927</v>
      </c>
      <c r="C1374" s="32" t="s">
        <v>184</v>
      </c>
      <c r="D1374" s="32" t="s">
        <v>219</v>
      </c>
      <c r="E1374" s="32" t="s">
        <v>222</v>
      </c>
    </row>
    <row r="1375" ht="16.5" customHeight="1">
      <c r="A1375" s="32">
        <v>1374.0</v>
      </c>
      <c r="B1375" s="32" t="s">
        <v>1928</v>
      </c>
      <c r="C1375" s="32" t="s">
        <v>184</v>
      </c>
      <c r="D1375" s="32" t="s">
        <v>219</v>
      </c>
      <c r="E1375" s="35" t="s">
        <v>1929</v>
      </c>
    </row>
    <row r="1376" ht="16.5" customHeight="1">
      <c r="A1376" s="32">
        <v>1375.0</v>
      </c>
      <c r="B1376" s="32" t="s">
        <v>156</v>
      </c>
      <c r="C1376" s="32" t="s">
        <v>184</v>
      </c>
      <c r="D1376" s="32" t="s">
        <v>228</v>
      </c>
      <c r="E1376" s="32" t="s">
        <v>222</v>
      </c>
    </row>
    <row r="1377" ht="16.5" customHeight="1">
      <c r="A1377" s="32">
        <v>1376.0</v>
      </c>
      <c r="B1377" s="32" t="s">
        <v>158</v>
      </c>
      <c r="C1377" s="32" t="s">
        <v>184</v>
      </c>
      <c r="D1377" s="32" t="s">
        <v>228</v>
      </c>
      <c r="E1377" s="32" t="s">
        <v>222</v>
      </c>
      <c r="F1377" s="32" t="s">
        <v>229</v>
      </c>
      <c r="G1377" s="32" t="s">
        <v>230</v>
      </c>
    </row>
    <row r="1378" ht="16.5" customHeight="1">
      <c r="A1378" s="32">
        <v>1377.0</v>
      </c>
      <c r="B1378" s="32" t="s">
        <v>1930</v>
      </c>
      <c r="C1378" s="32" t="s">
        <v>184</v>
      </c>
      <c r="D1378" s="32" t="s">
        <v>228</v>
      </c>
      <c r="E1378" s="32" t="s">
        <v>222</v>
      </c>
      <c r="F1378" s="32" t="s">
        <v>229</v>
      </c>
      <c r="G1378" s="32" t="s">
        <v>1931</v>
      </c>
    </row>
    <row r="1379" ht="16.5" customHeight="1">
      <c r="A1379" s="32">
        <v>1378.0</v>
      </c>
      <c r="B1379" s="32" t="s">
        <v>1932</v>
      </c>
      <c r="C1379" s="32" t="s">
        <v>184</v>
      </c>
      <c r="D1379" s="32" t="s">
        <v>228</v>
      </c>
      <c r="E1379" s="32" t="s">
        <v>222</v>
      </c>
      <c r="F1379" s="32" t="s">
        <v>229</v>
      </c>
      <c r="G1379" s="32" t="s">
        <v>230</v>
      </c>
    </row>
    <row r="1380" ht="16.5" customHeight="1">
      <c r="A1380" s="32">
        <v>1379.0</v>
      </c>
      <c r="B1380" s="32" t="s">
        <v>1933</v>
      </c>
      <c r="C1380" s="32" t="s">
        <v>184</v>
      </c>
      <c r="D1380" s="32" t="s">
        <v>234</v>
      </c>
      <c r="E1380" s="32" t="s">
        <v>222</v>
      </c>
      <c r="F1380" s="32" t="s">
        <v>347</v>
      </c>
      <c r="G1380" s="32" t="s">
        <v>1934</v>
      </c>
    </row>
    <row r="1381" ht="16.5" customHeight="1">
      <c r="A1381" s="32">
        <v>1380.0</v>
      </c>
      <c r="B1381" s="32" t="s">
        <v>1935</v>
      </c>
      <c r="C1381" s="32" t="s">
        <v>184</v>
      </c>
      <c r="D1381" s="32" t="s">
        <v>285</v>
      </c>
      <c r="E1381" s="32" t="s">
        <v>222</v>
      </c>
    </row>
    <row r="1382" ht="16.5" customHeight="1">
      <c r="A1382" s="32">
        <v>1381.0</v>
      </c>
      <c r="B1382" s="32" t="s">
        <v>1936</v>
      </c>
      <c r="C1382" s="32" t="s">
        <v>184</v>
      </c>
      <c r="D1382" s="32" t="s">
        <v>234</v>
      </c>
      <c r="E1382" s="32" t="s">
        <v>222</v>
      </c>
    </row>
    <row r="1383" ht="16.5" customHeight="1">
      <c r="A1383" s="32">
        <v>1382.0</v>
      </c>
      <c r="B1383" s="32" t="s">
        <v>1937</v>
      </c>
      <c r="C1383" s="32" t="s">
        <v>184</v>
      </c>
      <c r="D1383" s="32" t="s">
        <v>185</v>
      </c>
      <c r="E1383" s="32" t="s">
        <v>222</v>
      </c>
      <c r="F1383" s="32" t="s">
        <v>189</v>
      </c>
      <c r="G1383" s="32" t="s">
        <v>1121</v>
      </c>
    </row>
    <row r="1384" ht="16.5" customHeight="1">
      <c r="A1384" s="32">
        <v>1383.0</v>
      </c>
      <c r="B1384" s="32" t="s">
        <v>1938</v>
      </c>
      <c r="C1384" s="32" t="s">
        <v>184</v>
      </c>
      <c r="D1384" s="35" t="s">
        <v>294</v>
      </c>
      <c r="E1384" s="32" t="s">
        <v>222</v>
      </c>
      <c r="F1384" s="32" t="s">
        <v>1851</v>
      </c>
      <c r="G1384" s="32" t="s">
        <v>1939</v>
      </c>
    </row>
    <row r="1385" ht="16.5" customHeight="1">
      <c r="A1385" s="32">
        <v>1384.0</v>
      </c>
      <c r="B1385" s="32" t="s">
        <v>1940</v>
      </c>
      <c r="C1385" s="32" t="s">
        <v>184</v>
      </c>
      <c r="D1385" s="32" t="s">
        <v>214</v>
      </c>
      <c r="E1385" s="32" t="s">
        <v>222</v>
      </c>
      <c r="F1385" s="32" t="s">
        <v>720</v>
      </c>
    </row>
    <row r="1386" ht="16.5" customHeight="1">
      <c r="A1386" s="32">
        <v>1385.0</v>
      </c>
      <c r="B1386" s="32" t="s">
        <v>1941</v>
      </c>
      <c r="C1386" s="32" t="s">
        <v>184</v>
      </c>
      <c r="D1386" s="32" t="s">
        <v>214</v>
      </c>
      <c r="E1386" s="32" t="s">
        <v>222</v>
      </c>
      <c r="F1386" s="32" t="s">
        <v>720</v>
      </c>
    </row>
    <row r="1387" ht="16.5" customHeight="1">
      <c r="A1387" s="32">
        <v>1386.0</v>
      </c>
      <c r="B1387" s="32" t="s">
        <v>1942</v>
      </c>
      <c r="C1387" s="32" t="s">
        <v>184</v>
      </c>
      <c r="D1387" s="32" t="s">
        <v>219</v>
      </c>
      <c r="E1387" s="32" t="s">
        <v>222</v>
      </c>
    </row>
    <row r="1388" ht="16.5" customHeight="1">
      <c r="A1388" s="32">
        <v>1387.0</v>
      </c>
      <c r="B1388" s="32" t="s">
        <v>1943</v>
      </c>
      <c r="C1388" s="32" t="s">
        <v>184</v>
      </c>
      <c r="D1388" s="32" t="s">
        <v>219</v>
      </c>
      <c r="E1388" s="32" t="s">
        <v>222</v>
      </c>
    </row>
    <row r="1389" ht="16.5" customHeight="1">
      <c r="A1389" s="32">
        <v>1388.0</v>
      </c>
      <c r="B1389" s="32" t="s">
        <v>1944</v>
      </c>
      <c r="C1389" s="32" t="s">
        <v>184</v>
      </c>
      <c r="D1389" s="32" t="s">
        <v>285</v>
      </c>
      <c r="E1389" s="32" t="s">
        <v>222</v>
      </c>
    </row>
    <row r="1390" ht="16.5" customHeight="1">
      <c r="A1390" s="32">
        <v>1389.0</v>
      </c>
      <c r="B1390" s="32" t="s">
        <v>115</v>
      </c>
      <c r="C1390" s="32" t="s">
        <v>184</v>
      </c>
      <c r="D1390" s="32" t="s">
        <v>234</v>
      </c>
      <c r="E1390" s="32" t="s">
        <v>222</v>
      </c>
      <c r="F1390" s="32" t="s">
        <v>235</v>
      </c>
      <c r="G1390" s="32" t="s">
        <v>243</v>
      </c>
    </row>
    <row r="1391" ht="16.5" customHeight="1">
      <c r="A1391" s="32">
        <v>1390.0</v>
      </c>
      <c r="B1391" s="32" t="s">
        <v>1945</v>
      </c>
      <c r="C1391" s="32" t="s">
        <v>184</v>
      </c>
      <c r="D1391" s="32" t="s">
        <v>234</v>
      </c>
      <c r="E1391" s="32" t="s">
        <v>222</v>
      </c>
      <c r="F1391" s="32" t="s">
        <v>347</v>
      </c>
      <c r="G1391" s="32" t="s">
        <v>382</v>
      </c>
    </row>
    <row r="1392" ht="16.5" customHeight="1">
      <c r="A1392" s="32">
        <v>1391.0</v>
      </c>
      <c r="B1392" s="32" t="s">
        <v>1946</v>
      </c>
      <c r="C1392" s="32" t="s">
        <v>184</v>
      </c>
      <c r="D1392" s="32" t="s">
        <v>228</v>
      </c>
      <c r="E1392" s="32" t="s">
        <v>222</v>
      </c>
      <c r="F1392" s="32" t="s">
        <v>229</v>
      </c>
      <c r="G1392" s="32" t="s">
        <v>244</v>
      </c>
    </row>
    <row r="1393" ht="16.5" customHeight="1">
      <c r="A1393" s="32">
        <v>1392.0</v>
      </c>
      <c r="B1393" s="32" t="s">
        <v>1947</v>
      </c>
      <c r="C1393" s="32" t="s">
        <v>184</v>
      </c>
      <c r="D1393" s="32" t="s">
        <v>285</v>
      </c>
      <c r="E1393" s="32" t="s">
        <v>222</v>
      </c>
      <c r="F1393" s="32" t="s">
        <v>189</v>
      </c>
      <c r="G1393" s="32" t="s">
        <v>190</v>
      </c>
    </row>
    <row r="1394" ht="16.5" customHeight="1">
      <c r="A1394" s="32">
        <v>1393.0</v>
      </c>
      <c r="B1394" s="32" t="s">
        <v>1948</v>
      </c>
      <c r="C1394" s="32" t="s">
        <v>184</v>
      </c>
      <c r="D1394" s="35" t="s">
        <v>294</v>
      </c>
      <c r="E1394" s="32" t="s">
        <v>222</v>
      </c>
    </row>
    <row r="1395" ht="16.5" customHeight="1">
      <c r="A1395" s="32">
        <v>1394.0</v>
      </c>
      <c r="B1395" s="32" t="s">
        <v>1949</v>
      </c>
      <c r="C1395" s="32" t="s">
        <v>184</v>
      </c>
      <c r="D1395" s="32" t="s">
        <v>192</v>
      </c>
      <c r="E1395" s="32" t="s">
        <v>222</v>
      </c>
      <c r="F1395" s="32" t="s">
        <v>1607</v>
      </c>
      <c r="G1395" s="32" t="s">
        <v>408</v>
      </c>
    </row>
    <row r="1396" ht="16.5" customHeight="1">
      <c r="A1396" s="32">
        <v>1395.0</v>
      </c>
      <c r="B1396" s="32" t="s">
        <v>1950</v>
      </c>
      <c r="C1396" s="32" t="s">
        <v>184</v>
      </c>
      <c r="D1396" s="32" t="s">
        <v>219</v>
      </c>
      <c r="E1396" s="32" t="s">
        <v>222</v>
      </c>
    </row>
    <row r="1397" ht="16.5" customHeight="1">
      <c r="A1397" s="32">
        <v>1396.0</v>
      </c>
      <c r="B1397" s="32" t="s">
        <v>1951</v>
      </c>
      <c r="C1397" s="32" t="s">
        <v>184</v>
      </c>
      <c r="D1397" s="32" t="s">
        <v>228</v>
      </c>
      <c r="E1397" s="32" t="s">
        <v>222</v>
      </c>
      <c r="F1397" s="32" t="s">
        <v>544</v>
      </c>
      <c r="G1397" s="32" t="s">
        <v>545</v>
      </c>
    </row>
    <row r="1398" ht="16.5" customHeight="1">
      <c r="A1398" s="32">
        <v>1397.0</v>
      </c>
      <c r="B1398" s="32" t="s">
        <v>1952</v>
      </c>
      <c r="C1398" s="32" t="s">
        <v>184</v>
      </c>
      <c r="D1398" s="32" t="s">
        <v>228</v>
      </c>
      <c r="E1398" s="32" t="s">
        <v>222</v>
      </c>
      <c r="F1398" s="32" t="s">
        <v>544</v>
      </c>
      <c r="G1398" s="32" t="s">
        <v>545</v>
      </c>
    </row>
    <row r="1399" ht="16.5" customHeight="1">
      <c r="A1399" s="32">
        <v>1398.0</v>
      </c>
      <c r="B1399" s="32" t="s">
        <v>1953</v>
      </c>
      <c r="C1399" s="32" t="s">
        <v>184</v>
      </c>
      <c r="D1399" s="32" t="s">
        <v>234</v>
      </c>
      <c r="E1399" s="32" t="s">
        <v>222</v>
      </c>
    </row>
    <row r="1400" ht="16.5" customHeight="1">
      <c r="A1400" s="32">
        <v>1399.0</v>
      </c>
      <c r="B1400" s="32" t="s">
        <v>1954</v>
      </c>
      <c r="C1400" s="32" t="s">
        <v>184</v>
      </c>
      <c r="D1400" s="32" t="s">
        <v>234</v>
      </c>
      <c r="E1400" s="32" t="s">
        <v>222</v>
      </c>
      <c r="F1400" s="32" t="s">
        <v>347</v>
      </c>
      <c r="G1400" s="32" t="s">
        <v>824</v>
      </c>
    </row>
    <row r="1401" ht="16.5" customHeight="1">
      <c r="A1401" s="32">
        <v>1400.0</v>
      </c>
      <c r="B1401" s="32" t="s">
        <v>1955</v>
      </c>
      <c r="C1401" s="32" t="s">
        <v>184</v>
      </c>
      <c r="D1401" s="32" t="s">
        <v>228</v>
      </c>
      <c r="E1401" s="32" t="s">
        <v>222</v>
      </c>
      <c r="F1401" s="32" t="s">
        <v>408</v>
      </c>
      <c r="G1401" s="32" t="s">
        <v>452</v>
      </c>
    </row>
    <row r="1402" ht="16.5" customHeight="1">
      <c r="A1402" s="32">
        <v>1401.0</v>
      </c>
      <c r="B1402" s="32" t="s">
        <v>1956</v>
      </c>
      <c r="C1402" s="32" t="s">
        <v>184</v>
      </c>
      <c r="D1402" s="32" t="s">
        <v>228</v>
      </c>
      <c r="E1402" s="32" t="s">
        <v>222</v>
      </c>
    </row>
    <row r="1403" ht="16.5" customHeight="1">
      <c r="A1403" s="32">
        <v>1402.0</v>
      </c>
      <c r="B1403" s="32" t="s">
        <v>1957</v>
      </c>
      <c r="C1403" s="32" t="s">
        <v>184</v>
      </c>
      <c r="D1403" s="32" t="s">
        <v>192</v>
      </c>
      <c r="E1403" s="32" t="s">
        <v>222</v>
      </c>
      <c r="F1403" s="32" t="s">
        <v>329</v>
      </c>
      <c r="G1403" s="32" t="s">
        <v>447</v>
      </c>
    </row>
    <row r="1404" ht="16.5" customHeight="1">
      <c r="A1404" s="32">
        <v>1403.0</v>
      </c>
      <c r="B1404" s="32" t="s">
        <v>1958</v>
      </c>
      <c r="C1404" s="32" t="s">
        <v>184</v>
      </c>
      <c r="D1404" s="32" t="s">
        <v>192</v>
      </c>
      <c r="E1404" s="32" t="s">
        <v>222</v>
      </c>
      <c r="F1404" s="32" t="s">
        <v>329</v>
      </c>
      <c r="G1404" s="32" t="s">
        <v>457</v>
      </c>
    </row>
    <row r="1405" ht="16.5" customHeight="1">
      <c r="A1405" s="32">
        <v>1404.0</v>
      </c>
      <c r="B1405" s="32" t="s">
        <v>1959</v>
      </c>
      <c r="C1405" s="32" t="s">
        <v>184</v>
      </c>
      <c r="D1405" s="32" t="s">
        <v>192</v>
      </c>
      <c r="E1405" s="32" t="s">
        <v>222</v>
      </c>
      <c r="F1405" s="32" t="s">
        <v>570</v>
      </c>
      <c r="G1405" s="32" t="s">
        <v>447</v>
      </c>
    </row>
    <row r="1406" ht="16.5" customHeight="1">
      <c r="A1406" s="32">
        <v>1405.0</v>
      </c>
      <c r="B1406" s="32" t="s">
        <v>1960</v>
      </c>
      <c r="C1406" s="32" t="s">
        <v>184</v>
      </c>
      <c r="D1406" s="32" t="s">
        <v>192</v>
      </c>
      <c r="E1406" s="32" t="s">
        <v>222</v>
      </c>
    </row>
    <row r="1407" ht="16.5" customHeight="1">
      <c r="A1407" s="32">
        <v>1406.0</v>
      </c>
      <c r="B1407" s="32" t="s">
        <v>1961</v>
      </c>
      <c r="C1407" s="32" t="s">
        <v>184</v>
      </c>
      <c r="D1407" s="32" t="s">
        <v>192</v>
      </c>
      <c r="E1407" s="32" t="s">
        <v>222</v>
      </c>
    </row>
    <row r="1408" ht="16.5" customHeight="1">
      <c r="A1408" s="32">
        <v>1407.0</v>
      </c>
      <c r="B1408" s="32" t="s">
        <v>1962</v>
      </c>
      <c r="C1408" s="32" t="s">
        <v>184</v>
      </c>
      <c r="D1408" s="32" t="s">
        <v>219</v>
      </c>
      <c r="E1408" s="32" t="s">
        <v>222</v>
      </c>
    </row>
    <row r="1409" ht="16.5" customHeight="1">
      <c r="A1409" s="32">
        <v>1408.0</v>
      </c>
      <c r="B1409" s="32" t="s">
        <v>1963</v>
      </c>
      <c r="C1409" s="32" t="s">
        <v>184</v>
      </c>
      <c r="D1409" s="32" t="s">
        <v>219</v>
      </c>
      <c r="E1409" s="32" t="s">
        <v>222</v>
      </c>
    </row>
    <row r="1410" ht="16.5" customHeight="1">
      <c r="A1410" s="32">
        <v>1409.0</v>
      </c>
      <c r="B1410" s="32" t="s">
        <v>1964</v>
      </c>
      <c r="C1410" s="32" t="s">
        <v>184</v>
      </c>
      <c r="D1410" s="32" t="s">
        <v>219</v>
      </c>
      <c r="E1410" s="32" t="s">
        <v>222</v>
      </c>
    </row>
    <row r="1411" ht="16.5" customHeight="1">
      <c r="A1411" s="32">
        <v>1410.0</v>
      </c>
      <c r="B1411" s="32" t="s">
        <v>1965</v>
      </c>
      <c r="C1411" s="32" t="s">
        <v>184</v>
      </c>
      <c r="D1411" s="32" t="s">
        <v>219</v>
      </c>
      <c r="E1411" s="32" t="s">
        <v>222</v>
      </c>
      <c r="F1411" s="32" t="s">
        <v>241</v>
      </c>
      <c r="G1411" s="32" t="s">
        <v>292</v>
      </c>
    </row>
    <row r="1412" ht="16.5" customHeight="1">
      <c r="A1412" s="32">
        <v>1411.0</v>
      </c>
      <c r="B1412" s="32" t="s">
        <v>1966</v>
      </c>
      <c r="C1412" s="32" t="s">
        <v>184</v>
      </c>
      <c r="D1412" s="32" t="s">
        <v>219</v>
      </c>
      <c r="E1412" s="32" t="s">
        <v>222</v>
      </c>
      <c r="F1412" s="32" t="s">
        <v>241</v>
      </c>
      <c r="G1412" s="32" t="s">
        <v>292</v>
      </c>
    </row>
    <row r="1413" ht="16.5" customHeight="1">
      <c r="A1413" s="32">
        <v>1412.0</v>
      </c>
      <c r="B1413" s="32" t="s">
        <v>1967</v>
      </c>
      <c r="C1413" s="32" t="s">
        <v>184</v>
      </c>
      <c r="D1413" s="32" t="s">
        <v>219</v>
      </c>
      <c r="E1413" s="32" t="s">
        <v>222</v>
      </c>
      <c r="F1413" s="32" t="s">
        <v>241</v>
      </c>
      <c r="G1413" s="32" t="s">
        <v>292</v>
      </c>
    </row>
    <row r="1414" ht="16.5" customHeight="1">
      <c r="A1414" s="32">
        <v>1413.0</v>
      </c>
      <c r="B1414" s="32" t="s">
        <v>1968</v>
      </c>
      <c r="C1414" s="32" t="s">
        <v>184</v>
      </c>
      <c r="D1414" s="32" t="s">
        <v>219</v>
      </c>
      <c r="E1414" s="32" t="s">
        <v>222</v>
      </c>
    </row>
    <row r="1415" ht="16.5" customHeight="1">
      <c r="A1415" s="32">
        <v>1414.0</v>
      </c>
      <c r="B1415" s="32" t="s">
        <v>1969</v>
      </c>
      <c r="C1415" s="32" t="s">
        <v>184</v>
      </c>
      <c r="D1415" s="32" t="s">
        <v>219</v>
      </c>
      <c r="E1415" s="32" t="s">
        <v>222</v>
      </c>
    </row>
    <row r="1416" ht="16.5" customHeight="1">
      <c r="A1416" s="32">
        <v>1415.0</v>
      </c>
      <c r="B1416" s="32" t="s">
        <v>1970</v>
      </c>
      <c r="C1416" s="32" t="s">
        <v>184</v>
      </c>
      <c r="D1416" s="32" t="s">
        <v>214</v>
      </c>
      <c r="E1416" s="32" t="s">
        <v>222</v>
      </c>
    </row>
    <row r="1417" ht="16.5" customHeight="1">
      <c r="A1417" s="32">
        <v>1416.0</v>
      </c>
      <c r="B1417" s="32" t="s">
        <v>1971</v>
      </c>
      <c r="C1417" s="32" t="s">
        <v>184</v>
      </c>
      <c r="D1417" s="32" t="s">
        <v>219</v>
      </c>
      <c r="E1417" s="32" t="s">
        <v>222</v>
      </c>
    </row>
    <row r="1418" ht="16.5" customHeight="1">
      <c r="A1418" s="32">
        <v>1417.0</v>
      </c>
      <c r="B1418" s="32" t="s">
        <v>1972</v>
      </c>
      <c r="C1418" s="32" t="s">
        <v>184</v>
      </c>
      <c r="D1418" s="32" t="s">
        <v>219</v>
      </c>
      <c r="E1418" s="32" t="s">
        <v>222</v>
      </c>
    </row>
    <row r="1419" ht="16.5" customHeight="1">
      <c r="A1419" s="32">
        <v>1418.0</v>
      </c>
      <c r="B1419" s="32" t="s">
        <v>1973</v>
      </c>
      <c r="C1419" s="32" t="s">
        <v>184</v>
      </c>
      <c r="D1419" s="32" t="s">
        <v>219</v>
      </c>
      <c r="E1419" s="32" t="s">
        <v>222</v>
      </c>
      <c r="F1419" s="32" t="s">
        <v>1974</v>
      </c>
      <c r="G1419" s="32" t="s">
        <v>292</v>
      </c>
    </row>
    <row r="1420" ht="16.5" customHeight="1">
      <c r="A1420" s="32">
        <v>1419.0</v>
      </c>
      <c r="B1420" s="32" t="s">
        <v>1975</v>
      </c>
      <c r="C1420" s="32" t="s">
        <v>184</v>
      </c>
      <c r="D1420" s="32" t="s">
        <v>234</v>
      </c>
      <c r="E1420" s="32" t="s">
        <v>222</v>
      </c>
    </row>
    <row r="1421" ht="16.5" customHeight="1">
      <c r="A1421" s="32">
        <v>1420.0</v>
      </c>
      <c r="B1421" s="32" t="s">
        <v>1976</v>
      </c>
      <c r="C1421" s="32" t="s">
        <v>184</v>
      </c>
      <c r="D1421" s="35" t="s">
        <v>294</v>
      </c>
      <c r="E1421" s="32" t="s">
        <v>222</v>
      </c>
      <c r="F1421" s="32" t="s">
        <v>189</v>
      </c>
      <c r="G1421" s="32" t="s">
        <v>190</v>
      </c>
    </row>
    <row r="1422" ht="16.5" customHeight="1">
      <c r="A1422" s="32">
        <v>1421.0</v>
      </c>
      <c r="B1422" s="32" t="s">
        <v>1977</v>
      </c>
      <c r="C1422" s="32" t="s">
        <v>184</v>
      </c>
      <c r="D1422" s="32" t="s">
        <v>228</v>
      </c>
      <c r="E1422" s="32" t="s">
        <v>222</v>
      </c>
      <c r="F1422" s="32" t="s">
        <v>408</v>
      </c>
      <c r="G1422" s="32" t="s">
        <v>1978</v>
      </c>
    </row>
    <row r="1423" ht="16.5" customHeight="1">
      <c r="A1423" s="32">
        <v>1422.0</v>
      </c>
      <c r="B1423" s="32" t="s">
        <v>1979</v>
      </c>
      <c r="C1423" s="32" t="s">
        <v>184</v>
      </c>
      <c r="D1423" s="32" t="s">
        <v>285</v>
      </c>
      <c r="E1423" s="32" t="s">
        <v>222</v>
      </c>
      <c r="F1423" s="32" t="s">
        <v>793</v>
      </c>
    </row>
    <row r="1424" ht="16.5" customHeight="1">
      <c r="A1424" s="32">
        <v>1423.0</v>
      </c>
      <c r="B1424" s="32" t="s">
        <v>1980</v>
      </c>
      <c r="C1424" s="32" t="s">
        <v>184</v>
      </c>
      <c r="D1424" s="32" t="s">
        <v>764</v>
      </c>
      <c r="E1424" s="32" t="s">
        <v>222</v>
      </c>
      <c r="F1424" s="32" t="s">
        <v>1981</v>
      </c>
    </row>
    <row r="1425" ht="16.5" customHeight="1">
      <c r="A1425" s="32">
        <v>1424.0</v>
      </c>
      <c r="B1425" s="32" t="s">
        <v>1982</v>
      </c>
      <c r="C1425" s="32" t="s">
        <v>184</v>
      </c>
      <c r="D1425" s="32" t="s">
        <v>219</v>
      </c>
      <c r="E1425" s="32" t="s">
        <v>222</v>
      </c>
      <c r="F1425" s="32" t="s">
        <v>241</v>
      </c>
      <c r="G1425" s="32" t="s">
        <v>292</v>
      </c>
    </row>
    <row r="1426" ht="16.5" customHeight="1">
      <c r="A1426" s="32">
        <v>1425.0</v>
      </c>
      <c r="B1426" s="32" t="s">
        <v>1983</v>
      </c>
      <c r="C1426" s="32" t="s">
        <v>184</v>
      </c>
      <c r="D1426" s="32" t="s">
        <v>219</v>
      </c>
      <c r="E1426" s="32" t="s">
        <v>222</v>
      </c>
      <c r="F1426" s="32" t="s">
        <v>223</v>
      </c>
      <c r="G1426" s="32" t="s">
        <v>472</v>
      </c>
    </row>
    <row r="1427" ht="16.5" customHeight="1">
      <c r="A1427" s="32">
        <v>1426.0</v>
      </c>
      <c r="B1427" s="32" t="s">
        <v>1984</v>
      </c>
      <c r="C1427" s="32" t="s">
        <v>184</v>
      </c>
      <c r="D1427" s="35" t="s">
        <v>1894</v>
      </c>
      <c r="E1427" s="32" t="s">
        <v>222</v>
      </c>
      <c r="F1427" s="32" t="s">
        <v>223</v>
      </c>
      <c r="G1427" s="32" t="s">
        <v>472</v>
      </c>
    </row>
    <row r="1428" ht="16.5" customHeight="1">
      <c r="A1428" s="32">
        <v>1427.0</v>
      </c>
      <c r="B1428" s="32" t="s">
        <v>1985</v>
      </c>
      <c r="C1428" s="32" t="s">
        <v>184</v>
      </c>
      <c r="D1428" s="32" t="s">
        <v>234</v>
      </c>
      <c r="E1428" s="32" t="s">
        <v>222</v>
      </c>
    </row>
    <row r="1429" ht="16.5" customHeight="1">
      <c r="A1429" s="32">
        <v>1428.0</v>
      </c>
      <c r="B1429" s="32" t="s">
        <v>1986</v>
      </c>
      <c r="C1429" s="32" t="s">
        <v>184</v>
      </c>
      <c r="D1429" s="32" t="s">
        <v>254</v>
      </c>
      <c r="E1429" s="32" t="s">
        <v>222</v>
      </c>
    </row>
    <row r="1430" ht="16.5" customHeight="1">
      <c r="A1430" s="32">
        <v>1429.0</v>
      </c>
      <c r="B1430" s="32" t="s">
        <v>1987</v>
      </c>
      <c r="C1430" s="32" t="s">
        <v>184</v>
      </c>
      <c r="D1430" s="32" t="s">
        <v>219</v>
      </c>
      <c r="E1430" s="32" t="s">
        <v>222</v>
      </c>
      <c r="F1430" s="32" t="s">
        <v>223</v>
      </c>
      <c r="G1430" s="32" t="s">
        <v>896</v>
      </c>
    </row>
    <row r="1431" ht="16.5" customHeight="1">
      <c r="A1431" s="32">
        <v>1430.0</v>
      </c>
      <c r="B1431" s="32" t="s">
        <v>1988</v>
      </c>
      <c r="C1431" s="32" t="s">
        <v>184</v>
      </c>
      <c r="D1431" s="32" t="s">
        <v>321</v>
      </c>
      <c r="E1431" s="32" t="s">
        <v>222</v>
      </c>
    </row>
    <row r="1432" ht="16.5" customHeight="1">
      <c r="A1432" s="32">
        <v>1431.0</v>
      </c>
      <c r="B1432" s="32" t="s">
        <v>141</v>
      </c>
      <c r="C1432" s="32" t="s">
        <v>184</v>
      </c>
      <c r="D1432" s="32" t="s">
        <v>219</v>
      </c>
      <c r="E1432" s="32" t="s">
        <v>222</v>
      </c>
      <c r="F1432" s="32" t="s">
        <v>232</v>
      </c>
      <c r="G1432" s="32" t="s">
        <v>233</v>
      </c>
    </row>
    <row r="1433" ht="16.5" customHeight="1">
      <c r="A1433" s="32">
        <v>1432.0</v>
      </c>
      <c r="B1433" s="32" t="s">
        <v>231</v>
      </c>
      <c r="C1433" s="32" t="s">
        <v>184</v>
      </c>
      <c r="D1433" s="32" t="s">
        <v>219</v>
      </c>
      <c r="E1433" s="32" t="s">
        <v>222</v>
      </c>
      <c r="F1433" s="32" t="s">
        <v>232</v>
      </c>
      <c r="G1433" s="32" t="s">
        <v>233</v>
      </c>
    </row>
    <row r="1434" ht="16.5" customHeight="1">
      <c r="A1434" s="32">
        <v>1433.0</v>
      </c>
      <c r="B1434" s="32" t="s">
        <v>1989</v>
      </c>
      <c r="C1434" s="32" t="s">
        <v>184</v>
      </c>
      <c r="D1434" s="32" t="s">
        <v>285</v>
      </c>
      <c r="E1434" s="32" t="s">
        <v>222</v>
      </c>
      <c r="F1434" s="32" t="s">
        <v>189</v>
      </c>
      <c r="G1434" s="32" t="s">
        <v>190</v>
      </c>
    </row>
    <row r="1435" ht="16.5" customHeight="1">
      <c r="A1435" s="32">
        <v>1434.0</v>
      </c>
      <c r="B1435" s="32" t="s">
        <v>1990</v>
      </c>
      <c r="C1435" s="32" t="s">
        <v>184</v>
      </c>
      <c r="D1435" s="35" t="s">
        <v>294</v>
      </c>
      <c r="E1435" s="32" t="s">
        <v>222</v>
      </c>
    </row>
    <row r="1436" ht="16.5" customHeight="1">
      <c r="A1436" s="32">
        <v>1435.0</v>
      </c>
      <c r="B1436" s="32" t="s">
        <v>1991</v>
      </c>
      <c r="C1436" s="32" t="s">
        <v>184</v>
      </c>
      <c r="D1436" s="32" t="s">
        <v>285</v>
      </c>
      <c r="E1436" s="32" t="s">
        <v>222</v>
      </c>
    </row>
    <row r="1437" ht="16.5" customHeight="1">
      <c r="A1437" s="32">
        <v>1436.0</v>
      </c>
      <c r="B1437" s="32" t="s">
        <v>1992</v>
      </c>
      <c r="C1437" s="32" t="s">
        <v>184</v>
      </c>
      <c r="D1437" s="32" t="s">
        <v>214</v>
      </c>
      <c r="E1437" s="32" t="s">
        <v>222</v>
      </c>
      <c r="F1437" s="32" t="s">
        <v>216</v>
      </c>
      <c r="G1437" s="32" t="s">
        <v>217</v>
      </c>
    </row>
    <row r="1438" ht="16.5" customHeight="1">
      <c r="A1438" s="32">
        <v>1437.0</v>
      </c>
      <c r="B1438" s="32" t="s">
        <v>1993</v>
      </c>
      <c r="C1438" s="32" t="s">
        <v>184</v>
      </c>
      <c r="D1438" s="32" t="s">
        <v>219</v>
      </c>
      <c r="E1438" s="32" t="s">
        <v>222</v>
      </c>
      <c r="F1438" s="32" t="s">
        <v>216</v>
      </c>
      <c r="G1438" s="32" t="s">
        <v>217</v>
      </c>
    </row>
    <row r="1439" ht="16.5" customHeight="1">
      <c r="A1439" s="32">
        <v>1438.0</v>
      </c>
      <c r="B1439" s="32" t="s">
        <v>1994</v>
      </c>
      <c r="C1439" s="32" t="s">
        <v>184</v>
      </c>
      <c r="D1439" s="32" t="s">
        <v>219</v>
      </c>
      <c r="E1439" s="32" t="s">
        <v>222</v>
      </c>
      <c r="F1439" s="32" t="s">
        <v>216</v>
      </c>
      <c r="G1439" s="32" t="s">
        <v>217</v>
      </c>
    </row>
    <row r="1440" ht="16.5" customHeight="1">
      <c r="A1440" s="32">
        <v>1439.0</v>
      </c>
      <c r="B1440" s="32" t="s">
        <v>1995</v>
      </c>
      <c r="C1440" s="32" t="s">
        <v>184</v>
      </c>
      <c r="D1440" s="32" t="s">
        <v>254</v>
      </c>
      <c r="E1440" s="32" t="s">
        <v>222</v>
      </c>
    </row>
    <row r="1441" ht="16.5" customHeight="1">
      <c r="A1441" s="32">
        <v>1440.0</v>
      </c>
      <c r="B1441" s="32" t="s">
        <v>1996</v>
      </c>
      <c r="C1441" s="32" t="s">
        <v>184</v>
      </c>
      <c r="D1441" s="32" t="s">
        <v>228</v>
      </c>
      <c r="E1441" s="32" t="s">
        <v>222</v>
      </c>
      <c r="F1441" s="32" t="s">
        <v>1997</v>
      </c>
      <c r="G1441" s="32" t="s">
        <v>1998</v>
      </c>
    </row>
    <row r="1442" ht="16.5" customHeight="1">
      <c r="A1442" s="32">
        <v>1441.0</v>
      </c>
      <c r="B1442" s="32" t="s">
        <v>1999</v>
      </c>
      <c r="C1442" s="32" t="s">
        <v>184</v>
      </c>
      <c r="D1442" s="32" t="s">
        <v>228</v>
      </c>
      <c r="E1442" s="32" t="s">
        <v>222</v>
      </c>
      <c r="F1442" s="32" t="s">
        <v>454</v>
      </c>
      <c r="G1442" s="32" t="s">
        <v>2000</v>
      </c>
    </row>
    <row r="1443" ht="16.5" customHeight="1">
      <c r="A1443" s="32">
        <v>1442.0</v>
      </c>
      <c r="B1443" s="32" t="s">
        <v>2001</v>
      </c>
      <c r="C1443" s="32" t="s">
        <v>184</v>
      </c>
      <c r="D1443" s="32" t="s">
        <v>219</v>
      </c>
      <c r="E1443" s="32" t="s">
        <v>222</v>
      </c>
    </row>
    <row r="1444" ht="16.5" customHeight="1">
      <c r="A1444" s="32">
        <v>1443.0</v>
      </c>
      <c r="B1444" s="32" t="s">
        <v>2002</v>
      </c>
      <c r="C1444" s="32" t="s">
        <v>184</v>
      </c>
      <c r="D1444" s="32" t="s">
        <v>228</v>
      </c>
      <c r="E1444" s="32" t="s">
        <v>222</v>
      </c>
      <c r="F1444" s="32" t="s">
        <v>2003</v>
      </c>
      <c r="G1444" s="32" t="s">
        <v>2004</v>
      </c>
    </row>
    <row r="1445" ht="16.5" customHeight="1">
      <c r="A1445" s="32">
        <v>1444.0</v>
      </c>
      <c r="B1445" s="32" t="s">
        <v>2005</v>
      </c>
      <c r="C1445" s="32" t="s">
        <v>184</v>
      </c>
      <c r="D1445" s="32" t="s">
        <v>285</v>
      </c>
      <c r="E1445" s="32" t="s">
        <v>222</v>
      </c>
      <c r="F1445" s="32" t="s">
        <v>189</v>
      </c>
      <c r="G1445" s="32" t="s">
        <v>2006</v>
      </c>
    </row>
    <row r="1446" ht="16.5" customHeight="1">
      <c r="A1446" s="32">
        <v>1445.0</v>
      </c>
      <c r="B1446" s="32" t="s">
        <v>2007</v>
      </c>
      <c r="C1446" s="32" t="s">
        <v>184</v>
      </c>
      <c r="D1446" s="32" t="s">
        <v>192</v>
      </c>
      <c r="E1446" s="32" t="s">
        <v>222</v>
      </c>
      <c r="F1446" s="32" t="s">
        <v>189</v>
      </c>
      <c r="G1446" s="32" t="s">
        <v>190</v>
      </c>
    </row>
    <row r="1447" ht="16.5" customHeight="1">
      <c r="A1447" s="32">
        <v>1446.0</v>
      </c>
      <c r="B1447" s="32" t="s">
        <v>2008</v>
      </c>
      <c r="C1447" s="32" t="s">
        <v>184</v>
      </c>
      <c r="D1447" s="35" t="s">
        <v>294</v>
      </c>
      <c r="E1447" s="32" t="s">
        <v>222</v>
      </c>
      <c r="F1447" s="32" t="s">
        <v>187</v>
      </c>
      <c r="G1447" s="32" t="s">
        <v>482</v>
      </c>
    </row>
    <row r="1448" ht="16.5" customHeight="1">
      <c r="A1448" s="32">
        <v>1447.0</v>
      </c>
      <c r="B1448" s="32" t="s">
        <v>2009</v>
      </c>
      <c r="C1448" s="32" t="s">
        <v>184</v>
      </c>
      <c r="D1448" s="35" t="s">
        <v>294</v>
      </c>
      <c r="E1448" s="32" t="s">
        <v>222</v>
      </c>
      <c r="F1448" s="32" t="s">
        <v>2010</v>
      </c>
      <c r="G1448" s="32" t="s">
        <v>314</v>
      </c>
    </row>
    <row r="1449" ht="16.5" customHeight="1">
      <c r="A1449" s="32">
        <v>1448.0</v>
      </c>
      <c r="B1449" s="32" t="s">
        <v>2011</v>
      </c>
      <c r="C1449" s="32" t="s">
        <v>184</v>
      </c>
      <c r="D1449" s="32" t="s">
        <v>185</v>
      </c>
      <c r="E1449" s="32" t="s">
        <v>222</v>
      </c>
    </row>
    <row r="1450" ht="16.5" customHeight="1">
      <c r="A1450" s="32">
        <v>1449.0</v>
      </c>
      <c r="B1450" s="32" t="s">
        <v>2012</v>
      </c>
      <c r="C1450" s="32" t="s">
        <v>184</v>
      </c>
      <c r="D1450" s="32" t="s">
        <v>192</v>
      </c>
      <c r="E1450" s="32" t="s">
        <v>222</v>
      </c>
    </row>
    <row r="1451" ht="16.5" customHeight="1">
      <c r="A1451" s="32">
        <v>1450.0</v>
      </c>
      <c r="B1451" s="32" t="s">
        <v>2013</v>
      </c>
      <c r="C1451" s="32" t="s">
        <v>184</v>
      </c>
      <c r="D1451" s="32" t="s">
        <v>285</v>
      </c>
      <c r="E1451" s="32" t="s">
        <v>222</v>
      </c>
    </row>
    <row r="1452" ht="16.5" customHeight="1">
      <c r="A1452" s="32">
        <v>1451.0</v>
      </c>
      <c r="B1452" s="32" t="s">
        <v>2014</v>
      </c>
      <c r="C1452" s="32" t="s">
        <v>184</v>
      </c>
      <c r="D1452" s="32" t="s">
        <v>234</v>
      </c>
      <c r="E1452" s="32" t="s">
        <v>222</v>
      </c>
      <c r="F1452" s="32" t="s">
        <v>347</v>
      </c>
      <c r="G1452" s="32" t="s">
        <v>382</v>
      </c>
    </row>
    <row r="1453" ht="16.5" customHeight="1">
      <c r="A1453" s="32">
        <v>1452.0</v>
      </c>
      <c r="B1453" s="32" t="s">
        <v>2015</v>
      </c>
      <c r="C1453" s="32" t="s">
        <v>184</v>
      </c>
      <c r="D1453" s="32" t="s">
        <v>234</v>
      </c>
      <c r="E1453" s="32" t="s">
        <v>222</v>
      </c>
      <c r="F1453" s="32" t="s">
        <v>347</v>
      </c>
      <c r="G1453" s="32" t="s">
        <v>382</v>
      </c>
    </row>
    <row r="1454" ht="16.5" customHeight="1">
      <c r="A1454" s="32">
        <v>1453.0</v>
      </c>
      <c r="B1454" s="32" t="s">
        <v>2016</v>
      </c>
      <c r="C1454" s="32" t="s">
        <v>184</v>
      </c>
      <c r="D1454" s="32" t="s">
        <v>234</v>
      </c>
      <c r="E1454" s="32" t="s">
        <v>222</v>
      </c>
      <c r="F1454" s="32" t="s">
        <v>347</v>
      </c>
      <c r="G1454" s="32" t="s">
        <v>420</v>
      </c>
    </row>
    <row r="1455" ht="16.5" customHeight="1">
      <c r="A1455" s="32">
        <v>1454.0</v>
      </c>
      <c r="B1455" s="32" t="s">
        <v>2017</v>
      </c>
      <c r="C1455" s="32" t="s">
        <v>184</v>
      </c>
      <c r="D1455" s="32" t="s">
        <v>234</v>
      </c>
      <c r="E1455" s="32" t="s">
        <v>222</v>
      </c>
      <c r="F1455" s="32" t="s">
        <v>347</v>
      </c>
      <c r="G1455" s="32" t="s">
        <v>382</v>
      </c>
    </row>
    <row r="1456" ht="16.5" customHeight="1">
      <c r="A1456" s="32">
        <v>1455.0</v>
      </c>
      <c r="B1456" s="32" t="s">
        <v>2018</v>
      </c>
      <c r="C1456" s="32" t="s">
        <v>184</v>
      </c>
      <c r="D1456" s="32" t="s">
        <v>285</v>
      </c>
      <c r="E1456" s="32" t="s">
        <v>222</v>
      </c>
    </row>
    <row r="1457" ht="16.5" customHeight="1">
      <c r="A1457" s="32">
        <v>1456.0</v>
      </c>
      <c r="B1457" s="32" t="s">
        <v>2019</v>
      </c>
      <c r="C1457" s="32" t="s">
        <v>184</v>
      </c>
      <c r="D1457" s="32" t="s">
        <v>234</v>
      </c>
      <c r="E1457" s="32" t="s">
        <v>222</v>
      </c>
      <c r="F1457" s="32" t="s">
        <v>347</v>
      </c>
      <c r="G1457" s="32" t="s">
        <v>420</v>
      </c>
    </row>
    <row r="1458" ht="16.5" customHeight="1">
      <c r="A1458" s="32">
        <v>1457.0</v>
      </c>
      <c r="B1458" s="32" t="s">
        <v>2020</v>
      </c>
      <c r="C1458" s="32" t="s">
        <v>184</v>
      </c>
      <c r="D1458" s="32" t="s">
        <v>219</v>
      </c>
      <c r="E1458" s="32" t="s">
        <v>222</v>
      </c>
    </row>
    <row r="1459" ht="16.5" customHeight="1">
      <c r="A1459" s="32">
        <v>1458.0</v>
      </c>
      <c r="B1459" s="32" t="s">
        <v>2021</v>
      </c>
      <c r="C1459" s="32" t="s">
        <v>184</v>
      </c>
      <c r="D1459" s="32" t="s">
        <v>254</v>
      </c>
      <c r="E1459" s="32" t="s">
        <v>222</v>
      </c>
    </row>
    <row r="1460" ht="16.5" customHeight="1">
      <c r="A1460" s="32">
        <v>1459.0</v>
      </c>
      <c r="B1460" s="32" t="s">
        <v>2022</v>
      </c>
      <c r="C1460" s="32" t="s">
        <v>184</v>
      </c>
      <c r="D1460" s="32" t="s">
        <v>192</v>
      </c>
      <c r="E1460" s="32" t="s">
        <v>222</v>
      </c>
      <c r="F1460" s="32" t="s">
        <v>238</v>
      </c>
      <c r="G1460" s="32" t="s">
        <v>239</v>
      </c>
    </row>
    <row r="1461" ht="16.5" customHeight="1">
      <c r="A1461" s="32">
        <v>1460.0</v>
      </c>
      <c r="B1461" s="32" t="s">
        <v>2023</v>
      </c>
      <c r="C1461" s="32" t="s">
        <v>184</v>
      </c>
      <c r="D1461" s="32" t="s">
        <v>192</v>
      </c>
      <c r="E1461" s="32" t="s">
        <v>222</v>
      </c>
      <c r="F1461" s="32" t="s">
        <v>238</v>
      </c>
      <c r="G1461" s="32" t="s">
        <v>1621</v>
      </c>
    </row>
    <row r="1462" ht="16.5" customHeight="1">
      <c r="A1462" s="32">
        <v>1461.0</v>
      </c>
      <c r="B1462" s="32" t="s">
        <v>2024</v>
      </c>
      <c r="C1462" s="32" t="s">
        <v>184</v>
      </c>
      <c r="D1462" s="32" t="s">
        <v>254</v>
      </c>
      <c r="E1462" s="32" t="s">
        <v>222</v>
      </c>
    </row>
    <row r="1463" ht="16.5" customHeight="1">
      <c r="A1463" s="32">
        <v>1462.0</v>
      </c>
      <c r="B1463" s="32" t="s">
        <v>2025</v>
      </c>
      <c r="C1463" s="32" t="s">
        <v>184</v>
      </c>
      <c r="D1463" s="32" t="s">
        <v>219</v>
      </c>
      <c r="E1463" s="32" t="s">
        <v>222</v>
      </c>
      <c r="F1463" s="32" t="s">
        <v>223</v>
      </c>
    </row>
    <row r="1464" ht="16.5" customHeight="1">
      <c r="A1464" s="32">
        <v>1463.0</v>
      </c>
      <c r="B1464" s="32" t="s">
        <v>2026</v>
      </c>
      <c r="C1464" s="32" t="s">
        <v>184</v>
      </c>
      <c r="D1464" s="32" t="s">
        <v>219</v>
      </c>
      <c r="E1464" s="32" t="s">
        <v>222</v>
      </c>
    </row>
    <row r="1465" ht="16.5" customHeight="1">
      <c r="A1465" s="32">
        <v>1464.0</v>
      </c>
      <c r="B1465" s="32" t="s">
        <v>2027</v>
      </c>
      <c r="C1465" s="32" t="s">
        <v>184</v>
      </c>
      <c r="D1465" s="32" t="s">
        <v>234</v>
      </c>
      <c r="E1465" s="32" t="s">
        <v>222</v>
      </c>
      <c r="F1465" s="32" t="s">
        <v>347</v>
      </c>
      <c r="G1465" s="32" t="s">
        <v>420</v>
      </c>
    </row>
    <row r="1466" ht="16.5" customHeight="1">
      <c r="A1466" s="32">
        <v>1465.0</v>
      </c>
      <c r="B1466" s="32" t="s">
        <v>2028</v>
      </c>
      <c r="C1466" s="32" t="s">
        <v>184</v>
      </c>
      <c r="D1466" s="32" t="s">
        <v>234</v>
      </c>
      <c r="E1466" s="32" t="s">
        <v>222</v>
      </c>
      <c r="F1466" s="32" t="s">
        <v>347</v>
      </c>
      <c r="G1466" s="32" t="s">
        <v>420</v>
      </c>
    </row>
    <row r="1467" ht="16.5" customHeight="1">
      <c r="A1467" s="32">
        <v>1466.0</v>
      </c>
      <c r="B1467" s="32" t="s">
        <v>2029</v>
      </c>
      <c r="C1467" s="32" t="s">
        <v>184</v>
      </c>
      <c r="D1467" s="32" t="s">
        <v>234</v>
      </c>
      <c r="E1467" s="32" t="s">
        <v>222</v>
      </c>
    </row>
    <row r="1468" ht="16.5" customHeight="1">
      <c r="A1468" s="32">
        <v>1467.0</v>
      </c>
      <c r="B1468" s="32" t="s">
        <v>2030</v>
      </c>
      <c r="C1468" s="32" t="s">
        <v>184</v>
      </c>
      <c r="D1468" s="35" t="s">
        <v>829</v>
      </c>
      <c r="E1468" s="32" t="s">
        <v>222</v>
      </c>
      <c r="F1468" s="32" t="s">
        <v>236</v>
      </c>
      <c r="G1468" s="32" t="s">
        <v>292</v>
      </c>
    </row>
    <row r="1469" ht="16.5" customHeight="1">
      <c r="A1469" s="32">
        <v>1468.0</v>
      </c>
      <c r="B1469" s="32" t="s">
        <v>2031</v>
      </c>
      <c r="C1469" s="32" t="s">
        <v>184</v>
      </c>
      <c r="D1469" s="32" t="s">
        <v>228</v>
      </c>
      <c r="E1469" s="32" t="s">
        <v>222</v>
      </c>
    </row>
    <row r="1470" ht="16.5" customHeight="1">
      <c r="A1470" s="32">
        <v>1469.0</v>
      </c>
      <c r="B1470" s="32" t="s">
        <v>2032</v>
      </c>
      <c r="C1470" s="32" t="s">
        <v>184</v>
      </c>
      <c r="D1470" s="32" t="s">
        <v>192</v>
      </c>
      <c r="E1470" s="32" t="s">
        <v>222</v>
      </c>
      <c r="F1470" s="32" t="s">
        <v>1607</v>
      </c>
      <c r="G1470" s="32" t="s">
        <v>408</v>
      </c>
    </row>
    <row r="1471" ht="16.5" customHeight="1">
      <c r="A1471" s="32">
        <v>1470.0</v>
      </c>
      <c r="B1471" s="32" t="s">
        <v>2033</v>
      </c>
      <c r="C1471" s="32" t="s">
        <v>184</v>
      </c>
      <c r="D1471" s="32" t="s">
        <v>228</v>
      </c>
      <c r="E1471" s="32" t="s">
        <v>222</v>
      </c>
    </row>
    <row r="1472" ht="16.5" customHeight="1">
      <c r="A1472" s="32">
        <v>1471.0</v>
      </c>
      <c r="B1472" s="32" t="s">
        <v>2034</v>
      </c>
      <c r="C1472" s="32" t="s">
        <v>184</v>
      </c>
      <c r="D1472" s="32" t="s">
        <v>285</v>
      </c>
      <c r="E1472" s="32" t="s">
        <v>222</v>
      </c>
    </row>
    <row r="1473" ht="16.5" customHeight="1">
      <c r="A1473" s="32">
        <v>1472.0</v>
      </c>
      <c r="B1473" s="32" t="s">
        <v>2035</v>
      </c>
      <c r="C1473" s="32" t="s">
        <v>184</v>
      </c>
      <c r="D1473" s="32" t="s">
        <v>214</v>
      </c>
      <c r="E1473" s="32" t="s">
        <v>222</v>
      </c>
    </row>
    <row r="1474" ht="16.5" customHeight="1">
      <c r="A1474" s="32">
        <v>1473.0</v>
      </c>
      <c r="B1474" s="32" t="s">
        <v>2036</v>
      </c>
      <c r="C1474" s="32" t="s">
        <v>184</v>
      </c>
      <c r="D1474" s="32" t="s">
        <v>214</v>
      </c>
      <c r="E1474" s="32" t="s">
        <v>222</v>
      </c>
    </row>
    <row r="1475" ht="16.5" customHeight="1">
      <c r="A1475" s="32">
        <v>1474.0</v>
      </c>
      <c r="B1475" s="32" t="s">
        <v>2037</v>
      </c>
      <c r="C1475" s="32" t="s">
        <v>184</v>
      </c>
      <c r="D1475" s="35" t="s">
        <v>1168</v>
      </c>
      <c r="E1475" s="32" t="s">
        <v>222</v>
      </c>
      <c r="F1475" s="32" t="s">
        <v>472</v>
      </c>
      <c r="G1475" s="32" t="s">
        <v>2038</v>
      </c>
    </row>
    <row r="1476" ht="16.5" customHeight="1">
      <c r="A1476" s="32">
        <v>1475.0</v>
      </c>
      <c r="B1476" s="32" t="s">
        <v>2039</v>
      </c>
      <c r="C1476" s="32" t="s">
        <v>184</v>
      </c>
      <c r="D1476" s="32" t="s">
        <v>234</v>
      </c>
      <c r="E1476" s="32" t="s">
        <v>222</v>
      </c>
      <c r="F1476" s="32" t="s">
        <v>235</v>
      </c>
      <c r="G1476" s="32" t="s">
        <v>236</v>
      </c>
    </row>
    <row r="1477" ht="16.5" customHeight="1">
      <c r="A1477" s="32">
        <v>1476.0</v>
      </c>
      <c r="B1477" s="32" t="s">
        <v>2040</v>
      </c>
      <c r="C1477" s="32" t="s">
        <v>184</v>
      </c>
      <c r="D1477" s="32" t="s">
        <v>254</v>
      </c>
      <c r="E1477" s="32" t="s">
        <v>222</v>
      </c>
    </row>
    <row r="1478" ht="16.5" customHeight="1">
      <c r="A1478" s="32">
        <v>1477.0</v>
      </c>
      <c r="B1478" s="32" t="s">
        <v>178</v>
      </c>
      <c r="C1478" s="32" t="s">
        <v>184</v>
      </c>
      <c r="D1478" s="32" t="s">
        <v>234</v>
      </c>
      <c r="E1478" s="32" t="s">
        <v>222</v>
      </c>
      <c r="F1478" s="32" t="s">
        <v>235</v>
      </c>
      <c r="G1478" s="32" t="s">
        <v>236</v>
      </c>
    </row>
    <row r="1479" ht="16.5" customHeight="1">
      <c r="A1479" s="32">
        <v>1478.0</v>
      </c>
      <c r="B1479" s="32" t="s">
        <v>2041</v>
      </c>
      <c r="C1479" s="32" t="s">
        <v>184</v>
      </c>
      <c r="D1479" s="32" t="s">
        <v>234</v>
      </c>
      <c r="E1479" s="32" t="s">
        <v>222</v>
      </c>
      <c r="F1479" s="32" t="s">
        <v>235</v>
      </c>
      <c r="G1479" s="32" t="s">
        <v>236</v>
      </c>
    </row>
    <row r="1480" ht="16.5" customHeight="1">
      <c r="A1480" s="32">
        <v>1479.0</v>
      </c>
      <c r="B1480" s="32" t="s">
        <v>2042</v>
      </c>
      <c r="C1480" s="32" t="s">
        <v>184</v>
      </c>
      <c r="D1480" s="32" t="s">
        <v>234</v>
      </c>
      <c r="E1480" s="32" t="s">
        <v>222</v>
      </c>
      <c r="F1480" s="32" t="s">
        <v>235</v>
      </c>
      <c r="G1480" s="32" t="s">
        <v>236</v>
      </c>
    </row>
    <row r="1481" ht="16.5" customHeight="1">
      <c r="A1481" s="32">
        <v>1480.0</v>
      </c>
      <c r="B1481" s="32" t="s">
        <v>2043</v>
      </c>
      <c r="C1481" s="32" t="s">
        <v>184</v>
      </c>
      <c r="D1481" s="32" t="s">
        <v>234</v>
      </c>
      <c r="E1481" s="32" t="s">
        <v>222</v>
      </c>
      <c r="F1481" s="32" t="s">
        <v>347</v>
      </c>
      <c r="G1481" s="32" t="s">
        <v>420</v>
      </c>
    </row>
    <row r="1482" ht="16.5" customHeight="1">
      <c r="A1482" s="32">
        <v>1481.0</v>
      </c>
      <c r="B1482" s="32" t="s">
        <v>2044</v>
      </c>
      <c r="C1482" s="32" t="s">
        <v>184</v>
      </c>
      <c r="D1482" s="32" t="s">
        <v>234</v>
      </c>
      <c r="E1482" s="35" t="s">
        <v>1929</v>
      </c>
      <c r="F1482" s="32" t="s">
        <v>235</v>
      </c>
      <c r="G1482" s="32" t="s">
        <v>236</v>
      </c>
    </row>
    <row r="1483" ht="16.5" customHeight="1">
      <c r="A1483" s="32">
        <v>1482.0</v>
      </c>
      <c r="B1483" s="32" t="s">
        <v>2045</v>
      </c>
      <c r="C1483" s="32" t="s">
        <v>184</v>
      </c>
      <c r="D1483" s="32" t="s">
        <v>285</v>
      </c>
      <c r="E1483" s="32" t="s">
        <v>222</v>
      </c>
      <c r="F1483" s="32" t="s">
        <v>189</v>
      </c>
      <c r="G1483" s="32" t="s">
        <v>2046</v>
      </c>
    </row>
    <row r="1484" ht="16.5" customHeight="1">
      <c r="A1484" s="32">
        <v>1483.0</v>
      </c>
      <c r="B1484" s="32" t="s">
        <v>2047</v>
      </c>
      <c r="C1484" s="32" t="s">
        <v>184</v>
      </c>
      <c r="D1484" s="32" t="s">
        <v>219</v>
      </c>
      <c r="E1484" s="32" t="s">
        <v>222</v>
      </c>
    </row>
    <row r="1485" ht="16.5" customHeight="1">
      <c r="A1485" s="32">
        <v>1484.0</v>
      </c>
      <c r="B1485" s="32" t="s">
        <v>2048</v>
      </c>
      <c r="C1485" s="32" t="s">
        <v>184</v>
      </c>
      <c r="D1485" s="32" t="s">
        <v>254</v>
      </c>
      <c r="E1485" s="32" t="s">
        <v>222</v>
      </c>
    </row>
    <row r="1486" ht="16.5" customHeight="1">
      <c r="A1486" s="32">
        <v>1485.0</v>
      </c>
      <c r="B1486" s="32" t="s">
        <v>2049</v>
      </c>
      <c r="C1486" s="32" t="s">
        <v>184</v>
      </c>
      <c r="D1486" s="32" t="s">
        <v>254</v>
      </c>
      <c r="E1486" s="32" t="s">
        <v>222</v>
      </c>
    </row>
    <row r="1487" ht="16.5" customHeight="1">
      <c r="A1487" s="32">
        <v>1486.0</v>
      </c>
      <c r="B1487" s="32" t="s">
        <v>2050</v>
      </c>
      <c r="C1487" s="32" t="s">
        <v>184</v>
      </c>
      <c r="D1487" s="32" t="s">
        <v>285</v>
      </c>
      <c r="E1487" s="32" t="s">
        <v>222</v>
      </c>
      <c r="F1487" s="32" t="s">
        <v>189</v>
      </c>
      <c r="G1487" s="32" t="s">
        <v>190</v>
      </c>
    </row>
    <row r="1488" ht="16.5" customHeight="1">
      <c r="A1488" s="32">
        <v>1487.0</v>
      </c>
      <c r="B1488" s="32" t="s">
        <v>2051</v>
      </c>
      <c r="C1488" s="32" t="s">
        <v>184</v>
      </c>
      <c r="D1488" s="32" t="s">
        <v>228</v>
      </c>
      <c r="E1488" s="32" t="s">
        <v>222</v>
      </c>
      <c r="F1488" s="32" t="s">
        <v>229</v>
      </c>
      <c r="G1488" s="32" t="s">
        <v>244</v>
      </c>
    </row>
    <row r="1489" ht="16.5" customHeight="1">
      <c r="A1489" s="32">
        <v>1488.0</v>
      </c>
      <c r="B1489" s="32" t="s">
        <v>2052</v>
      </c>
      <c r="C1489" s="32" t="s">
        <v>184</v>
      </c>
      <c r="D1489" s="32" t="s">
        <v>228</v>
      </c>
      <c r="E1489" s="32" t="s">
        <v>222</v>
      </c>
      <c r="F1489" s="32" t="s">
        <v>229</v>
      </c>
      <c r="G1489" s="32" t="s">
        <v>244</v>
      </c>
    </row>
    <row r="1490" ht="16.5" customHeight="1">
      <c r="A1490" s="32">
        <v>1489.0</v>
      </c>
      <c r="B1490" s="32" t="s">
        <v>2053</v>
      </c>
      <c r="C1490" s="32" t="s">
        <v>184</v>
      </c>
      <c r="D1490" s="32" t="s">
        <v>228</v>
      </c>
      <c r="E1490" s="32" t="s">
        <v>222</v>
      </c>
      <c r="F1490" s="32" t="s">
        <v>229</v>
      </c>
      <c r="G1490" s="32" t="s">
        <v>244</v>
      </c>
    </row>
    <row r="1491" ht="16.5" customHeight="1">
      <c r="A1491" s="32">
        <v>1490.0</v>
      </c>
      <c r="B1491" s="32" t="s">
        <v>2054</v>
      </c>
      <c r="C1491" s="32" t="s">
        <v>184</v>
      </c>
      <c r="D1491" s="32" t="s">
        <v>228</v>
      </c>
      <c r="E1491" s="32" t="s">
        <v>222</v>
      </c>
    </row>
    <row r="1492" ht="16.5" customHeight="1">
      <c r="A1492" s="32">
        <v>1491.0</v>
      </c>
      <c r="B1492" s="32" t="s">
        <v>2055</v>
      </c>
      <c r="C1492" s="32" t="s">
        <v>184</v>
      </c>
      <c r="D1492" s="35" t="s">
        <v>294</v>
      </c>
      <c r="E1492" s="32" t="s">
        <v>222</v>
      </c>
      <c r="F1492" s="32" t="s">
        <v>189</v>
      </c>
      <c r="G1492" s="32" t="s">
        <v>190</v>
      </c>
    </row>
    <row r="1493" ht="16.5" customHeight="1">
      <c r="A1493" s="32">
        <v>1492.0</v>
      </c>
      <c r="B1493" s="32" t="s">
        <v>2056</v>
      </c>
      <c r="C1493" s="32" t="s">
        <v>184</v>
      </c>
      <c r="D1493" s="35" t="s">
        <v>294</v>
      </c>
      <c r="E1493" s="32" t="s">
        <v>222</v>
      </c>
      <c r="F1493" s="32" t="s">
        <v>189</v>
      </c>
      <c r="G1493" s="32" t="s">
        <v>190</v>
      </c>
    </row>
    <row r="1494" ht="16.5" customHeight="1">
      <c r="A1494" s="32">
        <v>1493.0</v>
      </c>
      <c r="B1494" s="32" t="s">
        <v>2057</v>
      </c>
      <c r="C1494" s="32" t="s">
        <v>184</v>
      </c>
      <c r="D1494" s="32" t="s">
        <v>228</v>
      </c>
      <c r="E1494" s="32" t="s">
        <v>222</v>
      </c>
      <c r="F1494" s="32" t="s">
        <v>454</v>
      </c>
      <c r="G1494" s="32" t="s">
        <v>885</v>
      </c>
    </row>
    <row r="1495" ht="16.5" customHeight="1">
      <c r="A1495" s="32">
        <v>1494.0</v>
      </c>
      <c r="B1495" s="32" t="s">
        <v>2058</v>
      </c>
      <c r="C1495" s="32" t="s">
        <v>184</v>
      </c>
      <c r="D1495" s="32" t="s">
        <v>228</v>
      </c>
      <c r="E1495" s="32" t="s">
        <v>222</v>
      </c>
    </row>
    <row r="1496" ht="16.5" customHeight="1">
      <c r="A1496" s="32">
        <v>1495.0</v>
      </c>
      <c r="B1496" s="32" t="s">
        <v>2059</v>
      </c>
      <c r="C1496" s="32" t="s">
        <v>184</v>
      </c>
      <c r="D1496" s="32" t="s">
        <v>185</v>
      </c>
      <c r="E1496" s="32" t="s">
        <v>222</v>
      </c>
      <c r="F1496" s="32" t="s">
        <v>2060</v>
      </c>
      <c r="G1496" s="32" t="s">
        <v>2061</v>
      </c>
    </row>
    <row r="1497" ht="16.5" customHeight="1">
      <c r="A1497" s="32">
        <v>1496.0</v>
      </c>
      <c r="B1497" s="32" t="s">
        <v>2062</v>
      </c>
      <c r="C1497" s="32" t="s">
        <v>184</v>
      </c>
      <c r="D1497" s="32" t="s">
        <v>185</v>
      </c>
      <c r="E1497" s="32" t="s">
        <v>222</v>
      </c>
      <c r="F1497" s="32" t="s">
        <v>187</v>
      </c>
      <c r="G1497" s="32" t="s">
        <v>188</v>
      </c>
    </row>
    <row r="1498" ht="16.5" customHeight="1">
      <c r="A1498" s="32">
        <v>1497.0</v>
      </c>
      <c r="B1498" s="32" t="s">
        <v>2063</v>
      </c>
      <c r="C1498" s="32" t="s">
        <v>184</v>
      </c>
      <c r="D1498" s="32" t="s">
        <v>185</v>
      </c>
      <c r="E1498" s="32" t="s">
        <v>222</v>
      </c>
      <c r="F1498" s="32" t="s">
        <v>187</v>
      </c>
      <c r="G1498" s="32" t="s">
        <v>854</v>
      </c>
    </row>
    <row r="1499" ht="16.5" customHeight="1">
      <c r="A1499" s="32">
        <v>1498.0</v>
      </c>
      <c r="B1499" s="32" t="s">
        <v>2064</v>
      </c>
      <c r="C1499" s="32" t="s">
        <v>184</v>
      </c>
      <c r="D1499" s="35" t="s">
        <v>294</v>
      </c>
      <c r="E1499" s="32" t="s">
        <v>222</v>
      </c>
      <c r="F1499" s="32" t="s">
        <v>189</v>
      </c>
      <c r="G1499" s="32" t="s">
        <v>190</v>
      </c>
    </row>
    <row r="1500" ht="16.5" customHeight="1">
      <c r="A1500" s="32">
        <v>1499.0</v>
      </c>
      <c r="B1500" s="32" t="s">
        <v>2065</v>
      </c>
      <c r="C1500" s="32" t="s">
        <v>184</v>
      </c>
      <c r="D1500" s="35" t="s">
        <v>294</v>
      </c>
      <c r="E1500" s="32" t="s">
        <v>222</v>
      </c>
      <c r="F1500" s="32" t="s">
        <v>189</v>
      </c>
      <c r="G1500" s="32" t="s">
        <v>2066</v>
      </c>
    </row>
    <row r="1501" ht="16.5" customHeight="1">
      <c r="A1501" s="32">
        <v>1500.0</v>
      </c>
      <c r="B1501" s="32" t="s">
        <v>2067</v>
      </c>
      <c r="C1501" s="32" t="s">
        <v>184</v>
      </c>
      <c r="D1501" s="32" t="s">
        <v>285</v>
      </c>
      <c r="E1501" s="32" t="s">
        <v>222</v>
      </c>
      <c r="F1501" s="32" t="s">
        <v>189</v>
      </c>
      <c r="G1501" s="32" t="s">
        <v>902</v>
      </c>
    </row>
    <row r="1502" ht="16.5" customHeight="1">
      <c r="A1502" s="32">
        <v>1501.0</v>
      </c>
      <c r="B1502" s="32" t="s">
        <v>2068</v>
      </c>
      <c r="C1502" s="32" t="s">
        <v>184</v>
      </c>
      <c r="D1502" s="35" t="s">
        <v>294</v>
      </c>
      <c r="E1502" s="32" t="s">
        <v>222</v>
      </c>
      <c r="F1502" s="32" t="s">
        <v>189</v>
      </c>
      <c r="G1502" s="32" t="s">
        <v>190</v>
      </c>
    </row>
    <row r="1503" ht="16.5" customHeight="1">
      <c r="A1503" s="32">
        <v>1502.0</v>
      </c>
      <c r="B1503" s="32" t="s">
        <v>2069</v>
      </c>
      <c r="C1503" s="32" t="s">
        <v>184</v>
      </c>
      <c r="D1503" s="35" t="s">
        <v>294</v>
      </c>
      <c r="E1503" s="32" t="s">
        <v>222</v>
      </c>
      <c r="F1503" s="32" t="s">
        <v>189</v>
      </c>
      <c r="G1503" s="32" t="s">
        <v>190</v>
      </c>
    </row>
    <row r="1504" ht="16.5" customHeight="1">
      <c r="A1504" s="32">
        <v>1503.0</v>
      </c>
      <c r="B1504" s="32" t="s">
        <v>2069</v>
      </c>
      <c r="C1504" s="32" t="s">
        <v>184</v>
      </c>
      <c r="D1504" s="32" t="s">
        <v>285</v>
      </c>
      <c r="E1504" s="32" t="s">
        <v>222</v>
      </c>
      <c r="F1504" s="32" t="s">
        <v>189</v>
      </c>
      <c r="G1504" s="32" t="s">
        <v>902</v>
      </c>
    </row>
    <row r="1505" ht="16.5" customHeight="1">
      <c r="A1505" s="32">
        <v>1504.0</v>
      </c>
      <c r="B1505" s="32" t="s">
        <v>2070</v>
      </c>
      <c r="C1505" s="32" t="s">
        <v>184</v>
      </c>
      <c r="D1505" s="32" t="s">
        <v>285</v>
      </c>
      <c r="E1505" s="32" t="s">
        <v>222</v>
      </c>
      <c r="F1505" s="32" t="s">
        <v>189</v>
      </c>
      <c r="G1505" s="32" t="s">
        <v>190</v>
      </c>
    </row>
    <row r="1506" ht="16.5" customHeight="1">
      <c r="A1506" s="32">
        <v>1505.0</v>
      </c>
      <c r="B1506" s="32" t="s">
        <v>2071</v>
      </c>
      <c r="C1506" s="32" t="s">
        <v>184</v>
      </c>
      <c r="D1506" s="32" t="s">
        <v>285</v>
      </c>
      <c r="E1506" s="32" t="s">
        <v>222</v>
      </c>
      <c r="F1506" s="32" t="s">
        <v>189</v>
      </c>
      <c r="G1506" s="32" t="s">
        <v>190</v>
      </c>
    </row>
    <row r="1507" ht="16.5" customHeight="1">
      <c r="A1507" s="32">
        <v>1506.0</v>
      </c>
      <c r="B1507" s="32" t="s">
        <v>2072</v>
      </c>
      <c r="C1507" s="32" t="s">
        <v>184</v>
      </c>
      <c r="D1507" s="32" t="s">
        <v>285</v>
      </c>
      <c r="E1507" s="32" t="s">
        <v>222</v>
      </c>
      <c r="F1507" s="32" t="s">
        <v>189</v>
      </c>
      <c r="G1507" s="32" t="s">
        <v>902</v>
      </c>
    </row>
    <row r="1508" ht="16.5" customHeight="1">
      <c r="A1508" s="32">
        <v>1507.0</v>
      </c>
      <c r="B1508" s="32" t="s">
        <v>2073</v>
      </c>
      <c r="C1508" s="32" t="s">
        <v>184</v>
      </c>
      <c r="D1508" s="35" t="s">
        <v>294</v>
      </c>
      <c r="E1508" s="32" t="s">
        <v>222</v>
      </c>
      <c r="F1508" s="32" t="s">
        <v>295</v>
      </c>
      <c r="G1508" s="32" t="s">
        <v>1121</v>
      </c>
    </row>
    <row r="1509" ht="16.5" customHeight="1">
      <c r="A1509" s="32">
        <v>1508.0</v>
      </c>
      <c r="B1509" s="32" t="s">
        <v>2074</v>
      </c>
      <c r="C1509" s="32" t="s">
        <v>184</v>
      </c>
      <c r="D1509" s="32" t="s">
        <v>285</v>
      </c>
      <c r="E1509" s="32" t="s">
        <v>222</v>
      </c>
    </row>
    <row r="1510" ht="16.5" customHeight="1">
      <c r="A1510" s="32">
        <v>1509.0</v>
      </c>
      <c r="B1510" s="32" t="s">
        <v>2075</v>
      </c>
      <c r="C1510" s="32" t="s">
        <v>184</v>
      </c>
      <c r="D1510" s="35" t="s">
        <v>294</v>
      </c>
      <c r="E1510" s="32" t="s">
        <v>222</v>
      </c>
      <c r="F1510" s="32" t="s">
        <v>2010</v>
      </c>
      <c r="G1510" s="32" t="s">
        <v>2076</v>
      </c>
    </row>
    <row r="1511" ht="16.5" customHeight="1">
      <c r="A1511" s="32">
        <v>1510.0</v>
      </c>
      <c r="B1511" s="32" t="s">
        <v>2077</v>
      </c>
      <c r="C1511" s="32" t="s">
        <v>184</v>
      </c>
      <c r="D1511" s="32" t="s">
        <v>254</v>
      </c>
      <c r="E1511" s="32" t="s">
        <v>222</v>
      </c>
    </row>
    <row r="1512" ht="16.5" customHeight="1">
      <c r="A1512" s="32">
        <v>1511.0</v>
      </c>
      <c r="B1512" s="32" t="s">
        <v>2078</v>
      </c>
      <c r="C1512" s="32" t="s">
        <v>184</v>
      </c>
      <c r="D1512" s="32" t="s">
        <v>228</v>
      </c>
      <c r="E1512" s="32" t="s">
        <v>222</v>
      </c>
    </row>
    <row r="1513" ht="16.5" customHeight="1">
      <c r="A1513" s="32">
        <v>1512.0</v>
      </c>
      <c r="B1513" s="32" t="s">
        <v>2079</v>
      </c>
      <c r="C1513" s="32" t="s">
        <v>184</v>
      </c>
      <c r="D1513" s="32" t="s">
        <v>219</v>
      </c>
      <c r="E1513" s="32" t="s">
        <v>222</v>
      </c>
      <c r="F1513" s="32" t="s">
        <v>216</v>
      </c>
      <c r="G1513" s="32" t="s">
        <v>217</v>
      </c>
    </row>
    <row r="1514" ht="16.5" customHeight="1">
      <c r="A1514" s="32">
        <v>1513.0</v>
      </c>
      <c r="B1514" s="32" t="s">
        <v>2080</v>
      </c>
      <c r="C1514" s="32" t="s">
        <v>184</v>
      </c>
      <c r="D1514" s="32" t="s">
        <v>219</v>
      </c>
      <c r="E1514" s="32" t="s">
        <v>222</v>
      </c>
      <c r="F1514" s="32" t="s">
        <v>216</v>
      </c>
      <c r="G1514" s="32" t="s">
        <v>217</v>
      </c>
    </row>
    <row r="1515" ht="16.5" customHeight="1">
      <c r="A1515" s="32">
        <v>1514.0</v>
      </c>
      <c r="B1515" s="32" t="s">
        <v>2080</v>
      </c>
      <c r="C1515" s="32" t="s">
        <v>184</v>
      </c>
      <c r="D1515" s="32" t="s">
        <v>219</v>
      </c>
      <c r="E1515" s="32" t="s">
        <v>222</v>
      </c>
      <c r="F1515" s="32" t="s">
        <v>216</v>
      </c>
      <c r="G1515" s="32" t="s">
        <v>217</v>
      </c>
    </row>
    <row r="1516" ht="16.5" customHeight="1">
      <c r="A1516" s="32">
        <v>1515.0</v>
      </c>
      <c r="B1516" s="32" t="s">
        <v>2081</v>
      </c>
      <c r="C1516" s="32" t="s">
        <v>184</v>
      </c>
      <c r="D1516" s="32" t="s">
        <v>219</v>
      </c>
      <c r="E1516" s="32" t="s">
        <v>222</v>
      </c>
      <c r="F1516" s="32" t="s">
        <v>216</v>
      </c>
      <c r="G1516" s="32" t="s">
        <v>217</v>
      </c>
    </row>
    <row r="1517" ht="16.5" customHeight="1">
      <c r="A1517" s="32">
        <v>1516.0</v>
      </c>
      <c r="B1517" s="32" t="s">
        <v>2082</v>
      </c>
      <c r="C1517" s="32" t="s">
        <v>184</v>
      </c>
      <c r="D1517" s="32" t="s">
        <v>219</v>
      </c>
      <c r="E1517" s="32" t="s">
        <v>222</v>
      </c>
    </row>
    <row r="1518" ht="16.5" customHeight="1">
      <c r="A1518" s="32">
        <v>1517.0</v>
      </c>
      <c r="B1518" s="32" t="s">
        <v>2083</v>
      </c>
      <c r="C1518" s="32" t="s">
        <v>184</v>
      </c>
      <c r="D1518" s="32" t="s">
        <v>219</v>
      </c>
      <c r="E1518" s="35" t="s">
        <v>1929</v>
      </c>
    </row>
    <row r="1519" ht="16.5" customHeight="1">
      <c r="A1519" s="32">
        <v>1518.0</v>
      </c>
      <c r="B1519" s="32" t="s">
        <v>2084</v>
      </c>
      <c r="C1519" s="32" t="s">
        <v>184</v>
      </c>
      <c r="D1519" s="32" t="s">
        <v>214</v>
      </c>
      <c r="E1519" s="32" t="s">
        <v>222</v>
      </c>
      <c r="F1519" s="32" t="s">
        <v>216</v>
      </c>
      <c r="G1519" s="32" t="s">
        <v>217</v>
      </c>
    </row>
    <row r="1520" ht="16.5" customHeight="1">
      <c r="A1520" s="32">
        <v>1519.0</v>
      </c>
      <c r="B1520" s="32" t="s">
        <v>2085</v>
      </c>
      <c r="C1520" s="32" t="s">
        <v>184</v>
      </c>
      <c r="D1520" s="32" t="s">
        <v>214</v>
      </c>
      <c r="E1520" s="32" t="s">
        <v>222</v>
      </c>
    </row>
    <row r="1521" ht="16.5" customHeight="1">
      <c r="A1521" s="32">
        <v>1520.0</v>
      </c>
      <c r="B1521" s="32" t="s">
        <v>2086</v>
      </c>
      <c r="C1521" s="32" t="s">
        <v>184</v>
      </c>
      <c r="D1521" s="32" t="s">
        <v>192</v>
      </c>
      <c r="E1521" s="32" t="s">
        <v>222</v>
      </c>
      <c r="F1521" s="32" t="s">
        <v>329</v>
      </c>
      <c r="G1521" s="32" t="s">
        <v>457</v>
      </c>
    </row>
    <row r="1522" ht="16.5" customHeight="1">
      <c r="A1522" s="32">
        <v>1521.0</v>
      </c>
      <c r="B1522" s="32" t="s">
        <v>2087</v>
      </c>
      <c r="C1522" s="32" t="s">
        <v>184</v>
      </c>
      <c r="D1522" s="32" t="s">
        <v>192</v>
      </c>
      <c r="E1522" s="32" t="s">
        <v>222</v>
      </c>
      <c r="F1522" s="32" t="s">
        <v>329</v>
      </c>
      <c r="G1522" s="32" t="s">
        <v>447</v>
      </c>
    </row>
    <row r="1523" ht="16.5" customHeight="1">
      <c r="A1523" s="32">
        <v>1522.0</v>
      </c>
      <c r="B1523" s="32" t="s">
        <v>2088</v>
      </c>
      <c r="C1523" s="32" t="s">
        <v>184</v>
      </c>
      <c r="D1523" s="32" t="s">
        <v>214</v>
      </c>
      <c r="E1523" s="32" t="s">
        <v>222</v>
      </c>
    </row>
    <row r="1524" ht="16.5" customHeight="1">
      <c r="A1524" s="32">
        <v>1523.0</v>
      </c>
      <c r="B1524" s="32" t="s">
        <v>2089</v>
      </c>
      <c r="C1524" s="32" t="s">
        <v>184</v>
      </c>
      <c r="D1524" s="32" t="s">
        <v>764</v>
      </c>
      <c r="E1524" s="32" t="s">
        <v>222</v>
      </c>
    </row>
    <row r="1525" ht="16.5" customHeight="1">
      <c r="A1525" s="32">
        <v>1524.0</v>
      </c>
      <c r="B1525" s="32" t="s">
        <v>2090</v>
      </c>
      <c r="C1525" s="32" t="s">
        <v>184</v>
      </c>
      <c r="D1525" s="32" t="s">
        <v>764</v>
      </c>
      <c r="E1525" s="32" t="s">
        <v>222</v>
      </c>
    </row>
    <row r="1526" ht="16.5" customHeight="1">
      <c r="A1526" s="32">
        <v>1525.0</v>
      </c>
      <c r="B1526" s="32" t="s">
        <v>2091</v>
      </c>
      <c r="C1526" s="32" t="s">
        <v>184</v>
      </c>
      <c r="D1526" s="32" t="s">
        <v>764</v>
      </c>
      <c r="E1526" s="32" t="s">
        <v>222</v>
      </c>
      <c r="F1526" s="32" t="s">
        <v>954</v>
      </c>
    </row>
    <row r="1527" ht="16.5" customHeight="1">
      <c r="A1527" s="32">
        <v>1526.0</v>
      </c>
      <c r="B1527" s="32" t="s">
        <v>2092</v>
      </c>
      <c r="C1527" s="32" t="s">
        <v>184</v>
      </c>
      <c r="D1527" s="32" t="s">
        <v>764</v>
      </c>
      <c r="E1527" s="32" t="s">
        <v>222</v>
      </c>
    </row>
    <row r="1528" ht="16.5" customHeight="1">
      <c r="A1528" s="32">
        <v>1527.0</v>
      </c>
      <c r="B1528" s="32" t="s">
        <v>2093</v>
      </c>
      <c r="C1528" s="32" t="s">
        <v>184</v>
      </c>
      <c r="D1528" s="32" t="s">
        <v>192</v>
      </c>
      <c r="E1528" s="32" t="s">
        <v>222</v>
      </c>
    </row>
    <row r="1529" ht="16.5" customHeight="1">
      <c r="A1529" s="32">
        <v>1528.0</v>
      </c>
      <c r="B1529" s="32" t="s">
        <v>2094</v>
      </c>
      <c r="C1529" s="32" t="s">
        <v>184</v>
      </c>
      <c r="D1529" s="32" t="s">
        <v>219</v>
      </c>
      <c r="E1529" s="32" t="s">
        <v>222</v>
      </c>
    </row>
    <row r="1530" ht="16.5" customHeight="1">
      <c r="A1530" s="32">
        <v>1529.0</v>
      </c>
      <c r="B1530" s="32" t="s">
        <v>2095</v>
      </c>
      <c r="C1530" s="32" t="s">
        <v>184</v>
      </c>
      <c r="D1530" s="32" t="s">
        <v>285</v>
      </c>
      <c r="E1530" s="32" t="s">
        <v>222</v>
      </c>
    </row>
    <row r="1531" ht="16.5" customHeight="1">
      <c r="A1531" s="32">
        <v>1530.0</v>
      </c>
      <c r="B1531" s="32" t="s">
        <v>2096</v>
      </c>
      <c r="C1531" s="32" t="s">
        <v>184</v>
      </c>
      <c r="D1531" s="32" t="s">
        <v>764</v>
      </c>
      <c r="E1531" s="32" t="s">
        <v>222</v>
      </c>
    </row>
    <row r="1532" ht="16.5" customHeight="1">
      <c r="A1532" s="32">
        <v>1531.0</v>
      </c>
      <c r="B1532" s="32" t="s">
        <v>2097</v>
      </c>
      <c r="C1532" s="32" t="s">
        <v>184</v>
      </c>
      <c r="D1532" s="32" t="s">
        <v>185</v>
      </c>
      <c r="E1532" s="32" t="s">
        <v>222</v>
      </c>
    </row>
    <row r="1533" ht="16.5" customHeight="1">
      <c r="A1533" s="32">
        <v>1532.0</v>
      </c>
      <c r="B1533" s="32" t="s">
        <v>2098</v>
      </c>
      <c r="C1533" s="32" t="s">
        <v>184</v>
      </c>
      <c r="D1533" s="32" t="s">
        <v>219</v>
      </c>
      <c r="E1533" s="32" t="s">
        <v>222</v>
      </c>
      <c r="F1533" s="32" t="s">
        <v>217</v>
      </c>
      <c r="G1533" s="32" t="s">
        <v>216</v>
      </c>
    </row>
    <row r="1534" ht="16.5" customHeight="1">
      <c r="A1534" s="32">
        <v>1533.0</v>
      </c>
      <c r="B1534" s="32" t="s">
        <v>2099</v>
      </c>
      <c r="C1534" s="32" t="s">
        <v>184</v>
      </c>
      <c r="D1534" s="32" t="s">
        <v>219</v>
      </c>
      <c r="E1534" s="32" t="s">
        <v>222</v>
      </c>
      <c r="F1534" s="32" t="s">
        <v>216</v>
      </c>
      <c r="G1534" s="32" t="s">
        <v>217</v>
      </c>
    </row>
    <row r="1535" ht="16.5" customHeight="1">
      <c r="A1535" s="32">
        <v>1534.0</v>
      </c>
      <c r="B1535" s="32" t="s">
        <v>2100</v>
      </c>
      <c r="C1535" s="32" t="s">
        <v>184</v>
      </c>
      <c r="D1535" s="32" t="s">
        <v>234</v>
      </c>
      <c r="E1535" s="32" t="s">
        <v>222</v>
      </c>
      <c r="F1535" s="32" t="s">
        <v>415</v>
      </c>
      <c r="G1535" s="32" t="s">
        <v>243</v>
      </c>
    </row>
    <row r="1536" ht="16.5" customHeight="1">
      <c r="A1536" s="32">
        <v>1535.0</v>
      </c>
      <c r="B1536" s="32" t="s">
        <v>2101</v>
      </c>
      <c r="C1536" s="32" t="s">
        <v>184</v>
      </c>
      <c r="D1536" s="32" t="s">
        <v>228</v>
      </c>
      <c r="E1536" s="32" t="s">
        <v>222</v>
      </c>
      <c r="F1536" s="32" t="s">
        <v>408</v>
      </c>
      <c r="G1536" s="32" t="s">
        <v>452</v>
      </c>
    </row>
    <row r="1537" ht="16.5" customHeight="1">
      <c r="A1537" s="32">
        <v>1536.0</v>
      </c>
      <c r="B1537" s="32" t="s">
        <v>2102</v>
      </c>
      <c r="C1537" s="32" t="s">
        <v>184</v>
      </c>
      <c r="D1537" s="35" t="s">
        <v>1168</v>
      </c>
      <c r="E1537" s="32" t="s">
        <v>222</v>
      </c>
      <c r="F1537" s="32" t="s">
        <v>882</v>
      </c>
      <c r="G1537" s="32" t="s">
        <v>2103</v>
      </c>
    </row>
    <row r="1538" ht="16.5" customHeight="1">
      <c r="A1538" s="32">
        <v>1537.0</v>
      </c>
      <c r="B1538" s="32" t="s">
        <v>2104</v>
      </c>
      <c r="C1538" s="32" t="s">
        <v>184</v>
      </c>
      <c r="D1538" s="32" t="s">
        <v>234</v>
      </c>
      <c r="E1538" s="32" t="s">
        <v>222</v>
      </c>
      <c r="F1538" s="32" t="s">
        <v>415</v>
      </c>
      <c r="G1538" s="32" t="s">
        <v>243</v>
      </c>
    </row>
    <row r="1539" ht="16.5" customHeight="1">
      <c r="A1539" s="32">
        <v>1538.0</v>
      </c>
      <c r="B1539" s="32" t="s">
        <v>2105</v>
      </c>
      <c r="C1539" s="32" t="s">
        <v>184</v>
      </c>
      <c r="D1539" s="32" t="s">
        <v>234</v>
      </c>
      <c r="E1539" s="32" t="s">
        <v>222</v>
      </c>
      <c r="F1539" s="32" t="s">
        <v>415</v>
      </c>
      <c r="G1539" s="32" t="s">
        <v>243</v>
      </c>
    </row>
    <row r="1540" ht="16.5" customHeight="1">
      <c r="A1540" s="32">
        <v>1539.0</v>
      </c>
      <c r="B1540" s="32" t="s">
        <v>2106</v>
      </c>
      <c r="C1540" s="32" t="s">
        <v>184</v>
      </c>
      <c r="D1540" s="32" t="s">
        <v>219</v>
      </c>
      <c r="E1540" s="32" t="s">
        <v>222</v>
      </c>
      <c r="F1540" s="32" t="s">
        <v>241</v>
      </c>
      <c r="G1540" s="32" t="s">
        <v>292</v>
      </c>
    </row>
    <row r="1541" ht="16.5" customHeight="1">
      <c r="A1541" s="32">
        <v>1540.0</v>
      </c>
      <c r="B1541" s="32" t="s">
        <v>2107</v>
      </c>
      <c r="C1541" s="32" t="s">
        <v>184</v>
      </c>
      <c r="D1541" s="32" t="s">
        <v>219</v>
      </c>
      <c r="E1541" s="32" t="s">
        <v>222</v>
      </c>
    </row>
    <row r="1542" ht="16.5" customHeight="1">
      <c r="A1542" s="32">
        <v>1541.0</v>
      </c>
      <c r="B1542" s="32" t="s">
        <v>2108</v>
      </c>
      <c r="C1542" s="32" t="s">
        <v>184</v>
      </c>
      <c r="D1542" s="32" t="s">
        <v>219</v>
      </c>
      <c r="E1542" s="32" t="s">
        <v>222</v>
      </c>
      <c r="F1542" s="32" t="s">
        <v>241</v>
      </c>
      <c r="G1542" s="32" t="s">
        <v>292</v>
      </c>
    </row>
    <row r="1543" ht="16.5" customHeight="1">
      <c r="A1543" s="32">
        <v>1542.0</v>
      </c>
      <c r="B1543" s="32" t="s">
        <v>2108</v>
      </c>
      <c r="C1543" s="32" t="s">
        <v>184</v>
      </c>
      <c r="D1543" s="32" t="s">
        <v>219</v>
      </c>
      <c r="E1543" s="32" t="s">
        <v>222</v>
      </c>
      <c r="F1543" s="32" t="s">
        <v>241</v>
      </c>
      <c r="G1543" s="32" t="s">
        <v>292</v>
      </c>
    </row>
    <row r="1544" ht="16.5" customHeight="1">
      <c r="A1544" s="32">
        <v>1543.0</v>
      </c>
      <c r="B1544" s="32" t="s">
        <v>2109</v>
      </c>
      <c r="C1544" s="32" t="s">
        <v>184</v>
      </c>
      <c r="D1544" s="32" t="s">
        <v>219</v>
      </c>
      <c r="E1544" s="32" t="s">
        <v>222</v>
      </c>
    </row>
    <row r="1545" ht="16.5" customHeight="1">
      <c r="A1545" s="32">
        <v>1544.0</v>
      </c>
      <c r="B1545" s="32" t="s">
        <v>2110</v>
      </c>
      <c r="C1545" s="32" t="s">
        <v>184</v>
      </c>
      <c r="D1545" s="32" t="s">
        <v>234</v>
      </c>
      <c r="E1545" s="32" t="s">
        <v>222</v>
      </c>
      <c r="F1545" s="32" t="s">
        <v>415</v>
      </c>
      <c r="G1545" s="32" t="s">
        <v>2003</v>
      </c>
    </row>
    <row r="1546" ht="16.5" customHeight="1">
      <c r="A1546" s="32">
        <v>1545.0</v>
      </c>
      <c r="B1546" s="32" t="s">
        <v>2111</v>
      </c>
      <c r="C1546" s="32" t="s">
        <v>184</v>
      </c>
      <c r="D1546" s="32" t="s">
        <v>219</v>
      </c>
      <c r="E1546" s="32" t="s">
        <v>222</v>
      </c>
      <c r="F1546" s="32" t="s">
        <v>2112</v>
      </c>
      <c r="G1546" s="32" t="s">
        <v>896</v>
      </c>
    </row>
    <row r="1547" ht="16.5" customHeight="1">
      <c r="A1547" s="32">
        <v>1546.0</v>
      </c>
      <c r="B1547" s="32" t="s">
        <v>2113</v>
      </c>
      <c r="C1547" s="32" t="s">
        <v>184</v>
      </c>
      <c r="D1547" s="32" t="s">
        <v>219</v>
      </c>
      <c r="E1547" s="32" t="s">
        <v>222</v>
      </c>
      <c r="F1547" s="32" t="s">
        <v>241</v>
      </c>
      <c r="G1547" s="32" t="s">
        <v>292</v>
      </c>
    </row>
    <row r="1548" ht="16.5" customHeight="1">
      <c r="A1548" s="32">
        <v>1547.0</v>
      </c>
      <c r="B1548" s="32" t="s">
        <v>2114</v>
      </c>
      <c r="C1548" s="32" t="s">
        <v>184</v>
      </c>
      <c r="D1548" s="32" t="s">
        <v>219</v>
      </c>
      <c r="E1548" s="32" t="s">
        <v>222</v>
      </c>
      <c r="F1548" s="32" t="s">
        <v>232</v>
      </c>
      <c r="G1548" s="32" t="s">
        <v>233</v>
      </c>
    </row>
    <row r="1549" ht="16.5" customHeight="1">
      <c r="A1549" s="32">
        <v>1548.0</v>
      </c>
      <c r="B1549" s="32" t="s">
        <v>2115</v>
      </c>
      <c r="C1549" s="32" t="s">
        <v>184</v>
      </c>
      <c r="D1549" s="32" t="s">
        <v>234</v>
      </c>
      <c r="E1549" s="32" t="s">
        <v>222</v>
      </c>
      <c r="F1549" s="32" t="s">
        <v>415</v>
      </c>
      <c r="G1549" s="32" t="s">
        <v>236</v>
      </c>
    </row>
    <row r="1550" ht="16.5" customHeight="1">
      <c r="A1550" s="32">
        <v>1549.0</v>
      </c>
      <c r="B1550" s="32" t="s">
        <v>2116</v>
      </c>
      <c r="C1550" s="32" t="s">
        <v>184</v>
      </c>
      <c r="D1550" s="32" t="s">
        <v>234</v>
      </c>
      <c r="E1550" s="32" t="s">
        <v>222</v>
      </c>
      <c r="F1550" s="32" t="s">
        <v>415</v>
      </c>
      <c r="G1550" s="32" t="s">
        <v>236</v>
      </c>
    </row>
    <row r="1551" ht="16.5" customHeight="1">
      <c r="A1551" s="32">
        <v>1550.0</v>
      </c>
      <c r="B1551" s="32" t="s">
        <v>2117</v>
      </c>
      <c r="C1551" s="32" t="s">
        <v>184</v>
      </c>
      <c r="D1551" s="32" t="s">
        <v>234</v>
      </c>
      <c r="E1551" s="32" t="s">
        <v>222</v>
      </c>
      <c r="F1551" s="32" t="s">
        <v>415</v>
      </c>
      <c r="G1551" s="32" t="s">
        <v>236</v>
      </c>
    </row>
    <row r="1552" ht="16.5" customHeight="1">
      <c r="A1552" s="32">
        <v>1551.0</v>
      </c>
      <c r="B1552" s="32" t="s">
        <v>2118</v>
      </c>
      <c r="C1552" s="32" t="s">
        <v>184</v>
      </c>
      <c r="D1552" s="32" t="s">
        <v>234</v>
      </c>
      <c r="E1552" s="35" t="s">
        <v>1929</v>
      </c>
      <c r="F1552" s="32" t="s">
        <v>415</v>
      </c>
      <c r="G1552" s="32" t="s">
        <v>236</v>
      </c>
    </row>
    <row r="1553" ht="16.5" customHeight="1">
      <c r="A1553" s="32">
        <v>1552.0</v>
      </c>
      <c r="B1553" s="32" t="s">
        <v>2119</v>
      </c>
      <c r="C1553" s="32" t="s">
        <v>184</v>
      </c>
      <c r="D1553" s="32" t="s">
        <v>228</v>
      </c>
      <c r="E1553" s="32" t="s">
        <v>222</v>
      </c>
      <c r="F1553" s="32" t="s">
        <v>229</v>
      </c>
      <c r="G1553" s="32" t="s">
        <v>244</v>
      </c>
    </row>
    <row r="1554" ht="16.5" customHeight="1">
      <c r="A1554" s="32">
        <v>1553.0</v>
      </c>
      <c r="B1554" s="32" t="s">
        <v>2120</v>
      </c>
      <c r="C1554" s="32" t="s">
        <v>184</v>
      </c>
      <c r="D1554" s="32" t="s">
        <v>228</v>
      </c>
      <c r="E1554" s="32" t="s">
        <v>222</v>
      </c>
      <c r="F1554" s="32" t="s">
        <v>229</v>
      </c>
      <c r="G1554" s="32" t="s">
        <v>244</v>
      </c>
    </row>
    <row r="1555" ht="16.5" customHeight="1">
      <c r="A1555" s="32">
        <v>1554.0</v>
      </c>
      <c r="B1555" s="32" t="s">
        <v>2121</v>
      </c>
      <c r="C1555" s="32" t="s">
        <v>184</v>
      </c>
      <c r="D1555" s="32" t="s">
        <v>219</v>
      </c>
      <c r="E1555" s="32" t="s">
        <v>222</v>
      </c>
      <c r="F1555" s="32" t="s">
        <v>241</v>
      </c>
      <c r="G1555" s="32" t="s">
        <v>292</v>
      </c>
    </row>
    <row r="1556" ht="16.5" customHeight="1">
      <c r="A1556" s="32">
        <v>1555.0</v>
      </c>
      <c r="B1556" s="32" t="s">
        <v>2122</v>
      </c>
      <c r="C1556" s="32" t="s">
        <v>184</v>
      </c>
      <c r="D1556" s="32" t="s">
        <v>219</v>
      </c>
      <c r="E1556" s="32" t="s">
        <v>222</v>
      </c>
      <c r="F1556" s="32" t="s">
        <v>216</v>
      </c>
      <c r="G1556" s="32" t="s">
        <v>217</v>
      </c>
    </row>
    <row r="1557" ht="16.5" customHeight="1">
      <c r="A1557" s="32">
        <v>1556.0</v>
      </c>
      <c r="B1557" s="32" t="s">
        <v>2123</v>
      </c>
      <c r="C1557" s="32" t="s">
        <v>184</v>
      </c>
      <c r="D1557" s="32" t="s">
        <v>234</v>
      </c>
      <c r="E1557" s="32" t="s">
        <v>222</v>
      </c>
      <c r="F1557" s="32" t="s">
        <v>415</v>
      </c>
      <c r="G1557" s="32" t="s">
        <v>243</v>
      </c>
    </row>
    <row r="1558" ht="16.5" customHeight="1">
      <c r="A1558" s="32">
        <v>1557.0</v>
      </c>
      <c r="B1558" s="32" t="s">
        <v>2124</v>
      </c>
      <c r="C1558" s="32" t="s">
        <v>184</v>
      </c>
      <c r="D1558" s="32" t="s">
        <v>234</v>
      </c>
      <c r="E1558" s="32" t="s">
        <v>222</v>
      </c>
      <c r="F1558" s="32" t="s">
        <v>223</v>
      </c>
      <c r="G1558" s="32" t="s">
        <v>472</v>
      </c>
    </row>
    <row r="1559" ht="16.5" customHeight="1">
      <c r="A1559" s="32">
        <v>1558.0</v>
      </c>
      <c r="B1559" s="32" t="s">
        <v>2125</v>
      </c>
      <c r="C1559" s="32" t="s">
        <v>184</v>
      </c>
      <c r="D1559" s="32" t="s">
        <v>219</v>
      </c>
      <c r="E1559" s="32" t="s">
        <v>222</v>
      </c>
    </row>
    <row r="1560" ht="16.5" customHeight="1">
      <c r="A1560" s="32">
        <v>1559.0</v>
      </c>
      <c r="B1560" s="32" t="s">
        <v>2126</v>
      </c>
      <c r="C1560" s="32" t="s">
        <v>184</v>
      </c>
      <c r="D1560" s="32" t="s">
        <v>192</v>
      </c>
      <c r="E1560" s="32" t="s">
        <v>222</v>
      </c>
    </row>
    <row r="1561" ht="16.5" customHeight="1">
      <c r="A1561" s="32">
        <v>1560.0</v>
      </c>
      <c r="B1561" s="32" t="s">
        <v>2127</v>
      </c>
      <c r="C1561" s="32" t="s">
        <v>184</v>
      </c>
      <c r="D1561" s="32" t="s">
        <v>219</v>
      </c>
      <c r="E1561" s="32" t="s">
        <v>222</v>
      </c>
      <c r="F1561" s="32" t="s">
        <v>241</v>
      </c>
      <c r="G1561" s="32" t="s">
        <v>292</v>
      </c>
    </row>
    <row r="1562" ht="16.5" customHeight="1">
      <c r="A1562" s="32">
        <v>1561.0</v>
      </c>
      <c r="B1562" s="32" t="s">
        <v>2128</v>
      </c>
      <c r="C1562" s="32" t="s">
        <v>184</v>
      </c>
      <c r="D1562" s="32" t="s">
        <v>219</v>
      </c>
      <c r="E1562" s="32" t="s">
        <v>222</v>
      </c>
    </row>
    <row r="1563" ht="16.5" customHeight="1">
      <c r="A1563" s="32">
        <v>1562.0</v>
      </c>
      <c r="B1563" s="32" t="s">
        <v>2129</v>
      </c>
      <c r="C1563" s="32" t="s">
        <v>184</v>
      </c>
      <c r="D1563" s="32" t="s">
        <v>234</v>
      </c>
      <c r="E1563" s="32" t="s">
        <v>222</v>
      </c>
      <c r="F1563" s="32" t="s">
        <v>415</v>
      </c>
      <c r="G1563" s="32" t="s">
        <v>236</v>
      </c>
    </row>
    <row r="1564" ht="16.5" customHeight="1">
      <c r="A1564" s="32">
        <v>1563.0</v>
      </c>
      <c r="B1564" s="32" t="s">
        <v>2130</v>
      </c>
      <c r="C1564" s="32" t="s">
        <v>184</v>
      </c>
      <c r="D1564" s="32" t="s">
        <v>234</v>
      </c>
      <c r="E1564" s="32" t="s">
        <v>222</v>
      </c>
      <c r="F1564" s="32" t="s">
        <v>415</v>
      </c>
      <c r="G1564" s="32" t="s">
        <v>236</v>
      </c>
    </row>
    <row r="1565" ht="16.5" customHeight="1">
      <c r="A1565" s="32">
        <v>1564.0</v>
      </c>
      <c r="B1565" s="32" t="s">
        <v>2131</v>
      </c>
      <c r="C1565" s="32" t="s">
        <v>184</v>
      </c>
      <c r="D1565" s="32" t="s">
        <v>228</v>
      </c>
      <c r="E1565" s="32" t="s">
        <v>222</v>
      </c>
    </row>
    <row r="1566" ht="16.5" customHeight="1">
      <c r="A1566" s="32">
        <v>1565.0</v>
      </c>
      <c r="B1566" s="32" t="s">
        <v>2132</v>
      </c>
      <c r="C1566" s="32" t="s">
        <v>184</v>
      </c>
      <c r="D1566" s="32" t="s">
        <v>219</v>
      </c>
      <c r="E1566" s="32" t="s">
        <v>222</v>
      </c>
    </row>
    <row r="1567" ht="16.5" customHeight="1">
      <c r="A1567" s="32">
        <v>1566.0</v>
      </c>
      <c r="B1567" s="32" t="s">
        <v>2133</v>
      </c>
      <c r="C1567" s="32" t="s">
        <v>184</v>
      </c>
      <c r="D1567" s="32" t="s">
        <v>219</v>
      </c>
      <c r="E1567" s="32" t="s">
        <v>222</v>
      </c>
    </row>
    <row r="1568" ht="16.5" customHeight="1">
      <c r="A1568" s="32">
        <v>1567.0</v>
      </c>
      <c r="B1568" s="32" t="s">
        <v>2134</v>
      </c>
      <c r="C1568" s="32" t="s">
        <v>184</v>
      </c>
      <c r="D1568" s="32" t="s">
        <v>228</v>
      </c>
      <c r="E1568" s="32" t="s">
        <v>222</v>
      </c>
      <c r="F1568" s="32" t="s">
        <v>544</v>
      </c>
      <c r="G1568" s="32" t="s">
        <v>2135</v>
      </c>
    </row>
    <row r="1569" ht="16.5" customHeight="1">
      <c r="A1569" s="32">
        <v>1568.0</v>
      </c>
      <c r="B1569" s="32" t="s">
        <v>2136</v>
      </c>
      <c r="C1569" s="32" t="s">
        <v>184</v>
      </c>
      <c r="D1569" s="32" t="s">
        <v>228</v>
      </c>
      <c r="E1569" s="32" t="s">
        <v>222</v>
      </c>
    </row>
    <row r="1570" ht="16.5" customHeight="1">
      <c r="A1570" s="32">
        <v>1569.0</v>
      </c>
      <c r="B1570" s="32" t="s">
        <v>2137</v>
      </c>
      <c r="C1570" s="32" t="s">
        <v>184</v>
      </c>
      <c r="D1570" s="32" t="s">
        <v>234</v>
      </c>
      <c r="E1570" s="32" t="s">
        <v>222</v>
      </c>
      <c r="F1570" s="32" t="s">
        <v>415</v>
      </c>
      <c r="G1570" s="32" t="s">
        <v>243</v>
      </c>
    </row>
    <row r="1571" ht="16.5" customHeight="1">
      <c r="A1571" s="32">
        <v>1570.0</v>
      </c>
      <c r="B1571" s="32" t="s">
        <v>2138</v>
      </c>
      <c r="C1571" s="32" t="s">
        <v>184</v>
      </c>
      <c r="D1571" s="32" t="s">
        <v>234</v>
      </c>
      <c r="E1571" s="32" t="s">
        <v>222</v>
      </c>
      <c r="F1571" s="32" t="s">
        <v>415</v>
      </c>
      <c r="G1571" s="32" t="s">
        <v>243</v>
      </c>
    </row>
    <row r="1572" ht="16.5" customHeight="1">
      <c r="A1572" s="32">
        <v>1571.0</v>
      </c>
      <c r="B1572" s="32" t="s">
        <v>2139</v>
      </c>
      <c r="C1572" s="32" t="s">
        <v>184</v>
      </c>
      <c r="D1572" s="32" t="s">
        <v>234</v>
      </c>
      <c r="E1572" s="32" t="s">
        <v>222</v>
      </c>
    </row>
    <row r="1573" ht="16.5" customHeight="1">
      <c r="A1573" s="32">
        <v>1572.0</v>
      </c>
      <c r="B1573" s="32" t="s">
        <v>2140</v>
      </c>
      <c r="C1573" s="32" t="s">
        <v>184</v>
      </c>
      <c r="D1573" s="32" t="s">
        <v>234</v>
      </c>
      <c r="E1573" s="32" t="s">
        <v>222</v>
      </c>
      <c r="F1573" s="32" t="s">
        <v>235</v>
      </c>
      <c r="G1573" s="32" t="s">
        <v>243</v>
      </c>
    </row>
    <row r="1574" ht="16.5" customHeight="1">
      <c r="A1574" s="32">
        <v>1573.0</v>
      </c>
      <c r="B1574" s="32" t="s">
        <v>2141</v>
      </c>
      <c r="C1574" s="32" t="s">
        <v>184</v>
      </c>
      <c r="D1574" s="32" t="s">
        <v>234</v>
      </c>
      <c r="E1574" s="32" t="s">
        <v>222</v>
      </c>
      <c r="F1574" s="32" t="s">
        <v>415</v>
      </c>
      <c r="G1574" s="32" t="s">
        <v>243</v>
      </c>
    </row>
    <row r="1575" ht="16.5" customHeight="1">
      <c r="A1575" s="32">
        <v>1574.0</v>
      </c>
      <c r="B1575" s="32" t="s">
        <v>2142</v>
      </c>
      <c r="C1575" s="32" t="s">
        <v>184</v>
      </c>
      <c r="D1575" s="32" t="s">
        <v>234</v>
      </c>
      <c r="E1575" s="35" t="s">
        <v>1929</v>
      </c>
    </row>
    <row r="1576" ht="16.5" customHeight="1">
      <c r="A1576" s="32">
        <v>1575.0</v>
      </c>
      <c r="B1576" s="32" t="s">
        <v>2143</v>
      </c>
      <c r="C1576" s="32" t="s">
        <v>184</v>
      </c>
      <c r="D1576" s="32" t="s">
        <v>228</v>
      </c>
      <c r="E1576" s="32" t="s">
        <v>222</v>
      </c>
      <c r="F1576" s="32" t="s">
        <v>229</v>
      </c>
      <c r="G1576" s="32" t="s">
        <v>244</v>
      </c>
    </row>
    <row r="1577" ht="16.5" customHeight="1">
      <c r="A1577" s="32">
        <v>1576.0</v>
      </c>
      <c r="B1577" s="32" t="s">
        <v>2144</v>
      </c>
      <c r="C1577" s="32" t="s">
        <v>184</v>
      </c>
      <c r="D1577" s="32" t="s">
        <v>228</v>
      </c>
      <c r="E1577" s="32" t="s">
        <v>222</v>
      </c>
    </row>
    <row r="1578" ht="16.5" customHeight="1">
      <c r="A1578" s="32">
        <v>1577.0</v>
      </c>
      <c r="B1578" s="32" t="s">
        <v>2145</v>
      </c>
      <c r="C1578" s="32" t="s">
        <v>184</v>
      </c>
      <c r="D1578" s="32" t="s">
        <v>228</v>
      </c>
      <c r="E1578" s="32" t="s">
        <v>222</v>
      </c>
      <c r="F1578" s="32" t="s">
        <v>408</v>
      </c>
      <c r="G1578" s="32" t="s">
        <v>452</v>
      </c>
    </row>
    <row r="1579" ht="16.5" customHeight="1">
      <c r="A1579" s="32">
        <v>1578.0</v>
      </c>
      <c r="B1579" s="32" t="s">
        <v>2146</v>
      </c>
      <c r="C1579" s="32" t="s">
        <v>184</v>
      </c>
      <c r="D1579" s="32" t="s">
        <v>228</v>
      </c>
      <c r="E1579" s="32" t="s">
        <v>222</v>
      </c>
      <c r="F1579" s="32" t="s">
        <v>1997</v>
      </c>
      <c r="G1579" s="32" t="s">
        <v>2147</v>
      </c>
    </row>
    <row r="1580" ht="16.5" customHeight="1">
      <c r="A1580" s="32">
        <v>1579.0</v>
      </c>
      <c r="B1580" s="32" t="s">
        <v>2148</v>
      </c>
      <c r="C1580" s="32" t="s">
        <v>184</v>
      </c>
      <c r="D1580" s="32" t="s">
        <v>234</v>
      </c>
      <c r="E1580" s="32" t="s">
        <v>222</v>
      </c>
      <c r="F1580" s="32" t="s">
        <v>415</v>
      </c>
      <c r="G1580" s="32" t="s">
        <v>2149</v>
      </c>
    </row>
    <row r="1581" ht="16.5" customHeight="1">
      <c r="A1581" s="32">
        <v>1580.0</v>
      </c>
      <c r="B1581" s="32" t="s">
        <v>2150</v>
      </c>
      <c r="C1581" s="32" t="s">
        <v>184</v>
      </c>
      <c r="D1581" s="32" t="s">
        <v>192</v>
      </c>
      <c r="E1581" s="32" t="s">
        <v>222</v>
      </c>
      <c r="F1581" s="32" t="s">
        <v>329</v>
      </c>
      <c r="G1581" s="32" t="s">
        <v>194</v>
      </c>
    </row>
    <row r="1582" ht="16.5" customHeight="1">
      <c r="A1582" s="32">
        <v>1581.0</v>
      </c>
      <c r="B1582" s="32" t="s">
        <v>2151</v>
      </c>
      <c r="C1582" s="32" t="s">
        <v>184</v>
      </c>
      <c r="D1582" s="32" t="s">
        <v>192</v>
      </c>
      <c r="E1582" s="32" t="s">
        <v>186</v>
      </c>
      <c r="F1582" s="32" t="s">
        <v>570</v>
      </c>
      <c r="G1582" s="32" t="s">
        <v>447</v>
      </c>
    </row>
    <row r="1583" ht="16.5" customHeight="1">
      <c r="A1583" s="32">
        <v>1582.0</v>
      </c>
      <c r="B1583" s="32" t="s">
        <v>2152</v>
      </c>
      <c r="C1583" s="32" t="s">
        <v>184</v>
      </c>
      <c r="D1583" s="32" t="s">
        <v>234</v>
      </c>
      <c r="E1583" s="32" t="s">
        <v>222</v>
      </c>
      <c r="F1583" s="32" t="s">
        <v>885</v>
      </c>
      <c r="G1583" s="32" t="s">
        <v>415</v>
      </c>
    </row>
    <row r="1584" ht="16.5" customHeight="1">
      <c r="A1584" s="32">
        <v>1583.0</v>
      </c>
      <c r="B1584" s="32" t="s">
        <v>2153</v>
      </c>
      <c r="C1584" s="32" t="s">
        <v>184</v>
      </c>
      <c r="D1584" s="32" t="s">
        <v>228</v>
      </c>
      <c r="E1584" s="32" t="s">
        <v>222</v>
      </c>
    </row>
    <row r="1585" ht="16.5" customHeight="1">
      <c r="A1585" s="32">
        <v>1584.0</v>
      </c>
      <c r="B1585" s="32" t="s">
        <v>2154</v>
      </c>
      <c r="C1585" s="32" t="s">
        <v>184</v>
      </c>
      <c r="D1585" s="32" t="s">
        <v>192</v>
      </c>
      <c r="E1585" s="32" t="s">
        <v>222</v>
      </c>
      <c r="F1585" s="32" t="s">
        <v>238</v>
      </c>
      <c r="G1585" s="32" t="s">
        <v>239</v>
      </c>
    </row>
    <row r="1586" ht="16.5" customHeight="1">
      <c r="A1586" s="32">
        <v>1585.0</v>
      </c>
      <c r="B1586" s="32" t="s">
        <v>2155</v>
      </c>
      <c r="C1586" s="32" t="s">
        <v>184</v>
      </c>
      <c r="D1586" s="32" t="s">
        <v>192</v>
      </c>
      <c r="E1586" s="32" t="s">
        <v>222</v>
      </c>
      <c r="F1586" s="32" t="s">
        <v>238</v>
      </c>
      <c r="G1586" s="32" t="s">
        <v>239</v>
      </c>
    </row>
    <row r="1587" ht="16.5" customHeight="1">
      <c r="A1587" s="32">
        <v>1586.0</v>
      </c>
      <c r="B1587" s="32" t="s">
        <v>2156</v>
      </c>
      <c r="C1587" s="32" t="s">
        <v>184</v>
      </c>
      <c r="D1587" s="32" t="s">
        <v>219</v>
      </c>
      <c r="E1587" s="32" t="s">
        <v>222</v>
      </c>
      <c r="F1587" s="32" t="s">
        <v>415</v>
      </c>
      <c r="G1587" s="32" t="s">
        <v>243</v>
      </c>
    </row>
    <row r="1588" ht="16.5" customHeight="1">
      <c r="A1588" s="32">
        <v>1587.0</v>
      </c>
      <c r="B1588" s="32" t="s">
        <v>2157</v>
      </c>
      <c r="C1588" s="32" t="s">
        <v>184</v>
      </c>
      <c r="D1588" s="32" t="s">
        <v>228</v>
      </c>
      <c r="E1588" s="32" t="s">
        <v>222</v>
      </c>
      <c r="F1588" s="32" t="s">
        <v>408</v>
      </c>
      <c r="G1588" s="32" t="s">
        <v>731</v>
      </c>
    </row>
    <row r="1589" ht="16.5" customHeight="1">
      <c r="A1589" s="32">
        <v>1588.0</v>
      </c>
      <c r="B1589" s="32" t="s">
        <v>2158</v>
      </c>
      <c r="C1589" s="32" t="s">
        <v>184</v>
      </c>
      <c r="D1589" s="32" t="s">
        <v>219</v>
      </c>
      <c r="E1589" s="32" t="s">
        <v>222</v>
      </c>
      <c r="F1589" s="32" t="s">
        <v>223</v>
      </c>
    </row>
    <row r="1590" ht="16.5" customHeight="1">
      <c r="A1590" s="32">
        <v>1589.0</v>
      </c>
      <c r="B1590" s="32" t="s">
        <v>2159</v>
      </c>
      <c r="C1590" s="32" t="s">
        <v>184</v>
      </c>
      <c r="D1590" s="32" t="s">
        <v>219</v>
      </c>
      <c r="E1590" s="32" t="s">
        <v>222</v>
      </c>
      <c r="F1590" s="32" t="s">
        <v>223</v>
      </c>
    </row>
    <row r="1591" ht="16.5" customHeight="1">
      <c r="A1591" s="32">
        <v>1590.0</v>
      </c>
      <c r="B1591" s="32" t="s">
        <v>2160</v>
      </c>
      <c r="C1591" s="32" t="s">
        <v>184</v>
      </c>
      <c r="D1591" s="32" t="s">
        <v>234</v>
      </c>
      <c r="E1591" s="32" t="s">
        <v>222</v>
      </c>
      <c r="F1591" s="32" t="s">
        <v>415</v>
      </c>
      <c r="G1591" s="32" t="s">
        <v>236</v>
      </c>
    </row>
    <row r="1592" ht="16.5" customHeight="1">
      <c r="A1592" s="32">
        <v>1591.0</v>
      </c>
      <c r="B1592" s="32" t="s">
        <v>2161</v>
      </c>
      <c r="C1592" s="32" t="s">
        <v>184</v>
      </c>
      <c r="D1592" s="32" t="s">
        <v>219</v>
      </c>
      <c r="E1592" s="32" t="s">
        <v>222</v>
      </c>
      <c r="F1592" s="32" t="s">
        <v>223</v>
      </c>
    </row>
    <row r="1593" ht="16.5" customHeight="1">
      <c r="A1593" s="32">
        <v>1592.0</v>
      </c>
      <c r="B1593" s="32" t="s">
        <v>2162</v>
      </c>
      <c r="C1593" s="32" t="s">
        <v>184</v>
      </c>
      <c r="D1593" s="32" t="s">
        <v>219</v>
      </c>
      <c r="E1593" s="32" t="s">
        <v>222</v>
      </c>
      <c r="F1593" s="32" t="s">
        <v>223</v>
      </c>
    </row>
    <row r="1594" ht="16.5" customHeight="1">
      <c r="A1594" s="32">
        <v>1593.0</v>
      </c>
      <c r="B1594" s="32" t="s">
        <v>2163</v>
      </c>
      <c r="C1594" s="32" t="s">
        <v>184</v>
      </c>
      <c r="D1594" s="32" t="s">
        <v>228</v>
      </c>
      <c r="E1594" s="32" t="s">
        <v>222</v>
      </c>
      <c r="F1594" s="32" t="s">
        <v>229</v>
      </c>
      <c r="G1594" s="32" t="s">
        <v>244</v>
      </c>
    </row>
    <row r="1595" ht="16.5" customHeight="1">
      <c r="A1595" s="32">
        <v>1594.0</v>
      </c>
      <c r="B1595" s="32" t="s">
        <v>2164</v>
      </c>
      <c r="C1595" s="32" t="s">
        <v>184</v>
      </c>
      <c r="D1595" s="32" t="s">
        <v>228</v>
      </c>
      <c r="E1595" s="32" t="s">
        <v>222</v>
      </c>
      <c r="F1595" s="32" t="s">
        <v>2165</v>
      </c>
    </row>
    <row r="1596" ht="16.5" customHeight="1">
      <c r="A1596" s="32">
        <v>1595.0</v>
      </c>
      <c r="B1596" s="32" t="s">
        <v>2166</v>
      </c>
      <c r="C1596" s="32" t="s">
        <v>184</v>
      </c>
      <c r="D1596" s="32" t="s">
        <v>285</v>
      </c>
      <c r="E1596" s="32" t="s">
        <v>222</v>
      </c>
    </row>
    <row r="1597" ht="16.5" customHeight="1">
      <c r="A1597" s="32">
        <v>1596.0</v>
      </c>
      <c r="B1597" s="32" t="s">
        <v>2167</v>
      </c>
      <c r="C1597" s="32" t="s">
        <v>184</v>
      </c>
      <c r="D1597" s="32" t="s">
        <v>228</v>
      </c>
      <c r="E1597" s="32" t="s">
        <v>222</v>
      </c>
      <c r="F1597" s="32" t="s">
        <v>2168</v>
      </c>
      <c r="G1597" s="32" t="s">
        <v>2169</v>
      </c>
    </row>
    <row r="1598" ht="16.5" customHeight="1">
      <c r="A1598" s="32">
        <v>1597.0</v>
      </c>
      <c r="B1598" s="32" t="s">
        <v>2170</v>
      </c>
      <c r="C1598" s="32" t="s">
        <v>184</v>
      </c>
      <c r="D1598" s="35" t="s">
        <v>691</v>
      </c>
      <c r="E1598" s="32" t="s">
        <v>222</v>
      </c>
      <c r="F1598" s="32" t="s">
        <v>2168</v>
      </c>
      <c r="G1598" s="32" t="s">
        <v>2169</v>
      </c>
    </row>
    <row r="1599" ht="16.5" customHeight="1">
      <c r="A1599" s="32">
        <v>1598.0</v>
      </c>
      <c r="B1599" s="32" t="s">
        <v>2171</v>
      </c>
      <c r="C1599" s="32" t="s">
        <v>184</v>
      </c>
      <c r="D1599" s="32" t="s">
        <v>185</v>
      </c>
      <c r="E1599" s="32" t="s">
        <v>222</v>
      </c>
    </row>
    <row r="1600" ht="16.5" customHeight="1">
      <c r="A1600" s="32">
        <v>1599.0</v>
      </c>
      <c r="B1600" s="32" t="s">
        <v>221</v>
      </c>
      <c r="C1600" s="32" t="s">
        <v>184</v>
      </c>
      <c r="D1600" s="32" t="s">
        <v>219</v>
      </c>
      <c r="E1600" s="32" t="s">
        <v>222</v>
      </c>
      <c r="F1600" s="32" t="s">
        <v>223</v>
      </c>
    </row>
    <row r="1601" ht="16.5" customHeight="1">
      <c r="A1601" s="32">
        <v>1600.0</v>
      </c>
      <c r="B1601" s="32" t="s">
        <v>2172</v>
      </c>
      <c r="C1601" s="32" t="s">
        <v>184</v>
      </c>
      <c r="D1601" s="32" t="s">
        <v>219</v>
      </c>
      <c r="E1601" s="32" t="s">
        <v>222</v>
      </c>
      <c r="F1601" s="32" t="s">
        <v>223</v>
      </c>
    </row>
    <row r="1602" ht="16.5" customHeight="1">
      <c r="A1602" s="32">
        <v>1601.0</v>
      </c>
      <c r="B1602" s="32" t="s">
        <v>2173</v>
      </c>
      <c r="C1602" s="32" t="s">
        <v>184</v>
      </c>
      <c r="D1602" s="32" t="s">
        <v>219</v>
      </c>
      <c r="E1602" s="32" t="s">
        <v>222</v>
      </c>
    </row>
    <row r="1603" ht="16.5" customHeight="1">
      <c r="A1603" s="32">
        <v>1602.0</v>
      </c>
      <c r="B1603" s="32" t="s">
        <v>2174</v>
      </c>
      <c r="C1603" s="32" t="s">
        <v>184</v>
      </c>
      <c r="D1603" s="32" t="s">
        <v>228</v>
      </c>
      <c r="E1603" s="32" t="s">
        <v>222</v>
      </c>
    </row>
    <row r="1604" ht="16.5" customHeight="1">
      <c r="A1604" s="32">
        <v>1603.0</v>
      </c>
      <c r="B1604" s="32" t="s">
        <v>2175</v>
      </c>
      <c r="C1604" s="32" t="s">
        <v>184</v>
      </c>
      <c r="D1604" s="32" t="s">
        <v>219</v>
      </c>
      <c r="E1604" s="32" t="s">
        <v>222</v>
      </c>
    </row>
    <row r="1605" ht="16.5" customHeight="1">
      <c r="A1605" s="32">
        <v>1604.0</v>
      </c>
      <c r="B1605" s="32" t="s">
        <v>2176</v>
      </c>
      <c r="C1605" s="32" t="s">
        <v>184</v>
      </c>
      <c r="D1605" s="35" t="s">
        <v>691</v>
      </c>
      <c r="E1605" s="32" t="s">
        <v>222</v>
      </c>
      <c r="F1605" s="32" t="s">
        <v>793</v>
      </c>
      <c r="G1605" s="32" t="s">
        <v>2177</v>
      </c>
    </row>
    <row r="1606" ht="16.5" customHeight="1">
      <c r="A1606" s="32">
        <v>1605.0</v>
      </c>
      <c r="B1606" s="32" t="s">
        <v>2178</v>
      </c>
      <c r="C1606" s="32" t="s">
        <v>184</v>
      </c>
      <c r="D1606" s="32" t="s">
        <v>285</v>
      </c>
      <c r="E1606" s="32" t="s">
        <v>222</v>
      </c>
    </row>
    <row r="1607" ht="16.5" customHeight="1">
      <c r="A1607" s="32">
        <v>1606.0</v>
      </c>
      <c r="B1607" s="32" t="s">
        <v>2179</v>
      </c>
      <c r="C1607" s="32" t="s">
        <v>184</v>
      </c>
      <c r="D1607" s="32" t="s">
        <v>285</v>
      </c>
      <c r="E1607" s="32" t="s">
        <v>222</v>
      </c>
    </row>
    <row r="1608" ht="16.5" customHeight="1">
      <c r="A1608" s="32">
        <v>1607.0</v>
      </c>
      <c r="B1608" s="32" t="s">
        <v>2180</v>
      </c>
      <c r="C1608" s="32" t="s">
        <v>184</v>
      </c>
      <c r="D1608" s="32" t="s">
        <v>285</v>
      </c>
      <c r="E1608" s="32" t="s">
        <v>222</v>
      </c>
    </row>
    <row r="1609" ht="16.5" customHeight="1">
      <c r="A1609" s="32">
        <v>1608.0</v>
      </c>
      <c r="B1609" s="32" t="s">
        <v>2181</v>
      </c>
      <c r="C1609" s="32" t="s">
        <v>184</v>
      </c>
      <c r="D1609" s="32" t="s">
        <v>228</v>
      </c>
      <c r="E1609" s="32" t="s">
        <v>222</v>
      </c>
      <c r="F1609" s="32" t="s">
        <v>544</v>
      </c>
      <c r="G1609" s="32" t="s">
        <v>545</v>
      </c>
    </row>
    <row r="1610" ht="16.5" customHeight="1">
      <c r="A1610" s="32">
        <v>1609.0</v>
      </c>
      <c r="B1610" s="32" t="s">
        <v>2182</v>
      </c>
      <c r="C1610" s="32" t="s">
        <v>184</v>
      </c>
      <c r="D1610" s="35" t="s">
        <v>294</v>
      </c>
      <c r="E1610" s="32" t="s">
        <v>222</v>
      </c>
      <c r="F1610" s="32" t="s">
        <v>189</v>
      </c>
      <c r="G1610" s="32" t="s">
        <v>2046</v>
      </c>
    </row>
    <row r="1611" ht="16.5" customHeight="1">
      <c r="A1611" s="32">
        <v>1610.0</v>
      </c>
      <c r="B1611" s="32" t="s">
        <v>2183</v>
      </c>
      <c r="C1611" s="32" t="s">
        <v>184</v>
      </c>
      <c r="D1611" s="32" t="s">
        <v>228</v>
      </c>
      <c r="E1611" s="32" t="s">
        <v>222</v>
      </c>
      <c r="F1611" s="32" t="s">
        <v>454</v>
      </c>
      <c r="G1611" s="32" t="s">
        <v>389</v>
      </c>
    </row>
    <row r="1612" ht="16.5" customHeight="1">
      <c r="A1612" s="32">
        <v>1611.0</v>
      </c>
      <c r="B1612" s="32" t="s">
        <v>2184</v>
      </c>
      <c r="C1612" s="32" t="s">
        <v>184</v>
      </c>
      <c r="D1612" s="32" t="s">
        <v>234</v>
      </c>
      <c r="E1612" s="32" t="s">
        <v>222</v>
      </c>
      <c r="F1612" s="32" t="s">
        <v>415</v>
      </c>
      <c r="G1612" s="32" t="s">
        <v>236</v>
      </c>
    </row>
    <row r="1613" ht="16.5" customHeight="1">
      <c r="A1613" s="32">
        <v>1612.0</v>
      </c>
      <c r="B1613" s="32" t="s">
        <v>2185</v>
      </c>
      <c r="C1613" s="32" t="s">
        <v>184</v>
      </c>
      <c r="D1613" s="32" t="s">
        <v>254</v>
      </c>
      <c r="E1613" s="32" t="s">
        <v>222</v>
      </c>
    </row>
    <row r="1614" ht="16.5" customHeight="1">
      <c r="A1614" s="32">
        <v>1613.0</v>
      </c>
      <c r="B1614" s="32" t="s">
        <v>95</v>
      </c>
      <c r="C1614" s="32" t="s">
        <v>184</v>
      </c>
      <c r="D1614" s="32" t="s">
        <v>185</v>
      </c>
      <c r="E1614" s="32" t="s">
        <v>222</v>
      </c>
      <c r="F1614" s="32" t="s">
        <v>189</v>
      </c>
      <c r="G1614" s="32" t="s">
        <v>190</v>
      </c>
    </row>
    <row r="1615" ht="16.5" customHeight="1">
      <c r="A1615" s="32">
        <v>1614.0</v>
      </c>
      <c r="B1615" s="32" t="s">
        <v>2186</v>
      </c>
      <c r="C1615" s="32" t="s">
        <v>184</v>
      </c>
      <c r="D1615" s="35" t="s">
        <v>294</v>
      </c>
      <c r="E1615" s="32" t="s">
        <v>222</v>
      </c>
      <c r="F1615" s="32" t="s">
        <v>189</v>
      </c>
      <c r="G1615" s="32" t="s">
        <v>190</v>
      </c>
    </row>
    <row r="1616" ht="16.5" customHeight="1">
      <c r="A1616" s="32">
        <v>1615.0</v>
      </c>
      <c r="B1616" s="32" t="s">
        <v>2187</v>
      </c>
      <c r="C1616" s="32" t="s">
        <v>184</v>
      </c>
      <c r="D1616" s="32" t="s">
        <v>285</v>
      </c>
      <c r="E1616" s="32" t="s">
        <v>222</v>
      </c>
      <c r="F1616" s="32" t="s">
        <v>189</v>
      </c>
      <c r="G1616" s="32" t="s">
        <v>190</v>
      </c>
    </row>
    <row r="1617" ht="16.5" customHeight="1">
      <c r="A1617" s="32">
        <v>1616.0</v>
      </c>
      <c r="B1617" s="32" t="s">
        <v>2188</v>
      </c>
      <c r="C1617" s="32" t="s">
        <v>184</v>
      </c>
      <c r="D1617" s="32" t="s">
        <v>219</v>
      </c>
      <c r="E1617" s="32" t="s">
        <v>222</v>
      </c>
    </row>
    <row r="1618" ht="16.5" customHeight="1">
      <c r="A1618" s="32">
        <v>1617.0</v>
      </c>
      <c r="B1618" s="32" t="s">
        <v>2189</v>
      </c>
      <c r="C1618" s="32" t="s">
        <v>184</v>
      </c>
      <c r="D1618" s="35" t="s">
        <v>294</v>
      </c>
      <c r="E1618" s="32" t="s">
        <v>222</v>
      </c>
    </row>
    <row r="1619" ht="16.5" customHeight="1">
      <c r="A1619" s="32">
        <v>1618.0</v>
      </c>
      <c r="B1619" s="32" t="s">
        <v>2190</v>
      </c>
      <c r="C1619" s="32" t="s">
        <v>184</v>
      </c>
      <c r="D1619" s="32" t="s">
        <v>219</v>
      </c>
      <c r="E1619" s="32" t="s">
        <v>222</v>
      </c>
      <c r="F1619" s="32" t="s">
        <v>223</v>
      </c>
    </row>
    <row r="1620" ht="16.5" customHeight="1">
      <c r="A1620" s="32">
        <v>1619.0</v>
      </c>
      <c r="B1620" s="32" t="s">
        <v>2191</v>
      </c>
      <c r="C1620" s="32" t="s">
        <v>184</v>
      </c>
      <c r="D1620" s="32" t="s">
        <v>219</v>
      </c>
      <c r="E1620" s="32" t="s">
        <v>222</v>
      </c>
      <c r="F1620" s="32" t="s">
        <v>223</v>
      </c>
    </row>
    <row r="1621" ht="16.5" customHeight="1">
      <c r="A1621" s="32">
        <v>1620.0</v>
      </c>
      <c r="B1621" s="32" t="s">
        <v>2192</v>
      </c>
      <c r="C1621" s="32" t="s">
        <v>184</v>
      </c>
      <c r="D1621" s="32" t="s">
        <v>219</v>
      </c>
      <c r="E1621" s="32" t="s">
        <v>222</v>
      </c>
      <c r="F1621" s="32" t="s">
        <v>223</v>
      </c>
    </row>
    <row r="1622" ht="16.5" customHeight="1">
      <c r="A1622" s="32">
        <v>1621.0</v>
      </c>
      <c r="B1622" s="32" t="s">
        <v>2193</v>
      </c>
      <c r="C1622" s="32" t="s">
        <v>184</v>
      </c>
      <c r="D1622" s="32" t="s">
        <v>192</v>
      </c>
      <c r="E1622" s="32" t="s">
        <v>222</v>
      </c>
      <c r="F1622" s="32" t="s">
        <v>329</v>
      </c>
      <c r="G1622" s="32" t="s">
        <v>357</v>
      </c>
    </row>
    <row r="1623" ht="16.5" customHeight="1">
      <c r="A1623" s="32">
        <v>1622.0</v>
      </c>
      <c r="B1623" s="32" t="s">
        <v>2194</v>
      </c>
      <c r="C1623" s="32" t="s">
        <v>184</v>
      </c>
      <c r="D1623" s="32" t="s">
        <v>219</v>
      </c>
      <c r="E1623" s="32" t="s">
        <v>222</v>
      </c>
      <c r="F1623" s="32" t="s">
        <v>223</v>
      </c>
      <c r="G1623" s="32" t="s">
        <v>472</v>
      </c>
    </row>
    <row r="1624" ht="16.5" customHeight="1">
      <c r="A1624" s="32">
        <v>1623.0</v>
      </c>
      <c r="B1624" s="32" t="s">
        <v>2195</v>
      </c>
      <c r="C1624" s="32" t="s">
        <v>184</v>
      </c>
      <c r="D1624" s="32" t="s">
        <v>219</v>
      </c>
      <c r="E1624" s="32" t="s">
        <v>222</v>
      </c>
    </row>
    <row r="1625" ht="16.5" customHeight="1">
      <c r="A1625" s="32">
        <v>1624.0</v>
      </c>
      <c r="B1625" s="32" t="s">
        <v>2196</v>
      </c>
      <c r="C1625" s="32" t="s">
        <v>184</v>
      </c>
      <c r="D1625" s="32" t="s">
        <v>192</v>
      </c>
      <c r="E1625" s="32" t="s">
        <v>222</v>
      </c>
      <c r="F1625" s="32" t="s">
        <v>2197</v>
      </c>
    </row>
    <row r="1626" ht="16.5" customHeight="1">
      <c r="A1626" s="32">
        <v>1625.0</v>
      </c>
      <c r="B1626" s="32" t="s">
        <v>2198</v>
      </c>
      <c r="C1626" s="32" t="s">
        <v>184</v>
      </c>
      <c r="D1626" s="32" t="s">
        <v>192</v>
      </c>
      <c r="E1626" s="32" t="s">
        <v>222</v>
      </c>
    </row>
    <row r="1627" ht="16.5" customHeight="1">
      <c r="A1627" s="32">
        <v>1626.0</v>
      </c>
      <c r="B1627" s="32" t="s">
        <v>2199</v>
      </c>
      <c r="C1627" s="32" t="s">
        <v>184</v>
      </c>
      <c r="D1627" s="32" t="s">
        <v>285</v>
      </c>
      <c r="E1627" s="32" t="s">
        <v>222</v>
      </c>
      <c r="F1627" s="32" t="s">
        <v>188</v>
      </c>
      <c r="G1627" s="32" t="s">
        <v>561</v>
      </c>
    </row>
    <row r="1628" ht="16.5" customHeight="1">
      <c r="A1628" s="32">
        <v>1627.0</v>
      </c>
      <c r="B1628" s="32" t="s">
        <v>2200</v>
      </c>
      <c r="C1628" s="32" t="s">
        <v>184</v>
      </c>
      <c r="D1628" s="32" t="s">
        <v>285</v>
      </c>
      <c r="E1628" s="32" t="s">
        <v>222</v>
      </c>
      <c r="F1628" s="32" t="s">
        <v>188</v>
      </c>
      <c r="G1628" s="32" t="s">
        <v>561</v>
      </c>
    </row>
    <row r="1629" ht="16.5" customHeight="1">
      <c r="A1629" s="32">
        <v>1628.0</v>
      </c>
      <c r="B1629" s="32" t="s">
        <v>2201</v>
      </c>
      <c r="C1629" s="32" t="s">
        <v>184</v>
      </c>
      <c r="D1629" s="32" t="s">
        <v>219</v>
      </c>
      <c r="E1629" s="32" t="s">
        <v>222</v>
      </c>
      <c r="F1629" s="32" t="s">
        <v>223</v>
      </c>
    </row>
    <row r="1630" ht="16.5" customHeight="1">
      <c r="A1630" s="32">
        <v>1629.0</v>
      </c>
      <c r="B1630" s="32" t="s">
        <v>2202</v>
      </c>
      <c r="C1630" s="32" t="s">
        <v>184</v>
      </c>
      <c r="D1630" s="32" t="s">
        <v>234</v>
      </c>
      <c r="E1630" s="32" t="s">
        <v>222</v>
      </c>
      <c r="F1630" s="32" t="s">
        <v>235</v>
      </c>
      <c r="G1630" s="32" t="s">
        <v>243</v>
      </c>
    </row>
    <row r="1631" ht="16.5" customHeight="1">
      <c r="A1631" s="32">
        <v>1630.0</v>
      </c>
      <c r="B1631" s="32" t="s">
        <v>2203</v>
      </c>
      <c r="C1631" s="32" t="s">
        <v>184</v>
      </c>
      <c r="D1631" s="32" t="s">
        <v>234</v>
      </c>
      <c r="E1631" s="32" t="s">
        <v>222</v>
      </c>
      <c r="F1631" s="32" t="s">
        <v>223</v>
      </c>
      <c r="G1631" s="32" t="s">
        <v>472</v>
      </c>
    </row>
    <row r="1632" ht="16.5" customHeight="1">
      <c r="A1632" s="32">
        <v>1631.0</v>
      </c>
      <c r="B1632" s="32" t="s">
        <v>2204</v>
      </c>
      <c r="C1632" s="32" t="s">
        <v>184</v>
      </c>
      <c r="D1632" s="32" t="s">
        <v>234</v>
      </c>
      <c r="E1632" s="32" t="s">
        <v>222</v>
      </c>
      <c r="F1632" s="32" t="s">
        <v>347</v>
      </c>
      <c r="G1632" s="32" t="s">
        <v>1884</v>
      </c>
    </row>
    <row r="1633" ht="16.5" customHeight="1">
      <c r="A1633" s="32">
        <v>1632.0</v>
      </c>
      <c r="B1633" s="32" t="s">
        <v>2205</v>
      </c>
      <c r="C1633" s="32" t="s">
        <v>184</v>
      </c>
      <c r="D1633" s="32" t="s">
        <v>285</v>
      </c>
      <c r="E1633" s="32" t="s">
        <v>222</v>
      </c>
      <c r="F1633" s="32" t="s">
        <v>188</v>
      </c>
      <c r="G1633" s="32" t="s">
        <v>368</v>
      </c>
    </row>
    <row r="1634" ht="16.5" customHeight="1">
      <c r="A1634" s="32">
        <v>1633.0</v>
      </c>
      <c r="B1634" s="32" t="s">
        <v>2206</v>
      </c>
      <c r="C1634" s="32" t="s">
        <v>184</v>
      </c>
      <c r="D1634" s="32" t="s">
        <v>234</v>
      </c>
      <c r="E1634" s="32" t="s">
        <v>222</v>
      </c>
      <c r="F1634" s="32" t="s">
        <v>235</v>
      </c>
      <c r="G1634" s="32" t="s">
        <v>243</v>
      </c>
    </row>
    <row r="1635" ht="16.5" customHeight="1">
      <c r="A1635" s="32">
        <v>1634.0</v>
      </c>
      <c r="B1635" s="32" t="s">
        <v>2207</v>
      </c>
      <c r="C1635" s="32" t="s">
        <v>184</v>
      </c>
      <c r="D1635" s="32" t="s">
        <v>234</v>
      </c>
      <c r="E1635" s="32" t="s">
        <v>222</v>
      </c>
      <c r="F1635" s="32" t="s">
        <v>235</v>
      </c>
      <c r="G1635" s="32" t="s">
        <v>243</v>
      </c>
    </row>
    <row r="1636" ht="16.5" customHeight="1">
      <c r="A1636" s="32">
        <v>1635.0</v>
      </c>
      <c r="B1636" s="32" t="s">
        <v>2208</v>
      </c>
      <c r="C1636" s="32" t="s">
        <v>184</v>
      </c>
      <c r="D1636" s="32" t="s">
        <v>234</v>
      </c>
      <c r="E1636" s="32" t="s">
        <v>222</v>
      </c>
    </row>
    <row r="1637" ht="16.5" customHeight="1">
      <c r="A1637" s="32">
        <v>1636.0</v>
      </c>
      <c r="B1637" s="32" t="s">
        <v>2209</v>
      </c>
      <c r="C1637" s="32" t="s">
        <v>184</v>
      </c>
      <c r="D1637" s="32" t="s">
        <v>228</v>
      </c>
      <c r="E1637" s="32" t="s">
        <v>222</v>
      </c>
      <c r="F1637" s="32" t="s">
        <v>408</v>
      </c>
      <c r="G1637" s="32" t="s">
        <v>452</v>
      </c>
    </row>
    <row r="1638" ht="16.5" customHeight="1">
      <c r="A1638" s="32">
        <v>1637.0</v>
      </c>
      <c r="B1638" s="32" t="s">
        <v>2210</v>
      </c>
      <c r="C1638" s="32" t="s">
        <v>184</v>
      </c>
      <c r="D1638" s="32" t="s">
        <v>228</v>
      </c>
      <c r="E1638" s="32" t="s">
        <v>222</v>
      </c>
      <c r="F1638" s="32" t="s">
        <v>408</v>
      </c>
      <c r="G1638" s="32" t="s">
        <v>731</v>
      </c>
    </row>
    <row r="1639" ht="16.5" customHeight="1">
      <c r="A1639" s="32">
        <v>1638.0</v>
      </c>
      <c r="B1639" s="32" t="s">
        <v>2211</v>
      </c>
      <c r="C1639" s="32" t="s">
        <v>184</v>
      </c>
      <c r="D1639" s="32" t="s">
        <v>234</v>
      </c>
      <c r="E1639" s="32" t="s">
        <v>222</v>
      </c>
      <c r="F1639" s="32" t="s">
        <v>235</v>
      </c>
      <c r="G1639" s="32" t="s">
        <v>243</v>
      </c>
    </row>
    <row r="1640" ht="16.5" customHeight="1">
      <c r="A1640" s="32">
        <v>1639.0</v>
      </c>
      <c r="B1640" s="32" t="s">
        <v>2212</v>
      </c>
      <c r="C1640" s="32" t="s">
        <v>184</v>
      </c>
      <c r="D1640" s="32" t="s">
        <v>234</v>
      </c>
      <c r="E1640" s="32" t="s">
        <v>222</v>
      </c>
    </row>
    <row r="1641" ht="16.5" customHeight="1">
      <c r="A1641" s="32">
        <v>1640.0</v>
      </c>
      <c r="B1641" s="32" t="s">
        <v>2213</v>
      </c>
      <c r="C1641" s="32" t="s">
        <v>184</v>
      </c>
      <c r="D1641" s="32" t="s">
        <v>234</v>
      </c>
      <c r="E1641" s="32" t="s">
        <v>222</v>
      </c>
      <c r="F1641" s="32" t="s">
        <v>235</v>
      </c>
      <c r="G1641" s="32" t="s">
        <v>243</v>
      </c>
    </row>
    <row r="1642" ht="16.5" customHeight="1">
      <c r="A1642" s="32">
        <v>1641.0</v>
      </c>
      <c r="B1642" s="32" t="s">
        <v>2214</v>
      </c>
      <c r="C1642" s="32" t="s">
        <v>184</v>
      </c>
      <c r="D1642" s="32" t="s">
        <v>219</v>
      </c>
      <c r="E1642" s="32" t="s">
        <v>222</v>
      </c>
      <c r="F1642" s="32" t="s">
        <v>223</v>
      </c>
    </row>
    <row r="1643" ht="16.5" customHeight="1">
      <c r="A1643" s="32">
        <v>1642.0</v>
      </c>
      <c r="B1643" s="32" t="s">
        <v>2215</v>
      </c>
      <c r="C1643" s="32" t="s">
        <v>184</v>
      </c>
      <c r="D1643" s="32" t="s">
        <v>219</v>
      </c>
      <c r="E1643" s="32" t="s">
        <v>222</v>
      </c>
    </row>
    <row r="1644" ht="16.5" customHeight="1">
      <c r="A1644" s="32">
        <v>1643.0</v>
      </c>
      <c r="B1644" s="32" t="s">
        <v>2216</v>
      </c>
      <c r="C1644" s="32" t="s">
        <v>184</v>
      </c>
      <c r="D1644" s="32" t="s">
        <v>228</v>
      </c>
      <c r="E1644" s="32" t="s">
        <v>222</v>
      </c>
      <c r="F1644" s="32" t="s">
        <v>408</v>
      </c>
      <c r="G1644" s="32" t="s">
        <v>452</v>
      </c>
    </row>
    <row r="1645" ht="16.5" customHeight="1">
      <c r="A1645" s="32">
        <v>1644.0</v>
      </c>
      <c r="B1645" s="32" t="s">
        <v>2216</v>
      </c>
      <c r="C1645" s="32" t="s">
        <v>184</v>
      </c>
      <c r="D1645" s="32" t="s">
        <v>228</v>
      </c>
      <c r="E1645" s="32" t="s">
        <v>222</v>
      </c>
      <c r="F1645" s="32" t="s">
        <v>408</v>
      </c>
      <c r="G1645" s="32" t="s">
        <v>452</v>
      </c>
    </row>
    <row r="1646" ht="16.5" customHeight="1">
      <c r="A1646" s="32">
        <v>1645.0</v>
      </c>
      <c r="B1646" s="32" t="s">
        <v>2217</v>
      </c>
      <c r="C1646" s="32" t="s">
        <v>184</v>
      </c>
      <c r="D1646" s="32" t="s">
        <v>219</v>
      </c>
      <c r="E1646" s="32" t="s">
        <v>222</v>
      </c>
      <c r="F1646" s="32" t="s">
        <v>223</v>
      </c>
    </row>
    <row r="1647" ht="16.5" customHeight="1">
      <c r="A1647" s="32">
        <v>1646.0</v>
      </c>
      <c r="B1647" s="32" t="s">
        <v>2218</v>
      </c>
      <c r="C1647" s="32" t="s">
        <v>184</v>
      </c>
      <c r="D1647" s="32" t="s">
        <v>219</v>
      </c>
      <c r="E1647" s="32" t="s">
        <v>222</v>
      </c>
      <c r="F1647" s="32" t="s">
        <v>223</v>
      </c>
    </row>
    <row r="1648" ht="16.5" customHeight="1">
      <c r="A1648" s="32">
        <v>1647.0</v>
      </c>
      <c r="B1648" s="32" t="s">
        <v>2219</v>
      </c>
      <c r="C1648" s="32" t="s">
        <v>184</v>
      </c>
      <c r="D1648" s="32" t="s">
        <v>214</v>
      </c>
      <c r="E1648" s="32" t="s">
        <v>222</v>
      </c>
      <c r="F1648" s="32" t="s">
        <v>720</v>
      </c>
    </row>
    <row r="1649" ht="16.5" customHeight="1">
      <c r="A1649" s="32">
        <v>1648.0</v>
      </c>
      <c r="B1649" s="32" t="s">
        <v>2220</v>
      </c>
      <c r="C1649" s="32" t="s">
        <v>184</v>
      </c>
      <c r="D1649" s="32" t="s">
        <v>214</v>
      </c>
      <c r="E1649" s="32" t="s">
        <v>222</v>
      </c>
    </row>
    <row r="1650" ht="16.5" customHeight="1">
      <c r="A1650" s="32">
        <v>1649.0</v>
      </c>
      <c r="B1650" s="32" t="s">
        <v>2221</v>
      </c>
      <c r="C1650" s="32" t="s">
        <v>184</v>
      </c>
      <c r="D1650" s="32" t="s">
        <v>234</v>
      </c>
      <c r="E1650" s="32" t="s">
        <v>222</v>
      </c>
      <c r="F1650" s="32" t="s">
        <v>347</v>
      </c>
      <c r="G1650" s="32" t="s">
        <v>2222</v>
      </c>
    </row>
    <row r="1651" ht="16.5" customHeight="1">
      <c r="A1651" s="32">
        <v>1650.0</v>
      </c>
      <c r="B1651" s="32" t="s">
        <v>2223</v>
      </c>
      <c r="C1651" s="32" t="s">
        <v>184</v>
      </c>
      <c r="D1651" s="32" t="s">
        <v>192</v>
      </c>
      <c r="E1651" s="32" t="s">
        <v>222</v>
      </c>
      <c r="F1651" s="32" t="s">
        <v>329</v>
      </c>
      <c r="G1651" s="32" t="s">
        <v>457</v>
      </c>
    </row>
    <row r="1652" ht="16.5" customHeight="1">
      <c r="A1652" s="32">
        <v>1651.0</v>
      </c>
      <c r="B1652" s="32" t="s">
        <v>2224</v>
      </c>
      <c r="C1652" s="32" t="s">
        <v>184</v>
      </c>
      <c r="D1652" s="32" t="s">
        <v>192</v>
      </c>
      <c r="E1652" s="32" t="s">
        <v>222</v>
      </c>
    </row>
    <row r="1653" ht="16.5" customHeight="1">
      <c r="A1653" s="32">
        <v>1652.0</v>
      </c>
      <c r="B1653" s="32" t="s">
        <v>2225</v>
      </c>
      <c r="C1653" s="32" t="s">
        <v>184</v>
      </c>
      <c r="D1653" s="32" t="s">
        <v>228</v>
      </c>
      <c r="E1653" s="32" t="s">
        <v>222</v>
      </c>
      <c r="F1653" s="32" t="s">
        <v>408</v>
      </c>
      <c r="G1653" s="32" t="s">
        <v>452</v>
      </c>
    </row>
    <row r="1654" ht="16.5" customHeight="1">
      <c r="A1654" s="32">
        <v>1653.0</v>
      </c>
      <c r="B1654" s="32" t="s">
        <v>2226</v>
      </c>
      <c r="C1654" s="32" t="s">
        <v>184</v>
      </c>
      <c r="D1654" s="32" t="s">
        <v>192</v>
      </c>
      <c r="E1654" s="32" t="s">
        <v>222</v>
      </c>
    </row>
    <row r="1655" ht="16.5" customHeight="1">
      <c r="A1655" s="32">
        <v>1654.0</v>
      </c>
      <c r="B1655" s="32" t="s">
        <v>2227</v>
      </c>
      <c r="C1655" s="32" t="s">
        <v>184</v>
      </c>
      <c r="D1655" s="32" t="s">
        <v>219</v>
      </c>
      <c r="E1655" s="32" t="s">
        <v>222</v>
      </c>
      <c r="F1655" s="32" t="s">
        <v>223</v>
      </c>
    </row>
    <row r="1656" ht="16.5" customHeight="1">
      <c r="A1656" s="32">
        <v>1655.0</v>
      </c>
      <c r="B1656" s="32" t="s">
        <v>2228</v>
      </c>
      <c r="C1656" s="32" t="s">
        <v>184</v>
      </c>
      <c r="D1656" s="32" t="s">
        <v>219</v>
      </c>
      <c r="E1656" s="32" t="s">
        <v>222</v>
      </c>
    </row>
    <row r="1657" ht="16.5" customHeight="1">
      <c r="A1657" s="32">
        <v>1656.0</v>
      </c>
      <c r="B1657" s="32" t="s">
        <v>2229</v>
      </c>
      <c r="C1657" s="32" t="s">
        <v>184</v>
      </c>
      <c r="D1657" s="32" t="s">
        <v>214</v>
      </c>
      <c r="E1657" s="32" t="s">
        <v>222</v>
      </c>
    </row>
    <row r="1658" ht="16.5" customHeight="1">
      <c r="A1658" s="32">
        <v>1657.0</v>
      </c>
      <c r="B1658" s="32" t="s">
        <v>2230</v>
      </c>
      <c r="C1658" s="32" t="s">
        <v>184</v>
      </c>
      <c r="D1658" s="32" t="s">
        <v>214</v>
      </c>
      <c r="E1658" s="32" t="s">
        <v>222</v>
      </c>
    </row>
    <row r="1659" ht="16.5" customHeight="1">
      <c r="A1659" s="32">
        <v>1658.0</v>
      </c>
      <c r="B1659" s="32" t="s">
        <v>2231</v>
      </c>
      <c r="C1659" s="32" t="s">
        <v>184</v>
      </c>
      <c r="D1659" s="32" t="s">
        <v>219</v>
      </c>
      <c r="E1659" s="32" t="s">
        <v>222</v>
      </c>
    </row>
    <row r="1660" ht="16.5" customHeight="1">
      <c r="A1660" s="32">
        <v>1659.0</v>
      </c>
      <c r="B1660" s="32" t="s">
        <v>2232</v>
      </c>
      <c r="C1660" s="32" t="s">
        <v>184</v>
      </c>
      <c r="D1660" s="32" t="s">
        <v>214</v>
      </c>
      <c r="E1660" s="32" t="s">
        <v>222</v>
      </c>
      <c r="F1660" s="32" t="s">
        <v>216</v>
      </c>
      <c r="G1660" s="32" t="s">
        <v>2003</v>
      </c>
    </row>
    <row r="1661" ht="16.5" customHeight="1">
      <c r="A1661" s="32">
        <v>1660.0</v>
      </c>
      <c r="B1661" s="32" t="s">
        <v>2233</v>
      </c>
      <c r="C1661" s="32" t="s">
        <v>184</v>
      </c>
      <c r="D1661" s="32" t="s">
        <v>214</v>
      </c>
      <c r="E1661" s="32" t="s">
        <v>222</v>
      </c>
      <c r="F1661" s="32" t="s">
        <v>216</v>
      </c>
      <c r="G1661" s="32" t="s">
        <v>2003</v>
      </c>
    </row>
    <row r="1662" ht="16.5" customHeight="1">
      <c r="A1662" s="32">
        <v>1661.0</v>
      </c>
      <c r="B1662" s="32" t="s">
        <v>2234</v>
      </c>
      <c r="C1662" s="32" t="s">
        <v>184</v>
      </c>
      <c r="D1662" s="32" t="s">
        <v>219</v>
      </c>
      <c r="E1662" s="32" t="s">
        <v>222</v>
      </c>
      <c r="F1662" s="32" t="s">
        <v>223</v>
      </c>
    </row>
    <row r="1663" ht="16.5" customHeight="1">
      <c r="A1663" s="32">
        <v>1662.0</v>
      </c>
      <c r="B1663" s="32" t="s">
        <v>2235</v>
      </c>
      <c r="C1663" s="32" t="s">
        <v>184</v>
      </c>
      <c r="D1663" s="32" t="s">
        <v>219</v>
      </c>
      <c r="E1663" s="32" t="s">
        <v>222</v>
      </c>
      <c r="F1663" s="32" t="s">
        <v>223</v>
      </c>
    </row>
    <row r="1664" ht="16.5" customHeight="1">
      <c r="A1664" s="32">
        <v>1663.0</v>
      </c>
      <c r="B1664" s="32" t="s">
        <v>2235</v>
      </c>
      <c r="C1664" s="32" t="s">
        <v>184</v>
      </c>
      <c r="D1664" s="32" t="s">
        <v>219</v>
      </c>
      <c r="E1664" s="32" t="s">
        <v>222</v>
      </c>
      <c r="F1664" s="32" t="s">
        <v>223</v>
      </c>
    </row>
    <row r="1665" ht="16.5" customHeight="1">
      <c r="A1665" s="32">
        <v>1664.0</v>
      </c>
      <c r="B1665" s="32" t="s">
        <v>2236</v>
      </c>
      <c r="C1665" s="32" t="s">
        <v>184</v>
      </c>
      <c r="D1665" s="32" t="s">
        <v>219</v>
      </c>
      <c r="E1665" s="32" t="s">
        <v>222</v>
      </c>
      <c r="F1665" s="32" t="s">
        <v>223</v>
      </c>
    </row>
    <row r="1666" ht="16.5" customHeight="1">
      <c r="A1666" s="32">
        <v>1665.0</v>
      </c>
      <c r="B1666" s="32" t="s">
        <v>2237</v>
      </c>
      <c r="C1666" s="32" t="s">
        <v>184</v>
      </c>
      <c r="D1666" s="32" t="s">
        <v>219</v>
      </c>
      <c r="E1666" s="32" t="s">
        <v>222</v>
      </c>
    </row>
    <row r="1667" ht="16.5" customHeight="1">
      <c r="A1667" s="32">
        <v>1666.0</v>
      </c>
      <c r="B1667" s="32" t="s">
        <v>2238</v>
      </c>
      <c r="C1667" s="32" t="s">
        <v>184</v>
      </c>
      <c r="D1667" s="32" t="s">
        <v>192</v>
      </c>
      <c r="E1667" s="32" t="s">
        <v>222</v>
      </c>
      <c r="F1667" s="32" t="s">
        <v>329</v>
      </c>
      <c r="G1667" s="32" t="s">
        <v>447</v>
      </c>
    </row>
    <row r="1668" ht="16.5" customHeight="1">
      <c r="A1668" s="32">
        <v>1667.0</v>
      </c>
      <c r="B1668" s="32" t="s">
        <v>2239</v>
      </c>
      <c r="C1668" s="32" t="s">
        <v>184</v>
      </c>
      <c r="D1668" s="32" t="s">
        <v>254</v>
      </c>
      <c r="E1668" s="32" t="s">
        <v>222</v>
      </c>
    </row>
    <row r="1669" ht="16.5" customHeight="1">
      <c r="A1669" s="32">
        <v>1668.0</v>
      </c>
      <c r="B1669" s="32" t="s">
        <v>2240</v>
      </c>
      <c r="C1669" s="32" t="s">
        <v>184</v>
      </c>
      <c r="D1669" s="32" t="s">
        <v>285</v>
      </c>
      <c r="E1669" s="32" t="s">
        <v>222</v>
      </c>
      <c r="F1669" s="32" t="s">
        <v>552</v>
      </c>
      <c r="G1669" s="32" t="s">
        <v>553</v>
      </c>
    </row>
    <row r="1670" ht="16.5" customHeight="1">
      <c r="A1670" s="32">
        <v>1669.0</v>
      </c>
      <c r="B1670" s="32" t="s">
        <v>2241</v>
      </c>
      <c r="C1670" s="32" t="s">
        <v>184</v>
      </c>
      <c r="D1670" s="32" t="s">
        <v>219</v>
      </c>
      <c r="E1670" s="32" t="s">
        <v>222</v>
      </c>
      <c r="F1670" s="32" t="s">
        <v>223</v>
      </c>
    </row>
    <row r="1671" ht="16.5" customHeight="1">
      <c r="A1671" s="32">
        <v>1670.0</v>
      </c>
      <c r="B1671" s="32" t="s">
        <v>2242</v>
      </c>
      <c r="C1671" s="32" t="s">
        <v>184</v>
      </c>
      <c r="D1671" s="32" t="s">
        <v>234</v>
      </c>
      <c r="E1671" s="32" t="s">
        <v>222</v>
      </c>
      <c r="F1671" s="32" t="s">
        <v>347</v>
      </c>
      <c r="G1671" s="32" t="s">
        <v>420</v>
      </c>
    </row>
    <row r="1672" ht="16.5" customHeight="1">
      <c r="A1672" s="32">
        <v>1671.0</v>
      </c>
      <c r="B1672" s="32" t="s">
        <v>2243</v>
      </c>
      <c r="C1672" s="32" t="s">
        <v>184</v>
      </c>
      <c r="D1672" s="32" t="s">
        <v>228</v>
      </c>
      <c r="E1672" s="32" t="s">
        <v>222</v>
      </c>
      <c r="F1672" s="32" t="s">
        <v>408</v>
      </c>
      <c r="G1672" s="32" t="s">
        <v>2244</v>
      </c>
    </row>
    <row r="1673" ht="16.5" customHeight="1">
      <c r="A1673" s="32">
        <v>1672.0</v>
      </c>
      <c r="B1673" s="32" t="s">
        <v>2245</v>
      </c>
      <c r="C1673" s="32" t="s">
        <v>184</v>
      </c>
      <c r="D1673" s="32" t="s">
        <v>192</v>
      </c>
      <c r="E1673" s="32" t="s">
        <v>222</v>
      </c>
      <c r="F1673" s="32" t="s">
        <v>329</v>
      </c>
      <c r="G1673" s="32" t="s">
        <v>457</v>
      </c>
    </row>
    <row r="1674" ht="16.5" customHeight="1">
      <c r="A1674" s="32">
        <v>1673.0</v>
      </c>
      <c r="B1674" s="32" t="s">
        <v>2246</v>
      </c>
      <c r="C1674" s="32" t="s">
        <v>184</v>
      </c>
      <c r="D1674" s="32" t="s">
        <v>234</v>
      </c>
      <c r="E1674" s="32" t="s">
        <v>222</v>
      </c>
      <c r="F1674" s="32" t="s">
        <v>347</v>
      </c>
      <c r="G1674" s="32" t="s">
        <v>420</v>
      </c>
    </row>
    <row r="1675" ht="16.5" customHeight="1">
      <c r="A1675" s="32">
        <v>1674.0</v>
      </c>
      <c r="B1675" s="32" t="s">
        <v>2247</v>
      </c>
      <c r="C1675" s="32" t="s">
        <v>184</v>
      </c>
      <c r="D1675" s="32" t="s">
        <v>219</v>
      </c>
      <c r="E1675" s="32" t="s">
        <v>222</v>
      </c>
      <c r="F1675" s="32" t="s">
        <v>232</v>
      </c>
      <c r="G1675" s="32" t="s">
        <v>233</v>
      </c>
    </row>
    <row r="1676" ht="16.5" customHeight="1">
      <c r="A1676" s="32">
        <v>1675.0</v>
      </c>
      <c r="B1676" s="32" t="s">
        <v>2248</v>
      </c>
      <c r="C1676" s="32" t="s">
        <v>184</v>
      </c>
      <c r="D1676" s="32" t="s">
        <v>219</v>
      </c>
      <c r="E1676" s="35" t="s">
        <v>1929</v>
      </c>
    </row>
    <row r="1677" ht="16.5" customHeight="1">
      <c r="A1677" s="32">
        <v>1676.0</v>
      </c>
      <c r="B1677" s="32" t="s">
        <v>2249</v>
      </c>
      <c r="C1677" s="32" t="s">
        <v>184</v>
      </c>
      <c r="D1677" s="32" t="s">
        <v>234</v>
      </c>
      <c r="E1677" s="32" t="s">
        <v>222</v>
      </c>
      <c r="F1677" s="32" t="s">
        <v>347</v>
      </c>
      <c r="G1677" s="32" t="s">
        <v>382</v>
      </c>
    </row>
    <row r="1678" ht="16.5" customHeight="1">
      <c r="A1678" s="32">
        <v>1677.0</v>
      </c>
      <c r="B1678" s="32" t="s">
        <v>2250</v>
      </c>
      <c r="C1678" s="32" t="s">
        <v>184</v>
      </c>
      <c r="D1678" s="32" t="s">
        <v>234</v>
      </c>
      <c r="E1678" s="32" t="s">
        <v>222</v>
      </c>
      <c r="F1678" s="32" t="s">
        <v>235</v>
      </c>
      <c r="G1678" s="32" t="s">
        <v>236</v>
      </c>
    </row>
    <row r="1679" ht="16.5" customHeight="1">
      <c r="A1679" s="32">
        <v>1678.0</v>
      </c>
      <c r="B1679" s="32" t="s">
        <v>2251</v>
      </c>
      <c r="C1679" s="32" t="s">
        <v>184</v>
      </c>
      <c r="D1679" s="32" t="s">
        <v>234</v>
      </c>
      <c r="E1679" s="32" t="s">
        <v>222</v>
      </c>
      <c r="F1679" s="32" t="s">
        <v>347</v>
      </c>
      <c r="G1679" s="32" t="s">
        <v>420</v>
      </c>
    </row>
    <row r="1680" ht="16.5" customHeight="1">
      <c r="A1680" s="32">
        <v>1679.0</v>
      </c>
      <c r="B1680" s="32" t="s">
        <v>2252</v>
      </c>
      <c r="C1680" s="32" t="s">
        <v>184</v>
      </c>
      <c r="D1680" s="32" t="s">
        <v>219</v>
      </c>
      <c r="E1680" s="32" t="s">
        <v>222</v>
      </c>
    </row>
    <row r="1681" ht="16.5" customHeight="1">
      <c r="A1681" s="32">
        <v>1680.0</v>
      </c>
      <c r="B1681" s="32" t="s">
        <v>2253</v>
      </c>
      <c r="C1681" s="32" t="s">
        <v>184</v>
      </c>
      <c r="D1681" s="32" t="s">
        <v>219</v>
      </c>
      <c r="E1681" s="35" t="s">
        <v>1929</v>
      </c>
    </row>
    <row r="1682" ht="16.5" customHeight="1">
      <c r="A1682" s="32">
        <v>1681.0</v>
      </c>
      <c r="B1682" s="32" t="s">
        <v>2254</v>
      </c>
      <c r="C1682" s="32" t="s">
        <v>184</v>
      </c>
      <c r="D1682" s="32" t="s">
        <v>228</v>
      </c>
      <c r="E1682" s="32" t="s">
        <v>222</v>
      </c>
      <c r="F1682" s="32" t="s">
        <v>229</v>
      </c>
      <c r="G1682" s="32" t="s">
        <v>244</v>
      </c>
    </row>
    <row r="1683" ht="16.5" customHeight="1">
      <c r="A1683" s="32">
        <v>1682.0</v>
      </c>
      <c r="B1683" s="32" t="s">
        <v>2255</v>
      </c>
      <c r="C1683" s="32" t="s">
        <v>184</v>
      </c>
      <c r="D1683" s="32" t="s">
        <v>219</v>
      </c>
      <c r="E1683" s="32" t="s">
        <v>222</v>
      </c>
    </row>
    <row r="1684" ht="16.5" customHeight="1">
      <c r="A1684" s="32">
        <v>1683.0</v>
      </c>
      <c r="B1684" s="32" t="s">
        <v>2256</v>
      </c>
      <c r="C1684" s="32" t="s">
        <v>184</v>
      </c>
      <c r="D1684" s="32" t="s">
        <v>219</v>
      </c>
      <c r="E1684" s="32" t="s">
        <v>222</v>
      </c>
    </row>
    <row r="1685" ht="16.5" customHeight="1">
      <c r="A1685" s="32">
        <v>1684.0</v>
      </c>
      <c r="B1685" s="32" t="s">
        <v>2257</v>
      </c>
      <c r="C1685" s="32" t="s">
        <v>184</v>
      </c>
      <c r="D1685" s="32" t="s">
        <v>234</v>
      </c>
      <c r="E1685" s="32" t="s">
        <v>222</v>
      </c>
      <c r="F1685" s="32" t="s">
        <v>415</v>
      </c>
      <c r="G1685" s="32" t="s">
        <v>243</v>
      </c>
    </row>
    <row r="1686" ht="16.5" customHeight="1">
      <c r="A1686" s="32">
        <v>1685.0</v>
      </c>
      <c r="B1686" s="32" t="s">
        <v>2258</v>
      </c>
      <c r="C1686" s="32" t="s">
        <v>184</v>
      </c>
      <c r="D1686" s="32" t="s">
        <v>219</v>
      </c>
      <c r="E1686" s="32" t="s">
        <v>222</v>
      </c>
      <c r="F1686" s="32" t="s">
        <v>223</v>
      </c>
    </row>
    <row r="1687" ht="16.5" customHeight="1">
      <c r="A1687" s="32">
        <v>1686.0</v>
      </c>
      <c r="B1687" s="32" t="s">
        <v>2259</v>
      </c>
      <c r="C1687" s="32" t="s">
        <v>184</v>
      </c>
      <c r="D1687" s="32" t="s">
        <v>219</v>
      </c>
      <c r="E1687" s="32" t="s">
        <v>222</v>
      </c>
      <c r="F1687" s="32" t="s">
        <v>223</v>
      </c>
    </row>
    <row r="1688" ht="16.5" customHeight="1">
      <c r="A1688" s="32">
        <v>1687.0</v>
      </c>
      <c r="B1688" s="32" t="s">
        <v>2260</v>
      </c>
      <c r="C1688" s="32" t="s">
        <v>184</v>
      </c>
      <c r="D1688" s="32" t="s">
        <v>228</v>
      </c>
      <c r="E1688" s="32" t="s">
        <v>222</v>
      </c>
      <c r="F1688" s="32" t="s">
        <v>544</v>
      </c>
      <c r="G1688" s="32" t="s">
        <v>545</v>
      </c>
    </row>
    <row r="1689" ht="16.5" customHeight="1">
      <c r="A1689" s="32">
        <v>1688.0</v>
      </c>
      <c r="B1689" s="32" t="s">
        <v>2261</v>
      </c>
      <c r="C1689" s="32" t="s">
        <v>184</v>
      </c>
      <c r="D1689" s="32" t="s">
        <v>228</v>
      </c>
      <c r="E1689" s="32" t="s">
        <v>222</v>
      </c>
      <c r="F1689" s="32" t="s">
        <v>544</v>
      </c>
      <c r="G1689" s="32" t="s">
        <v>545</v>
      </c>
    </row>
    <row r="1690" ht="16.5" customHeight="1">
      <c r="A1690" s="32">
        <v>1689.0</v>
      </c>
      <c r="B1690" s="32" t="s">
        <v>2262</v>
      </c>
      <c r="C1690" s="32" t="s">
        <v>184</v>
      </c>
      <c r="D1690" s="32" t="s">
        <v>228</v>
      </c>
      <c r="E1690" s="32" t="s">
        <v>222</v>
      </c>
    </row>
    <row r="1691" ht="16.5" customHeight="1">
      <c r="A1691" s="32">
        <v>1690.0</v>
      </c>
      <c r="B1691" s="32" t="s">
        <v>2260</v>
      </c>
      <c r="C1691" s="32" t="s">
        <v>184</v>
      </c>
      <c r="D1691" s="32" t="s">
        <v>228</v>
      </c>
      <c r="E1691" s="32" t="s">
        <v>222</v>
      </c>
      <c r="F1691" s="32" t="s">
        <v>544</v>
      </c>
      <c r="G1691" s="32" t="s">
        <v>2135</v>
      </c>
    </row>
    <row r="1692" ht="16.5" customHeight="1">
      <c r="A1692" s="32">
        <v>1691.0</v>
      </c>
      <c r="B1692" s="32" t="s">
        <v>2263</v>
      </c>
      <c r="C1692" s="32" t="s">
        <v>184</v>
      </c>
      <c r="D1692" s="32" t="s">
        <v>234</v>
      </c>
      <c r="E1692" s="32" t="s">
        <v>222</v>
      </c>
      <c r="F1692" s="32" t="s">
        <v>235</v>
      </c>
      <c r="G1692" s="32" t="s">
        <v>236</v>
      </c>
    </row>
    <row r="1693" ht="16.5" customHeight="1">
      <c r="A1693" s="32">
        <v>1692.0</v>
      </c>
      <c r="B1693" s="32" t="s">
        <v>2264</v>
      </c>
      <c r="C1693" s="32" t="s">
        <v>184</v>
      </c>
      <c r="D1693" s="32" t="s">
        <v>285</v>
      </c>
      <c r="E1693" s="32" t="s">
        <v>222</v>
      </c>
      <c r="F1693" s="32" t="s">
        <v>189</v>
      </c>
      <c r="G1693" s="32" t="s">
        <v>190</v>
      </c>
    </row>
    <row r="1694" ht="16.5" customHeight="1">
      <c r="A1694" s="32">
        <v>1693.0</v>
      </c>
      <c r="B1694" s="32" t="s">
        <v>2265</v>
      </c>
      <c r="C1694" s="32" t="s">
        <v>184</v>
      </c>
      <c r="D1694" s="32" t="s">
        <v>234</v>
      </c>
      <c r="E1694" s="32" t="s">
        <v>222</v>
      </c>
      <c r="F1694" s="32" t="s">
        <v>235</v>
      </c>
      <c r="G1694" s="32" t="s">
        <v>2266</v>
      </c>
    </row>
    <row r="1695" ht="16.5" customHeight="1">
      <c r="A1695" s="32">
        <v>1694.0</v>
      </c>
      <c r="B1695" s="32" t="s">
        <v>2267</v>
      </c>
      <c r="C1695" s="32" t="s">
        <v>184</v>
      </c>
      <c r="D1695" s="32" t="s">
        <v>234</v>
      </c>
      <c r="E1695" s="32" t="s">
        <v>222</v>
      </c>
      <c r="F1695" s="32" t="s">
        <v>347</v>
      </c>
      <c r="G1695" s="32" t="s">
        <v>382</v>
      </c>
    </row>
    <row r="1696" ht="16.5" customHeight="1">
      <c r="A1696" s="32">
        <v>1695.0</v>
      </c>
      <c r="B1696" s="32" t="s">
        <v>2268</v>
      </c>
      <c r="C1696" s="32" t="s">
        <v>184</v>
      </c>
      <c r="D1696" s="32" t="s">
        <v>219</v>
      </c>
      <c r="E1696" s="32" t="s">
        <v>222</v>
      </c>
    </row>
    <row r="1697" ht="16.5" customHeight="1">
      <c r="A1697" s="32">
        <v>1696.0</v>
      </c>
      <c r="B1697" s="32" t="s">
        <v>2269</v>
      </c>
      <c r="C1697" s="32" t="s">
        <v>184</v>
      </c>
      <c r="D1697" s="32" t="s">
        <v>219</v>
      </c>
      <c r="E1697" s="32" t="s">
        <v>222</v>
      </c>
    </row>
    <row r="1698" ht="16.5" customHeight="1">
      <c r="A1698" s="32">
        <v>1697.0</v>
      </c>
      <c r="B1698" s="32" t="s">
        <v>2270</v>
      </c>
      <c r="C1698" s="32" t="s">
        <v>184</v>
      </c>
      <c r="D1698" s="32" t="s">
        <v>234</v>
      </c>
      <c r="E1698" s="32" t="s">
        <v>222</v>
      </c>
      <c r="F1698" s="32" t="s">
        <v>347</v>
      </c>
      <c r="G1698" s="32" t="s">
        <v>2222</v>
      </c>
    </row>
    <row r="1699" ht="16.5" customHeight="1">
      <c r="A1699" s="32">
        <v>1698.0</v>
      </c>
      <c r="B1699" s="32" t="s">
        <v>2271</v>
      </c>
      <c r="C1699" s="32" t="s">
        <v>184</v>
      </c>
      <c r="D1699" s="32" t="s">
        <v>214</v>
      </c>
      <c r="E1699" s="32" t="s">
        <v>222</v>
      </c>
      <c r="F1699" s="32" t="s">
        <v>604</v>
      </c>
    </row>
    <row r="1700" ht="16.5" customHeight="1">
      <c r="A1700" s="32">
        <v>1699.0</v>
      </c>
      <c r="B1700" s="32" t="s">
        <v>2272</v>
      </c>
      <c r="C1700" s="32" t="s">
        <v>184</v>
      </c>
      <c r="D1700" s="32" t="s">
        <v>214</v>
      </c>
      <c r="E1700" s="32" t="s">
        <v>222</v>
      </c>
    </row>
    <row r="1701" ht="16.5" customHeight="1">
      <c r="A1701" s="32">
        <v>1700.0</v>
      </c>
      <c r="B1701" s="32" t="s">
        <v>2273</v>
      </c>
      <c r="C1701" s="32" t="s">
        <v>184</v>
      </c>
      <c r="D1701" s="32" t="s">
        <v>228</v>
      </c>
      <c r="E1701" s="32" t="s">
        <v>222</v>
      </c>
      <c r="F1701" s="32" t="s">
        <v>408</v>
      </c>
      <c r="G1701" s="32" t="s">
        <v>452</v>
      </c>
    </row>
    <row r="1702" ht="16.5" customHeight="1">
      <c r="A1702" s="32">
        <v>1701.0</v>
      </c>
      <c r="B1702" s="32" t="s">
        <v>2274</v>
      </c>
      <c r="C1702" s="32" t="s">
        <v>184</v>
      </c>
      <c r="D1702" s="32" t="s">
        <v>228</v>
      </c>
      <c r="E1702" s="32" t="s">
        <v>222</v>
      </c>
    </row>
    <row r="1703" ht="16.5" customHeight="1">
      <c r="A1703" s="32">
        <v>1702.0</v>
      </c>
      <c r="B1703" s="32" t="s">
        <v>2275</v>
      </c>
      <c r="C1703" s="32" t="s">
        <v>184</v>
      </c>
      <c r="D1703" s="32" t="s">
        <v>228</v>
      </c>
      <c r="E1703" s="32" t="s">
        <v>222</v>
      </c>
      <c r="F1703" s="32" t="s">
        <v>408</v>
      </c>
      <c r="G1703" s="32" t="s">
        <v>452</v>
      </c>
    </row>
    <row r="1704" ht="16.5" customHeight="1">
      <c r="A1704" s="32">
        <v>1703.0</v>
      </c>
      <c r="B1704" s="32" t="s">
        <v>2276</v>
      </c>
      <c r="C1704" s="32" t="s">
        <v>184</v>
      </c>
      <c r="D1704" s="32" t="s">
        <v>234</v>
      </c>
      <c r="E1704" s="32" t="s">
        <v>222</v>
      </c>
    </row>
    <row r="1705" ht="16.5" customHeight="1">
      <c r="A1705" s="32">
        <v>1704.0</v>
      </c>
      <c r="B1705" s="32" t="s">
        <v>2277</v>
      </c>
      <c r="C1705" s="32" t="s">
        <v>184</v>
      </c>
      <c r="D1705" s="32" t="s">
        <v>214</v>
      </c>
      <c r="E1705" s="32" t="s">
        <v>222</v>
      </c>
      <c r="F1705" s="32" t="s">
        <v>216</v>
      </c>
      <c r="G1705" s="32" t="s">
        <v>217</v>
      </c>
    </row>
    <row r="1706" ht="16.5" customHeight="1">
      <c r="A1706" s="32">
        <v>1705.0</v>
      </c>
      <c r="B1706" s="32" t="s">
        <v>2278</v>
      </c>
      <c r="C1706" s="32" t="s">
        <v>184</v>
      </c>
      <c r="D1706" s="32" t="s">
        <v>219</v>
      </c>
      <c r="E1706" s="32" t="s">
        <v>222</v>
      </c>
    </row>
    <row r="1707" ht="16.5" customHeight="1">
      <c r="A1707" s="32">
        <v>1706.0</v>
      </c>
      <c r="B1707" s="32" t="s">
        <v>2279</v>
      </c>
      <c r="C1707" s="32" t="s">
        <v>184</v>
      </c>
      <c r="D1707" s="32" t="s">
        <v>192</v>
      </c>
      <c r="E1707" s="32" t="s">
        <v>222</v>
      </c>
      <c r="F1707" s="32" t="s">
        <v>329</v>
      </c>
      <c r="G1707" s="32" t="s">
        <v>457</v>
      </c>
    </row>
    <row r="1708" ht="16.5" customHeight="1">
      <c r="A1708" s="32">
        <v>1707.0</v>
      </c>
      <c r="B1708" s="32" t="s">
        <v>2280</v>
      </c>
      <c r="C1708" s="32" t="s">
        <v>184</v>
      </c>
      <c r="D1708" s="32" t="s">
        <v>219</v>
      </c>
      <c r="E1708" s="32" t="s">
        <v>222</v>
      </c>
    </row>
    <row r="1709" ht="16.5" customHeight="1">
      <c r="A1709" s="32">
        <v>1708.0</v>
      </c>
      <c r="B1709" s="32" t="s">
        <v>2281</v>
      </c>
      <c r="C1709" s="32" t="s">
        <v>184</v>
      </c>
      <c r="D1709" s="32" t="s">
        <v>219</v>
      </c>
      <c r="E1709" s="32" t="s">
        <v>222</v>
      </c>
    </row>
    <row r="1710" ht="16.5" customHeight="1">
      <c r="A1710" s="32">
        <v>1709.0</v>
      </c>
      <c r="B1710" s="32" t="s">
        <v>2282</v>
      </c>
      <c r="C1710" s="32" t="s">
        <v>184</v>
      </c>
      <c r="D1710" s="32" t="s">
        <v>214</v>
      </c>
      <c r="E1710" s="32" t="s">
        <v>222</v>
      </c>
      <c r="F1710" s="32" t="s">
        <v>604</v>
      </c>
    </row>
    <row r="1711" ht="16.5" customHeight="1">
      <c r="A1711" s="32">
        <v>1710.0</v>
      </c>
      <c r="B1711" s="32" t="s">
        <v>2283</v>
      </c>
      <c r="C1711" s="32" t="s">
        <v>184</v>
      </c>
      <c r="D1711" s="32" t="s">
        <v>214</v>
      </c>
      <c r="E1711" s="32" t="s">
        <v>222</v>
      </c>
    </row>
    <row r="1712" ht="16.5" customHeight="1">
      <c r="A1712" s="32">
        <v>1711.0</v>
      </c>
      <c r="B1712" s="32" t="s">
        <v>2284</v>
      </c>
      <c r="C1712" s="32" t="s">
        <v>184</v>
      </c>
      <c r="D1712" s="32" t="s">
        <v>228</v>
      </c>
      <c r="E1712" s="32" t="s">
        <v>222</v>
      </c>
      <c r="F1712" s="32" t="s">
        <v>229</v>
      </c>
      <c r="G1712" s="32" t="s">
        <v>626</v>
      </c>
    </row>
    <row r="1713" ht="16.5" customHeight="1">
      <c r="A1713" s="32">
        <v>1712.0</v>
      </c>
      <c r="B1713" s="32" t="s">
        <v>2285</v>
      </c>
      <c r="C1713" s="32" t="s">
        <v>184</v>
      </c>
      <c r="D1713" s="32" t="s">
        <v>228</v>
      </c>
      <c r="E1713" s="32" t="s">
        <v>222</v>
      </c>
      <c r="F1713" s="32" t="s">
        <v>229</v>
      </c>
      <c r="G1713" s="32" t="s">
        <v>626</v>
      </c>
    </row>
    <row r="1714" ht="16.5" customHeight="1">
      <c r="A1714" s="32">
        <v>1713.0</v>
      </c>
      <c r="B1714" s="32" t="s">
        <v>2286</v>
      </c>
      <c r="C1714" s="32" t="s">
        <v>184</v>
      </c>
      <c r="D1714" s="32" t="s">
        <v>228</v>
      </c>
      <c r="E1714" s="32" t="s">
        <v>222</v>
      </c>
      <c r="F1714" s="32" t="s">
        <v>229</v>
      </c>
      <c r="G1714" s="32" t="s">
        <v>626</v>
      </c>
    </row>
    <row r="1715" ht="16.5" customHeight="1">
      <c r="A1715" s="32">
        <v>1714.0</v>
      </c>
      <c r="B1715" s="32" t="s">
        <v>2287</v>
      </c>
      <c r="C1715" s="32" t="s">
        <v>184</v>
      </c>
      <c r="D1715" s="35" t="s">
        <v>691</v>
      </c>
      <c r="E1715" s="32" t="s">
        <v>222</v>
      </c>
      <c r="F1715" s="32" t="s">
        <v>2288</v>
      </c>
      <c r="G1715" s="32" t="s">
        <v>2289</v>
      </c>
    </row>
    <row r="1716" ht="16.5" customHeight="1">
      <c r="A1716" s="32">
        <v>1715.0</v>
      </c>
      <c r="B1716" s="32" t="s">
        <v>2290</v>
      </c>
      <c r="C1716" s="32" t="s">
        <v>184</v>
      </c>
      <c r="D1716" s="32" t="s">
        <v>219</v>
      </c>
      <c r="E1716" s="32" t="s">
        <v>222</v>
      </c>
    </row>
    <row r="1717" ht="16.5" customHeight="1">
      <c r="A1717" s="32">
        <v>1716.0</v>
      </c>
      <c r="B1717" s="32" t="s">
        <v>2291</v>
      </c>
      <c r="C1717" s="32" t="s">
        <v>184</v>
      </c>
      <c r="D1717" s="32" t="s">
        <v>219</v>
      </c>
      <c r="E1717" s="32" t="s">
        <v>222</v>
      </c>
    </row>
    <row r="1718" ht="16.5" customHeight="1">
      <c r="A1718" s="32">
        <v>1717.0</v>
      </c>
      <c r="B1718" s="32" t="s">
        <v>2292</v>
      </c>
      <c r="C1718" s="32" t="s">
        <v>184</v>
      </c>
      <c r="D1718" s="35" t="s">
        <v>691</v>
      </c>
      <c r="E1718" s="32" t="s">
        <v>222</v>
      </c>
    </row>
    <row r="1719" ht="16.5" customHeight="1">
      <c r="A1719" s="32">
        <v>1718.0</v>
      </c>
      <c r="B1719" s="32" t="s">
        <v>2293</v>
      </c>
      <c r="C1719" s="32" t="s">
        <v>184</v>
      </c>
      <c r="D1719" s="32" t="s">
        <v>219</v>
      </c>
      <c r="E1719" s="32" t="s">
        <v>222</v>
      </c>
    </row>
    <row r="1720" ht="16.5" customHeight="1">
      <c r="A1720" s="32">
        <v>1719.0</v>
      </c>
      <c r="B1720" s="32" t="s">
        <v>2294</v>
      </c>
      <c r="C1720" s="32" t="s">
        <v>184</v>
      </c>
      <c r="D1720" s="32" t="s">
        <v>219</v>
      </c>
      <c r="E1720" s="32" t="s">
        <v>222</v>
      </c>
      <c r="F1720" s="32" t="s">
        <v>223</v>
      </c>
    </row>
    <row r="1721" ht="16.5" customHeight="1">
      <c r="A1721" s="32">
        <v>1720.0</v>
      </c>
      <c r="B1721" s="32" t="s">
        <v>2295</v>
      </c>
      <c r="C1721" s="32" t="s">
        <v>184</v>
      </c>
      <c r="D1721" s="32" t="s">
        <v>219</v>
      </c>
      <c r="E1721" s="32" t="s">
        <v>222</v>
      </c>
      <c r="F1721" s="32" t="s">
        <v>223</v>
      </c>
    </row>
    <row r="1722" ht="16.5" customHeight="1">
      <c r="A1722" s="32">
        <v>1721.0</v>
      </c>
      <c r="B1722" s="32" t="s">
        <v>2296</v>
      </c>
      <c r="C1722" s="32" t="s">
        <v>184</v>
      </c>
      <c r="D1722" s="32" t="s">
        <v>219</v>
      </c>
      <c r="E1722" s="32" t="s">
        <v>222</v>
      </c>
    </row>
    <row r="1723" ht="16.5" customHeight="1">
      <c r="A1723" s="32">
        <v>1722.0</v>
      </c>
      <c r="B1723" s="32" t="s">
        <v>2297</v>
      </c>
      <c r="C1723" s="32" t="s">
        <v>184</v>
      </c>
      <c r="D1723" s="32" t="s">
        <v>228</v>
      </c>
      <c r="E1723" s="32" t="s">
        <v>222</v>
      </c>
      <c r="F1723" s="32" t="s">
        <v>544</v>
      </c>
      <c r="G1723" s="32" t="s">
        <v>2298</v>
      </c>
    </row>
    <row r="1724" ht="16.5" customHeight="1">
      <c r="A1724" s="32">
        <v>1723.0</v>
      </c>
      <c r="B1724" s="32" t="s">
        <v>2299</v>
      </c>
      <c r="C1724" s="32" t="s">
        <v>184</v>
      </c>
      <c r="D1724" s="32" t="s">
        <v>228</v>
      </c>
      <c r="E1724" s="32" t="s">
        <v>222</v>
      </c>
    </row>
    <row r="1725" ht="16.5" customHeight="1">
      <c r="A1725" s="32">
        <v>1724.0</v>
      </c>
      <c r="B1725" s="32" t="s">
        <v>2300</v>
      </c>
      <c r="C1725" s="32" t="s">
        <v>184</v>
      </c>
      <c r="D1725" s="32" t="s">
        <v>234</v>
      </c>
      <c r="E1725" s="32" t="s">
        <v>222</v>
      </c>
      <c r="F1725" s="32" t="s">
        <v>235</v>
      </c>
      <c r="G1725" s="32" t="s">
        <v>243</v>
      </c>
    </row>
    <row r="1726" ht="16.5" customHeight="1">
      <c r="A1726" s="32">
        <v>1725.0</v>
      </c>
      <c r="B1726" s="32" t="s">
        <v>2301</v>
      </c>
      <c r="C1726" s="32" t="s">
        <v>184</v>
      </c>
      <c r="D1726" s="32" t="s">
        <v>214</v>
      </c>
      <c r="E1726" s="32" t="s">
        <v>222</v>
      </c>
      <c r="F1726" s="32" t="s">
        <v>720</v>
      </c>
    </row>
    <row r="1727" ht="16.5" customHeight="1">
      <c r="A1727" s="32">
        <v>1726.0</v>
      </c>
      <c r="B1727" s="32" t="s">
        <v>2302</v>
      </c>
      <c r="C1727" s="32" t="s">
        <v>184</v>
      </c>
      <c r="D1727" s="32" t="s">
        <v>214</v>
      </c>
      <c r="E1727" s="32" t="s">
        <v>222</v>
      </c>
    </row>
    <row r="1728" ht="16.5" customHeight="1">
      <c r="A1728" s="32">
        <v>1727.0</v>
      </c>
      <c r="B1728" s="32" t="s">
        <v>2303</v>
      </c>
      <c r="C1728" s="32" t="s">
        <v>184</v>
      </c>
      <c r="D1728" s="32" t="s">
        <v>228</v>
      </c>
      <c r="E1728" s="32" t="s">
        <v>222</v>
      </c>
      <c r="F1728" s="32" t="s">
        <v>1997</v>
      </c>
      <c r="G1728" s="32" t="s">
        <v>731</v>
      </c>
    </row>
    <row r="1729" ht="16.5" customHeight="1">
      <c r="A1729" s="32">
        <v>1728.0</v>
      </c>
      <c r="B1729" s="32" t="s">
        <v>2304</v>
      </c>
      <c r="C1729" s="32" t="s">
        <v>184</v>
      </c>
      <c r="D1729" s="32" t="s">
        <v>219</v>
      </c>
      <c r="E1729" s="32" t="s">
        <v>222</v>
      </c>
      <c r="F1729" s="32" t="s">
        <v>241</v>
      </c>
      <c r="G1729" s="32" t="s">
        <v>2305</v>
      </c>
    </row>
    <row r="1730" ht="16.5" customHeight="1">
      <c r="A1730" s="32">
        <v>1729.0</v>
      </c>
      <c r="B1730" s="32" t="s">
        <v>2306</v>
      </c>
      <c r="C1730" s="32" t="s">
        <v>184</v>
      </c>
      <c r="D1730" s="32" t="s">
        <v>219</v>
      </c>
      <c r="E1730" s="32" t="s">
        <v>222</v>
      </c>
      <c r="F1730" s="32" t="s">
        <v>241</v>
      </c>
      <c r="G1730" s="32" t="s">
        <v>2305</v>
      </c>
    </row>
    <row r="1731" ht="16.5" customHeight="1">
      <c r="A1731" s="32">
        <v>1730.0</v>
      </c>
      <c r="B1731" s="32" t="s">
        <v>2307</v>
      </c>
      <c r="C1731" s="32" t="s">
        <v>184</v>
      </c>
      <c r="D1731" s="32" t="s">
        <v>234</v>
      </c>
      <c r="E1731" s="32" t="s">
        <v>222</v>
      </c>
      <c r="F1731" s="32" t="s">
        <v>347</v>
      </c>
      <c r="G1731" s="32" t="s">
        <v>420</v>
      </c>
    </row>
    <row r="1732" ht="16.5" customHeight="1">
      <c r="A1732" s="32">
        <v>1731.0</v>
      </c>
      <c r="B1732" s="32" t="s">
        <v>2308</v>
      </c>
      <c r="C1732" s="32" t="s">
        <v>184</v>
      </c>
      <c r="D1732" s="32" t="s">
        <v>285</v>
      </c>
      <c r="E1732" s="32" t="s">
        <v>222</v>
      </c>
      <c r="F1732" s="32" t="s">
        <v>552</v>
      </c>
      <c r="G1732" s="32" t="s">
        <v>553</v>
      </c>
    </row>
    <row r="1733" ht="16.5" customHeight="1">
      <c r="A1733" s="32">
        <v>1732.0</v>
      </c>
      <c r="B1733" s="32" t="s">
        <v>2309</v>
      </c>
      <c r="C1733" s="32" t="s">
        <v>184</v>
      </c>
      <c r="D1733" s="32" t="s">
        <v>214</v>
      </c>
      <c r="E1733" s="32" t="s">
        <v>222</v>
      </c>
      <c r="F1733" s="32" t="s">
        <v>216</v>
      </c>
    </row>
    <row r="1734" ht="16.5" customHeight="1">
      <c r="A1734" s="32">
        <v>1733.0</v>
      </c>
      <c r="B1734" s="32" t="s">
        <v>2310</v>
      </c>
      <c r="C1734" s="32" t="s">
        <v>184</v>
      </c>
      <c r="D1734" s="32" t="s">
        <v>214</v>
      </c>
      <c r="E1734" s="32" t="s">
        <v>222</v>
      </c>
    </row>
    <row r="1735" ht="16.5" customHeight="1">
      <c r="A1735" s="32">
        <v>1734.0</v>
      </c>
      <c r="B1735" s="32" t="s">
        <v>2311</v>
      </c>
      <c r="C1735" s="32" t="s">
        <v>184</v>
      </c>
      <c r="D1735" s="32" t="s">
        <v>214</v>
      </c>
      <c r="E1735" s="32" t="s">
        <v>222</v>
      </c>
      <c r="F1735" s="32" t="s">
        <v>216</v>
      </c>
    </row>
    <row r="1736" ht="16.5" customHeight="1">
      <c r="A1736" s="32">
        <v>1735.0</v>
      </c>
      <c r="B1736" s="32" t="s">
        <v>2312</v>
      </c>
      <c r="C1736" s="32" t="s">
        <v>184</v>
      </c>
      <c r="D1736" s="32" t="s">
        <v>214</v>
      </c>
      <c r="E1736" s="32" t="s">
        <v>222</v>
      </c>
    </row>
    <row r="1737" ht="16.5" customHeight="1">
      <c r="A1737" s="32">
        <v>1736.0</v>
      </c>
      <c r="B1737" s="32" t="s">
        <v>2313</v>
      </c>
      <c r="C1737" s="32" t="s">
        <v>184</v>
      </c>
      <c r="D1737" s="32" t="s">
        <v>214</v>
      </c>
      <c r="E1737" s="32" t="s">
        <v>222</v>
      </c>
      <c r="F1737" s="32" t="s">
        <v>720</v>
      </c>
    </row>
    <row r="1738" ht="16.5" customHeight="1">
      <c r="A1738" s="32">
        <v>1737.0</v>
      </c>
      <c r="B1738" s="32" t="s">
        <v>2314</v>
      </c>
      <c r="C1738" s="32" t="s">
        <v>184</v>
      </c>
      <c r="D1738" s="32" t="s">
        <v>214</v>
      </c>
      <c r="E1738" s="32" t="s">
        <v>222</v>
      </c>
      <c r="F1738" s="32" t="s">
        <v>604</v>
      </c>
    </row>
    <row r="1739" ht="16.5" customHeight="1">
      <c r="A1739" s="32">
        <v>1738.0</v>
      </c>
      <c r="B1739" s="32" t="s">
        <v>2315</v>
      </c>
      <c r="C1739" s="32" t="s">
        <v>184</v>
      </c>
      <c r="D1739" s="32" t="s">
        <v>214</v>
      </c>
      <c r="E1739" s="32" t="s">
        <v>222</v>
      </c>
    </row>
    <row r="1740" ht="16.5" customHeight="1">
      <c r="A1740" s="32">
        <v>1739.0</v>
      </c>
      <c r="B1740" s="32" t="s">
        <v>2316</v>
      </c>
      <c r="C1740" s="32" t="s">
        <v>184</v>
      </c>
      <c r="D1740" s="32" t="s">
        <v>214</v>
      </c>
      <c r="E1740" s="32" t="s">
        <v>222</v>
      </c>
      <c r="F1740" s="32" t="s">
        <v>720</v>
      </c>
    </row>
    <row r="1741" ht="16.5" customHeight="1">
      <c r="A1741" s="32">
        <v>1740.0</v>
      </c>
      <c r="B1741" s="32" t="s">
        <v>2317</v>
      </c>
      <c r="C1741" s="32" t="s">
        <v>184</v>
      </c>
      <c r="D1741" s="32" t="s">
        <v>214</v>
      </c>
      <c r="E1741" s="32" t="s">
        <v>222</v>
      </c>
    </row>
    <row r="1742" ht="16.5" customHeight="1">
      <c r="A1742" s="32">
        <v>1741.0</v>
      </c>
      <c r="B1742" s="32" t="s">
        <v>2318</v>
      </c>
      <c r="C1742" s="32" t="s">
        <v>184</v>
      </c>
      <c r="D1742" s="32" t="s">
        <v>214</v>
      </c>
      <c r="E1742" s="32" t="s">
        <v>222</v>
      </c>
    </row>
    <row r="1743" ht="16.5" customHeight="1">
      <c r="A1743" s="32">
        <v>1742.0</v>
      </c>
      <c r="B1743" s="32" t="s">
        <v>2319</v>
      </c>
      <c r="C1743" s="32" t="s">
        <v>184</v>
      </c>
      <c r="D1743" s="32" t="s">
        <v>214</v>
      </c>
      <c r="E1743" s="32" t="s">
        <v>222</v>
      </c>
      <c r="F1743" s="32" t="s">
        <v>604</v>
      </c>
    </row>
    <row r="1744" ht="16.5" customHeight="1">
      <c r="A1744" s="32">
        <v>1743.0</v>
      </c>
      <c r="B1744" s="32" t="s">
        <v>2320</v>
      </c>
      <c r="C1744" s="32" t="s">
        <v>184</v>
      </c>
      <c r="D1744" s="32" t="s">
        <v>214</v>
      </c>
      <c r="E1744" s="32" t="s">
        <v>222</v>
      </c>
      <c r="F1744" s="32" t="s">
        <v>720</v>
      </c>
    </row>
    <row r="1745" ht="16.5" customHeight="1">
      <c r="A1745" s="32">
        <v>1744.0</v>
      </c>
      <c r="B1745" s="32" t="s">
        <v>2321</v>
      </c>
      <c r="C1745" s="32" t="s">
        <v>184</v>
      </c>
      <c r="D1745" s="32" t="s">
        <v>285</v>
      </c>
      <c r="E1745" s="32" t="s">
        <v>222</v>
      </c>
    </row>
    <row r="1746" ht="16.5" customHeight="1">
      <c r="A1746" s="32">
        <v>1745.0</v>
      </c>
      <c r="B1746" s="32" t="s">
        <v>2322</v>
      </c>
      <c r="C1746" s="32" t="s">
        <v>184</v>
      </c>
      <c r="D1746" s="32" t="s">
        <v>285</v>
      </c>
      <c r="E1746" s="32" t="s">
        <v>222</v>
      </c>
    </row>
    <row r="1747" ht="16.5" customHeight="1">
      <c r="A1747" s="32">
        <v>1746.0</v>
      </c>
      <c r="B1747" s="32" t="s">
        <v>2323</v>
      </c>
      <c r="C1747" s="32" t="s">
        <v>184</v>
      </c>
      <c r="D1747" s="32" t="s">
        <v>285</v>
      </c>
      <c r="E1747" s="32" t="s">
        <v>222</v>
      </c>
    </row>
    <row r="1748" ht="16.5" customHeight="1">
      <c r="A1748" s="32">
        <v>1747.0</v>
      </c>
      <c r="B1748" s="32" t="s">
        <v>2324</v>
      </c>
      <c r="C1748" s="32" t="s">
        <v>184</v>
      </c>
      <c r="D1748" s="32" t="s">
        <v>254</v>
      </c>
      <c r="E1748" s="32" t="s">
        <v>222</v>
      </c>
      <c r="F1748" s="32" t="s">
        <v>256</v>
      </c>
      <c r="G1748" s="32" t="s">
        <v>257</v>
      </c>
    </row>
    <row r="1749" ht="16.5" customHeight="1">
      <c r="A1749" s="32">
        <v>1748.0</v>
      </c>
      <c r="B1749" s="32" t="s">
        <v>2325</v>
      </c>
      <c r="C1749" s="32" t="s">
        <v>184</v>
      </c>
      <c r="D1749" s="35" t="s">
        <v>294</v>
      </c>
      <c r="E1749" s="32" t="s">
        <v>222</v>
      </c>
      <c r="F1749" s="32" t="s">
        <v>189</v>
      </c>
      <c r="G1749" s="32" t="s">
        <v>190</v>
      </c>
    </row>
    <row r="1750" ht="16.5" customHeight="1">
      <c r="A1750" s="32">
        <v>1749.0</v>
      </c>
      <c r="B1750" s="32" t="s">
        <v>2326</v>
      </c>
      <c r="C1750" s="32" t="s">
        <v>184</v>
      </c>
      <c r="D1750" s="32" t="s">
        <v>192</v>
      </c>
      <c r="E1750" s="32" t="s">
        <v>222</v>
      </c>
      <c r="F1750" s="32" t="s">
        <v>329</v>
      </c>
      <c r="G1750" s="32" t="s">
        <v>457</v>
      </c>
    </row>
    <row r="1751" ht="16.5" customHeight="1">
      <c r="A1751" s="32">
        <v>1750.0</v>
      </c>
      <c r="B1751" s="32" t="s">
        <v>2327</v>
      </c>
      <c r="C1751" s="32" t="s">
        <v>184</v>
      </c>
      <c r="D1751" s="32" t="s">
        <v>192</v>
      </c>
      <c r="E1751" s="32" t="s">
        <v>222</v>
      </c>
      <c r="F1751" s="32" t="s">
        <v>570</v>
      </c>
      <c r="G1751" s="32" t="s">
        <v>447</v>
      </c>
    </row>
    <row r="1752" ht="16.5" customHeight="1">
      <c r="A1752" s="32">
        <v>1751.0</v>
      </c>
      <c r="B1752" s="32" t="s">
        <v>2328</v>
      </c>
      <c r="C1752" s="32" t="s">
        <v>184</v>
      </c>
      <c r="D1752" s="32" t="s">
        <v>219</v>
      </c>
      <c r="E1752" s="32" t="s">
        <v>222</v>
      </c>
      <c r="F1752" s="32" t="s">
        <v>415</v>
      </c>
      <c r="G1752" s="32" t="s">
        <v>2329</v>
      </c>
    </row>
    <row r="1753" ht="16.5" customHeight="1">
      <c r="A1753" s="32">
        <v>1752.0</v>
      </c>
      <c r="B1753" s="32" t="s">
        <v>2330</v>
      </c>
      <c r="C1753" s="32" t="s">
        <v>184</v>
      </c>
      <c r="D1753" s="32" t="s">
        <v>228</v>
      </c>
      <c r="E1753" s="32" t="s">
        <v>222</v>
      </c>
    </row>
    <row r="1754" ht="16.5" customHeight="1">
      <c r="A1754" s="32">
        <v>1753.0</v>
      </c>
      <c r="B1754" s="32" t="s">
        <v>2331</v>
      </c>
      <c r="C1754" s="32" t="s">
        <v>184</v>
      </c>
      <c r="D1754" s="32" t="s">
        <v>214</v>
      </c>
      <c r="E1754" s="32" t="s">
        <v>222</v>
      </c>
      <c r="F1754" s="32" t="s">
        <v>216</v>
      </c>
      <c r="G1754" s="32" t="s">
        <v>217</v>
      </c>
    </row>
    <row r="1755" ht="16.5" customHeight="1">
      <c r="A1755" s="32">
        <v>1754.0</v>
      </c>
      <c r="B1755" s="32" t="s">
        <v>2332</v>
      </c>
      <c r="C1755" s="32" t="s">
        <v>184</v>
      </c>
      <c r="D1755" s="32" t="s">
        <v>254</v>
      </c>
      <c r="E1755" s="32" t="s">
        <v>222</v>
      </c>
      <c r="F1755" s="32" t="s">
        <v>2333</v>
      </c>
      <c r="G1755" s="32" t="s">
        <v>2334</v>
      </c>
    </row>
    <row r="1756" ht="16.5" customHeight="1">
      <c r="A1756" s="32">
        <v>1755.0</v>
      </c>
      <c r="B1756" s="32" t="s">
        <v>2335</v>
      </c>
      <c r="C1756" s="32" t="s">
        <v>184</v>
      </c>
      <c r="D1756" s="32" t="s">
        <v>285</v>
      </c>
      <c r="E1756" s="32" t="s">
        <v>222</v>
      </c>
      <c r="F1756" s="32" t="s">
        <v>189</v>
      </c>
      <c r="G1756" s="32" t="s">
        <v>2046</v>
      </c>
    </row>
    <row r="1757" ht="16.5" customHeight="1">
      <c r="A1757" s="32">
        <v>1756.0</v>
      </c>
      <c r="B1757" s="32" t="s">
        <v>2336</v>
      </c>
      <c r="C1757" s="32" t="s">
        <v>184</v>
      </c>
      <c r="D1757" s="32" t="s">
        <v>228</v>
      </c>
      <c r="E1757" s="32" t="s">
        <v>222</v>
      </c>
    </row>
    <row r="1758" ht="16.5" customHeight="1">
      <c r="A1758" s="32">
        <v>1757.0</v>
      </c>
      <c r="B1758" s="32" t="s">
        <v>2337</v>
      </c>
      <c r="C1758" s="32" t="s">
        <v>184</v>
      </c>
      <c r="D1758" s="32" t="s">
        <v>764</v>
      </c>
      <c r="E1758" s="32" t="s">
        <v>222</v>
      </c>
    </row>
    <row r="1759" ht="16.5" customHeight="1">
      <c r="A1759" s="32">
        <v>1758.0</v>
      </c>
      <c r="B1759" s="32" t="s">
        <v>2338</v>
      </c>
      <c r="C1759" s="32" t="s">
        <v>184</v>
      </c>
      <c r="D1759" s="32" t="s">
        <v>764</v>
      </c>
      <c r="E1759" s="32" t="s">
        <v>222</v>
      </c>
    </row>
    <row r="1760" ht="16.5" customHeight="1">
      <c r="A1760" s="32">
        <v>1759.0</v>
      </c>
      <c r="B1760" s="32" t="s">
        <v>2339</v>
      </c>
      <c r="C1760" s="32" t="s">
        <v>184</v>
      </c>
      <c r="D1760" s="32" t="s">
        <v>219</v>
      </c>
      <c r="E1760" s="32" t="s">
        <v>222</v>
      </c>
      <c r="F1760" s="32" t="s">
        <v>232</v>
      </c>
      <c r="G1760" s="32" t="s">
        <v>292</v>
      </c>
    </row>
    <row r="1761" ht="16.5" customHeight="1">
      <c r="A1761" s="32">
        <v>1760.0</v>
      </c>
      <c r="B1761" s="32" t="s">
        <v>2340</v>
      </c>
      <c r="C1761" s="32" t="s">
        <v>184</v>
      </c>
      <c r="D1761" s="32" t="s">
        <v>219</v>
      </c>
      <c r="E1761" s="32" t="s">
        <v>222</v>
      </c>
      <c r="F1761" s="32" t="s">
        <v>232</v>
      </c>
      <c r="G1761" s="32" t="s">
        <v>233</v>
      </c>
    </row>
    <row r="1762" ht="16.5" customHeight="1">
      <c r="A1762" s="32">
        <v>1761.0</v>
      </c>
      <c r="B1762" s="32" t="s">
        <v>2341</v>
      </c>
      <c r="C1762" s="32" t="s">
        <v>184</v>
      </c>
      <c r="D1762" s="32" t="s">
        <v>219</v>
      </c>
      <c r="E1762" s="32" t="s">
        <v>222</v>
      </c>
      <c r="F1762" s="32" t="s">
        <v>232</v>
      </c>
      <c r="G1762" s="32" t="s">
        <v>233</v>
      </c>
    </row>
    <row r="1763" ht="16.5" customHeight="1">
      <c r="A1763" s="32">
        <v>1762.0</v>
      </c>
      <c r="B1763" s="32" t="s">
        <v>2342</v>
      </c>
      <c r="C1763" s="32" t="s">
        <v>184</v>
      </c>
      <c r="D1763" s="32" t="s">
        <v>219</v>
      </c>
      <c r="E1763" s="32" t="s">
        <v>222</v>
      </c>
      <c r="F1763" s="32" t="s">
        <v>232</v>
      </c>
      <c r="G1763" s="32" t="s">
        <v>233</v>
      </c>
    </row>
    <row r="1764" ht="16.5" customHeight="1">
      <c r="A1764" s="32">
        <v>1763.0</v>
      </c>
      <c r="B1764" s="32" t="s">
        <v>2343</v>
      </c>
      <c r="C1764" s="32" t="s">
        <v>184</v>
      </c>
      <c r="D1764" s="32" t="s">
        <v>219</v>
      </c>
      <c r="E1764" s="32" t="s">
        <v>222</v>
      </c>
      <c r="F1764" s="32" t="s">
        <v>232</v>
      </c>
      <c r="G1764" s="32" t="s">
        <v>233</v>
      </c>
    </row>
    <row r="1765" ht="16.5" customHeight="1">
      <c r="A1765" s="32">
        <v>1764.0</v>
      </c>
      <c r="B1765" s="32" t="s">
        <v>2344</v>
      </c>
      <c r="C1765" s="32" t="s">
        <v>184</v>
      </c>
      <c r="D1765" s="32" t="s">
        <v>234</v>
      </c>
      <c r="E1765" s="32" t="s">
        <v>222</v>
      </c>
      <c r="F1765" s="32" t="s">
        <v>347</v>
      </c>
      <c r="G1765" s="32" t="s">
        <v>382</v>
      </c>
    </row>
    <row r="1766" ht="16.5" customHeight="1">
      <c r="A1766" s="32">
        <v>1765.0</v>
      </c>
      <c r="B1766" s="32" t="s">
        <v>2345</v>
      </c>
      <c r="C1766" s="32" t="s">
        <v>184</v>
      </c>
      <c r="D1766" s="32" t="s">
        <v>234</v>
      </c>
      <c r="E1766" s="35" t="s">
        <v>1929</v>
      </c>
    </row>
    <row r="1767" ht="16.5" customHeight="1">
      <c r="A1767" s="32">
        <v>1766.0</v>
      </c>
      <c r="B1767" s="32" t="s">
        <v>2346</v>
      </c>
      <c r="C1767" s="32" t="s">
        <v>184</v>
      </c>
      <c r="D1767" s="35" t="s">
        <v>2347</v>
      </c>
      <c r="E1767" s="32" t="s">
        <v>222</v>
      </c>
      <c r="F1767" s="32" t="s">
        <v>2348</v>
      </c>
      <c r="G1767" s="32" t="s">
        <v>2349</v>
      </c>
    </row>
    <row r="1768" ht="16.5" customHeight="1">
      <c r="A1768" s="32">
        <v>1767.0</v>
      </c>
      <c r="B1768" s="32" t="s">
        <v>2350</v>
      </c>
      <c r="C1768" s="32" t="s">
        <v>184</v>
      </c>
      <c r="D1768" s="32" t="s">
        <v>219</v>
      </c>
      <c r="E1768" s="32" t="s">
        <v>222</v>
      </c>
      <c r="F1768" s="32" t="s">
        <v>223</v>
      </c>
    </row>
    <row r="1769" ht="16.5" customHeight="1">
      <c r="A1769" s="32">
        <v>1768.0</v>
      </c>
      <c r="B1769" s="32" t="s">
        <v>2351</v>
      </c>
      <c r="C1769" s="32" t="s">
        <v>184</v>
      </c>
      <c r="D1769" s="32" t="s">
        <v>219</v>
      </c>
      <c r="E1769" s="32" t="s">
        <v>222</v>
      </c>
      <c r="F1769" s="32" t="s">
        <v>223</v>
      </c>
    </row>
    <row r="1770" ht="16.5" customHeight="1">
      <c r="A1770" s="32">
        <v>1769.0</v>
      </c>
      <c r="B1770" s="32" t="s">
        <v>2352</v>
      </c>
      <c r="C1770" s="32" t="s">
        <v>184</v>
      </c>
      <c r="D1770" s="32" t="s">
        <v>192</v>
      </c>
      <c r="E1770" s="32" t="s">
        <v>222</v>
      </c>
      <c r="F1770" s="32" t="s">
        <v>329</v>
      </c>
      <c r="G1770" s="32" t="s">
        <v>457</v>
      </c>
    </row>
    <row r="1771" ht="16.5" customHeight="1">
      <c r="A1771" s="32">
        <v>1770.0</v>
      </c>
      <c r="B1771" s="32" t="s">
        <v>2353</v>
      </c>
      <c r="C1771" s="32" t="s">
        <v>184</v>
      </c>
      <c r="D1771" s="32" t="s">
        <v>192</v>
      </c>
      <c r="E1771" s="32" t="s">
        <v>222</v>
      </c>
      <c r="F1771" s="32" t="s">
        <v>329</v>
      </c>
      <c r="G1771" s="32" t="s">
        <v>457</v>
      </c>
    </row>
    <row r="1772" ht="16.5" customHeight="1">
      <c r="A1772" s="32">
        <v>1771.0</v>
      </c>
      <c r="B1772" s="32" t="s">
        <v>2354</v>
      </c>
      <c r="C1772" s="32" t="s">
        <v>184</v>
      </c>
      <c r="D1772" s="32" t="s">
        <v>228</v>
      </c>
      <c r="E1772" s="32" t="s">
        <v>222</v>
      </c>
    </row>
    <row r="1773" ht="16.5" customHeight="1">
      <c r="A1773" s="32">
        <v>1772.0</v>
      </c>
      <c r="B1773" s="32" t="s">
        <v>2355</v>
      </c>
      <c r="C1773" s="32" t="s">
        <v>184</v>
      </c>
      <c r="D1773" s="32" t="s">
        <v>219</v>
      </c>
      <c r="E1773" s="32" t="s">
        <v>222</v>
      </c>
      <c r="F1773" s="32" t="s">
        <v>232</v>
      </c>
      <c r="G1773" s="32" t="s">
        <v>233</v>
      </c>
    </row>
    <row r="1774" ht="16.5" customHeight="1">
      <c r="A1774" s="32">
        <v>1773.0</v>
      </c>
      <c r="B1774" s="32" t="s">
        <v>2356</v>
      </c>
      <c r="C1774" s="32" t="s">
        <v>184</v>
      </c>
      <c r="D1774" s="32" t="s">
        <v>219</v>
      </c>
      <c r="E1774" s="32" t="s">
        <v>222</v>
      </c>
      <c r="F1774" s="32" t="s">
        <v>241</v>
      </c>
      <c r="G1774" s="32" t="s">
        <v>292</v>
      </c>
    </row>
    <row r="1775" ht="16.5" customHeight="1">
      <c r="A1775" s="32">
        <v>1774.0</v>
      </c>
      <c r="B1775" s="32" t="s">
        <v>2357</v>
      </c>
      <c r="C1775" s="32" t="s">
        <v>184</v>
      </c>
      <c r="D1775" s="32" t="s">
        <v>219</v>
      </c>
      <c r="E1775" s="32" t="s">
        <v>222</v>
      </c>
      <c r="F1775" s="32" t="s">
        <v>216</v>
      </c>
      <c r="G1775" s="32" t="s">
        <v>217</v>
      </c>
    </row>
    <row r="1776" ht="16.5" customHeight="1">
      <c r="A1776" s="32">
        <v>1775.0</v>
      </c>
      <c r="B1776" s="32" t="s">
        <v>2358</v>
      </c>
      <c r="C1776" s="32" t="s">
        <v>184</v>
      </c>
      <c r="D1776" s="32" t="s">
        <v>219</v>
      </c>
      <c r="E1776" s="32" t="s">
        <v>222</v>
      </c>
    </row>
    <row r="1777" ht="16.5" customHeight="1">
      <c r="A1777" s="32">
        <v>1776.0</v>
      </c>
      <c r="B1777" s="32" t="s">
        <v>2359</v>
      </c>
      <c r="C1777" s="32" t="s">
        <v>184</v>
      </c>
      <c r="D1777" s="32" t="s">
        <v>228</v>
      </c>
      <c r="E1777" s="32" t="s">
        <v>222</v>
      </c>
      <c r="F1777" s="32" t="s">
        <v>408</v>
      </c>
      <c r="G1777" s="32" t="s">
        <v>1621</v>
      </c>
    </row>
    <row r="1778" ht="16.5" customHeight="1">
      <c r="A1778" s="32">
        <v>1777.0</v>
      </c>
      <c r="B1778" s="32" t="s">
        <v>2360</v>
      </c>
      <c r="C1778" s="32" t="s">
        <v>184</v>
      </c>
      <c r="D1778" s="32" t="s">
        <v>219</v>
      </c>
      <c r="E1778" s="32" t="s">
        <v>222</v>
      </c>
      <c r="F1778" s="32" t="s">
        <v>223</v>
      </c>
    </row>
    <row r="1779" ht="16.5" customHeight="1">
      <c r="A1779" s="32">
        <v>1778.0</v>
      </c>
      <c r="B1779" s="32" t="s">
        <v>2361</v>
      </c>
      <c r="C1779" s="32" t="s">
        <v>184</v>
      </c>
      <c r="D1779" s="32" t="s">
        <v>234</v>
      </c>
      <c r="E1779" s="32" t="s">
        <v>222</v>
      </c>
      <c r="F1779" s="32" t="s">
        <v>347</v>
      </c>
      <c r="G1779" s="32" t="s">
        <v>2362</v>
      </c>
    </row>
    <row r="1780" ht="16.5" customHeight="1">
      <c r="A1780" s="32">
        <v>1779.0</v>
      </c>
      <c r="B1780" s="32" t="s">
        <v>2363</v>
      </c>
      <c r="C1780" s="32" t="s">
        <v>184</v>
      </c>
      <c r="D1780" s="32" t="s">
        <v>234</v>
      </c>
      <c r="E1780" s="32" t="s">
        <v>222</v>
      </c>
      <c r="F1780" s="32" t="s">
        <v>2364</v>
      </c>
      <c r="G1780" s="32" t="s">
        <v>2365</v>
      </c>
    </row>
    <row r="1781" ht="16.5" customHeight="1">
      <c r="A1781" s="32">
        <v>1780.0</v>
      </c>
      <c r="B1781" s="32" t="s">
        <v>2366</v>
      </c>
      <c r="C1781" s="32" t="s">
        <v>184</v>
      </c>
      <c r="D1781" s="32" t="s">
        <v>234</v>
      </c>
      <c r="E1781" s="32" t="s">
        <v>222</v>
      </c>
      <c r="F1781" s="32" t="s">
        <v>347</v>
      </c>
      <c r="G1781" s="32" t="s">
        <v>2222</v>
      </c>
    </row>
    <row r="1782" ht="16.5" customHeight="1">
      <c r="A1782" s="32">
        <v>1781.0</v>
      </c>
      <c r="B1782" s="32" t="s">
        <v>2367</v>
      </c>
      <c r="C1782" s="32" t="s">
        <v>184</v>
      </c>
      <c r="D1782" s="32" t="s">
        <v>192</v>
      </c>
      <c r="E1782" s="35" t="s">
        <v>1929</v>
      </c>
    </row>
    <row r="1783" ht="16.5" customHeight="1">
      <c r="A1783" s="32">
        <v>1782.0</v>
      </c>
      <c r="B1783" s="32" t="s">
        <v>2368</v>
      </c>
      <c r="C1783" s="32" t="s">
        <v>184</v>
      </c>
      <c r="D1783" s="32" t="s">
        <v>192</v>
      </c>
      <c r="E1783" s="32" t="s">
        <v>222</v>
      </c>
      <c r="F1783" s="32" t="s">
        <v>347</v>
      </c>
      <c r="G1783" s="32" t="s">
        <v>2362</v>
      </c>
    </row>
    <row r="1784" ht="16.5" customHeight="1">
      <c r="A1784" s="32">
        <v>1783.0</v>
      </c>
      <c r="B1784" s="32" t="s">
        <v>2369</v>
      </c>
      <c r="C1784" s="32" t="s">
        <v>184</v>
      </c>
      <c r="D1784" s="32" t="s">
        <v>764</v>
      </c>
      <c r="E1784" s="32" t="s">
        <v>222</v>
      </c>
    </row>
    <row r="1785" ht="16.5" customHeight="1">
      <c r="A1785" s="32">
        <v>1784.0</v>
      </c>
      <c r="B1785" s="32" t="s">
        <v>2370</v>
      </c>
      <c r="C1785" s="32" t="s">
        <v>184</v>
      </c>
      <c r="D1785" s="32" t="s">
        <v>228</v>
      </c>
      <c r="E1785" s="32" t="s">
        <v>222</v>
      </c>
      <c r="F1785" s="32" t="s">
        <v>2371</v>
      </c>
    </row>
    <row r="1786" ht="16.5" customHeight="1">
      <c r="A1786" s="32">
        <v>1785.0</v>
      </c>
      <c r="B1786" s="32" t="s">
        <v>2372</v>
      </c>
      <c r="C1786" s="32" t="s">
        <v>184</v>
      </c>
      <c r="D1786" s="32" t="s">
        <v>234</v>
      </c>
      <c r="E1786" s="32" t="s">
        <v>222</v>
      </c>
    </row>
    <row r="1787" ht="16.5" customHeight="1">
      <c r="A1787" s="32">
        <v>1786.0</v>
      </c>
      <c r="B1787" s="32" t="s">
        <v>2373</v>
      </c>
      <c r="C1787" s="32" t="s">
        <v>184</v>
      </c>
      <c r="D1787" s="32" t="s">
        <v>228</v>
      </c>
      <c r="E1787" s="32" t="s">
        <v>222</v>
      </c>
      <c r="F1787" s="32" t="s">
        <v>544</v>
      </c>
      <c r="G1787" s="32" t="s">
        <v>2374</v>
      </c>
    </row>
    <row r="1788" ht="16.5" customHeight="1">
      <c r="A1788" s="32">
        <v>1787.0</v>
      </c>
      <c r="B1788" s="32" t="s">
        <v>2375</v>
      </c>
      <c r="C1788" s="32" t="s">
        <v>184</v>
      </c>
      <c r="D1788" s="32" t="s">
        <v>192</v>
      </c>
      <c r="E1788" s="32" t="s">
        <v>222</v>
      </c>
    </row>
    <row r="1789" ht="16.5" customHeight="1">
      <c r="A1789" s="32">
        <v>1788.0</v>
      </c>
      <c r="B1789" s="32" t="s">
        <v>2376</v>
      </c>
      <c r="C1789" s="32" t="s">
        <v>184</v>
      </c>
      <c r="D1789" s="32" t="s">
        <v>185</v>
      </c>
      <c r="E1789" s="32" t="s">
        <v>222</v>
      </c>
      <c r="F1789" s="32" t="s">
        <v>189</v>
      </c>
      <c r="G1789" s="32" t="s">
        <v>314</v>
      </c>
    </row>
    <row r="1790" ht="16.5" customHeight="1">
      <c r="A1790" s="32">
        <v>1789.0</v>
      </c>
      <c r="B1790" s="32" t="s">
        <v>2377</v>
      </c>
      <c r="C1790" s="32" t="s">
        <v>184</v>
      </c>
      <c r="D1790" s="32" t="s">
        <v>228</v>
      </c>
      <c r="E1790" s="32" t="s">
        <v>222</v>
      </c>
      <c r="F1790" s="32" t="s">
        <v>408</v>
      </c>
      <c r="G1790" s="32" t="s">
        <v>452</v>
      </c>
    </row>
    <row r="1791" ht="16.5" customHeight="1">
      <c r="A1791" s="32">
        <v>1790.0</v>
      </c>
      <c r="B1791" s="32" t="s">
        <v>2378</v>
      </c>
      <c r="C1791" s="32" t="s">
        <v>184</v>
      </c>
      <c r="D1791" s="32" t="s">
        <v>228</v>
      </c>
      <c r="E1791" s="32" t="s">
        <v>222</v>
      </c>
      <c r="F1791" s="32" t="s">
        <v>408</v>
      </c>
      <c r="G1791" s="32" t="s">
        <v>452</v>
      </c>
    </row>
    <row r="1792" ht="16.5" customHeight="1">
      <c r="A1792" s="32">
        <v>1791.0</v>
      </c>
      <c r="B1792" s="32" t="s">
        <v>2379</v>
      </c>
      <c r="C1792" s="32" t="s">
        <v>184</v>
      </c>
      <c r="D1792" s="32" t="s">
        <v>228</v>
      </c>
      <c r="E1792" s="32" t="s">
        <v>222</v>
      </c>
      <c r="F1792" s="32" t="s">
        <v>408</v>
      </c>
      <c r="G1792" s="32" t="s">
        <v>2380</v>
      </c>
    </row>
    <row r="1793" ht="16.5" customHeight="1">
      <c r="A1793" s="32">
        <v>1792.0</v>
      </c>
      <c r="B1793" s="32" t="s">
        <v>2381</v>
      </c>
      <c r="C1793" s="32" t="s">
        <v>184</v>
      </c>
      <c r="D1793" s="32" t="s">
        <v>228</v>
      </c>
      <c r="E1793" s="32" t="s">
        <v>222</v>
      </c>
    </row>
    <row r="1794" ht="16.5" customHeight="1">
      <c r="A1794" s="32">
        <v>1793.0</v>
      </c>
      <c r="B1794" s="32" t="s">
        <v>2382</v>
      </c>
      <c r="C1794" s="32" t="s">
        <v>184</v>
      </c>
      <c r="D1794" s="32" t="s">
        <v>192</v>
      </c>
      <c r="E1794" s="32" t="s">
        <v>222</v>
      </c>
      <c r="F1794" s="32" t="s">
        <v>329</v>
      </c>
      <c r="G1794" s="32" t="s">
        <v>447</v>
      </c>
    </row>
    <row r="1795" ht="16.5" customHeight="1">
      <c r="A1795" s="32">
        <v>1794.0</v>
      </c>
      <c r="B1795" s="32" t="s">
        <v>2383</v>
      </c>
      <c r="C1795" s="32" t="s">
        <v>184</v>
      </c>
      <c r="D1795" s="32" t="s">
        <v>228</v>
      </c>
      <c r="E1795" s="32" t="s">
        <v>222</v>
      </c>
      <c r="F1795" s="32" t="s">
        <v>408</v>
      </c>
      <c r="G1795" s="32" t="s">
        <v>490</v>
      </c>
    </row>
    <row r="1796" ht="16.5" customHeight="1">
      <c r="A1796" s="32">
        <v>1795.0</v>
      </c>
      <c r="B1796" s="32" t="s">
        <v>2384</v>
      </c>
      <c r="C1796" s="32" t="s">
        <v>184</v>
      </c>
      <c r="D1796" s="32" t="s">
        <v>228</v>
      </c>
      <c r="E1796" s="32" t="s">
        <v>222</v>
      </c>
      <c r="F1796" s="32" t="s">
        <v>408</v>
      </c>
      <c r="G1796" s="32" t="s">
        <v>452</v>
      </c>
    </row>
    <row r="1797" ht="16.5" customHeight="1">
      <c r="A1797" s="32">
        <v>1796.0</v>
      </c>
      <c r="B1797" s="32" t="s">
        <v>2385</v>
      </c>
      <c r="C1797" s="32" t="s">
        <v>184</v>
      </c>
      <c r="D1797" s="32" t="s">
        <v>228</v>
      </c>
      <c r="E1797" s="32" t="s">
        <v>222</v>
      </c>
      <c r="F1797" s="32" t="s">
        <v>408</v>
      </c>
      <c r="G1797" s="32" t="s">
        <v>452</v>
      </c>
    </row>
    <row r="1798" ht="16.5" customHeight="1">
      <c r="A1798" s="32">
        <v>1797.0</v>
      </c>
      <c r="B1798" s="32" t="s">
        <v>2386</v>
      </c>
      <c r="C1798" s="32" t="s">
        <v>184</v>
      </c>
      <c r="D1798" s="32" t="s">
        <v>228</v>
      </c>
      <c r="E1798" s="32" t="s">
        <v>222</v>
      </c>
      <c r="F1798" s="32" t="s">
        <v>408</v>
      </c>
      <c r="G1798" s="32" t="s">
        <v>452</v>
      </c>
    </row>
    <row r="1799" ht="16.5" customHeight="1">
      <c r="A1799" s="32">
        <v>1798.0</v>
      </c>
      <c r="B1799" s="32" t="s">
        <v>2387</v>
      </c>
      <c r="C1799" s="32" t="s">
        <v>184</v>
      </c>
      <c r="D1799" s="32" t="s">
        <v>228</v>
      </c>
      <c r="E1799" s="32" t="s">
        <v>222</v>
      </c>
      <c r="F1799" s="32" t="s">
        <v>408</v>
      </c>
      <c r="G1799" s="32" t="s">
        <v>452</v>
      </c>
    </row>
    <row r="1800" ht="16.5" customHeight="1">
      <c r="A1800" s="32">
        <v>1799.0</v>
      </c>
      <c r="B1800" s="32" t="s">
        <v>2388</v>
      </c>
      <c r="C1800" s="32" t="s">
        <v>184</v>
      </c>
      <c r="D1800" s="32" t="s">
        <v>285</v>
      </c>
      <c r="E1800" s="32" t="s">
        <v>222</v>
      </c>
      <c r="F1800" s="32" t="s">
        <v>189</v>
      </c>
      <c r="G1800" s="32" t="s">
        <v>190</v>
      </c>
    </row>
    <row r="1801" ht="16.5" customHeight="1">
      <c r="A1801" s="32">
        <v>1800.0</v>
      </c>
      <c r="B1801" s="32" t="s">
        <v>2389</v>
      </c>
      <c r="C1801" s="32" t="s">
        <v>184</v>
      </c>
      <c r="D1801" s="35" t="s">
        <v>294</v>
      </c>
      <c r="E1801" s="32" t="s">
        <v>222</v>
      </c>
      <c r="F1801" s="32" t="s">
        <v>189</v>
      </c>
      <c r="G1801" s="32" t="s">
        <v>190</v>
      </c>
    </row>
    <row r="1802" ht="16.5" customHeight="1">
      <c r="A1802" s="32">
        <v>1801.0</v>
      </c>
      <c r="B1802" s="32" t="s">
        <v>2390</v>
      </c>
      <c r="C1802" s="32" t="s">
        <v>184</v>
      </c>
      <c r="D1802" s="35" t="s">
        <v>294</v>
      </c>
      <c r="E1802" s="32" t="s">
        <v>222</v>
      </c>
      <c r="F1802" s="32" t="s">
        <v>189</v>
      </c>
      <c r="G1802" s="32" t="s">
        <v>190</v>
      </c>
    </row>
    <row r="1803" ht="16.5" customHeight="1">
      <c r="A1803" s="32">
        <v>1802.0</v>
      </c>
      <c r="B1803" s="32" t="s">
        <v>2391</v>
      </c>
      <c r="C1803" s="32" t="s">
        <v>184</v>
      </c>
      <c r="D1803" s="35" t="s">
        <v>691</v>
      </c>
      <c r="E1803" s="32" t="s">
        <v>222</v>
      </c>
      <c r="F1803" s="32" t="s">
        <v>793</v>
      </c>
      <c r="G1803" s="32" t="s">
        <v>2392</v>
      </c>
    </row>
    <row r="1804" ht="16.5" customHeight="1">
      <c r="A1804" s="32">
        <v>1803.0</v>
      </c>
      <c r="B1804" s="32" t="s">
        <v>2393</v>
      </c>
      <c r="C1804" s="32" t="s">
        <v>184</v>
      </c>
      <c r="D1804" s="35" t="s">
        <v>361</v>
      </c>
      <c r="E1804" s="32" t="s">
        <v>222</v>
      </c>
      <c r="F1804" s="32" t="s">
        <v>329</v>
      </c>
      <c r="G1804" s="32" t="s">
        <v>457</v>
      </c>
    </row>
    <row r="1805" ht="16.5" customHeight="1">
      <c r="A1805" s="32">
        <v>1804.0</v>
      </c>
      <c r="B1805" s="32" t="s">
        <v>2394</v>
      </c>
      <c r="C1805" s="32" t="s">
        <v>184</v>
      </c>
      <c r="D1805" s="35" t="s">
        <v>361</v>
      </c>
      <c r="E1805" s="32" t="s">
        <v>222</v>
      </c>
    </row>
    <row r="1806" ht="16.5" customHeight="1">
      <c r="A1806" s="32">
        <v>1805.0</v>
      </c>
      <c r="B1806" s="32" t="s">
        <v>2395</v>
      </c>
      <c r="C1806" s="32" t="s">
        <v>184</v>
      </c>
      <c r="D1806" s="35" t="s">
        <v>2396</v>
      </c>
      <c r="E1806" s="32" t="s">
        <v>222</v>
      </c>
    </row>
    <row r="1807" ht="16.5" customHeight="1">
      <c r="A1807" s="32">
        <v>1806.0</v>
      </c>
      <c r="B1807" s="32" t="s">
        <v>2397</v>
      </c>
      <c r="C1807" s="32" t="s">
        <v>184</v>
      </c>
      <c r="D1807" s="32" t="s">
        <v>214</v>
      </c>
      <c r="E1807" s="32" t="s">
        <v>222</v>
      </c>
      <c r="F1807" s="32" t="s">
        <v>216</v>
      </c>
      <c r="G1807" s="32" t="s">
        <v>217</v>
      </c>
    </row>
    <row r="1808" ht="16.5" customHeight="1">
      <c r="A1808" s="32">
        <v>1807.0</v>
      </c>
      <c r="B1808" s="32" t="s">
        <v>2398</v>
      </c>
      <c r="C1808" s="32" t="s">
        <v>184</v>
      </c>
      <c r="D1808" s="32" t="s">
        <v>234</v>
      </c>
      <c r="E1808" s="32" t="s">
        <v>222</v>
      </c>
    </row>
    <row r="1809" ht="16.5" customHeight="1">
      <c r="A1809" s="32">
        <v>1808.0</v>
      </c>
      <c r="B1809" s="32" t="s">
        <v>2399</v>
      </c>
      <c r="C1809" s="32" t="s">
        <v>184</v>
      </c>
      <c r="D1809" s="35" t="s">
        <v>1894</v>
      </c>
      <c r="E1809" s="32" t="s">
        <v>222</v>
      </c>
      <c r="F1809" s="32" t="s">
        <v>2400</v>
      </c>
      <c r="G1809" s="32" t="s">
        <v>229</v>
      </c>
    </row>
    <row r="1810" ht="16.5" customHeight="1">
      <c r="A1810" s="32">
        <v>1809.0</v>
      </c>
      <c r="B1810" s="32" t="s">
        <v>2401</v>
      </c>
      <c r="C1810" s="32" t="s">
        <v>184</v>
      </c>
      <c r="D1810" s="32" t="s">
        <v>228</v>
      </c>
      <c r="E1810" s="32" t="s">
        <v>222</v>
      </c>
      <c r="F1810" s="32" t="s">
        <v>408</v>
      </c>
      <c r="G1810" s="32" t="s">
        <v>452</v>
      </c>
    </row>
    <row r="1811" ht="16.5" customHeight="1">
      <c r="A1811" s="32">
        <v>1810.0</v>
      </c>
      <c r="B1811" s="32" t="s">
        <v>2402</v>
      </c>
      <c r="C1811" s="32" t="s">
        <v>184</v>
      </c>
      <c r="D1811" s="32" t="s">
        <v>192</v>
      </c>
      <c r="E1811" s="32" t="s">
        <v>222</v>
      </c>
      <c r="F1811" s="32" t="s">
        <v>329</v>
      </c>
      <c r="G1811" s="32" t="s">
        <v>457</v>
      </c>
    </row>
    <row r="1812" ht="16.5" customHeight="1">
      <c r="A1812" s="32">
        <v>1811.0</v>
      </c>
      <c r="B1812" s="32" t="s">
        <v>2403</v>
      </c>
      <c r="C1812" s="32" t="s">
        <v>184</v>
      </c>
      <c r="D1812" s="32" t="s">
        <v>192</v>
      </c>
      <c r="E1812" s="32" t="s">
        <v>222</v>
      </c>
    </row>
    <row r="1813" ht="16.5" customHeight="1">
      <c r="A1813" s="32">
        <v>1812.0</v>
      </c>
      <c r="B1813" s="32" t="s">
        <v>2404</v>
      </c>
      <c r="C1813" s="32" t="s">
        <v>184</v>
      </c>
      <c r="D1813" s="32" t="s">
        <v>192</v>
      </c>
      <c r="E1813" s="32" t="s">
        <v>222</v>
      </c>
      <c r="F1813" s="32" t="s">
        <v>329</v>
      </c>
      <c r="G1813" s="32" t="s">
        <v>457</v>
      </c>
    </row>
    <row r="1814" ht="16.5" customHeight="1">
      <c r="A1814" s="32">
        <v>1813.0</v>
      </c>
      <c r="B1814" s="32" t="s">
        <v>2405</v>
      </c>
      <c r="C1814" s="32" t="s">
        <v>184</v>
      </c>
      <c r="D1814" s="32" t="s">
        <v>192</v>
      </c>
      <c r="E1814" s="32" t="s">
        <v>222</v>
      </c>
      <c r="F1814" s="32" t="s">
        <v>570</v>
      </c>
      <c r="G1814" s="32" t="s">
        <v>447</v>
      </c>
    </row>
    <row r="1815" ht="16.5" customHeight="1">
      <c r="A1815" s="32">
        <v>1814.0</v>
      </c>
      <c r="B1815" s="32" t="s">
        <v>2406</v>
      </c>
      <c r="C1815" s="32" t="s">
        <v>184</v>
      </c>
      <c r="D1815" s="32" t="s">
        <v>192</v>
      </c>
      <c r="E1815" s="32" t="s">
        <v>222</v>
      </c>
      <c r="F1815" s="32" t="s">
        <v>329</v>
      </c>
      <c r="G1815" s="32" t="s">
        <v>457</v>
      </c>
    </row>
    <row r="1816" ht="16.5" customHeight="1">
      <c r="A1816" s="32">
        <v>1815.0</v>
      </c>
      <c r="B1816" s="32" t="s">
        <v>2407</v>
      </c>
      <c r="C1816" s="32" t="s">
        <v>184</v>
      </c>
      <c r="D1816" s="32" t="s">
        <v>219</v>
      </c>
      <c r="E1816" s="32" t="s">
        <v>222</v>
      </c>
    </row>
    <row r="1817" ht="16.5" customHeight="1">
      <c r="A1817" s="32">
        <v>1816.0</v>
      </c>
      <c r="B1817" s="32" t="s">
        <v>2408</v>
      </c>
      <c r="C1817" s="32" t="s">
        <v>184</v>
      </c>
      <c r="D1817" s="32" t="s">
        <v>214</v>
      </c>
      <c r="E1817" s="32" t="s">
        <v>222</v>
      </c>
      <c r="F1817" s="32" t="s">
        <v>216</v>
      </c>
      <c r="G1817" s="32" t="s">
        <v>217</v>
      </c>
    </row>
    <row r="1818" ht="16.5" customHeight="1">
      <c r="A1818" s="32">
        <v>1817.0</v>
      </c>
      <c r="B1818" s="32" t="s">
        <v>2409</v>
      </c>
      <c r="C1818" s="32" t="s">
        <v>184</v>
      </c>
      <c r="D1818" s="32" t="s">
        <v>219</v>
      </c>
      <c r="E1818" s="32" t="s">
        <v>222</v>
      </c>
    </row>
    <row r="1819" ht="16.5" customHeight="1">
      <c r="A1819" s="32">
        <v>1818.0</v>
      </c>
      <c r="B1819" s="32" t="s">
        <v>2410</v>
      </c>
      <c r="C1819" s="32" t="s">
        <v>184</v>
      </c>
      <c r="D1819" s="32" t="s">
        <v>214</v>
      </c>
      <c r="E1819" s="32" t="s">
        <v>222</v>
      </c>
      <c r="F1819" s="32" t="s">
        <v>604</v>
      </c>
    </row>
    <row r="1820" ht="16.5" customHeight="1">
      <c r="A1820" s="32">
        <v>1819.0</v>
      </c>
      <c r="B1820" s="32" t="s">
        <v>2411</v>
      </c>
      <c r="C1820" s="32" t="s">
        <v>184</v>
      </c>
      <c r="D1820" s="32" t="s">
        <v>185</v>
      </c>
      <c r="E1820" s="32" t="s">
        <v>222</v>
      </c>
      <c r="F1820" s="32" t="s">
        <v>2412</v>
      </c>
      <c r="G1820" s="32" t="s">
        <v>2413</v>
      </c>
    </row>
    <row r="1821" ht="16.5" customHeight="1">
      <c r="A1821" s="32">
        <v>1820.0</v>
      </c>
      <c r="B1821" s="32" t="s">
        <v>2414</v>
      </c>
      <c r="C1821" s="32" t="s">
        <v>184</v>
      </c>
      <c r="D1821" s="32" t="s">
        <v>185</v>
      </c>
      <c r="E1821" s="32" t="s">
        <v>222</v>
      </c>
      <c r="F1821" s="32" t="s">
        <v>267</v>
      </c>
      <c r="G1821" s="32" t="s">
        <v>2415</v>
      </c>
    </row>
    <row r="1822" ht="16.5" customHeight="1">
      <c r="A1822" s="32">
        <v>1821.0</v>
      </c>
      <c r="B1822" s="32" t="s">
        <v>2416</v>
      </c>
      <c r="C1822" s="32" t="s">
        <v>184</v>
      </c>
      <c r="D1822" s="32" t="s">
        <v>228</v>
      </c>
      <c r="E1822" s="32" t="s">
        <v>222</v>
      </c>
      <c r="F1822" s="32" t="s">
        <v>408</v>
      </c>
      <c r="G1822" s="32" t="s">
        <v>2417</v>
      </c>
    </row>
    <row r="1823" ht="16.5" customHeight="1">
      <c r="A1823" s="32">
        <v>1822.0</v>
      </c>
      <c r="B1823" s="32" t="s">
        <v>2418</v>
      </c>
      <c r="C1823" s="32" t="s">
        <v>184</v>
      </c>
      <c r="D1823" s="32" t="s">
        <v>234</v>
      </c>
      <c r="E1823" s="32" t="s">
        <v>222</v>
      </c>
    </row>
    <row r="1824" ht="16.5" customHeight="1">
      <c r="A1824" s="32">
        <v>1823.0</v>
      </c>
      <c r="B1824" s="32" t="s">
        <v>2419</v>
      </c>
      <c r="C1824" s="32" t="s">
        <v>184</v>
      </c>
      <c r="D1824" s="32" t="s">
        <v>254</v>
      </c>
      <c r="E1824" s="32" t="s">
        <v>222</v>
      </c>
      <c r="F1824" s="32" t="s">
        <v>257</v>
      </c>
      <c r="G1824" s="32" t="s">
        <v>256</v>
      </c>
    </row>
    <row r="1825" ht="16.5" customHeight="1">
      <c r="A1825" s="32">
        <v>1824.0</v>
      </c>
      <c r="B1825" s="32" t="s">
        <v>2420</v>
      </c>
      <c r="C1825" s="32" t="s">
        <v>184</v>
      </c>
      <c r="D1825" s="32" t="s">
        <v>254</v>
      </c>
      <c r="E1825" s="32" t="s">
        <v>222</v>
      </c>
      <c r="F1825" s="32" t="s">
        <v>257</v>
      </c>
      <c r="G1825" s="32" t="s">
        <v>256</v>
      </c>
    </row>
    <row r="1826" ht="16.5" customHeight="1">
      <c r="A1826" s="32">
        <v>1825.0</v>
      </c>
      <c r="B1826" s="32" t="s">
        <v>2421</v>
      </c>
      <c r="C1826" s="32" t="s">
        <v>184</v>
      </c>
      <c r="D1826" s="32" t="s">
        <v>254</v>
      </c>
      <c r="E1826" s="32" t="s">
        <v>222</v>
      </c>
    </row>
    <row r="1827" ht="16.5" customHeight="1">
      <c r="A1827" s="32">
        <v>1826.0</v>
      </c>
      <c r="B1827" s="32" t="s">
        <v>2422</v>
      </c>
      <c r="C1827" s="32" t="s">
        <v>184</v>
      </c>
      <c r="D1827" s="32" t="s">
        <v>254</v>
      </c>
      <c r="E1827" s="32" t="s">
        <v>222</v>
      </c>
    </row>
    <row r="1828" ht="16.5" customHeight="1">
      <c r="A1828" s="32">
        <v>1827.0</v>
      </c>
      <c r="B1828" s="32" t="s">
        <v>2423</v>
      </c>
      <c r="C1828" s="32" t="s">
        <v>184</v>
      </c>
      <c r="D1828" s="32" t="s">
        <v>254</v>
      </c>
      <c r="E1828" s="32" t="s">
        <v>222</v>
      </c>
    </row>
    <row r="1829" ht="16.5" customHeight="1">
      <c r="A1829" s="32">
        <v>1828.0</v>
      </c>
      <c r="B1829" s="32" t="s">
        <v>2424</v>
      </c>
      <c r="C1829" s="32" t="s">
        <v>184</v>
      </c>
      <c r="D1829" s="32" t="s">
        <v>228</v>
      </c>
      <c r="E1829" s="32" t="s">
        <v>222</v>
      </c>
      <c r="F1829" s="32" t="s">
        <v>544</v>
      </c>
      <c r="G1829" s="32" t="s">
        <v>2425</v>
      </c>
    </row>
    <row r="1830" ht="16.5" customHeight="1">
      <c r="A1830" s="32">
        <v>1829.0</v>
      </c>
      <c r="B1830" s="32" t="s">
        <v>2426</v>
      </c>
      <c r="C1830" s="32" t="s">
        <v>184</v>
      </c>
      <c r="D1830" s="32" t="s">
        <v>228</v>
      </c>
      <c r="E1830" s="32" t="s">
        <v>222</v>
      </c>
    </row>
    <row r="1831" ht="16.5" customHeight="1">
      <c r="A1831" s="32">
        <v>1830.0</v>
      </c>
      <c r="B1831" s="32" t="s">
        <v>2427</v>
      </c>
      <c r="C1831" s="32" t="s">
        <v>184</v>
      </c>
      <c r="D1831" s="32" t="s">
        <v>219</v>
      </c>
      <c r="E1831" s="32" t="s">
        <v>222</v>
      </c>
      <c r="F1831" s="32" t="s">
        <v>241</v>
      </c>
      <c r="G1831" s="32" t="s">
        <v>292</v>
      </c>
    </row>
    <row r="1832" ht="16.5" customHeight="1">
      <c r="A1832" s="32">
        <v>1831.0</v>
      </c>
      <c r="B1832" s="32" t="s">
        <v>2428</v>
      </c>
      <c r="C1832" s="32" t="s">
        <v>184</v>
      </c>
      <c r="D1832" s="32" t="s">
        <v>228</v>
      </c>
      <c r="E1832" s="32" t="s">
        <v>222</v>
      </c>
      <c r="F1832" s="32" t="s">
        <v>229</v>
      </c>
      <c r="G1832" s="32" t="s">
        <v>244</v>
      </c>
    </row>
    <row r="1833" ht="16.5" customHeight="1">
      <c r="A1833" s="32">
        <v>1832.0</v>
      </c>
      <c r="B1833" s="32" t="s">
        <v>2429</v>
      </c>
      <c r="C1833" s="32" t="s">
        <v>184</v>
      </c>
      <c r="D1833" s="32" t="s">
        <v>228</v>
      </c>
      <c r="E1833" s="32" t="s">
        <v>222</v>
      </c>
      <c r="F1833" s="32" t="s">
        <v>229</v>
      </c>
      <c r="G1833" s="32" t="s">
        <v>244</v>
      </c>
    </row>
    <row r="1834" ht="16.5" customHeight="1">
      <c r="A1834" s="32">
        <v>1833.0</v>
      </c>
      <c r="B1834" s="32" t="s">
        <v>2430</v>
      </c>
      <c r="C1834" s="32" t="s">
        <v>184</v>
      </c>
      <c r="D1834" s="32" t="s">
        <v>219</v>
      </c>
      <c r="E1834" s="32" t="s">
        <v>222</v>
      </c>
    </row>
    <row r="1835" ht="16.5" customHeight="1">
      <c r="A1835" s="32">
        <v>1834.0</v>
      </c>
      <c r="B1835" s="32" t="s">
        <v>2431</v>
      </c>
      <c r="C1835" s="32" t="s">
        <v>184</v>
      </c>
      <c r="D1835" s="32" t="s">
        <v>228</v>
      </c>
      <c r="E1835" s="32" t="s">
        <v>222</v>
      </c>
      <c r="F1835" s="32" t="s">
        <v>229</v>
      </c>
      <c r="G1835" s="32" t="s">
        <v>626</v>
      </c>
    </row>
    <row r="1836" ht="16.5" customHeight="1">
      <c r="A1836" s="32">
        <v>1835.0</v>
      </c>
      <c r="B1836" s="32" t="s">
        <v>2432</v>
      </c>
      <c r="C1836" s="32" t="s">
        <v>184</v>
      </c>
      <c r="D1836" s="32" t="s">
        <v>228</v>
      </c>
      <c r="E1836" s="32" t="s">
        <v>222</v>
      </c>
    </row>
    <row r="1837" ht="16.5" customHeight="1">
      <c r="A1837" s="32">
        <v>1836.0</v>
      </c>
      <c r="B1837" s="32" t="s">
        <v>2433</v>
      </c>
      <c r="C1837" s="32" t="s">
        <v>184</v>
      </c>
      <c r="D1837" s="32" t="s">
        <v>228</v>
      </c>
      <c r="E1837" s="32" t="s">
        <v>222</v>
      </c>
      <c r="F1837" s="32" t="s">
        <v>229</v>
      </c>
      <c r="G1837" s="32" t="s">
        <v>626</v>
      </c>
    </row>
    <row r="1838" ht="16.5" customHeight="1">
      <c r="A1838" s="32">
        <v>1837.0</v>
      </c>
      <c r="B1838" s="32" t="s">
        <v>2434</v>
      </c>
      <c r="C1838" s="32" t="s">
        <v>184</v>
      </c>
      <c r="D1838" s="32" t="s">
        <v>219</v>
      </c>
      <c r="E1838" s="32" t="s">
        <v>222</v>
      </c>
      <c r="F1838" s="32" t="s">
        <v>223</v>
      </c>
    </row>
    <row r="1839" ht="16.5" customHeight="1">
      <c r="A1839" s="32">
        <v>1838.0</v>
      </c>
      <c r="B1839" s="32" t="s">
        <v>2435</v>
      </c>
      <c r="C1839" s="32" t="s">
        <v>184</v>
      </c>
      <c r="D1839" s="32" t="s">
        <v>228</v>
      </c>
      <c r="E1839" s="32" t="s">
        <v>222</v>
      </c>
      <c r="F1839" s="32" t="s">
        <v>544</v>
      </c>
      <c r="G1839" s="32" t="s">
        <v>2436</v>
      </c>
    </row>
    <row r="1840" ht="16.5" customHeight="1">
      <c r="A1840" s="32">
        <v>1839.0</v>
      </c>
      <c r="B1840" s="32" t="s">
        <v>2437</v>
      </c>
      <c r="C1840" s="32" t="s">
        <v>184</v>
      </c>
      <c r="D1840" s="32" t="s">
        <v>219</v>
      </c>
      <c r="E1840" s="32" t="s">
        <v>222</v>
      </c>
    </row>
    <row r="1841" ht="16.5" customHeight="1">
      <c r="A1841" s="32">
        <v>1840.0</v>
      </c>
      <c r="B1841" s="32" t="s">
        <v>2438</v>
      </c>
      <c r="C1841" s="32" t="s">
        <v>184</v>
      </c>
      <c r="D1841" s="32" t="s">
        <v>228</v>
      </c>
      <c r="E1841" s="32" t="s">
        <v>222</v>
      </c>
    </row>
    <row r="1842" ht="16.5" customHeight="1">
      <c r="A1842" s="32">
        <v>1841.0</v>
      </c>
      <c r="B1842" s="32" t="s">
        <v>2439</v>
      </c>
      <c r="C1842" s="32" t="s">
        <v>184</v>
      </c>
      <c r="D1842" s="32" t="s">
        <v>228</v>
      </c>
      <c r="E1842" s="32" t="s">
        <v>222</v>
      </c>
      <c r="F1842" s="32" t="s">
        <v>408</v>
      </c>
      <c r="G1842" s="32" t="s">
        <v>452</v>
      </c>
    </row>
    <row r="1843" ht="16.5" customHeight="1">
      <c r="A1843" s="32">
        <v>1842.0</v>
      </c>
      <c r="B1843" s="32" t="s">
        <v>2440</v>
      </c>
      <c r="C1843" s="32" t="s">
        <v>184</v>
      </c>
      <c r="D1843" s="32" t="s">
        <v>219</v>
      </c>
      <c r="E1843" s="32" t="s">
        <v>222</v>
      </c>
    </row>
    <row r="1844" ht="16.5" customHeight="1">
      <c r="A1844" s="32">
        <v>1843.0</v>
      </c>
      <c r="B1844" s="32" t="s">
        <v>2441</v>
      </c>
      <c r="C1844" s="32" t="s">
        <v>184</v>
      </c>
      <c r="D1844" s="32" t="s">
        <v>219</v>
      </c>
      <c r="E1844" s="32" t="s">
        <v>222</v>
      </c>
    </row>
    <row r="1845" ht="16.5" customHeight="1">
      <c r="A1845" s="32">
        <v>1844.0</v>
      </c>
      <c r="B1845" s="32" t="s">
        <v>2442</v>
      </c>
      <c r="C1845" s="32" t="s">
        <v>184</v>
      </c>
      <c r="D1845" s="32" t="s">
        <v>219</v>
      </c>
      <c r="E1845" s="32" t="s">
        <v>222</v>
      </c>
      <c r="F1845" s="32" t="s">
        <v>241</v>
      </c>
      <c r="G1845" s="32" t="s">
        <v>292</v>
      </c>
    </row>
    <row r="1846" ht="16.5" customHeight="1">
      <c r="A1846" s="32">
        <v>1845.0</v>
      </c>
      <c r="B1846" s="32" t="s">
        <v>2443</v>
      </c>
      <c r="C1846" s="32" t="s">
        <v>184</v>
      </c>
      <c r="D1846" s="35" t="s">
        <v>829</v>
      </c>
      <c r="E1846" s="32" t="s">
        <v>222</v>
      </c>
      <c r="F1846" s="32" t="s">
        <v>2003</v>
      </c>
      <c r="G1846" s="32" t="s">
        <v>2004</v>
      </c>
    </row>
    <row r="1847" ht="16.5" customHeight="1">
      <c r="A1847" s="32">
        <v>1846.0</v>
      </c>
      <c r="B1847" s="32" t="s">
        <v>2444</v>
      </c>
      <c r="C1847" s="32" t="s">
        <v>184</v>
      </c>
      <c r="D1847" s="32" t="s">
        <v>325</v>
      </c>
      <c r="E1847" s="32" t="s">
        <v>222</v>
      </c>
      <c r="F1847" s="32" t="s">
        <v>368</v>
      </c>
      <c r="G1847" s="32" t="s">
        <v>463</v>
      </c>
    </row>
    <row r="1848" ht="16.5" customHeight="1">
      <c r="A1848" s="32">
        <v>1847.0</v>
      </c>
      <c r="B1848" s="32" t="s">
        <v>2445</v>
      </c>
      <c r="C1848" s="32" t="s">
        <v>184</v>
      </c>
      <c r="D1848" s="32" t="s">
        <v>325</v>
      </c>
      <c r="E1848" s="32" t="s">
        <v>222</v>
      </c>
      <c r="F1848" s="32" t="s">
        <v>368</v>
      </c>
      <c r="G1848" s="32" t="s">
        <v>463</v>
      </c>
    </row>
    <row r="1849" ht="16.5" customHeight="1">
      <c r="A1849" s="32">
        <v>1848.0</v>
      </c>
      <c r="B1849" s="32" t="s">
        <v>2446</v>
      </c>
      <c r="C1849" s="32" t="s">
        <v>184</v>
      </c>
      <c r="D1849" s="32" t="s">
        <v>228</v>
      </c>
      <c r="E1849" s="32" t="s">
        <v>222</v>
      </c>
      <c r="F1849" s="32" t="s">
        <v>229</v>
      </c>
      <c r="G1849" s="32" t="s">
        <v>626</v>
      </c>
    </row>
    <row r="1850" ht="16.5" customHeight="1">
      <c r="A1850" s="32">
        <v>1849.0</v>
      </c>
      <c r="B1850" s="32" t="s">
        <v>2447</v>
      </c>
      <c r="C1850" s="32" t="s">
        <v>184</v>
      </c>
      <c r="D1850" s="32" t="s">
        <v>228</v>
      </c>
      <c r="E1850" s="32" t="s">
        <v>222</v>
      </c>
    </row>
    <row r="1851" ht="16.5" customHeight="1">
      <c r="A1851" s="32">
        <v>1850.0</v>
      </c>
      <c r="B1851" s="32" t="s">
        <v>2448</v>
      </c>
      <c r="C1851" s="32" t="s">
        <v>184</v>
      </c>
      <c r="D1851" s="32" t="s">
        <v>219</v>
      </c>
      <c r="E1851" s="32" t="s">
        <v>222</v>
      </c>
      <c r="F1851" s="32" t="s">
        <v>241</v>
      </c>
      <c r="G1851" s="32" t="s">
        <v>292</v>
      </c>
    </row>
    <row r="1852" ht="16.5" customHeight="1">
      <c r="A1852" s="32">
        <v>1851.0</v>
      </c>
      <c r="B1852" s="32" t="s">
        <v>2449</v>
      </c>
      <c r="C1852" s="32" t="s">
        <v>184</v>
      </c>
      <c r="D1852" s="32" t="s">
        <v>219</v>
      </c>
      <c r="E1852" s="32" t="s">
        <v>222</v>
      </c>
    </row>
    <row r="1853" ht="16.5" customHeight="1">
      <c r="A1853" s="32">
        <v>1852.0</v>
      </c>
      <c r="B1853" s="32" t="s">
        <v>2449</v>
      </c>
      <c r="C1853" s="32" t="s">
        <v>184</v>
      </c>
      <c r="D1853" s="32" t="s">
        <v>219</v>
      </c>
      <c r="E1853" s="32" t="s">
        <v>222</v>
      </c>
    </row>
    <row r="1854" ht="16.5" customHeight="1">
      <c r="A1854" s="32">
        <v>1853.0</v>
      </c>
      <c r="B1854" s="32" t="s">
        <v>2450</v>
      </c>
      <c r="C1854" s="32" t="s">
        <v>184</v>
      </c>
      <c r="D1854" s="32" t="s">
        <v>228</v>
      </c>
      <c r="E1854" s="32" t="s">
        <v>222</v>
      </c>
      <c r="F1854" s="32" t="s">
        <v>408</v>
      </c>
      <c r="G1854" s="32" t="s">
        <v>2451</v>
      </c>
    </row>
    <row r="1855" ht="16.5" customHeight="1">
      <c r="A1855" s="32">
        <v>1854.0</v>
      </c>
      <c r="B1855" s="32" t="s">
        <v>2452</v>
      </c>
      <c r="C1855" s="32" t="s">
        <v>184</v>
      </c>
      <c r="D1855" s="32" t="s">
        <v>219</v>
      </c>
      <c r="E1855" s="32" t="s">
        <v>222</v>
      </c>
      <c r="F1855" s="32" t="s">
        <v>223</v>
      </c>
      <c r="G1855" s="32" t="s">
        <v>2453</v>
      </c>
    </row>
    <row r="1856" ht="16.5" customHeight="1">
      <c r="A1856" s="32">
        <v>1855.0</v>
      </c>
      <c r="B1856" s="32" t="s">
        <v>2454</v>
      </c>
      <c r="C1856" s="32" t="s">
        <v>184</v>
      </c>
      <c r="D1856" s="32" t="s">
        <v>228</v>
      </c>
      <c r="E1856" s="32" t="s">
        <v>222</v>
      </c>
      <c r="F1856" s="32" t="s">
        <v>229</v>
      </c>
      <c r="G1856" s="32" t="s">
        <v>244</v>
      </c>
    </row>
    <row r="1857" ht="16.5" customHeight="1">
      <c r="A1857" s="32">
        <v>1856.0</v>
      </c>
      <c r="B1857" s="32" t="s">
        <v>2455</v>
      </c>
      <c r="C1857" s="32" t="s">
        <v>184</v>
      </c>
      <c r="D1857" s="32" t="s">
        <v>228</v>
      </c>
      <c r="E1857" s="32" t="s">
        <v>222</v>
      </c>
      <c r="F1857" s="32" t="s">
        <v>229</v>
      </c>
      <c r="G1857" s="32" t="s">
        <v>244</v>
      </c>
    </row>
    <row r="1858" ht="16.5" customHeight="1">
      <c r="A1858" s="32">
        <v>1857.0</v>
      </c>
      <c r="B1858" s="32" t="s">
        <v>2456</v>
      </c>
      <c r="C1858" s="32" t="s">
        <v>184</v>
      </c>
      <c r="D1858" s="32" t="s">
        <v>192</v>
      </c>
      <c r="E1858" s="32" t="s">
        <v>222</v>
      </c>
    </row>
    <row r="1859" ht="16.5" customHeight="1">
      <c r="A1859" s="32">
        <v>1858.0</v>
      </c>
      <c r="B1859" s="32" t="s">
        <v>2457</v>
      </c>
      <c r="C1859" s="32" t="s">
        <v>184</v>
      </c>
      <c r="D1859" s="32" t="s">
        <v>219</v>
      </c>
      <c r="E1859" s="32" t="s">
        <v>222</v>
      </c>
      <c r="F1859" s="32" t="s">
        <v>216</v>
      </c>
      <c r="G1859" s="32" t="s">
        <v>217</v>
      </c>
    </row>
    <row r="1860" ht="16.5" customHeight="1">
      <c r="A1860" s="32">
        <v>1859.0</v>
      </c>
      <c r="B1860" s="32" t="s">
        <v>2458</v>
      </c>
      <c r="C1860" s="32" t="s">
        <v>184</v>
      </c>
      <c r="D1860" s="32" t="s">
        <v>219</v>
      </c>
      <c r="E1860" s="32" t="s">
        <v>222</v>
      </c>
      <c r="F1860" s="32" t="s">
        <v>241</v>
      </c>
      <c r="G1860" s="32" t="s">
        <v>292</v>
      </c>
    </row>
    <row r="1861" ht="16.5" customHeight="1">
      <c r="A1861" s="32">
        <v>1860.0</v>
      </c>
      <c r="B1861" s="32" t="s">
        <v>2459</v>
      </c>
      <c r="C1861" s="32" t="s">
        <v>184</v>
      </c>
      <c r="D1861" s="32" t="s">
        <v>219</v>
      </c>
      <c r="E1861" s="32" t="s">
        <v>222</v>
      </c>
      <c r="F1861" s="32" t="s">
        <v>223</v>
      </c>
    </row>
    <row r="1862" ht="16.5" customHeight="1">
      <c r="A1862" s="32">
        <v>1861.0</v>
      </c>
      <c r="B1862" s="32" t="s">
        <v>2460</v>
      </c>
      <c r="C1862" s="32" t="s">
        <v>184</v>
      </c>
      <c r="D1862" s="32" t="s">
        <v>219</v>
      </c>
      <c r="E1862" s="32" t="s">
        <v>222</v>
      </c>
      <c r="F1862" s="32" t="s">
        <v>223</v>
      </c>
    </row>
    <row r="1863" ht="16.5" customHeight="1">
      <c r="A1863" s="32">
        <v>1862.0</v>
      </c>
      <c r="B1863" s="32" t="s">
        <v>2461</v>
      </c>
      <c r="C1863" s="32" t="s">
        <v>184</v>
      </c>
      <c r="D1863" s="32" t="s">
        <v>228</v>
      </c>
      <c r="E1863" s="32" t="s">
        <v>222</v>
      </c>
      <c r="F1863" s="32" t="s">
        <v>544</v>
      </c>
      <c r="G1863" s="32" t="s">
        <v>545</v>
      </c>
    </row>
    <row r="1864" ht="16.5" customHeight="1">
      <c r="A1864" s="32">
        <v>1863.0</v>
      </c>
      <c r="B1864" s="32" t="s">
        <v>2462</v>
      </c>
      <c r="C1864" s="32" t="s">
        <v>184</v>
      </c>
      <c r="D1864" s="32" t="s">
        <v>228</v>
      </c>
      <c r="E1864" s="32" t="s">
        <v>222</v>
      </c>
      <c r="F1864" s="32" t="s">
        <v>544</v>
      </c>
      <c r="G1864" s="32" t="s">
        <v>545</v>
      </c>
    </row>
    <row r="1865" ht="16.5" customHeight="1">
      <c r="A1865" s="32">
        <v>1864.0</v>
      </c>
      <c r="B1865" s="32" t="s">
        <v>2463</v>
      </c>
      <c r="C1865" s="32" t="s">
        <v>184</v>
      </c>
      <c r="D1865" s="32" t="s">
        <v>228</v>
      </c>
      <c r="E1865" s="32" t="s">
        <v>222</v>
      </c>
      <c r="F1865" s="32" t="s">
        <v>544</v>
      </c>
      <c r="G1865" s="32" t="s">
        <v>545</v>
      </c>
    </row>
    <row r="1866" ht="16.5" customHeight="1">
      <c r="A1866" s="32">
        <v>1865.0</v>
      </c>
      <c r="B1866" s="32" t="s">
        <v>2464</v>
      </c>
      <c r="C1866" s="32" t="s">
        <v>184</v>
      </c>
      <c r="D1866" s="32" t="s">
        <v>228</v>
      </c>
      <c r="E1866" s="32" t="s">
        <v>222</v>
      </c>
    </row>
    <row r="1867" ht="16.5" customHeight="1">
      <c r="A1867" s="32">
        <v>1866.0</v>
      </c>
      <c r="B1867" s="32" t="s">
        <v>2465</v>
      </c>
      <c r="C1867" s="32" t="s">
        <v>184</v>
      </c>
      <c r="D1867" s="32" t="s">
        <v>228</v>
      </c>
      <c r="E1867" s="32" t="s">
        <v>222</v>
      </c>
      <c r="F1867" s="32" t="s">
        <v>454</v>
      </c>
      <c r="G1867" s="32" t="s">
        <v>2466</v>
      </c>
    </row>
    <row r="1868" ht="16.5" customHeight="1">
      <c r="A1868" s="32">
        <v>1867.0</v>
      </c>
      <c r="B1868" s="32" t="s">
        <v>2467</v>
      </c>
      <c r="C1868" s="32" t="s">
        <v>184</v>
      </c>
      <c r="D1868" s="32" t="s">
        <v>214</v>
      </c>
      <c r="E1868" s="32" t="s">
        <v>222</v>
      </c>
      <c r="F1868" s="32" t="s">
        <v>216</v>
      </c>
    </row>
    <row r="1869" ht="16.5" customHeight="1">
      <c r="A1869" s="32">
        <v>1868.0</v>
      </c>
      <c r="B1869" s="32" t="s">
        <v>2468</v>
      </c>
      <c r="C1869" s="32" t="s">
        <v>184</v>
      </c>
      <c r="D1869" s="32" t="s">
        <v>214</v>
      </c>
      <c r="E1869" s="32" t="s">
        <v>222</v>
      </c>
      <c r="F1869" s="32" t="s">
        <v>604</v>
      </c>
    </row>
    <row r="1870" ht="16.5" customHeight="1">
      <c r="A1870" s="32">
        <v>1869.0</v>
      </c>
      <c r="B1870" s="32" t="s">
        <v>2469</v>
      </c>
      <c r="C1870" s="32" t="s">
        <v>184</v>
      </c>
      <c r="D1870" s="32" t="s">
        <v>228</v>
      </c>
      <c r="E1870" s="32" t="s">
        <v>222</v>
      </c>
      <c r="F1870" s="32" t="s">
        <v>229</v>
      </c>
      <c r="G1870" s="32" t="s">
        <v>626</v>
      </c>
    </row>
    <row r="1871" ht="16.5" customHeight="1">
      <c r="A1871" s="32">
        <v>1870.0</v>
      </c>
      <c r="B1871" s="32" t="s">
        <v>2470</v>
      </c>
      <c r="C1871" s="32" t="s">
        <v>184</v>
      </c>
      <c r="D1871" s="32" t="s">
        <v>228</v>
      </c>
      <c r="E1871" s="32" t="s">
        <v>222</v>
      </c>
    </row>
    <row r="1872" ht="16.5" customHeight="1">
      <c r="A1872" s="32">
        <v>1871.0</v>
      </c>
      <c r="B1872" s="32" t="s">
        <v>2471</v>
      </c>
      <c r="C1872" s="32" t="s">
        <v>184</v>
      </c>
      <c r="D1872" s="32" t="s">
        <v>219</v>
      </c>
      <c r="E1872" s="32" t="s">
        <v>222</v>
      </c>
    </row>
    <row r="1873" ht="16.5" customHeight="1">
      <c r="A1873" s="32">
        <v>1872.0</v>
      </c>
      <c r="B1873" s="32" t="s">
        <v>2472</v>
      </c>
      <c r="C1873" s="32" t="s">
        <v>184</v>
      </c>
      <c r="D1873" s="32" t="s">
        <v>228</v>
      </c>
      <c r="E1873" s="32" t="s">
        <v>222</v>
      </c>
      <c r="F1873" s="32" t="s">
        <v>229</v>
      </c>
      <c r="G1873" s="32" t="s">
        <v>244</v>
      </c>
    </row>
    <row r="1874" ht="16.5" customHeight="1">
      <c r="A1874" s="32">
        <v>1873.0</v>
      </c>
      <c r="B1874" s="32" t="s">
        <v>2473</v>
      </c>
      <c r="C1874" s="32" t="s">
        <v>184</v>
      </c>
      <c r="D1874" s="32" t="s">
        <v>219</v>
      </c>
      <c r="E1874" s="32" t="s">
        <v>222</v>
      </c>
      <c r="F1874" s="32" t="s">
        <v>223</v>
      </c>
    </row>
    <row r="1875" ht="16.5" customHeight="1">
      <c r="A1875" s="32">
        <v>1874.0</v>
      </c>
      <c r="B1875" s="32" t="s">
        <v>2474</v>
      </c>
      <c r="C1875" s="32" t="s">
        <v>184</v>
      </c>
      <c r="D1875" s="32" t="s">
        <v>214</v>
      </c>
      <c r="E1875" s="32" t="s">
        <v>222</v>
      </c>
      <c r="F1875" s="32" t="s">
        <v>720</v>
      </c>
    </row>
    <row r="1876" ht="16.5" customHeight="1">
      <c r="A1876" s="32">
        <v>1875.0</v>
      </c>
      <c r="B1876" s="32" t="s">
        <v>2475</v>
      </c>
      <c r="C1876" s="32" t="s">
        <v>184</v>
      </c>
      <c r="D1876" s="32" t="s">
        <v>228</v>
      </c>
      <c r="E1876" s="32" t="s">
        <v>222</v>
      </c>
      <c r="F1876" s="32" t="s">
        <v>229</v>
      </c>
      <c r="G1876" s="32" t="s">
        <v>2476</v>
      </c>
    </row>
    <row r="1877" ht="16.5" customHeight="1">
      <c r="A1877" s="32">
        <v>1876.0</v>
      </c>
      <c r="B1877" s="32" t="s">
        <v>2477</v>
      </c>
      <c r="C1877" s="32" t="s">
        <v>184</v>
      </c>
      <c r="D1877" s="32" t="s">
        <v>325</v>
      </c>
      <c r="E1877" s="32" t="s">
        <v>222</v>
      </c>
      <c r="F1877" s="32" t="s">
        <v>368</v>
      </c>
      <c r="G1877" s="32" t="s">
        <v>463</v>
      </c>
    </row>
    <row r="1878" ht="16.5" customHeight="1">
      <c r="A1878" s="32">
        <v>1877.0</v>
      </c>
      <c r="B1878" s="32" t="s">
        <v>2478</v>
      </c>
      <c r="C1878" s="32" t="s">
        <v>184</v>
      </c>
      <c r="D1878" s="32" t="s">
        <v>325</v>
      </c>
      <c r="E1878" s="32" t="s">
        <v>222</v>
      </c>
      <c r="F1878" s="32" t="s">
        <v>368</v>
      </c>
      <c r="G1878" s="32" t="s">
        <v>463</v>
      </c>
    </row>
    <row r="1879" ht="16.5" customHeight="1">
      <c r="A1879" s="32">
        <v>1878.0</v>
      </c>
      <c r="B1879" s="32" t="s">
        <v>2479</v>
      </c>
      <c r="C1879" s="32" t="s">
        <v>184</v>
      </c>
      <c r="D1879" s="32" t="s">
        <v>325</v>
      </c>
      <c r="E1879" s="32" t="s">
        <v>222</v>
      </c>
      <c r="F1879" s="32" t="s">
        <v>368</v>
      </c>
      <c r="G1879" s="32" t="s">
        <v>463</v>
      </c>
    </row>
    <row r="1880" ht="16.5" customHeight="1">
      <c r="A1880" s="32">
        <v>1879.0</v>
      </c>
      <c r="B1880" s="32" t="s">
        <v>2480</v>
      </c>
      <c r="C1880" s="32" t="s">
        <v>184</v>
      </c>
      <c r="D1880" s="32" t="s">
        <v>214</v>
      </c>
      <c r="E1880" s="32" t="s">
        <v>222</v>
      </c>
      <c r="F1880" s="32" t="s">
        <v>720</v>
      </c>
    </row>
    <row r="1881" ht="16.5" customHeight="1">
      <c r="A1881" s="32">
        <v>1880.0</v>
      </c>
      <c r="B1881" s="32" t="s">
        <v>2481</v>
      </c>
      <c r="C1881" s="32" t="s">
        <v>184</v>
      </c>
      <c r="D1881" s="32" t="s">
        <v>214</v>
      </c>
      <c r="E1881" s="32" t="s">
        <v>222</v>
      </c>
      <c r="F1881" s="32" t="s">
        <v>305</v>
      </c>
      <c r="G1881" s="32" t="s">
        <v>2482</v>
      </c>
    </row>
    <row r="1882" ht="16.5" customHeight="1">
      <c r="A1882" s="32">
        <v>1881.0</v>
      </c>
      <c r="B1882" s="32" t="s">
        <v>2483</v>
      </c>
      <c r="C1882" s="32" t="s">
        <v>184</v>
      </c>
      <c r="D1882" s="32" t="s">
        <v>219</v>
      </c>
      <c r="E1882" s="32" t="s">
        <v>222</v>
      </c>
      <c r="F1882" s="32" t="s">
        <v>232</v>
      </c>
      <c r="G1882" s="32" t="s">
        <v>233</v>
      </c>
    </row>
    <row r="1883" ht="16.5" customHeight="1">
      <c r="A1883" s="32">
        <v>1882.0</v>
      </c>
      <c r="B1883" s="32" t="s">
        <v>2484</v>
      </c>
      <c r="C1883" s="32" t="s">
        <v>184</v>
      </c>
      <c r="D1883" s="32" t="s">
        <v>214</v>
      </c>
      <c r="E1883" s="32" t="s">
        <v>222</v>
      </c>
      <c r="F1883" s="32" t="s">
        <v>216</v>
      </c>
      <c r="G1883" s="32" t="s">
        <v>217</v>
      </c>
    </row>
    <row r="1884" ht="16.5" customHeight="1">
      <c r="A1884" s="32">
        <v>1883.0</v>
      </c>
      <c r="B1884" s="32" t="s">
        <v>2485</v>
      </c>
      <c r="C1884" s="32" t="s">
        <v>184</v>
      </c>
      <c r="D1884" s="32" t="s">
        <v>214</v>
      </c>
      <c r="E1884" s="32" t="s">
        <v>222</v>
      </c>
      <c r="F1884" s="32" t="s">
        <v>216</v>
      </c>
      <c r="G1884" s="32" t="s">
        <v>217</v>
      </c>
    </row>
    <row r="1885" ht="16.5" customHeight="1">
      <c r="A1885" s="32">
        <v>1884.0</v>
      </c>
      <c r="B1885" s="32" t="s">
        <v>2486</v>
      </c>
      <c r="C1885" s="32" t="s">
        <v>184</v>
      </c>
      <c r="D1885" s="32" t="s">
        <v>219</v>
      </c>
      <c r="E1885" s="32" t="s">
        <v>222</v>
      </c>
    </row>
    <row r="1886" ht="16.5" customHeight="1">
      <c r="A1886" s="32">
        <v>1885.0</v>
      </c>
      <c r="B1886" s="32" t="s">
        <v>2487</v>
      </c>
      <c r="C1886" s="32" t="s">
        <v>184</v>
      </c>
      <c r="D1886" s="32" t="s">
        <v>228</v>
      </c>
      <c r="E1886" s="32" t="s">
        <v>222</v>
      </c>
      <c r="F1886" s="32" t="s">
        <v>229</v>
      </c>
      <c r="G1886" s="32" t="s">
        <v>626</v>
      </c>
    </row>
    <row r="1887" ht="16.5" customHeight="1">
      <c r="A1887" s="32">
        <v>1886.0</v>
      </c>
      <c r="B1887" s="32" t="s">
        <v>2488</v>
      </c>
      <c r="C1887" s="32" t="s">
        <v>184</v>
      </c>
      <c r="D1887" s="32" t="s">
        <v>228</v>
      </c>
      <c r="E1887" s="32" t="s">
        <v>222</v>
      </c>
      <c r="F1887" s="32" t="s">
        <v>229</v>
      </c>
      <c r="G1887" s="32" t="s">
        <v>230</v>
      </c>
    </row>
    <row r="1888" ht="16.5" customHeight="1">
      <c r="A1888" s="32">
        <v>1887.0</v>
      </c>
      <c r="B1888" s="32" t="s">
        <v>2489</v>
      </c>
      <c r="C1888" s="32" t="s">
        <v>184</v>
      </c>
      <c r="D1888" s="32" t="s">
        <v>228</v>
      </c>
      <c r="E1888" s="32" t="s">
        <v>222</v>
      </c>
      <c r="F1888" s="32" t="s">
        <v>229</v>
      </c>
      <c r="G1888" s="32" t="s">
        <v>1334</v>
      </c>
    </row>
    <row r="1889" ht="16.5" customHeight="1">
      <c r="A1889" s="32">
        <v>1888.0</v>
      </c>
      <c r="B1889" s="32" t="s">
        <v>2490</v>
      </c>
      <c r="C1889" s="32" t="s">
        <v>184</v>
      </c>
      <c r="D1889" s="32" t="s">
        <v>228</v>
      </c>
      <c r="E1889" s="32" t="s">
        <v>222</v>
      </c>
    </row>
    <row r="1890" ht="16.5" customHeight="1">
      <c r="A1890" s="32">
        <v>1889.0</v>
      </c>
      <c r="B1890" s="32" t="s">
        <v>2491</v>
      </c>
      <c r="C1890" s="32" t="s">
        <v>184</v>
      </c>
      <c r="D1890" s="32" t="s">
        <v>219</v>
      </c>
      <c r="E1890" s="32" t="s">
        <v>222</v>
      </c>
      <c r="F1890" s="32" t="s">
        <v>223</v>
      </c>
    </row>
    <row r="1891" ht="16.5" customHeight="1">
      <c r="A1891" s="32">
        <v>1890.0</v>
      </c>
      <c r="B1891" s="32" t="s">
        <v>2492</v>
      </c>
      <c r="C1891" s="32" t="s">
        <v>184</v>
      </c>
      <c r="D1891" s="32" t="s">
        <v>219</v>
      </c>
      <c r="E1891" s="32" t="s">
        <v>222</v>
      </c>
      <c r="F1891" s="32" t="s">
        <v>223</v>
      </c>
    </row>
    <row r="1892" ht="16.5" customHeight="1">
      <c r="A1892" s="32">
        <v>1891.0</v>
      </c>
      <c r="B1892" s="32" t="s">
        <v>2493</v>
      </c>
      <c r="C1892" s="32" t="s">
        <v>184</v>
      </c>
      <c r="D1892" s="32" t="s">
        <v>254</v>
      </c>
      <c r="E1892" s="32" t="s">
        <v>222</v>
      </c>
    </row>
    <row r="1893" ht="16.5" customHeight="1">
      <c r="A1893" s="32">
        <v>1892.0</v>
      </c>
      <c r="B1893" s="32" t="s">
        <v>2494</v>
      </c>
      <c r="C1893" s="32" t="s">
        <v>184</v>
      </c>
      <c r="D1893" s="32" t="s">
        <v>254</v>
      </c>
      <c r="E1893" s="32" t="s">
        <v>222</v>
      </c>
    </row>
    <row r="1894" ht="16.5" customHeight="1">
      <c r="A1894" s="32">
        <v>1893.0</v>
      </c>
      <c r="B1894" s="32" t="s">
        <v>2495</v>
      </c>
      <c r="C1894" s="32" t="s">
        <v>184</v>
      </c>
      <c r="D1894" s="32" t="s">
        <v>234</v>
      </c>
      <c r="E1894" s="32" t="s">
        <v>222</v>
      </c>
      <c r="F1894" s="32" t="s">
        <v>472</v>
      </c>
      <c r="G1894" s="32" t="s">
        <v>230</v>
      </c>
    </row>
    <row r="1895" ht="16.5" customHeight="1">
      <c r="A1895" s="32">
        <v>1894.0</v>
      </c>
      <c r="B1895" s="32" t="s">
        <v>2496</v>
      </c>
      <c r="C1895" s="32" t="s">
        <v>184</v>
      </c>
      <c r="D1895" s="32" t="s">
        <v>219</v>
      </c>
      <c r="E1895" s="32" t="s">
        <v>222</v>
      </c>
    </row>
    <row r="1896" ht="16.5" customHeight="1">
      <c r="A1896" s="32">
        <v>1895.0</v>
      </c>
      <c r="B1896" s="32" t="s">
        <v>2497</v>
      </c>
      <c r="C1896" s="32" t="s">
        <v>184</v>
      </c>
      <c r="D1896" s="32" t="s">
        <v>192</v>
      </c>
      <c r="E1896" s="32" t="s">
        <v>222</v>
      </c>
    </row>
    <row r="1897" ht="16.5" customHeight="1">
      <c r="A1897" s="32">
        <v>1896.0</v>
      </c>
      <c r="B1897" s="32" t="s">
        <v>2498</v>
      </c>
      <c r="C1897" s="32" t="s">
        <v>184</v>
      </c>
      <c r="D1897" s="32" t="s">
        <v>192</v>
      </c>
      <c r="E1897" s="32" t="s">
        <v>222</v>
      </c>
      <c r="F1897" s="32" t="s">
        <v>238</v>
      </c>
      <c r="G1897" s="32" t="s">
        <v>1621</v>
      </c>
    </row>
    <row r="1898" ht="16.5" customHeight="1">
      <c r="A1898" s="32">
        <v>1897.0</v>
      </c>
      <c r="B1898" s="32" t="s">
        <v>2499</v>
      </c>
      <c r="C1898" s="32" t="s">
        <v>184</v>
      </c>
      <c r="D1898" s="32" t="s">
        <v>192</v>
      </c>
      <c r="E1898" s="32" t="s">
        <v>222</v>
      </c>
      <c r="F1898" s="32" t="s">
        <v>238</v>
      </c>
      <c r="G1898" s="32" t="s">
        <v>618</v>
      </c>
    </row>
    <row r="1899" ht="16.5" customHeight="1">
      <c r="A1899" s="32">
        <v>1898.0</v>
      </c>
      <c r="B1899" s="32" t="s">
        <v>2500</v>
      </c>
      <c r="C1899" s="32" t="s">
        <v>184</v>
      </c>
      <c r="D1899" s="32" t="s">
        <v>285</v>
      </c>
      <c r="E1899" s="32" t="s">
        <v>222</v>
      </c>
    </row>
    <row r="1900" ht="16.5" customHeight="1">
      <c r="A1900" s="32">
        <v>1899.0</v>
      </c>
      <c r="B1900" s="32" t="s">
        <v>2501</v>
      </c>
      <c r="C1900" s="32" t="s">
        <v>184</v>
      </c>
      <c r="D1900" s="32" t="s">
        <v>254</v>
      </c>
      <c r="E1900" s="32" t="s">
        <v>222</v>
      </c>
      <c r="F1900" s="32" t="s">
        <v>257</v>
      </c>
    </row>
    <row r="1901" ht="16.5" customHeight="1">
      <c r="A1901" s="32">
        <v>1900.0</v>
      </c>
      <c r="B1901" s="32" t="s">
        <v>2502</v>
      </c>
      <c r="C1901" s="32" t="s">
        <v>184</v>
      </c>
      <c r="D1901" s="32" t="s">
        <v>254</v>
      </c>
      <c r="E1901" s="32" t="s">
        <v>222</v>
      </c>
      <c r="F1901" s="32" t="s">
        <v>257</v>
      </c>
      <c r="G1901" s="32" t="s">
        <v>271</v>
      </c>
    </row>
    <row r="1902" ht="16.5" customHeight="1">
      <c r="A1902" s="32">
        <v>1901.0</v>
      </c>
      <c r="B1902" s="32" t="s">
        <v>2503</v>
      </c>
      <c r="C1902" s="32" t="s">
        <v>184</v>
      </c>
      <c r="D1902" s="32" t="s">
        <v>254</v>
      </c>
      <c r="E1902" s="32" t="s">
        <v>222</v>
      </c>
    </row>
    <row r="1903" ht="16.5" customHeight="1">
      <c r="A1903" s="32">
        <v>1902.0</v>
      </c>
      <c r="B1903" s="32" t="s">
        <v>2504</v>
      </c>
      <c r="C1903" s="32" t="s">
        <v>184</v>
      </c>
      <c r="D1903" s="32" t="s">
        <v>254</v>
      </c>
      <c r="E1903" s="32" t="s">
        <v>222</v>
      </c>
      <c r="F1903" s="32" t="s">
        <v>2505</v>
      </c>
    </row>
    <row r="1904" ht="16.5" customHeight="1">
      <c r="A1904" s="32">
        <v>1903.0</v>
      </c>
      <c r="B1904" s="32" t="s">
        <v>2506</v>
      </c>
      <c r="C1904" s="32" t="s">
        <v>184</v>
      </c>
      <c r="D1904" s="32" t="s">
        <v>254</v>
      </c>
      <c r="E1904" s="32" t="s">
        <v>222</v>
      </c>
      <c r="F1904" s="32" t="s">
        <v>257</v>
      </c>
      <c r="G1904" s="32" t="s">
        <v>2507</v>
      </c>
    </row>
    <row r="1905" ht="16.5" customHeight="1">
      <c r="A1905" s="32">
        <v>1904.0</v>
      </c>
      <c r="B1905" s="32" t="s">
        <v>2508</v>
      </c>
      <c r="C1905" s="32" t="s">
        <v>184</v>
      </c>
      <c r="D1905" s="32" t="s">
        <v>254</v>
      </c>
      <c r="E1905" s="32" t="s">
        <v>222</v>
      </c>
      <c r="F1905" s="32" t="s">
        <v>257</v>
      </c>
    </row>
    <row r="1906" ht="16.5" customHeight="1">
      <c r="A1906" s="32">
        <v>1905.0</v>
      </c>
      <c r="B1906" s="32" t="s">
        <v>2509</v>
      </c>
      <c r="C1906" s="32" t="s">
        <v>184</v>
      </c>
      <c r="D1906" s="32" t="s">
        <v>185</v>
      </c>
      <c r="E1906" s="32" t="s">
        <v>222</v>
      </c>
      <c r="F1906" s="32" t="s">
        <v>187</v>
      </c>
      <c r="G1906" s="32" t="s">
        <v>2510</v>
      </c>
    </row>
    <row r="1907" ht="16.5" customHeight="1">
      <c r="A1907" s="32">
        <v>1906.0</v>
      </c>
      <c r="B1907" s="32" t="s">
        <v>2511</v>
      </c>
      <c r="C1907" s="32" t="s">
        <v>184</v>
      </c>
      <c r="D1907" s="35" t="s">
        <v>294</v>
      </c>
      <c r="E1907" s="32" t="s">
        <v>222</v>
      </c>
      <c r="F1907" s="32" t="s">
        <v>295</v>
      </c>
      <c r="G1907" s="32" t="s">
        <v>2512</v>
      </c>
    </row>
    <row r="1908" ht="16.5" customHeight="1">
      <c r="A1908" s="32">
        <v>1907.0</v>
      </c>
      <c r="B1908" s="32" t="s">
        <v>2513</v>
      </c>
      <c r="C1908" s="32" t="s">
        <v>184</v>
      </c>
      <c r="D1908" s="35" t="s">
        <v>294</v>
      </c>
      <c r="E1908" s="32" t="s">
        <v>222</v>
      </c>
      <c r="F1908" s="32" t="s">
        <v>295</v>
      </c>
      <c r="G1908" s="32" t="s">
        <v>2512</v>
      </c>
    </row>
    <row r="1909" ht="16.5" customHeight="1">
      <c r="A1909" s="32">
        <v>1908.0</v>
      </c>
      <c r="B1909" s="32" t="s">
        <v>2514</v>
      </c>
      <c r="C1909" s="32" t="s">
        <v>184</v>
      </c>
      <c r="D1909" s="32" t="s">
        <v>285</v>
      </c>
      <c r="E1909" s="32" t="s">
        <v>222</v>
      </c>
    </row>
    <row r="1910" ht="16.5" customHeight="1">
      <c r="A1910" s="32">
        <v>1909.0</v>
      </c>
      <c r="B1910" s="32" t="s">
        <v>2515</v>
      </c>
      <c r="C1910" s="32" t="s">
        <v>184</v>
      </c>
      <c r="D1910" s="32" t="s">
        <v>192</v>
      </c>
      <c r="E1910" s="32" t="s">
        <v>222</v>
      </c>
    </row>
    <row r="1911" ht="16.5" customHeight="1">
      <c r="A1911" s="32">
        <v>1910.0</v>
      </c>
      <c r="B1911" s="32" t="s">
        <v>2516</v>
      </c>
      <c r="C1911" s="32" t="s">
        <v>184</v>
      </c>
      <c r="D1911" s="32" t="s">
        <v>228</v>
      </c>
      <c r="E1911" s="32" t="s">
        <v>222</v>
      </c>
      <c r="F1911" s="32" t="s">
        <v>544</v>
      </c>
      <c r="G1911" s="32" t="s">
        <v>2517</v>
      </c>
    </row>
    <row r="1912" ht="16.5" customHeight="1">
      <c r="A1912" s="32">
        <v>1911.0</v>
      </c>
      <c r="B1912" s="32" t="s">
        <v>2518</v>
      </c>
      <c r="C1912" s="32" t="s">
        <v>184</v>
      </c>
      <c r="D1912" s="32" t="s">
        <v>254</v>
      </c>
      <c r="E1912" s="32" t="s">
        <v>222</v>
      </c>
      <c r="F1912" s="32" t="s">
        <v>2519</v>
      </c>
      <c r="G1912" s="32" t="s">
        <v>2520</v>
      </c>
    </row>
    <row r="1913" ht="16.5" customHeight="1">
      <c r="A1913" s="32">
        <v>1912.0</v>
      </c>
      <c r="B1913" s="32" t="s">
        <v>2521</v>
      </c>
      <c r="C1913" s="32" t="s">
        <v>184</v>
      </c>
      <c r="D1913" s="32" t="s">
        <v>285</v>
      </c>
      <c r="E1913" s="32" t="s">
        <v>222</v>
      </c>
      <c r="F1913" s="32" t="s">
        <v>295</v>
      </c>
      <c r="G1913" s="32" t="s">
        <v>2522</v>
      </c>
    </row>
    <row r="1914" ht="16.5" customHeight="1">
      <c r="A1914" s="32">
        <v>1913.0</v>
      </c>
      <c r="B1914" s="32" t="s">
        <v>2523</v>
      </c>
      <c r="C1914" s="32" t="s">
        <v>184</v>
      </c>
      <c r="D1914" s="32" t="s">
        <v>234</v>
      </c>
      <c r="E1914" s="32" t="s">
        <v>222</v>
      </c>
      <c r="F1914" s="32" t="s">
        <v>347</v>
      </c>
      <c r="G1914" s="32" t="s">
        <v>382</v>
      </c>
    </row>
    <row r="1915" ht="16.5" customHeight="1">
      <c r="A1915" s="32">
        <v>1914.0</v>
      </c>
      <c r="B1915" s="32" t="s">
        <v>2524</v>
      </c>
      <c r="C1915" s="32" t="s">
        <v>184</v>
      </c>
      <c r="D1915" s="32" t="s">
        <v>234</v>
      </c>
      <c r="E1915" s="32" t="s">
        <v>222</v>
      </c>
      <c r="F1915" s="32" t="s">
        <v>235</v>
      </c>
      <c r="G1915" s="32" t="s">
        <v>236</v>
      </c>
    </row>
    <row r="1916" ht="16.5" customHeight="1">
      <c r="A1916" s="32">
        <v>1915.0</v>
      </c>
      <c r="B1916" s="32" t="s">
        <v>2525</v>
      </c>
      <c r="C1916" s="32" t="s">
        <v>184</v>
      </c>
      <c r="D1916" s="32" t="s">
        <v>192</v>
      </c>
      <c r="E1916" s="32" t="s">
        <v>222</v>
      </c>
    </row>
    <row r="1917" ht="16.5" customHeight="1">
      <c r="A1917" s="32">
        <v>1916.0</v>
      </c>
      <c r="B1917" s="32" t="s">
        <v>2526</v>
      </c>
      <c r="C1917" s="32" t="s">
        <v>184</v>
      </c>
      <c r="D1917" s="32" t="s">
        <v>234</v>
      </c>
      <c r="E1917" s="32" t="s">
        <v>222</v>
      </c>
      <c r="F1917" s="32" t="s">
        <v>347</v>
      </c>
      <c r="G1917" s="32" t="s">
        <v>382</v>
      </c>
    </row>
    <row r="1918" ht="16.5" customHeight="1">
      <c r="A1918" s="32">
        <v>1917.0</v>
      </c>
      <c r="B1918" s="32" t="s">
        <v>2527</v>
      </c>
      <c r="C1918" s="32" t="s">
        <v>184</v>
      </c>
      <c r="D1918" s="32" t="s">
        <v>228</v>
      </c>
      <c r="E1918" s="32" t="s">
        <v>222</v>
      </c>
    </row>
    <row r="1919" ht="16.5" customHeight="1">
      <c r="A1919" s="32">
        <v>1918.0</v>
      </c>
      <c r="B1919" s="32" t="s">
        <v>2528</v>
      </c>
      <c r="C1919" s="32" t="s">
        <v>184</v>
      </c>
      <c r="D1919" s="35" t="s">
        <v>1129</v>
      </c>
      <c r="E1919" s="32" t="s">
        <v>222</v>
      </c>
    </row>
    <row r="1920" ht="16.5" customHeight="1">
      <c r="A1920" s="32">
        <v>1919.0</v>
      </c>
      <c r="B1920" s="32" t="s">
        <v>2529</v>
      </c>
      <c r="C1920" s="32" t="s">
        <v>184</v>
      </c>
      <c r="D1920" s="32" t="s">
        <v>285</v>
      </c>
      <c r="E1920" s="32" t="s">
        <v>222</v>
      </c>
      <c r="F1920" s="32" t="s">
        <v>189</v>
      </c>
      <c r="G1920" s="32" t="s">
        <v>190</v>
      </c>
    </row>
    <row r="1921" ht="16.5" customHeight="1">
      <c r="A1921" s="32">
        <v>1920.0</v>
      </c>
      <c r="B1921" s="32" t="s">
        <v>2530</v>
      </c>
      <c r="C1921" s="32" t="s">
        <v>184</v>
      </c>
      <c r="D1921" s="32" t="s">
        <v>219</v>
      </c>
      <c r="E1921" s="32" t="s">
        <v>222</v>
      </c>
      <c r="F1921" s="32" t="s">
        <v>232</v>
      </c>
      <c r="G1921" s="32" t="s">
        <v>233</v>
      </c>
    </row>
    <row r="1922" ht="16.5" customHeight="1">
      <c r="A1922" s="32">
        <v>1921.0</v>
      </c>
      <c r="B1922" s="32" t="s">
        <v>2531</v>
      </c>
      <c r="C1922" s="32" t="s">
        <v>184</v>
      </c>
      <c r="D1922" s="32" t="s">
        <v>228</v>
      </c>
      <c r="E1922" s="32" t="s">
        <v>222</v>
      </c>
      <c r="F1922" s="32" t="s">
        <v>229</v>
      </c>
      <c r="G1922" s="32" t="s">
        <v>244</v>
      </c>
    </row>
    <row r="1923" ht="16.5" customHeight="1">
      <c r="A1923" s="32">
        <v>1922.0</v>
      </c>
      <c r="B1923" s="32" t="s">
        <v>2532</v>
      </c>
      <c r="C1923" s="32" t="s">
        <v>184</v>
      </c>
      <c r="D1923" s="32" t="s">
        <v>325</v>
      </c>
      <c r="E1923" s="32" t="s">
        <v>222</v>
      </c>
      <c r="F1923" s="32" t="s">
        <v>368</v>
      </c>
      <c r="G1923" s="32" t="s">
        <v>463</v>
      </c>
    </row>
    <row r="1924" ht="16.5" customHeight="1">
      <c r="A1924" s="32">
        <v>1923.0</v>
      </c>
      <c r="B1924" s="32" t="s">
        <v>2533</v>
      </c>
      <c r="C1924" s="32" t="s">
        <v>184</v>
      </c>
      <c r="D1924" s="32" t="s">
        <v>325</v>
      </c>
      <c r="E1924" s="32" t="s">
        <v>222</v>
      </c>
    </row>
    <row r="1925" ht="16.5" customHeight="1">
      <c r="A1925" s="32">
        <v>1924.0</v>
      </c>
      <c r="B1925" s="32" t="s">
        <v>2534</v>
      </c>
      <c r="C1925" s="32" t="s">
        <v>184</v>
      </c>
      <c r="D1925" s="32" t="s">
        <v>325</v>
      </c>
      <c r="E1925" s="32" t="s">
        <v>222</v>
      </c>
      <c r="F1925" s="32" t="s">
        <v>368</v>
      </c>
      <c r="G1925" s="32" t="s">
        <v>463</v>
      </c>
    </row>
    <row r="1926" ht="16.5" customHeight="1">
      <c r="A1926" s="32">
        <v>1925.0</v>
      </c>
      <c r="B1926" s="32" t="s">
        <v>2535</v>
      </c>
      <c r="C1926" s="32" t="s">
        <v>184</v>
      </c>
      <c r="D1926" s="32" t="s">
        <v>185</v>
      </c>
      <c r="E1926" s="32" t="s">
        <v>222</v>
      </c>
      <c r="F1926" s="32" t="s">
        <v>267</v>
      </c>
      <c r="G1926" s="32" t="s">
        <v>188</v>
      </c>
    </row>
    <row r="1927" ht="16.5" customHeight="1">
      <c r="A1927" s="32">
        <v>1926.0</v>
      </c>
      <c r="B1927" s="32" t="s">
        <v>2536</v>
      </c>
      <c r="C1927" s="32" t="s">
        <v>184</v>
      </c>
      <c r="D1927" s="32" t="s">
        <v>185</v>
      </c>
      <c r="E1927" s="32" t="s">
        <v>222</v>
      </c>
      <c r="F1927" s="32" t="s">
        <v>187</v>
      </c>
      <c r="G1927" s="32" t="s">
        <v>482</v>
      </c>
    </row>
    <row r="1928" ht="16.5" customHeight="1">
      <c r="A1928" s="32">
        <v>1927.0</v>
      </c>
      <c r="B1928" s="32" t="s">
        <v>2537</v>
      </c>
      <c r="C1928" s="32" t="s">
        <v>184</v>
      </c>
      <c r="D1928" s="32" t="s">
        <v>185</v>
      </c>
      <c r="E1928" s="32" t="s">
        <v>222</v>
      </c>
    </row>
    <row r="1929" ht="16.5" customHeight="1">
      <c r="A1929" s="32">
        <v>1928.0</v>
      </c>
      <c r="B1929" s="32" t="s">
        <v>2538</v>
      </c>
      <c r="C1929" s="32" t="s">
        <v>184</v>
      </c>
      <c r="D1929" s="32" t="s">
        <v>185</v>
      </c>
      <c r="E1929" s="32" t="s">
        <v>222</v>
      </c>
    </row>
    <row r="1930" ht="16.5" customHeight="1">
      <c r="A1930" s="32">
        <v>1929.0</v>
      </c>
      <c r="B1930" s="32" t="s">
        <v>2539</v>
      </c>
      <c r="C1930" s="32" t="s">
        <v>184</v>
      </c>
      <c r="D1930" s="32" t="s">
        <v>185</v>
      </c>
      <c r="E1930" s="32" t="s">
        <v>222</v>
      </c>
    </row>
    <row r="1931" ht="16.5" customHeight="1">
      <c r="A1931" s="32">
        <v>1930.0</v>
      </c>
      <c r="B1931" s="32" t="s">
        <v>2540</v>
      </c>
      <c r="C1931" s="32" t="s">
        <v>184</v>
      </c>
      <c r="D1931" s="32" t="s">
        <v>185</v>
      </c>
      <c r="E1931" s="32" t="s">
        <v>222</v>
      </c>
      <c r="F1931" s="32" t="s">
        <v>187</v>
      </c>
      <c r="G1931" s="32" t="s">
        <v>854</v>
      </c>
    </row>
    <row r="1932" ht="16.5" customHeight="1">
      <c r="A1932" s="32">
        <v>1931.0</v>
      </c>
      <c r="B1932" s="32" t="s">
        <v>2541</v>
      </c>
      <c r="C1932" s="32" t="s">
        <v>184</v>
      </c>
      <c r="D1932" s="32" t="s">
        <v>185</v>
      </c>
      <c r="E1932" s="32" t="s">
        <v>222</v>
      </c>
    </row>
    <row r="1933" ht="16.5" customHeight="1">
      <c r="A1933" s="32">
        <v>1932.0</v>
      </c>
      <c r="B1933" s="32" t="s">
        <v>2542</v>
      </c>
      <c r="C1933" s="32" t="s">
        <v>184</v>
      </c>
      <c r="D1933" s="32" t="s">
        <v>285</v>
      </c>
      <c r="E1933" s="32" t="s">
        <v>222</v>
      </c>
      <c r="F1933" s="32" t="s">
        <v>189</v>
      </c>
      <c r="G1933" s="32" t="s">
        <v>190</v>
      </c>
    </row>
    <row r="1934" ht="16.5" customHeight="1">
      <c r="A1934" s="32">
        <v>1933.0</v>
      </c>
      <c r="B1934" s="32" t="s">
        <v>2543</v>
      </c>
      <c r="C1934" s="32" t="s">
        <v>184</v>
      </c>
      <c r="D1934" s="32" t="s">
        <v>185</v>
      </c>
      <c r="E1934" s="32" t="s">
        <v>222</v>
      </c>
      <c r="F1934" s="32" t="s">
        <v>189</v>
      </c>
      <c r="G1934" s="32" t="s">
        <v>190</v>
      </c>
    </row>
    <row r="1935" ht="16.5" customHeight="1">
      <c r="A1935" s="32">
        <v>1934.0</v>
      </c>
      <c r="B1935" s="32" t="s">
        <v>2544</v>
      </c>
      <c r="C1935" s="32" t="s">
        <v>184</v>
      </c>
      <c r="D1935" s="35" t="s">
        <v>294</v>
      </c>
      <c r="E1935" s="32" t="s">
        <v>222</v>
      </c>
      <c r="F1935" s="32" t="s">
        <v>189</v>
      </c>
      <c r="G1935" s="32" t="s">
        <v>190</v>
      </c>
    </row>
    <row r="1936" ht="16.5" customHeight="1">
      <c r="A1936" s="32">
        <v>1935.0</v>
      </c>
      <c r="B1936" s="32" t="s">
        <v>2545</v>
      </c>
      <c r="C1936" s="32" t="s">
        <v>184</v>
      </c>
      <c r="D1936" s="35" t="s">
        <v>294</v>
      </c>
      <c r="E1936" s="32" t="s">
        <v>222</v>
      </c>
      <c r="F1936" s="32" t="s">
        <v>189</v>
      </c>
      <c r="G1936" s="32" t="s">
        <v>190</v>
      </c>
    </row>
    <row r="1937" ht="16.5" customHeight="1">
      <c r="A1937" s="32">
        <v>1936.0</v>
      </c>
      <c r="B1937" s="32" t="s">
        <v>2546</v>
      </c>
      <c r="C1937" s="32" t="s">
        <v>184</v>
      </c>
      <c r="D1937" s="35" t="s">
        <v>294</v>
      </c>
      <c r="E1937" s="32" t="s">
        <v>222</v>
      </c>
    </row>
    <row r="1938" ht="16.5" customHeight="1">
      <c r="A1938" s="32">
        <v>1937.0</v>
      </c>
      <c r="B1938" s="32" t="s">
        <v>2547</v>
      </c>
      <c r="C1938" s="32" t="s">
        <v>184</v>
      </c>
      <c r="D1938" s="32" t="s">
        <v>285</v>
      </c>
      <c r="E1938" s="32" t="s">
        <v>222</v>
      </c>
      <c r="F1938" s="32" t="s">
        <v>189</v>
      </c>
      <c r="G1938" s="32" t="s">
        <v>190</v>
      </c>
    </row>
    <row r="1939" ht="16.5" customHeight="1">
      <c r="A1939" s="32">
        <v>1938.0</v>
      </c>
      <c r="B1939" s="32" t="s">
        <v>2548</v>
      </c>
      <c r="C1939" s="32" t="s">
        <v>184</v>
      </c>
      <c r="D1939" s="32" t="s">
        <v>285</v>
      </c>
      <c r="E1939" s="32" t="s">
        <v>222</v>
      </c>
    </row>
    <row r="1940" ht="16.5" customHeight="1">
      <c r="A1940" s="32">
        <v>1939.0</v>
      </c>
      <c r="B1940" s="32" t="s">
        <v>2549</v>
      </c>
      <c r="C1940" s="32" t="s">
        <v>184</v>
      </c>
      <c r="D1940" s="32" t="s">
        <v>764</v>
      </c>
      <c r="E1940" s="32" t="s">
        <v>222</v>
      </c>
    </row>
    <row r="1941" ht="16.5" customHeight="1">
      <c r="A1941" s="32">
        <v>1940.0</v>
      </c>
      <c r="B1941" s="32" t="s">
        <v>2550</v>
      </c>
      <c r="C1941" s="32" t="s">
        <v>184</v>
      </c>
      <c r="D1941" s="32" t="s">
        <v>219</v>
      </c>
      <c r="E1941" s="32" t="s">
        <v>222</v>
      </c>
      <c r="F1941" s="32" t="s">
        <v>241</v>
      </c>
      <c r="G1941" s="32" t="s">
        <v>292</v>
      </c>
    </row>
    <row r="1942" ht="16.5" customHeight="1">
      <c r="A1942" s="32">
        <v>1941.0</v>
      </c>
      <c r="B1942" s="32" t="s">
        <v>2551</v>
      </c>
      <c r="C1942" s="32" t="s">
        <v>184</v>
      </c>
      <c r="D1942" s="32" t="s">
        <v>185</v>
      </c>
      <c r="E1942" s="32" t="s">
        <v>222</v>
      </c>
      <c r="F1942" s="32" t="s">
        <v>267</v>
      </c>
      <c r="G1942" s="32" t="s">
        <v>188</v>
      </c>
    </row>
    <row r="1943" ht="16.5" customHeight="1">
      <c r="A1943" s="32">
        <v>1942.0</v>
      </c>
      <c r="B1943" s="32" t="s">
        <v>2552</v>
      </c>
      <c r="C1943" s="32" t="s">
        <v>184</v>
      </c>
      <c r="D1943" s="32" t="s">
        <v>228</v>
      </c>
      <c r="E1943" s="32" t="s">
        <v>222</v>
      </c>
      <c r="F1943" s="32" t="s">
        <v>544</v>
      </c>
      <c r="G1943" s="32" t="s">
        <v>2436</v>
      </c>
    </row>
    <row r="1944" ht="16.5" customHeight="1">
      <c r="A1944" s="32">
        <v>1943.0</v>
      </c>
      <c r="B1944" s="32" t="s">
        <v>2553</v>
      </c>
      <c r="C1944" s="32" t="s">
        <v>184</v>
      </c>
      <c r="D1944" s="32" t="s">
        <v>254</v>
      </c>
      <c r="E1944" s="32" t="s">
        <v>222</v>
      </c>
    </row>
    <row r="1945" ht="16.5" customHeight="1">
      <c r="A1945" s="32">
        <v>1944.0</v>
      </c>
      <c r="B1945" s="32" t="s">
        <v>2554</v>
      </c>
      <c r="C1945" s="32" t="s">
        <v>184</v>
      </c>
      <c r="D1945" s="32" t="s">
        <v>285</v>
      </c>
      <c r="E1945" s="32" t="s">
        <v>222</v>
      </c>
      <c r="F1945" s="32" t="s">
        <v>189</v>
      </c>
      <c r="G1945" s="32" t="s">
        <v>190</v>
      </c>
    </row>
    <row r="1946" ht="16.5" customHeight="1">
      <c r="A1946" s="32">
        <v>1945.0</v>
      </c>
      <c r="B1946" s="32" t="s">
        <v>2555</v>
      </c>
      <c r="C1946" s="32" t="s">
        <v>184</v>
      </c>
      <c r="D1946" s="32" t="s">
        <v>285</v>
      </c>
      <c r="E1946" s="32" t="s">
        <v>222</v>
      </c>
      <c r="F1946" s="32" t="s">
        <v>189</v>
      </c>
      <c r="G1946" s="32" t="s">
        <v>190</v>
      </c>
    </row>
    <row r="1947" ht="16.5" customHeight="1">
      <c r="A1947" s="32">
        <v>1946.0</v>
      </c>
      <c r="B1947" s="32" t="s">
        <v>2556</v>
      </c>
      <c r="C1947" s="32" t="s">
        <v>184</v>
      </c>
      <c r="D1947" s="32" t="s">
        <v>285</v>
      </c>
      <c r="E1947" s="32" t="s">
        <v>222</v>
      </c>
      <c r="F1947" s="32" t="s">
        <v>189</v>
      </c>
      <c r="G1947" s="32" t="s">
        <v>190</v>
      </c>
    </row>
    <row r="1948" ht="16.5" customHeight="1">
      <c r="A1948" s="32">
        <v>1947.0</v>
      </c>
      <c r="B1948" s="32" t="s">
        <v>2557</v>
      </c>
      <c r="C1948" s="32" t="s">
        <v>184</v>
      </c>
      <c r="D1948" s="32" t="s">
        <v>285</v>
      </c>
      <c r="E1948" s="32" t="s">
        <v>222</v>
      </c>
      <c r="F1948" s="32" t="s">
        <v>189</v>
      </c>
      <c r="G1948" s="32" t="s">
        <v>190</v>
      </c>
    </row>
    <row r="1949" ht="16.5" customHeight="1">
      <c r="A1949" s="32">
        <v>1948.0</v>
      </c>
      <c r="B1949" s="32" t="s">
        <v>2558</v>
      </c>
      <c r="C1949" s="32" t="s">
        <v>184</v>
      </c>
      <c r="D1949" s="35" t="s">
        <v>294</v>
      </c>
      <c r="E1949" s="32" t="s">
        <v>222</v>
      </c>
      <c r="F1949" s="32" t="s">
        <v>189</v>
      </c>
      <c r="G1949" s="32" t="s">
        <v>190</v>
      </c>
    </row>
    <row r="1950" ht="16.5" customHeight="1">
      <c r="A1950" s="32">
        <v>1949.0</v>
      </c>
      <c r="B1950" s="32" t="s">
        <v>2559</v>
      </c>
      <c r="C1950" s="32" t="s">
        <v>184</v>
      </c>
      <c r="D1950" s="35" t="s">
        <v>1798</v>
      </c>
      <c r="E1950" s="32" t="s">
        <v>222</v>
      </c>
      <c r="F1950" s="32" t="s">
        <v>2560</v>
      </c>
      <c r="G1950" s="32" t="s">
        <v>2561</v>
      </c>
    </row>
    <row r="1951" ht="16.5" customHeight="1">
      <c r="A1951" s="32">
        <v>1950.0</v>
      </c>
      <c r="B1951" s="32" t="s">
        <v>2562</v>
      </c>
      <c r="C1951" s="32" t="s">
        <v>184</v>
      </c>
      <c r="D1951" s="32" t="s">
        <v>185</v>
      </c>
      <c r="E1951" s="32" t="s">
        <v>222</v>
      </c>
      <c r="F1951" s="32" t="s">
        <v>189</v>
      </c>
      <c r="G1951" s="32" t="s">
        <v>190</v>
      </c>
    </row>
    <row r="1952" ht="16.5" customHeight="1">
      <c r="A1952" s="32">
        <v>1951.0</v>
      </c>
      <c r="B1952" s="32" t="s">
        <v>2562</v>
      </c>
      <c r="C1952" s="32" t="s">
        <v>184</v>
      </c>
      <c r="D1952" s="32" t="s">
        <v>285</v>
      </c>
      <c r="E1952" s="32" t="s">
        <v>222</v>
      </c>
      <c r="F1952" s="32" t="s">
        <v>189</v>
      </c>
      <c r="G1952" s="32" t="s">
        <v>190</v>
      </c>
    </row>
    <row r="1953" ht="16.5" customHeight="1">
      <c r="A1953" s="32">
        <v>1952.0</v>
      </c>
      <c r="B1953" s="32" t="s">
        <v>2563</v>
      </c>
      <c r="C1953" s="32" t="s">
        <v>184</v>
      </c>
      <c r="D1953" s="32" t="s">
        <v>285</v>
      </c>
      <c r="E1953" s="32" t="s">
        <v>222</v>
      </c>
      <c r="F1953" s="32" t="s">
        <v>189</v>
      </c>
      <c r="G1953" s="32" t="s">
        <v>190</v>
      </c>
    </row>
    <row r="1954" ht="16.5" customHeight="1">
      <c r="A1954" s="32">
        <v>1953.0</v>
      </c>
      <c r="B1954" s="32" t="s">
        <v>2564</v>
      </c>
      <c r="C1954" s="32" t="s">
        <v>184</v>
      </c>
      <c r="D1954" s="35" t="s">
        <v>294</v>
      </c>
      <c r="E1954" s="32" t="s">
        <v>222</v>
      </c>
      <c r="F1954" s="32" t="s">
        <v>189</v>
      </c>
      <c r="G1954" s="32" t="s">
        <v>190</v>
      </c>
    </row>
    <row r="1955" ht="16.5" customHeight="1">
      <c r="A1955" s="32">
        <v>1954.0</v>
      </c>
      <c r="B1955" s="32" t="s">
        <v>2565</v>
      </c>
      <c r="C1955" s="32" t="s">
        <v>184</v>
      </c>
      <c r="D1955" s="35" t="s">
        <v>1236</v>
      </c>
      <c r="E1955" s="32" t="s">
        <v>222</v>
      </c>
    </row>
    <row r="1956" ht="16.5" customHeight="1">
      <c r="A1956" s="32">
        <v>1955.0</v>
      </c>
      <c r="B1956" s="32" t="s">
        <v>2566</v>
      </c>
      <c r="C1956" s="32" t="s">
        <v>184</v>
      </c>
      <c r="D1956" s="32" t="s">
        <v>285</v>
      </c>
      <c r="E1956" s="32" t="s">
        <v>222</v>
      </c>
    </row>
    <row r="1957" ht="16.5" customHeight="1">
      <c r="A1957" s="32">
        <v>1956.0</v>
      </c>
      <c r="B1957" s="32" t="s">
        <v>2567</v>
      </c>
      <c r="C1957" s="32" t="s">
        <v>184</v>
      </c>
      <c r="D1957" s="32" t="s">
        <v>234</v>
      </c>
      <c r="E1957" s="32" t="s">
        <v>222</v>
      </c>
      <c r="F1957" s="32" t="s">
        <v>2400</v>
      </c>
      <c r="G1957" s="32" t="s">
        <v>229</v>
      </c>
    </row>
    <row r="1958" ht="16.5" customHeight="1">
      <c r="A1958" s="32">
        <v>1957.0</v>
      </c>
      <c r="B1958" s="32" t="s">
        <v>2568</v>
      </c>
      <c r="C1958" s="32" t="s">
        <v>184</v>
      </c>
      <c r="D1958" s="32" t="s">
        <v>185</v>
      </c>
      <c r="E1958" s="32" t="s">
        <v>222</v>
      </c>
    </row>
    <row r="1959" ht="16.5" customHeight="1">
      <c r="A1959" s="32">
        <v>1958.0</v>
      </c>
      <c r="B1959" s="32" t="s">
        <v>2569</v>
      </c>
      <c r="C1959" s="32" t="s">
        <v>184</v>
      </c>
      <c r="D1959" s="32" t="s">
        <v>228</v>
      </c>
      <c r="E1959" s="32" t="s">
        <v>222</v>
      </c>
    </row>
    <row r="1960" ht="16.5" customHeight="1">
      <c r="A1960" s="32">
        <v>1959.0</v>
      </c>
      <c r="B1960" s="32" t="s">
        <v>2570</v>
      </c>
      <c r="C1960" s="32" t="s">
        <v>184</v>
      </c>
      <c r="D1960" s="35" t="s">
        <v>829</v>
      </c>
      <c r="E1960" s="32" t="s">
        <v>222</v>
      </c>
      <c r="F1960" s="32" t="s">
        <v>2003</v>
      </c>
      <c r="G1960" s="32" t="s">
        <v>2004</v>
      </c>
    </row>
    <row r="1961" ht="16.5" customHeight="1">
      <c r="A1961" s="32">
        <v>1960.0</v>
      </c>
      <c r="B1961" s="32" t="s">
        <v>2571</v>
      </c>
      <c r="C1961" s="32" t="s">
        <v>184</v>
      </c>
      <c r="D1961" s="32" t="s">
        <v>228</v>
      </c>
      <c r="E1961" s="32" t="s">
        <v>222</v>
      </c>
      <c r="F1961" s="32" t="s">
        <v>229</v>
      </c>
      <c r="G1961" s="32" t="s">
        <v>1334</v>
      </c>
    </row>
    <row r="1962" ht="16.5" customHeight="1">
      <c r="A1962" s="32">
        <v>1961.0</v>
      </c>
      <c r="B1962" s="32" t="s">
        <v>2572</v>
      </c>
      <c r="C1962" s="32" t="s">
        <v>184</v>
      </c>
      <c r="D1962" s="32" t="s">
        <v>228</v>
      </c>
      <c r="E1962" s="32" t="s">
        <v>222</v>
      </c>
      <c r="F1962" s="32" t="s">
        <v>229</v>
      </c>
      <c r="G1962" s="32" t="s">
        <v>244</v>
      </c>
    </row>
    <row r="1963" ht="16.5" customHeight="1">
      <c r="A1963" s="32">
        <v>1962.0</v>
      </c>
      <c r="B1963" s="32" t="s">
        <v>2573</v>
      </c>
      <c r="C1963" s="32" t="s">
        <v>184</v>
      </c>
      <c r="D1963" s="32" t="s">
        <v>228</v>
      </c>
      <c r="E1963" s="32" t="s">
        <v>222</v>
      </c>
      <c r="F1963" s="32" t="s">
        <v>229</v>
      </c>
      <c r="G1963" s="32" t="s">
        <v>244</v>
      </c>
    </row>
    <row r="1964" ht="16.5" customHeight="1">
      <c r="A1964" s="32">
        <v>1963.0</v>
      </c>
      <c r="B1964" s="32" t="s">
        <v>2574</v>
      </c>
      <c r="C1964" s="32" t="s">
        <v>184</v>
      </c>
      <c r="D1964" s="32" t="s">
        <v>219</v>
      </c>
      <c r="E1964" s="32" t="s">
        <v>222</v>
      </c>
    </row>
    <row r="1965" ht="16.5" customHeight="1">
      <c r="A1965" s="32">
        <v>1964.0</v>
      </c>
      <c r="B1965" s="32" t="s">
        <v>2575</v>
      </c>
      <c r="C1965" s="32" t="s">
        <v>184</v>
      </c>
      <c r="D1965" s="32" t="s">
        <v>228</v>
      </c>
      <c r="E1965" s="32" t="s">
        <v>222</v>
      </c>
      <c r="F1965" s="32" t="s">
        <v>229</v>
      </c>
      <c r="G1965" s="32" t="s">
        <v>230</v>
      </c>
    </row>
    <row r="1966" ht="16.5" customHeight="1">
      <c r="A1966" s="32">
        <v>1965.0</v>
      </c>
      <c r="B1966" s="32" t="s">
        <v>2576</v>
      </c>
      <c r="C1966" s="32" t="s">
        <v>184</v>
      </c>
      <c r="D1966" s="32" t="s">
        <v>228</v>
      </c>
      <c r="E1966" s="32" t="s">
        <v>222</v>
      </c>
      <c r="F1966" s="32" t="s">
        <v>544</v>
      </c>
      <c r="G1966" s="32" t="s">
        <v>2577</v>
      </c>
    </row>
    <row r="1967" ht="16.5" customHeight="1">
      <c r="A1967" s="32">
        <v>1966.0</v>
      </c>
      <c r="B1967" s="32" t="s">
        <v>2578</v>
      </c>
      <c r="C1967" s="32" t="s">
        <v>184</v>
      </c>
      <c r="D1967" s="32" t="s">
        <v>228</v>
      </c>
      <c r="E1967" s="32" t="s">
        <v>222</v>
      </c>
      <c r="F1967" s="32" t="s">
        <v>544</v>
      </c>
      <c r="G1967" s="32" t="s">
        <v>2436</v>
      </c>
    </row>
    <row r="1968" ht="16.5" customHeight="1">
      <c r="A1968" s="32">
        <v>1967.0</v>
      </c>
      <c r="B1968" s="32" t="s">
        <v>2579</v>
      </c>
      <c r="C1968" s="32" t="s">
        <v>184</v>
      </c>
      <c r="D1968" s="32" t="s">
        <v>228</v>
      </c>
      <c r="E1968" s="32" t="s">
        <v>222</v>
      </c>
      <c r="F1968" s="32" t="s">
        <v>544</v>
      </c>
      <c r="G1968" s="32" t="s">
        <v>713</v>
      </c>
    </row>
    <row r="1969" ht="16.5" customHeight="1">
      <c r="A1969" s="32">
        <v>1968.0</v>
      </c>
      <c r="B1969" s="32" t="s">
        <v>2580</v>
      </c>
      <c r="C1969" s="32" t="s">
        <v>184</v>
      </c>
      <c r="D1969" s="32" t="s">
        <v>219</v>
      </c>
      <c r="E1969" s="32" t="s">
        <v>222</v>
      </c>
    </row>
    <row r="1970" ht="16.5" customHeight="1">
      <c r="A1970" s="32">
        <v>1969.0</v>
      </c>
      <c r="B1970" s="32" t="s">
        <v>2581</v>
      </c>
      <c r="C1970" s="32" t="s">
        <v>184</v>
      </c>
      <c r="D1970" s="32" t="s">
        <v>219</v>
      </c>
      <c r="E1970" s="32" t="s">
        <v>222</v>
      </c>
    </row>
    <row r="1971" ht="16.5" customHeight="1">
      <c r="A1971" s="32">
        <v>1970.0</v>
      </c>
      <c r="B1971" s="32" t="s">
        <v>2582</v>
      </c>
      <c r="C1971" s="32" t="s">
        <v>184</v>
      </c>
      <c r="D1971" s="32" t="s">
        <v>219</v>
      </c>
      <c r="E1971" s="32" t="s">
        <v>222</v>
      </c>
      <c r="F1971" s="32" t="s">
        <v>241</v>
      </c>
      <c r="G1971" s="32" t="s">
        <v>292</v>
      </c>
    </row>
    <row r="1972" ht="16.5" customHeight="1">
      <c r="A1972" s="32">
        <v>1971.0</v>
      </c>
      <c r="B1972" s="32" t="s">
        <v>2583</v>
      </c>
      <c r="C1972" s="32" t="s">
        <v>184</v>
      </c>
      <c r="D1972" s="35" t="s">
        <v>829</v>
      </c>
      <c r="E1972" s="32" t="s">
        <v>222</v>
      </c>
    </row>
    <row r="1973" ht="16.5" customHeight="1">
      <c r="A1973" s="32">
        <v>1972.0</v>
      </c>
      <c r="B1973" s="32" t="s">
        <v>2584</v>
      </c>
      <c r="C1973" s="32" t="s">
        <v>184</v>
      </c>
      <c r="D1973" s="32" t="s">
        <v>325</v>
      </c>
      <c r="E1973" s="32" t="s">
        <v>222</v>
      </c>
      <c r="F1973" s="32" t="s">
        <v>368</v>
      </c>
      <c r="G1973" s="32" t="s">
        <v>463</v>
      </c>
    </row>
    <row r="1974" ht="16.5" customHeight="1">
      <c r="A1974" s="32">
        <v>1973.0</v>
      </c>
      <c r="B1974" s="32" t="s">
        <v>2585</v>
      </c>
      <c r="C1974" s="32" t="s">
        <v>184</v>
      </c>
      <c r="D1974" s="32" t="s">
        <v>325</v>
      </c>
      <c r="E1974" s="32" t="s">
        <v>222</v>
      </c>
      <c r="F1974" s="32" t="s">
        <v>368</v>
      </c>
      <c r="G1974" s="32" t="s">
        <v>463</v>
      </c>
    </row>
    <row r="1975" ht="16.5" customHeight="1">
      <c r="A1975" s="32">
        <v>1974.0</v>
      </c>
      <c r="B1975" s="32" t="s">
        <v>2586</v>
      </c>
      <c r="C1975" s="32" t="s">
        <v>184</v>
      </c>
      <c r="D1975" s="32" t="s">
        <v>219</v>
      </c>
      <c r="E1975" s="32" t="s">
        <v>222</v>
      </c>
      <c r="F1975" s="32" t="s">
        <v>232</v>
      </c>
      <c r="G1975" s="32" t="s">
        <v>233</v>
      </c>
    </row>
    <row r="1976" ht="16.5" customHeight="1">
      <c r="A1976" s="32">
        <v>1975.0</v>
      </c>
      <c r="B1976" s="32" t="s">
        <v>2587</v>
      </c>
      <c r="C1976" s="32" t="s">
        <v>184</v>
      </c>
      <c r="D1976" s="32" t="s">
        <v>219</v>
      </c>
      <c r="E1976" s="32" t="s">
        <v>222</v>
      </c>
      <c r="F1976" s="32" t="s">
        <v>236</v>
      </c>
      <c r="G1976" s="32" t="s">
        <v>292</v>
      </c>
    </row>
    <row r="1977" ht="16.5" customHeight="1">
      <c r="A1977" s="32">
        <v>1976.0</v>
      </c>
      <c r="B1977" s="32" t="s">
        <v>2588</v>
      </c>
      <c r="C1977" s="32" t="s">
        <v>184</v>
      </c>
      <c r="D1977" s="32" t="s">
        <v>228</v>
      </c>
      <c r="E1977" s="32" t="s">
        <v>222</v>
      </c>
      <c r="F1977" s="32" t="s">
        <v>229</v>
      </c>
      <c r="G1977" s="32" t="s">
        <v>244</v>
      </c>
    </row>
    <row r="1978" ht="16.5" customHeight="1">
      <c r="A1978" s="32">
        <v>1977.0</v>
      </c>
      <c r="B1978" s="32" t="s">
        <v>2589</v>
      </c>
      <c r="C1978" s="32" t="s">
        <v>184</v>
      </c>
      <c r="D1978" s="32" t="s">
        <v>254</v>
      </c>
      <c r="E1978" s="32" t="s">
        <v>222</v>
      </c>
    </row>
    <row r="1979" ht="16.5" customHeight="1">
      <c r="A1979" s="32">
        <v>1978.0</v>
      </c>
      <c r="B1979" s="32" t="s">
        <v>2590</v>
      </c>
      <c r="C1979" s="32" t="s">
        <v>184</v>
      </c>
      <c r="D1979" s="32" t="s">
        <v>219</v>
      </c>
      <c r="E1979" s="32" t="s">
        <v>222</v>
      </c>
      <c r="F1979" s="32" t="s">
        <v>241</v>
      </c>
      <c r="G1979" s="32" t="s">
        <v>232</v>
      </c>
    </row>
    <row r="1980" ht="16.5" customHeight="1">
      <c r="A1980" s="32">
        <v>1979.0</v>
      </c>
      <c r="B1980" s="32" t="s">
        <v>2591</v>
      </c>
      <c r="C1980" s="32" t="s">
        <v>184</v>
      </c>
      <c r="D1980" s="32" t="s">
        <v>219</v>
      </c>
      <c r="E1980" s="32" t="s">
        <v>222</v>
      </c>
      <c r="F1980" s="32" t="s">
        <v>241</v>
      </c>
      <c r="G1980" s="32" t="s">
        <v>232</v>
      </c>
    </row>
    <row r="1981" ht="16.5" customHeight="1">
      <c r="A1981" s="32">
        <v>1980.0</v>
      </c>
      <c r="B1981" s="32" t="s">
        <v>2592</v>
      </c>
      <c r="C1981" s="32" t="s">
        <v>184</v>
      </c>
      <c r="D1981" s="32" t="s">
        <v>219</v>
      </c>
      <c r="E1981" s="32" t="s">
        <v>222</v>
      </c>
      <c r="F1981" s="32" t="s">
        <v>223</v>
      </c>
    </row>
    <row r="1982" ht="16.5" customHeight="1">
      <c r="A1982" s="32">
        <v>1981.0</v>
      </c>
      <c r="B1982" s="32" t="s">
        <v>2593</v>
      </c>
      <c r="C1982" s="32" t="s">
        <v>184</v>
      </c>
      <c r="D1982" s="32" t="s">
        <v>219</v>
      </c>
      <c r="E1982" s="32" t="s">
        <v>222</v>
      </c>
      <c r="F1982" s="32" t="s">
        <v>223</v>
      </c>
    </row>
    <row r="1983" ht="16.5" customHeight="1">
      <c r="A1983" s="32">
        <v>1982.0</v>
      </c>
      <c r="B1983" s="32" t="s">
        <v>2594</v>
      </c>
      <c r="C1983" s="32" t="s">
        <v>184</v>
      </c>
      <c r="D1983" s="32" t="s">
        <v>228</v>
      </c>
      <c r="E1983" s="32" t="s">
        <v>222</v>
      </c>
      <c r="F1983" s="32" t="s">
        <v>544</v>
      </c>
      <c r="G1983" s="32" t="s">
        <v>545</v>
      </c>
    </row>
    <row r="1984" ht="16.5" customHeight="1">
      <c r="A1984" s="32">
        <v>1983.0</v>
      </c>
      <c r="B1984" s="32" t="s">
        <v>2595</v>
      </c>
      <c r="C1984" s="32" t="s">
        <v>184</v>
      </c>
      <c r="D1984" s="32" t="s">
        <v>219</v>
      </c>
      <c r="E1984" s="32" t="s">
        <v>222</v>
      </c>
      <c r="F1984" s="32" t="s">
        <v>232</v>
      </c>
      <c r="G1984" s="32" t="s">
        <v>233</v>
      </c>
    </row>
    <row r="1985" ht="16.5" customHeight="1">
      <c r="A1985" s="32">
        <v>1984.0</v>
      </c>
      <c r="B1985" s="32" t="s">
        <v>2596</v>
      </c>
      <c r="C1985" s="32" t="s">
        <v>184</v>
      </c>
      <c r="D1985" s="32" t="s">
        <v>219</v>
      </c>
      <c r="E1985" s="32" t="s">
        <v>222</v>
      </c>
      <c r="F1985" s="32" t="s">
        <v>232</v>
      </c>
      <c r="G1985" s="32" t="s">
        <v>233</v>
      </c>
    </row>
    <row r="1986" ht="16.5" customHeight="1">
      <c r="A1986" s="32">
        <v>1985.0</v>
      </c>
      <c r="B1986" s="32" t="s">
        <v>2597</v>
      </c>
      <c r="C1986" s="32" t="s">
        <v>184</v>
      </c>
      <c r="D1986" s="32" t="s">
        <v>219</v>
      </c>
      <c r="E1986" s="32" t="s">
        <v>222</v>
      </c>
    </row>
    <row r="1987" ht="16.5" customHeight="1">
      <c r="A1987" s="32">
        <v>1986.0</v>
      </c>
      <c r="B1987" s="32" t="s">
        <v>2598</v>
      </c>
      <c r="C1987" s="32" t="s">
        <v>184</v>
      </c>
      <c r="D1987" s="32" t="s">
        <v>219</v>
      </c>
      <c r="E1987" s="32" t="s">
        <v>222</v>
      </c>
    </row>
    <row r="1988" ht="16.5" customHeight="1">
      <c r="A1988" s="32">
        <v>1987.0</v>
      </c>
      <c r="B1988" s="32" t="s">
        <v>2599</v>
      </c>
      <c r="C1988" s="32" t="s">
        <v>184</v>
      </c>
      <c r="D1988" s="32" t="s">
        <v>219</v>
      </c>
      <c r="E1988" s="32" t="s">
        <v>222</v>
      </c>
      <c r="F1988" s="32" t="s">
        <v>223</v>
      </c>
    </row>
    <row r="1989" ht="16.5" customHeight="1">
      <c r="A1989" s="32">
        <v>1988.0</v>
      </c>
      <c r="B1989" s="32" t="s">
        <v>2600</v>
      </c>
      <c r="C1989" s="32" t="s">
        <v>184</v>
      </c>
      <c r="D1989" s="32" t="s">
        <v>228</v>
      </c>
      <c r="E1989" s="32" t="s">
        <v>222</v>
      </c>
      <c r="F1989" s="32" t="s">
        <v>229</v>
      </c>
      <c r="G1989" s="32" t="s">
        <v>626</v>
      </c>
    </row>
    <row r="1990" ht="16.5" customHeight="1">
      <c r="A1990" s="32">
        <v>1989.0</v>
      </c>
      <c r="B1990" s="32" t="s">
        <v>2601</v>
      </c>
      <c r="C1990" s="32" t="s">
        <v>184</v>
      </c>
      <c r="D1990" s="32" t="s">
        <v>214</v>
      </c>
      <c r="E1990" s="32" t="s">
        <v>222</v>
      </c>
      <c r="F1990" s="32" t="s">
        <v>216</v>
      </c>
      <c r="G1990" s="32" t="s">
        <v>217</v>
      </c>
    </row>
    <row r="1991" ht="16.5" customHeight="1">
      <c r="A1991" s="32">
        <v>1990.0</v>
      </c>
      <c r="B1991" s="32" t="s">
        <v>2602</v>
      </c>
      <c r="C1991" s="32" t="s">
        <v>184</v>
      </c>
      <c r="D1991" s="32" t="s">
        <v>228</v>
      </c>
      <c r="E1991" s="32" t="s">
        <v>222</v>
      </c>
      <c r="F1991" s="32" t="s">
        <v>229</v>
      </c>
      <c r="G1991" s="32" t="s">
        <v>626</v>
      </c>
    </row>
    <row r="1992" ht="16.5" customHeight="1">
      <c r="A1992" s="32">
        <v>1991.0</v>
      </c>
      <c r="B1992" s="32" t="s">
        <v>2603</v>
      </c>
      <c r="C1992" s="32" t="s">
        <v>184</v>
      </c>
      <c r="D1992" s="32" t="s">
        <v>228</v>
      </c>
      <c r="E1992" s="32" t="s">
        <v>222</v>
      </c>
      <c r="F1992" s="32" t="s">
        <v>229</v>
      </c>
      <c r="G1992" s="32" t="s">
        <v>2604</v>
      </c>
    </row>
    <row r="1993" ht="16.5" customHeight="1">
      <c r="A1993" s="32">
        <v>1992.0</v>
      </c>
      <c r="B1993" s="32" t="s">
        <v>2605</v>
      </c>
      <c r="C1993" s="32" t="s">
        <v>184</v>
      </c>
      <c r="D1993" s="32" t="s">
        <v>228</v>
      </c>
      <c r="E1993" s="32" t="s">
        <v>222</v>
      </c>
      <c r="F1993" s="32" t="s">
        <v>229</v>
      </c>
      <c r="G1993" s="32" t="s">
        <v>626</v>
      </c>
    </row>
    <row r="1994" ht="16.5" customHeight="1">
      <c r="A1994" s="32">
        <v>1993.0</v>
      </c>
      <c r="B1994" s="32" t="s">
        <v>2606</v>
      </c>
      <c r="C1994" s="32" t="s">
        <v>184</v>
      </c>
      <c r="D1994" s="32" t="s">
        <v>228</v>
      </c>
      <c r="E1994" s="32" t="s">
        <v>222</v>
      </c>
    </row>
    <row r="1995" ht="16.5" customHeight="1">
      <c r="A1995" s="32">
        <v>1994.0</v>
      </c>
      <c r="B1995" s="32" t="s">
        <v>2607</v>
      </c>
      <c r="C1995" s="32" t="s">
        <v>184</v>
      </c>
      <c r="D1995" s="32" t="s">
        <v>219</v>
      </c>
      <c r="E1995" s="32" t="s">
        <v>222</v>
      </c>
      <c r="F1995" s="32" t="s">
        <v>232</v>
      </c>
      <c r="G1995" s="32" t="s">
        <v>233</v>
      </c>
    </row>
    <row r="1996" ht="16.5" customHeight="1">
      <c r="A1996" s="32">
        <v>1995.0</v>
      </c>
      <c r="B1996" s="32" t="s">
        <v>2608</v>
      </c>
      <c r="C1996" s="32" t="s">
        <v>184</v>
      </c>
      <c r="D1996" s="32" t="s">
        <v>214</v>
      </c>
      <c r="E1996" s="32" t="s">
        <v>222</v>
      </c>
      <c r="F1996" s="32" t="s">
        <v>216</v>
      </c>
      <c r="G1996" s="32" t="s">
        <v>217</v>
      </c>
    </row>
    <row r="1997" ht="16.5" customHeight="1">
      <c r="A1997" s="32">
        <v>1996.0</v>
      </c>
      <c r="B1997" s="32" t="s">
        <v>2609</v>
      </c>
      <c r="C1997" s="32" t="s">
        <v>184</v>
      </c>
      <c r="D1997" s="32" t="s">
        <v>228</v>
      </c>
      <c r="E1997" s="32" t="s">
        <v>222</v>
      </c>
    </row>
    <row r="1998" ht="16.5" customHeight="1">
      <c r="A1998" s="32">
        <v>1997.0</v>
      </c>
      <c r="B1998" s="32" t="s">
        <v>2610</v>
      </c>
      <c r="C1998" s="32" t="s">
        <v>184</v>
      </c>
      <c r="D1998" s="32" t="s">
        <v>325</v>
      </c>
      <c r="E1998" s="32" t="s">
        <v>222</v>
      </c>
      <c r="F1998" s="32" t="s">
        <v>368</v>
      </c>
      <c r="G1998" s="32" t="s">
        <v>463</v>
      </c>
    </row>
    <row r="1999" ht="16.5" customHeight="1">
      <c r="A1999" s="32">
        <v>1998.0</v>
      </c>
      <c r="B1999" s="32" t="s">
        <v>2610</v>
      </c>
      <c r="C1999" s="32" t="s">
        <v>184</v>
      </c>
      <c r="D1999" s="32" t="s">
        <v>325</v>
      </c>
      <c r="E1999" s="32" t="s">
        <v>222</v>
      </c>
      <c r="F1999" s="32" t="s">
        <v>368</v>
      </c>
      <c r="G1999" s="32" t="s">
        <v>463</v>
      </c>
    </row>
    <row r="2000" ht="16.5" customHeight="1">
      <c r="A2000" s="32">
        <v>1999.0</v>
      </c>
      <c r="B2000" s="32" t="s">
        <v>2611</v>
      </c>
      <c r="C2000" s="32" t="s">
        <v>184</v>
      </c>
      <c r="D2000" s="32" t="s">
        <v>219</v>
      </c>
      <c r="E2000" s="32" t="s">
        <v>222</v>
      </c>
      <c r="F2000" s="32" t="s">
        <v>241</v>
      </c>
      <c r="G2000" s="32" t="s">
        <v>292</v>
      </c>
    </row>
    <row r="2001" ht="16.5" customHeight="1">
      <c r="A2001" s="32">
        <v>2000.0</v>
      </c>
      <c r="B2001" s="32" t="s">
        <v>2612</v>
      </c>
      <c r="C2001" s="32" t="s">
        <v>184</v>
      </c>
      <c r="D2001" s="32" t="s">
        <v>219</v>
      </c>
      <c r="E2001" s="32" t="s">
        <v>222</v>
      </c>
      <c r="F2001" s="32" t="s">
        <v>223</v>
      </c>
    </row>
    <row r="2002" ht="16.5" customHeight="1">
      <c r="A2002" s="32">
        <v>2001.0</v>
      </c>
      <c r="B2002" s="32" t="s">
        <v>2613</v>
      </c>
      <c r="C2002" s="32" t="s">
        <v>184</v>
      </c>
      <c r="D2002" s="32" t="s">
        <v>219</v>
      </c>
      <c r="E2002" s="32" t="s">
        <v>222</v>
      </c>
      <c r="F2002" s="32" t="s">
        <v>223</v>
      </c>
    </row>
    <row r="2003" ht="16.5" customHeight="1">
      <c r="A2003" s="32">
        <v>2002.0</v>
      </c>
      <c r="B2003" s="32" t="s">
        <v>2614</v>
      </c>
      <c r="C2003" s="32" t="s">
        <v>184</v>
      </c>
      <c r="D2003" s="32" t="s">
        <v>254</v>
      </c>
      <c r="E2003" s="32" t="s">
        <v>222</v>
      </c>
    </row>
    <row r="2004" ht="16.5" customHeight="1">
      <c r="A2004" s="32">
        <v>2003.0</v>
      </c>
      <c r="B2004" s="32" t="s">
        <v>2615</v>
      </c>
      <c r="C2004" s="32" t="s">
        <v>184</v>
      </c>
      <c r="D2004" s="32" t="s">
        <v>219</v>
      </c>
      <c r="E2004" s="32" t="s">
        <v>222</v>
      </c>
      <c r="F2004" s="32" t="s">
        <v>241</v>
      </c>
      <c r="G2004" s="32" t="s">
        <v>2305</v>
      </c>
    </row>
    <row r="2005" ht="16.5" customHeight="1">
      <c r="A2005" s="32">
        <v>2004.0</v>
      </c>
      <c r="B2005" s="32" t="s">
        <v>2616</v>
      </c>
      <c r="C2005" s="32" t="s">
        <v>184</v>
      </c>
      <c r="D2005" s="32" t="s">
        <v>285</v>
      </c>
      <c r="E2005" s="32" t="s">
        <v>222</v>
      </c>
      <c r="F2005" s="32" t="s">
        <v>295</v>
      </c>
      <c r="G2005" s="32" t="s">
        <v>2512</v>
      </c>
    </row>
    <row r="2006" ht="16.5" customHeight="1">
      <c r="A2006" s="32">
        <v>2005.0</v>
      </c>
      <c r="B2006" s="32" t="s">
        <v>2617</v>
      </c>
      <c r="C2006" s="32" t="s">
        <v>184</v>
      </c>
      <c r="D2006" s="32" t="s">
        <v>285</v>
      </c>
      <c r="E2006" s="32" t="s">
        <v>222</v>
      </c>
    </row>
    <row r="2007" ht="16.5" customHeight="1">
      <c r="A2007" s="32">
        <v>2006.0</v>
      </c>
      <c r="B2007" s="32" t="s">
        <v>2618</v>
      </c>
      <c r="C2007" s="32" t="s">
        <v>184</v>
      </c>
      <c r="D2007" s="35" t="s">
        <v>294</v>
      </c>
      <c r="E2007" s="32" t="s">
        <v>222</v>
      </c>
      <c r="F2007" s="32" t="s">
        <v>189</v>
      </c>
      <c r="G2007" s="32" t="s">
        <v>190</v>
      </c>
    </row>
    <row r="2008" ht="16.5" customHeight="1">
      <c r="A2008" s="32">
        <v>2007.0</v>
      </c>
      <c r="B2008" s="32" t="s">
        <v>2619</v>
      </c>
      <c r="C2008" s="32" t="s">
        <v>184</v>
      </c>
      <c r="D2008" s="32" t="s">
        <v>219</v>
      </c>
      <c r="E2008" s="32" t="s">
        <v>222</v>
      </c>
    </row>
    <row r="2009" ht="16.5" customHeight="1">
      <c r="A2009" s="32">
        <v>2008.0</v>
      </c>
      <c r="B2009" s="32" t="s">
        <v>2620</v>
      </c>
      <c r="C2009" s="32" t="s">
        <v>184</v>
      </c>
      <c r="D2009" s="32" t="s">
        <v>185</v>
      </c>
      <c r="E2009" s="32" t="s">
        <v>222</v>
      </c>
      <c r="F2009" s="32" t="s">
        <v>189</v>
      </c>
      <c r="G2009" s="32" t="s">
        <v>2046</v>
      </c>
    </row>
    <row r="2010" ht="16.5" customHeight="1">
      <c r="A2010" s="32">
        <v>2009.0</v>
      </c>
      <c r="B2010" s="32" t="s">
        <v>2621</v>
      </c>
      <c r="C2010" s="32" t="s">
        <v>184</v>
      </c>
      <c r="D2010" s="32" t="s">
        <v>285</v>
      </c>
      <c r="E2010" s="32" t="s">
        <v>222</v>
      </c>
    </row>
    <row r="2011" ht="16.5" customHeight="1">
      <c r="A2011" s="32">
        <v>2010.0</v>
      </c>
      <c r="B2011" s="32" t="s">
        <v>2622</v>
      </c>
      <c r="C2011" s="32" t="s">
        <v>184</v>
      </c>
      <c r="D2011" s="32" t="s">
        <v>285</v>
      </c>
      <c r="E2011" s="32" t="s">
        <v>222</v>
      </c>
    </row>
    <row r="2012" ht="16.5" customHeight="1">
      <c r="A2012" s="32">
        <v>2011.0</v>
      </c>
      <c r="B2012" s="32" t="s">
        <v>2623</v>
      </c>
      <c r="C2012" s="32" t="s">
        <v>184</v>
      </c>
      <c r="D2012" s="32" t="s">
        <v>285</v>
      </c>
      <c r="E2012" s="32" t="s">
        <v>222</v>
      </c>
    </row>
    <row r="2013" ht="16.5" customHeight="1">
      <c r="A2013" s="32">
        <v>2012.0</v>
      </c>
      <c r="B2013" s="32" t="s">
        <v>2624</v>
      </c>
      <c r="C2013" s="32" t="s">
        <v>184</v>
      </c>
      <c r="D2013" s="32" t="s">
        <v>285</v>
      </c>
      <c r="E2013" s="32" t="s">
        <v>222</v>
      </c>
    </row>
    <row r="2014" ht="16.5" customHeight="1">
      <c r="A2014" s="32">
        <v>2013.0</v>
      </c>
      <c r="B2014" s="32" t="s">
        <v>2625</v>
      </c>
      <c r="C2014" s="32" t="s">
        <v>184</v>
      </c>
      <c r="D2014" s="32" t="s">
        <v>285</v>
      </c>
      <c r="E2014" s="32" t="s">
        <v>222</v>
      </c>
    </row>
    <row r="2015" ht="16.5" customHeight="1">
      <c r="A2015" s="32">
        <v>2014.0</v>
      </c>
      <c r="B2015" s="32" t="s">
        <v>2626</v>
      </c>
      <c r="C2015" s="32" t="s">
        <v>184</v>
      </c>
      <c r="D2015" s="32" t="s">
        <v>185</v>
      </c>
      <c r="E2015" s="32" t="s">
        <v>222</v>
      </c>
      <c r="F2015" s="32" t="s">
        <v>189</v>
      </c>
      <c r="G2015" s="32" t="s">
        <v>190</v>
      </c>
    </row>
    <row r="2016" ht="16.5" customHeight="1">
      <c r="A2016" s="32">
        <v>2015.0</v>
      </c>
      <c r="B2016" s="32" t="s">
        <v>2627</v>
      </c>
      <c r="C2016" s="32" t="s">
        <v>184</v>
      </c>
      <c r="D2016" s="32" t="s">
        <v>185</v>
      </c>
      <c r="E2016" s="32" t="s">
        <v>222</v>
      </c>
      <c r="F2016" s="32" t="s">
        <v>267</v>
      </c>
      <c r="G2016" s="32" t="s">
        <v>188</v>
      </c>
    </row>
    <row r="2017" ht="16.5" customHeight="1">
      <c r="A2017" s="32">
        <v>2016.0</v>
      </c>
      <c r="B2017" s="32" t="s">
        <v>2627</v>
      </c>
      <c r="C2017" s="32" t="s">
        <v>184</v>
      </c>
      <c r="D2017" s="32" t="s">
        <v>185</v>
      </c>
      <c r="E2017" s="32" t="s">
        <v>222</v>
      </c>
      <c r="F2017" s="32" t="s">
        <v>267</v>
      </c>
      <c r="G2017" s="32" t="s">
        <v>188</v>
      </c>
    </row>
    <row r="2018" ht="16.5" customHeight="1">
      <c r="A2018" s="32">
        <v>2017.0</v>
      </c>
      <c r="B2018" s="32" t="s">
        <v>2628</v>
      </c>
      <c r="C2018" s="32" t="s">
        <v>184</v>
      </c>
      <c r="D2018" s="35" t="s">
        <v>294</v>
      </c>
      <c r="E2018" s="32" t="s">
        <v>222</v>
      </c>
      <c r="F2018" s="32" t="s">
        <v>267</v>
      </c>
      <c r="G2018" s="32" t="s">
        <v>188</v>
      </c>
    </row>
    <row r="2019" ht="16.5" customHeight="1">
      <c r="A2019" s="32">
        <v>2018.0</v>
      </c>
      <c r="B2019" s="32" t="s">
        <v>2628</v>
      </c>
      <c r="C2019" s="32" t="s">
        <v>184</v>
      </c>
      <c r="D2019" s="32" t="s">
        <v>185</v>
      </c>
      <c r="E2019" s="32" t="s">
        <v>222</v>
      </c>
      <c r="F2019" s="32" t="s">
        <v>267</v>
      </c>
      <c r="G2019" s="32" t="s">
        <v>188</v>
      </c>
    </row>
    <row r="2020" ht="16.5" customHeight="1">
      <c r="A2020" s="32">
        <v>2019.0</v>
      </c>
      <c r="B2020" s="32" t="s">
        <v>2629</v>
      </c>
      <c r="C2020" s="32" t="s">
        <v>184</v>
      </c>
      <c r="D2020" s="32" t="s">
        <v>185</v>
      </c>
      <c r="E2020" s="32" t="s">
        <v>222</v>
      </c>
    </row>
    <row r="2021" ht="16.5" customHeight="1">
      <c r="A2021" s="32">
        <v>2020.0</v>
      </c>
      <c r="B2021" s="32" t="s">
        <v>2630</v>
      </c>
      <c r="C2021" s="32" t="s">
        <v>184</v>
      </c>
      <c r="D2021" s="32" t="s">
        <v>254</v>
      </c>
      <c r="E2021" s="32" t="s">
        <v>222</v>
      </c>
      <c r="F2021" s="32" t="s">
        <v>256</v>
      </c>
      <c r="G2021" s="32" t="s">
        <v>257</v>
      </c>
    </row>
    <row r="2022" ht="16.5" customHeight="1">
      <c r="A2022" s="32">
        <v>2021.0</v>
      </c>
      <c r="B2022" s="32" t="s">
        <v>2631</v>
      </c>
      <c r="C2022" s="32" t="s">
        <v>184</v>
      </c>
      <c r="D2022" s="32" t="s">
        <v>234</v>
      </c>
      <c r="E2022" s="32" t="s">
        <v>222</v>
      </c>
      <c r="F2022" s="32" t="s">
        <v>347</v>
      </c>
      <c r="G2022" s="32" t="s">
        <v>2222</v>
      </c>
    </row>
    <row r="2023" ht="16.5" customHeight="1">
      <c r="A2023" s="32">
        <v>2022.0</v>
      </c>
      <c r="B2023" s="32" t="s">
        <v>2632</v>
      </c>
      <c r="C2023" s="32" t="s">
        <v>184</v>
      </c>
      <c r="D2023" s="32" t="s">
        <v>192</v>
      </c>
      <c r="E2023" s="32" t="s">
        <v>222</v>
      </c>
      <c r="F2023" s="32" t="s">
        <v>347</v>
      </c>
      <c r="G2023" s="32" t="s">
        <v>2362</v>
      </c>
    </row>
    <row r="2024" ht="16.5" customHeight="1">
      <c r="A2024" s="32">
        <v>2023.0</v>
      </c>
      <c r="B2024" s="32" t="s">
        <v>2633</v>
      </c>
      <c r="C2024" s="32" t="s">
        <v>184</v>
      </c>
      <c r="D2024" s="32" t="s">
        <v>234</v>
      </c>
      <c r="E2024" s="32" t="s">
        <v>222</v>
      </c>
      <c r="F2024" s="32" t="s">
        <v>347</v>
      </c>
      <c r="G2024" s="32" t="s">
        <v>2634</v>
      </c>
    </row>
    <row r="2025" ht="16.5" customHeight="1">
      <c r="A2025" s="32">
        <v>2024.0</v>
      </c>
      <c r="B2025" s="32" t="s">
        <v>2635</v>
      </c>
      <c r="C2025" s="32" t="s">
        <v>184</v>
      </c>
      <c r="D2025" s="32" t="s">
        <v>234</v>
      </c>
      <c r="E2025" s="32" t="s">
        <v>222</v>
      </c>
      <c r="F2025" s="32" t="s">
        <v>347</v>
      </c>
      <c r="G2025" s="32" t="s">
        <v>2636</v>
      </c>
    </row>
    <row r="2026" ht="16.5" customHeight="1">
      <c r="A2026" s="32">
        <v>2025.0</v>
      </c>
      <c r="B2026" s="32" t="s">
        <v>2637</v>
      </c>
      <c r="C2026" s="32" t="s">
        <v>184</v>
      </c>
      <c r="D2026" s="32" t="s">
        <v>254</v>
      </c>
      <c r="E2026" s="32" t="s">
        <v>222</v>
      </c>
      <c r="F2026" s="32" t="s">
        <v>257</v>
      </c>
      <c r="G2026" s="32" t="s">
        <v>256</v>
      </c>
    </row>
    <row r="2027" ht="16.5" customHeight="1">
      <c r="A2027" s="32">
        <v>2026.0</v>
      </c>
      <c r="B2027" s="32" t="s">
        <v>2638</v>
      </c>
      <c r="C2027" s="32" t="s">
        <v>184</v>
      </c>
      <c r="D2027" s="32" t="s">
        <v>254</v>
      </c>
      <c r="E2027" s="32" t="s">
        <v>222</v>
      </c>
      <c r="F2027" s="32" t="s">
        <v>267</v>
      </c>
      <c r="G2027" s="32" t="s">
        <v>188</v>
      </c>
    </row>
    <row r="2028" ht="16.5" customHeight="1">
      <c r="A2028" s="32">
        <v>2027.0</v>
      </c>
      <c r="B2028" s="32" t="s">
        <v>2639</v>
      </c>
      <c r="C2028" s="32" t="s">
        <v>184</v>
      </c>
      <c r="D2028" s="32" t="s">
        <v>254</v>
      </c>
      <c r="E2028" s="32" t="s">
        <v>222</v>
      </c>
      <c r="F2028" s="32" t="s">
        <v>257</v>
      </c>
      <c r="G2028" s="32" t="s">
        <v>2640</v>
      </c>
    </row>
    <row r="2029" ht="16.5" customHeight="1">
      <c r="A2029" s="32">
        <v>2028.0</v>
      </c>
      <c r="B2029" s="32" t="s">
        <v>2641</v>
      </c>
      <c r="C2029" s="32" t="s">
        <v>184</v>
      </c>
      <c r="D2029" s="32" t="s">
        <v>185</v>
      </c>
      <c r="E2029" s="32" t="s">
        <v>222</v>
      </c>
      <c r="F2029" s="32" t="s">
        <v>267</v>
      </c>
      <c r="G2029" s="32" t="s">
        <v>188</v>
      </c>
    </row>
    <row r="2030" ht="16.5" customHeight="1">
      <c r="A2030" s="32">
        <v>2029.0</v>
      </c>
      <c r="B2030" s="32" t="s">
        <v>2642</v>
      </c>
      <c r="C2030" s="32" t="s">
        <v>184</v>
      </c>
      <c r="D2030" s="32" t="s">
        <v>285</v>
      </c>
      <c r="E2030" s="32" t="s">
        <v>222</v>
      </c>
    </row>
    <row r="2031" ht="16.5" customHeight="1">
      <c r="A2031" s="32">
        <v>2030.0</v>
      </c>
      <c r="B2031" s="32" t="s">
        <v>2643</v>
      </c>
      <c r="C2031" s="32" t="s">
        <v>184</v>
      </c>
      <c r="D2031" s="32" t="s">
        <v>185</v>
      </c>
      <c r="E2031" s="32" t="s">
        <v>222</v>
      </c>
    </row>
    <row r="2032" ht="16.5" customHeight="1">
      <c r="A2032" s="32">
        <v>2031.0</v>
      </c>
      <c r="B2032" s="32" t="s">
        <v>2644</v>
      </c>
      <c r="C2032" s="32" t="s">
        <v>184</v>
      </c>
      <c r="D2032" s="32" t="s">
        <v>185</v>
      </c>
      <c r="E2032" s="32" t="s">
        <v>222</v>
      </c>
    </row>
    <row r="2033" ht="16.5" customHeight="1">
      <c r="A2033" s="32">
        <v>2032.0</v>
      </c>
      <c r="B2033" s="32" t="s">
        <v>2645</v>
      </c>
      <c r="C2033" s="32" t="s">
        <v>184</v>
      </c>
      <c r="D2033" s="32" t="s">
        <v>185</v>
      </c>
      <c r="E2033" s="32" t="s">
        <v>222</v>
      </c>
      <c r="F2033" s="32" t="s">
        <v>1201</v>
      </c>
      <c r="G2033" s="32" t="s">
        <v>2646</v>
      </c>
    </row>
    <row r="2034" ht="16.5" customHeight="1">
      <c r="A2034" s="32">
        <v>2033.0</v>
      </c>
      <c r="B2034" s="32" t="s">
        <v>2647</v>
      </c>
      <c r="C2034" s="32" t="s">
        <v>184</v>
      </c>
      <c r="D2034" s="32" t="s">
        <v>285</v>
      </c>
      <c r="E2034" s="32" t="s">
        <v>222</v>
      </c>
      <c r="F2034" s="32" t="s">
        <v>189</v>
      </c>
      <c r="G2034" s="32" t="s">
        <v>190</v>
      </c>
    </row>
    <row r="2035" ht="16.5" customHeight="1">
      <c r="A2035" s="32">
        <v>2034.0</v>
      </c>
      <c r="B2035" s="32" t="s">
        <v>2648</v>
      </c>
      <c r="C2035" s="32" t="s">
        <v>184</v>
      </c>
      <c r="D2035" s="32" t="s">
        <v>285</v>
      </c>
      <c r="E2035" s="32" t="s">
        <v>222</v>
      </c>
      <c r="F2035" s="32" t="s">
        <v>189</v>
      </c>
      <c r="G2035" s="32" t="s">
        <v>1121</v>
      </c>
    </row>
    <row r="2036" ht="16.5" customHeight="1">
      <c r="A2036" s="32">
        <v>2035.0</v>
      </c>
      <c r="B2036" s="32" t="s">
        <v>2649</v>
      </c>
      <c r="C2036" s="32" t="s">
        <v>184</v>
      </c>
      <c r="D2036" s="35" t="s">
        <v>294</v>
      </c>
      <c r="E2036" s="32" t="s">
        <v>222</v>
      </c>
    </row>
    <row r="2037" ht="16.5" customHeight="1">
      <c r="A2037" s="32">
        <v>2036.0</v>
      </c>
      <c r="B2037" s="32" t="s">
        <v>2650</v>
      </c>
      <c r="C2037" s="32" t="s">
        <v>184</v>
      </c>
      <c r="D2037" s="32" t="s">
        <v>185</v>
      </c>
      <c r="E2037" s="32" t="s">
        <v>222</v>
      </c>
      <c r="F2037" s="32" t="s">
        <v>189</v>
      </c>
      <c r="G2037" s="32" t="s">
        <v>1121</v>
      </c>
    </row>
    <row r="2038" ht="16.5" customHeight="1">
      <c r="A2038" s="32">
        <v>2037.0</v>
      </c>
      <c r="B2038" s="32" t="s">
        <v>2651</v>
      </c>
      <c r="C2038" s="32" t="s">
        <v>184</v>
      </c>
      <c r="D2038" s="32" t="s">
        <v>185</v>
      </c>
      <c r="E2038" s="32" t="s">
        <v>222</v>
      </c>
      <c r="F2038" s="32" t="s">
        <v>267</v>
      </c>
      <c r="G2038" s="32" t="s">
        <v>188</v>
      </c>
    </row>
    <row r="2039" ht="16.5" customHeight="1">
      <c r="A2039" s="32">
        <v>2038.0</v>
      </c>
      <c r="B2039" s="32" t="s">
        <v>2652</v>
      </c>
      <c r="C2039" s="32" t="s">
        <v>184</v>
      </c>
      <c r="D2039" s="32" t="s">
        <v>185</v>
      </c>
      <c r="E2039" s="32" t="s">
        <v>222</v>
      </c>
      <c r="F2039" s="32" t="s">
        <v>267</v>
      </c>
      <c r="G2039" s="32" t="s">
        <v>188</v>
      </c>
    </row>
    <row r="2040" ht="16.5" customHeight="1">
      <c r="A2040" s="32">
        <v>2039.0</v>
      </c>
      <c r="B2040" s="32" t="s">
        <v>2653</v>
      </c>
      <c r="C2040" s="32" t="s">
        <v>184</v>
      </c>
      <c r="D2040" s="32" t="s">
        <v>285</v>
      </c>
      <c r="E2040" s="32" t="s">
        <v>222</v>
      </c>
    </row>
    <row r="2041" ht="16.5" customHeight="1">
      <c r="A2041" s="32">
        <v>2040.0</v>
      </c>
      <c r="B2041" s="32" t="s">
        <v>2654</v>
      </c>
      <c r="C2041" s="32" t="s">
        <v>184</v>
      </c>
      <c r="D2041" s="32" t="s">
        <v>285</v>
      </c>
      <c r="E2041" s="32" t="s">
        <v>222</v>
      </c>
    </row>
    <row r="2042" ht="16.5" customHeight="1">
      <c r="A2042" s="32">
        <v>2041.0</v>
      </c>
      <c r="B2042" s="32" t="s">
        <v>2655</v>
      </c>
      <c r="C2042" s="32" t="s">
        <v>184</v>
      </c>
      <c r="D2042" s="32" t="s">
        <v>234</v>
      </c>
      <c r="E2042" s="32" t="s">
        <v>222</v>
      </c>
      <c r="F2042" s="32" t="s">
        <v>235</v>
      </c>
      <c r="G2042" s="32" t="s">
        <v>243</v>
      </c>
    </row>
    <row r="2043" ht="16.5" customHeight="1">
      <c r="A2043" s="32">
        <v>2042.0</v>
      </c>
      <c r="B2043" s="32" t="s">
        <v>2656</v>
      </c>
      <c r="C2043" s="32" t="s">
        <v>184</v>
      </c>
      <c r="D2043" s="32" t="s">
        <v>234</v>
      </c>
      <c r="E2043" s="32" t="s">
        <v>222</v>
      </c>
      <c r="F2043" s="32" t="s">
        <v>235</v>
      </c>
      <c r="G2043" s="32" t="s">
        <v>243</v>
      </c>
    </row>
    <row r="2044" ht="16.5" customHeight="1">
      <c r="A2044" s="32">
        <v>2043.0</v>
      </c>
      <c r="B2044" s="32" t="s">
        <v>2657</v>
      </c>
      <c r="C2044" s="32" t="s">
        <v>184</v>
      </c>
      <c r="D2044" s="35" t="s">
        <v>691</v>
      </c>
      <c r="E2044" s="32" t="s">
        <v>222</v>
      </c>
      <c r="F2044" s="32" t="s">
        <v>2060</v>
      </c>
      <c r="G2044" s="32" t="s">
        <v>2061</v>
      </c>
    </row>
    <row r="2045" ht="16.5" customHeight="1">
      <c r="A2045" s="32">
        <v>2044.0</v>
      </c>
      <c r="B2045" s="32" t="s">
        <v>2658</v>
      </c>
      <c r="C2045" s="32" t="s">
        <v>184</v>
      </c>
      <c r="D2045" s="35" t="s">
        <v>691</v>
      </c>
      <c r="E2045" s="32" t="s">
        <v>222</v>
      </c>
      <c r="F2045" s="32" t="s">
        <v>2412</v>
      </c>
      <c r="G2045" s="32" t="s">
        <v>2659</v>
      </c>
    </row>
    <row r="2046" ht="16.5" customHeight="1">
      <c r="A2046" s="32">
        <v>2045.0</v>
      </c>
      <c r="B2046" s="32" t="s">
        <v>2660</v>
      </c>
      <c r="C2046" s="32" t="s">
        <v>184</v>
      </c>
      <c r="D2046" s="32" t="s">
        <v>219</v>
      </c>
      <c r="E2046" s="32" t="s">
        <v>222</v>
      </c>
      <c r="F2046" s="32" t="s">
        <v>223</v>
      </c>
      <c r="G2046" s="32" t="s">
        <v>229</v>
      </c>
    </row>
    <row r="2047" ht="16.5" customHeight="1">
      <c r="A2047" s="32">
        <v>2046.0</v>
      </c>
      <c r="B2047" s="32" t="s">
        <v>2661</v>
      </c>
      <c r="C2047" s="32" t="s">
        <v>184</v>
      </c>
      <c r="D2047" s="35" t="s">
        <v>691</v>
      </c>
      <c r="E2047" s="32" t="s">
        <v>222</v>
      </c>
      <c r="F2047" s="32" t="s">
        <v>793</v>
      </c>
      <c r="G2047" s="32" t="s">
        <v>2662</v>
      </c>
    </row>
    <row r="2048" ht="16.5" customHeight="1">
      <c r="A2048" s="32">
        <v>2047.0</v>
      </c>
      <c r="B2048" s="32" t="s">
        <v>2663</v>
      </c>
      <c r="C2048" s="32" t="s">
        <v>184</v>
      </c>
      <c r="D2048" s="35" t="s">
        <v>691</v>
      </c>
      <c r="E2048" s="32" t="s">
        <v>222</v>
      </c>
    </row>
    <row r="2049" ht="16.5" customHeight="1">
      <c r="A2049" s="32">
        <v>2048.0</v>
      </c>
      <c r="B2049" s="32" t="s">
        <v>2664</v>
      </c>
      <c r="C2049" s="32" t="s">
        <v>184</v>
      </c>
      <c r="D2049" s="32" t="s">
        <v>219</v>
      </c>
      <c r="E2049" s="32" t="s">
        <v>222</v>
      </c>
    </row>
    <row r="2050" ht="16.5" customHeight="1">
      <c r="A2050" s="32">
        <v>2049.0</v>
      </c>
      <c r="B2050" s="32" t="s">
        <v>2665</v>
      </c>
      <c r="C2050" s="32" t="s">
        <v>184</v>
      </c>
      <c r="D2050" s="32" t="s">
        <v>234</v>
      </c>
      <c r="E2050" s="32" t="s">
        <v>222</v>
      </c>
    </row>
    <row r="2051" ht="16.5" customHeight="1">
      <c r="A2051" s="32">
        <v>2050.0</v>
      </c>
      <c r="B2051" s="32" t="s">
        <v>2666</v>
      </c>
      <c r="C2051" s="32" t="s">
        <v>184</v>
      </c>
      <c r="D2051" s="32" t="s">
        <v>219</v>
      </c>
      <c r="E2051" s="32" t="s">
        <v>222</v>
      </c>
    </row>
    <row r="2052" ht="16.5" customHeight="1">
      <c r="A2052" s="32">
        <v>2051.0</v>
      </c>
      <c r="B2052" s="32" t="s">
        <v>2667</v>
      </c>
      <c r="C2052" s="32" t="s">
        <v>184</v>
      </c>
      <c r="D2052" s="32" t="s">
        <v>214</v>
      </c>
      <c r="E2052" s="32" t="s">
        <v>222</v>
      </c>
      <c r="F2052" s="32" t="s">
        <v>216</v>
      </c>
      <c r="G2052" s="32" t="s">
        <v>217</v>
      </c>
    </row>
    <row r="2053" ht="16.5" customHeight="1">
      <c r="A2053" s="32">
        <v>2052.0</v>
      </c>
      <c r="B2053" s="32" t="s">
        <v>2668</v>
      </c>
      <c r="C2053" s="32" t="s">
        <v>184</v>
      </c>
      <c r="D2053" s="32" t="s">
        <v>228</v>
      </c>
      <c r="E2053" s="32" t="s">
        <v>222</v>
      </c>
      <c r="F2053" s="32" t="s">
        <v>544</v>
      </c>
      <c r="G2053" s="32" t="s">
        <v>713</v>
      </c>
    </row>
    <row r="2054" ht="16.5" customHeight="1">
      <c r="A2054" s="32">
        <v>2053.0</v>
      </c>
      <c r="B2054" s="32" t="s">
        <v>2669</v>
      </c>
      <c r="C2054" s="32" t="s">
        <v>184</v>
      </c>
      <c r="D2054" s="32" t="s">
        <v>228</v>
      </c>
      <c r="E2054" s="32" t="s">
        <v>222</v>
      </c>
    </row>
    <row r="2055" ht="16.5" customHeight="1">
      <c r="A2055" s="32">
        <v>2054.0</v>
      </c>
      <c r="B2055" s="32" t="s">
        <v>2670</v>
      </c>
      <c r="C2055" s="32" t="s">
        <v>184</v>
      </c>
      <c r="D2055" s="32" t="s">
        <v>228</v>
      </c>
      <c r="E2055" s="32" t="s">
        <v>222</v>
      </c>
      <c r="F2055" s="32" t="s">
        <v>544</v>
      </c>
      <c r="G2055" s="32" t="s">
        <v>713</v>
      </c>
    </row>
    <row r="2056" ht="16.5" customHeight="1">
      <c r="A2056" s="32">
        <v>2055.0</v>
      </c>
      <c r="B2056" s="32" t="s">
        <v>2671</v>
      </c>
      <c r="C2056" s="32" t="s">
        <v>184</v>
      </c>
      <c r="D2056" s="32" t="s">
        <v>192</v>
      </c>
      <c r="E2056" s="32" t="s">
        <v>222</v>
      </c>
      <c r="F2056" s="32" t="s">
        <v>1607</v>
      </c>
    </row>
    <row r="2057" ht="16.5" customHeight="1">
      <c r="A2057" s="32">
        <v>2056.0</v>
      </c>
      <c r="B2057" s="32" t="s">
        <v>2672</v>
      </c>
      <c r="C2057" s="32" t="s">
        <v>184</v>
      </c>
      <c r="D2057" s="32" t="s">
        <v>254</v>
      </c>
      <c r="E2057" s="32" t="s">
        <v>222</v>
      </c>
      <c r="F2057" s="32" t="s">
        <v>305</v>
      </c>
      <c r="G2057" s="32" t="s">
        <v>319</v>
      </c>
    </row>
    <row r="2058" ht="16.5" customHeight="1">
      <c r="A2058" s="32">
        <v>2057.0</v>
      </c>
      <c r="B2058" s="32" t="s">
        <v>2673</v>
      </c>
      <c r="C2058" s="32" t="s">
        <v>184</v>
      </c>
      <c r="D2058" s="35" t="s">
        <v>310</v>
      </c>
      <c r="E2058" s="32" t="s">
        <v>222</v>
      </c>
      <c r="F2058" s="32" t="s">
        <v>305</v>
      </c>
      <c r="G2058" s="32" t="s">
        <v>600</v>
      </c>
    </row>
    <row r="2059" ht="16.5" customHeight="1">
      <c r="A2059" s="32">
        <v>2058.0</v>
      </c>
      <c r="B2059" s="32" t="s">
        <v>2674</v>
      </c>
      <c r="C2059" s="32" t="s">
        <v>184</v>
      </c>
      <c r="D2059" s="32" t="s">
        <v>254</v>
      </c>
      <c r="E2059" s="32" t="s">
        <v>222</v>
      </c>
      <c r="F2059" s="32" t="s">
        <v>305</v>
      </c>
      <c r="G2059" s="32" t="s">
        <v>600</v>
      </c>
    </row>
    <row r="2060" ht="16.5" customHeight="1">
      <c r="A2060" s="32">
        <v>2059.0</v>
      </c>
      <c r="B2060" s="32" t="s">
        <v>2675</v>
      </c>
      <c r="C2060" s="32" t="s">
        <v>184</v>
      </c>
      <c r="D2060" s="32" t="s">
        <v>228</v>
      </c>
      <c r="E2060" s="32" t="s">
        <v>222</v>
      </c>
    </row>
    <row r="2061" ht="16.5" customHeight="1">
      <c r="A2061" s="32">
        <v>2060.0</v>
      </c>
      <c r="B2061" s="32" t="s">
        <v>2676</v>
      </c>
      <c r="C2061" s="32" t="s">
        <v>184</v>
      </c>
      <c r="D2061" s="32" t="s">
        <v>228</v>
      </c>
      <c r="E2061" s="32" t="s">
        <v>222</v>
      </c>
      <c r="F2061" s="32" t="s">
        <v>544</v>
      </c>
      <c r="G2061" s="32" t="s">
        <v>722</v>
      </c>
    </row>
    <row r="2062" ht="16.5" customHeight="1">
      <c r="A2062" s="32">
        <v>2061.0</v>
      </c>
      <c r="B2062" s="32" t="s">
        <v>2677</v>
      </c>
      <c r="C2062" s="32" t="s">
        <v>184</v>
      </c>
      <c r="D2062" s="32" t="s">
        <v>219</v>
      </c>
      <c r="E2062" s="32" t="s">
        <v>222</v>
      </c>
      <c r="F2062" s="32" t="s">
        <v>241</v>
      </c>
      <c r="G2062" s="32" t="s">
        <v>292</v>
      </c>
    </row>
    <row r="2063" ht="16.5" customHeight="1">
      <c r="A2063" s="32">
        <v>2062.0</v>
      </c>
      <c r="B2063" s="32" t="s">
        <v>2678</v>
      </c>
      <c r="C2063" s="32" t="s">
        <v>184</v>
      </c>
      <c r="D2063" s="32" t="s">
        <v>325</v>
      </c>
      <c r="E2063" s="32" t="s">
        <v>222</v>
      </c>
    </row>
    <row r="2064" ht="16.5" customHeight="1">
      <c r="A2064" s="32">
        <v>2063.0</v>
      </c>
      <c r="B2064" s="32" t="s">
        <v>2679</v>
      </c>
      <c r="C2064" s="32" t="s">
        <v>184</v>
      </c>
      <c r="D2064" s="32" t="s">
        <v>285</v>
      </c>
      <c r="E2064" s="32" t="s">
        <v>222</v>
      </c>
      <c r="F2064" s="32" t="s">
        <v>189</v>
      </c>
      <c r="G2064" s="32" t="s">
        <v>190</v>
      </c>
    </row>
    <row r="2065" ht="16.5" customHeight="1">
      <c r="A2065" s="32">
        <v>2064.0</v>
      </c>
      <c r="B2065" s="32" t="s">
        <v>2680</v>
      </c>
      <c r="C2065" s="32" t="s">
        <v>184</v>
      </c>
      <c r="D2065" s="32" t="s">
        <v>285</v>
      </c>
      <c r="E2065" s="32" t="s">
        <v>222</v>
      </c>
    </row>
    <row r="2066" ht="16.5" customHeight="1">
      <c r="A2066" s="32">
        <v>2065.0</v>
      </c>
      <c r="B2066" s="32" t="s">
        <v>2681</v>
      </c>
      <c r="C2066" s="32" t="s">
        <v>184</v>
      </c>
      <c r="D2066" s="32" t="s">
        <v>254</v>
      </c>
      <c r="E2066" s="32" t="s">
        <v>222</v>
      </c>
      <c r="F2066" s="32" t="s">
        <v>2682</v>
      </c>
      <c r="G2066" s="32" t="s">
        <v>2683</v>
      </c>
    </row>
    <row r="2067" ht="16.5" customHeight="1">
      <c r="A2067" s="32">
        <v>2066.0</v>
      </c>
      <c r="B2067" s="32" t="s">
        <v>2684</v>
      </c>
      <c r="C2067" s="32" t="s">
        <v>184</v>
      </c>
      <c r="D2067" s="32" t="s">
        <v>228</v>
      </c>
      <c r="E2067" s="32" t="s">
        <v>222</v>
      </c>
    </row>
    <row r="2068" ht="16.5" customHeight="1">
      <c r="A2068" s="32">
        <v>2067.0</v>
      </c>
      <c r="B2068" s="32" t="s">
        <v>2685</v>
      </c>
      <c r="C2068" s="32" t="s">
        <v>184</v>
      </c>
      <c r="D2068" s="32" t="s">
        <v>219</v>
      </c>
      <c r="E2068" s="32" t="s">
        <v>222</v>
      </c>
      <c r="F2068" s="32" t="s">
        <v>241</v>
      </c>
      <c r="G2068" s="32" t="s">
        <v>292</v>
      </c>
    </row>
    <row r="2069" ht="16.5" customHeight="1">
      <c r="A2069" s="32">
        <v>2068.0</v>
      </c>
      <c r="B2069" s="32" t="s">
        <v>2686</v>
      </c>
      <c r="C2069" s="32" t="s">
        <v>184</v>
      </c>
      <c r="D2069" s="32" t="s">
        <v>219</v>
      </c>
      <c r="E2069" s="32" t="s">
        <v>222</v>
      </c>
      <c r="F2069" s="32" t="s">
        <v>241</v>
      </c>
      <c r="G2069" s="32" t="s">
        <v>2305</v>
      </c>
    </row>
    <row r="2070" ht="16.5" customHeight="1">
      <c r="A2070" s="32">
        <v>2069.0</v>
      </c>
      <c r="B2070" s="32" t="s">
        <v>2687</v>
      </c>
      <c r="C2070" s="32" t="s">
        <v>184</v>
      </c>
      <c r="D2070" s="32" t="s">
        <v>185</v>
      </c>
      <c r="E2070" s="32" t="s">
        <v>222</v>
      </c>
    </row>
    <row r="2071" ht="16.5" customHeight="1">
      <c r="A2071" s="32">
        <v>2070.0</v>
      </c>
      <c r="B2071" s="32" t="s">
        <v>2688</v>
      </c>
      <c r="C2071" s="32" t="s">
        <v>184</v>
      </c>
      <c r="D2071" s="32" t="s">
        <v>185</v>
      </c>
      <c r="E2071" s="32" t="s">
        <v>222</v>
      </c>
    </row>
    <row r="2072" ht="16.5" customHeight="1">
      <c r="A2072" s="32">
        <v>2071.0</v>
      </c>
      <c r="B2072" s="32" t="s">
        <v>2689</v>
      </c>
      <c r="C2072" s="32" t="s">
        <v>184</v>
      </c>
      <c r="D2072" s="32" t="s">
        <v>219</v>
      </c>
      <c r="E2072" s="32" t="s">
        <v>222</v>
      </c>
      <c r="F2072" s="32" t="s">
        <v>223</v>
      </c>
    </row>
    <row r="2073" ht="16.5" customHeight="1">
      <c r="A2073" s="32">
        <v>2072.0</v>
      </c>
      <c r="B2073" s="32" t="s">
        <v>2690</v>
      </c>
      <c r="C2073" s="32" t="s">
        <v>184</v>
      </c>
      <c r="D2073" s="32" t="s">
        <v>234</v>
      </c>
      <c r="E2073" s="32" t="s">
        <v>222</v>
      </c>
      <c r="F2073" s="32" t="s">
        <v>347</v>
      </c>
      <c r="G2073" s="32" t="s">
        <v>2636</v>
      </c>
    </row>
    <row r="2074" ht="16.5" customHeight="1">
      <c r="A2074" s="32">
        <v>2073.0</v>
      </c>
      <c r="B2074" s="32" t="s">
        <v>2691</v>
      </c>
      <c r="C2074" s="32" t="s">
        <v>184</v>
      </c>
      <c r="D2074" s="32" t="s">
        <v>285</v>
      </c>
      <c r="E2074" s="32" t="s">
        <v>222</v>
      </c>
      <c r="F2074" s="32" t="s">
        <v>189</v>
      </c>
      <c r="G2074" s="32" t="s">
        <v>1121</v>
      </c>
    </row>
    <row r="2075" ht="16.5" customHeight="1">
      <c r="A2075" s="32">
        <v>2074.0</v>
      </c>
      <c r="B2075" s="32" t="s">
        <v>2692</v>
      </c>
      <c r="C2075" s="32" t="s">
        <v>184</v>
      </c>
      <c r="D2075" s="32" t="s">
        <v>234</v>
      </c>
      <c r="E2075" s="32" t="s">
        <v>222</v>
      </c>
    </row>
    <row r="2076" ht="16.5" customHeight="1">
      <c r="A2076" s="32">
        <v>2075.0</v>
      </c>
      <c r="B2076" s="32" t="s">
        <v>2693</v>
      </c>
      <c r="C2076" s="32" t="s">
        <v>184</v>
      </c>
      <c r="D2076" s="32" t="s">
        <v>219</v>
      </c>
      <c r="E2076" s="32" t="s">
        <v>255</v>
      </c>
      <c r="F2076" s="32" t="s">
        <v>223</v>
      </c>
      <c r="G2076" s="32" t="s">
        <v>1181</v>
      </c>
    </row>
    <row r="2077" ht="16.5" customHeight="1">
      <c r="A2077" s="32">
        <v>2076.0</v>
      </c>
      <c r="B2077" s="32" t="s">
        <v>2694</v>
      </c>
      <c r="C2077" s="32" t="s">
        <v>184</v>
      </c>
      <c r="D2077" s="32" t="s">
        <v>192</v>
      </c>
      <c r="E2077" s="32" t="s">
        <v>255</v>
      </c>
      <c r="F2077" s="32" t="s">
        <v>329</v>
      </c>
      <c r="G2077" s="32" t="s">
        <v>408</v>
      </c>
    </row>
    <row r="2078" ht="16.5" customHeight="1">
      <c r="A2078" s="32">
        <v>2077.0</v>
      </c>
      <c r="B2078" s="32" t="s">
        <v>2695</v>
      </c>
      <c r="C2078" s="32" t="s">
        <v>184</v>
      </c>
      <c r="D2078" s="32" t="s">
        <v>254</v>
      </c>
      <c r="E2078" s="32" t="s">
        <v>255</v>
      </c>
      <c r="F2078" s="32" t="s">
        <v>2696</v>
      </c>
      <c r="G2078" s="32" t="s">
        <v>296</v>
      </c>
    </row>
    <row r="2079" ht="16.5" customHeight="1">
      <c r="A2079" s="32">
        <v>2078.0</v>
      </c>
      <c r="B2079" s="32" t="s">
        <v>2697</v>
      </c>
      <c r="C2079" s="32" t="s">
        <v>184</v>
      </c>
      <c r="D2079" s="35" t="s">
        <v>522</v>
      </c>
      <c r="E2079" s="32" t="s">
        <v>255</v>
      </c>
      <c r="F2079" s="32" t="s">
        <v>2698</v>
      </c>
      <c r="G2079" s="32" t="s">
        <v>296</v>
      </c>
    </row>
    <row r="2080" ht="16.5" customHeight="1">
      <c r="A2080" s="32">
        <v>2079.0</v>
      </c>
      <c r="B2080" s="32" t="s">
        <v>2699</v>
      </c>
      <c r="C2080" s="32" t="s">
        <v>184</v>
      </c>
      <c r="D2080" s="32" t="s">
        <v>254</v>
      </c>
      <c r="E2080" s="32" t="s">
        <v>255</v>
      </c>
      <c r="F2080" s="32" t="s">
        <v>257</v>
      </c>
      <c r="G2080" s="32" t="s">
        <v>256</v>
      </c>
    </row>
    <row r="2081" ht="16.5" customHeight="1">
      <c r="A2081" s="32">
        <v>2080.0</v>
      </c>
      <c r="B2081" s="32" t="s">
        <v>2700</v>
      </c>
      <c r="C2081" s="32" t="s">
        <v>184</v>
      </c>
      <c r="D2081" s="35" t="s">
        <v>1894</v>
      </c>
      <c r="E2081" s="32" t="s">
        <v>255</v>
      </c>
      <c r="F2081" s="32" t="s">
        <v>2701</v>
      </c>
      <c r="G2081" s="32" t="s">
        <v>2702</v>
      </c>
    </row>
    <row r="2082" ht="16.5" customHeight="1">
      <c r="A2082" s="32">
        <v>2081.0</v>
      </c>
      <c r="B2082" s="32" t="s">
        <v>2703</v>
      </c>
      <c r="C2082" s="32" t="s">
        <v>184</v>
      </c>
      <c r="D2082" s="35" t="s">
        <v>1894</v>
      </c>
      <c r="E2082" s="32" t="s">
        <v>255</v>
      </c>
      <c r="F2082" s="32" t="s">
        <v>2701</v>
      </c>
      <c r="G2082" s="32" t="s">
        <v>2702</v>
      </c>
    </row>
    <row r="2083" ht="16.5" customHeight="1">
      <c r="A2083" s="32">
        <v>2082.0</v>
      </c>
      <c r="B2083" s="32" t="s">
        <v>2704</v>
      </c>
      <c r="C2083" s="32" t="s">
        <v>184</v>
      </c>
      <c r="D2083" s="32" t="s">
        <v>254</v>
      </c>
      <c r="E2083" s="32" t="s">
        <v>255</v>
      </c>
      <c r="F2083" s="32" t="s">
        <v>260</v>
      </c>
      <c r="G2083" s="32" t="s">
        <v>1332</v>
      </c>
    </row>
    <row r="2084" ht="16.5" customHeight="1">
      <c r="A2084" s="32">
        <v>2083.0</v>
      </c>
      <c r="B2084" s="32" t="s">
        <v>2705</v>
      </c>
      <c r="C2084" s="32" t="s">
        <v>184</v>
      </c>
      <c r="D2084" s="32" t="s">
        <v>192</v>
      </c>
      <c r="E2084" s="32" t="s">
        <v>255</v>
      </c>
      <c r="F2084" s="32" t="s">
        <v>329</v>
      </c>
      <c r="G2084" s="32" t="s">
        <v>447</v>
      </c>
    </row>
    <row r="2085" ht="16.5" customHeight="1">
      <c r="A2085" s="32">
        <v>2084.0</v>
      </c>
      <c r="B2085" s="32" t="s">
        <v>2706</v>
      </c>
      <c r="C2085" s="32" t="s">
        <v>184</v>
      </c>
      <c r="D2085" s="32" t="s">
        <v>192</v>
      </c>
      <c r="E2085" s="32" t="s">
        <v>255</v>
      </c>
      <c r="F2085" s="32" t="s">
        <v>329</v>
      </c>
      <c r="G2085" s="32" t="s">
        <v>357</v>
      </c>
    </row>
    <row r="2086" ht="16.5" customHeight="1">
      <c r="A2086" s="32">
        <v>2085.0</v>
      </c>
      <c r="B2086" s="32" t="s">
        <v>2707</v>
      </c>
      <c r="C2086" s="32" t="s">
        <v>184</v>
      </c>
      <c r="D2086" s="32" t="s">
        <v>234</v>
      </c>
      <c r="E2086" s="32" t="s">
        <v>255</v>
      </c>
      <c r="F2086" s="32" t="s">
        <v>235</v>
      </c>
      <c r="G2086" s="32" t="s">
        <v>243</v>
      </c>
    </row>
    <row r="2087" ht="16.5" customHeight="1">
      <c r="A2087" s="32">
        <v>2086.0</v>
      </c>
      <c r="B2087" s="32" t="s">
        <v>2708</v>
      </c>
      <c r="C2087" s="32" t="s">
        <v>184</v>
      </c>
      <c r="D2087" s="32" t="s">
        <v>325</v>
      </c>
      <c r="E2087" s="32" t="s">
        <v>255</v>
      </c>
    </row>
    <row r="2088" ht="16.5" customHeight="1">
      <c r="A2088" s="32">
        <v>2087.0</v>
      </c>
      <c r="B2088" s="32" t="s">
        <v>2709</v>
      </c>
      <c r="C2088" s="32" t="s">
        <v>184</v>
      </c>
      <c r="D2088" s="35" t="s">
        <v>294</v>
      </c>
      <c r="E2088" s="32" t="s">
        <v>255</v>
      </c>
      <c r="F2088" s="32" t="s">
        <v>295</v>
      </c>
      <c r="G2088" s="32" t="s">
        <v>2522</v>
      </c>
    </row>
    <row r="2089" ht="16.5" customHeight="1">
      <c r="A2089" s="32">
        <v>2088.0</v>
      </c>
      <c r="B2089" s="32" t="s">
        <v>2710</v>
      </c>
      <c r="C2089" s="32" t="s">
        <v>184</v>
      </c>
      <c r="D2089" s="32" t="s">
        <v>185</v>
      </c>
      <c r="E2089" s="32" t="s">
        <v>255</v>
      </c>
    </row>
    <row r="2090" ht="16.5" customHeight="1">
      <c r="A2090" s="32">
        <v>2089.0</v>
      </c>
      <c r="B2090" s="32" t="s">
        <v>2711</v>
      </c>
      <c r="C2090" s="32" t="s">
        <v>184</v>
      </c>
      <c r="D2090" s="32" t="s">
        <v>285</v>
      </c>
      <c r="E2090" s="32" t="s">
        <v>255</v>
      </c>
    </row>
    <row r="2091" ht="16.5" customHeight="1">
      <c r="A2091" s="32">
        <v>2090.0</v>
      </c>
      <c r="B2091" s="32" t="s">
        <v>2712</v>
      </c>
      <c r="C2091" s="32" t="s">
        <v>184</v>
      </c>
      <c r="D2091" s="32" t="s">
        <v>325</v>
      </c>
      <c r="E2091" s="32" t="s">
        <v>255</v>
      </c>
    </row>
    <row r="2092" ht="16.5" customHeight="1">
      <c r="A2092" s="32">
        <v>2091.0</v>
      </c>
      <c r="B2092" s="32" t="s">
        <v>2712</v>
      </c>
      <c r="C2092" s="32" t="s">
        <v>184</v>
      </c>
      <c r="D2092" s="32" t="s">
        <v>325</v>
      </c>
      <c r="E2092" s="32" t="s">
        <v>255</v>
      </c>
    </row>
    <row r="2093" ht="16.5" customHeight="1">
      <c r="A2093" s="32">
        <v>2092.0</v>
      </c>
      <c r="B2093" s="32" t="s">
        <v>2713</v>
      </c>
      <c r="C2093" s="32" t="s">
        <v>184</v>
      </c>
      <c r="D2093" s="32" t="s">
        <v>325</v>
      </c>
      <c r="E2093" s="32" t="s">
        <v>255</v>
      </c>
    </row>
    <row r="2094" ht="16.5" customHeight="1">
      <c r="A2094" s="32">
        <v>2093.0</v>
      </c>
      <c r="B2094" s="32" t="s">
        <v>2714</v>
      </c>
      <c r="C2094" s="32" t="s">
        <v>184</v>
      </c>
      <c r="D2094" s="32" t="s">
        <v>192</v>
      </c>
      <c r="E2094" s="32" t="s">
        <v>255</v>
      </c>
    </row>
    <row r="2095" ht="16.5" customHeight="1">
      <c r="A2095" s="32">
        <v>2094.0</v>
      </c>
      <c r="B2095" s="32" t="s">
        <v>2715</v>
      </c>
      <c r="C2095" s="32" t="s">
        <v>184</v>
      </c>
      <c r="D2095" s="32" t="s">
        <v>192</v>
      </c>
      <c r="E2095" s="32" t="s">
        <v>399</v>
      </c>
      <c r="F2095" s="32" t="s">
        <v>300</v>
      </c>
      <c r="G2095" s="32" t="s">
        <v>2716</v>
      </c>
    </row>
    <row r="2096" ht="16.5" customHeight="1">
      <c r="A2096" s="32">
        <v>2095.0</v>
      </c>
      <c r="B2096" s="32" t="s">
        <v>2717</v>
      </c>
      <c r="C2096" s="32" t="s">
        <v>184</v>
      </c>
      <c r="D2096" s="32" t="s">
        <v>192</v>
      </c>
      <c r="E2096" s="32" t="s">
        <v>399</v>
      </c>
      <c r="F2096" s="32" t="s">
        <v>275</v>
      </c>
      <c r="G2096" s="32" t="s">
        <v>187</v>
      </c>
    </row>
    <row r="2097" ht="16.5" customHeight="1">
      <c r="A2097" s="32">
        <v>2096.0</v>
      </c>
      <c r="B2097" s="32" t="s">
        <v>2718</v>
      </c>
      <c r="C2097" s="32" t="s">
        <v>184</v>
      </c>
      <c r="D2097" s="32" t="s">
        <v>192</v>
      </c>
      <c r="E2097" s="32" t="s">
        <v>399</v>
      </c>
      <c r="F2097" s="32" t="s">
        <v>275</v>
      </c>
      <c r="G2097" s="32" t="s">
        <v>187</v>
      </c>
    </row>
    <row r="2098" ht="16.5" customHeight="1">
      <c r="A2098" s="32">
        <v>2097.0</v>
      </c>
      <c r="B2098" s="32" t="s">
        <v>2719</v>
      </c>
      <c r="C2098" s="32" t="s">
        <v>184</v>
      </c>
      <c r="D2098" s="32" t="s">
        <v>192</v>
      </c>
      <c r="E2098" s="32" t="s">
        <v>399</v>
      </c>
      <c r="F2098" s="32" t="s">
        <v>275</v>
      </c>
      <c r="G2098" s="32" t="s">
        <v>187</v>
      </c>
    </row>
    <row r="2099" ht="16.5" customHeight="1">
      <c r="A2099" s="32">
        <v>2098.0</v>
      </c>
      <c r="B2099" s="32" t="s">
        <v>2720</v>
      </c>
      <c r="C2099" s="32" t="s">
        <v>184</v>
      </c>
      <c r="D2099" s="32" t="s">
        <v>192</v>
      </c>
      <c r="E2099" s="32" t="s">
        <v>399</v>
      </c>
      <c r="F2099" s="32" t="s">
        <v>275</v>
      </c>
      <c r="G2099" s="32" t="s">
        <v>187</v>
      </c>
    </row>
    <row r="2100" ht="16.5" customHeight="1">
      <c r="A2100" s="32">
        <v>2099.0</v>
      </c>
      <c r="B2100" s="32" t="s">
        <v>2721</v>
      </c>
      <c r="C2100" s="32" t="s">
        <v>184</v>
      </c>
      <c r="D2100" s="32" t="s">
        <v>192</v>
      </c>
      <c r="E2100" s="32" t="s">
        <v>399</v>
      </c>
      <c r="F2100" s="32" t="s">
        <v>275</v>
      </c>
      <c r="G2100" s="32" t="s">
        <v>2722</v>
      </c>
    </row>
    <row r="2101" ht="16.5" customHeight="1">
      <c r="A2101" s="32">
        <v>2100.0</v>
      </c>
      <c r="B2101" s="32" t="s">
        <v>2723</v>
      </c>
      <c r="C2101" s="32" t="s">
        <v>184</v>
      </c>
      <c r="D2101" s="32" t="s">
        <v>254</v>
      </c>
      <c r="E2101" s="32" t="s">
        <v>399</v>
      </c>
    </row>
    <row r="2102" ht="16.5" customHeight="1">
      <c r="A2102" s="32">
        <v>2101.0</v>
      </c>
      <c r="B2102" s="32" t="s">
        <v>2724</v>
      </c>
      <c r="C2102" s="32" t="s">
        <v>184</v>
      </c>
      <c r="D2102" s="32" t="s">
        <v>219</v>
      </c>
      <c r="E2102" s="32" t="s">
        <v>399</v>
      </c>
    </row>
    <row r="2103" ht="16.5" customHeight="1">
      <c r="A2103" s="32">
        <v>2102.0</v>
      </c>
      <c r="B2103" s="32" t="s">
        <v>2725</v>
      </c>
      <c r="C2103" s="32" t="s">
        <v>184</v>
      </c>
      <c r="D2103" s="32" t="s">
        <v>254</v>
      </c>
      <c r="E2103" s="32" t="s">
        <v>399</v>
      </c>
      <c r="F2103" s="32" t="s">
        <v>256</v>
      </c>
      <c r="G2103" s="32" t="s">
        <v>317</v>
      </c>
    </row>
    <row r="2104" ht="16.5" customHeight="1">
      <c r="A2104" s="32">
        <v>2103.0</v>
      </c>
      <c r="B2104" s="32" t="s">
        <v>2726</v>
      </c>
      <c r="C2104" s="32" t="s">
        <v>184</v>
      </c>
      <c r="D2104" s="32" t="s">
        <v>285</v>
      </c>
      <c r="E2104" s="32" t="s">
        <v>399</v>
      </c>
      <c r="F2104" s="32" t="s">
        <v>188</v>
      </c>
      <c r="G2104" s="32" t="s">
        <v>665</v>
      </c>
    </row>
    <row r="2105" ht="16.5" customHeight="1">
      <c r="A2105" s="32">
        <v>2104.0</v>
      </c>
      <c r="B2105" s="32" t="s">
        <v>2727</v>
      </c>
      <c r="C2105" s="32" t="s">
        <v>184</v>
      </c>
      <c r="D2105" s="32" t="s">
        <v>325</v>
      </c>
      <c r="E2105" s="32" t="s">
        <v>222</v>
      </c>
      <c r="F2105" s="32" t="s">
        <v>368</v>
      </c>
      <c r="G2105" s="32" t="s">
        <v>463</v>
      </c>
    </row>
    <row r="2106" ht="16.5" customHeight="1">
      <c r="A2106" s="32">
        <v>2105.0</v>
      </c>
      <c r="B2106" s="32" t="s">
        <v>2728</v>
      </c>
      <c r="C2106" s="32" t="s">
        <v>184</v>
      </c>
      <c r="D2106" s="32" t="s">
        <v>325</v>
      </c>
      <c r="E2106" s="32" t="s">
        <v>222</v>
      </c>
      <c r="F2106" s="32" t="s">
        <v>368</v>
      </c>
      <c r="G2106" s="32" t="s">
        <v>463</v>
      </c>
    </row>
    <row r="2107" ht="16.5" customHeight="1">
      <c r="A2107" s="32">
        <v>2106.0</v>
      </c>
      <c r="B2107" s="32" t="s">
        <v>2729</v>
      </c>
      <c r="C2107" s="32" t="s">
        <v>184</v>
      </c>
      <c r="D2107" s="32" t="s">
        <v>325</v>
      </c>
      <c r="E2107" s="32" t="s">
        <v>222</v>
      </c>
      <c r="F2107" s="32" t="s">
        <v>368</v>
      </c>
      <c r="G2107" s="32" t="s">
        <v>463</v>
      </c>
    </row>
    <row r="2108" ht="16.5" customHeight="1">
      <c r="A2108" s="32">
        <v>2107.0</v>
      </c>
      <c r="B2108" s="32" t="s">
        <v>2730</v>
      </c>
      <c r="C2108" s="32" t="s">
        <v>184</v>
      </c>
      <c r="D2108" s="32" t="s">
        <v>185</v>
      </c>
      <c r="E2108" s="32" t="s">
        <v>399</v>
      </c>
      <c r="F2108" s="32" t="s">
        <v>475</v>
      </c>
      <c r="G2108" s="32" t="s">
        <v>2731</v>
      </c>
    </row>
    <row r="2109" ht="16.5" customHeight="1">
      <c r="A2109" s="32">
        <v>2108.0</v>
      </c>
      <c r="B2109" s="32" t="s">
        <v>2732</v>
      </c>
      <c r="C2109" s="32" t="s">
        <v>184</v>
      </c>
      <c r="D2109" s="32" t="s">
        <v>185</v>
      </c>
      <c r="E2109" s="32" t="s">
        <v>399</v>
      </c>
      <c r="F2109" s="32" t="s">
        <v>187</v>
      </c>
      <c r="G2109" s="32" t="s">
        <v>2733</v>
      </c>
    </row>
    <row r="2110" ht="16.5" customHeight="1">
      <c r="A2110" s="32">
        <v>2109.0</v>
      </c>
      <c r="B2110" s="32" t="s">
        <v>2734</v>
      </c>
      <c r="C2110" s="32" t="s">
        <v>184</v>
      </c>
      <c r="D2110" s="32" t="s">
        <v>185</v>
      </c>
      <c r="E2110" s="32" t="s">
        <v>399</v>
      </c>
    </row>
    <row r="2111" ht="16.5" customHeight="1">
      <c r="A2111" s="32">
        <v>2110.0</v>
      </c>
      <c r="B2111" s="32" t="s">
        <v>2735</v>
      </c>
      <c r="C2111" s="32" t="s">
        <v>184</v>
      </c>
      <c r="D2111" s="32" t="s">
        <v>234</v>
      </c>
      <c r="E2111" s="32" t="s">
        <v>399</v>
      </c>
      <c r="F2111" s="32" t="s">
        <v>2736</v>
      </c>
      <c r="G2111" s="32" t="s">
        <v>382</v>
      </c>
    </row>
    <row r="2112" ht="16.5" customHeight="1">
      <c r="A2112" s="32">
        <v>2111.0</v>
      </c>
      <c r="B2112" s="32" t="s">
        <v>2737</v>
      </c>
      <c r="C2112" s="32" t="s">
        <v>184</v>
      </c>
      <c r="D2112" s="32" t="s">
        <v>192</v>
      </c>
      <c r="E2112" s="32" t="s">
        <v>399</v>
      </c>
      <c r="F2112" s="32" t="s">
        <v>2738</v>
      </c>
      <c r="G2112" s="32" t="s">
        <v>2739</v>
      </c>
    </row>
    <row r="2113" ht="16.5" customHeight="1">
      <c r="A2113" s="32">
        <v>2112.0</v>
      </c>
      <c r="B2113" s="32" t="s">
        <v>2740</v>
      </c>
      <c r="C2113" s="32" t="s">
        <v>184</v>
      </c>
      <c r="D2113" s="32" t="s">
        <v>234</v>
      </c>
      <c r="E2113" s="32" t="s">
        <v>255</v>
      </c>
      <c r="F2113" s="32" t="s">
        <v>389</v>
      </c>
      <c r="G2113" s="32" t="s">
        <v>229</v>
      </c>
    </row>
    <row r="2114" ht="16.5" customHeight="1">
      <c r="A2114" s="32">
        <v>2113.0</v>
      </c>
      <c r="B2114" s="32" t="s">
        <v>2741</v>
      </c>
      <c r="C2114" s="32" t="s">
        <v>184</v>
      </c>
      <c r="D2114" s="32" t="s">
        <v>219</v>
      </c>
      <c r="E2114" s="32" t="s">
        <v>222</v>
      </c>
    </row>
    <row r="2115" ht="16.5" customHeight="1">
      <c r="A2115" s="32">
        <v>2114.0</v>
      </c>
      <c r="B2115" s="32" t="s">
        <v>2742</v>
      </c>
      <c r="C2115" s="32" t="s">
        <v>184</v>
      </c>
      <c r="D2115" s="32" t="s">
        <v>285</v>
      </c>
      <c r="E2115" s="32" t="s">
        <v>399</v>
      </c>
      <c r="F2115" s="32" t="s">
        <v>189</v>
      </c>
      <c r="G2115" s="32" t="s">
        <v>190</v>
      </c>
    </row>
    <row r="2116" ht="16.5" customHeight="1">
      <c r="A2116" s="32">
        <v>2115.0</v>
      </c>
      <c r="B2116" s="32" t="s">
        <v>2743</v>
      </c>
      <c r="C2116" s="32" t="s">
        <v>184</v>
      </c>
      <c r="D2116" s="32" t="s">
        <v>254</v>
      </c>
      <c r="E2116" s="32" t="s">
        <v>255</v>
      </c>
    </row>
    <row r="2117" ht="16.5" customHeight="1">
      <c r="A2117" s="32">
        <v>2116.0</v>
      </c>
      <c r="B2117" s="32" t="s">
        <v>2744</v>
      </c>
      <c r="C2117" s="32" t="s">
        <v>184</v>
      </c>
      <c r="D2117" s="32" t="s">
        <v>219</v>
      </c>
      <c r="E2117" s="32" t="s">
        <v>2745</v>
      </c>
    </row>
    <row r="2118" ht="16.5" customHeight="1">
      <c r="A2118" s="32">
        <v>2117.0</v>
      </c>
      <c r="B2118" s="32" t="s">
        <v>2746</v>
      </c>
      <c r="C2118" s="32" t="s">
        <v>184</v>
      </c>
      <c r="D2118" s="32" t="s">
        <v>219</v>
      </c>
      <c r="E2118" s="32" t="s">
        <v>2745</v>
      </c>
    </row>
    <row r="2119" ht="16.5" customHeight="1">
      <c r="A2119" s="32">
        <v>2118.0</v>
      </c>
      <c r="B2119" s="32" t="s">
        <v>2747</v>
      </c>
      <c r="C2119" s="32" t="s">
        <v>184</v>
      </c>
      <c r="D2119" s="32" t="s">
        <v>219</v>
      </c>
      <c r="E2119" s="32" t="s">
        <v>2745</v>
      </c>
    </row>
    <row r="2120" ht="16.5" customHeight="1">
      <c r="A2120" s="32">
        <v>2119.0</v>
      </c>
      <c r="B2120" s="32" t="s">
        <v>2748</v>
      </c>
      <c r="C2120" s="32" t="s">
        <v>184</v>
      </c>
      <c r="D2120" s="32" t="s">
        <v>192</v>
      </c>
      <c r="E2120" s="32" t="s">
        <v>2745</v>
      </c>
      <c r="F2120" s="32" t="s">
        <v>300</v>
      </c>
      <c r="G2120" s="32" t="s">
        <v>1533</v>
      </c>
    </row>
    <row r="2121" ht="16.5" customHeight="1">
      <c r="A2121" s="32">
        <v>2120.0</v>
      </c>
      <c r="B2121" s="32" t="s">
        <v>2749</v>
      </c>
      <c r="C2121" s="32" t="s">
        <v>184</v>
      </c>
      <c r="D2121" s="32" t="s">
        <v>219</v>
      </c>
      <c r="E2121" s="32" t="s">
        <v>2745</v>
      </c>
    </row>
    <row r="2122" ht="16.5" customHeight="1">
      <c r="A2122" s="32">
        <v>2121.0</v>
      </c>
      <c r="B2122" s="32" t="s">
        <v>2750</v>
      </c>
      <c r="C2122" s="32" t="s">
        <v>184</v>
      </c>
      <c r="D2122" s="32" t="s">
        <v>192</v>
      </c>
      <c r="E2122" s="32" t="s">
        <v>2745</v>
      </c>
      <c r="F2122" s="32" t="s">
        <v>329</v>
      </c>
      <c r="G2122" s="32" t="s">
        <v>457</v>
      </c>
    </row>
    <row r="2123" ht="16.5" customHeight="1">
      <c r="A2123" s="32">
        <v>2122.0</v>
      </c>
      <c r="B2123" s="32" t="s">
        <v>2751</v>
      </c>
      <c r="C2123" s="32" t="s">
        <v>184</v>
      </c>
      <c r="D2123" s="32" t="s">
        <v>219</v>
      </c>
      <c r="E2123" s="32" t="s">
        <v>2745</v>
      </c>
      <c r="F2123" s="32" t="s">
        <v>232</v>
      </c>
      <c r="G2123" s="32" t="s">
        <v>233</v>
      </c>
    </row>
    <row r="2124" ht="16.5" customHeight="1">
      <c r="A2124" s="32">
        <v>2123.0</v>
      </c>
      <c r="B2124" s="32" t="s">
        <v>2752</v>
      </c>
      <c r="C2124" s="32" t="s">
        <v>184</v>
      </c>
      <c r="D2124" s="32" t="s">
        <v>219</v>
      </c>
      <c r="E2124" s="32" t="s">
        <v>2745</v>
      </c>
      <c r="F2124" s="32" t="s">
        <v>223</v>
      </c>
    </row>
    <row r="2125" ht="16.5" customHeight="1">
      <c r="A2125" s="32">
        <v>2124.0</v>
      </c>
      <c r="B2125" s="32" t="s">
        <v>2753</v>
      </c>
      <c r="C2125" s="32" t="s">
        <v>184</v>
      </c>
      <c r="D2125" s="32" t="s">
        <v>228</v>
      </c>
      <c r="E2125" s="32" t="s">
        <v>2745</v>
      </c>
      <c r="F2125" s="32" t="s">
        <v>2754</v>
      </c>
      <c r="G2125" s="32" t="s">
        <v>2755</v>
      </c>
    </row>
    <row r="2126" ht="16.5" customHeight="1">
      <c r="A2126" s="32">
        <v>2125.0</v>
      </c>
      <c r="B2126" s="32" t="s">
        <v>2756</v>
      </c>
      <c r="C2126" s="32" t="s">
        <v>184</v>
      </c>
      <c r="D2126" s="32" t="s">
        <v>228</v>
      </c>
      <c r="E2126" s="32" t="s">
        <v>2745</v>
      </c>
      <c r="F2126" s="32" t="s">
        <v>2754</v>
      </c>
      <c r="G2126" s="32" t="s">
        <v>2755</v>
      </c>
    </row>
    <row r="2127" ht="16.5" customHeight="1">
      <c r="A2127" s="32">
        <v>2126.0</v>
      </c>
      <c r="B2127" s="32" t="s">
        <v>2757</v>
      </c>
      <c r="C2127" s="32" t="s">
        <v>184</v>
      </c>
      <c r="D2127" s="32" t="s">
        <v>219</v>
      </c>
      <c r="E2127" s="32" t="s">
        <v>2745</v>
      </c>
      <c r="F2127" s="32" t="s">
        <v>241</v>
      </c>
      <c r="G2127" s="32" t="s">
        <v>292</v>
      </c>
    </row>
    <row r="2128" ht="16.5" customHeight="1">
      <c r="A2128" s="32">
        <v>2127.0</v>
      </c>
      <c r="B2128" s="32" t="s">
        <v>2758</v>
      </c>
      <c r="C2128" s="32" t="s">
        <v>184</v>
      </c>
      <c r="D2128" s="32" t="s">
        <v>219</v>
      </c>
      <c r="E2128" s="32" t="s">
        <v>2745</v>
      </c>
      <c r="F2128" s="32" t="s">
        <v>232</v>
      </c>
      <c r="G2128" s="32" t="s">
        <v>233</v>
      </c>
    </row>
    <row r="2129" ht="16.5" customHeight="1">
      <c r="A2129" s="32">
        <v>2128.0</v>
      </c>
      <c r="B2129" s="32" t="s">
        <v>2759</v>
      </c>
      <c r="C2129" s="32" t="s">
        <v>184</v>
      </c>
      <c r="D2129" s="32" t="s">
        <v>219</v>
      </c>
      <c r="E2129" s="32" t="s">
        <v>2745</v>
      </c>
      <c r="F2129" s="32" t="s">
        <v>232</v>
      </c>
      <c r="G2129" s="32" t="s">
        <v>233</v>
      </c>
    </row>
    <row r="2130" ht="16.5" customHeight="1">
      <c r="A2130" s="32">
        <v>2129.0</v>
      </c>
      <c r="B2130" s="32" t="s">
        <v>2760</v>
      </c>
      <c r="C2130" s="32" t="s">
        <v>184</v>
      </c>
      <c r="D2130" s="32" t="s">
        <v>219</v>
      </c>
      <c r="E2130" s="32" t="s">
        <v>2745</v>
      </c>
      <c r="F2130" s="32" t="s">
        <v>241</v>
      </c>
      <c r="G2130" s="32" t="s">
        <v>292</v>
      </c>
    </row>
    <row r="2131" ht="16.5" customHeight="1">
      <c r="A2131" s="32">
        <v>2130.0</v>
      </c>
      <c r="B2131" s="32" t="s">
        <v>2761</v>
      </c>
      <c r="C2131" s="32" t="s">
        <v>184</v>
      </c>
      <c r="D2131" s="32" t="s">
        <v>219</v>
      </c>
      <c r="E2131" s="32" t="s">
        <v>2745</v>
      </c>
      <c r="F2131" s="32" t="s">
        <v>241</v>
      </c>
      <c r="G2131" s="32" t="s">
        <v>292</v>
      </c>
    </row>
    <row r="2132" ht="16.5" customHeight="1">
      <c r="A2132" s="32">
        <v>2131.0</v>
      </c>
      <c r="B2132" s="32" t="s">
        <v>2762</v>
      </c>
      <c r="C2132" s="32" t="s">
        <v>184</v>
      </c>
      <c r="D2132" s="32" t="s">
        <v>219</v>
      </c>
      <c r="E2132" s="32" t="s">
        <v>2745</v>
      </c>
      <c r="F2132" s="32" t="s">
        <v>223</v>
      </c>
      <c r="G2132" s="32" t="s">
        <v>292</v>
      </c>
    </row>
    <row r="2133" ht="16.5" customHeight="1">
      <c r="A2133" s="32">
        <v>2132.0</v>
      </c>
      <c r="B2133" s="32" t="s">
        <v>2763</v>
      </c>
      <c r="C2133" s="32" t="s">
        <v>184</v>
      </c>
      <c r="D2133" s="32" t="s">
        <v>219</v>
      </c>
      <c r="E2133" s="32" t="s">
        <v>2745</v>
      </c>
    </row>
    <row r="2134" ht="16.5" customHeight="1">
      <c r="A2134" s="32">
        <v>2133.0</v>
      </c>
      <c r="B2134" s="32" t="s">
        <v>2764</v>
      </c>
      <c r="C2134" s="32" t="s">
        <v>184</v>
      </c>
      <c r="D2134" s="32" t="s">
        <v>219</v>
      </c>
      <c r="E2134" s="32" t="s">
        <v>2745</v>
      </c>
      <c r="F2134" s="32" t="s">
        <v>223</v>
      </c>
    </row>
    <row r="2135" ht="16.5" customHeight="1">
      <c r="A2135" s="32">
        <v>2134.0</v>
      </c>
      <c r="B2135" s="32" t="s">
        <v>2765</v>
      </c>
      <c r="C2135" s="32" t="s">
        <v>184</v>
      </c>
      <c r="D2135" s="32" t="s">
        <v>219</v>
      </c>
      <c r="E2135" s="32" t="s">
        <v>2745</v>
      </c>
      <c r="F2135" s="32" t="s">
        <v>223</v>
      </c>
    </row>
    <row r="2136" ht="16.5" customHeight="1">
      <c r="A2136" s="32">
        <v>2135.0</v>
      </c>
      <c r="B2136" s="32" t="s">
        <v>2766</v>
      </c>
      <c r="C2136" s="32" t="s">
        <v>184</v>
      </c>
      <c r="D2136" s="32" t="s">
        <v>219</v>
      </c>
      <c r="E2136" s="32" t="s">
        <v>2745</v>
      </c>
      <c r="F2136" s="32" t="s">
        <v>223</v>
      </c>
      <c r="G2136" s="32" t="s">
        <v>472</v>
      </c>
    </row>
    <row r="2137" ht="16.5" customHeight="1">
      <c r="A2137" s="32">
        <v>2136.0</v>
      </c>
      <c r="B2137" s="32" t="s">
        <v>2767</v>
      </c>
      <c r="C2137" s="32" t="s">
        <v>184</v>
      </c>
      <c r="D2137" s="32" t="s">
        <v>214</v>
      </c>
      <c r="E2137" s="32" t="s">
        <v>2745</v>
      </c>
      <c r="F2137" s="32" t="s">
        <v>216</v>
      </c>
      <c r="G2137" s="32" t="s">
        <v>217</v>
      </c>
    </row>
    <row r="2138" ht="16.5" customHeight="1">
      <c r="A2138" s="32">
        <v>2137.0</v>
      </c>
      <c r="B2138" s="32" t="s">
        <v>2768</v>
      </c>
      <c r="C2138" s="32" t="s">
        <v>184</v>
      </c>
      <c r="D2138" s="32" t="s">
        <v>219</v>
      </c>
      <c r="E2138" s="32" t="s">
        <v>2745</v>
      </c>
      <c r="F2138" s="32" t="s">
        <v>216</v>
      </c>
      <c r="G2138" s="32" t="s">
        <v>217</v>
      </c>
    </row>
    <row r="2139" ht="16.5" customHeight="1">
      <c r="A2139" s="32">
        <v>2138.0</v>
      </c>
      <c r="B2139" s="32" t="s">
        <v>2769</v>
      </c>
      <c r="C2139" s="32" t="s">
        <v>184</v>
      </c>
      <c r="D2139" s="32" t="s">
        <v>214</v>
      </c>
      <c r="E2139" s="32" t="s">
        <v>2745</v>
      </c>
      <c r="F2139" s="32" t="s">
        <v>216</v>
      </c>
      <c r="G2139" s="32" t="s">
        <v>217</v>
      </c>
    </row>
    <row r="2140" ht="16.5" customHeight="1">
      <c r="A2140" s="32">
        <v>2139.0</v>
      </c>
      <c r="B2140" s="32" t="s">
        <v>2770</v>
      </c>
      <c r="C2140" s="32" t="s">
        <v>184</v>
      </c>
      <c r="D2140" s="32" t="s">
        <v>219</v>
      </c>
      <c r="E2140" s="32" t="s">
        <v>2745</v>
      </c>
      <c r="F2140" s="32" t="s">
        <v>241</v>
      </c>
      <c r="G2140" s="32" t="s">
        <v>292</v>
      </c>
    </row>
    <row r="2141" ht="16.5" customHeight="1">
      <c r="A2141" s="32">
        <v>2140.0</v>
      </c>
      <c r="B2141" s="32" t="s">
        <v>2771</v>
      </c>
      <c r="C2141" s="32" t="s">
        <v>184</v>
      </c>
      <c r="D2141" s="32" t="s">
        <v>219</v>
      </c>
      <c r="E2141" s="32" t="s">
        <v>2745</v>
      </c>
      <c r="F2141" s="32" t="s">
        <v>223</v>
      </c>
    </row>
    <row r="2142" ht="16.5" customHeight="1">
      <c r="A2142" s="32">
        <v>2141.0</v>
      </c>
      <c r="B2142" s="32" t="s">
        <v>2772</v>
      </c>
      <c r="C2142" s="32" t="s">
        <v>184</v>
      </c>
      <c r="D2142" s="32" t="s">
        <v>219</v>
      </c>
      <c r="E2142" s="32" t="s">
        <v>2745</v>
      </c>
      <c r="F2142" s="32" t="s">
        <v>217</v>
      </c>
      <c r="G2142" s="32" t="s">
        <v>216</v>
      </c>
    </row>
    <row r="2143" ht="16.5" customHeight="1">
      <c r="A2143" s="32">
        <v>2142.0</v>
      </c>
      <c r="B2143" s="32" t="s">
        <v>2772</v>
      </c>
      <c r="C2143" s="32" t="s">
        <v>184</v>
      </c>
      <c r="D2143" s="32" t="s">
        <v>219</v>
      </c>
      <c r="E2143" s="32" t="s">
        <v>2745</v>
      </c>
      <c r="F2143" s="32" t="s">
        <v>241</v>
      </c>
      <c r="G2143" s="32" t="s">
        <v>292</v>
      </c>
    </row>
    <row r="2144" ht="16.5" customHeight="1">
      <c r="A2144" s="32">
        <v>2143.0</v>
      </c>
      <c r="B2144" s="32" t="s">
        <v>2773</v>
      </c>
      <c r="C2144" s="32" t="s">
        <v>184</v>
      </c>
      <c r="D2144" s="32" t="s">
        <v>219</v>
      </c>
      <c r="E2144" s="32" t="s">
        <v>2745</v>
      </c>
      <c r="F2144" s="32" t="s">
        <v>217</v>
      </c>
      <c r="G2144" s="32" t="s">
        <v>216</v>
      </c>
    </row>
    <row r="2145" ht="16.5" customHeight="1">
      <c r="A2145" s="32">
        <v>2144.0</v>
      </c>
      <c r="B2145" s="32" t="s">
        <v>2774</v>
      </c>
      <c r="C2145" s="32" t="s">
        <v>184</v>
      </c>
      <c r="D2145" s="32" t="s">
        <v>219</v>
      </c>
      <c r="E2145" s="32" t="s">
        <v>2745</v>
      </c>
      <c r="F2145" s="32" t="s">
        <v>241</v>
      </c>
      <c r="G2145" s="32" t="s">
        <v>292</v>
      </c>
    </row>
    <row r="2146" ht="16.5" customHeight="1">
      <c r="A2146" s="32">
        <v>2145.0</v>
      </c>
      <c r="B2146" s="32" t="s">
        <v>2775</v>
      </c>
      <c r="C2146" s="32" t="s">
        <v>184</v>
      </c>
      <c r="D2146" s="32" t="s">
        <v>219</v>
      </c>
      <c r="E2146" s="32" t="s">
        <v>2745</v>
      </c>
      <c r="F2146" s="32" t="s">
        <v>223</v>
      </c>
      <c r="G2146" s="32" t="s">
        <v>472</v>
      </c>
    </row>
    <row r="2147" ht="16.5" customHeight="1">
      <c r="A2147" s="32">
        <v>2146.0</v>
      </c>
      <c r="B2147" s="32" t="s">
        <v>2776</v>
      </c>
      <c r="C2147" s="32" t="s">
        <v>184</v>
      </c>
      <c r="D2147" s="32" t="s">
        <v>219</v>
      </c>
      <c r="E2147" s="32" t="s">
        <v>2745</v>
      </c>
      <c r="F2147" s="32" t="s">
        <v>223</v>
      </c>
      <c r="G2147" s="32" t="s">
        <v>472</v>
      </c>
    </row>
    <row r="2148" ht="16.5" customHeight="1">
      <c r="A2148" s="32">
        <v>2147.0</v>
      </c>
      <c r="B2148" s="32" t="s">
        <v>2777</v>
      </c>
      <c r="C2148" s="32" t="s">
        <v>184</v>
      </c>
      <c r="D2148" s="35" t="s">
        <v>2778</v>
      </c>
      <c r="E2148" s="32" t="s">
        <v>2745</v>
      </c>
      <c r="F2148" s="32" t="s">
        <v>2779</v>
      </c>
      <c r="G2148" s="32" t="s">
        <v>2780</v>
      </c>
    </row>
    <row r="2149" ht="16.5" customHeight="1">
      <c r="A2149" s="32">
        <v>2148.0</v>
      </c>
      <c r="B2149" s="32" t="s">
        <v>2781</v>
      </c>
      <c r="C2149" s="32" t="s">
        <v>184</v>
      </c>
      <c r="D2149" s="35" t="s">
        <v>829</v>
      </c>
      <c r="E2149" s="32" t="s">
        <v>2745</v>
      </c>
      <c r="F2149" s="32" t="s">
        <v>236</v>
      </c>
      <c r="G2149" s="32" t="s">
        <v>292</v>
      </c>
    </row>
    <row r="2150" ht="16.5" customHeight="1">
      <c r="A2150" s="32">
        <v>2149.0</v>
      </c>
      <c r="B2150" s="32" t="s">
        <v>2782</v>
      </c>
      <c r="C2150" s="32" t="s">
        <v>184</v>
      </c>
      <c r="D2150" s="32" t="s">
        <v>228</v>
      </c>
      <c r="E2150" s="32" t="s">
        <v>2745</v>
      </c>
      <c r="F2150" s="32" t="s">
        <v>454</v>
      </c>
      <c r="G2150" s="32" t="s">
        <v>2783</v>
      </c>
    </row>
    <row r="2151" ht="16.5" customHeight="1">
      <c r="A2151" s="32">
        <v>2150.0</v>
      </c>
      <c r="B2151" s="32" t="s">
        <v>2784</v>
      </c>
      <c r="C2151" s="32" t="s">
        <v>184</v>
      </c>
      <c r="D2151" s="32" t="s">
        <v>228</v>
      </c>
      <c r="E2151" s="32" t="s">
        <v>2745</v>
      </c>
      <c r="F2151" s="32" t="s">
        <v>229</v>
      </c>
      <c r="G2151" s="32" t="s">
        <v>244</v>
      </c>
    </row>
    <row r="2152" ht="16.5" customHeight="1">
      <c r="A2152" s="32">
        <v>2151.0</v>
      </c>
      <c r="B2152" s="32" t="s">
        <v>2785</v>
      </c>
      <c r="C2152" s="32" t="s">
        <v>184</v>
      </c>
      <c r="D2152" s="32" t="s">
        <v>254</v>
      </c>
      <c r="E2152" s="32" t="s">
        <v>2745</v>
      </c>
      <c r="F2152" s="32" t="s">
        <v>305</v>
      </c>
    </row>
    <row r="2153" ht="16.5" customHeight="1">
      <c r="A2153" s="32">
        <v>2152.0</v>
      </c>
      <c r="B2153" s="32" t="s">
        <v>2786</v>
      </c>
      <c r="C2153" s="32" t="s">
        <v>184</v>
      </c>
      <c r="D2153" s="32" t="s">
        <v>254</v>
      </c>
      <c r="E2153" s="32" t="s">
        <v>2745</v>
      </c>
      <c r="F2153" s="32" t="s">
        <v>2640</v>
      </c>
    </row>
    <row r="2154" ht="16.5" customHeight="1">
      <c r="A2154" s="32">
        <v>2153.0</v>
      </c>
      <c r="B2154" s="32" t="s">
        <v>2787</v>
      </c>
      <c r="C2154" s="32" t="s">
        <v>184</v>
      </c>
      <c r="D2154" s="32" t="s">
        <v>254</v>
      </c>
      <c r="E2154" s="32" t="s">
        <v>2745</v>
      </c>
      <c r="F2154" s="32" t="s">
        <v>305</v>
      </c>
    </row>
    <row r="2155" ht="16.5" customHeight="1">
      <c r="A2155" s="32">
        <v>2154.0</v>
      </c>
      <c r="B2155" s="32" t="s">
        <v>2788</v>
      </c>
      <c r="C2155" s="32" t="s">
        <v>184</v>
      </c>
      <c r="D2155" s="32" t="s">
        <v>254</v>
      </c>
      <c r="E2155" s="32" t="s">
        <v>2745</v>
      </c>
      <c r="F2155" s="32" t="s">
        <v>263</v>
      </c>
    </row>
    <row r="2156" ht="16.5" customHeight="1">
      <c r="A2156" s="32">
        <v>2155.0</v>
      </c>
      <c r="B2156" s="32" t="s">
        <v>2789</v>
      </c>
      <c r="C2156" s="32" t="s">
        <v>184</v>
      </c>
      <c r="D2156" s="32" t="s">
        <v>228</v>
      </c>
      <c r="E2156" s="32" t="s">
        <v>2745</v>
      </c>
      <c r="F2156" s="32" t="s">
        <v>229</v>
      </c>
      <c r="G2156" s="32" t="s">
        <v>2790</v>
      </c>
    </row>
    <row r="2157" ht="16.5" customHeight="1">
      <c r="A2157" s="32">
        <v>2156.0</v>
      </c>
      <c r="B2157" s="32" t="s">
        <v>2791</v>
      </c>
      <c r="C2157" s="32" t="s">
        <v>184</v>
      </c>
      <c r="D2157" s="32" t="s">
        <v>254</v>
      </c>
      <c r="E2157" s="32" t="s">
        <v>2745</v>
      </c>
      <c r="F2157" s="32" t="s">
        <v>2792</v>
      </c>
    </row>
    <row r="2158" ht="16.5" customHeight="1">
      <c r="A2158" s="32">
        <v>2157.0</v>
      </c>
      <c r="B2158" s="32" t="s">
        <v>2793</v>
      </c>
      <c r="C2158" s="32" t="s">
        <v>184</v>
      </c>
      <c r="D2158" s="32" t="s">
        <v>228</v>
      </c>
      <c r="E2158" s="32" t="s">
        <v>2745</v>
      </c>
      <c r="F2158" s="32" t="s">
        <v>229</v>
      </c>
      <c r="G2158" s="32" t="s">
        <v>626</v>
      </c>
    </row>
    <row r="2159" ht="16.5" customHeight="1">
      <c r="A2159" s="32">
        <v>2158.0</v>
      </c>
      <c r="B2159" s="32" t="s">
        <v>2794</v>
      </c>
      <c r="C2159" s="32" t="s">
        <v>184</v>
      </c>
      <c r="D2159" s="32" t="s">
        <v>254</v>
      </c>
      <c r="E2159" s="32" t="s">
        <v>2745</v>
      </c>
      <c r="F2159" s="32" t="s">
        <v>741</v>
      </c>
    </row>
    <row r="2160" ht="16.5" customHeight="1">
      <c r="A2160" s="32">
        <v>2159.0</v>
      </c>
      <c r="B2160" s="32" t="s">
        <v>2795</v>
      </c>
      <c r="C2160" s="32" t="s">
        <v>184</v>
      </c>
      <c r="D2160" s="32" t="s">
        <v>219</v>
      </c>
      <c r="E2160" s="32" t="s">
        <v>2745</v>
      </c>
      <c r="F2160" s="32" t="s">
        <v>223</v>
      </c>
    </row>
    <row r="2161" ht="16.5" customHeight="1">
      <c r="A2161" s="32">
        <v>2160.0</v>
      </c>
      <c r="B2161" s="32" t="s">
        <v>2796</v>
      </c>
      <c r="C2161" s="32" t="s">
        <v>184</v>
      </c>
      <c r="D2161" s="32" t="s">
        <v>219</v>
      </c>
      <c r="E2161" s="32" t="s">
        <v>2745</v>
      </c>
      <c r="F2161" s="32" t="s">
        <v>241</v>
      </c>
      <c r="G2161" s="32" t="s">
        <v>292</v>
      </c>
    </row>
    <row r="2162" ht="16.5" customHeight="1">
      <c r="A2162" s="32">
        <v>2161.0</v>
      </c>
      <c r="B2162" s="32" t="s">
        <v>2797</v>
      </c>
      <c r="C2162" s="32" t="s">
        <v>184</v>
      </c>
      <c r="D2162" s="32" t="s">
        <v>219</v>
      </c>
      <c r="E2162" s="32" t="s">
        <v>2745</v>
      </c>
      <c r="F2162" s="32" t="s">
        <v>241</v>
      </c>
      <c r="G2162" s="32" t="s">
        <v>292</v>
      </c>
    </row>
    <row r="2163" ht="16.5" customHeight="1">
      <c r="A2163" s="32">
        <v>2162.0</v>
      </c>
      <c r="B2163" s="32" t="s">
        <v>2798</v>
      </c>
      <c r="C2163" s="32" t="s">
        <v>184</v>
      </c>
      <c r="D2163" s="32" t="s">
        <v>214</v>
      </c>
      <c r="E2163" s="32" t="s">
        <v>186</v>
      </c>
    </row>
    <row r="2164" ht="16.5" customHeight="1">
      <c r="A2164" s="32">
        <v>2163.0</v>
      </c>
      <c r="B2164" s="32" t="s">
        <v>2799</v>
      </c>
      <c r="C2164" s="32" t="s">
        <v>184</v>
      </c>
      <c r="D2164" s="32" t="s">
        <v>234</v>
      </c>
      <c r="E2164" s="32" t="s">
        <v>255</v>
      </c>
      <c r="F2164" s="32" t="s">
        <v>235</v>
      </c>
      <c r="G2164" s="32" t="s">
        <v>2800</v>
      </c>
    </row>
    <row r="2165" ht="16.5" customHeight="1">
      <c r="A2165" s="32">
        <v>2164.0</v>
      </c>
      <c r="B2165" s="32" t="s">
        <v>2801</v>
      </c>
      <c r="C2165" s="32" t="s">
        <v>184</v>
      </c>
      <c r="D2165" s="32" t="s">
        <v>254</v>
      </c>
      <c r="E2165" s="32" t="s">
        <v>255</v>
      </c>
      <c r="F2165" s="32" t="s">
        <v>256</v>
      </c>
      <c r="G2165" s="32" t="s">
        <v>2802</v>
      </c>
    </row>
    <row r="2166" ht="16.5" customHeight="1">
      <c r="A2166" s="32">
        <v>2165.0</v>
      </c>
      <c r="B2166" s="32" t="s">
        <v>2803</v>
      </c>
      <c r="C2166" s="32" t="s">
        <v>184</v>
      </c>
      <c r="D2166" s="32" t="s">
        <v>254</v>
      </c>
      <c r="E2166" s="32" t="s">
        <v>255</v>
      </c>
      <c r="F2166" s="32" t="s">
        <v>256</v>
      </c>
      <c r="G2166" s="32" t="s">
        <v>2802</v>
      </c>
    </row>
    <row r="2167" ht="16.5" customHeight="1">
      <c r="A2167" s="32">
        <v>2166.0</v>
      </c>
      <c r="B2167" s="32" t="s">
        <v>2804</v>
      </c>
      <c r="C2167" s="32" t="s">
        <v>184</v>
      </c>
      <c r="D2167" s="32" t="s">
        <v>254</v>
      </c>
      <c r="E2167" s="32" t="s">
        <v>255</v>
      </c>
      <c r="F2167" s="32" t="s">
        <v>305</v>
      </c>
      <c r="G2167" s="32" t="s">
        <v>319</v>
      </c>
    </row>
    <row r="2168" ht="16.5" customHeight="1">
      <c r="A2168" s="32">
        <v>2167.0</v>
      </c>
      <c r="B2168" s="32" t="s">
        <v>2805</v>
      </c>
      <c r="C2168" s="32" t="s">
        <v>184</v>
      </c>
      <c r="D2168" s="32" t="s">
        <v>254</v>
      </c>
      <c r="E2168" s="32" t="s">
        <v>255</v>
      </c>
      <c r="F2168" s="32" t="s">
        <v>256</v>
      </c>
      <c r="G2168" s="32" t="s">
        <v>257</v>
      </c>
    </row>
    <row r="2169" ht="16.5" customHeight="1">
      <c r="A2169" s="32">
        <v>2168.0</v>
      </c>
      <c r="B2169" s="32" t="s">
        <v>2806</v>
      </c>
      <c r="C2169" s="32" t="s">
        <v>184</v>
      </c>
      <c r="D2169" s="32" t="s">
        <v>234</v>
      </c>
      <c r="E2169" s="32" t="s">
        <v>186</v>
      </c>
      <c r="F2169" s="32" t="s">
        <v>347</v>
      </c>
      <c r="G2169" s="32" t="s">
        <v>420</v>
      </c>
    </row>
    <row r="2170" ht="16.5" customHeight="1">
      <c r="A2170" s="32">
        <v>2169.0</v>
      </c>
      <c r="B2170" s="32" t="s">
        <v>2807</v>
      </c>
      <c r="C2170" s="32" t="s">
        <v>184</v>
      </c>
      <c r="D2170" s="32" t="s">
        <v>234</v>
      </c>
      <c r="E2170" s="32" t="s">
        <v>255</v>
      </c>
      <c r="F2170" s="32" t="s">
        <v>235</v>
      </c>
      <c r="G2170" s="32" t="s">
        <v>236</v>
      </c>
    </row>
    <row r="2171" ht="16.5" customHeight="1">
      <c r="A2171" s="32">
        <v>2170.0</v>
      </c>
      <c r="B2171" s="32" t="s">
        <v>2808</v>
      </c>
      <c r="C2171" s="32" t="s">
        <v>184</v>
      </c>
      <c r="D2171" s="32" t="s">
        <v>185</v>
      </c>
      <c r="E2171" s="32" t="s">
        <v>255</v>
      </c>
      <c r="F2171" s="32" t="s">
        <v>275</v>
      </c>
    </row>
    <row r="2172" ht="16.5" customHeight="1">
      <c r="A2172" s="32">
        <v>2171.0</v>
      </c>
      <c r="B2172" s="32" t="s">
        <v>2809</v>
      </c>
      <c r="C2172" s="32" t="s">
        <v>184</v>
      </c>
      <c r="D2172" s="32" t="s">
        <v>254</v>
      </c>
      <c r="E2172" s="32" t="s">
        <v>255</v>
      </c>
      <c r="F2172" s="32" t="s">
        <v>257</v>
      </c>
      <c r="G2172" s="32" t="s">
        <v>256</v>
      </c>
    </row>
    <row r="2173" ht="16.5" customHeight="1">
      <c r="A2173" s="32">
        <v>2172.0</v>
      </c>
      <c r="B2173" s="32" t="s">
        <v>2810</v>
      </c>
      <c r="C2173" s="32" t="s">
        <v>184</v>
      </c>
      <c r="D2173" s="32" t="s">
        <v>185</v>
      </c>
      <c r="E2173" s="32" t="s">
        <v>255</v>
      </c>
      <c r="F2173" s="32" t="s">
        <v>187</v>
      </c>
      <c r="G2173" s="32" t="s">
        <v>188</v>
      </c>
    </row>
    <row r="2174" ht="16.5" customHeight="1">
      <c r="A2174" s="32">
        <v>2173.0</v>
      </c>
      <c r="B2174" s="32" t="s">
        <v>2811</v>
      </c>
      <c r="C2174" s="32" t="s">
        <v>184</v>
      </c>
      <c r="D2174" s="32" t="s">
        <v>185</v>
      </c>
      <c r="E2174" s="32" t="s">
        <v>255</v>
      </c>
    </row>
    <row r="2175" ht="16.5" customHeight="1">
      <c r="A2175" s="32">
        <v>2174.0</v>
      </c>
      <c r="B2175" s="32" t="s">
        <v>2812</v>
      </c>
      <c r="C2175" s="32" t="s">
        <v>184</v>
      </c>
      <c r="D2175" s="32" t="s">
        <v>185</v>
      </c>
      <c r="E2175" s="32" t="s">
        <v>255</v>
      </c>
      <c r="F2175" s="32" t="s">
        <v>187</v>
      </c>
      <c r="G2175" s="32" t="s">
        <v>188</v>
      </c>
    </row>
    <row r="2176" ht="16.5" customHeight="1">
      <c r="A2176" s="32">
        <v>2175.0</v>
      </c>
      <c r="B2176" s="32" t="s">
        <v>2813</v>
      </c>
      <c r="C2176" s="32" t="s">
        <v>184</v>
      </c>
      <c r="D2176" s="32" t="s">
        <v>185</v>
      </c>
      <c r="E2176" s="32" t="s">
        <v>255</v>
      </c>
      <c r="F2176" s="32" t="s">
        <v>271</v>
      </c>
      <c r="G2176" s="32" t="s">
        <v>566</v>
      </c>
    </row>
    <row r="2177" ht="16.5" customHeight="1">
      <c r="A2177" s="32">
        <v>2176.0</v>
      </c>
      <c r="B2177" s="32" t="s">
        <v>2814</v>
      </c>
      <c r="C2177" s="32" t="s">
        <v>184</v>
      </c>
      <c r="D2177" s="32" t="s">
        <v>185</v>
      </c>
      <c r="E2177" s="32" t="s">
        <v>255</v>
      </c>
      <c r="F2177" s="32" t="s">
        <v>305</v>
      </c>
      <c r="G2177" s="32" t="s">
        <v>1306</v>
      </c>
    </row>
    <row r="2178" ht="16.5" customHeight="1">
      <c r="A2178" s="32">
        <v>2177.0</v>
      </c>
      <c r="B2178" s="32" t="s">
        <v>2815</v>
      </c>
      <c r="C2178" s="32" t="s">
        <v>184</v>
      </c>
      <c r="D2178" s="32" t="s">
        <v>234</v>
      </c>
      <c r="E2178" s="32" t="s">
        <v>255</v>
      </c>
    </row>
    <row r="2179" ht="16.5" customHeight="1">
      <c r="A2179" s="32">
        <v>2178.0</v>
      </c>
      <c r="B2179" s="32" t="s">
        <v>2816</v>
      </c>
      <c r="C2179" s="32" t="s">
        <v>184</v>
      </c>
      <c r="D2179" s="32" t="s">
        <v>192</v>
      </c>
      <c r="E2179" s="32" t="s">
        <v>255</v>
      </c>
    </row>
    <row r="2180" ht="16.5" customHeight="1">
      <c r="A2180" s="32">
        <v>2179.0</v>
      </c>
      <c r="B2180" s="32" t="s">
        <v>2817</v>
      </c>
      <c r="C2180" s="32" t="s">
        <v>184</v>
      </c>
      <c r="D2180" s="32" t="s">
        <v>285</v>
      </c>
      <c r="E2180" s="32" t="s">
        <v>255</v>
      </c>
    </row>
    <row r="2181" ht="16.5" customHeight="1">
      <c r="A2181" s="32">
        <v>2180.0</v>
      </c>
      <c r="B2181" s="32" t="s">
        <v>2818</v>
      </c>
      <c r="C2181" s="32" t="s">
        <v>184</v>
      </c>
      <c r="D2181" s="32" t="s">
        <v>285</v>
      </c>
      <c r="E2181" s="32" t="s">
        <v>255</v>
      </c>
      <c r="F2181" s="32" t="s">
        <v>189</v>
      </c>
      <c r="G2181" s="32" t="s">
        <v>190</v>
      </c>
    </row>
    <row r="2182" ht="16.5" customHeight="1">
      <c r="A2182" s="32">
        <v>2181.0</v>
      </c>
      <c r="B2182" s="32" t="s">
        <v>2819</v>
      </c>
      <c r="C2182" s="32" t="s">
        <v>184</v>
      </c>
      <c r="D2182" s="35" t="s">
        <v>294</v>
      </c>
      <c r="E2182" s="32" t="s">
        <v>255</v>
      </c>
      <c r="F2182" s="32" t="s">
        <v>189</v>
      </c>
      <c r="G2182" s="32" t="s">
        <v>190</v>
      </c>
    </row>
    <row r="2183" ht="16.5" customHeight="1">
      <c r="A2183" s="32">
        <v>2182.0</v>
      </c>
      <c r="B2183" s="32" t="s">
        <v>2820</v>
      </c>
      <c r="C2183" s="32" t="s">
        <v>184</v>
      </c>
      <c r="D2183" s="32" t="s">
        <v>185</v>
      </c>
      <c r="E2183" s="32" t="s">
        <v>255</v>
      </c>
    </row>
    <row r="2184" ht="16.5" customHeight="1">
      <c r="A2184" s="32">
        <v>2183.0</v>
      </c>
      <c r="B2184" s="32" t="s">
        <v>2821</v>
      </c>
      <c r="C2184" s="32" t="s">
        <v>184</v>
      </c>
      <c r="D2184" s="35" t="s">
        <v>294</v>
      </c>
      <c r="E2184" s="32" t="s">
        <v>255</v>
      </c>
      <c r="F2184" s="32" t="s">
        <v>295</v>
      </c>
      <c r="G2184" s="32" t="s">
        <v>296</v>
      </c>
    </row>
    <row r="2185" ht="16.5" customHeight="1">
      <c r="A2185" s="32">
        <v>2184.0</v>
      </c>
      <c r="B2185" s="32" t="s">
        <v>2822</v>
      </c>
      <c r="C2185" s="32" t="s">
        <v>184</v>
      </c>
      <c r="D2185" s="32" t="s">
        <v>285</v>
      </c>
      <c r="E2185" s="32" t="s">
        <v>186</v>
      </c>
      <c r="F2185" s="32" t="s">
        <v>189</v>
      </c>
      <c r="G2185" s="32" t="s">
        <v>190</v>
      </c>
    </row>
    <row r="2186" ht="16.5" customHeight="1">
      <c r="A2186" s="32">
        <v>2185.0</v>
      </c>
      <c r="B2186" s="32" t="s">
        <v>2823</v>
      </c>
      <c r="C2186" s="32" t="s">
        <v>184</v>
      </c>
      <c r="D2186" s="32" t="s">
        <v>254</v>
      </c>
      <c r="E2186" s="32" t="s">
        <v>255</v>
      </c>
      <c r="F2186" s="32" t="s">
        <v>256</v>
      </c>
      <c r="G2186" s="32" t="s">
        <v>2824</v>
      </c>
    </row>
    <row r="2187" ht="16.5" customHeight="1">
      <c r="A2187" s="32">
        <v>2186.0</v>
      </c>
      <c r="B2187" s="32" t="s">
        <v>2825</v>
      </c>
      <c r="C2187" s="32" t="s">
        <v>184</v>
      </c>
      <c r="D2187" s="32" t="s">
        <v>254</v>
      </c>
      <c r="E2187" s="32" t="s">
        <v>255</v>
      </c>
      <c r="F2187" s="32" t="s">
        <v>305</v>
      </c>
      <c r="G2187" s="32" t="s">
        <v>311</v>
      </c>
    </row>
    <row r="2188" ht="16.5" customHeight="1">
      <c r="A2188" s="32">
        <v>2187.0</v>
      </c>
      <c r="B2188" s="32" t="s">
        <v>2826</v>
      </c>
      <c r="C2188" s="32" t="s">
        <v>184</v>
      </c>
      <c r="D2188" s="32" t="s">
        <v>185</v>
      </c>
      <c r="E2188" s="32" t="s">
        <v>255</v>
      </c>
      <c r="F2188" s="32" t="s">
        <v>1240</v>
      </c>
      <c r="G2188" s="32" t="s">
        <v>1241</v>
      </c>
    </row>
    <row r="2189" ht="16.5" customHeight="1">
      <c r="A2189" s="32">
        <v>2188.0</v>
      </c>
      <c r="B2189" s="32" t="s">
        <v>2827</v>
      </c>
      <c r="C2189" s="32" t="s">
        <v>184</v>
      </c>
      <c r="D2189" s="32" t="s">
        <v>185</v>
      </c>
      <c r="E2189" s="32" t="s">
        <v>255</v>
      </c>
      <c r="F2189" s="32" t="s">
        <v>1201</v>
      </c>
      <c r="G2189" s="32" t="s">
        <v>188</v>
      </c>
    </row>
    <row r="2190" ht="16.5" customHeight="1">
      <c r="A2190" s="32">
        <v>2189.0</v>
      </c>
      <c r="B2190" s="32" t="s">
        <v>2828</v>
      </c>
      <c r="C2190" s="32" t="s">
        <v>184</v>
      </c>
      <c r="D2190" s="32" t="s">
        <v>185</v>
      </c>
      <c r="E2190" s="32" t="s">
        <v>255</v>
      </c>
    </row>
    <row r="2191" ht="16.5" customHeight="1">
      <c r="A2191" s="32">
        <v>2190.0</v>
      </c>
      <c r="B2191" s="32" t="s">
        <v>2829</v>
      </c>
      <c r="C2191" s="32" t="s">
        <v>184</v>
      </c>
      <c r="D2191" s="32" t="s">
        <v>254</v>
      </c>
      <c r="E2191" s="32" t="s">
        <v>255</v>
      </c>
      <c r="F2191" s="32" t="s">
        <v>2830</v>
      </c>
      <c r="G2191" s="32" t="s">
        <v>2831</v>
      </c>
    </row>
    <row r="2192" ht="16.5" customHeight="1">
      <c r="A2192" s="32">
        <v>2191.0</v>
      </c>
      <c r="B2192" s="32" t="s">
        <v>2832</v>
      </c>
      <c r="C2192" s="32" t="s">
        <v>184</v>
      </c>
      <c r="D2192" s="32" t="s">
        <v>254</v>
      </c>
      <c r="E2192" s="32" t="s">
        <v>255</v>
      </c>
      <c r="F2192" s="32" t="s">
        <v>2833</v>
      </c>
      <c r="G2192" s="32" t="s">
        <v>2834</v>
      </c>
    </row>
    <row r="2193" ht="16.5" customHeight="1">
      <c r="A2193" s="32">
        <v>2192.0</v>
      </c>
      <c r="B2193" s="32" t="s">
        <v>2835</v>
      </c>
      <c r="C2193" s="32" t="s">
        <v>184</v>
      </c>
      <c r="D2193" s="32" t="s">
        <v>185</v>
      </c>
      <c r="E2193" s="32" t="s">
        <v>255</v>
      </c>
    </row>
    <row r="2194" ht="16.5" customHeight="1">
      <c r="A2194" s="32">
        <v>2193.0</v>
      </c>
      <c r="B2194" s="32" t="s">
        <v>2836</v>
      </c>
      <c r="C2194" s="32" t="s">
        <v>184</v>
      </c>
      <c r="D2194" s="32" t="s">
        <v>254</v>
      </c>
      <c r="E2194" s="32" t="s">
        <v>255</v>
      </c>
      <c r="F2194" s="32" t="s">
        <v>256</v>
      </c>
      <c r="G2194" s="32" t="s">
        <v>2837</v>
      </c>
    </row>
    <row r="2195" ht="16.5" customHeight="1">
      <c r="A2195" s="32">
        <v>2194.0</v>
      </c>
      <c r="B2195" s="32" t="s">
        <v>2838</v>
      </c>
      <c r="C2195" s="32" t="s">
        <v>184</v>
      </c>
      <c r="D2195" s="35" t="s">
        <v>361</v>
      </c>
      <c r="E2195" s="32" t="s">
        <v>255</v>
      </c>
    </row>
    <row r="2196" ht="16.5" customHeight="1">
      <c r="A2196" s="32">
        <v>2195.0</v>
      </c>
      <c r="B2196" s="32" t="s">
        <v>2839</v>
      </c>
      <c r="C2196" s="32" t="s">
        <v>184</v>
      </c>
      <c r="D2196" s="32" t="s">
        <v>254</v>
      </c>
      <c r="E2196" s="32" t="s">
        <v>255</v>
      </c>
      <c r="F2196" s="32" t="s">
        <v>256</v>
      </c>
      <c r="G2196" s="32" t="s">
        <v>2840</v>
      </c>
    </row>
    <row r="2197" ht="16.5" customHeight="1">
      <c r="A2197" s="32">
        <v>2196.0</v>
      </c>
      <c r="B2197" s="32" t="s">
        <v>2839</v>
      </c>
      <c r="C2197" s="32" t="s">
        <v>184</v>
      </c>
      <c r="D2197" s="32" t="s">
        <v>254</v>
      </c>
      <c r="E2197" s="32" t="s">
        <v>255</v>
      </c>
      <c r="F2197" s="32" t="s">
        <v>256</v>
      </c>
      <c r="G2197" s="32" t="s">
        <v>1314</v>
      </c>
    </row>
    <row r="2198" ht="16.5" customHeight="1">
      <c r="A2198" s="32">
        <v>2197.0</v>
      </c>
      <c r="B2198" s="32" t="s">
        <v>2841</v>
      </c>
      <c r="C2198" s="32" t="s">
        <v>184</v>
      </c>
      <c r="D2198" s="32" t="s">
        <v>254</v>
      </c>
      <c r="E2198" s="32" t="s">
        <v>255</v>
      </c>
    </row>
    <row r="2199" ht="16.5" customHeight="1">
      <c r="A2199" s="32">
        <v>2198.0</v>
      </c>
      <c r="B2199" s="32" t="s">
        <v>2842</v>
      </c>
      <c r="C2199" s="32" t="s">
        <v>184</v>
      </c>
      <c r="D2199" s="32" t="s">
        <v>254</v>
      </c>
      <c r="E2199" s="32" t="s">
        <v>255</v>
      </c>
    </row>
    <row r="2200" ht="16.5" customHeight="1">
      <c r="A2200" s="32">
        <v>2199.0</v>
      </c>
      <c r="B2200" s="32" t="s">
        <v>2843</v>
      </c>
      <c r="C2200" s="32" t="s">
        <v>184</v>
      </c>
      <c r="D2200" s="32" t="s">
        <v>185</v>
      </c>
      <c r="E2200" s="32" t="s">
        <v>255</v>
      </c>
    </row>
    <row r="2201" ht="16.5" customHeight="1">
      <c r="A2201" s="32">
        <v>2200.0</v>
      </c>
      <c r="B2201" s="32" t="s">
        <v>2844</v>
      </c>
      <c r="C2201" s="32" t="s">
        <v>184</v>
      </c>
      <c r="D2201" s="32" t="s">
        <v>254</v>
      </c>
      <c r="E2201" s="32" t="s">
        <v>255</v>
      </c>
      <c r="F2201" s="32" t="s">
        <v>2845</v>
      </c>
      <c r="G2201" s="32" t="s">
        <v>2846</v>
      </c>
    </row>
    <row r="2202" ht="16.5" customHeight="1">
      <c r="A2202" s="32">
        <v>2201.0</v>
      </c>
      <c r="B2202" s="32" t="s">
        <v>2847</v>
      </c>
      <c r="C2202" s="32" t="s">
        <v>184</v>
      </c>
      <c r="D2202" s="32" t="s">
        <v>254</v>
      </c>
      <c r="E2202" s="32" t="s">
        <v>255</v>
      </c>
      <c r="F2202" s="32" t="s">
        <v>2848</v>
      </c>
      <c r="G2202" s="32" t="s">
        <v>2849</v>
      </c>
    </row>
    <row r="2203" ht="16.5" customHeight="1">
      <c r="A2203" s="32">
        <v>2202.0</v>
      </c>
      <c r="B2203" s="32" t="s">
        <v>2850</v>
      </c>
      <c r="C2203" s="32" t="s">
        <v>184</v>
      </c>
      <c r="D2203" s="32" t="s">
        <v>254</v>
      </c>
      <c r="E2203" s="32" t="s">
        <v>255</v>
      </c>
    </row>
    <row r="2204" ht="16.5" customHeight="1">
      <c r="A2204" s="32">
        <v>2203.0</v>
      </c>
      <c r="B2204" s="32" t="s">
        <v>2851</v>
      </c>
      <c r="C2204" s="32" t="s">
        <v>184</v>
      </c>
      <c r="D2204" s="32" t="s">
        <v>254</v>
      </c>
      <c r="E2204" s="32" t="s">
        <v>255</v>
      </c>
    </row>
    <row r="2205" ht="16.5" customHeight="1">
      <c r="A2205" s="32">
        <v>2204.0</v>
      </c>
      <c r="B2205" s="32" t="s">
        <v>2852</v>
      </c>
      <c r="C2205" s="32" t="s">
        <v>184</v>
      </c>
      <c r="D2205" s="32" t="s">
        <v>254</v>
      </c>
      <c r="E2205" s="32" t="s">
        <v>255</v>
      </c>
    </row>
    <row r="2206" ht="16.5" customHeight="1">
      <c r="A2206" s="32">
        <v>2205.0</v>
      </c>
      <c r="B2206" s="32" t="s">
        <v>2853</v>
      </c>
      <c r="C2206" s="32" t="s">
        <v>184</v>
      </c>
      <c r="D2206" s="32" t="s">
        <v>254</v>
      </c>
      <c r="E2206" s="32" t="s">
        <v>255</v>
      </c>
      <c r="F2206" s="32" t="s">
        <v>2848</v>
      </c>
      <c r="G2206" s="32" t="s">
        <v>2854</v>
      </c>
    </row>
    <row r="2207" ht="16.5" customHeight="1">
      <c r="A2207" s="32">
        <v>2206.0</v>
      </c>
      <c r="B2207" s="32" t="s">
        <v>2855</v>
      </c>
      <c r="C2207" s="32" t="s">
        <v>184</v>
      </c>
      <c r="D2207" s="35" t="s">
        <v>310</v>
      </c>
      <c r="E2207" s="32" t="s">
        <v>255</v>
      </c>
      <c r="F2207" s="32" t="s">
        <v>2848</v>
      </c>
      <c r="G2207" s="32" t="s">
        <v>2856</v>
      </c>
    </row>
    <row r="2208" ht="16.5" customHeight="1">
      <c r="A2208" s="32">
        <v>2207.0</v>
      </c>
      <c r="B2208" s="32" t="s">
        <v>2857</v>
      </c>
      <c r="C2208" s="32" t="s">
        <v>184</v>
      </c>
      <c r="D2208" s="32" t="s">
        <v>254</v>
      </c>
      <c r="E2208" s="32" t="s">
        <v>255</v>
      </c>
      <c r="F2208" s="32" t="s">
        <v>260</v>
      </c>
      <c r="G2208" s="32" t="s">
        <v>2858</v>
      </c>
    </row>
    <row r="2209" ht="16.5" customHeight="1">
      <c r="A2209" s="32">
        <v>2208.0</v>
      </c>
      <c r="B2209" s="32" t="s">
        <v>2859</v>
      </c>
      <c r="C2209" s="32" t="s">
        <v>184</v>
      </c>
      <c r="D2209" s="32" t="s">
        <v>254</v>
      </c>
      <c r="E2209" s="32" t="s">
        <v>255</v>
      </c>
    </row>
    <row r="2210" ht="16.5" customHeight="1">
      <c r="A2210" s="32">
        <v>2209.0</v>
      </c>
      <c r="B2210" s="32" t="s">
        <v>2860</v>
      </c>
      <c r="C2210" s="32" t="s">
        <v>184</v>
      </c>
      <c r="D2210" s="35" t="s">
        <v>2861</v>
      </c>
      <c r="E2210" s="32" t="s">
        <v>255</v>
      </c>
      <c r="F2210" s="32" t="s">
        <v>2862</v>
      </c>
      <c r="G2210" s="32" t="s">
        <v>2863</v>
      </c>
    </row>
    <row r="2211" ht="16.5" customHeight="1">
      <c r="A2211" s="32">
        <v>2210.0</v>
      </c>
      <c r="B2211" s="32" t="s">
        <v>2864</v>
      </c>
      <c r="C2211" s="32" t="s">
        <v>184</v>
      </c>
      <c r="D2211" s="35" t="s">
        <v>294</v>
      </c>
      <c r="E2211" s="32" t="s">
        <v>255</v>
      </c>
      <c r="F2211" s="32" t="s">
        <v>189</v>
      </c>
      <c r="G2211" s="32" t="s">
        <v>190</v>
      </c>
    </row>
    <row r="2212" ht="16.5" customHeight="1">
      <c r="A2212" s="32">
        <v>2211.0</v>
      </c>
      <c r="B2212" s="32" t="s">
        <v>2865</v>
      </c>
      <c r="C2212" s="32" t="s">
        <v>184</v>
      </c>
      <c r="D2212" s="32" t="s">
        <v>192</v>
      </c>
      <c r="E2212" s="32" t="s">
        <v>255</v>
      </c>
      <c r="F2212" s="32" t="s">
        <v>300</v>
      </c>
      <c r="G2212" s="32" t="s">
        <v>1357</v>
      </c>
    </row>
    <row r="2213" ht="16.5" customHeight="1">
      <c r="A2213" s="32">
        <v>2212.0</v>
      </c>
      <c r="B2213" s="32" t="s">
        <v>2866</v>
      </c>
      <c r="C2213" s="32" t="s">
        <v>184</v>
      </c>
      <c r="D2213" s="35" t="s">
        <v>310</v>
      </c>
      <c r="E2213" s="32" t="s">
        <v>255</v>
      </c>
      <c r="F2213" s="32" t="s">
        <v>2848</v>
      </c>
      <c r="G2213" s="32" t="s">
        <v>1204</v>
      </c>
    </row>
    <row r="2214" ht="16.5" customHeight="1">
      <c r="A2214" s="32">
        <v>2213.0</v>
      </c>
      <c r="B2214" s="32" t="s">
        <v>2867</v>
      </c>
      <c r="C2214" s="32" t="s">
        <v>184</v>
      </c>
      <c r="D2214" s="32" t="s">
        <v>185</v>
      </c>
      <c r="E2214" s="32" t="s">
        <v>255</v>
      </c>
      <c r="F2214" s="32" t="s">
        <v>2868</v>
      </c>
      <c r="G2214" s="32" t="s">
        <v>1204</v>
      </c>
    </row>
    <row r="2215" ht="16.5" customHeight="1">
      <c r="A2215" s="32">
        <v>2214.0</v>
      </c>
      <c r="B2215" s="32" t="s">
        <v>2869</v>
      </c>
      <c r="C2215" s="32" t="s">
        <v>184</v>
      </c>
      <c r="D2215" s="32" t="s">
        <v>185</v>
      </c>
      <c r="E2215" s="32" t="s">
        <v>255</v>
      </c>
      <c r="F2215" s="32" t="s">
        <v>187</v>
      </c>
    </row>
    <row r="2216" ht="16.5" customHeight="1">
      <c r="A2216" s="32">
        <v>2215.0</v>
      </c>
      <c r="B2216" s="32" t="s">
        <v>2870</v>
      </c>
      <c r="C2216" s="32" t="s">
        <v>184</v>
      </c>
      <c r="D2216" s="32" t="s">
        <v>185</v>
      </c>
      <c r="E2216" s="32" t="s">
        <v>255</v>
      </c>
      <c r="F2216" s="32" t="s">
        <v>187</v>
      </c>
    </row>
    <row r="2217" ht="16.5" customHeight="1">
      <c r="A2217" s="32">
        <v>2216.0</v>
      </c>
      <c r="B2217" s="32" t="s">
        <v>2871</v>
      </c>
      <c r="C2217" s="32" t="s">
        <v>184</v>
      </c>
      <c r="D2217" s="32" t="s">
        <v>185</v>
      </c>
      <c r="E2217" s="32" t="s">
        <v>255</v>
      </c>
      <c r="F2217" s="32" t="s">
        <v>187</v>
      </c>
    </row>
    <row r="2218" ht="16.5" customHeight="1">
      <c r="A2218" s="32">
        <v>2217.0</v>
      </c>
      <c r="B2218" s="32" t="s">
        <v>2872</v>
      </c>
      <c r="C2218" s="32" t="s">
        <v>184</v>
      </c>
      <c r="D2218" s="32" t="s">
        <v>185</v>
      </c>
      <c r="E2218" s="32" t="s">
        <v>255</v>
      </c>
      <c r="F2218" s="32" t="s">
        <v>187</v>
      </c>
    </row>
    <row r="2219" ht="16.5" customHeight="1">
      <c r="A2219" s="32">
        <v>2218.0</v>
      </c>
      <c r="B2219" s="32" t="s">
        <v>2873</v>
      </c>
      <c r="C2219" s="32" t="s">
        <v>184</v>
      </c>
      <c r="D2219" s="32" t="s">
        <v>185</v>
      </c>
      <c r="E2219" s="32" t="s">
        <v>255</v>
      </c>
      <c r="F2219" s="32" t="s">
        <v>187</v>
      </c>
      <c r="G2219" s="32" t="s">
        <v>188</v>
      </c>
    </row>
    <row r="2220" ht="16.5" customHeight="1">
      <c r="A2220" s="32">
        <v>2219.0</v>
      </c>
      <c r="B2220" s="32" t="s">
        <v>2874</v>
      </c>
      <c r="C2220" s="32" t="s">
        <v>184</v>
      </c>
      <c r="D2220" s="32" t="s">
        <v>185</v>
      </c>
      <c r="E2220" s="32" t="s">
        <v>255</v>
      </c>
      <c r="F2220" s="32" t="s">
        <v>187</v>
      </c>
      <c r="G2220" s="32" t="s">
        <v>854</v>
      </c>
    </row>
    <row r="2221" ht="16.5" customHeight="1">
      <c r="A2221" s="32">
        <v>2220.0</v>
      </c>
      <c r="B2221" s="32" t="s">
        <v>2875</v>
      </c>
      <c r="C2221" s="32" t="s">
        <v>184</v>
      </c>
      <c r="D2221" s="32" t="s">
        <v>185</v>
      </c>
      <c r="E2221" s="32" t="s">
        <v>255</v>
      </c>
    </row>
    <row r="2222" ht="16.5" customHeight="1">
      <c r="A2222" s="32">
        <v>2221.0</v>
      </c>
      <c r="B2222" s="32" t="s">
        <v>2876</v>
      </c>
      <c r="C2222" s="32" t="s">
        <v>184</v>
      </c>
      <c r="D2222" s="32" t="s">
        <v>254</v>
      </c>
      <c r="E2222" s="32" t="s">
        <v>255</v>
      </c>
    </row>
    <row r="2223" ht="16.5" customHeight="1">
      <c r="A2223" s="32">
        <v>2222.0</v>
      </c>
      <c r="B2223" s="32" t="s">
        <v>2877</v>
      </c>
      <c r="C2223" s="32" t="s">
        <v>184</v>
      </c>
      <c r="D2223" s="32" t="s">
        <v>185</v>
      </c>
      <c r="E2223" s="32" t="s">
        <v>255</v>
      </c>
    </row>
    <row r="2224" ht="16.5" customHeight="1">
      <c r="A2224" s="32">
        <v>2223.0</v>
      </c>
      <c r="B2224" s="32" t="s">
        <v>2878</v>
      </c>
      <c r="C2224" s="32" t="s">
        <v>184</v>
      </c>
      <c r="D2224" s="32" t="s">
        <v>285</v>
      </c>
      <c r="E2224" s="32" t="s">
        <v>255</v>
      </c>
      <c r="F2224" s="32" t="s">
        <v>188</v>
      </c>
      <c r="G2224" s="32" t="s">
        <v>2879</v>
      </c>
    </row>
    <row r="2225" ht="16.5" customHeight="1">
      <c r="A2225" s="32">
        <v>2224.0</v>
      </c>
      <c r="B2225" s="32" t="s">
        <v>2880</v>
      </c>
      <c r="C2225" s="32" t="s">
        <v>184</v>
      </c>
      <c r="D2225" s="32" t="s">
        <v>285</v>
      </c>
      <c r="E2225" s="32" t="s">
        <v>255</v>
      </c>
    </row>
    <row r="2226" ht="16.5" customHeight="1">
      <c r="A2226" s="32">
        <v>2225.0</v>
      </c>
      <c r="B2226" s="32" t="s">
        <v>2881</v>
      </c>
      <c r="C2226" s="32" t="s">
        <v>184</v>
      </c>
      <c r="D2226" s="32" t="s">
        <v>185</v>
      </c>
      <c r="E2226" s="32" t="s">
        <v>255</v>
      </c>
    </row>
    <row r="2227" ht="16.5" customHeight="1">
      <c r="A2227" s="32">
        <v>2226.0</v>
      </c>
      <c r="B2227" s="32" t="s">
        <v>2882</v>
      </c>
      <c r="C2227" s="32" t="s">
        <v>184</v>
      </c>
      <c r="D2227" s="32" t="s">
        <v>254</v>
      </c>
      <c r="E2227" s="32" t="s">
        <v>255</v>
      </c>
    </row>
    <row r="2228" ht="16.5" customHeight="1">
      <c r="A2228" s="32">
        <v>2227.0</v>
      </c>
      <c r="B2228" s="32" t="s">
        <v>2883</v>
      </c>
      <c r="C2228" s="32" t="s">
        <v>184</v>
      </c>
      <c r="D2228" s="32" t="s">
        <v>185</v>
      </c>
      <c r="E2228" s="32" t="s">
        <v>255</v>
      </c>
      <c r="F2228" s="32" t="s">
        <v>2868</v>
      </c>
      <c r="G2228" s="32" t="s">
        <v>1202</v>
      </c>
    </row>
    <row r="2229" ht="16.5" customHeight="1">
      <c r="A2229" s="32">
        <v>2228.0</v>
      </c>
      <c r="B2229" s="32" t="s">
        <v>2884</v>
      </c>
      <c r="C2229" s="32" t="s">
        <v>184</v>
      </c>
      <c r="D2229" s="32" t="s">
        <v>285</v>
      </c>
      <c r="E2229" s="32" t="s">
        <v>255</v>
      </c>
      <c r="F2229" s="32" t="s">
        <v>188</v>
      </c>
      <c r="G2229" s="32" t="s">
        <v>2879</v>
      </c>
    </row>
    <row r="2230" ht="16.5" customHeight="1">
      <c r="A2230" s="32">
        <v>2229.0</v>
      </c>
      <c r="B2230" s="32" t="s">
        <v>2885</v>
      </c>
      <c r="C2230" s="32" t="s">
        <v>184</v>
      </c>
      <c r="D2230" s="32" t="s">
        <v>185</v>
      </c>
      <c r="E2230" s="32" t="s">
        <v>255</v>
      </c>
      <c r="F2230" s="32" t="s">
        <v>188</v>
      </c>
      <c r="G2230" s="32" t="s">
        <v>857</v>
      </c>
    </row>
    <row r="2231" ht="16.5" customHeight="1">
      <c r="A2231" s="32">
        <v>2230.0</v>
      </c>
      <c r="B2231" s="32" t="s">
        <v>2886</v>
      </c>
      <c r="C2231" s="32" t="s">
        <v>184</v>
      </c>
      <c r="D2231" s="32" t="s">
        <v>254</v>
      </c>
      <c r="E2231" s="32" t="s">
        <v>255</v>
      </c>
      <c r="F2231" s="32" t="s">
        <v>256</v>
      </c>
      <c r="G2231" s="32" t="s">
        <v>2887</v>
      </c>
    </row>
    <row r="2232" ht="16.5" customHeight="1">
      <c r="A2232" s="32">
        <v>2231.0</v>
      </c>
      <c r="B2232" s="32" t="s">
        <v>2888</v>
      </c>
      <c r="C2232" s="32" t="s">
        <v>184</v>
      </c>
      <c r="D2232" s="32" t="s">
        <v>192</v>
      </c>
      <c r="E2232" s="32" t="s">
        <v>255</v>
      </c>
    </row>
    <row r="2233" ht="16.5" customHeight="1">
      <c r="A2233" s="32">
        <v>2232.0</v>
      </c>
      <c r="B2233" s="32" t="s">
        <v>2889</v>
      </c>
      <c r="C2233" s="32" t="s">
        <v>184</v>
      </c>
      <c r="D2233" s="32" t="s">
        <v>192</v>
      </c>
      <c r="E2233" s="32" t="s">
        <v>255</v>
      </c>
      <c r="F2233" s="32" t="s">
        <v>2640</v>
      </c>
      <c r="G2233" s="32" t="s">
        <v>2890</v>
      </c>
    </row>
    <row r="2234" ht="16.5" customHeight="1">
      <c r="A2234" s="32">
        <v>2233.0</v>
      </c>
      <c r="B2234" s="32" t="s">
        <v>2891</v>
      </c>
      <c r="C2234" s="32" t="s">
        <v>184</v>
      </c>
      <c r="D2234" s="32" t="s">
        <v>254</v>
      </c>
      <c r="E2234" s="32" t="s">
        <v>255</v>
      </c>
      <c r="F2234" s="32" t="s">
        <v>256</v>
      </c>
      <c r="G2234" s="32" t="s">
        <v>257</v>
      </c>
    </row>
    <row r="2235" ht="16.5" customHeight="1">
      <c r="A2235" s="32">
        <v>2234.0</v>
      </c>
      <c r="B2235" s="32" t="s">
        <v>2892</v>
      </c>
      <c r="C2235" s="32" t="s">
        <v>184</v>
      </c>
      <c r="D2235" s="32" t="s">
        <v>254</v>
      </c>
      <c r="E2235" s="32" t="s">
        <v>255</v>
      </c>
    </row>
    <row r="2236" ht="16.5" customHeight="1">
      <c r="A2236" s="32">
        <v>2235.0</v>
      </c>
      <c r="B2236" s="32" t="s">
        <v>823</v>
      </c>
      <c r="C2236" s="32" t="s">
        <v>184</v>
      </c>
      <c r="D2236" s="32" t="s">
        <v>325</v>
      </c>
      <c r="E2236" s="32" t="s">
        <v>2893</v>
      </c>
      <c r="F2236" s="32" t="s">
        <v>368</v>
      </c>
      <c r="G2236" s="32" t="s">
        <v>463</v>
      </c>
    </row>
    <row r="2237" ht="16.5" customHeight="1">
      <c r="A2237" s="32">
        <v>2236.0</v>
      </c>
      <c r="B2237" s="32" t="s">
        <v>2894</v>
      </c>
      <c r="C2237" s="32" t="s">
        <v>184</v>
      </c>
      <c r="D2237" s="32" t="s">
        <v>325</v>
      </c>
      <c r="E2237" s="32" t="s">
        <v>2893</v>
      </c>
      <c r="F2237" s="32" t="s">
        <v>368</v>
      </c>
      <c r="G2237" s="32" t="s">
        <v>463</v>
      </c>
    </row>
    <row r="2238" ht="16.5" customHeight="1">
      <c r="A2238" s="32">
        <v>2237.0</v>
      </c>
      <c r="B2238" s="32" t="s">
        <v>2895</v>
      </c>
      <c r="C2238" s="32" t="s">
        <v>184</v>
      </c>
      <c r="D2238" s="32" t="s">
        <v>254</v>
      </c>
      <c r="E2238" s="32" t="s">
        <v>255</v>
      </c>
      <c r="F2238" s="32" t="s">
        <v>305</v>
      </c>
      <c r="G2238" s="32" t="s">
        <v>257</v>
      </c>
    </row>
    <row r="2239" ht="16.5" customHeight="1">
      <c r="A2239" s="32">
        <v>2238.0</v>
      </c>
      <c r="B2239" s="32" t="s">
        <v>2896</v>
      </c>
      <c r="C2239" s="32" t="s">
        <v>184</v>
      </c>
      <c r="D2239" s="32" t="s">
        <v>254</v>
      </c>
      <c r="E2239" s="32" t="s">
        <v>255</v>
      </c>
      <c r="F2239" s="32" t="s">
        <v>257</v>
      </c>
    </row>
    <row r="2240" ht="16.5" customHeight="1">
      <c r="A2240" s="32">
        <v>2239.0</v>
      </c>
      <c r="B2240" s="32" t="s">
        <v>2897</v>
      </c>
      <c r="C2240" s="32" t="s">
        <v>184</v>
      </c>
      <c r="D2240" s="32" t="s">
        <v>192</v>
      </c>
      <c r="E2240" s="32" t="s">
        <v>255</v>
      </c>
      <c r="F2240" s="32" t="s">
        <v>300</v>
      </c>
      <c r="G2240" s="32" t="s">
        <v>387</v>
      </c>
    </row>
    <row r="2241" ht="16.5" customHeight="1">
      <c r="A2241" s="32">
        <v>2240.0</v>
      </c>
      <c r="B2241" s="32" t="s">
        <v>2898</v>
      </c>
      <c r="C2241" s="32" t="s">
        <v>184</v>
      </c>
      <c r="D2241" s="32" t="s">
        <v>192</v>
      </c>
      <c r="E2241" s="32" t="s">
        <v>255</v>
      </c>
      <c r="F2241" s="32" t="s">
        <v>300</v>
      </c>
      <c r="G2241" s="32" t="s">
        <v>2899</v>
      </c>
    </row>
    <row r="2242" ht="16.5" customHeight="1">
      <c r="A2242" s="32">
        <v>2241.0</v>
      </c>
      <c r="B2242" s="32" t="s">
        <v>2900</v>
      </c>
      <c r="C2242" s="32" t="s">
        <v>184</v>
      </c>
      <c r="D2242" s="32" t="s">
        <v>254</v>
      </c>
      <c r="E2242" s="32" t="s">
        <v>255</v>
      </c>
      <c r="F2242" s="32" t="s">
        <v>260</v>
      </c>
    </row>
    <row r="2243" ht="16.5" customHeight="1">
      <c r="A2243" s="32">
        <v>2242.0</v>
      </c>
      <c r="B2243" s="32" t="s">
        <v>2901</v>
      </c>
      <c r="C2243" s="32" t="s">
        <v>184</v>
      </c>
      <c r="D2243" s="32" t="s">
        <v>214</v>
      </c>
      <c r="E2243" s="32" t="s">
        <v>396</v>
      </c>
      <c r="F2243" s="32" t="s">
        <v>720</v>
      </c>
    </row>
    <row r="2244" ht="16.5" customHeight="1">
      <c r="A2244" s="32">
        <v>2243.0</v>
      </c>
      <c r="B2244" s="32" t="s">
        <v>2902</v>
      </c>
      <c r="C2244" s="32" t="s">
        <v>184</v>
      </c>
      <c r="D2244" s="32" t="s">
        <v>234</v>
      </c>
      <c r="E2244" s="32" t="s">
        <v>255</v>
      </c>
    </row>
    <row r="2245" ht="16.5" customHeight="1">
      <c r="A2245" s="32">
        <v>2244.0</v>
      </c>
      <c r="B2245" s="32" t="s">
        <v>2903</v>
      </c>
      <c r="C2245" s="32" t="s">
        <v>184</v>
      </c>
      <c r="D2245" s="32" t="s">
        <v>228</v>
      </c>
      <c r="E2245" s="32" t="s">
        <v>255</v>
      </c>
      <c r="F2245" s="32" t="s">
        <v>223</v>
      </c>
      <c r="G2245" s="32" t="s">
        <v>2904</v>
      </c>
    </row>
    <row r="2246" ht="16.5" customHeight="1">
      <c r="A2246" s="32">
        <v>2245.0</v>
      </c>
      <c r="B2246" s="32" t="s">
        <v>2905</v>
      </c>
      <c r="C2246" s="32" t="s">
        <v>184</v>
      </c>
      <c r="D2246" s="32" t="s">
        <v>219</v>
      </c>
      <c r="E2246" s="32" t="s">
        <v>255</v>
      </c>
      <c r="F2246" s="32" t="s">
        <v>223</v>
      </c>
      <c r="G2246" s="32" t="s">
        <v>2906</v>
      </c>
    </row>
    <row r="2247" ht="16.5" customHeight="1">
      <c r="A2247" s="32">
        <v>2246.0</v>
      </c>
      <c r="B2247" s="32" t="s">
        <v>2907</v>
      </c>
      <c r="C2247" s="32" t="s">
        <v>184</v>
      </c>
      <c r="D2247" s="32" t="s">
        <v>228</v>
      </c>
      <c r="E2247" s="32" t="s">
        <v>255</v>
      </c>
    </row>
    <row r="2248" ht="16.5" customHeight="1">
      <c r="A2248" s="32">
        <v>2247.0</v>
      </c>
      <c r="B2248" s="32" t="s">
        <v>2908</v>
      </c>
      <c r="C2248" s="32" t="s">
        <v>184</v>
      </c>
      <c r="D2248" s="32" t="s">
        <v>185</v>
      </c>
      <c r="E2248" s="32" t="s">
        <v>255</v>
      </c>
      <c r="F2248" s="32" t="s">
        <v>305</v>
      </c>
      <c r="G2248" s="32" t="s">
        <v>1306</v>
      </c>
    </row>
    <row r="2249" ht="16.5" customHeight="1">
      <c r="A2249" s="32">
        <v>2248.0</v>
      </c>
      <c r="B2249" s="32" t="s">
        <v>2909</v>
      </c>
      <c r="C2249" s="32" t="s">
        <v>184</v>
      </c>
      <c r="D2249" s="32" t="s">
        <v>254</v>
      </c>
      <c r="E2249" s="32" t="s">
        <v>255</v>
      </c>
      <c r="F2249" s="32" t="s">
        <v>305</v>
      </c>
      <c r="G2249" s="32" t="s">
        <v>1306</v>
      </c>
    </row>
    <row r="2250" ht="16.5" customHeight="1">
      <c r="A2250" s="32">
        <v>2249.0</v>
      </c>
      <c r="B2250" s="32" t="s">
        <v>2910</v>
      </c>
      <c r="C2250" s="32" t="s">
        <v>184</v>
      </c>
      <c r="D2250" s="32" t="s">
        <v>254</v>
      </c>
      <c r="E2250" s="32" t="s">
        <v>255</v>
      </c>
    </row>
    <row r="2251" ht="16.5" customHeight="1">
      <c r="A2251" s="32">
        <v>2250.0</v>
      </c>
      <c r="B2251" s="32" t="s">
        <v>2911</v>
      </c>
      <c r="C2251" s="32" t="s">
        <v>184</v>
      </c>
      <c r="D2251" s="32" t="s">
        <v>185</v>
      </c>
      <c r="E2251" s="32" t="s">
        <v>255</v>
      </c>
    </row>
    <row r="2252" ht="16.5" customHeight="1">
      <c r="A2252" s="32">
        <v>2251.0</v>
      </c>
      <c r="B2252" s="32" t="s">
        <v>2912</v>
      </c>
      <c r="C2252" s="32" t="s">
        <v>184</v>
      </c>
      <c r="D2252" s="32" t="s">
        <v>254</v>
      </c>
      <c r="E2252" s="32" t="s">
        <v>255</v>
      </c>
      <c r="F2252" s="32" t="s">
        <v>305</v>
      </c>
      <c r="G2252" s="32" t="s">
        <v>319</v>
      </c>
    </row>
    <row r="2253" ht="16.5" customHeight="1">
      <c r="A2253" s="32">
        <v>2252.0</v>
      </c>
      <c r="B2253" s="32" t="s">
        <v>2913</v>
      </c>
      <c r="C2253" s="32" t="s">
        <v>184</v>
      </c>
      <c r="D2253" s="32" t="s">
        <v>254</v>
      </c>
      <c r="E2253" s="32" t="s">
        <v>255</v>
      </c>
      <c r="F2253" s="32" t="s">
        <v>305</v>
      </c>
      <c r="G2253" s="32" t="s">
        <v>600</v>
      </c>
    </row>
    <row r="2254" ht="16.5" customHeight="1">
      <c r="A2254" s="32">
        <v>2253.0</v>
      </c>
      <c r="B2254" s="32" t="s">
        <v>2914</v>
      </c>
      <c r="C2254" s="32" t="s">
        <v>184</v>
      </c>
      <c r="D2254" s="35" t="s">
        <v>310</v>
      </c>
      <c r="E2254" s="32" t="s">
        <v>255</v>
      </c>
      <c r="F2254" s="32" t="s">
        <v>305</v>
      </c>
      <c r="G2254" s="32" t="s">
        <v>600</v>
      </c>
    </row>
    <row r="2255" ht="16.5" customHeight="1">
      <c r="A2255" s="32">
        <v>2254.0</v>
      </c>
      <c r="B2255" s="32" t="s">
        <v>2915</v>
      </c>
      <c r="C2255" s="32" t="s">
        <v>184</v>
      </c>
      <c r="D2255" s="32" t="s">
        <v>185</v>
      </c>
      <c r="E2255" s="32" t="s">
        <v>255</v>
      </c>
      <c r="F2255" s="32" t="s">
        <v>271</v>
      </c>
      <c r="G2255" s="32" t="s">
        <v>2916</v>
      </c>
    </row>
    <row r="2256" ht="16.5" customHeight="1">
      <c r="A2256" s="32">
        <v>2255.0</v>
      </c>
      <c r="B2256" s="32" t="s">
        <v>2917</v>
      </c>
      <c r="C2256" s="32" t="s">
        <v>184</v>
      </c>
      <c r="D2256" s="32" t="s">
        <v>254</v>
      </c>
      <c r="E2256" s="32" t="s">
        <v>255</v>
      </c>
      <c r="F2256" s="32" t="s">
        <v>424</v>
      </c>
      <c r="G2256" s="32" t="s">
        <v>2918</v>
      </c>
    </row>
    <row r="2257" ht="16.5" customHeight="1">
      <c r="A2257" s="32">
        <v>2256.0</v>
      </c>
      <c r="B2257" s="32" t="s">
        <v>2919</v>
      </c>
      <c r="C2257" s="32" t="s">
        <v>184</v>
      </c>
      <c r="D2257" s="32" t="s">
        <v>254</v>
      </c>
      <c r="E2257" s="32" t="s">
        <v>255</v>
      </c>
      <c r="F2257" s="32" t="s">
        <v>263</v>
      </c>
      <c r="G2257" s="32" t="s">
        <v>2920</v>
      </c>
    </row>
    <row r="2258" ht="16.5" customHeight="1">
      <c r="A2258" s="32">
        <v>2257.0</v>
      </c>
      <c r="B2258" s="32" t="s">
        <v>2921</v>
      </c>
      <c r="C2258" s="32" t="s">
        <v>184</v>
      </c>
      <c r="D2258" s="32" t="s">
        <v>254</v>
      </c>
      <c r="E2258" s="32" t="s">
        <v>255</v>
      </c>
      <c r="F2258" s="32" t="s">
        <v>256</v>
      </c>
      <c r="G2258" s="32" t="s">
        <v>2922</v>
      </c>
    </row>
    <row r="2259" ht="16.5" customHeight="1">
      <c r="A2259" s="32">
        <v>2258.0</v>
      </c>
      <c r="B2259" s="32" t="s">
        <v>2923</v>
      </c>
      <c r="C2259" s="32" t="s">
        <v>184</v>
      </c>
      <c r="D2259" s="32" t="s">
        <v>254</v>
      </c>
      <c r="E2259" s="32" t="s">
        <v>255</v>
      </c>
    </row>
    <row r="2260" ht="16.5" customHeight="1">
      <c r="A2260" s="32">
        <v>2259.0</v>
      </c>
      <c r="B2260" s="32" t="s">
        <v>2924</v>
      </c>
      <c r="C2260" s="32" t="s">
        <v>184</v>
      </c>
      <c r="D2260" s="32" t="s">
        <v>192</v>
      </c>
      <c r="E2260" s="32" t="s">
        <v>255</v>
      </c>
    </row>
    <row r="2261" ht="16.5" customHeight="1">
      <c r="A2261" s="32">
        <v>2260.0</v>
      </c>
      <c r="B2261" s="32" t="s">
        <v>2925</v>
      </c>
      <c r="C2261" s="32" t="s">
        <v>184</v>
      </c>
      <c r="D2261" s="32" t="s">
        <v>254</v>
      </c>
      <c r="E2261" s="32" t="s">
        <v>255</v>
      </c>
      <c r="F2261" s="32" t="s">
        <v>256</v>
      </c>
      <c r="G2261" s="32" t="s">
        <v>2926</v>
      </c>
    </row>
    <row r="2262" ht="16.5" customHeight="1">
      <c r="A2262" s="32">
        <v>2261.0</v>
      </c>
      <c r="B2262" s="32" t="s">
        <v>2927</v>
      </c>
      <c r="C2262" s="32" t="s">
        <v>184</v>
      </c>
      <c r="D2262" s="35" t="s">
        <v>310</v>
      </c>
      <c r="E2262" s="32" t="s">
        <v>255</v>
      </c>
      <c r="F2262" s="32" t="s">
        <v>305</v>
      </c>
      <c r="G2262" s="32" t="s">
        <v>2928</v>
      </c>
    </row>
    <row r="2263" ht="16.5" customHeight="1">
      <c r="A2263" s="32">
        <v>2262.0</v>
      </c>
      <c r="B2263" s="32" t="s">
        <v>2929</v>
      </c>
      <c r="C2263" s="32" t="s">
        <v>184</v>
      </c>
      <c r="D2263" s="32" t="s">
        <v>185</v>
      </c>
      <c r="E2263" s="32" t="s">
        <v>255</v>
      </c>
      <c r="F2263" s="32" t="s">
        <v>271</v>
      </c>
      <c r="G2263" s="32" t="s">
        <v>566</v>
      </c>
    </row>
    <row r="2264" ht="16.5" customHeight="1">
      <c r="A2264" s="32">
        <v>2263.0</v>
      </c>
      <c r="B2264" s="32" t="s">
        <v>2930</v>
      </c>
      <c r="C2264" s="32" t="s">
        <v>184</v>
      </c>
      <c r="D2264" s="35" t="s">
        <v>310</v>
      </c>
      <c r="E2264" s="32" t="s">
        <v>255</v>
      </c>
      <c r="F2264" s="32" t="s">
        <v>305</v>
      </c>
      <c r="G2264" s="32" t="s">
        <v>1306</v>
      </c>
    </row>
    <row r="2265" ht="16.5" customHeight="1">
      <c r="A2265" s="32">
        <v>2264.0</v>
      </c>
      <c r="B2265" s="32" t="s">
        <v>2931</v>
      </c>
      <c r="C2265" s="32" t="s">
        <v>184</v>
      </c>
      <c r="D2265" s="32" t="s">
        <v>254</v>
      </c>
      <c r="E2265" s="32" t="s">
        <v>255</v>
      </c>
      <c r="F2265" s="32" t="s">
        <v>260</v>
      </c>
      <c r="G2265" s="32" t="s">
        <v>2932</v>
      </c>
    </row>
    <row r="2266" ht="16.5" customHeight="1">
      <c r="A2266" s="32">
        <v>2265.0</v>
      </c>
      <c r="B2266" s="32" t="s">
        <v>2933</v>
      </c>
      <c r="C2266" s="32" t="s">
        <v>184</v>
      </c>
      <c r="D2266" s="35" t="s">
        <v>310</v>
      </c>
      <c r="E2266" s="32" t="s">
        <v>255</v>
      </c>
    </row>
    <row r="2267" ht="16.5" customHeight="1">
      <c r="A2267" s="32">
        <v>2266.0</v>
      </c>
      <c r="B2267" s="32" t="s">
        <v>2934</v>
      </c>
      <c r="C2267" s="32" t="s">
        <v>184</v>
      </c>
      <c r="D2267" s="32" t="s">
        <v>254</v>
      </c>
      <c r="E2267" s="32" t="s">
        <v>255</v>
      </c>
      <c r="F2267" s="32" t="s">
        <v>305</v>
      </c>
      <c r="G2267" s="32" t="s">
        <v>600</v>
      </c>
    </row>
    <row r="2268" ht="16.5" customHeight="1">
      <c r="A2268" s="32">
        <v>2267.0</v>
      </c>
      <c r="B2268" s="32" t="s">
        <v>2935</v>
      </c>
      <c r="C2268" s="32" t="s">
        <v>184</v>
      </c>
      <c r="D2268" s="35" t="s">
        <v>294</v>
      </c>
      <c r="E2268" s="32" t="s">
        <v>255</v>
      </c>
      <c r="F2268" s="32" t="s">
        <v>189</v>
      </c>
      <c r="G2268" s="32" t="s">
        <v>2512</v>
      </c>
    </row>
    <row r="2269" ht="16.5" customHeight="1">
      <c r="A2269" s="32">
        <v>2268.0</v>
      </c>
      <c r="B2269" s="32" t="s">
        <v>2936</v>
      </c>
      <c r="C2269" s="32" t="s">
        <v>184</v>
      </c>
      <c r="D2269" s="32" t="s">
        <v>185</v>
      </c>
      <c r="E2269" s="32" t="s">
        <v>255</v>
      </c>
    </row>
    <row r="2270" ht="16.5" customHeight="1">
      <c r="A2270" s="32">
        <v>2269.0</v>
      </c>
      <c r="B2270" s="32" t="s">
        <v>2937</v>
      </c>
      <c r="C2270" s="32" t="s">
        <v>184</v>
      </c>
      <c r="D2270" s="32" t="s">
        <v>192</v>
      </c>
      <c r="E2270" s="32" t="s">
        <v>255</v>
      </c>
    </row>
    <row r="2271" ht="16.5" customHeight="1">
      <c r="A2271" s="32">
        <v>2270.0</v>
      </c>
      <c r="B2271" s="32" t="s">
        <v>2938</v>
      </c>
      <c r="C2271" s="32" t="s">
        <v>184</v>
      </c>
      <c r="D2271" s="32" t="s">
        <v>1162</v>
      </c>
      <c r="E2271" s="32" t="s">
        <v>255</v>
      </c>
    </row>
    <row r="2272" ht="16.5" customHeight="1">
      <c r="A2272" s="32">
        <v>2271.0</v>
      </c>
      <c r="B2272" s="32" t="s">
        <v>2939</v>
      </c>
      <c r="C2272" s="32" t="s">
        <v>184</v>
      </c>
      <c r="D2272" s="32" t="s">
        <v>321</v>
      </c>
      <c r="E2272" s="32" t="s">
        <v>255</v>
      </c>
    </row>
    <row r="2273" ht="16.5" customHeight="1">
      <c r="A2273" s="32">
        <v>2272.0</v>
      </c>
      <c r="B2273" s="32" t="s">
        <v>2940</v>
      </c>
      <c r="C2273" s="32" t="s">
        <v>184</v>
      </c>
      <c r="D2273" s="32" t="s">
        <v>185</v>
      </c>
      <c r="E2273" s="32" t="s">
        <v>255</v>
      </c>
      <c r="F2273" s="32" t="s">
        <v>475</v>
      </c>
      <c r="G2273" s="32" t="s">
        <v>476</v>
      </c>
    </row>
    <row r="2274" ht="16.5" customHeight="1">
      <c r="A2274" s="32">
        <v>2273.0</v>
      </c>
      <c r="B2274" s="32" t="s">
        <v>2941</v>
      </c>
      <c r="C2274" s="32" t="s">
        <v>184</v>
      </c>
      <c r="D2274" s="32" t="s">
        <v>254</v>
      </c>
      <c r="E2274" s="32" t="s">
        <v>255</v>
      </c>
      <c r="F2274" s="32" t="s">
        <v>305</v>
      </c>
      <c r="G2274" s="32" t="s">
        <v>371</v>
      </c>
    </row>
    <row r="2275" ht="16.5" customHeight="1">
      <c r="A2275" s="32">
        <v>2274.0</v>
      </c>
      <c r="B2275" s="32" t="s">
        <v>2942</v>
      </c>
      <c r="C2275" s="32" t="s">
        <v>184</v>
      </c>
      <c r="D2275" s="32" t="s">
        <v>254</v>
      </c>
      <c r="E2275" s="32" t="s">
        <v>255</v>
      </c>
    </row>
    <row r="2276" ht="16.5" customHeight="1">
      <c r="A2276" s="32">
        <v>2275.0</v>
      </c>
      <c r="B2276" s="32" t="s">
        <v>2943</v>
      </c>
      <c r="C2276" s="32" t="s">
        <v>184</v>
      </c>
      <c r="D2276" s="32" t="s">
        <v>254</v>
      </c>
      <c r="E2276" s="32" t="s">
        <v>255</v>
      </c>
      <c r="F2276" s="32" t="s">
        <v>305</v>
      </c>
      <c r="G2276" s="32" t="s">
        <v>371</v>
      </c>
    </row>
    <row r="2277" ht="16.5" customHeight="1">
      <c r="A2277" s="32">
        <v>2276.0</v>
      </c>
      <c r="B2277" s="32" t="s">
        <v>2944</v>
      </c>
      <c r="C2277" s="32" t="s">
        <v>184</v>
      </c>
      <c r="D2277" s="32" t="s">
        <v>254</v>
      </c>
      <c r="E2277" s="32" t="s">
        <v>255</v>
      </c>
    </row>
    <row r="2278" ht="16.5" customHeight="1">
      <c r="A2278" s="32">
        <v>2277.0</v>
      </c>
      <c r="B2278" s="32" t="s">
        <v>2945</v>
      </c>
      <c r="C2278" s="32" t="s">
        <v>184</v>
      </c>
      <c r="D2278" s="32" t="s">
        <v>254</v>
      </c>
      <c r="E2278" s="32" t="s">
        <v>255</v>
      </c>
      <c r="F2278" s="32" t="s">
        <v>256</v>
      </c>
      <c r="G2278" s="32" t="s">
        <v>2946</v>
      </c>
    </row>
    <row r="2279" ht="16.5" customHeight="1">
      <c r="A2279" s="32">
        <v>2278.0</v>
      </c>
      <c r="B2279" s="32" t="s">
        <v>2947</v>
      </c>
      <c r="C2279" s="32" t="s">
        <v>184</v>
      </c>
      <c r="D2279" s="32" t="s">
        <v>254</v>
      </c>
      <c r="E2279" s="32" t="s">
        <v>255</v>
      </c>
      <c r="F2279" s="32" t="s">
        <v>256</v>
      </c>
      <c r="G2279" s="32" t="s">
        <v>1330</v>
      </c>
    </row>
    <row r="2280" ht="16.5" customHeight="1">
      <c r="A2280" s="32">
        <v>2279.0</v>
      </c>
      <c r="B2280" s="32" t="s">
        <v>2948</v>
      </c>
      <c r="C2280" s="32" t="s">
        <v>184</v>
      </c>
      <c r="D2280" s="32" t="s">
        <v>185</v>
      </c>
      <c r="E2280" s="32" t="s">
        <v>255</v>
      </c>
      <c r="F2280" s="32" t="s">
        <v>256</v>
      </c>
      <c r="G2280" s="32" t="s">
        <v>2949</v>
      </c>
    </row>
    <row r="2281" ht="16.5" customHeight="1">
      <c r="A2281" s="32">
        <v>2280.0</v>
      </c>
      <c r="B2281" s="32" t="s">
        <v>2950</v>
      </c>
      <c r="C2281" s="32" t="s">
        <v>184</v>
      </c>
      <c r="D2281" s="32" t="s">
        <v>254</v>
      </c>
      <c r="E2281" s="32" t="s">
        <v>255</v>
      </c>
    </row>
    <row r="2282" ht="16.5" customHeight="1">
      <c r="A2282" s="32">
        <v>2281.0</v>
      </c>
      <c r="B2282" s="32" t="s">
        <v>2951</v>
      </c>
      <c r="C2282" s="32" t="s">
        <v>184</v>
      </c>
      <c r="D2282" s="32" t="s">
        <v>185</v>
      </c>
      <c r="E2282" s="32" t="s">
        <v>255</v>
      </c>
      <c r="F2282" s="32" t="s">
        <v>2952</v>
      </c>
      <c r="G2282" s="32" t="s">
        <v>2953</v>
      </c>
    </row>
    <row r="2283" ht="16.5" customHeight="1">
      <c r="A2283" s="32">
        <v>2282.0</v>
      </c>
      <c r="B2283" s="32" t="s">
        <v>2954</v>
      </c>
      <c r="C2283" s="32" t="s">
        <v>184</v>
      </c>
      <c r="D2283" s="32" t="s">
        <v>185</v>
      </c>
      <c r="E2283" s="32" t="s">
        <v>255</v>
      </c>
    </row>
    <row r="2284" ht="16.5" customHeight="1">
      <c r="A2284" s="32">
        <v>2283.0</v>
      </c>
      <c r="B2284" s="32" t="s">
        <v>2955</v>
      </c>
      <c r="C2284" s="32" t="s">
        <v>184</v>
      </c>
      <c r="D2284" s="32" t="s">
        <v>185</v>
      </c>
      <c r="E2284" s="32" t="s">
        <v>255</v>
      </c>
      <c r="F2284" s="32" t="s">
        <v>187</v>
      </c>
      <c r="G2284" s="32" t="s">
        <v>854</v>
      </c>
    </row>
    <row r="2285" ht="16.5" customHeight="1">
      <c r="A2285" s="32">
        <v>2284.0</v>
      </c>
      <c r="B2285" s="32" t="s">
        <v>2956</v>
      </c>
      <c r="C2285" s="32" t="s">
        <v>184</v>
      </c>
      <c r="D2285" s="32" t="s">
        <v>254</v>
      </c>
      <c r="E2285" s="32" t="s">
        <v>255</v>
      </c>
      <c r="F2285" s="32" t="s">
        <v>305</v>
      </c>
      <c r="G2285" s="32" t="s">
        <v>319</v>
      </c>
    </row>
    <row r="2286" ht="16.5" customHeight="1">
      <c r="A2286" s="32">
        <v>2285.0</v>
      </c>
      <c r="B2286" s="32" t="s">
        <v>2957</v>
      </c>
      <c r="C2286" s="32" t="s">
        <v>184</v>
      </c>
      <c r="D2286" s="32" t="s">
        <v>234</v>
      </c>
      <c r="E2286" s="32" t="s">
        <v>222</v>
      </c>
      <c r="F2286" s="32" t="s">
        <v>415</v>
      </c>
      <c r="G2286" s="32" t="s">
        <v>236</v>
      </c>
    </row>
    <row r="2287" ht="16.5" customHeight="1">
      <c r="A2287" s="32">
        <v>2286.0</v>
      </c>
      <c r="B2287" s="32" t="s">
        <v>2958</v>
      </c>
      <c r="C2287" s="32" t="s">
        <v>184</v>
      </c>
      <c r="D2287" s="32" t="s">
        <v>234</v>
      </c>
      <c r="E2287" s="32" t="s">
        <v>222</v>
      </c>
    </row>
    <row r="2288" ht="16.5" customHeight="1">
      <c r="A2288" s="32">
        <v>2287.0</v>
      </c>
      <c r="B2288" s="32" t="s">
        <v>2959</v>
      </c>
      <c r="C2288" s="32" t="s">
        <v>184</v>
      </c>
      <c r="D2288" s="32" t="s">
        <v>254</v>
      </c>
      <c r="E2288" s="32" t="s">
        <v>255</v>
      </c>
      <c r="F2288" s="32" t="s">
        <v>275</v>
      </c>
      <c r="G2288" s="32" t="s">
        <v>2412</v>
      </c>
    </row>
    <row r="2289" ht="16.5" customHeight="1">
      <c r="A2289" s="32">
        <v>2288.0</v>
      </c>
      <c r="B2289" s="32" t="s">
        <v>2960</v>
      </c>
      <c r="C2289" s="32" t="s">
        <v>184</v>
      </c>
      <c r="D2289" s="32" t="s">
        <v>185</v>
      </c>
      <c r="E2289" s="32" t="s">
        <v>255</v>
      </c>
    </row>
    <row r="2290" ht="16.5" customHeight="1">
      <c r="A2290" s="32">
        <v>2289.0</v>
      </c>
      <c r="B2290" s="32" t="s">
        <v>2961</v>
      </c>
      <c r="C2290" s="32" t="s">
        <v>184</v>
      </c>
      <c r="D2290" s="32" t="s">
        <v>254</v>
      </c>
      <c r="E2290" s="32" t="s">
        <v>255</v>
      </c>
      <c r="F2290" s="32" t="s">
        <v>275</v>
      </c>
      <c r="G2290" s="32" t="s">
        <v>2412</v>
      </c>
    </row>
    <row r="2291" ht="16.5" customHeight="1">
      <c r="A2291" s="32">
        <v>2290.0</v>
      </c>
      <c r="B2291" s="32" t="s">
        <v>2962</v>
      </c>
      <c r="C2291" s="32" t="s">
        <v>184</v>
      </c>
      <c r="D2291" s="32" t="s">
        <v>185</v>
      </c>
      <c r="E2291" s="32" t="s">
        <v>255</v>
      </c>
      <c r="F2291" s="32" t="s">
        <v>275</v>
      </c>
      <c r="G2291" s="32" t="s">
        <v>2412</v>
      </c>
    </row>
    <row r="2292" ht="16.5" customHeight="1">
      <c r="A2292" s="32">
        <v>2291.0</v>
      </c>
      <c r="B2292" s="32" t="s">
        <v>2963</v>
      </c>
      <c r="C2292" s="32" t="s">
        <v>184</v>
      </c>
      <c r="D2292" s="35" t="s">
        <v>2964</v>
      </c>
      <c r="E2292" s="32" t="s">
        <v>255</v>
      </c>
    </row>
    <row r="2293" ht="16.5" customHeight="1">
      <c r="A2293" s="32">
        <v>2292.0</v>
      </c>
      <c r="B2293" s="32" t="s">
        <v>2965</v>
      </c>
      <c r="C2293" s="32" t="s">
        <v>184</v>
      </c>
      <c r="D2293" s="32" t="s">
        <v>254</v>
      </c>
      <c r="E2293" s="32" t="s">
        <v>255</v>
      </c>
      <c r="F2293" s="32" t="s">
        <v>2966</v>
      </c>
      <c r="G2293" s="32" t="s">
        <v>2967</v>
      </c>
    </row>
    <row r="2294" ht="16.5" customHeight="1">
      <c r="A2294" s="32">
        <v>2293.0</v>
      </c>
      <c r="B2294" s="32" t="s">
        <v>2968</v>
      </c>
      <c r="C2294" s="32" t="s">
        <v>184</v>
      </c>
      <c r="D2294" s="32" t="s">
        <v>254</v>
      </c>
      <c r="E2294" s="32" t="s">
        <v>255</v>
      </c>
      <c r="F2294" s="32" t="s">
        <v>2969</v>
      </c>
      <c r="G2294" s="32" t="s">
        <v>2970</v>
      </c>
    </row>
    <row r="2295" ht="16.5" customHeight="1">
      <c r="A2295" s="32">
        <v>2294.0</v>
      </c>
      <c r="B2295" s="32" t="s">
        <v>2971</v>
      </c>
      <c r="C2295" s="32" t="s">
        <v>184</v>
      </c>
      <c r="D2295" s="32" t="s">
        <v>185</v>
      </c>
      <c r="E2295" s="32" t="s">
        <v>255</v>
      </c>
    </row>
    <row r="2296" ht="16.5" customHeight="1">
      <c r="A2296" s="32">
        <v>2295.0</v>
      </c>
      <c r="B2296" s="32" t="s">
        <v>2972</v>
      </c>
      <c r="C2296" s="32" t="s">
        <v>184</v>
      </c>
      <c r="D2296" s="32" t="s">
        <v>219</v>
      </c>
      <c r="E2296" s="32" t="s">
        <v>255</v>
      </c>
      <c r="F2296" s="32" t="s">
        <v>2400</v>
      </c>
      <c r="G2296" s="32" t="s">
        <v>229</v>
      </c>
    </row>
    <row r="2297" ht="16.5" customHeight="1">
      <c r="A2297" s="32">
        <v>2296.0</v>
      </c>
      <c r="B2297" s="32" t="s">
        <v>2973</v>
      </c>
      <c r="C2297" s="32" t="s">
        <v>184</v>
      </c>
      <c r="D2297" s="32" t="s">
        <v>228</v>
      </c>
      <c r="E2297" s="32" t="s">
        <v>255</v>
      </c>
      <c r="F2297" s="32" t="s">
        <v>223</v>
      </c>
      <c r="G2297" s="32" t="s">
        <v>472</v>
      </c>
    </row>
    <row r="2298" ht="16.5" customHeight="1">
      <c r="A2298" s="32">
        <v>2297.0</v>
      </c>
      <c r="B2298" s="32" t="s">
        <v>2974</v>
      </c>
      <c r="C2298" s="32" t="s">
        <v>184</v>
      </c>
      <c r="D2298" s="32" t="s">
        <v>254</v>
      </c>
      <c r="E2298" s="32" t="s">
        <v>255</v>
      </c>
      <c r="F2298" s="32" t="s">
        <v>305</v>
      </c>
      <c r="G2298" s="32" t="s">
        <v>317</v>
      </c>
    </row>
    <row r="2299" ht="16.5" customHeight="1">
      <c r="A2299" s="32">
        <v>2298.0</v>
      </c>
      <c r="B2299" s="32" t="s">
        <v>2975</v>
      </c>
      <c r="C2299" s="32" t="s">
        <v>184</v>
      </c>
      <c r="D2299" s="32" t="s">
        <v>254</v>
      </c>
      <c r="E2299" s="32" t="s">
        <v>255</v>
      </c>
      <c r="F2299" s="32" t="s">
        <v>305</v>
      </c>
      <c r="G2299" s="32" t="s">
        <v>319</v>
      </c>
    </row>
    <row r="2300" ht="16.5" customHeight="1">
      <c r="A2300" s="32">
        <v>2299.0</v>
      </c>
      <c r="B2300" s="32" t="s">
        <v>2976</v>
      </c>
      <c r="C2300" s="32" t="s">
        <v>184</v>
      </c>
      <c r="D2300" s="32" t="s">
        <v>234</v>
      </c>
      <c r="E2300" s="32" t="s">
        <v>255</v>
      </c>
      <c r="F2300" s="32" t="s">
        <v>347</v>
      </c>
      <c r="G2300" s="32" t="s">
        <v>382</v>
      </c>
    </row>
    <row r="2301" ht="16.5" customHeight="1">
      <c r="A2301" s="32">
        <v>2300.0</v>
      </c>
      <c r="B2301" s="32" t="s">
        <v>2977</v>
      </c>
      <c r="C2301" s="32" t="s">
        <v>184</v>
      </c>
      <c r="D2301" s="32" t="s">
        <v>234</v>
      </c>
      <c r="E2301" s="32" t="s">
        <v>255</v>
      </c>
      <c r="F2301" s="32" t="s">
        <v>347</v>
      </c>
      <c r="G2301" s="32" t="s">
        <v>382</v>
      </c>
    </row>
    <row r="2302" ht="16.5" customHeight="1">
      <c r="A2302" s="32">
        <v>2301.0</v>
      </c>
      <c r="B2302" s="32" t="s">
        <v>2978</v>
      </c>
      <c r="C2302" s="32" t="s">
        <v>184</v>
      </c>
      <c r="D2302" s="32" t="s">
        <v>234</v>
      </c>
      <c r="E2302" s="32" t="s">
        <v>255</v>
      </c>
      <c r="F2302" s="32" t="s">
        <v>235</v>
      </c>
      <c r="G2302" s="32" t="s">
        <v>243</v>
      </c>
    </row>
    <row r="2303" ht="16.5" customHeight="1">
      <c r="A2303" s="32">
        <v>2302.0</v>
      </c>
      <c r="B2303" s="32" t="s">
        <v>2979</v>
      </c>
      <c r="C2303" s="32" t="s">
        <v>184</v>
      </c>
      <c r="D2303" s="32" t="s">
        <v>234</v>
      </c>
      <c r="E2303" s="32" t="s">
        <v>255</v>
      </c>
      <c r="F2303" s="32" t="s">
        <v>235</v>
      </c>
      <c r="G2303" s="32" t="s">
        <v>243</v>
      </c>
    </row>
    <row r="2304" ht="16.5" customHeight="1">
      <c r="A2304" s="32">
        <v>2303.0</v>
      </c>
      <c r="B2304" s="32" t="s">
        <v>2980</v>
      </c>
      <c r="C2304" s="32" t="s">
        <v>184</v>
      </c>
      <c r="D2304" s="32" t="s">
        <v>234</v>
      </c>
      <c r="E2304" s="32" t="s">
        <v>255</v>
      </c>
      <c r="F2304" s="32" t="s">
        <v>347</v>
      </c>
      <c r="G2304" s="32" t="s">
        <v>2981</v>
      </c>
    </row>
    <row r="2305" ht="16.5" customHeight="1">
      <c r="A2305" s="32">
        <v>2304.0</v>
      </c>
      <c r="B2305" s="32" t="s">
        <v>2982</v>
      </c>
      <c r="C2305" s="32" t="s">
        <v>184</v>
      </c>
      <c r="D2305" s="32" t="s">
        <v>185</v>
      </c>
      <c r="E2305" s="32" t="s">
        <v>255</v>
      </c>
      <c r="F2305" s="32" t="s">
        <v>267</v>
      </c>
      <c r="G2305" s="32" t="s">
        <v>188</v>
      </c>
    </row>
    <row r="2306" ht="16.5" customHeight="1">
      <c r="A2306" s="32">
        <v>2305.0</v>
      </c>
      <c r="B2306" s="32" t="s">
        <v>2983</v>
      </c>
      <c r="C2306" s="32" t="s">
        <v>184</v>
      </c>
      <c r="D2306" s="32" t="s">
        <v>234</v>
      </c>
      <c r="E2306" s="32" t="s">
        <v>255</v>
      </c>
      <c r="F2306" s="32" t="s">
        <v>885</v>
      </c>
    </row>
    <row r="2307" ht="16.5" customHeight="1">
      <c r="A2307" s="32">
        <v>2306.0</v>
      </c>
      <c r="B2307" s="32" t="s">
        <v>2984</v>
      </c>
      <c r="C2307" s="32" t="s">
        <v>184</v>
      </c>
      <c r="D2307" s="32" t="s">
        <v>234</v>
      </c>
      <c r="E2307" s="32" t="s">
        <v>255</v>
      </c>
      <c r="F2307" s="32" t="s">
        <v>235</v>
      </c>
      <c r="G2307" s="32" t="s">
        <v>2985</v>
      </c>
    </row>
    <row r="2308" ht="16.5" customHeight="1">
      <c r="A2308" s="32">
        <v>2307.0</v>
      </c>
      <c r="B2308" s="32" t="s">
        <v>2986</v>
      </c>
      <c r="C2308" s="32" t="s">
        <v>184</v>
      </c>
      <c r="D2308" s="32" t="s">
        <v>254</v>
      </c>
      <c r="E2308" s="32" t="s">
        <v>255</v>
      </c>
      <c r="F2308" s="32" t="s">
        <v>424</v>
      </c>
      <c r="G2308" s="32" t="s">
        <v>425</v>
      </c>
    </row>
    <row r="2309" ht="16.5" customHeight="1">
      <c r="A2309" s="32">
        <v>2308.0</v>
      </c>
      <c r="B2309" s="32" t="s">
        <v>2987</v>
      </c>
      <c r="C2309" s="32" t="s">
        <v>184</v>
      </c>
      <c r="D2309" s="32" t="s">
        <v>254</v>
      </c>
      <c r="E2309" s="32" t="s">
        <v>255</v>
      </c>
      <c r="F2309" s="32" t="s">
        <v>424</v>
      </c>
      <c r="G2309" s="32" t="s">
        <v>2988</v>
      </c>
    </row>
    <row r="2310" ht="16.5" customHeight="1">
      <c r="A2310" s="32">
        <v>2309.0</v>
      </c>
      <c r="B2310" s="32" t="s">
        <v>2989</v>
      </c>
      <c r="C2310" s="32" t="s">
        <v>184</v>
      </c>
      <c r="D2310" s="32" t="s">
        <v>285</v>
      </c>
      <c r="E2310" s="32" t="s">
        <v>255</v>
      </c>
      <c r="F2310" s="32" t="s">
        <v>188</v>
      </c>
      <c r="G2310" s="32" t="s">
        <v>561</v>
      </c>
    </row>
    <row r="2311" ht="16.5" customHeight="1">
      <c r="A2311" s="32">
        <v>2310.0</v>
      </c>
      <c r="B2311" s="32" t="s">
        <v>2990</v>
      </c>
      <c r="C2311" s="32" t="s">
        <v>184</v>
      </c>
      <c r="D2311" s="32" t="s">
        <v>285</v>
      </c>
      <c r="E2311" s="32" t="s">
        <v>255</v>
      </c>
      <c r="F2311" s="32" t="s">
        <v>188</v>
      </c>
      <c r="G2311" s="32" t="s">
        <v>2991</v>
      </c>
    </row>
    <row r="2312" ht="16.5" customHeight="1">
      <c r="A2312" s="32">
        <v>2311.0</v>
      </c>
      <c r="B2312" s="32" t="s">
        <v>2992</v>
      </c>
      <c r="C2312" s="32" t="s">
        <v>184</v>
      </c>
      <c r="D2312" s="32" t="s">
        <v>285</v>
      </c>
      <c r="E2312" s="32" t="s">
        <v>255</v>
      </c>
    </row>
    <row r="2313" ht="16.5" customHeight="1">
      <c r="A2313" s="32">
        <v>2312.0</v>
      </c>
      <c r="B2313" s="32" t="s">
        <v>2993</v>
      </c>
      <c r="C2313" s="32" t="s">
        <v>184</v>
      </c>
      <c r="D2313" s="32" t="s">
        <v>219</v>
      </c>
      <c r="E2313" s="32" t="s">
        <v>255</v>
      </c>
      <c r="F2313" s="32" t="s">
        <v>241</v>
      </c>
      <c r="G2313" s="32" t="s">
        <v>292</v>
      </c>
    </row>
    <row r="2314" ht="16.5" customHeight="1">
      <c r="A2314" s="32">
        <v>2313.0</v>
      </c>
      <c r="B2314" s="32" t="s">
        <v>2994</v>
      </c>
      <c r="C2314" s="32" t="s">
        <v>184</v>
      </c>
      <c r="D2314" s="32" t="s">
        <v>192</v>
      </c>
      <c r="E2314" s="32" t="s">
        <v>255</v>
      </c>
      <c r="F2314" s="32" t="s">
        <v>329</v>
      </c>
      <c r="G2314" s="32" t="s">
        <v>457</v>
      </c>
    </row>
    <row r="2315" ht="16.5" customHeight="1">
      <c r="A2315" s="32">
        <v>2314.0</v>
      </c>
      <c r="B2315" s="32" t="s">
        <v>2995</v>
      </c>
      <c r="C2315" s="32" t="s">
        <v>184</v>
      </c>
      <c r="D2315" s="32" t="s">
        <v>192</v>
      </c>
      <c r="E2315" s="32" t="s">
        <v>255</v>
      </c>
      <c r="F2315" s="32" t="s">
        <v>329</v>
      </c>
      <c r="G2315" s="32" t="s">
        <v>457</v>
      </c>
    </row>
    <row r="2316" ht="16.5" customHeight="1">
      <c r="A2316" s="32">
        <v>2315.0</v>
      </c>
      <c r="B2316" s="32" t="s">
        <v>2996</v>
      </c>
      <c r="C2316" s="32" t="s">
        <v>184</v>
      </c>
      <c r="D2316" s="32" t="s">
        <v>192</v>
      </c>
      <c r="E2316" s="32" t="s">
        <v>255</v>
      </c>
      <c r="F2316" s="32" t="s">
        <v>329</v>
      </c>
      <c r="G2316" s="32" t="s">
        <v>457</v>
      </c>
    </row>
    <row r="2317" ht="16.5" customHeight="1">
      <c r="A2317" s="32">
        <v>2316.0</v>
      </c>
      <c r="B2317" s="32" t="s">
        <v>2997</v>
      </c>
      <c r="C2317" s="32" t="s">
        <v>184</v>
      </c>
      <c r="D2317" s="32" t="s">
        <v>192</v>
      </c>
      <c r="E2317" s="32" t="s">
        <v>255</v>
      </c>
      <c r="F2317" s="32" t="s">
        <v>329</v>
      </c>
      <c r="G2317" s="32" t="s">
        <v>357</v>
      </c>
    </row>
    <row r="2318" ht="16.5" customHeight="1">
      <c r="A2318" s="32">
        <v>2317.0</v>
      </c>
      <c r="B2318" s="32" t="s">
        <v>2998</v>
      </c>
      <c r="C2318" s="32" t="s">
        <v>184</v>
      </c>
      <c r="D2318" s="32" t="s">
        <v>192</v>
      </c>
      <c r="E2318" s="32" t="s">
        <v>255</v>
      </c>
      <c r="F2318" s="32" t="s">
        <v>329</v>
      </c>
      <c r="G2318" s="32" t="s">
        <v>457</v>
      </c>
    </row>
    <row r="2319" ht="16.5" customHeight="1">
      <c r="A2319" s="32">
        <v>2318.0</v>
      </c>
      <c r="B2319" s="32" t="s">
        <v>2999</v>
      </c>
      <c r="C2319" s="32" t="s">
        <v>184</v>
      </c>
      <c r="D2319" s="32" t="s">
        <v>192</v>
      </c>
      <c r="E2319" s="32" t="s">
        <v>255</v>
      </c>
      <c r="F2319" s="32" t="s">
        <v>329</v>
      </c>
      <c r="G2319" s="32" t="s">
        <v>357</v>
      </c>
    </row>
    <row r="2320" ht="16.5" customHeight="1">
      <c r="A2320" s="32">
        <v>2319.0</v>
      </c>
      <c r="B2320" s="32" t="s">
        <v>3000</v>
      </c>
      <c r="C2320" s="32" t="s">
        <v>184</v>
      </c>
      <c r="D2320" s="32" t="s">
        <v>192</v>
      </c>
      <c r="E2320" s="32" t="s">
        <v>255</v>
      </c>
      <c r="F2320" s="32" t="s">
        <v>329</v>
      </c>
      <c r="G2320" s="32" t="s">
        <v>357</v>
      </c>
    </row>
    <row r="2321" ht="16.5" customHeight="1">
      <c r="A2321" s="32">
        <v>2320.0</v>
      </c>
      <c r="B2321" s="32" t="s">
        <v>3001</v>
      </c>
      <c r="C2321" s="32" t="s">
        <v>184</v>
      </c>
      <c r="D2321" s="32" t="s">
        <v>192</v>
      </c>
      <c r="E2321" s="32" t="s">
        <v>255</v>
      </c>
      <c r="F2321" s="32" t="s">
        <v>329</v>
      </c>
      <c r="G2321" s="32" t="s">
        <v>457</v>
      </c>
    </row>
    <row r="2322" ht="16.5" customHeight="1">
      <c r="A2322" s="32">
        <v>2321.0</v>
      </c>
      <c r="B2322" s="32" t="s">
        <v>3002</v>
      </c>
      <c r="C2322" s="32" t="s">
        <v>184</v>
      </c>
      <c r="D2322" s="32" t="s">
        <v>192</v>
      </c>
      <c r="E2322" s="32" t="s">
        <v>255</v>
      </c>
    </row>
    <row r="2323" ht="16.5" customHeight="1">
      <c r="A2323" s="32">
        <v>2322.0</v>
      </c>
      <c r="B2323" s="32" t="s">
        <v>3003</v>
      </c>
      <c r="C2323" s="32" t="s">
        <v>184</v>
      </c>
      <c r="D2323" s="32" t="s">
        <v>192</v>
      </c>
      <c r="E2323" s="32" t="s">
        <v>255</v>
      </c>
    </row>
    <row r="2324" ht="16.5" customHeight="1">
      <c r="A2324" s="32">
        <v>2323.0</v>
      </c>
      <c r="B2324" s="32" t="s">
        <v>3004</v>
      </c>
      <c r="C2324" s="32" t="s">
        <v>184</v>
      </c>
      <c r="D2324" s="32" t="s">
        <v>192</v>
      </c>
      <c r="E2324" s="32" t="s">
        <v>255</v>
      </c>
      <c r="F2324" s="32" t="s">
        <v>329</v>
      </c>
      <c r="G2324" s="32" t="s">
        <v>357</v>
      </c>
    </row>
    <row r="2325" ht="16.5" customHeight="1">
      <c r="A2325" s="32">
        <v>2324.0</v>
      </c>
      <c r="B2325" s="32" t="s">
        <v>3005</v>
      </c>
      <c r="C2325" s="32" t="s">
        <v>184</v>
      </c>
      <c r="D2325" s="32" t="s">
        <v>192</v>
      </c>
      <c r="E2325" s="32" t="s">
        <v>255</v>
      </c>
      <c r="F2325" s="32" t="s">
        <v>329</v>
      </c>
      <c r="G2325" s="32" t="s">
        <v>447</v>
      </c>
    </row>
    <row r="2326" ht="16.5" customHeight="1">
      <c r="A2326" s="32">
        <v>2325.0</v>
      </c>
      <c r="B2326" s="32" t="s">
        <v>3006</v>
      </c>
      <c r="C2326" s="32" t="s">
        <v>184</v>
      </c>
      <c r="D2326" s="32" t="s">
        <v>192</v>
      </c>
      <c r="E2326" s="32" t="s">
        <v>255</v>
      </c>
      <c r="F2326" s="32" t="s">
        <v>329</v>
      </c>
      <c r="G2326" s="32" t="s">
        <v>357</v>
      </c>
    </row>
    <row r="2327" ht="16.5" customHeight="1">
      <c r="A2327" s="32">
        <v>2326.0</v>
      </c>
      <c r="B2327" s="32" t="s">
        <v>3007</v>
      </c>
      <c r="C2327" s="32" t="s">
        <v>184</v>
      </c>
      <c r="D2327" s="32" t="s">
        <v>192</v>
      </c>
      <c r="E2327" s="32" t="s">
        <v>255</v>
      </c>
      <c r="F2327" s="32" t="s">
        <v>329</v>
      </c>
      <c r="G2327" s="32" t="s">
        <v>447</v>
      </c>
    </row>
    <row r="2328" ht="16.5" customHeight="1">
      <c r="A2328" s="32">
        <v>2327.0</v>
      </c>
      <c r="B2328" s="32" t="s">
        <v>3008</v>
      </c>
      <c r="C2328" s="32" t="s">
        <v>184</v>
      </c>
      <c r="D2328" s="32" t="s">
        <v>192</v>
      </c>
      <c r="E2328" s="32" t="s">
        <v>3009</v>
      </c>
      <c r="F2328" s="32" t="s">
        <v>329</v>
      </c>
      <c r="G2328" s="32" t="s">
        <v>447</v>
      </c>
    </row>
    <row r="2329" ht="16.5" customHeight="1">
      <c r="A2329" s="32">
        <v>2328.0</v>
      </c>
      <c r="B2329" s="32" t="s">
        <v>3010</v>
      </c>
      <c r="C2329" s="32" t="s">
        <v>184</v>
      </c>
      <c r="D2329" s="32" t="s">
        <v>192</v>
      </c>
      <c r="E2329" s="32" t="s">
        <v>255</v>
      </c>
    </row>
    <row r="2330" ht="16.5" customHeight="1">
      <c r="A2330" s="32">
        <v>2329.0</v>
      </c>
      <c r="B2330" s="32" t="s">
        <v>3011</v>
      </c>
      <c r="C2330" s="32" t="s">
        <v>184</v>
      </c>
      <c r="D2330" s="32" t="s">
        <v>192</v>
      </c>
      <c r="E2330" s="32" t="s">
        <v>255</v>
      </c>
    </row>
    <row r="2331" ht="16.5" customHeight="1">
      <c r="A2331" s="32">
        <v>2330.0</v>
      </c>
      <c r="B2331" s="32" t="s">
        <v>3012</v>
      </c>
      <c r="C2331" s="32" t="s">
        <v>184</v>
      </c>
      <c r="D2331" s="32" t="s">
        <v>192</v>
      </c>
      <c r="E2331" s="32" t="s">
        <v>255</v>
      </c>
      <c r="F2331" s="32" t="s">
        <v>329</v>
      </c>
      <c r="G2331" s="32" t="s">
        <v>357</v>
      </c>
    </row>
    <row r="2332" ht="16.5" customHeight="1">
      <c r="A2332" s="32">
        <v>2331.0</v>
      </c>
      <c r="B2332" s="32" t="s">
        <v>3013</v>
      </c>
      <c r="C2332" s="32" t="s">
        <v>184</v>
      </c>
      <c r="D2332" s="32" t="s">
        <v>192</v>
      </c>
      <c r="E2332" s="32" t="s">
        <v>255</v>
      </c>
      <c r="F2332" s="32" t="s">
        <v>3014</v>
      </c>
      <c r="G2332" s="32" t="s">
        <v>447</v>
      </c>
    </row>
    <row r="2333" ht="16.5" customHeight="1">
      <c r="A2333" s="32">
        <v>2332.0</v>
      </c>
      <c r="B2333" s="32" t="s">
        <v>3015</v>
      </c>
      <c r="C2333" s="32" t="s">
        <v>184</v>
      </c>
      <c r="D2333" s="32" t="s">
        <v>192</v>
      </c>
      <c r="E2333" s="32" t="s">
        <v>255</v>
      </c>
    </row>
    <row r="2334" ht="16.5" customHeight="1">
      <c r="A2334" s="32">
        <v>2333.0</v>
      </c>
      <c r="B2334" s="32" t="s">
        <v>3016</v>
      </c>
      <c r="C2334" s="32" t="s">
        <v>184</v>
      </c>
      <c r="D2334" s="32" t="s">
        <v>192</v>
      </c>
      <c r="E2334" s="32" t="s">
        <v>255</v>
      </c>
      <c r="F2334" s="32" t="s">
        <v>3017</v>
      </c>
    </row>
    <row r="2335" ht="16.5" customHeight="1">
      <c r="A2335" s="32">
        <v>2334.0</v>
      </c>
      <c r="B2335" s="32" t="s">
        <v>3018</v>
      </c>
      <c r="C2335" s="32" t="s">
        <v>184</v>
      </c>
      <c r="D2335" s="32" t="s">
        <v>234</v>
      </c>
      <c r="E2335" s="32" t="s">
        <v>255</v>
      </c>
      <c r="F2335" s="32" t="s">
        <v>347</v>
      </c>
      <c r="G2335" s="32" t="s">
        <v>382</v>
      </c>
    </row>
    <row r="2336" ht="16.5" customHeight="1">
      <c r="A2336" s="32">
        <v>2335.0</v>
      </c>
      <c r="B2336" s="32" t="s">
        <v>3019</v>
      </c>
      <c r="C2336" s="32" t="s">
        <v>184</v>
      </c>
      <c r="D2336" s="32" t="s">
        <v>234</v>
      </c>
      <c r="E2336" s="32" t="s">
        <v>255</v>
      </c>
      <c r="F2336" s="32" t="s">
        <v>347</v>
      </c>
      <c r="G2336" s="32" t="s">
        <v>3020</v>
      </c>
    </row>
    <row r="2337" ht="16.5" customHeight="1">
      <c r="A2337" s="32">
        <v>2336.0</v>
      </c>
      <c r="B2337" s="32" t="s">
        <v>3021</v>
      </c>
      <c r="C2337" s="32" t="s">
        <v>184</v>
      </c>
      <c r="D2337" s="32" t="s">
        <v>254</v>
      </c>
      <c r="E2337" s="32" t="s">
        <v>255</v>
      </c>
      <c r="F2337" s="32" t="s">
        <v>256</v>
      </c>
      <c r="G2337" s="32" t="s">
        <v>1308</v>
      </c>
    </row>
    <row r="2338" ht="16.5" customHeight="1">
      <c r="A2338" s="32">
        <v>2337.0</v>
      </c>
      <c r="B2338" s="32" t="s">
        <v>3022</v>
      </c>
      <c r="C2338" s="32" t="s">
        <v>184</v>
      </c>
      <c r="D2338" s="32" t="s">
        <v>254</v>
      </c>
      <c r="E2338" s="32" t="s">
        <v>399</v>
      </c>
      <c r="F2338" s="32" t="s">
        <v>256</v>
      </c>
      <c r="G2338" s="32" t="s">
        <v>1308</v>
      </c>
    </row>
    <row r="2339" ht="16.5" customHeight="1">
      <c r="A2339" s="32">
        <v>2338.0</v>
      </c>
      <c r="B2339" s="32" t="s">
        <v>3023</v>
      </c>
      <c r="C2339" s="32" t="s">
        <v>184</v>
      </c>
      <c r="D2339" s="32" t="s">
        <v>254</v>
      </c>
      <c r="E2339" s="32" t="s">
        <v>255</v>
      </c>
    </row>
    <row r="2340" ht="16.5" customHeight="1">
      <c r="A2340" s="32">
        <v>2339.0</v>
      </c>
      <c r="B2340" s="32" t="s">
        <v>3024</v>
      </c>
      <c r="C2340" s="32" t="s">
        <v>184</v>
      </c>
      <c r="D2340" s="32" t="s">
        <v>254</v>
      </c>
      <c r="E2340" s="32" t="s">
        <v>255</v>
      </c>
      <c r="F2340" s="32" t="s">
        <v>1213</v>
      </c>
      <c r="G2340" s="32" t="s">
        <v>3025</v>
      </c>
    </row>
    <row r="2341" ht="16.5" customHeight="1">
      <c r="A2341" s="32">
        <v>2340.0</v>
      </c>
      <c r="B2341" s="32" t="s">
        <v>3026</v>
      </c>
      <c r="C2341" s="32" t="s">
        <v>184</v>
      </c>
      <c r="D2341" s="32" t="s">
        <v>254</v>
      </c>
      <c r="E2341" s="32" t="s">
        <v>373</v>
      </c>
    </row>
    <row r="2342" ht="16.5" customHeight="1">
      <c r="A2342" s="32">
        <v>2341.0</v>
      </c>
      <c r="B2342" s="32" t="s">
        <v>3027</v>
      </c>
      <c r="C2342" s="32" t="s">
        <v>184</v>
      </c>
      <c r="D2342" s="32" t="s">
        <v>254</v>
      </c>
      <c r="E2342" s="32" t="s">
        <v>255</v>
      </c>
      <c r="F2342" s="32" t="s">
        <v>305</v>
      </c>
      <c r="G2342" s="32" t="s">
        <v>3028</v>
      </c>
    </row>
    <row r="2343" ht="16.5" customHeight="1">
      <c r="A2343" s="32">
        <v>2342.0</v>
      </c>
      <c r="B2343" s="32" t="s">
        <v>3029</v>
      </c>
      <c r="C2343" s="32" t="s">
        <v>184</v>
      </c>
      <c r="D2343" s="32" t="s">
        <v>321</v>
      </c>
      <c r="E2343" s="32" t="s">
        <v>255</v>
      </c>
    </row>
    <row r="2344" ht="16.5" customHeight="1">
      <c r="A2344" s="32">
        <v>2343.0</v>
      </c>
      <c r="B2344" s="32" t="s">
        <v>3030</v>
      </c>
      <c r="C2344" s="32" t="s">
        <v>184</v>
      </c>
      <c r="D2344" s="32" t="s">
        <v>254</v>
      </c>
      <c r="E2344" s="32" t="s">
        <v>255</v>
      </c>
      <c r="F2344" s="32" t="s">
        <v>305</v>
      </c>
      <c r="G2344" s="32" t="s">
        <v>317</v>
      </c>
    </row>
    <row r="2345" ht="16.5" customHeight="1">
      <c r="A2345" s="32">
        <v>2344.0</v>
      </c>
      <c r="B2345" s="32" t="s">
        <v>3031</v>
      </c>
      <c r="C2345" s="32" t="s">
        <v>184</v>
      </c>
      <c r="D2345" s="32" t="s">
        <v>254</v>
      </c>
      <c r="E2345" s="32" t="s">
        <v>255</v>
      </c>
      <c r="F2345" s="32" t="s">
        <v>256</v>
      </c>
      <c r="G2345" s="32" t="s">
        <v>257</v>
      </c>
    </row>
    <row r="2346" ht="16.5" customHeight="1">
      <c r="A2346" s="32">
        <v>2345.0</v>
      </c>
      <c r="B2346" s="32" t="s">
        <v>3032</v>
      </c>
      <c r="C2346" s="32" t="s">
        <v>184</v>
      </c>
      <c r="D2346" s="32" t="s">
        <v>254</v>
      </c>
      <c r="E2346" s="32" t="s">
        <v>255</v>
      </c>
      <c r="F2346" s="32" t="s">
        <v>256</v>
      </c>
      <c r="G2346" s="32" t="s">
        <v>257</v>
      </c>
    </row>
    <row r="2347" ht="16.5" customHeight="1">
      <c r="A2347" s="32">
        <v>2346.0</v>
      </c>
      <c r="B2347" s="32" t="s">
        <v>3033</v>
      </c>
      <c r="C2347" s="32" t="s">
        <v>184</v>
      </c>
      <c r="D2347" s="32" t="s">
        <v>254</v>
      </c>
      <c r="E2347" s="32" t="s">
        <v>3034</v>
      </c>
      <c r="F2347" s="32" t="s">
        <v>424</v>
      </c>
    </row>
    <row r="2348" ht="16.5" customHeight="1">
      <c r="A2348" s="32">
        <v>2347.0</v>
      </c>
      <c r="B2348" s="32" t="s">
        <v>3035</v>
      </c>
      <c r="C2348" s="32" t="s">
        <v>184</v>
      </c>
      <c r="D2348" s="32" t="s">
        <v>214</v>
      </c>
      <c r="E2348" s="32" t="s">
        <v>3034</v>
      </c>
      <c r="F2348" s="32" t="s">
        <v>3036</v>
      </c>
      <c r="G2348" s="32" t="s">
        <v>882</v>
      </c>
    </row>
    <row r="2349" ht="16.5" customHeight="1">
      <c r="A2349" s="32">
        <v>2348.0</v>
      </c>
      <c r="B2349" s="32" t="s">
        <v>3037</v>
      </c>
      <c r="C2349" s="32" t="s">
        <v>184</v>
      </c>
      <c r="D2349" s="32" t="s">
        <v>228</v>
      </c>
      <c r="E2349" s="32" t="s">
        <v>3034</v>
      </c>
      <c r="F2349" s="32" t="s">
        <v>229</v>
      </c>
      <c r="G2349" s="32" t="s">
        <v>230</v>
      </c>
    </row>
    <row r="2350" ht="16.5" customHeight="1">
      <c r="A2350" s="32">
        <v>2349.0</v>
      </c>
      <c r="B2350" s="32" t="s">
        <v>3038</v>
      </c>
      <c r="C2350" s="32" t="s">
        <v>184</v>
      </c>
      <c r="D2350" s="32" t="s">
        <v>234</v>
      </c>
      <c r="E2350" s="32" t="s">
        <v>3034</v>
      </c>
      <c r="F2350" s="32" t="s">
        <v>235</v>
      </c>
      <c r="G2350" s="32" t="s">
        <v>243</v>
      </c>
    </row>
    <row r="2351" ht="16.5" customHeight="1">
      <c r="A2351" s="32">
        <v>2350.0</v>
      </c>
      <c r="B2351" s="32" t="s">
        <v>3039</v>
      </c>
      <c r="C2351" s="32" t="s">
        <v>184</v>
      </c>
      <c r="D2351" s="32" t="s">
        <v>234</v>
      </c>
      <c r="E2351" s="32" t="s">
        <v>3034</v>
      </c>
    </row>
    <row r="2352" ht="16.5" customHeight="1">
      <c r="A2352" s="32">
        <v>2351.0</v>
      </c>
      <c r="B2352" s="32" t="s">
        <v>3040</v>
      </c>
      <c r="C2352" s="32" t="s">
        <v>184</v>
      </c>
      <c r="D2352" s="32" t="s">
        <v>192</v>
      </c>
      <c r="E2352" s="32" t="s">
        <v>3034</v>
      </c>
      <c r="F2352" s="32" t="s">
        <v>3041</v>
      </c>
      <c r="G2352" s="32" t="s">
        <v>457</v>
      </c>
    </row>
    <row r="2353" ht="16.5" customHeight="1">
      <c r="A2353" s="32">
        <v>2352.0</v>
      </c>
      <c r="B2353" s="32" t="s">
        <v>3042</v>
      </c>
      <c r="C2353" s="32" t="s">
        <v>184</v>
      </c>
      <c r="D2353" s="32" t="s">
        <v>192</v>
      </c>
      <c r="E2353" s="32" t="s">
        <v>3034</v>
      </c>
    </row>
    <row r="2354" ht="16.5" customHeight="1">
      <c r="A2354" s="32">
        <v>2353.0</v>
      </c>
      <c r="B2354" s="32" t="s">
        <v>3043</v>
      </c>
      <c r="C2354" s="32" t="s">
        <v>184</v>
      </c>
      <c r="D2354" s="32" t="s">
        <v>192</v>
      </c>
      <c r="E2354" s="32" t="s">
        <v>3034</v>
      </c>
      <c r="F2354" s="32" t="s">
        <v>3044</v>
      </c>
      <c r="G2354" s="32" t="s">
        <v>457</v>
      </c>
    </row>
    <row r="2355" ht="16.5" customHeight="1">
      <c r="A2355" s="32">
        <v>2354.0</v>
      </c>
      <c r="B2355" s="32" t="s">
        <v>3045</v>
      </c>
      <c r="C2355" s="32" t="s">
        <v>184</v>
      </c>
      <c r="D2355" s="32" t="s">
        <v>192</v>
      </c>
      <c r="E2355" s="32" t="s">
        <v>3034</v>
      </c>
      <c r="F2355" s="32" t="s">
        <v>2135</v>
      </c>
      <c r="G2355" s="32" t="s">
        <v>2112</v>
      </c>
    </row>
    <row r="2356" ht="16.5" customHeight="1">
      <c r="A2356" s="32">
        <v>2355.0</v>
      </c>
      <c r="B2356" s="32" t="s">
        <v>3046</v>
      </c>
      <c r="C2356" s="32" t="s">
        <v>184</v>
      </c>
      <c r="D2356" s="32" t="s">
        <v>228</v>
      </c>
      <c r="E2356" s="32" t="s">
        <v>3034</v>
      </c>
      <c r="F2356" s="32" t="s">
        <v>229</v>
      </c>
      <c r="G2356" s="32" t="s">
        <v>230</v>
      </c>
    </row>
    <row r="2357" ht="16.5" customHeight="1">
      <c r="A2357" s="32">
        <v>2356.0</v>
      </c>
      <c r="B2357" s="32" t="s">
        <v>3047</v>
      </c>
      <c r="C2357" s="32" t="s">
        <v>184</v>
      </c>
      <c r="D2357" s="32" t="s">
        <v>228</v>
      </c>
      <c r="E2357" s="32" t="s">
        <v>3034</v>
      </c>
      <c r="F2357" s="32" t="s">
        <v>333</v>
      </c>
      <c r="G2357" s="32" t="s">
        <v>3048</v>
      </c>
    </row>
    <row r="2358" ht="16.5" customHeight="1">
      <c r="A2358" s="32">
        <v>2357.0</v>
      </c>
      <c r="B2358" s="32" t="s">
        <v>3049</v>
      </c>
      <c r="C2358" s="32" t="s">
        <v>184</v>
      </c>
      <c r="D2358" s="32" t="s">
        <v>285</v>
      </c>
      <c r="E2358" s="32" t="s">
        <v>3034</v>
      </c>
    </row>
    <row r="2359" ht="16.5" customHeight="1">
      <c r="A2359" s="32">
        <v>2358.0</v>
      </c>
      <c r="B2359" s="32" t="s">
        <v>3050</v>
      </c>
      <c r="C2359" s="32" t="s">
        <v>184</v>
      </c>
      <c r="D2359" s="35" t="s">
        <v>294</v>
      </c>
      <c r="E2359" s="32" t="s">
        <v>3034</v>
      </c>
      <c r="F2359" s="32" t="s">
        <v>189</v>
      </c>
      <c r="G2359" s="32" t="s">
        <v>190</v>
      </c>
    </row>
    <row r="2360" ht="16.5" customHeight="1">
      <c r="A2360" s="32">
        <v>2359.0</v>
      </c>
      <c r="B2360" s="32" t="s">
        <v>3051</v>
      </c>
      <c r="C2360" s="32" t="s">
        <v>184</v>
      </c>
      <c r="D2360" s="32" t="s">
        <v>185</v>
      </c>
      <c r="E2360" s="32" t="s">
        <v>3034</v>
      </c>
    </row>
    <row r="2361" ht="16.5" customHeight="1">
      <c r="A2361" s="32">
        <v>2360.0</v>
      </c>
      <c r="B2361" s="32" t="s">
        <v>3052</v>
      </c>
      <c r="C2361" s="32" t="s">
        <v>184</v>
      </c>
      <c r="D2361" s="32" t="s">
        <v>192</v>
      </c>
      <c r="E2361" s="32" t="s">
        <v>3034</v>
      </c>
    </row>
    <row r="2362" ht="16.5" customHeight="1">
      <c r="A2362" s="32">
        <v>2361.0</v>
      </c>
      <c r="B2362" s="32" t="s">
        <v>3053</v>
      </c>
      <c r="C2362" s="32" t="s">
        <v>184</v>
      </c>
      <c r="D2362" s="32" t="s">
        <v>192</v>
      </c>
      <c r="E2362" s="32" t="s">
        <v>3034</v>
      </c>
    </row>
    <row r="2363" ht="16.5" customHeight="1">
      <c r="A2363" s="32">
        <v>2362.0</v>
      </c>
      <c r="B2363" s="32" t="s">
        <v>3054</v>
      </c>
      <c r="C2363" s="32" t="s">
        <v>184</v>
      </c>
      <c r="D2363" s="32" t="s">
        <v>254</v>
      </c>
      <c r="E2363" s="32" t="s">
        <v>3034</v>
      </c>
      <c r="F2363" s="32" t="s">
        <v>741</v>
      </c>
      <c r="G2363" s="32" t="s">
        <v>3055</v>
      </c>
    </row>
    <row r="2364" ht="16.5" customHeight="1">
      <c r="A2364" s="32">
        <v>2363.0</v>
      </c>
      <c r="B2364" s="32" t="s">
        <v>3056</v>
      </c>
      <c r="C2364" s="32" t="s">
        <v>184</v>
      </c>
      <c r="D2364" s="32" t="s">
        <v>254</v>
      </c>
      <c r="E2364" s="32" t="s">
        <v>3034</v>
      </c>
      <c r="F2364" s="32" t="s">
        <v>741</v>
      </c>
      <c r="G2364" s="32" t="s">
        <v>3057</v>
      </c>
    </row>
    <row r="2365" ht="16.5" customHeight="1">
      <c r="A2365" s="32">
        <v>2364.0</v>
      </c>
      <c r="B2365" s="32" t="s">
        <v>3058</v>
      </c>
      <c r="C2365" s="32" t="s">
        <v>184</v>
      </c>
      <c r="D2365" s="32" t="s">
        <v>192</v>
      </c>
      <c r="E2365" s="32" t="s">
        <v>3034</v>
      </c>
    </row>
    <row r="2366" ht="16.5" customHeight="1">
      <c r="A2366" s="32">
        <v>2365.0</v>
      </c>
      <c r="B2366" s="32" t="s">
        <v>3059</v>
      </c>
      <c r="C2366" s="32" t="s">
        <v>184</v>
      </c>
      <c r="D2366" s="32" t="s">
        <v>219</v>
      </c>
      <c r="E2366" s="32" t="s">
        <v>3034</v>
      </c>
    </row>
    <row r="2367" ht="16.5" customHeight="1">
      <c r="A2367" s="32">
        <v>2366.0</v>
      </c>
      <c r="B2367" s="32" t="s">
        <v>3060</v>
      </c>
      <c r="C2367" s="32" t="s">
        <v>184</v>
      </c>
      <c r="D2367" s="32" t="s">
        <v>234</v>
      </c>
      <c r="E2367" s="32" t="s">
        <v>3034</v>
      </c>
      <c r="F2367" s="32" t="s">
        <v>235</v>
      </c>
      <c r="G2367" s="32" t="s">
        <v>243</v>
      </c>
    </row>
    <row r="2368" ht="16.5" customHeight="1">
      <c r="A2368" s="32">
        <v>2367.0</v>
      </c>
      <c r="B2368" s="32" t="s">
        <v>3061</v>
      </c>
      <c r="C2368" s="32" t="s">
        <v>184</v>
      </c>
      <c r="D2368" s="32" t="s">
        <v>214</v>
      </c>
      <c r="E2368" s="32" t="s">
        <v>3034</v>
      </c>
      <c r="F2368" s="32" t="s">
        <v>292</v>
      </c>
      <c r="G2368" s="32" t="s">
        <v>236</v>
      </c>
    </row>
    <row r="2369" ht="16.5" customHeight="1">
      <c r="A2369" s="32">
        <v>2368.0</v>
      </c>
      <c r="B2369" s="32" t="s">
        <v>3062</v>
      </c>
      <c r="C2369" s="32" t="s">
        <v>184</v>
      </c>
      <c r="D2369" s="32" t="s">
        <v>285</v>
      </c>
      <c r="E2369" s="32" t="s">
        <v>3034</v>
      </c>
    </row>
    <row r="2370" ht="16.5" customHeight="1">
      <c r="A2370" s="32">
        <v>2369.0</v>
      </c>
      <c r="B2370" s="32" t="s">
        <v>3063</v>
      </c>
      <c r="C2370" s="32" t="s">
        <v>184</v>
      </c>
      <c r="D2370" s="32" t="s">
        <v>185</v>
      </c>
      <c r="E2370" s="32" t="s">
        <v>3034</v>
      </c>
      <c r="F2370" s="32" t="s">
        <v>189</v>
      </c>
      <c r="G2370" s="32" t="s">
        <v>190</v>
      </c>
    </row>
    <row r="2371" ht="16.5" customHeight="1">
      <c r="A2371" s="32">
        <v>2370.0</v>
      </c>
      <c r="B2371" s="32" t="s">
        <v>3064</v>
      </c>
      <c r="C2371" s="32" t="s">
        <v>184</v>
      </c>
      <c r="D2371" s="32" t="s">
        <v>285</v>
      </c>
      <c r="E2371" s="32" t="s">
        <v>3034</v>
      </c>
    </row>
    <row r="2372" ht="16.5" customHeight="1">
      <c r="A2372" s="32">
        <v>2371.0</v>
      </c>
      <c r="B2372" s="32" t="s">
        <v>3065</v>
      </c>
      <c r="C2372" s="32" t="s">
        <v>184</v>
      </c>
      <c r="D2372" s="35" t="s">
        <v>691</v>
      </c>
      <c r="E2372" s="32" t="s">
        <v>3034</v>
      </c>
    </row>
    <row r="2373" ht="16.5" customHeight="1">
      <c r="A2373" s="32">
        <v>2372.0</v>
      </c>
      <c r="B2373" s="32" t="s">
        <v>3066</v>
      </c>
      <c r="C2373" s="32" t="s">
        <v>184</v>
      </c>
      <c r="D2373" s="32" t="s">
        <v>764</v>
      </c>
      <c r="E2373" s="32" t="s">
        <v>3034</v>
      </c>
    </row>
    <row r="2374" ht="16.5" customHeight="1">
      <c r="A2374" s="32">
        <v>2373.0</v>
      </c>
      <c r="B2374" s="32" t="s">
        <v>3067</v>
      </c>
      <c r="C2374" s="32" t="s">
        <v>184</v>
      </c>
      <c r="D2374" s="32" t="s">
        <v>219</v>
      </c>
      <c r="E2374" s="32" t="s">
        <v>3034</v>
      </c>
    </row>
    <row r="2375" ht="16.5" customHeight="1">
      <c r="A2375" s="32">
        <v>2374.0</v>
      </c>
      <c r="B2375" s="32" t="s">
        <v>3068</v>
      </c>
      <c r="C2375" s="32" t="s">
        <v>184</v>
      </c>
      <c r="D2375" s="32" t="s">
        <v>254</v>
      </c>
      <c r="E2375" s="32" t="s">
        <v>3034</v>
      </c>
    </row>
    <row r="2376" ht="16.5" customHeight="1">
      <c r="A2376" s="32">
        <v>2375.0</v>
      </c>
      <c r="B2376" s="32" t="s">
        <v>3069</v>
      </c>
      <c r="C2376" s="32" t="s">
        <v>184</v>
      </c>
      <c r="D2376" s="32" t="s">
        <v>764</v>
      </c>
      <c r="E2376" s="32" t="s">
        <v>3034</v>
      </c>
    </row>
    <row r="2377" ht="16.5" customHeight="1">
      <c r="A2377" s="32">
        <v>2376.0</v>
      </c>
      <c r="B2377" s="32" t="s">
        <v>3070</v>
      </c>
      <c r="C2377" s="32" t="s">
        <v>184</v>
      </c>
      <c r="D2377" s="35" t="s">
        <v>294</v>
      </c>
      <c r="E2377" s="32" t="s">
        <v>3034</v>
      </c>
      <c r="F2377" s="32" t="s">
        <v>189</v>
      </c>
      <c r="G2377" s="32" t="s">
        <v>314</v>
      </c>
    </row>
    <row r="2378" ht="16.5" customHeight="1">
      <c r="A2378" s="32">
        <v>2377.0</v>
      </c>
      <c r="B2378" s="32" t="s">
        <v>3071</v>
      </c>
      <c r="C2378" s="32" t="s">
        <v>184</v>
      </c>
      <c r="D2378" s="35" t="s">
        <v>294</v>
      </c>
      <c r="E2378" s="32" t="s">
        <v>3034</v>
      </c>
      <c r="F2378" s="32" t="s">
        <v>2010</v>
      </c>
      <c r="G2378" s="32" t="s">
        <v>2076</v>
      </c>
    </row>
    <row r="2379" ht="16.5" customHeight="1">
      <c r="A2379" s="32">
        <v>2378.0</v>
      </c>
      <c r="B2379" s="32" t="s">
        <v>3072</v>
      </c>
      <c r="C2379" s="32" t="s">
        <v>184</v>
      </c>
      <c r="D2379" s="35" t="s">
        <v>2396</v>
      </c>
      <c r="E2379" s="32" t="s">
        <v>3034</v>
      </c>
    </row>
    <row r="2380" ht="16.5" customHeight="1">
      <c r="A2380" s="32">
        <v>2379.0</v>
      </c>
      <c r="B2380" s="32" t="s">
        <v>3073</v>
      </c>
      <c r="C2380" s="32" t="s">
        <v>184</v>
      </c>
      <c r="D2380" s="32" t="s">
        <v>234</v>
      </c>
      <c r="E2380" s="32" t="s">
        <v>3034</v>
      </c>
      <c r="F2380" s="32" t="s">
        <v>235</v>
      </c>
      <c r="G2380" s="32" t="s">
        <v>243</v>
      </c>
    </row>
    <row r="2381" ht="16.5" customHeight="1">
      <c r="A2381" s="32">
        <v>2380.0</v>
      </c>
      <c r="B2381" s="32" t="s">
        <v>3074</v>
      </c>
      <c r="C2381" s="32" t="s">
        <v>184</v>
      </c>
      <c r="D2381" s="32" t="s">
        <v>214</v>
      </c>
      <c r="E2381" s="32" t="s">
        <v>3034</v>
      </c>
      <c r="F2381" s="32" t="s">
        <v>292</v>
      </c>
      <c r="G2381" s="32" t="s">
        <v>420</v>
      </c>
    </row>
    <row r="2382" ht="16.5" customHeight="1">
      <c r="A2382" s="32">
        <v>2381.0</v>
      </c>
      <c r="B2382" s="32" t="s">
        <v>3075</v>
      </c>
      <c r="C2382" s="32" t="s">
        <v>184</v>
      </c>
      <c r="D2382" s="32" t="s">
        <v>228</v>
      </c>
      <c r="E2382" s="32" t="s">
        <v>3034</v>
      </c>
    </row>
    <row r="2383" ht="16.5" customHeight="1">
      <c r="A2383" s="32">
        <v>2382.0</v>
      </c>
      <c r="B2383" s="32" t="s">
        <v>3076</v>
      </c>
      <c r="C2383" s="32" t="s">
        <v>184</v>
      </c>
      <c r="D2383" s="32" t="s">
        <v>228</v>
      </c>
      <c r="E2383" s="32" t="s">
        <v>3034</v>
      </c>
    </row>
    <row r="2384" ht="16.5" customHeight="1">
      <c r="A2384" s="32">
        <v>2383.0</v>
      </c>
      <c r="B2384" s="32" t="s">
        <v>3077</v>
      </c>
      <c r="C2384" s="32" t="s">
        <v>184</v>
      </c>
      <c r="D2384" s="35" t="s">
        <v>1129</v>
      </c>
      <c r="E2384" s="32" t="s">
        <v>3034</v>
      </c>
    </row>
    <row r="2385" ht="16.5" customHeight="1">
      <c r="A2385" s="32">
        <v>2384.0</v>
      </c>
      <c r="B2385" s="32" t="s">
        <v>3078</v>
      </c>
      <c r="C2385" s="32" t="s">
        <v>184</v>
      </c>
      <c r="D2385" s="32" t="s">
        <v>228</v>
      </c>
      <c r="E2385" s="32" t="s">
        <v>3034</v>
      </c>
    </row>
    <row r="2386" ht="16.5" customHeight="1">
      <c r="A2386" s="32">
        <v>2385.0</v>
      </c>
      <c r="B2386" s="32" t="s">
        <v>3079</v>
      </c>
      <c r="C2386" s="32" t="s">
        <v>184</v>
      </c>
      <c r="D2386" s="32" t="s">
        <v>254</v>
      </c>
      <c r="E2386" s="32" t="s">
        <v>3034</v>
      </c>
      <c r="F2386" s="32" t="s">
        <v>257</v>
      </c>
      <c r="G2386" s="32" t="s">
        <v>3080</v>
      </c>
    </row>
    <row r="2387" ht="16.5" customHeight="1">
      <c r="A2387" s="32">
        <v>2386.0</v>
      </c>
      <c r="B2387" s="32" t="s">
        <v>3081</v>
      </c>
      <c r="C2387" s="32" t="s">
        <v>184</v>
      </c>
      <c r="D2387" s="32" t="s">
        <v>254</v>
      </c>
      <c r="E2387" s="32" t="s">
        <v>3034</v>
      </c>
    </row>
    <row r="2388" ht="16.5" customHeight="1">
      <c r="A2388" s="32">
        <v>2387.0</v>
      </c>
      <c r="B2388" s="32" t="s">
        <v>3082</v>
      </c>
      <c r="C2388" s="32" t="s">
        <v>184</v>
      </c>
      <c r="D2388" s="32" t="s">
        <v>185</v>
      </c>
      <c r="E2388" s="32" t="s">
        <v>3034</v>
      </c>
    </row>
    <row r="2389" ht="16.5" customHeight="1">
      <c r="A2389" s="32">
        <v>2388.0</v>
      </c>
      <c r="B2389" s="32" t="s">
        <v>3083</v>
      </c>
      <c r="C2389" s="32" t="s">
        <v>184</v>
      </c>
      <c r="D2389" s="32" t="s">
        <v>285</v>
      </c>
      <c r="E2389" s="32" t="s">
        <v>3034</v>
      </c>
      <c r="F2389" s="32" t="s">
        <v>189</v>
      </c>
      <c r="G2389" s="32" t="s">
        <v>190</v>
      </c>
    </row>
    <row r="2390" ht="16.5" customHeight="1">
      <c r="A2390" s="32">
        <v>2389.0</v>
      </c>
      <c r="B2390" s="32" t="s">
        <v>3084</v>
      </c>
      <c r="C2390" s="32" t="s">
        <v>184</v>
      </c>
      <c r="D2390" s="32" t="s">
        <v>234</v>
      </c>
      <c r="E2390" s="32" t="s">
        <v>3034</v>
      </c>
      <c r="F2390" s="32" t="s">
        <v>235</v>
      </c>
      <c r="G2390" s="32" t="s">
        <v>243</v>
      </c>
    </row>
    <row r="2391" ht="16.5" customHeight="1">
      <c r="A2391" s="32">
        <v>2390.0</v>
      </c>
      <c r="B2391" s="32" t="s">
        <v>3085</v>
      </c>
      <c r="C2391" s="32" t="s">
        <v>184</v>
      </c>
      <c r="D2391" s="35" t="s">
        <v>294</v>
      </c>
      <c r="E2391" s="32" t="s">
        <v>3034</v>
      </c>
      <c r="F2391" s="32" t="s">
        <v>189</v>
      </c>
      <c r="G2391" s="32" t="s">
        <v>190</v>
      </c>
    </row>
    <row r="2392" ht="16.5" customHeight="1">
      <c r="A2392" s="32">
        <v>2391.0</v>
      </c>
      <c r="B2392" s="32" t="s">
        <v>3086</v>
      </c>
      <c r="C2392" s="32" t="s">
        <v>184</v>
      </c>
      <c r="D2392" s="32" t="s">
        <v>254</v>
      </c>
      <c r="E2392" s="32" t="s">
        <v>3034</v>
      </c>
      <c r="F2392" s="32" t="s">
        <v>257</v>
      </c>
      <c r="G2392" s="32" t="s">
        <v>256</v>
      </c>
    </row>
    <row r="2393" ht="16.5" customHeight="1">
      <c r="A2393" s="32">
        <v>2392.0</v>
      </c>
      <c r="B2393" s="32" t="s">
        <v>3087</v>
      </c>
      <c r="C2393" s="32" t="s">
        <v>184</v>
      </c>
      <c r="D2393" s="32" t="s">
        <v>254</v>
      </c>
      <c r="E2393" s="32" t="s">
        <v>3034</v>
      </c>
    </row>
    <row r="2394" ht="16.5" customHeight="1">
      <c r="A2394" s="32">
        <v>2393.0</v>
      </c>
      <c r="B2394" s="32" t="s">
        <v>3088</v>
      </c>
      <c r="C2394" s="32" t="s">
        <v>184</v>
      </c>
      <c r="D2394" s="32" t="s">
        <v>234</v>
      </c>
      <c r="E2394" s="32" t="s">
        <v>3034</v>
      </c>
    </row>
    <row r="2395" ht="16.5" customHeight="1">
      <c r="A2395" s="32">
        <v>2394.0</v>
      </c>
      <c r="B2395" s="32" t="s">
        <v>3089</v>
      </c>
      <c r="C2395" s="32" t="s">
        <v>184</v>
      </c>
      <c r="D2395" s="35" t="s">
        <v>294</v>
      </c>
      <c r="E2395" s="32" t="s">
        <v>3034</v>
      </c>
    </row>
    <row r="2396" ht="16.5" customHeight="1">
      <c r="A2396" s="32">
        <v>2395.0</v>
      </c>
      <c r="B2396" s="32" t="s">
        <v>3090</v>
      </c>
      <c r="C2396" s="32" t="s">
        <v>184</v>
      </c>
      <c r="D2396" s="32" t="s">
        <v>285</v>
      </c>
      <c r="E2396" s="32" t="s">
        <v>3034</v>
      </c>
    </row>
    <row r="2397" ht="16.5" customHeight="1">
      <c r="A2397" s="32">
        <v>2396.0</v>
      </c>
      <c r="B2397" s="32" t="s">
        <v>3091</v>
      </c>
      <c r="C2397" s="32" t="s">
        <v>184</v>
      </c>
      <c r="D2397" s="32" t="s">
        <v>285</v>
      </c>
      <c r="E2397" s="32" t="s">
        <v>3034</v>
      </c>
    </row>
    <row r="2398" ht="16.5" customHeight="1">
      <c r="A2398" s="32">
        <v>2397.0</v>
      </c>
      <c r="B2398" s="32" t="s">
        <v>3092</v>
      </c>
      <c r="C2398" s="32" t="s">
        <v>184</v>
      </c>
      <c r="D2398" s="32" t="s">
        <v>285</v>
      </c>
      <c r="E2398" s="32" t="s">
        <v>3034</v>
      </c>
    </row>
    <row r="2399" ht="16.5" customHeight="1">
      <c r="A2399" s="32">
        <v>2398.0</v>
      </c>
      <c r="B2399" s="32" t="s">
        <v>3093</v>
      </c>
      <c r="C2399" s="32" t="s">
        <v>184</v>
      </c>
      <c r="D2399" s="32" t="s">
        <v>228</v>
      </c>
      <c r="E2399" s="32" t="s">
        <v>3034</v>
      </c>
    </row>
    <row r="2400" ht="16.5" customHeight="1">
      <c r="A2400" s="32">
        <v>2399.0</v>
      </c>
      <c r="B2400" s="32" t="s">
        <v>3094</v>
      </c>
      <c r="C2400" s="32" t="s">
        <v>184</v>
      </c>
      <c r="D2400" s="32" t="s">
        <v>285</v>
      </c>
      <c r="E2400" s="32" t="s">
        <v>3034</v>
      </c>
      <c r="F2400" s="32" t="s">
        <v>189</v>
      </c>
      <c r="G2400" s="32" t="s">
        <v>190</v>
      </c>
    </row>
    <row r="2401" ht="16.5" customHeight="1">
      <c r="A2401" s="32">
        <v>2400.0</v>
      </c>
      <c r="B2401" s="32" t="s">
        <v>3095</v>
      </c>
      <c r="C2401" s="32" t="s">
        <v>184</v>
      </c>
      <c r="D2401" s="35" t="s">
        <v>294</v>
      </c>
      <c r="E2401" s="32" t="s">
        <v>3034</v>
      </c>
      <c r="F2401" s="32" t="s">
        <v>189</v>
      </c>
      <c r="G2401" s="32" t="s">
        <v>190</v>
      </c>
    </row>
    <row r="2402" ht="16.5" customHeight="1">
      <c r="A2402" s="32">
        <v>2401.0</v>
      </c>
      <c r="B2402" s="32" t="s">
        <v>3096</v>
      </c>
      <c r="C2402" s="32" t="s">
        <v>184</v>
      </c>
      <c r="D2402" s="35" t="s">
        <v>294</v>
      </c>
      <c r="E2402" s="32" t="s">
        <v>3034</v>
      </c>
      <c r="F2402" s="32" t="s">
        <v>189</v>
      </c>
      <c r="G2402" s="32" t="s">
        <v>190</v>
      </c>
    </row>
    <row r="2403" ht="16.5" customHeight="1">
      <c r="A2403" s="32">
        <v>2402.0</v>
      </c>
      <c r="B2403" s="32" t="s">
        <v>3097</v>
      </c>
      <c r="C2403" s="32" t="s">
        <v>184</v>
      </c>
      <c r="D2403" s="35" t="s">
        <v>3098</v>
      </c>
      <c r="E2403" s="32" t="s">
        <v>3034</v>
      </c>
      <c r="F2403" s="32" t="s">
        <v>1224</v>
      </c>
      <c r="G2403" s="32" t="s">
        <v>3099</v>
      </c>
    </row>
    <row r="2404" ht="16.5" customHeight="1">
      <c r="A2404" s="32">
        <v>2403.0</v>
      </c>
      <c r="B2404" s="32" t="s">
        <v>3100</v>
      </c>
      <c r="C2404" s="32" t="s">
        <v>184</v>
      </c>
      <c r="D2404" s="32" t="s">
        <v>285</v>
      </c>
      <c r="E2404" s="32" t="s">
        <v>3034</v>
      </c>
      <c r="F2404" s="32" t="s">
        <v>295</v>
      </c>
      <c r="G2404" s="32" t="s">
        <v>3101</v>
      </c>
    </row>
    <row r="2405" ht="16.5" customHeight="1">
      <c r="A2405" s="32">
        <v>2404.0</v>
      </c>
      <c r="B2405" s="32" t="s">
        <v>3102</v>
      </c>
      <c r="C2405" s="32" t="s">
        <v>184</v>
      </c>
      <c r="D2405" s="32" t="s">
        <v>285</v>
      </c>
      <c r="E2405" s="32" t="s">
        <v>3034</v>
      </c>
    </row>
    <row r="2406" ht="16.5" customHeight="1">
      <c r="A2406" s="32">
        <v>2405.0</v>
      </c>
      <c r="B2406" s="32" t="s">
        <v>3103</v>
      </c>
      <c r="C2406" s="32" t="s">
        <v>184</v>
      </c>
      <c r="D2406" s="32" t="s">
        <v>285</v>
      </c>
      <c r="E2406" s="32" t="s">
        <v>3034</v>
      </c>
      <c r="F2406" s="32" t="s">
        <v>189</v>
      </c>
      <c r="G2406" s="32" t="s">
        <v>1121</v>
      </c>
    </row>
    <row r="2407" ht="16.5" customHeight="1">
      <c r="A2407" s="32">
        <v>2406.0</v>
      </c>
      <c r="B2407" s="32" t="s">
        <v>3104</v>
      </c>
      <c r="C2407" s="32" t="s">
        <v>184</v>
      </c>
      <c r="D2407" s="32" t="s">
        <v>285</v>
      </c>
      <c r="E2407" s="32" t="s">
        <v>3034</v>
      </c>
      <c r="F2407" s="32" t="s">
        <v>552</v>
      </c>
      <c r="G2407" s="32" t="s">
        <v>3105</v>
      </c>
    </row>
    <row r="2408" ht="16.5" customHeight="1">
      <c r="A2408" s="32">
        <v>2407.0</v>
      </c>
      <c r="B2408" s="32" t="s">
        <v>3106</v>
      </c>
      <c r="C2408" s="32" t="s">
        <v>184</v>
      </c>
      <c r="D2408" s="32" t="s">
        <v>285</v>
      </c>
      <c r="E2408" s="32" t="s">
        <v>3034</v>
      </c>
      <c r="F2408" s="32" t="s">
        <v>189</v>
      </c>
      <c r="G2408" s="32" t="s">
        <v>2046</v>
      </c>
    </row>
    <row r="2409" ht="16.5" customHeight="1">
      <c r="A2409" s="32">
        <v>2408.0</v>
      </c>
      <c r="B2409" s="32" t="s">
        <v>3107</v>
      </c>
      <c r="C2409" s="32" t="s">
        <v>184</v>
      </c>
      <c r="D2409" s="32" t="s">
        <v>185</v>
      </c>
      <c r="E2409" s="32" t="s">
        <v>3034</v>
      </c>
      <c r="F2409" s="32" t="s">
        <v>188</v>
      </c>
      <c r="G2409" s="32" t="s">
        <v>857</v>
      </c>
    </row>
    <row r="2410" ht="16.5" customHeight="1">
      <c r="A2410" s="32">
        <v>2409.0</v>
      </c>
      <c r="B2410" s="32" t="s">
        <v>3108</v>
      </c>
      <c r="C2410" s="32" t="s">
        <v>184</v>
      </c>
      <c r="D2410" s="32" t="s">
        <v>228</v>
      </c>
      <c r="E2410" s="32" t="s">
        <v>3034</v>
      </c>
    </row>
    <row r="2411" ht="16.5" customHeight="1">
      <c r="A2411" s="32">
        <v>2410.0</v>
      </c>
      <c r="B2411" s="32" t="s">
        <v>3109</v>
      </c>
      <c r="C2411" s="32" t="s">
        <v>184</v>
      </c>
      <c r="D2411" s="32" t="s">
        <v>228</v>
      </c>
      <c r="E2411" s="32" t="s">
        <v>3034</v>
      </c>
    </row>
    <row r="2412" ht="16.5" customHeight="1">
      <c r="A2412" s="32">
        <v>2411.0</v>
      </c>
      <c r="B2412" s="32" t="s">
        <v>3110</v>
      </c>
      <c r="C2412" s="32" t="s">
        <v>184</v>
      </c>
      <c r="D2412" s="35" t="s">
        <v>3111</v>
      </c>
      <c r="E2412" s="32" t="s">
        <v>3034</v>
      </c>
      <c r="F2412" s="32" t="s">
        <v>524</v>
      </c>
    </row>
    <row r="2413" ht="16.5" customHeight="1">
      <c r="A2413" s="32">
        <v>2412.0</v>
      </c>
      <c r="B2413" s="32" t="s">
        <v>3112</v>
      </c>
      <c r="C2413" s="32" t="s">
        <v>184</v>
      </c>
      <c r="D2413" s="32" t="s">
        <v>285</v>
      </c>
      <c r="E2413" s="32" t="s">
        <v>3034</v>
      </c>
      <c r="F2413" s="32" t="s">
        <v>866</v>
      </c>
    </row>
    <row r="2414" ht="16.5" customHeight="1">
      <c r="A2414" s="32">
        <v>2413.0</v>
      </c>
      <c r="B2414" s="32" t="s">
        <v>3113</v>
      </c>
      <c r="C2414" s="32" t="s">
        <v>184</v>
      </c>
      <c r="D2414" s="35" t="s">
        <v>294</v>
      </c>
      <c r="E2414" s="32" t="s">
        <v>3034</v>
      </c>
      <c r="F2414" s="32" t="s">
        <v>2010</v>
      </c>
      <c r="G2414" s="32" t="s">
        <v>314</v>
      </c>
    </row>
    <row r="2415" ht="16.5" customHeight="1">
      <c r="A2415" s="32">
        <v>2414.0</v>
      </c>
      <c r="B2415" s="32" t="s">
        <v>3114</v>
      </c>
      <c r="C2415" s="32" t="s">
        <v>184</v>
      </c>
      <c r="D2415" s="32" t="s">
        <v>228</v>
      </c>
      <c r="E2415" s="32" t="s">
        <v>3034</v>
      </c>
    </row>
    <row r="2416" ht="16.5" customHeight="1">
      <c r="A2416" s="32">
        <v>2415.0</v>
      </c>
      <c r="B2416" s="32" t="s">
        <v>3115</v>
      </c>
      <c r="C2416" s="32" t="s">
        <v>184</v>
      </c>
      <c r="D2416" s="32" t="s">
        <v>228</v>
      </c>
      <c r="E2416" s="32" t="s">
        <v>3034</v>
      </c>
    </row>
    <row r="2417" ht="16.5" customHeight="1">
      <c r="A2417" s="32">
        <v>2416.0</v>
      </c>
      <c r="B2417" s="32" t="s">
        <v>3116</v>
      </c>
      <c r="C2417" s="32" t="s">
        <v>184</v>
      </c>
      <c r="D2417" s="32" t="s">
        <v>285</v>
      </c>
      <c r="E2417" s="32" t="s">
        <v>3034</v>
      </c>
    </row>
    <row r="2418" ht="16.5" customHeight="1">
      <c r="A2418" s="32">
        <v>2417.0</v>
      </c>
      <c r="B2418" s="32" t="s">
        <v>3117</v>
      </c>
      <c r="C2418" s="32" t="s">
        <v>184</v>
      </c>
      <c r="D2418" s="32" t="s">
        <v>228</v>
      </c>
      <c r="E2418" s="32" t="s">
        <v>3034</v>
      </c>
      <c r="F2418" s="32" t="s">
        <v>544</v>
      </c>
      <c r="G2418" s="32" t="s">
        <v>545</v>
      </c>
    </row>
    <row r="2419" ht="16.5" customHeight="1">
      <c r="A2419" s="32">
        <v>2418.0</v>
      </c>
      <c r="B2419" s="32" t="s">
        <v>3118</v>
      </c>
      <c r="C2419" s="32" t="s">
        <v>184</v>
      </c>
      <c r="D2419" s="35" t="s">
        <v>691</v>
      </c>
      <c r="E2419" s="32" t="s">
        <v>3034</v>
      </c>
      <c r="F2419" s="32" t="s">
        <v>793</v>
      </c>
      <c r="G2419" s="32" t="s">
        <v>2392</v>
      </c>
    </row>
    <row r="2420" ht="16.5" customHeight="1">
      <c r="A2420" s="32">
        <v>2419.0</v>
      </c>
      <c r="B2420" s="32" t="s">
        <v>3119</v>
      </c>
      <c r="C2420" s="32" t="s">
        <v>184</v>
      </c>
      <c r="D2420" s="32" t="s">
        <v>285</v>
      </c>
      <c r="E2420" s="32" t="s">
        <v>3034</v>
      </c>
      <c r="F2420" s="32" t="s">
        <v>189</v>
      </c>
      <c r="G2420" s="32" t="s">
        <v>3120</v>
      </c>
    </row>
    <row r="2421" ht="16.5" customHeight="1">
      <c r="A2421" s="32">
        <v>2420.0</v>
      </c>
      <c r="B2421" s="32" t="s">
        <v>3121</v>
      </c>
      <c r="C2421" s="32" t="s">
        <v>184</v>
      </c>
      <c r="D2421" s="35" t="s">
        <v>294</v>
      </c>
      <c r="E2421" s="32" t="s">
        <v>3034</v>
      </c>
    </row>
    <row r="2422" ht="16.5" customHeight="1">
      <c r="A2422" s="32">
        <v>2421.0</v>
      </c>
      <c r="B2422" s="32" t="s">
        <v>3122</v>
      </c>
      <c r="C2422" s="32" t="s">
        <v>184</v>
      </c>
      <c r="D2422" s="32" t="s">
        <v>285</v>
      </c>
      <c r="E2422" s="32" t="s">
        <v>3034</v>
      </c>
    </row>
    <row r="2423" ht="16.5" customHeight="1">
      <c r="A2423" s="32">
        <v>2422.0</v>
      </c>
      <c r="B2423" s="32" t="s">
        <v>3123</v>
      </c>
      <c r="C2423" s="32" t="s">
        <v>184</v>
      </c>
      <c r="D2423" s="32" t="s">
        <v>234</v>
      </c>
      <c r="E2423" s="32" t="s">
        <v>3034</v>
      </c>
    </row>
    <row r="2424" ht="16.5" customHeight="1">
      <c r="A2424" s="32">
        <v>2423.0</v>
      </c>
      <c r="B2424" s="32" t="s">
        <v>3124</v>
      </c>
      <c r="C2424" s="32" t="s">
        <v>184</v>
      </c>
      <c r="D2424" s="32" t="s">
        <v>234</v>
      </c>
      <c r="E2424" s="32" t="s">
        <v>3034</v>
      </c>
    </row>
    <row r="2425" ht="16.5" customHeight="1">
      <c r="A2425" s="32">
        <v>2424.0</v>
      </c>
      <c r="B2425" s="32" t="s">
        <v>3125</v>
      </c>
      <c r="C2425" s="32" t="s">
        <v>184</v>
      </c>
      <c r="D2425" s="32" t="s">
        <v>219</v>
      </c>
      <c r="E2425" s="32" t="s">
        <v>3034</v>
      </c>
    </row>
    <row r="2426" ht="16.5" customHeight="1">
      <c r="A2426" s="32">
        <v>2425.0</v>
      </c>
      <c r="B2426" s="32" t="s">
        <v>3126</v>
      </c>
      <c r="C2426" s="32" t="s">
        <v>184</v>
      </c>
      <c r="D2426" s="32" t="s">
        <v>234</v>
      </c>
      <c r="E2426" s="32" t="s">
        <v>3034</v>
      </c>
      <c r="F2426" s="32" t="s">
        <v>235</v>
      </c>
      <c r="G2426" s="32" t="s">
        <v>243</v>
      </c>
    </row>
    <row r="2427" ht="16.5" customHeight="1">
      <c r="A2427" s="32">
        <v>2426.0</v>
      </c>
      <c r="B2427" s="32" t="s">
        <v>3127</v>
      </c>
      <c r="C2427" s="32" t="s">
        <v>184</v>
      </c>
      <c r="D2427" s="35" t="s">
        <v>691</v>
      </c>
      <c r="E2427" s="32" t="s">
        <v>3034</v>
      </c>
    </row>
    <row r="2428" ht="16.5" customHeight="1">
      <c r="A2428" s="32">
        <v>2427.0</v>
      </c>
      <c r="B2428" s="32" t="s">
        <v>3128</v>
      </c>
      <c r="C2428" s="32" t="s">
        <v>184</v>
      </c>
      <c r="D2428" s="32" t="s">
        <v>228</v>
      </c>
      <c r="E2428" s="32" t="s">
        <v>3034</v>
      </c>
      <c r="F2428" s="32" t="s">
        <v>3129</v>
      </c>
    </row>
    <row r="2429" ht="16.5" customHeight="1">
      <c r="A2429" s="32">
        <v>2428.0</v>
      </c>
      <c r="B2429" s="32" t="s">
        <v>3130</v>
      </c>
      <c r="C2429" s="32" t="s">
        <v>184</v>
      </c>
      <c r="D2429" s="32" t="s">
        <v>234</v>
      </c>
      <c r="E2429" s="32" t="s">
        <v>3034</v>
      </c>
      <c r="F2429" s="32" t="s">
        <v>347</v>
      </c>
      <c r="G2429" s="32" t="s">
        <v>382</v>
      </c>
    </row>
    <row r="2430" ht="16.5" customHeight="1">
      <c r="A2430" s="32">
        <v>2429.0</v>
      </c>
      <c r="B2430" s="32" t="s">
        <v>3131</v>
      </c>
      <c r="C2430" s="32" t="s">
        <v>184</v>
      </c>
      <c r="D2430" s="32" t="s">
        <v>228</v>
      </c>
      <c r="E2430" s="32" t="s">
        <v>3034</v>
      </c>
      <c r="F2430" s="32" t="s">
        <v>3132</v>
      </c>
    </row>
    <row r="2431" ht="16.5" customHeight="1">
      <c r="A2431" s="32">
        <v>2430.0</v>
      </c>
      <c r="B2431" s="32" t="s">
        <v>3133</v>
      </c>
      <c r="C2431" s="32" t="s">
        <v>184</v>
      </c>
      <c r="D2431" s="32" t="s">
        <v>228</v>
      </c>
      <c r="E2431" s="32" t="s">
        <v>3034</v>
      </c>
      <c r="F2431" s="32" t="s">
        <v>229</v>
      </c>
      <c r="G2431" s="32" t="s">
        <v>3134</v>
      </c>
    </row>
    <row r="2432" ht="16.5" customHeight="1">
      <c r="A2432" s="32">
        <v>2431.0</v>
      </c>
      <c r="B2432" s="32" t="s">
        <v>3135</v>
      </c>
      <c r="C2432" s="32" t="s">
        <v>184</v>
      </c>
      <c r="D2432" s="32" t="s">
        <v>285</v>
      </c>
      <c r="E2432" s="32" t="s">
        <v>3034</v>
      </c>
      <c r="F2432" s="32" t="s">
        <v>189</v>
      </c>
      <c r="G2432" s="32" t="s">
        <v>190</v>
      </c>
    </row>
    <row r="2433" ht="16.5" customHeight="1">
      <c r="A2433" s="32">
        <v>2432.0</v>
      </c>
      <c r="B2433" s="32" t="s">
        <v>3136</v>
      </c>
      <c r="C2433" s="32" t="s">
        <v>184</v>
      </c>
      <c r="D2433" s="32" t="s">
        <v>228</v>
      </c>
      <c r="E2433" s="32" t="s">
        <v>3034</v>
      </c>
      <c r="F2433" s="32" t="s">
        <v>229</v>
      </c>
      <c r="G2433" s="32" t="s">
        <v>3137</v>
      </c>
    </row>
    <row r="2434" ht="16.5" customHeight="1">
      <c r="A2434" s="32">
        <v>2433.0</v>
      </c>
      <c r="B2434" s="32" t="s">
        <v>3138</v>
      </c>
      <c r="C2434" s="32" t="s">
        <v>184</v>
      </c>
      <c r="D2434" s="32" t="s">
        <v>192</v>
      </c>
      <c r="E2434" s="32" t="s">
        <v>3034</v>
      </c>
      <c r="F2434" s="32" t="s">
        <v>3139</v>
      </c>
      <c r="G2434" s="32" t="s">
        <v>330</v>
      </c>
    </row>
    <row r="2435" ht="16.5" customHeight="1">
      <c r="A2435" s="32">
        <v>2434.0</v>
      </c>
      <c r="B2435" s="32" t="s">
        <v>3140</v>
      </c>
      <c r="C2435" s="32" t="s">
        <v>184</v>
      </c>
      <c r="D2435" s="32" t="s">
        <v>228</v>
      </c>
      <c r="E2435" s="32" t="s">
        <v>3034</v>
      </c>
      <c r="F2435" s="32" t="s">
        <v>3141</v>
      </c>
    </row>
    <row r="2436" ht="16.5" customHeight="1">
      <c r="A2436" s="32">
        <v>2435.0</v>
      </c>
      <c r="B2436" s="32" t="s">
        <v>3142</v>
      </c>
      <c r="C2436" s="32" t="s">
        <v>184</v>
      </c>
      <c r="D2436" s="32" t="s">
        <v>764</v>
      </c>
      <c r="E2436" s="32" t="s">
        <v>3034</v>
      </c>
      <c r="F2436" s="32" t="s">
        <v>2060</v>
      </c>
      <c r="G2436" s="32" t="s">
        <v>2061</v>
      </c>
    </row>
    <row r="2437" ht="16.5" customHeight="1">
      <c r="A2437" s="32">
        <v>2436.0</v>
      </c>
      <c r="B2437" s="32" t="s">
        <v>3143</v>
      </c>
      <c r="C2437" s="32" t="s">
        <v>184</v>
      </c>
      <c r="D2437" s="35" t="s">
        <v>691</v>
      </c>
      <c r="E2437" s="32" t="s">
        <v>3034</v>
      </c>
    </row>
    <row r="2438" ht="16.5" customHeight="1">
      <c r="A2438" s="32">
        <v>2437.0</v>
      </c>
      <c r="B2438" s="32" t="s">
        <v>3144</v>
      </c>
      <c r="C2438" s="32" t="s">
        <v>184</v>
      </c>
      <c r="D2438" s="32" t="s">
        <v>185</v>
      </c>
      <c r="E2438" s="32" t="s">
        <v>3034</v>
      </c>
      <c r="F2438" s="32" t="s">
        <v>187</v>
      </c>
      <c r="G2438" s="32" t="s">
        <v>482</v>
      </c>
    </row>
    <row r="2439" ht="16.5" customHeight="1">
      <c r="A2439" s="32">
        <v>2438.0</v>
      </c>
      <c r="B2439" s="32" t="s">
        <v>3145</v>
      </c>
      <c r="C2439" s="32" t="s">
        <v>184</v>
      </c>
      <c r="D2439" s="32" t="s">
        <v>764</v>
      </c>
      <c r="E2439" s="32" t="s">
        <v>3034</v>
      </c>
    </row>
    <row r="2440" ht="16.5" customHeight="1">
      <c r="A2440" s="32">
        <v>2439.0</v>
      </c>
      <c r="B2440" s="32" t="s">
        <v>3146</v>
      </c>
      <c r="C2440" s="32" t="s">
        <v>184</v>
      </c>
      <c r="D2440" s="32" t="s">
        <v>185</v>
      </c>
      <c r="E2440" s="32" t="s">
        <v>3034</v>
      </c>
      <c r="F2440" s="32" t="s">
        <v>2060</v>
      </c>
      <c r="G2440" s="32" t="s">
        <v>3147</v>
      </c>
    </row>
    <row r="2441" ht="16.5" customHeight="1">
      <c r="A2441" s="32">
        <v>2440.0</v>
      </c>
      <c r="B2441" s="32" t="s">
        <v>3148</v>
      </c>
      <c r="C2441" s="32" t="s">
        <v>184</v>
      </c>
      <c r="D2441" s="32" t="s">
        <v>285</v>
      </c>
      <c r="E2441" s="32" t="s">
        <v>3034</v>
      </c>
    </row>
    <row r="2442" ht="16.5" customHeight="1">
      <c r="A2442" s="32">
        <v>2441.0</v>
      </c>
      <c r="B2442" s="32" t="s">
        <v>3149</v>
      </c>
      <c r="C2442" s="32" t="s">
        <v>184</v>
      </c>
      <c r="D2442" s="32" t="s">
        <v>219</v>
      </c>
      <c r="E2442" s="32" t="s">
        <v>3034</v>
      </c>
    </row>
    <row r="2443" ht="16.5" customHeight="1">
      <c r="A2443" s="32">
        <v>2442.0</v>
      </c>
      <c r="B2443" s="32" t="s">
        <v>3150</v>
      </c>
      <c r="C2443" s="32" t="s">
        <v>184</v>
      </c>
      <c r="D2443" s="32" t="s">
        <v>228</v>
      </c>
      <c r="E2443" s="32" t="s">
        <v>3034</v>
      </c>
      <c r="F2443" s="32" t="s">
        <v>408</v>
      </c>
      <c r="G2443" s="32" t="s">
        <v>3151</v>
      </c>
    </row>
    <row r="2444" ht="16.5" customHeight="1">
      <c r="A2444" s="32">
        <v>2443.0</v>
      </c>
      <c r="B2444" s="32" t="s">
        <v>3152</v>
      </c>
      <c r="C2444" s="32" t="s">
        <v>184</v>
      </c>
      <c r="D2444" s="32" t="s">
        <v>285</v>
      </c>
      <c r="E2444" s="32" t="s">
        <v>3034</v>
      </c>
      <c r="F2444" s="32" t="s">
        <v>189</v>
      </c>
      <c r="G2444" s="32" t="s">
        <v>190</v>
      </c>
    </row>
    <row r="2445" ht="16.5" customHeight="1">
      <c r="A2445" s="32">
        <v>2444.0</v>
      </c>
      <c r="B2445" s="32" t="s">
        <v>3153</v>
      </c>
      <c r="C2445" s="32" t="s">
        <v>184</v>
      </c>
      <c r="D2445" s="32" t="s">
        <v>234</v>
      </c>
      <c r="E2445" s="32" t="s">
        <v>3034</v>
      </c>
      <c r="F2445" s="32" t="s">
        <v>347</v>
      </c>
      <c r="G2445" s="32" t="s">
        <v>382</v>
      </c>
    </row>
    <row r="2446" ht="16.5" customHeight="1">
      <c r="A2446" s="32">
        <v>2445.0</v>
      </c>
      <c r="B2446" s="32" t="s">
        <v>3154</v>
      </c>
      <c r="C2446" s="32" t="s">
        <v>184</v>
      </c>
      <c r="D2446" s="32" t="s">
        <v>234</v>
      </c>
      <c r="E2446" s="32" t="s">
        <v>3034</v>
      </c>
    </row>
    <row r="2447" ht="16.5" customHeight="1">
      <c r="A2447" s="32">
        <v>2446.0</v>
      </c>
      <c r="B2447" s="32" t="s">
        <v>3155</v>
      </c>
      <c r="C2447" s="32" t="s">
        <v>184</v>
      </c>
      <c r="D2447" s="32" t="s">
        <v>192</v>
      </c>
      <c r="E2447" s="32" t="s">
        <v>3034</v>
      </c>
      <c r="F2447" s="32" t="s">
        <v>300</v>
      </c>
      <c r="G2447" s="32" t="s">
        <v>3156</v>
      </c>
    </row>
    <row r="2448" ht="16.5" customHeight="1">
      <c r="A2448" s="32">
        <v>2447.0</v>
      </c>
      <c r="B2448" s="32" t="s">
        <v>3157</v>
      </c>
      <c r="C2448" s="32" t="s">
        <v>184</v>
      </c>
      <c r="D2448" s="32" t="s">
        <v>192</v>
      </c>
      <c r="E2448" s="32" t="s">
        <v>3034</v>
      </c>
    </row>
    <row r="2449" ht="16.5" customHeight="1">
      <c r="A2449" s="32">
        <v>2448.0</v>
      </c>
      <c r="B2449" s="32" t="s">
        <v>3158</v>
      </c>
      <c r="C2449" s="32" t="s">
        <v>184</v>
      </c>
      <c r="D2449" s="32" t="s">
        <v>285</v>
      </c>
      <c r="E2449" s="32" t="s">
        <v>3034</v>
      </c>
    </row>
    <row r="2450" ht="16.5" customHeight="1">
      <c r="A2450" s="32">
        <v>2449.0</v>
      </c>
      <c r="B2450" s="32" t="s">
        <v>3159</v>
      </c>
      <c r="C2450" s="32" t="s">
        <v>184</v>
      </c>
      <c r="D2450" s="32" t="s">
        <v>185</v>
      </c>
      <c r="E2450" s="35" t="s">
        <v>3160</v>
      </c>
    </row>
    <row r="2451" ht="16.5" customHeight="1">
      <c r="A2451" s="32">
        <v>2450.0</v>
      </c>
      <c r="B2451" s="32" t="s">
        <v>3161</v>
      </c>
      <c r="C2451" s="32" t="s">
        <v>184</v>
      </c>
      <c r="D2451" s="32" t="s">
        <v>185</v>
      </c>
      <c r="E2451" s="32" t="s">
        <v>3034</v>
      </c>
    </row>
    <row r="2452" ht="16.5" customHeight="1">
      <c r="A2452" s="32">
        <v>2451.0</v>
      </c>
      <c r="B2452" s="32" t="s">
        <v>3162</v>
      </c>
      <c r="C2452" s="32" t="s">
        <v>184</v>
      </c>
      <c r="D2452" s="32" t="s">
        <v>185</v>
      </c>
      <c r="E2452" s="32" t="s">
        <v>3034</v>
      </c>
    </row>
    <row r="2453" ht="16.5" customHeight="1">
      <c r="A2453" s="32">
        <v>2452.0</v>
      </c>
      <c r="B2453" s="32" t="s">
        <v>3163</v>
      </c>
      <c r="C2453" s="32" t="s">
        <v>184</v>
      </c>
      <c r="D2453" s="32" t="s">
        <v>254</v>
      </c>
      <c r="E2453" s="32" t="s">
        <v>3034</v>
      </c>
    </row>
    <row r="2454" ht="16.5" customHeight="1">
      <c r="A2454" s="32">
        <v>2453.0</v>
      </c>
      <c r="B2454" s="32" t="s">
        <v>3164</v>
      </c>
      <c r="C2454" s="32" t="s">
        <v>184</v>
      </c>
      <c r="D2454" s="32" t="s">
        <v>228</v>
      </c>
      <c r="E2454" s="32" t="s">
        <v>3034</v>
      </c>
      <c r="F2454" s="32" t="s">
        <v>229</v>
      </c>
      <c r="G2454" s="32" t="s">
        <v>626</v>
      </c>
    </row>
    <row r="2455" ht="16.5" customHeight="1">
      <c r="A2455" s="32">
        <v>2454.0</v>
      </c>
      <c r="B2455" s="32" t="s">
        <v>3165</v>
      </c>
      <c r="C2455" s="32" t="s">
        <v>184</v>
      </c>
      <c r="D2455" s="32" t="s">
        <v>228</v>
      </c>
      <c r="E2455" s="32" t="s">
        <v>3034</v>
      </c>
      <c r="F2455" s="32" t="s">
        <v>229</v>
      </c>
      <c r="G2455" s="32" t="s">
        <v>626</v>
      </c>
    </row>
    <row r="2456" ht="16.5" customHeight="1">
      <c r="A2456" s="32">
        <v>2455.0</v>
      </c>
      <c r="B2456" s="32" t="s">
        <v>3166</v>
      </c>
      <c r="C2456" s="32" t="s">
        <v>184</v>
      </c>
      <c r="D2456" s="32" t="s">
        <v>228</v>
      </c>
      <c r="E2456" s="32" t="s">
        <v>3034</v>
      </c>
      <c r="F2456" s="32" t="s">
        <v>229</v>
      </c>
      <c r="G2456" s="32" t="s">
        <v>230</v>
      </c>
    </row>
    <row r="2457" ht="16.5" customHeight="1">
      <c r="A2457" s="32">
        <v>2456.0</v>
      </c>
      <c r="B2457" s="32" t="s">
        <v>3167</v>
      </c>
      <c r="C2457" s="32" t="s">
        <v>184</v>
      </c>
      <c r="D2457" s="32" t="s">
        <v>228</v>
      </c>
      <c r="E2457" s="32" t="s">
        <v>3034</v>
      </c>
      <c r="F2457" s="32" t="s">
        <v>229</v>
      </c>
      <c r="G2457" s="32" t="s">
        <v>3168</v>
      </c>
    </row>
    <row r="2458" ht="16.5" customHeight="1">
      <c r="A2458" s="32">
        <v>2457.0</v>
      </c>
      <c r="B2458" s="32" t="s">
        <v>3169</v>
      </c>
      <c r="C2458" s="32" t="s">
        <v>184</v>
      </c>
      <c r="D2458" s="32" t="s">
        <v>254</v>
      </c>
      <c r="E2458" s="32" t="s">
        <v>3034</v>
      </c>
    </row>
    <row r="2459" ht="16.5" customHeight="1">
      <c r="A2459" s="32">
        <v>2458.0</v>
      </c>
      <c r="B2459" s="32" t="s">
        <v>3170</v>
      </c>
      <c r="C2459" s="32" t="s">
        <v>184</v>
      </c>
      <c r="D2459" s="32" t="s">
        <v>285</v>
      </c>
      <c r="E2459" s="32" t="s">
        <v>3034</v>
      </c>
    </row>
    <row r="2460" ht="16.5" customHeight="1">
      <c r="A2460" s="32">
        <v>2459.0</v>
      </c>
      <c r="B2460" s="32" t="s">
        <v>3171</v>
      </c>
      <c r="C2460" s="32" t="s">
        <v>184</v>
      </c>
      <c r="D2460" s="32" t="s">
        <v>285</v>
      </c>
      <c r="E2460" s="32" t="s">
        <v>3034</v>
      </c>
    </row>
    <row r="2461" ht="16.5" customHeight="1">
      <c r="A2461" s="32">
        <v>2460.0</v>
      </c>
      <c r="B2461" s="32" t="s">
        <v>3172</v>
      </c>
      <c r="C2461" s="32" t="s">
        <v>184</v>
      </c>
      <c r="D2461" s="32" t="s">
        <v>254</v>
      </c>
      <c r="E2461" s="32" t="s">
        <v>3034</v>
      </c>
    </row>
    <row r="2462" ht="16.5" customHeight="1">
      <c r="A2462" s="32">
        <v>2461.0</v>
      </c>
      <c r="B2462" s="32" t="s">
        <v>3173</v>
      </c>
      <c r="C2462" s="32" t="s">
        <v>184</v>
      </c>
      <c r="D2462" s="32" t="s">
        <v>285</v>
      </c>
      <c r="E2462" s="32" t="s">
        <v>3034</v>
      </c>
    </row>
    <row r="2463" ht="16.5" customHeight="1">
      <c r="A2463" s="32">
        <v>2462.0</v>
      </c>
      <c r="B2463" s="32" t="s">
        <v>3174</v>
      </c>
      <c r="C2463" s="32" t="s">
        <v>184</v>
      </c>
      <c r="D2463" s="32" t="s">
        <v>764</v>
      </c>
      <c r="E2463" s="32" t="s">
        <v>3034</v>
      </c>
    </row>
    <row r="2464" ht="16.5" customHeight="1">
      <c r="A2464" s="32">
        <v>2463.0</v>
      </c>
      <c r="B2464" s="32" t="s">
        <v>3175</v>
      </c>
      <c r="C2464" s="32" t="s">
        <v>184</v>
      </c>
      <c r="D2464" s="32" t="s">
        <v>764</v>
      </c>
      <c r="E2464" s="32" t="s">
        <v>3034</v>
      </c>
    </row>
    <row r="2465" ht="16.5" customHeight="1">
      <c r="A2465" s="32">
        <v>2464.0</v>
      </c>
      <c r="B2465" s="32" t="s">
        <v>3176</v>
      </c>
      <c r="C2465" s="32" t="s">
        <v>184</v>
      </c>
      <c r="D2465" s="32" t="s">
        <v>285</v>
      </c>
      <c r="E2465" s="32" t="s">
        <v>3034</v>
      </c>
    </row>
    <row r="2466" ht="16.5" customHeight="1">
      <c r="A2466" s="32">
        <v>2465.0</v>
      </c>
      <c r="B2466" s="32" t="s">
        <v>3177</v>
      </c>
      <c r="C2466" s="32" t="s">
        <v>184</v>
      </c>
      <c r="D2466" s="32" t="s">
        <v>234</v>
      </c>
      <c r="E2466" s="32" t="s">
        <v>3034</v>
      </c>
    </row>
    <row r="2467" ht="16.5" customHeight="1">
      <c r="A2467" s="32">
        <v>2466.0</v>
      </c>
      <c r="B2467" s="32" t="s">
        <v>3178</v>
      </c>
      <c r="C2467" s="32" t="s">
        <v>184</v>
      </c>
      <c r="D2467" s="32" t="s">
        <v>185</v>
      </c>
      <c r="E2467" s="32" t="s">
        <v>3034</v>
      </c>
    </row>
    <row r="2468" ht="16.5" customHeight="1">
      <c r="A2468" s="32">
        <v>2467.0</v>
      </c>
      <c r="B2468" s="32" t="s">
        <v>3179</v>
      </c>
      <c r="C2468" s="32" t="s">
        <v>184</v>
      </c>
      <c r="D2468" s="32" t="s">
        <v>764</v>
      </c>
      <c r="E2468" s="32" t="s">
        <v>3034</v>
      </c>
    </row>
    <row r="2469" ht="16.5" customHeight="1">
      <c r="A2469" s="32">
        <v>2468.0</v>
      </c>
      <c r="B2469" s="32" t="s">
        <v>3180</v>
      </c>
      <c r="C2469" s="32" t="s">
        <v>184</v>
      </c>
      <c r="D2469" s="32" t="s">
        <v>285</v>
      </c>
      <c r="E2469" s="32" t="s">
        <v>3034</v>
      </c>
    </row>
    <row r="2470" ht="16.5" customHeight="1">
      <c r="A2470" s="32">
        <v>2469.0</v>
      </c>
      <c r="B2470" s="32" t="s">
        <v>3181</v>
      </c>
      <c r="C2470" s="32" t="s">
        <v>184</v>
      </c>
      <c r="D2470" s="32" t="s">
        <v>185</v>
      </c>
      <c r="E2470" s="32" t="s">
        <v>3034</v>
      </c>
    </row>
    <row r="2471" ht="16.5" customHeight="1">
      <c r="A2471" s="32">
        <v>2470.0</v>
      </c>
      <c r="B2471" s="32" t="s">
        <v>3182</v>
      </c>
      <c r="C2471" s="32" t="s">
        <v>184</v>
      </c>
      <c r="D2471" s="35" t="s">
        <v>3183</v>
      </c>
      <c r="E2471" s="32" t="s">
        <v>3034</v>
      </c>
      <c r="F2471" s="32" t="s">
        <v>3184</v>
      </c>
    </row>
    <row r="2472" ht="16.5" customHeight="1">
      <c r="A2472" s="32">
        <v>2471.0</v>
      </c>
      <c r="B2472" s="32" t="s">
        <v>3185</v>
      </c>
      <c r="C2472" s="32" t="s">
        <v>184</v>
      </c>
      <c r="D2472" s="32" t="s">
        <v>285</v>
      </c>
      <c r="E2472" s="32" t="s">
        <v>3034</v>
      </c>
    </row>
    <row r="2473" ht="16.5" customHeight="1">
      <c r="A2473" s="32">
        <v>2472.0</v>
      </c>
      <c r="B2473" s="32" t="s">
        <v>3186</v>
      </c>
      <c r="C2473" s="32" t="s">
        <v>184</v>
      </c>
      <c r="D2473" s="32" t="s">
        <v>254</v>
      </c>
      <c r="E2473" s="32" t="s">
        <v>3034</v>
      </c>
      <c r="F2473" s="32" t="s">
        <v>256</v>
      </c>
      <c r="G2473" s="32" t="s">
        <v>257</v>
      </c>
    </row>
    <row r="2474" ht="16.5" customHeight="1">
      <c r="A2474" s="32">
        <v>2473.0</v>
      </c>
      <c r="B2474" s="32" t="s">
        <v>3187</v>
      </c>
      <c r="C2474" s="32" t="s">
        <v>184</v>
      </c>
      <c r="D2474" s="32" t="s">
        <v>234</v>
      </c>
      <c r="E2474" s="32" t="s">
        <v>3034</v>
      </c>
    </row>
    <row r="2475" ht="16.5" customHeight="1">
      <c r="A2475" s="32">
        <v>2474.0</v>
      </c>
      <c r="B2475" s="32" t="s">
        <v>3188</v>
      </c>
      <c r="C2475" s="32" t="s">
        <v>184</v>
      </c>
      <c r="D2475" s="32" t="s">
        <v>254</v>
      </c>
      <c r="E2475" s="32" t="s">
        <v>3034</v>
      </c>
    </row>
    <row r="2476" ht="16.5" customHeight="1">
      <c r="A2476" s="32">
        <v>2475.0</v>
      </c>
      <c r="B2476" s="32" t="s">
        <v>3189</v>
      </c>
      <c r="C2476" s="32" t="s">
        <v>184</v>
      </c>
      <c r="D2476" s="32" t="s">
        <v>228</v>
      </c>
      <c r="E2476" s="32" t="s">
        <v>3034</v>
      </c>
      <c r="F2476" s="32" t="s">
        <v>333</v>
      </c>
    </row>
    <row r="2477" ht="16.5" customHeight="1">
      <c r="A2477" s="32">
        <v>2476.0</v>
      </c>
      <c r="B2477" s="32" t="s">
        <v>3190</v>
      </c>
      <c r="C2477" s="32" t="s">
        <v>184</v>
      </c>
      <c r="D2477" s="32" t="s">
        <v>764</v>
      </c>
      <c r="E2477" s="32" t="s">
        <v>3034</v>
      </c>
    </row>
    <row r="2478" ht="16.5" customHeight="1">
      <c r="A2478" s="32">
        <v>2477.0</v>
      </c>
      <c r="B2478" s="32" t="s">
        <v>3191</v>
      </c>
      <c r="C2478" s="32" t="s">
        <v>184</v>
      </c>
      <c r="D2478" s="35" t="s">
        <v>691</v>
      </c>
      <c r="E2478" s="32" t="s">
        <v>3034</v>
      </c>
      <c r="F2478" s="32" t="s">
        <v>793</v>
      </c>
      <c r="G2478" s="32" t="s">
        <v>1130</v>
      </c>
    </row>
    <row r="2479" ht="16.5" customHeight="1">
      <c r="A2479" s="32">
        <v>2478.0</v>
      </c>
      <c r="B2479" s="32" t="s">
        <v>3192</v>
      </c>
      <c r="C2479" s="32" t="s">
        <v>184</v>
      </c>
      <c r="D2479" s="32" t="s">
        <v>185</v>
      </c>
      <c r="E2479" s="32" t="s">
        <v>3034</v>
      </c>
    </row>
    <row r="2480" ht="16.5" customHeight="1">
      <c r="A2480" s="32">
        <v>2479.0</v>
      </c>
      <c r="B2480" s="32" t="s">
        <v>3193</v>
      </c>
      <c r="C2480" s="32" t="s">
        <v>184</v>
      </c>
      <c r="D2480" s="32" t="s">
        <v>285</v>
      </c>
      <c r="E2480" s="32" t="s">
        <v>3034</v>
      </c>
    </row>
    <row r="2481" ht="16.5" customHeight="1">
      <c r="A2481" s="32">
        <v>2480.0</v>
      </c>
      <c r="B2481" s="32" t="s">
        <v>3194</v>
      </c>
      <c r="C2481" s="32" t="s">
        <v>184</v>
      </c>
      <c r="D2481" s="32" t="s">
        <v>228</v>
      </c>
      <c r="E2481" s="32" t="s">
        <v>3034</v>
      </c>
      <c r="F2481" s="32" t="s">
        <v>229</v>
      </c>
      <c r="G2481" s="32" t="s">
        <v>626</v>
      </c>
    </row>
    <row r="2482" ht="16.5" customHeight="1">
      <c r="A2482" s="32">
        <v>2481.0</v>
      </c>
      <c r="B2482" s="32" t="s">
        <v>3195</v>
      </c>
      <c r="C2482" s="32" t="s">
        <v>184</v>
      </c>
      <c r="D2482" s="32" t="s">
        <v>325</v>
      </c>
      <c r="E2482" s="32" t="s">
        <v>3034</v>
      </c>
    </row>
    <row r="2483" ht="16.5" customHeight="1">
      <c r="A2483" s="32">
        <v>2482.0</v>
      </c>
      <c r="B2483" s="32" t="s">
        <v>3196</v>
      </c>
      <c r="C2483" s="32" t="s">
        <v>184</v>
      </c>
      <c r="D2483" s="32" t="s">
        <v>219</v>
      </c>
      <c r="E2483" s="32" t="s">
        <v>3034</v>
      </c>
    </row>
    <row r="2484" ht="16.5" customHeight="1">
      <c r="A2484" s="32">
        <v>2483.0</v>
      </c>
      <c r="B2484" s="32" t="s">
        <v>3197</v>
      </c>
      <c r="C2484" s="32" t="s">
        <v>184</v>
      </c>
      <c r="D2484" s="32" t="s">
        <v>228</v>
      </c>
      <c r="E2484" s="32" t="s">
        <v>3034</v>
      </c>
    </row>
    <row r="2485" ht="16.5" customHeight="1">
      <c r="A2485" s="32">
        <v>2484.0</v>
      </c>
      <c r="B2485" s="32" t="s">
        <v>3198</v>
      </c>
      <c r="C2485" s="32" t="s">
        <v>184</v>
      </c>
      <c r="D2485" s="32" t="s">
        <v>285</v>
      </c>
      <c r="E2485" s="32" t="s">
        <v>3034</v>
      </c>
    </row>
    <row r="2486" ht="16.5" customHeight="1">
      <c r="A2486" s="32">
        <v>2485.0</v>
      </c>
      <c r="B2486" s="32" t="s">
        <v>3199</v>
      </c>
      <c r="C2486" s="32" t="s">
        <v>184</v>
      </c>
      <c r="D2486" s="32" t="s">
        <v>285</v>
      </c>
      <c r="E2486" s="32" t="s">
        <v>3034</v>
      </c>
      <c r="F2486" s="32" t="s">
        <v>189</v>
      </c>
      <c r="G2486" s="32" t="s">
        <v>190</v>
      </c>
    </row>
    <row r="2487" ht="16.5" customHeight="1">
      <c r="A2487" s="32">
        <v>2486.0</v>
      </c>
      <c r="B2487" s="32" t="s">
        <v>3200</v>
      </c>
      <c r="C2487" s="32" t="s">
        <v>184</v>
      </c>
      <c r="D2487" s="32" t="s">
        <v>185</v>
      </c>
      <c r="E2487" s="32" t="s">
        <v>3034</v>
      </c>
      <c r="F2487" s="32" t="s">
        <v>267</v>
      </c>
      <c r="G2487" s="32" t="s">
        <v>3201</v>
      </c>
    </row>
    <row r="2488" ht="16.5" customHeight="1">
      <c r="A2488" s="32">
        <v>2487.0</v>
      </c>
      <c r="B2488" s="32" t="s">
        <v>3202</v>
      </c>
      <c r="C2488" s="32" t="s">
        <v>184</v>
      </c>
      <c r="D2488" s="32" t="s">
        <v>228</v>
      </c>
      <c r="E2488" s="32" t="s">
        <v>3034</v>
      </c>
      <c r="F2488" s="32" t="s">
        <v>229</v>
      </c>
      <c r="G2488" s="32" t="s">
        <v>626</v>
      </c>
    </row>
    <row r="2489" ht="16.5" customHeight="1">
      <c r="A2489" s="32">
        <v>2488.0</v>
      </c>
      <c r="B2489" s="32" t="s">
        <v>3203</v>
      </c>
      <c r="C2489" s="32" t="s">
        <v>184</v>
      </c>
      <c r="D2489" s="32" t="s">
        <v>185</v>
      </c>
      <c r="E2489" s="32" t="s">
        <v>3034</v>
      </c>
      <c r="F2489" s="32" t="s">
        <v>187</v>
      </c>
      <c r="G2489" s="32" t="s">
        <v>482</v>
      </c>
    </row>
    <row r="2490" ht="16.5" customHeight="1">
      <c r="A2490" s="32">
        <v>2489.0</v>
      </c>
      <c r="B2490" s="32" t="s">
        <v>3204</v>
      </c>
      <c r="C2490" s="32" t="s">
        <v>184</v>
      </c>
      <c r="D2490" s="32" t="s">
        <v>185</v>
      </c>
      <c r="E2490" s="32" t="s">
        <v>3034</v>
      </c>
    </row>
    <row r="2491" ht="16.5" customHeight="1">
      <c r="A2491" s="32">
        <v>2490.0</v>
      </c>
      <c r="B2491" s="32" t="s">
        <v>3205</v>
      </c>
      <c r="C2491" s="32" t="s">
        <v>184</v>
      </c>
      <c r="D2491" s="32" t="s">
        <v>185</v>
      </c>
      <c r="E2491" s="32" t="s">
        <v>3034</v>
      </c>
      <c r="F2491" s="32" t="s">
        <v>189</v>
      </c>
      <c r="G2491" s="32" t="s">
        <v>1121</v>
      </c>
    </row>
    <row r="2492" ht="16.5" customHeight="1">
      <c r="A2492" s="32">
        <v>2491.0</v>
      </c>
      <c r="B2492" s="32" t="s">
        <v>3206</v>
      </c>
      <c r="C2492" s="32" t="s">
        <v>184</v>
      </c>
      <c r="D2492" s="32" t="s">
        <v>192</v>
      </c>
      <c r="E2492" s="32" t="s">
        <v>3034</v>
      </c>
      <c r="F2492" s="32" t="s">
        <v>3207</v>
      </c>
    </row>
    <row r="2493" ht="16.5" customHeight="1">
      <c r="A2493" s="32">
        <v>2492.0</v>
      </c>
      <c r="B2493" s="32" t="s">
        <v>3208</v>
      </c>
      <c r="C2493" s="32" t="s">
        <v>184</v>
      </c>
      <c r="D2493" s="32" t="s">
        <v>185</v>
      </c>
      <c r="E2493" s="32" t="s">
        <v>3034</v>
      </c>
    </row>
    <row r="2494" ht="16.5" customHeight="1">
      <c r="A2494" s="32">
        <v>2493.0</v>
      </c>
      <c r="B2494" s="32" t="s">
        <v>3209</v>
      </c>
      <c r="C2494" s="32" t="s">
        <v>184</v>
      </c>
      <c r="D2494" s="32" t="s">
        <v>185</v>
      </c>
      <c r="E2494" s="32" t="s">
        <v>3034</v>
      </c>
    </row>
    <row r="2495" ht="16.5" customHeight="1">
      <c r="A2495" s="32">
        <v>2494.0</v>
      </c>
      <c r="B2495" s="32" t="s">
        <v>3210</v>
      </c>
      <c r="C2495" s="32" t="s">
        <v>184</v>
      </c>
      <c r="D2495" s="32" t="s">
        <v>285</v>
      </c>
      <c r="E2495" s="32" t="s">
        <v>3034</v>
      </c>
      <c r="F2495" s="32" t="s">
        <v>2060</v>
      </c>
      <c r="G2495" s="32" t="s">
        <v>2061</v>
      </c>
    </row>
    <row r="2496" ht="16.5" customHeight="1">
      <c r="A2496" s="32">
        <v>2495.0</v>
      </c>
      <c r="B2496" s="32" t="s">
        <v>3211</v>
      </c>
      <c r="C2496" s="32" t="s">
        <v>184</v>
      </c>
      <c r="D2496" s="35" t="s">
        <v>691</v>
      </c>
      <c r="E2496" s="32" t="s">
        <v>3034</v>
      </c>
      <c r="F2496" s="32" t="s">
        <v>2060</v>
      </c>
      <c r="G2496" s="32" t="s">
        <v>2061</v>
      </c>
    </row>
    <row r="2497" ht="16.5" customHeight="1">
      <c r="A2497" s="32">
        <v>2496.0</v>
      </c>
      <c r="B2497" s="32" t="s">
        <v>3212</v>
      </c>
      <c r="C2497" s="32" t="s">
        <v>184</v>
      </c>
      <c r="D2497" s="32" t="s">
        <v>185</v>
      </c>
      <c r="E2497" s="32" t="s">
        <v>3034</v>
      </c>
    </row>
    <row r="2498" ht="16.5" customHeight="1">
      <c r="A2498" s="32">
        <v>2497.0</v>
      </c>
      <c r="B2498" s="32" t="s">
        <v>3213</v>
      </c>
      <c r="C2498" s="32" t="s">
        <v>184</v>
      </c>
      <c r="D2498" s="32" t="s">
        <v>228</v>
      </c>
      <c r="E2498" s="32" t="s">
        <v>3034</v>
      </c>
      <c r="F2498" s="32" t="s">
        <v>3214</v>
      </c>
    </row>
    <row r="2499" ht="16.5" customHeight="1">
      <c r="A2499" s="32">
        <v>2498.0</v>
      </c>
      <c r="B2499" s="32" t="s">
        <v>3215</v>
      </c>
      <c r="C2499" s="32" t="s">
        <v>184</v>
      </c>
      <c r="D2499" s="32" t="s">
        <v>764</v>
      </c>
      <c r="E2499" s="32" t="s">
        <v>3034</v>
      </c>
    </row>
    <row r="2500" ht="16.5" customHeight="1">
      <c r="A2500" s="32">
        <v>2499.0</v>
      </c>
      <c r="B2500" s="32" t="s">
        <v>3216</v>
      </c>
      <c r="C2500" s="32" t="s">
        <v>184</v>
      </c>
      <c r="D2500" s="32" t="s">
        <v>285</v>
      </c>
      <c r="E2500" s="32" t="s">
        <v>3034</v>
      </c>
      <c r="F2500" s="32" t="s">
        <v>3217</v>
      </c>
    </row>
    <row r="2501" ht="16.5" customHeight="1">
      <c r="A2501" s="32">
        <v>2500.0</v>
      </c>
      <c r="B2501" s="32" t="s">
        <v>3218</v>
      </c>
      <c r="C2501" s="32" t="s">
        <v>184</v>
      </c>
      <c r="D2501" s="32" t="s">
        <v>285</v>
      </c>
      <c r="E2501" s="32" t="s">
        <v>3034</v>
      </c>
    </row>
    <row r="2502" ht="16.5" customHeight="1">
      <c r="A2502" s="32">
        <v>2501.0</v>
      </c>
      <c r="B2502" s="32" t="s">
        <v>3219</v>
      </c>
      <c r="C2502" s="32" t="s">
        <v>184</v>
      </c>
      <c r="D2502" s="32" t="s">
        <v>228</v>
      </c>
      <c r="E2502" s="32" t="s">
        <v>3034</v>
      </c>
    </row>
    <row r="2503" ht="16.5" customHeight="1">
      <c r="A2503" s="32">
        <v>2502.0</v>
      </c>
      <c r="B2503" s="32" t="s">
        <v>3220</v>
      </c>
      <c r="C2503" s="32" t="s">
        <v>184</v>
      </c>
      <c r="D2503" s="32" t="s">
        <v>228</v>
      </c>
      <c r="E2503" s="32" t="s">
        <v>3034</v>
      </c>
      <c r="F2503" s="32" t="s">
        <v>229</v>
      </c>
      <c r="G2503" s="32" t="s">
        <v>230</v>
      </c>
    </row>
    <row r="2504" ht="16.5" customHeight="1">
      <c r="A2504" s="32">
        <v>2503.0</v>
      </c>
      <c r="B2504" s="32" t="s">
        <v>3221</v>
      </c>
      <c r="C2504" s="32" t="s">
        <v>184</v>
      </c>
      <c r="D2504" s="32" t="s">
        <v>192</v>
      </c>
      <c r="E2504" s="32" t="s">
        <v>3034</v>
      </c>
      <c r="F2504" s="32" t="s">
        <v>329</v>
      </c>
      <c r="G2504" s="32" t="s">
        <v>457</v>
      </c>
    </row>
    <row r="2505" ht="16.5" customHeight="1">
      <c r="A2505" s="32">
        <v>2504.0</v>
      </c>
      <c r="B2505" s="32" t="s">
        <v>3222</v>
      </c>
      <c r="C2505" s="32" t="s">
        <v>184</v>
      </c>
      <c r="D2505" s="32" t="s">
        <v>228</v>
      </c>
      <c r="E2505" s="32" t="s">
        <v>3034</v>
      </c>
      <c r="F2505" s="32" t="s">
        <v>544</v>
      </c>
      <c r="G2505" s="32" t="s">
        <v>713</v>
      </c>
    </row>
    <row r="2506" ht="16.5" customHeight="1">
      <c r="A2506" s="32">
        <v>2505.0</v>
      </c>
      <c r="B2506" s="32" t="s">
        <v>3223</v>
      </c>
      <c r="C2506" s="32" t="s">
        <v>184</v>
      </c>
      <c r="D2506" s="32" t="s">
        <v>254</v>
      </c>
      <c r="E2506" s="32" t="s">
        <v>3034</v>
      </c>
      <c r="F2506" s="32" t="s">
        <v>424</v>
      </c>
      <c r="G2506" s="32" t="s">
        <v>476</v>
      </c>
    </row>
    <row r="2507" ht="16.5" customHeight="1">
      <c r="A2507" s="32">
        <v>2506.0</v>
      </c>
      <c r="B2507" s="32" t="s">
        <v>3224</v>
      </c>
      <c r="C2507" s="32" t="s">
        <v>184</v>
      </c>
      <c r="D2507" s="32" t="s">
        <v>254</v>
      </c>
      <c r="E2507" s="32" t="s">
        <v>3034</v>
      </c>
    </row>
    <row r="2508" ht="16.5" customHeight="1">
      <c r="A2508" s="32">
        <v>2507.0</v>
      </c>
      <c r="B2508" s="32" t="s">
        <v>3225</v>
      </c>
      <c r="C2508" s="32" t="s">
        <v>184</v>
      </c>
      <c r="D2508" s="32" t="s">
        <v>214</v>
      </c>
      <c r="E2508" s="32" t="s">
        <v>3034</v>
      </c>
    </row>
    <row r="2509" ht="16.5" customHeight="1">
      <c r="A2509" s="32">
        <v>2508.0</v>
      </c>
      <c r="B2509" s="32" t="s">
        <v>3226</v>
      </c>
      <c r="C2509" s="32" t="s">
        <v>184</v>
      </c>
      <c r="D2509" s="32" t="s">
        <v>185</v>
      </c>
      <c r="E2509" s="32" t="s">
        <v>3034</v>
      </c>
    </row>
    <row r="2510" ht="16.5" customHeight="1">
      <c r="A2510" s="32">
        <v>2509.0</v>
      </c>
      <c r="B2510" s="32" t="s">
        <v>3227</v>
      </c>
      <c r="C2510" s="32" t="s">
        <v>184</v>
      </c>
      <c r="D2510" s="32" t="s">
        <v>285</v>
      </c>
      <c r="E2510" s="32" t="s">
        <v>255</v>
      </c>
      <c r="F2510" s="32" t="s">
        <v>854</v>
      </c>
      <c r="G2510" s="32" t="s">
        <v>190</v>
      </c>
    </row>
    <row r="2511" ht="16.5" customHeight="1">
      <c r="A2511" s="32">
        <v>2510.0</v>
      </c>
      <c r="B2511" s="32" t="s">
        <v>3228</v>
      </c>
      <c r="C2511" s="32" t="s">
        <v>184</v>
      </c>
      <c r="D2511" s="32" t="s">
        <v>185</v>
      </c>
      <c r="E2511" s="32" t="s">
        <v>255</v>
      </c>
      <c r="F2511" s="32" t="s">
        <v>187</v>
      </c>
      <c r="G2511" s="32" t="s">
        <v>3229</v>
      </c>
    </row>
    <row r="2512" ht="16.5" customHeight="1">
      <c r="A2512" s="32">
        <v>2511.0</v>
      </c>
      <c r="B2512" s="32" t="s">
        <v>3230</v>
      </c>
      <c r="C2512" s="32" t="s">
        <v>184</v>
      </c>
      <c r="D2512" s="32" t="s">
        <v>185</v>
      </c>
      <c r="E2512" s="32" t="s">
        <v>255</v>
      </c>
      <c r="F2512" s="32" t="s">
        <v>187</v>
      </c>
      <c r="G2512" s="32" t="s">
        <v>3229</v>
      </c>
    </row>
    <row r="2513" ht="16.5" customHeight="1">
      <c r="A2513" s="32">
        <v>2512.0</v>
      </c>
      <c r="B2513" s="32" t="s">
        <v>3231</v>
      </c>
      <c r="C2513" s="32" t="s">
        <v>184</v>
      </c>
      <c r="D2513" s="32" t="s">
        <v>228</v>
      </c>
      <c r="E2513" s="32" t="s">
        <v>255</v>
      </c>
    </row>
    <row r="2514" ht="16.5" customHeight="1">
      <c r="A2514" s="32">
        <v>2513.0</v>
      </c>
      <c r="B2514" s="32" t="s">
        <v>3232</v>
      </c>
      <c r="C2514" s="32" t="s">
        <v>184</v>
      </c>
      <c r="D2514" s="32" t="s">
        <v>192</v>
      </c>
      <c r="E2514" s="32" t="s">
        <v>255</v>
      </c>
      <c r="F2514" s="32" t="s">
        <v>1230</v>
      </c>
      <c r="G2514" s="32" t="s">
        <v>3233</v>
      </c>
    </row>
    <row r="2515" ht="16.5" customHeight="1">
      <c r="A2515" s="32">
        <v>2514.0</v>
      </c>
      <c r="B2515" s="32" t="s">
        <v>3234</v>
      </c>
      <c r="C2515" s="32" t="s">
        <v>184</v>
      </c>
      <c r="D2515" s="32" t="s">
        <v>285</v>
      </c>
      <c r="E2515" s="32" t="s">
        <v>255</v>
      </c>
      <c r="F2515" s="32" t="s">
        <v>189</v>
      </c>
    </row>
    <row r="2516" ht="16.5" customHeight="1">
      <c r="A2516" s="32">
        <v>2515.0</v>
      </c>
      <c r="B2516" s="32" t="s">
        <v>3235</v>
      </c>
      <c r="C2516" s="32" t="s">
        <v>184</v>
      </c>
      <c r="D2516" s="32" t="s">
        <v>254</v>
      </c>
      <c r="E2516" s="32" t="s">
        <v>255</v>
      </c>
      <c r="F2516" s="32" t="s">
        <v>256</v>
      </c>
      <c r="G2516" s="32" t="s">
        <v>257</v>
      </c>
    </row>
    <row r="2517" ht="16.5" customHeight="1">
      <c r="A2517" s="32">
        <v>2516.0</v>
      </c>
      <c r="B2517" s="32" t="s">
        <v>3236</v>
      </c>
      <c r="C2517" s="32" t="s">
        <v>184</v>
      </c>
      <c r="D2517" s="32" t="s">
        <v>254</v>
      </c>
      <c r="E2517" s="32" t="s">
        <v>255</v>
      </c>
    </row>
    <row r="2518" ht="16.5" customHeight="1">
      <c r="A2518" s="32">
        <v>2517.0</v>
      </c>
      <c r="B2518" s="32" t="s">
        <v>3237</v>
      </c>
      <c r="C2518" s="32" t="s">
        <v>184</v>
      </c>
      <c r="D2518" s="32" t="s">
        <v>254</v>
      </c>
      <c r="E2518" s="32" t="s">
        <v>255</v>
      </c>
    </row>
    <row r="2519" ht="16.5" customHeight="1">
      <c r="A2519" s="32">
        <v>2518.0</v>
      </c>
      <c r="B2519" s="32" t="s">
        <v>3238</v>
      </c>
      <c r="C2519" s="32" t="s">
        <v>184</v>
      </c>
      <c r="D2519" s="32" t="s">
        <v>254</v>
      </c>
      <c r="E2519" s="32" t="s">
        <v>255</v>
      </c>
      <c r="F2519" s="32" t="s">
        <v>256</v>
      </c>
    </row>
    <row r="2520" ht="16.5" customHeight="1">
      <c r="A2520" s="32">
        <v>2519.0</v>
      </c>
      <c r="B2520" s="32" t="s">
        <v>3239</v>
      </c>
      <c r="C2520" s="32" t="s">
        <v>184</v>
      </c>
      <c r="D2520" s="32" t="s">
        <v>192</v>
      </c>
      <c r="E2520" s="32" t="s">
        <v>255</v>
      </c>
      <c r="F2520" s="32" t="s">
        <v>329</v>
      </c>
      <c r="G2520" s="32" t="s">
        <v>3240</v>
      </c>
    </row>
    <row r="2521" ht="16.5" customHeight="1">
      <c r="A2521" s="32">
        <v>2520.0</v>
      </c>
      <c r="B2521" s="32" t="s">
        <v>3241</v>
      </c>
      <c r="C2521" s="32" t="s">
        <v>184</v>
      </c>
      <c r="D2521" s="32" t="s">
        <v>321</v>
      </c>
      <c r="E2521" s="32" t="s">
        <v>1160</v>
      </c>
    </row>
    <row r="2522" ht="16.5" customHeight="1">
      <c r="A2522" s="32">
        <v>2521.0</v>
      </c>
      <c r="B2522" s="32" t="s">
        <v>3242</v>
      </c>
      <c r="C2522" s="32" t="s">
        <v>184</v>
      </c>
      <c r="D2522" s="35" t="s">
        <v>1798</v>
      </c>
      <c r="E2522" s="32" t="s">
        <v>255</v>
      </c>
      <c r="F2522" s="32" t="s">
        <v>1799</v>
      </c>
      <c r="G2522" s="32" t="s">
        <v>382</v>
      </c>
    </row>
    <row r="2523" ht="16.5" customHeight="1">
      <c r="A2523" s="32">
        <v>2522.0</v>
      </c>
      <c r="B2523" s="32" t="s">
        <v>3243</v>
      </c>
      <c r="C2523" s="32" t="s">
        <v>184</v>
      </c>
      <c r="D2523" s="32" t="s">
        <v>185</v>
      </c>
      <c r="E2523" s="32" t="s">
        <v>255</v>
      </c>
    </row>
    <row r="2524" ht="16.5" customHeight="1">
      <c r="A2524" s="32">
        <v>2523.0</v>
      </c>
      <c r="B2524" s="32" t="s">
        <v>3244</v>
      </c>
      <c r="C2524" s="32" t="s">
        <v>184</v>
      </c>
      <c r="D2524" s="32" t="s">
        <v>219</v>
      </c>
      <c r="E2524" s="32" t="s">
        <v>255</v>
      </c>
    </row>
    <row r="2525" ht="16.5" customHeight="1">
      <c r="A2525" s="32">
        <v>2524.0</v>
      </c>
      <c r="B2525" s="32" t="s">
        <v>3245</v>
      </c>
      <c r="C2525" s="32" t="s">
        <v>184</v>
      </c>
      <c r="D2525" s="32" t="s">
        <v>285</v>
      </c>
      <c r="E2525" s="32" t="s">
        <v>255</v>
      </c>
      <c r="F2525" s="32" t="s">
        <v>189</v>
      </c>
    </row>
    <row r="2526" ht="16.5" customHeight="1">
      <c r="A2526" s="32">
        <v>2525.0</v>
      </c>
      <c r="B2526" s="32" t="s">
        <v>3246</v>
      </c>
      <c r="C2526" s="32" t="s">
        <v>184</v>
      </c>
      <c r="D2526" s="32" t="s">
        <v>185</v>
      </c>
      <c r="E2526" s="32" t="s">
        <v>255</v>
      </c>
      <c r="F2526" s="32" t="s">
        <v>187</v>
      </c>
      <c r="G2526" s="32" t="s">
        <v>854</v>
      </c>
    </row>
    <row r="2527" ht="16.5" customHeight="1">
      <c r="A2527" s="32">
        <v>2526.0</v>
      </c>
      <c r="B2527" s="32" t="s">
        <v>3247</v>
      </c>
      <c r="C2527" s="32" t="s">
        <v>184</v>
      </c>
      <c r="D2527" s="32" t="s">
        <v>185</v>
      </c>
      <c r="E2527" s="32" t="s">
        <v>255</v>
      </c>
      <c r="F2527" s="32" t="s">
        <v>3248</v>
      </c>
      <c r="G2527" s="32" t="s">
        <v>1323</v>
      </c>
    </row>
    <row r="2528" ht="16.5" customHeight="1">
      <c r="A2528" s="32">
        <v>2527.0</v>
      </c>
      <c r="B2528" s="32" t="s">
        <v>3249</v>
      </c>
      <c r="C2528" s="32" t="s">
        <v>184</v>
      </c>
      <c r="D2528" s="32" t="s">
        <v>185</v>
      </c>
      <c r="E2528" s="32" t="s">
        <v>255</v>
      </c>
      <c r="F2528" s="32" t="s">
        <v>3248</v>
      </c>
      <c r="G2528" s="32" t="s">
        <v>1323</v>
      </c>
    </row>
    <row r="2529" ht="16.5" customHeight="1">
      <c r="A2529" s="32">
        <v>2528.0</v>
      </c>
      <c r="B2529" s="32" t="s">
        <v>3250</v>
      </c>
      <c r="C2529" s="32" t="s">
        <v>184</v>
      </c>
      <c r="D2529" s="32" t="s">
        <v>254</v>
      </c>
      <c r="E2529" s="32" t="s">
        <v>255</v>
      </c>
    </row>
    <row r="2530" ht="16.5" customHeight="1">
      <c r="A2530" s="32">
        <v>2529.0</v>
      </c>
      <c r="B2530" s="32" t="s">
        <v>3251</v>
      </c>
      <c r="C2530" s="32" t="s">
        <v>184</v>
      </c>
      <c r="D2530" s="32" t="s">
        <v>254</v>
      </c>
      <c r="E2530" s="32" t="s">
        <v>255</v>
      </c>
      <c r="F2530" s="32" t="s">
        <v>305</v>
      </c>
      <c r="G2530" s="32" t="s">
        <v>3252</v>
      </c>
    </row>
    <row r="2531" ht="16.5" customHeight="1">
      <c r="A2531" s="32">
        <v>2530.0</v>
      </c>
      <c r="B2531" s="32" t="s">
        <v>3253</v>
      </c>
      <c r="C2531" s="32" t="s">
        <v>184</v>
      </c>
      <c r="D2531" s="32" t="s">
        <v>254</v>
      </c>
      <c r="E2531" s="32" t="s">
        <v>255</v>
      </c>
      <c r="F2531" s="32" t="s">
        <v>256</v>
      </c>
      <c r="G2531" s="32" t="s">
        <v>3254</v>
      </c>
    </row>
    <row r="2532" ht="16.5" customHeight="1">
      <c r="A2532" s="32">
        <v>2531.0</v>
      </c>
      <c r="B2532" s="32" t="s">
        <v>3255</v>
      </c>
      <c r="C2532" s="32" t="s">
        <v>184</v>
      </c>
      <c r="D2532" s="32" t="s">
        <v>254</v>
      </c>
      <c r="E2532" s="32" t="s">
        <v>255</v>
      </c>
    </row>
    <row r="2533" ht="16.5" customHeight="1">
      <c r="A2533" s="32">
        <v>2532.0</v>
      </c>
      <c r="B2533" s="32" t="s">
        <v>3256</v>
      </c>
      <c r="C2533" s="32" t="s">
        <v>184</v>
      </c>
      <c r="D2533" s="32" t="s">
        <v>185</v>
      </c>
      <c r="E2533" s="32" t="s">
        <v>255</v>
      </c>
      <c r="F2533" s="32" t="s">
        <v>267</v>
      </c>
      <c r="G2533" s="32" t="s">
        <v>188</v>
      </c>
    </row>
    <row r="2534" ht="16.5" customHeight="1">
      <c r="A2534" s="32">
        <v>2533.0</v>
      </c>
      <c r="B2534" s="32" t="s">
        <v>3257</v>
      </c>
      <c r="C2534" s="32" t="s">
        <v>184</v>
      </c>
      <c r="D2534" s="32" t="s">
        <v>185</v>
      </c>
      <c r="E2534" s="32" t="s">
        <v>255</v>
      </c>
      <c r="F2534" s="32" t="s">
        <v>267</v>
      </c>
      <c r="G2534" s="32" t="s">
        <v>188</v>
      </c>
    </row>
    <row r="2535" ht="16.5" customHeight="1">
      <c r="A2535" s="32">
        <v>2534.0</v>
      </c>
      <c r="B2535" s="32" t="s">
        <v>3258</v>
      </c>
      <c r="C2535" s="32" t="s">
        <v>184</v>
      </c>
      <c r="D2535" s="32" t="s">
        <v>234</v>
      </c>
      <c r="E2535" s="32" t="s">
        <v>255</v>
      </c>
      <c r="F2535" s="32" t="s">
        <v>235</v>
      </c>
      <c r="G2535" s="32" t="s">
        <v>243</v>
      </c>
    </row>
    <row r="2536" ht="16.5" customHeight="1">
      <c r="A2536" s="32">
        <v>2535.0</v>
      </c>
      <c r="B2536" s="32" t="s">
        <v>3259</v>
      </c>
      <c r="C2536" s="32" t="s">
        <v>184</v>
      </c>
      <c r="D2536" s="35" t="s">
        <v>3260</v>
      </c>
      <c r="E2536" s="32" t="s">
        <v>255</v>
      </c>
      <c r="F2536" s="32" t="s">
        <v>1874</v>
      </c>
      <c r="G2536" s="32" t="s">
        <v>3261</v>
      </c>
    </row>
    <row r="2537" ht="16.5" customHeight="1">
      <c r="A2537" s="32">
        <v>2536.0</v>
      </c>
      <c r="B2537" s="32" t="s">
        <v>3262</v>
      </c>
      <c r="C2537" s="32" t="s">
        <v>184</v>
      </c>
      <c r="D2537" s="32" t="s">
        <v>192</v>
      </c>
      <c r="E2537" s="32" t="s">
        <v>255</v>
      </c>
    </row>
    <row r="2538" ht="16.5" customHeight="1">
      <c r="A2538" s="32">
        <v>2537.0</v>
      </c>
      <c r="B2538" s="32" t="s">
        <v>3263</v>
      </c>
      <c r="C2538" s="32" t="s">
        <v>184</v>
      </c>
      <c r="D2538" s="32" t="s">
        <v>234</v>
      </c>
      <c r="E2538" s="32" t="s">
        <v>255</v>
      </c>
      <c r="F2538" s="32" t="s">
        <v>235</v>
      </c>
      <c r="G2538" s="32" t="s">
        <v>2985</v>
      </c>
    </row>
    <row r="2539" ht="16.5" customHeight="1">
      <c r="A2539" s="32">
        <v>2538.0</v>
      </c>
      <c r="B2539" s="32" t="s">
        <v>3264</v>
      </c>
      <c r="C2539" s="32" t="s">
        <v>184</v>
      </c>
      <c r="D2539" s="32" t="s">
        <v>254</v>
      </c>
      <c r="E2539" s="32" t="s">
        <v>255</v>
      </c>
      <c r="F2539" s="32" t="s">
        <v>235</v>
      </c>
      <c r="G2539" s="32" t="s">
        <v>3265</v>
      </c>
    </row>
    <row r="2540" ht="16.5" customHeight="1">
      <c r="A2540" s="32">
        <v>2539.0</v>
      </c>
      <c r="B2540" s="32" t="s">
        <v>3266</v>
      </c>
      <c r="C2540" s="32" t="s">
        <v>184</v>
      </c>
      <c r="D2540" s="32" t="s">
        <v>321</v>
      </c>
      <c r="E2540" s="32" t="s">
        <v>255</v>
      </c>
      <c r="F2540" s="32" t="s">
        <v>235</v>
      </c>
      <c r="G2540" s="32" t="s">
        <v>3267</v>
      </c>
    </row>
    <row r="2541" ht="16.5" customHeight="1">
      <c r="A2541" s="32">
        <v>2540.0</v>
      </c>
      <c r="B2541" s="32" t="s">
        <v>3268</v>
      </c>
      <c r="C2541" s="32" t="s">
        <v>184</v>
      </c>
      <c r="D2541" s="32" t="s">
        <v>185</v>
      </c>
      <c r="E2541" s="32" t="s">
        <v>255</v>
      </c>
      <c r="F2541" s="32" t="s">
        <v>3269</v>
      </c>
      <c r="G2541" s="32" t="s">
        <v>3270</v>
      </c>
    </row>
    <row r="2542" ht="16.5" customHeight="1">
      <c r="A2542" s="32">
        <v>2541.0</v>
      </c>
      <c r="B2542" s="32" t="s">
        <v>3271</v>
      </c>
      <c r="C2542" s="32" t="s">
        <v>184</v>
      </c>
      <c r="D2542" s="32" t="s">
        <v>185</v>
      </c>
      <c r="E2542" s="32" t="s">
        <v>255</v>
      </c>
      <c r="F2542" s="32" t="s">
        <v>295</v>
      </c>
      <c r="G2542" s="32" t="s">
        <v>476</v>
      </c>
    </row>
    <row r="2543" ht="16.5" customHeight="1">
      <c r="A2543" s="32">
        <v>2542.0</v>
      </c>
      <c r="B2543" s="32" t="s">
        <v>3272</v>
      </c>
      <c r="C2543" s="32" t="s">
        <v>184</v>
      </c>
      <c r="D2543" s="32" t="s">
        <v>234</v>
      </c>
      <c r="E2543" s="32" t="s">
        <v>255</v>
      </c>
    </row>
    <row r="2544" ht="16.5" customHeight="1">
      <c r="A2544" s="32">
        <v>2543.0</v>
      </c>
      <c r="B2544" s="32" t="s">
        <v>3273</v>
      </c>
      <c r="C2544" s="32" t="s">
        <v>184</v>
      </c>
      <c r="D2544" s="32" t="s">
        <v>185</v>
      </c>
      <c r="E2544" s="32" t="s">
        <v>255</v>
      </c>
    </row>
    <row r="2545" ht="16.5" customHeight="1">
      <c r="A2545" s="32">
        <v>2544.0</v>
      </c>
      <c r="B2545" s="32" t="s">
        <v>3274</v>
      </c>
      <c r="C2545" s="32" t="s">
        <v>184</v>
      </c>
      <c r="D2545" s="32" t="s">
        <v>185</v>
      </c>
      <c r="E2545" s="32" t="s">
        <v>255</v>
      </c>
    </row>
    <row r="2546" ht="16.5" customHeight="1">
      <c r="A2546" s="32">
        <v>2545.0</v>
      </c>
      <c r="B2546" s="32" t="s">
        <v>3275</v>
      </c>
      <c r="C2546" s="32" t="s">
        <v>184</v>
      </c>
      <c r="D2546" s="32" t="s">
        <v>234</v>
      </c>
      <c r="E2546" s="32" t="s">
        <v>255</v>
      </c>
      <c r="F2546" s="32" t="s">
        <v>347</v>
      </c>
      <c r="G2546" s="32" t="s">
        <v>382</v>
      </c>
    </row>
    <row r="2547" ht="16.5" customHeight="1">
      <c r="A2547" s="32">
        <v>2546.0</v>
      </c>
      <c r="B2547" s="32" t="s">
        <v>3276</v>
      </c>
      <c r="C2547" s="32" t="s">
        <v>184</v>
      </c>
      <c r="D2547" s="32" t="s">
        <v>234</v>
      </c>
      <c r="E2547" s="32" t="s">
        <v>255</v>
      </c>
    </row>
    <row r="2548" ht="16.5" customHeight="1">
      <c r="A2548" s="32">
        <v>2547.0</v>
      </c>
      <c r="B2548" s="32" t="s">
        <v>3277</v>
      </c>
      <c r="C2548" s="32" t="s">
        <v>184</v>
      </c>
      <c r="D2548" s="32" t="s">
        <v>234</v>
      </c>
      <c r="E2548" s="32" t="s">
        <v>255</v>
      </c>
      <c r="F2548" s="32" t="s">
        <v>235</v>
      </c>
      <c r="G2548" s="32" t="s">
        <v>3278</v>
      </c>
    </row>
    <row r="2549" ht="16.5" customHeight="1">
      <c r="A2549" s="32">
        <v>2548.0</v>
      </c>
      <c r="B2549" s="32" t="s">
        <v>3279</v>
      </c>
      <c r="C2549" s="32" t="s">
        <v>184</v>
      </c>
      <c r="D2549" s="35" t="s">
        <v>361</v>
      </c>
      <c r="E2549" s="32" t="s">
        <v>255</v>
      </c>
    </row>
    <row r="2550" ht="16.5" customHeight="1">
      <c r="A2550" s="32">
        <v>2549.0</v>
      </c>
      <c r="B2550" s="32" t="s">
        <v>3280</v>
      </c>
      <c r="C2550" s="32" t="s">
        <v>184</v>
      </c>
      <c r="D2550" s="32" t="s">
        <v>254</v>
      </c>
      <c r="E2550" s="32" t="s">
        <v>255</v>
      </c>
      <c r="F2550" s="32" t="s">
        <v>3281</v>
      </c>
    </row>
    <row r="2551" ht="16.5" customHeight="1">
      <c r="A2551" s="32">
        <v>2550.0</v>
      </c>
      <c r="B2551" s="32" t="s">
        <v>3282</v>
      </c>
      <c r="C2551" s="32" t="s">
        <v>184</v>
      </c>
      <c r="D2551" s="32" t="s">
        <v>254</v>
      </c>
      <c r="E2551" s="32" t="s">
        <v>186</v>
      </c>
      <c r="F2551" s="32" t="s">
        <v>257</v>
      </c>
      <c r="G2551" s="32" t="s">
        <v>256</v>
      </c>
    </row>
    <row r="2552" ht="16.5" customHeight="1">
      <c r="A2552" s="32">
        <v>2551.0</v>
      </c>
      <c r="B2552" s="32" t="s">
        <v>3283</v>
      </c>
      <c r="C2552" s="32" t="s">
        <v>184</v>
      </c>
      <c r="D2552" s="32" t="s">
        <v>254</v>
      </c>
      <c r="E2552" s="32" t="s">
        <v>346</v>
      </c>
      <c r="F2552" s="32" t="s">
        <v>257</v>
      </c>
      <c r="G2552" s="32" t="s">
        <v>256</v>
      </c>
    </row>
    <row r="2553" ht="16.5" customHeight="1">
      <c r="A2553" s="32">
        <v>2552.0</v>
      </c>
      <c r="B2553" s="32" t="s">
        <v>3284</v>
      </c>
      <c r="C2553" s="32" t="s">
        <v>184</v>
      </c>
      <c r="D2553" s="32" t="s">
        <v>234</v>
      </c>
      <c r="E2553" s="32" t="s">
        <v>346</v>
      </c>
      <c r="F2553" s="32" t="s">
        <v>235</v>
      </c>
      <c r="G2553" s="32" t="s">
        <v>236</v>
      </c>
    </row>
    <row r="2554" ht="16.5" customHeight="1">
      <c r="A2554" s="32">
        <v>2553.0</v>
      </c>
      <c r="B2554" s="32" t="s">
        <v>3285</v>
      </c>
      <c r="C2554" s="32" t="s">
        <v>184</v>
      </c>
      <c r="D2554" s="35" t="s">
        <v>294</v>
      </c>
      <c r="E2554" s="32" t="s">
        <v>186</v>
      </c>
      <c r="F2554" s="32" t="s">
        <v>189</v>
      </c>
      <c r="G2554" s="32" t="s">
        <v>190</v>
      </c>
    </row>
    <row r="2555" ht="16.5" customHeight="1">
      <c r="A2555" s="32">
        <v>2554.0</v>
      </c>
      <c r="B2555" s="32" t="s">
        <v>3286</v>
      </c>
      <c r="C2555" s="32" t="s">
        <v>184</v>
      </c>
      <c r="D2555" s="32" t="s">
        <v>285</v>
      </c>
      <c r="E2555" s="32" t="s">
        <v>186</v>
      </c>
      <c r="F2555" s="32" t="s">
        <v>189</v>
      </c>
      <c r="G2555" s="32" t="s">
        <v>190</v>
      </c>
    </row>
    <row r="2556" ht="16.5" customHeight="1">
      <c r="A2556" s="32">
        <v>2555.0</v>
      </c>
      <c r="B2556" s="32" t="s">
        <v>3287</v>
      </c>
      <c r="C2556" s="32" t="s">
        <v>184</v>
      </c>
      <c r="D2556" s="32" t="s">
        <v>228</v>
      </c>
      <c r="E2556" s="32" t="s">
        <v>346</v>
      </c>
      <c r="F2556" s="32" t="s">
        <v>229</v>
      </c>
      <c r="G2556" s="32" t="s">
        <v>626</v>
      </c>
    </row>
    <row r="2557" ht="16.5" customHeight="1">
      <c r="A2557" s="32">
        <v>2556.0</v>
      </c>
      <c r="B2557" s="32" t="s">
        <v>3288</v>
      </c>
      <c r="C2557" s="32" t="s">
        <v>184</v>
      </c>
      <c r="D2557" s="32" t="s">
        <v>228</v>
      </c>
      <c r="E2557" s="32" t="s">
        <v>222</v>
      </c>
      <c r="F2557" s="32" t="s">
        <v>229</v>
      </c>
      <c r="G2557" s="32" t="s">
        <v>626</v>
      </c>
    </row>
    <row r="2558" ht="16.5" customHeight="1">
      <c r="A2558" s="32">
        <v>2557.0</v>
      </c>
      <c r="B2558" s="32" t="s">
        <v>3289</v>
      </c>
      <c r="C2558" s="32" t="s">
        <v>184</v>
      </c>
      <c r="D2558" s="32" t="s">
        <v>234</v>
      </c>
      <c r="E2558" s="32" t="s">
        <v>346</v>
      </c>
      <c r="F2558" s="32" t="s">
        <v>415</v>
      </c>
      <c r="G2558" s="32" t="s">
        <v>2329</v>
      </c>
    </row>
    <row r="2559" ht="16.5" customHeight="1">
      <c r="A2559" s="32">
        <v>2558.0</v>
      </c>
      <c r="B2559" s="32" t="s">
        <v>3290</v>
      </c>
      <c r="C2559" s="32" t="s">
        <v>184</v>
      </c>
      <c r="D2559" s="35" t="s">
        <v>691</v>
      </c>
      <c r="E2559" s="32" t="s">
        <v>186</v>
      </c>
      <c r="F2559" s="32" t="s">
        <v>793</v>
      </c>
      <c r="G2559" s="32" t="s">
        <v>3291</v>
      </c>
    </row>
    <row r="2560" ht="16.5" customHeight="1">
      <c r="A2560" s="32">
        <v>2559.0</v>
      </c>
      <c r="B2560" s="32" t="s">
        <v>3292</v>
      </c>
      <c r="C2560" s="32" t="s">
        <v>184</v>
      </c>
      <c r="D2560" s="32" t="s">
        <v>228</v>
      </c>
      <c r="E2560" s="32" t="s">
        <v>186</v>
      </c>
      <c r="F2560" s="32" t="s">
        <v>544</v>
      </c>
      <c r="G2560" s="32" t="s">
        <v>3293</v>
      </c>
    </row>
    <row r="2561" ht="16.5" customHeight="1">
      <c r="A2561" s="32">
        <v>2560.0</v>
      </c>
      <c r="B2561" s="32" t="s">
        <v>3294</v>
      </c>
      <c r="C2561" s="32" t="s">
        <v>184</v>
      </c>
      <c r="D2561" s="32" t="s">
        <v>192</v>
      </c>
      <c r="E2561" s="32" t="s">
        <v>186</v>
      </c>
      <c r="F2561" s="32" t="s">
        <v>570</v>
      </c>
      <c r="G2561" s="32" t="s">
        <v>447</v>
      </c>
    </row>
    <row r="2562" ht="16.5" customHeight="1">
      <c r="A2562" s="32">
        <v>2561.0</v>
      </c>
      <c r="B2562" s="32" t="s">
        <v>3295</v>
      </c>
      <c r="C2562" s="32" t="s">
        <v>184</v>
      </c>
      <c r="D2562" s="32" t="s">
        <v>192</v>
      </c>
      <c r="E2562" s="32" t="s">
        <v>346</v>
      </c>
      <c r="F2562" s="32" t="s">
        <v>329</v>
      </c>
      <c r="G2562" s="32" t="s">
        <v>447</v>
      </c>
    </row>
    <row r="2563" ht="16.5" customHeight="1">
      <c r="A2563" s="32">
        <v>2562.0</v>
      </c>
      <c r="B2563" s="32" t="s">
        <v>3296</v>
      </c>
      <c r="C2563" s="32" t="s">
        <v>184</v>
      </c>
      <c r="D2563" s="32" t="s">
        <v>192</v>
      </c>
      <c r="E2563" s="32" t="s">
        <v>346</v>
      </c>
      <c r="F2563" s="32" t="s">
        <v>329</v>
      </c>
      <c r="G2563" s="32" t="s">
        <v>447</v>
      </c>
    </row>
    <row r="2564" ht="16.5" customHeight="1">
      <c r="A2564" s="32">
        <v>2563.0</v>
      </c>
      <c r="B2564" s="32" t="s">
        <v>3297</v>
      </c>
      <c r="C2564" s="32" t="s">
        <v>184</v>
      </c>
      <c r="D2564" s="32" t="s">
        <v>185</v>
      </c>
      <c r="E2564" s="32" t="s">
        <v>255</v>
      </c>
    </row>
    <row r="2565" ht="16.5" customHeight="1">
      <c r="A2565" s="32">
        <v>2564.0</v>
      </c>
      <c r="B2565" s="32" t="s">
        <v>3298</v>
      </c>
      <c r="C2565" s="32" t="s">
        <v>184</v>
      </c>
      <c r="D2565" s="32" t="s">
        <v>228</v>
      </c>
      <c r="E2565" s="32" t="s">
        <v>255</v>
      </c>
    </row>
    <row r="2566" ht="16.5" customHeight="1">
      <c r="A2566" s="32">
        <v>2565.0</v>
      </c>
      <c r="B2566" s="32" t="s">
        <v>3299</v>
      </c>
      <c r="C2566" s="32" t="s">
        <v>184</v>
      </c>
      <c r="D2566" s="35" t="s">
        <v>294</v>
      </c>
      <c r="E2566" s="32" t="s">
        <v>346</v>
      </c>
      <c r="F2566" s="32" t="s">
        <v>189</v>
      </c>
      <c r="G2566" s="32" t="s">
        <v>190</v>
      </c>
    </row>
    <row r="2567" ht="16.5" customHeight="1">
      <c r="A2567" s="32">
        <v>2566.0</v>
      </c>
      <c r="B2567" s="32" t="s">
        <v>3300</v>
      </c>
      <c r="C2567" s="32" t="s">
        <v>184</v>
      </c>
      <c r="D2567" s="35" t="s">
        <v>294</v>
      </c>
      <c r="E2567" s="32" t="s">
        <v>346</v>
      </c>
      <c r="F2567" s="32" t="s">
        <v>189</v>
      </c>
      <c r="G2567" s="32" t="s">
        <v>190</v>
      </c>
    </row>
    <row r="2568" ht="16.5" customHeight="1">
      <c r="A2568" s="32">
        <v>2567.0</v>
      </c>
      <c r="B2568" s="32" t="s">
        <v>3301</v>
      </c>
      <c r="C2568" s="32" t="s">
        <v>184</v>
      </c>
      <c r="D2568" s="32" t="s">
        <v>228</v>
      </c>
      <c r="E2568" s="32" t="s">
        <v>523</v>
      </c>
    </row>
    <row r="2569" ht="16.5" customHeight="1">
      <c r="A2569" s="32">
        <v>2568.0</v>
      </c>
      <c r="B2569" s="32" t="s">
        <v>3302</v>
      </c>
      <c r="C2569" s="32" t="s">
        <v>184</v>
      </c>
      <c r="D2569" s="32" t="s">
        <v>185</v>
      </c>
      <c r="E2569" s="32" t="s">
        <v>186</v>
      </c>
      <c r="F2569" s="32" t="s">
        <v>267</v>
      </c>
      <c r="G2569" s="32" t="s">
        <v>975</v>
      </c>
    </row>
    <row r="2570" ht="16.5" customHeight="1">
      <c r="A2570" s="32">
        <v>2569.0</v>
      </c>
      <c r="B2570" s="32" t="s">
        <v>3303</v>
      </c>
      <c r="C2570" s="32" t="s">
        <v>184</v>
      </c>
      <c r="D2570" s="32" t="s">
        <v>185</v>
      </c>
      <c r="E2570" s="32" t="s">
        <v>186</v>
      </c>
      <c r="F2570" s="32" t="s">
        <v>267</v>
      </c>
      <c r="G2570" s="32" t="s">
        <v>3201</v>
      </c>
    </row>
    <row r="2571" ht="16.5" customHeight="1">
      <c r="A2571" s="32">
        <v>2570.0</v>
      </c>
      <c r="B2571" s="32" t="s">
        <v>3304</v>
      </c>
      <c r="C2571" s="32" t="s">
        <v>184</v>
      </c>
      <c r="D2571" s="32" t="s">
        <v>228</v>
      </c>
      <c r="E2571" s="32" t="s">
        <v>255</v>
      </c>
      <c r="F2571" s="32" t="s">
        <v>347</v>
      </c>
      <c r="G2571" s="32" t="s">
        <v>382</v>
      </c>
    </row>
    <row r="2572" ht="16.5" customHeight="1">
      <c r="A2572" s="32">
        <v>2571.0</v>
      </c>
      <c r="B2572" s="32" t="s">
        <v>3305</v>
      </c>
      <c r="C2572" s="32" t="s">
        <v>184</v>
      </c>
      <c r="D2572" s="32" t="s">
        <v>185</v>
      </c>
      <c r="E2572" s="32" t="s">
        <v>346</v>
      </c>
      <c r="F2572" s="32" t="s">
        <v>267</v>
      </c>
      <c r="G2572" s="32" t="s">
        <v>188</v>
      </c>
    </row>
    <row r="2573" ht="16.5" customHeight="1">
      <c r="A2573" s="32">
        <v>2572.0</v>
      </c>
      <c r="B2573" s="32" t="s">
        <v>3306</v>
      </c>
      <c r="C2573" s="32" t="s">
        <v>184</v>
      </c>
      <c r="D2573" s="35" t="s">
        <v>1129</v>
      </c>
      <c r="E2573" s="32" t="s">
        <v>346</v>
      </c>
      <c r="F2573" s="32" t="s">
        <v>793</v>
      </c>
    </row>
    <row r="2574" ht="16.5" customHeight="1">
      <c r="A2574" s="32">
        <v>2573.0</v>
      </c>
      <c r="B2574" s="32" t="s">
        <v>3307</v>
      </c>
      <c r="C2574" s="32" t="s">
        <v>184</v>
      </c>
      <c r="D2574" s="35" t="s">
        <v>691</v>
      </c>
      <c r="E2574" s="32" t="s">
        <v>346</v>
      </c>
    </row>
    <row r="2575" ht="16.5" customHeight="1">
      <c r="A2575" s="32">
        <v>2574.0</v>
      </c>
      <c r="B2575" s="32" t="s">
        <v>3308</v>
      </c>
      <c r="C2575" s="32" t="s">
        <v>184</v>
      </c>
      <c r="D2575" s="32" t="s">
        <v>185</v>
      </c>
      <c r="E2575" s="32" t="s">
        <v>186</v>
      </c>
      <c r="F2575" s="32" t="s">
        <v>189</v>
      </c>
      <c r="G2575" s="32" t="s">
        <v>902</v>
      </c>
    </row>
    <row r="2576" ht="16.5" customHeight="1">
      <c r="A2576" s="32">
        <v>2575.0</v>
      </c>
      <c r="B2576" s="32" t="s">
        <v>3309</v>
      </c>
      <c r="C2576" s="32" t="s">
        <v>184</v>
      </c>
      <c r="D2576" s="32" t="s">
        <v>228</v>
      </c>
      <c r="E2576" s="32" t="s">
        <v>222</v>
      </c>
    </row>
    <row r="2577" ht="16.5" customHeight="1">
      <c r="A2577" s="32">
        <v>2576.0</v>
      </c>
      <c r="B2577" s="32" t="s">
        <v>3310</v>
      </c>
      <c r="C2577" s="32" t="s">
        <v>184</v>
      </c>
      <c r="D2577" s="32" t="s">
        <v>228</v>
      </c>
      <c r="E2577" s="32" t="s">
        <v>255</v>
      </c>
      <c r="F2577" s="32" t="s">
        <v>544</v>
      </c>
      <c r="G2577" s="32" t="s">
        <v>545</v>
      </c>
    </row>
    <row r="2578" ht="16.5" customHeight="1">
      <c r="A2578" s="32">
        <v>2577.0</v>
      </c>
      <c r="B2578" s="32" t="s">
        <v>3311</v>
      </c>
      <c r="C2578" s="32" t="s">
        <v>184</v>
      </c>
      <c r="D2578" s="32" t="s">
        <v>185</v>
      </c>
      <c r="E2578" s="32" t="s">
        <v>255</v>
      </c>
      <c r="F2578" s="32" t="s">
        <v>508</v>
      </c>
      <c r="G2578" s="32" t="s">
        <v>2802</v>
      </c>
    </row>
    <row r="2579" ht="16.5" customHeight="1">
      <c r="A2579" s="32">
        <v>2578.0</v>
      </c>
      <c r="B2579" s="32" t="s">
        <v>3312</v>
      </c>
      <c r="C2579" s="32" t="s">
        <v>184</v>
      </c>
      <c r="D2579" s="32" t="s">
        <v>185</v>
      </c>
      <c r="E2579" s="32" t="s">
        <v>255</v>
      </c>
      <c r="F2579" s="32" t="s">
        <v>508</v>
      </c>
      <c r="G2579" s="32" t="s">
        <v>424</v>
      </c>
    </row>
    <row r="2580" ht="16.5" customHeight="1">
      <c r="A2580" s="32">
        <v>2579.0</v>
      </c>
      <c r="B2580" s="32" t="s">
        <v>3313</v>
      </c>
      <c r="C2580" s="32" t="s">
        <v>184</v>
      </c>
      <c r="D2580" s="32" t="s">
        <v>185</v>
      </c>
      <c r="E2580" s="32" t="s">
        <v>255</v>
      </c>
      <c r="F2580" s="32" t="s">
        <v>189</v>
      </c>
      <c r="G2580" s="32" t="s">
        <v>2046</v>
      </c>
    </row>
    <row r="2581" ht="16.5" customHeight="1">
      <c r="A2581" s="32">
        <v>2580.0</v>
      </c>
      <c r="B2581" s="32" t="s">
        <v>3313</v>
      </c>
      <c r="C2581" s="32" t="s">
        <v>184</v>
      </c>
      <c r="D2581" s="32" t="s">
        <v>285</v>
      </c>
      <c r="E2581" s="32" t="s">
        <v>255</v>
      </c>
      <c r="F2581" s="32" t="s">
        <v>189</v>
      </c>
      <c r="G2581" s="32" t="s">
        <v>190</v>
      </c>
    </row>
    <row r="2582" ht="16.5" customHeight="1">
      <c r="A2582" s="32">
        <v>2581.0</v>
      </c>
      <c r="B2582" s="32" t="s">
        <v>3314</v>
      </c>
      <c r="C2582" s="32" t="s">
        <v>184</v>
      </c>
      <c r="D2582" s="32" t="s">
        <v>285</v>
      </c>
      <c r="E2582" s="32" t="s">
        <v>255</v>
      </c>
      <c r="F2582" s="32" t="s">
        <v>2952</v>
      </c>
      <c r="G2582" s="32" t="s">
        <v>3315</v>
      </c>
    </row>
    <row r="2583" ht="16.5" customHeight="1">
      <c r="A2583" s="32">
        <v>2582.0</v>
      </c>
      <c r="B2583" s="32" t="s">
        <v>3316</v>
      </c>
      <c r="C2583" s="32" t="s">
        <v>184</v>
      </c>
      <c r="D2583" s="32" t="s">
        <v>192</v>
      </c>
      <c r="E2583" s="32" t="s">
        <v>255</v>
      </c>
    </row>
    <row r="2584" ht="16.5" customHeight="1">
      <c r="A2584" s="32">
        <v>2583.0</v>
      </c>
      <c r="B2584" s="32" t="s">
        <v>3317</v>
      </c>
      <c r="C2584" s="32" t="s">
        <v>184</v>
      </c>
      <c r="D2584" s="32" t="s">
        <v>254</v>
      </c>
      <c r="E2584" s="32" t="s">
        <v>255</v>
      </c>
      <c r="F2584" s="32" t="s">
        <v>257</v>
      </c>
      <c r="G2584" s="32" t="s">
        <v>3318</v>
      </c>
    </row>
    <row r="2585" ht="16.5" customHeight="1">
      <c r="A2585" s="32">
        <v>2584.0</v>
      </c>
      <c r="B2585" s="32" t="s">
        <v>3319</v>
      </c>
      <c r="C2585" s="32" t="s">
        <v>184</v>
      </c>
      <c r="D2585" s="32" t="s">
        <v>285</v>
      </c>
      <c r="E2585" s="32" t="s">
        <v>399</v>
      </c>
      <c r="F2585" s="32" t="s">
        <v>188</v>
      </c>
      <c r="G2585" s="32" t="s">
        <v>665</v>
      </c>
    </row>
    <row r="2586" ht="16.5" customHeight="1">
      <c r="A2586" s="32">
        <v>2585.0</v>
      </c>
      <c r="B2586" s="32" t="s">
        <v>3320</v>
      </c>
      <c r="C2586" s="32" t="s">
        <v>184</v>
      </c>
      <c r="D2586" s="35" t="s">
        <v>3321</v>
      </c>
      <c r="E2586" s="32" t="s">
        <v>399</v>
      </c>
      <c r="F2586" s="32" t="s">
        <v>3322</v>
      </c>
      <c r="G2586" s="32" t="s">
        <v>3323</v>
      </c>
    </row>
    <row r="2587" ht="16.5" customHeight="1">
      <c r="A2587" s="32">
        <v>2586.0</v>
      </c>
      <c r="B2587" s="32" t="s">
        <v>3324</v>
      </c>
      <c r="C2587" s="32" t="s">
        <v>184</v>
      </c>
      <c r="D2587" s="32" t="s">
        <v>254</v>
      </c>
      <c r="E2587" s="32" t="s">
        <v>255</v>
      </c>
    </row>
    <row r="2588" ht="16.5" customHeight="1">
      <c r="A2588" s="32">
        <v>2587.0</v>
      </c>
      <c r="B2588" s="32" t="s">
        <v>3325</v>
      </c>
      <c r="C2588" s="32" t="s">
        <v>184</v>
      </c>
      <c r="D2588" s="32" t="s">
        <v>185</v>
      </c>
      <c r="E2588" s="32" t="s">
        <v>255</v>
      </c>
      <c r="F2588" s="32" t="s">
        <v>187</v>
      </c>
      <c r="G2588" s="32" t="s">
        <v>854</v>
      </c>
    </row>
    <row r="2589" ht="16.5" customHeight="1">
      <c r="A2589" s="32">
        <v>2588.0</v>
      </c>
      <c r="B2589" s="32" t="s">
        <v>3326</v>
      </c>
      <c r="C2589" s="32" t="s">
        <v>184</v>
      </c>
      <c r="D2589" s="32" t="s">
        <v>185</v>
      </c>
      <c r="E2589" s="32" t="s">
        <v>255</v>
      </c>
      <c r="F2589" s="32" t="s">
        <v>187</v>
      </c>
      <c r="G2589" s="32" t="s">
        <v>854</v>
      </c>
    </row>
    <row r="2590" ht="16.5" customHeight="1">
      <c r="A2590" s="32">
        <v>2589.0</v>
      </c>
      <c r="B2590" s="32" t="s">
        <v>3327</v>
      </c>
      <c r="C2590" s="32" t="s">
        <v>184</v>
      </c>
      <c r="D2590" s="32" t="s">
        <v>254</v>
      </c>
      <c r="E2590" s="32" t="s">
        <v>255</v>
      </c>
      <c r="F2590" s="32" t="s">
        <v>256</v>
      </c>
      <c r="G2590" s="32" t="s">
        <v>1707</v>
      </c>
    </row>
    <row r="2591" ht="16.5" customHeight="1">
      <c r="A2591" s="32">
        <v>2590.0</v>
      </c>
      <c r="B2591" s="32" t="s">
        <v>3328</v>
      </c>
      <c r="C2591" s="32" t="s">
        <v>184</v>
      </c>
      <c r="D2591" s="32" t="s">
        <v>254</v>
      </c>
      <c r="E2591" s="32" t="s">
        <v>255</v>
      </c>
    </row>
    <row r="2592" ht="16.5" customHeight="1">
      <c r="A2592" s="32">
        <v>2591.0</v>
      </c>
      <c r="B2592" s="32" t="s">
        <v>3329</v>
      </c>
      <c r="C2592" s="32" t="s">
        <v>184</v>
      </c>
      <c r="D2592" s="32" t="s">
        <v>254</v>
      </c>
      <c r="E2592" s="32" t="s">
        <v>255</v>
      </c>
      <c r="F2592" s="32" t="s">
        <v>305</v>
      </c>
      <c r="G2592" s="32" t="s">
        <v>311</v>
      </c>
    </row>
    <row r="2593" ht="16.5" customHeight="1">
      <c r="A2593" s="32">
        <v>2592.0</v>
      </c>
      <c r="B2593" s="32" t="s">
        <v>3330</v>
      </c>
      <c r="C2593" s="32" t="s">
        <v>184</v>
      </c>
      <c r="D2593" s="32" t="s">
        <v>254</v>
      </c>
      <c r="E2593" s="32" t="s">
        <v>255</v>
      </c>
      <c r="F2593" s="32" t="s">
        <v>305</v>
      </c>
      <c r="G2593" s="32" t="s">
        <v>600</v>
      </c>
    </row>
    <row r="2594" ht="16.5" customHeight="1">
      <c r="A2594" s="32">
        <v>2593.0</v>
      </c>
      <c r="B2594" s="32" t="s">
        <v>3331</v>
      </c>
      <c r="C2594" s="32" t="s">
        <v>184</v>
      </c>
      <c r="D2594" s="32" t="s">
        <v>254</v>
      </c>
      <c r="E2594" s="32" t="s">
        <v>255</v>
      </c>
      <c r="F2594" s="32" t="s">
        <v>3332</v>
      </c>
      <c r="G2594" s="32" t="s">
        <v>3333</v>
      </c>
    </row>
    <row r="2595" ht="16.5" customHeight="1">
      <c r="A2595" s="32">
        <v>2594.0</v>
      </c>
      <c r="B2595" s="32" t="s">
        <v>3334</v>
      </c>
      <c r="C2595" s="32" t="s">
        <v>184</v>
      </c>
      <c r="D2595" s="32" t="s">
        <v>254</v>
      </c>
      <c r="E2595" s="32" t="s">
        <v>255</v>
      </c>
    </row>
    <row r="2596" ht="16.5" customHeight="1">
      <c r="A2596" s="32">
        <v>2595.0</v>
      </c>
      <c r="B2596" s="32" t="s">
        <v>3335</v>
      </c>
      <c r="C2596" s="32" t="s">
        <v>184</v>
      </c>
      <c r="D2596" s="32" t="s">
        <v>254</v>
      </c>
      <c r="E2596" s="32" t="s">
        <v>346</v>
      </c>
    </row>
    <row r="2597" ht="16.5" customHeight="1">
      <c r="A2597" s="32">
        <v>2596.0</v>
      </c>
      <c r="B2597" s="32" t="s">
        <v>3336</v>
      </c>
      <c r="C2597" s="32" t="s">
        <v>184</v>
      </c>
      <c r="D2597" s="32" t="s">
        <v>185</v>
      </c>
      <c r="E2597" s="32" t="s">
        <v>346</v>
      </c>
    </row>
    <row r="2598" ht="16.5" customHeight="1">
      <c r="A2598" s="32">
        <v>2597.0</v>
      </c>
      <c r="B2598" s="32" t="s">
        <v>3337</v>
      </c>
      <c r="C2598" s="32" t="s">
        <v>184</v>
      </c>
      <c r="D2598" s="32" t="s">
        <v>185</v>
      </c>
      <c r="E2598" s="32" t="s">
        <v>346</v>
      </c>
    </row>
    <row r="2599" ht="16.5" customHeight="1">
      <c r="A2599" s="32">
        <v>2598.0</v>
      </c>
      <c r="B2599" s="32" t="s">
        <v>3338</v>
      </c>
      <c r="C2599" s="32" t="s">
        <v>184</v>
      </c>
      <c r="D2599" s="32" t="s">
        <v>219</v>
      </c>
      <c r="E2599" s="32" t="s">
        <v>346</v>
      </c>
      <c r="F2599" s="32" t="s">
        <v>508</v>
      </c>
    </row>
    <row r="2600" ht="16.5" customHeight="1">
      <c r="A2600" s="32">
        <v>2599.0</v>
      </c>
      <c r="B2600" s="32" t="s">
        <v>3339</v>
      </c>
      <c r="C2600" s="32" t="s">
        <v>184</v>
      </c>
      <c r="D2600" s="32" t="s">
        <v>285</v>
      </c>
      <c r="E2600" s="32" t="s">
        <v>346</v>
      </c>
      <c r="F2600" s="32" t="s">
        <v>552</v>
      </c>
    </row>
    <row r="2601" ht="16.5" customHeight="1">
      <c r="A2601" s="32">
        <v>2600.0</v>
      </c>
      <c r="B2601" s="32" t="s">
        <v>3340</v>
      </c>
      <c r="C2601" s="32" t="s">
        <v>184</v>
      </c>
      <c r="D2601" s="35" t="s">
        <v>294</v>
      </c>
      <c r="E2601" s="32" t="s">
        <v>346</v>
      </c>
    </row>
    <row r="2602" ht="16.5" customHeight="1">
      <c r="A2602" s="32">
        <v>2601.0</v>
      </c>
      <c r="B2602" s="32" t="s">
        <v>3341</v>
      </c>
      <c r="C2602" s="32" t="s">
        <v>184</v>
      </c>
      <c r="D2602" s="32" t="s">
        <v>192</v>
      </c>
      <c r="E2602" s="32" t="s">
        <v>346</v>
      </c>
    </row>
    <row r="2603" ht="16.5" customHeight="1">
      <c r="A2603" s="32">
        <v>2602.0</v>
      </c>
      <c r="B2603" s="32" t="s">
        <v>3342</v>
      </c>
      <c r="C2603" s="32" t="s">
        <v>184</v>
      </c>
      <c r="D2603" s="32" t="s">
        <v>192</v>
      </c>
      <c r="E2603" s="32" t="s">
        <v>346</v>
      </c>
      <c r="F2603" s="32" t="s">
        <v>300</v>
      </c>
      <c r="G2603" s="32" t="s">
        <v>3343</v>
      </c>
    </row>
    <row r="2604" ht="16.5" customHeight="1">
      <c r="A2604" s="32">
        <v>2603.0</v>
      </c>
      <c r="B2604" s="32" t="s">
        <v>3344</v>
      </c>
      <c r="C2604" s="32" t="s">
        <v>184</v>
      </c>
      <c r="D2604" s="32" t="s">
        <v>185</v>
      </c>
      <c r="E2604" s="32" t="s">
        <v>346</v>
      </c>
    </row>
    <row r="2605" ht="16.5" customHeight="1">
      <c r="A2605" s="32">
        <v>2604.0</v>
      </c>
      <c r="B2605" s="32" t="s">
        <v>3345</v>
      </c>
      <c r="C2605" s="32" t="s">
        <v>184</v>
      </c>
      <c r="D2605" s="32" t="s">
        <v>254</v>
      </c>
      <c r="E2605" s="32" t="s">
        <v>346</v>
      </c>
      <c r="F2605" s="32" t="s">
        <v>275</v>
      </c>
    </row>
    <row r="2606" ht="16.5" customHeight="1">
      <c r="A2606" s="32">
        <v>2605.0</v>
      </c>
      <c r="B2606" s="32" t="s">
        <v>3346</v>
      </c>
      <c r="C2606" s="32" t="s">
        <v>184</v>
      </c>
      <c r="D2606" s="32" t="s">
        <v>185</v>
      </c>
      <c r="E2606" s="32" t="s">
        <v>346</v>
      </c>
      <c r="F2606" s="32" t="s">
        <v>275</v>
      </c>
    </row>
    <row r="2607" ht="16.5" customHeight="1">
      <c r="A2607" s="32">
        <v>2606.0</v>
      </c>
      <c r="B2607" s="32" t="s">
        <v>3347</v>
      </c>
      <c r="C2607" s="32" t="s">
        <v>184</v>
      </c>
      <c r="D2607" s="35" t="s">
        <v>3183</v>
      </c>
      <c r="E2607" s="32" t="s">
        <v>346</v>
      </c>
    </row>
    <row r="2608" ht="16.5" customHeight="1">
      <c r="A2608" s="32">
        <v>2607.0</v>
      </c>
      <c r="B2608" s="32" t="s">
        <v>3348</v>
      </c>
      <c r="C2608" s="32" t="s">
        <v>184</v>
      </c>
      <c r="D2608" s="32" t="s">
        <v>234</v>
      </c>
      <c r="E2608" s="32" t="s">
        <v>346</v>
      </c>
    </row>
    <row r="2609" ht="16.5" customHeight="1">
      <c r="A2609" s="32">
        <v>2608.0</v>
      </c>
      <c r="B2609" s="32" t="s">
        <v>3349</v>
      </c>
      <c r="C2609" s="32" t="s">
        <v>184</v>
      </c>
      <c r="D2609" s="32" t="s">
        <v>285</v>
      </c>
      <c r="E2609" s="32" t="s">
        <v>346</v>
      </c>
    </row>
    <row r="2610" ht="16.5" customHeight="1">
      <c r="A2610" s="32">
        <v>2609.0</v>
      </c>
      <c r="B2610" s="32" t="s">
        <v>3350</v>
      </c>
      <c r="C2610" s="32" t="s">
        <v>184</v>
      </c>
      <c r="D2610" s="32" t="s">
        <v>192</v>
      </c>
      <c r="E2610" s="32" t="s">
        <v>186</v>
      </c>
      <c r="F2610" s="32" t="s">
        <v>329</v>
      </c>
      <c r="G2610" s="32" t="s">
        <v>457</v>
      </c>
    </row>
    <row r="2611" ht="16.5" customHeight="1">
      <c r="A2611" s="32">
        <v>2610.0</v>
      </c>
      <c r="B2611" s="32" t="s">
        <v>3351</v>
      </c>
      <c r="C2611" s="32" t="s">
        <v>184</v>
      </c>
      <c r="D2611" s="32" t="s">
        <v>192</v>
      </c>
      <c r="E2611" s="32" t="s">
        <v>346</v>
      </c>
    </row>
    <row r="2612" ht="16.5" customHeight="1">
      <c r="A2612" s="32">
        <v>2611.0</v>
      </c>
      <c r="B2612" s="32" t="s">
        <v>3352</v>
      </c>
      <c r="C2612" s="32" t="s">
        <v>184</v>
      </c>
      <c r="D2612" s="32" t="s">
        <v>192</v>
      </c>
      <c r="E2612" s="32" t="s">
        <v>346</v>
      </c>
    </row>
    <row r="2613" ht="16.5" customHeight="1">
      <c r="A2613" s="32">
        <v>2612.0</v>
      </c>
      <c r="B2613" s="32" t="s">
        <v>3353</v>
      </c>
      <c r="C2613" s="32" t="s">
        <v>184</v>
      </c>
      <c r="D2613" s="32" t="s">
        <v>192</v>
      </c>
      <c r="E2613" s="32" t="s">
        <v>346</v>
      </c>
      <c r="F2613" s="32" t="s">
        <v>329</v>
      </c>
      <c r="G2613" s="32" t="s">
        <v>447</v>
      </c>
    </row>
    <row r="2614" ht="16.5" customHeight="1">
      <c r="A2614" s="32">
        <v>2613.0</v>
      </c>
      <c r="B2614" s="32" t="s">
        <v>3354</v>
      </c>
      <c r="C2614" s="32" t="s">
        <v>184</v>
      </c>
      <c r="D2614" s="32" t="s">
        <v>219</v>
      </c>
      <c r="E2614" s="32" t="s">
        <v>346</v>
      </c>
      <c r="F2614" s="32" t="s">
        <v>232</v>
      </c>
      <c r="G2614" s="32" t="s">
        <v>241</v>
      </c>
    </row>
    <row r="2615" ht="16.5" customHeight="1">
      <c r="A2615" s="32">
        <v>2614.0</v>
      </c>
      <c r="B2615" s="32" t="s">
        <v>3355</v>
      </c>
      <c r="C2615" s="32" t="s">
        <v>184</v>
      </c>
      <c r="D2615" s="32" t="s">
        <v>219</v>
      </c>
      <c r="E2615" s="32" t="s">
        <v>346</v>
      </c>
    </row>
    <row r="2616" ht="16.5" customHeight="1">
      <c r="A2616" s="32">
        <v>2615.0</v>
      </c>
      <c r="B2616" s="32" t="s">
        <v>3356</v>
      </c>
      <c r="C2616" s="32" t="s">
        <v>184</v>
      </c>
      <c r="D2616" s="32" t="s">
        <v>219</v>
      </c>
      <c r="E2616" s="32" t="s">
        <v>346</v>
      </c>
    </row>
    <row r="2617" ht="16.5" customHeight="1">
      <c r="A2617" s="32">
        <v>2616.0</v>
      </c>
      <c r="B2617" s="32" t="s">
        <v>3357</v>
      </c>
      <c r="C2617" s="32" t="s">
        <v>184</v>
      </c>
      <c r="D2617" s="32" t="s">
        <v>192</v>
      </c>
      <c r="E2617" s="32" t="s">
        <v>346</v>
      </c>
    </row>
    <row r="2618" ht="16.5" customHeight="1">
      <c r="A2618" s="32">
        <v>2617.0</v>
      </c>
      <c r="B2618" s="32" t="s">
        <v>3358</v>
      </c>
      <c r="C2618" s="32" t="s">
        <v>184</v>
      </c>
      <c r="D2618" s="32" t="s">
        <v>228</v>
      </c>
      <c r="E2618" s="32" t="s">
        <v>346</v>
      </c>
    </row>
    <row r="2619" ht="16.5" customHeight="1">
      <c r="A2619" s="32">
        <v>2618.0</v>
      </c>
      <c r="B2619" s="32" t="s">
        <v>3359</v>
      </c>
      <c r="C2619" s="32" t="s">
        <v>184</v>
      </c>
      <c r="D2619" s="32" t="s">
        <v>325</v>
      </c>
      <c r="E2619" s="32" t="s">
        <v>346</v>
      </c>
    </row>
    <row r="2620" ht="16.5" customHeight="1">
      <c r="A2620" s="32">
        <v>2619.0</v>
      </c>
      <c r="B2620" s="32" t="s">
        <v>3360</v>
      </c>
      <c r="C2620" s="32" t="s">
        <v>184</v>
      </c>
      <c r="D2620" s="32" t="s">
        <v>325</v>
      </c>
      <c r="E2620" s="32" t="s">
        <v>346</v>
      </c>
      <c r="F2620" s="32" t="s">
        <v>368</v>
      </c>
      <c r="G2620" s="32" t="s">
        <v>463</v>
      </c>
    </row>
    <row r="2621" ht="16.5" customHeight="1">
      <c r="A2621" s="32">
        <v>2620.0</v>
      </c>
      <c r="B2621" s="32" t="s">
        <v>3361</v>
      </c>
      <c r="C2621" s="32" t="s">
        <v>184</v>
      </c>
      <c r="D2621" s="32" t="s">
        <v>285</v>
      </c>
      <c r="E2621" s="32" t="s">
        <v>346</v>
      </c>
      <c r="F2621" s="32" t="s">
        <v>189</v>
      </c>
      <c r="G2621" s="32" t="s">
        <v>190</v>
      </c>
    </row>
    <row r="2622" ht="16.5" customHeight="1">
      <c r="A2622" s="32">
        <v>2621.0</v>
      </c>
      <c r="B2622" s="32" t="s">
        <v>3362</v>
      </c>
      <c r="C2622" s="32" t="s">
        <v>184</v>
      </c>
      <c r="D2622" s="32" t="s">
        <v>234</v>
      </c>
      <c r="E2622" s="32" t="s">
        <v>346</v>
      </c>
      <c r="F2622" s="32" t="s">
        <v>347</v>
      </c>
      <c r="G2622" s="32" t="s">
        <v>382</v>
      </c>
    </row>
    <row r="2623" ht="16.5" customHeight="1">
      <c r="A2623" s="32">
        <v>2622.0</v>
      </c>
      <c r="B2623" s="32" t="s">
        <v>3363</v>
      </c>
      <c r="C2623" s="32" t="s">
        <v>184</v>
      </c>
      <c r="D2623" s="32" t="s">
        <v>234</v>
      </c>
      <c r="E2623" s="32" t="s">
        <v>346</v>
      </c>
    </row>
    <row r="2624" ht="16.5" customHeight="1">
      <c r="A2624" s="32">
        <v>2623.0</v>
      </c>
      <c r="B2624" s="32" t="s">
        <v>3364</v>
      </c>
      <c r="C2624" s="32" t="s">
        <v>184</v>
      </c>
      <c r="D2624" s="32" t="s">
        <v>234</v>
      </c>
      <c r="E2624" s="32" t="s">
        <v>346</v>
      </c>
      <c r="F2624" s="32" t="s">
        <v>347</v>
      </c>
      <c r="G2624" s="32" t="s">
        <v>382</v>
      </c>
    </row>
    <row r="2625" ht="16.5" customHeight="1">
      <c r="A2625" s="32">
        <v>2624.0</v>
      </c>
      <c r="B2625" s="32" t="s">
        <v>3365</v>
      </c>
      <c r="C2625" s="32" t="s">
        <v>184</v>
      </c>
      <c r="D2625" s="32" t="s">
        <v>234</v>
      </c>
      <c r="E2625" s="32" t="s">
        <v>346</v>
      </c>
      <c r="F2625" s="32" t="s">
        <v>347</v>
      </c>
      <c r="G2625" s="32" t="s">
        <v>382</v>
      </c>
    </row>
    <row r="2626" ht="16.5" customHeight="1">
      <c r="A2626" s="32">
        <v>2625.0</v>
      </c>
      <c r="B2626" s="32" t="s">
        <v>3366</v>
      </c>
      <c r="C2626" s="32" t="s">
        <v>184</v>
      </c>
      <c r="D2626" s="32" t="s">
        <v>234</v>
      </c>
      <c r="E2626" s="32" t="s">
        <v>346</v>
      </c>
      <c r="F2626" s="32" t="s">
        <v>347</v>
      </c>
      <c r="G2626" s="32" t="s">
        <v>382</v>
      </c>
    </row>
    <row r="2627" ht="16.5" customHeight="1">
      <c r="A2627" s="32">
        <v>2626.0</v>
      </c>
      <c r="B2627" s="32" t="s">
        <v>3367</v>
      </c>
      <c r="C2627" s="32" t="s">
        <v>184</v>
      </c>
      <c r="D2627" s="32" t="s">
        <v>234</v>
      </c>
      <c r="E2627" s="32" t="s">
        <v>346</v>
      </c>
      <c r="F2627" s="32" t="s">
        <v>347</v>
      </c>
      <c r="G2627" s="32" t="s">
        <v>382</v>
      </c>
    </row>
    <row r="2628" ht="16.5" customHeight="1">
      <c r="A2628" s="32">
        <v>2627.0</v>
      </c>
      <c r="B2628" s="32" t="s">
        <v>3368</v>
      </c>
      <c r="C2628" s="32" t="s">
        <v>184</v>
      </c>
      <c r="D2628" s="32" t="s">
        <v>234</v>
      </c>
      <c r="E2628" s="32" t="s">
        <v>346</v>
      </c>
      <c r="F2628" s="32" t="s">
        <v>347</v>
      </c>
    </row>
    <row r="2629" ht="16.5" customHeight="1">
      <c r="A2629" s="32">
        <v>2628.0</v>
      </c>
      <c r="B2629" s="32" t="s">
        <v>3369</v>
      </c>
      <c r="C2629" s="32" t="s">
        <v>184</v>
      </c>
      <c r="D2629" s="32" t="s">
        <v>285</v>
      </c>
      <c r="E2629" s="32" t="s">
        <v>346</v>
      </c>
      <c r="F2629" s="32" t="s">
        <v>189</v>
      </c>
      <c r="G2629" s="32" t="s">
        <v>190</v>
      </c>
    </row>
    <row r="2630" ht="16.5" customHeight="1">
      <c r="A2630" s="32">
        <v>2629.0</v>
      </c>
      <c r="B2630" s="32" t="s">
        <v>3370</v>
      </c>
      <c r="C2630" s="32" t="s">
        <v>184</v>
      </c>
      <c r="D2630" s="35" t="s">
        <v>294</v>
      </c>
      <c r="E2630" s="32" t="s">
        <v>346</v>
      </c>
    </row>
    <row r="2631" ht="16.5" customHeight="1">
      <c r="A2631" s="32">
        <v>2630.0</v>
      </c>
      <c r="B2631" s="32" t="s">
        <v>3371</v>
      </c>
      <c r="C2631" s="32" t="s">
        <v>184</v>
      </c>
      <c r="D2631" s="32" t="s">
        <v>234</v>
      </c>
      <c r="E2631" s="32" t="s">
        <v>346</v>
      </c>
      <c r="F2631" s="32" t="s">
        <v>347</v>
      </c>
      <c r="G2631" s="32" t="s">
        <v>382</v>
      </c>
    </row>
    <row r="2632" ht="16.5" customHeight="1">
      <c r="A2632" s="32">
        <v>2631.0</v>
      </c>
      <c r="B2632" s="32" t="s">
        <v>3372</v>
      </c>
      <c r="C2632" s="32" t="s">
        <v>184</v>
      </c>
      <c r="D2632" s="32" t="s">
        <v>234</v>
      </c>
      <c r="E2632" s="32" t="s">
        <v>346</v>
      </c>
    </row>
    <row r="2633" ht="16.5" customHeight="1">
      <c r="A2633" s="32">
        <v>2632.0</v>
      </c>
      <c r="B2633" s="32" t="s">
        <v>3373</v>
      </c>
      <c r="C2633" s="32" t="s">
        <v>184</v>
      </c>
      <c r="D2633" s="32" t="s">
        <v>234</v>
      </c>
      <c r="E2633" s="32" t="s">
        <v>346</v>
      </c>
      <c r="F2633" s="32" t="s">
        <v>347</v>
      </c>
      <c r="G2633" s="32" t="s">
        <v>382</v>
      </c>
    </row>
    <row r="2634" ht="16.5" customHeight="1">
      <c r="A2634" s="32">
        <v>2633.0</v>
      </c>
      <c r="B2634" s="32" t="s">
        <v>3374</v>
      </c>
      <c r="C2634" s="32" t="s">
        <v>184</v>
      </c>
      <c r="D2634" s="32" t="s">
        <v>254</v>
      </c>
      <c r="E2634" s="32" t="s">
        <v>346</v>
      </c>
    </row>
    <row r="2635" ht="16.5" customHeight="1">
      <c r="A2635" s="32">
        <v>2634.0</v>
      </c>
      <c r="B2635" s="32" t="s">
        <v>3375</v>
      </c>
      <c r="C2635" s="32" t="s">
        <v>184</v>
      </c>
      <c r="D2635" s="32" t="s">
        <v>325</v>
      </c>
      <c r="E2635" s="32" t="s">
        <v>346</v>
      </c>
      <c r="F2635" s="32" t="s">
        <v>368</v>
      </c>
      <c r="G2635" s="32" t="s">
        <v>463</v>
      </c>
    </row>
    <row r="2636" ht="16.5" customHeight="1">
      <c r="A2636" s="32">
        <v>2635.0</v>
      </c>
      <c r="B2636" s="32" t="s">
        <v>3376</v>
      </c>
      <c r="C2636" s="32" t="s">
        <v>184</v>
      </c>
      <c r="D2636" s="32" t="s">
        <v>192</v>
      </c>
      <c r="E2636" s="32" t="s">
        <v>346</v>
      </c>
      <c r="F2636" s="32" t="s">
        <v>300</v>
      </c>
      <c r="G2636" s="32" t="s">
        <v>387</v>
      </c>
    </row>
    <row r="2637" ht="16.5" customHeight="1">
      <c r="A2637" s="32">
        <v>2636.0</v>
      </c>
      <c r="B2637" s="32" t="s">
        <v>3377</v>
      </c>
      <c r="C2637" s="32" t="s">
        <v>184</v>
      </c>
      <c r="D2637" s="32" t="s">
        <v>285</v>
      </c>
      <c r="E2637" s="32" t="s">
        <v>346</v>
      </c>
      <c r="F2637" s="32" t="s">
        <v>347</v>
      </c>
      <c r="G2637" s="32" t="s">
        <v>382</v>
      </c>
    </row>
    <row r="2638" ht="16.5" customHeight="1">
      <c r="A2638" s="32">
        <v>2637.0</v>
      </c>
      <c r="B2638" s="32" t="s">
        <v>3378</v>
      </c>
      <c r="C2638" s="32" t="s">
        <v>184</v>
      </c>
      <c r="D2638" s="32" t="s">
        <v>192</v>
      </c>
      <c r="E2638" s="32" t="s">
        <v>346</v>
      </c>
      <c r="F2638" s="32" t="s">
        <v>238</v>
      </c>
      <c r="G2638" s="32" t="s">
        <v>1621</v>
      </c>
    </row>
    <row r="2639" ht="16.5" customHeight="1">
      <c r="A2639" s="32">
        <v>2638.0</v>
      </c>
      <c r="B2639" s="32" t="s">
        <v>3379</v>
      </c>
      <c r="C2639" s="32" t="s">
        <v>184</v>
      </c>
      <c r="D2639" s="32" t="s">
        <v>192</v>
      </c>
      <c r="E2639" s="32" t="s">
        <v>346</v>
      </c>
      <c r="F2639" s="32" t="s">
        <v>238</v>
      </c>
      <c r="G2639" s="32" t="s">
        <v>618</v>
      </c>
    </row>
    <row r="2640" ht="16.5" customHeight="1">
      <c r="A2640" s="32">
        <v>2639.0</v>
      </c>
      <c r="B2640" s="32" t="s">
        <v>3380</v>
      </c>
      <c r="C2640" s="32" t="s">
        <v>184</v>
      </c>
      <c r="D2640" s="32" t="s">
        <v>214</v>
      </c>
      <c r="E2640" s="32" t="s">
        <v>346</v>
      </c>
    </row>
    <row r="2641" ht="16.5" customHeight="1">
      <c r="A2641" s="32">
        <v>2640.0</v>
      </c>
      <c r="B2641" s="32" t="s">
        <v>3381</v>
      </c>
      <c r="C2641" s="32" t="s">
        <v>184</v>
      </c>
      <c r="D2641" s="32" t="s">
        <v>219</v>
      </c>
      <c r="E2641" s="32" t="s">
        <v>346</v>
      </c>
    </row>
    <row r="2642" ht="16.5" customHeight="1">
      <c r="A2642" s="32">
        <v>2641.0</v>
      </c>
      <c r="B2642" s="32" t="s">
        <v>3382</v>
      </c>
      <c r="C2642" s="32" t="s">
        <v>184</v>
      </c>
      <c r="D2642" s="32" t="s">
        <v>192</v>
      </c>
      <c r="E2642" s="32" t="s">
        <v>346</v>
      </c>
      <c r="F2642" s="32" t="s">
        <v>329</v>
      </c>
      <c r="G2642" s="32" t="s">
        <v>457</v>
      </c>
    </row>
    <row r="2643" ht="16.5" customHeight="1">
      <c r="A2643" s="32">
        <v>2642.0</v>
      </c>
      <c r="B2643" s="32" t="s">
        <v>3382</v>
      </c>
      <c r="C2643" s="32" t="s">
        <v>184</v>
      </c>
      <c r="D2643" s="32" t="s">
        <v>192</v>
      </c>
      <c r="E2643" s="32" t="s">
        <v>346</v>
      </c>
      <c r="F2643" s="32" t="s">
        <v>570</v>
      </c>
      <c r="G2643" s="32" t="s">
        <v>447</v>
      </c>
    </row>
    <row r="2644" ht="16.5" customHeight="1">
      <c r="A2644" s="32">
        <v>2643.0</v>
      </c>
      <c r="B2644" s="32" t="s">
        <v>3383</v>
      </c>
      <c r="C2644" s="32" t="s">
        <v>184</v>
      </c>
      <c r="D2644" s="32" t="s">
        <v>192</v>
      </c>
      <c r="E2644" s="32" t="s">
        <v>346</v>
      </c>
      <c r="F2644" s="32" t="s">
        <v>570</v>
      </c>
      <c r="G2644" s="32" t="s">
        <v>447</v>
      </c>
    </row>
    <row r="2645" ht="16.5" customHeight="1">
      <c r="A2645" s="32">
        <v>2644.0</v>
      </c>
      <c r="B2645" s="32" t="s">
        <v>3384</v>
      </c>
      <c r="C2645" s="32" t="s">
        <v>184</v>
      </c>
      <c r="D2645" s="32" t="s">
        <v>192</v>
      </c>
      <c r="E2645" s="32" t="s">
        <v>346</v>
      </c>
      <c r="F2645" s="32" t="s">
        <v>570</v>
      </c>
      <c r="G2645" s="32" t="s">
        <v>447</v>
      </c>
    </row>
    <row r="2646" ht="16.5" customHeight="1">
      <c r="A2646" s="32">
        <v>2645.0</v>
      </c>
      <c r="B2646" s="32" t="s">
        <v>3385</v>
      </c>
      <c r="C2646" s="32" t="s">
        <v>184</v>
      </c>
      <c r="D2646" s="32" t="s">
        <v>185</v>
      </c>
      <c r="E2646" s="32" t="s">
        <v>346</v>
      </c>
    </row>
    <row r="2647" ht="16.5" customHeight="1">
      <c r="A2647" s="32">
        <v>2646.0</v>
      </c>
      <c r="B2647" s="32" t="s">
        <v>3386</v>
      </c>
      <c r="C2647" s="32" t="s">
        <v>184</v>
      </c>
      <c r="D2647" s="32" t="s">
        <v>185</v>
      </c>
      <c r="E2647" s="32" t="s">
        <v>346</v>
      </c>
      <c r="F2647" s="32" t="s">
        <v>187</v>
      </c>
      <c r="G2647" s="32" t="s">
        <v>2646</v>
      </c>
    </row>
    <row r="2648" ht="16.5" customHeight="1">
      <c r="A2648" s="32">
        <v>2647.0</v>
      </c>
      <c r="B2648" s="32" t="s">
        <v>3387</v>
      </c>
      <c r="C2648" s="32" t="s">
        <v>184</v>
      </c>
      <c r="D2648" s="32" t="s">
        <v>185</v>
      </c>
      <c r="E2648" s="32" t="s">
        <v>346</v>
      </c>
      <c r="F2648" s="32" t="s">
        <v>187</v>
      </c>
      <c r="G2648" s="32" t="s">
        <v>188</v>
      </c>
    </row>
    <row r="2649" ht="16.5" customHeight="1">
      <c r="A2649" s="32">
        <v>2648.0</v>
      </c>
      <c r="B2649" s="32" t="s">
        <v>3388</v>
      </c>
      <c r="C2649" s="32" t="s">
        <v>184</v>
      </c>
      <c r="D2649" s="32" t="s">
        <v>185</v>
      </c>
      <c r="E2649" s="32" t="s">
        <v>346</v>
      </c>
      <c r="F2649" s="32" t="s">
        <v>187</v>
      </c>
      <c r="G2649" s="32" t="s">
        <v>188</v>
      </c>
    </row>
    <row r="2650" ht="16.5" customHeight="1">
      <c r="A2650" s="32">
        <v>2649.0</v>
      </c>
      <c r="B2650" s="32" t="s">
        <v>3389</v>
      </c>
      <c r="C2650" s="32" t="s">
        <v>184</v>
      </c>
      <c r="D2650" s="32" t="s">
        <v>185</v>
      </c>
      <c r="E2650" s="32" t="s">
        <v>346</v>
      </c>
      <c r="F2650" s="32" t="s">
        <v>187</v>
      </c>
      <c r="G2650" s="32" t="s">
        <v>188</v>
      </c>
    </row>
    <row r="2651" ht="16.5" customHeight="1">
      <c r="A2651" s="32">
        <v>2650.0</v>
      </c>
      <c r="B2651" s="32" t="s">
        <v>3390</v>
      </c>
      <c r="C2651" s="32" t="s">
        <v>184</v>
      </c>
      <c r="D2651" s="32" t="s">
        <v>185</v>
      </c>
      <c r="E2651" s="35" t="s">
        <v>3391</v>
      </c>
      <c r="F2651" s="32" t="s">
        <v>187</v>
      </c>
      <c r="G2651" s="32" t="s">
        <v>854</v>
      </c>
    </row>
    <row r="2652" ht="16.5" customHeight="1">
      <c r="A2652" s="32">
        <v>2651.0</v>
      </c>
      <c r="B2652" s="32" t="s">
        <v>3392</v>
      </c>
      <c r="C2652" s="32" t="s">
        <v>184</v>
      </c>
      <c r="D2652" s="32" t="s">
        <v>285</v>
      </c>
      <c r="E2652" s="32" t="s">
        <v>346</v>
      </c>
    </row>
    <row r="2653" ht="16.5" customHeight="1">
      <c r="A2653" s="32">
        <v>2652.0</v>
      </c>
      <c r="B2653" s="32" t="s">
        <v>3393</v>
      </c>
      <c r="C2653" s="32" t="s">
        <v>184</v>
      </c>
      <c r="D2653" s="32" t="s">
        <v>285</v>
      </c>
      <c r="E2653" s="32" t="s">
        <v>346</v>
      </c>
      <c r="F2653" s="32" t="s">
        <v>189</v>
      </c>
      <c r="G2653" s="32" t="s">
        <v>190</v>
      </c>
    </row>
    <row r="2654" ht="16.5" customHeight="1">
      <c r="A2654" s="32">
        <v>2653.0</v>
      </c>
      <c r="B2654" s="32" t="s">
        <v>3394</v>
      </c>
      <c r="C2654" s="32" t="s">
        <v>184</v>
      </c>
      <c r="D2654" s="32" t="s">
        <v>185</v>
      </c>
      <c r="E2654" s="32" t="s">
        <v>346</v>
      </c>
      <c r="F2654" s="32" t="s">
        <v>1878</v>
      </c>
      <c r="G2654" s="32" t="s">
        <v>857</v>
      </c>
    </row>
    <row r="2655" ht="16.5" customHeight="1">
      <c r="A2655" s="32">
        <v>2654.0</v>
      </c>
      <c r="B2655" s="32" t="s">
        <v>3394</v>
      </c>
      <c r="C2655" s="32" t="s">
        <v>184</v>
      </c>
      <c r="D2655" s="32" t="s">
        <v>285</v>
      </c>
      <c r="E2655" s="32" t="s">
        <v>346</v>
      </c>
      <c r="F2655" s="32" t="s">
        <v>189</v>
      </c>
      <c r="G2655" s="32" t="s">
        <v>1939</v>
      </c>
    </row>
    <row r="2656" ht="16.5" customHeight="1">
      <c r="A2656" s="32">
        <v>2655.0</v>
      </c>
      <c r="B2656" s="32" t="s">
        <v>3395</v>
      </c>
      <c r="C2656" s="32" t="s">
        <v>184</v>
      </c>
      <c r="D2656" s="32" t="s">
        <v>234</v>
      </c>
      <c r="E2656" s="32" t="s">
        <v>346</v>
      </c>
      <c r="F2656" s="32" t="s">
        <v>415</v>
      </c>
      <c r="G2656" s="32" t="s">
        <v>243</v>
      </c>
    </row>
    <row r="2657" ht="16.5" customHeight="1">
      <c r="A2657" s="32">
        <v>2656.0</v>
      </c>
      <c r="B2657" s="32" t="s">
        <v>3396</v>
      </c>
      <c r="C2657" s="32" t="s">
        <v>184</v>
      </c>
      <c r="D2657" s="32" t="s">
        <v>234</v>
      </c>
      <c r="E2657" s="32" t="s">
        <v>346</v>
      </c>
    </row>
    <row r="2658" ht="16.5" customHeight="1">
      <c r="A2658" s="32">
        <v>2657.0</v>
      </c>
      <c r="B2658" s="32" t="s">
        <v>3397</v>
      </c>
      <c r="C2658" s="32" t="s">
        <v>184</v>
      </c>
      <c r="D2658" s="32" t="s">
        <v>234</v>
      </c>
      <c r="E2658" s="32" t="s">
        <v>346</v>
      </c>
      <c r="F2658" s="32" t="s">
        <v>415</v>
      </c>
      <c r="G2658" s="32" t="s">
        <v>243</v>
      </c>
    </row>
    <row r="2659" ht="16.5" customHeight="1">
      <c r="A2659" s="32">
        <v>2658.0</v>
      </c>
      <c r="B2659" s="32" t="s">
        <v>3398</v>
      </c>
      <c r="C2659" s="32" t="s">
        <v>184</v>
      </c>
      <c r="D2659" s="32" t="s">
        <v>234</v>
      </c>
      <c r="E2659" s="32" t="s">
        <v>346</v>
      </c>
      <c r="F2659" s="32" t="s">
        <v>415</v>
      </c>
      <c r="G2659" s="32" t="s">
        <v>243</v>
      </c>
    </row>
    <row r="2660" ht="16.5" customHeight="1">
      <c r="A2660" s="32">
        <v>2659.0</v>
      </c>
      <c r="B2660" s="32" t="s">
        <v>3399</v>
      </c>
      <c r="C2660" s="32" t="s">
        <v>184</v>
      </c>
      <c r="D2660" s="32" t="s">
        <v>234</v>
      </c>
      <c r="E2660" s="32" t="s">
        <v>346</v>
      </c>
      <c r="F2660" s="32" t="s">
        <v>235</v>
      </c>
      <c r="G2660" s="32" t="s">
        <v>229</v>
      </c>
    </row>
    <row r="2661" ht="16.5" customHeight="1">
      <c r="A2661" s="32">
        <v>2660.0</v>
      </c>
      <c r="B2661" s="32" t="s">
        <v>3400</v>
      </c>
      <c r="C2661" s="32" t="s">
        <v>184</v>
      </c>
      <c r="D2661" s="32" t="s">
        <v>234</v>
      </c>
      <c r="E2661" s="32" t="s">
        <v>346</v>
      </c>
      <c r="F2661" s="32" t="s">
        <v>415</v>
      </c>
      <c r="G2661" s="32" t="s">
        <v>2329</v>
      </c>
    </row>
    <row r="2662" ht="16.5" customHeight="1">
      <c r="A2662" s="32">
        <v>2661.0</v>
      </c>
      <c r="B2662" s="32" t="s">
        <v>3401</v>
      </c>
      <c r="C2662" s="32" t="s">
        <v>184</v>
      </c>
      <c r="D2662" s="32" t="s">
        <v>234</v>
      </c>
      <c r="E2662" s="32" t="s">
        <v>346</v>
      </c>
      <c r="F2662" s="32" t="s">
        <v>415</v>
      </c>
      <c r="G2662" s="32" t="s">
        <v>243</v>
      </c>
    </row>
    <row r="2663" ht="16.5" customHeight="1">
      <c r="A2663" s="32">
        <v>2662.0</v>
      </c>
      <c r="B2663" s="32" t="s">
        <v>3402</v>
      </c>
      <c r="C2663" s="32" t="s">
        <v>184</v>
      </c>
      <c r="D2663" s="32" t="s">
        <v>234</v>
      </c>
      <c r="E2663" s="32" t="s">
        <v>346</v>
      </c>
    </row>
    <row r="2664" ht="16.5" customHeight="1">
      <c r="A2664" s="32">
        <v>2663.0</v>
      </c>
      <c r="B2664" s="32" t="s">
        <v>3403</v>
      </c>
      <c r="C2664" s="32" t="s">
        <v>184</v>
      </c>
      <c r="D2664" s="32" t="s">
        <v>285</v>
      </c>
      <c r="E2664" s="32" t="s">
        <v>346</v>
      </c>
      <c r="F2664" s="32" t="s">
        <v>188</v>
      </c>
      <c r="G2664" s="32" t="s">
        <v>561</v>
      </c>
    </row>
    <row r="2665" ht="16.5" customHeight="1">
      <c r="A2665" s="32">
        <v>2664.0</v>
      </c>
      <c r="B2665" s="32" t="s">
        <v>3404</v>
      </c>
      <c r="C2665" s="32" t="s">
        <v>184</v>
      </c>
      <c r="D2665" s="32" t="s">
        <v>285</v>
      </c>
      <c r="E2665" s="32" t="s">
        <v>346</v>
      </c>
      <c r="F2665" s="32" t="s">
        <v>188</v>
      </c>
      <c r="G2665" s="32" t="s">
        <v>368</v>
      </c>
    </row>
    <row r="2666" ht="16.5" customHeight="1">
      <c r="A2666" s="32">
        <v>2665.0</v>
      </c>
      <c r="B2666" s="32" t="s">
        <v>3405</v>
      </c>
      <c r="C2666" s="32" t="s">
        <v>184</v>
      </c>
      <c r="D2666" s="32" t="s">
        <v>185</v>
      </c>
      <c r="E2666" s="32" t="s">
        <v>346</v>
      </c>
    </row>
    <row r="2667" ht="16.5" customHeight="1">
      <c r="A2667" s="32">
        <v>2666.0</v>
      </c>
      <c r="B2667" s="32" t="s">
        <v>3406</v>
      </c>
      <c r="C2667" s="32" t="s">
        <v>184</v>
      </c>
      <c r="D2667" s="32" t="s">
        <v>254</v>
      </c>
      <c r="E2667" s="32" t="s">
        <v>346</v>
      </c>
      <c r="F2667" s="32" t="s">
        <v>257</v>
      </c>
    </row>
    <row r="2668" ht="16.5" customHeight="1">
      <c r="A2668" s="32">
        <v>2667.0</v>
      </c>
      <c r="B2668" s="32" t="s">
        <v>3407</v>
      </c>
      <c r="C2668" s="32" t="s">
        <v>184</v>
      </c>
      <c r="D2668" s="32" t="s">
        <v>192</v>
      </c>
      <c r="E2668" s="32" t="s">
        <v>346</v>
      </c>
      <c r="F2668" s="32" t="s">
        <v>300</v>
      </c>
      <c r="G2668" s="32" t="s">
        <v>387</v>
      </c>
    </row>
    <row r="2669" ht="16.5" customHeight="1">
      <c r="A2669" s="32">
        <v>2668.0</v>
      </c>
      <c r="B2669" s="32" t="s">
        <v>3408</v>
      </c>
      <c r="C2669" s="32" t="s">
        <v>184</v>
      </c>
      <c r="D2669" s="32" t="s">
        <v>228</v>
      </c>
      <c r="E2669" s="32" t="s">
        <v>346</v>
      </c>
      <c r="F2669" s="32" t="s">
        <v>544</v>
      </c>
      <c r="G2669" s="32" t="s">
        <v>545</v>
      </c>
    </row>
    <row r="2670" ht="16.5" customHeight="1">
      <c r="A2670" s="32">
        <v>2669.0</v>
      </c>
      <c r="B2670" s="32" t="s">
        <v>3409</v>
      </c>
      <c r="C2670" s="32" t="s">
        <v>184</v>
      </c>
      <c r="D2670" s="32" t="s">
        <v>228</v>
      </c>
      <c r="E2670" s="32" t="s">
        <v>346</v>
      </c>
      <c r="F2670" s="32" t="s">
        <v>544</v>
      </c>
      <c r="G2670" s="32" t="s">
        <v>545</v>
      </c>
    </row>
    <row r="2671" ht="16.5" customHeight="1">
      <c r="A2671" s="32">
        <v>2670.0</v>
      </c>
      <c r="B2671" s="32" t="s">
        <v>3410</v>
      </c>
      <c r="C2671" s="32" t="s">
        <v>184</v>
      </c>
      <c r="D2671" s="32" t="s">
        <v>228</v>
      </c>
      <c r="E2671" s="32" t="s">
        <v>346</v>
      </c>
      <c r="F2671" s="32" t="s">
        <v>544</v>
      </c>
      <c r="G2671" s="32" t="s">
        <v>545</v>
      </c>
    </row>
    <row r="2672" ht="16.5" customHeight="1">
      <c r="A2672" s="32">
        <v>2671.0</v>
      </c>
      <c r="B2672" s="32" t="s">
        <v>3411</v>
      </c>
      <c r="C2672" s="32" t="s">
        <v>184</v>
      </c>
      <c r="D2672" s="32" t="s">
        <v>228</v>
      </c>
      <c r="E2672" s="32" t="s">
        <v>346</v>
      </c>
      <c r="F2672" s="32" t="s">
        <v>544</v>
      </c>
    </row>
    <row r="2673" ht="16.5" customHeight="1">
      <c r="A2673" s="32">
        <v>2672.0</v>
      </c>
      <c r="B2673" s="32" t="s">
        <v>3412</v>
      </c>
      <c r="C2673" s="32" t="s">
        <v>184</v>
      </c>
      <c r="D2673" s="32" t="s">
        <v>192</v>
      </c>
      <c r="E2673" s="32" t="s">
        <v>346</v>
      </c>
      <c r="F2673" s="32" t="s">
        <v>300</v>
      </c>
      <c r="G2673" s="32" t="s">
        <v>3413</v>
      </c>
    </row>
    <row r="2674" ht="16.5" customHeight="1">
      <c r="A2674" s="32">
        <v>2673.0</v>
      </c>
      <c r="B2674" s="32" t="s">
        <v>3414</v>
      </c>
      <c r="C2674" s="32" t="s">
        <v>184</v>
      </c>
      <c r="D2674" s="32" t="s">
        <v>285</v>
      </c>
      <c r="E2674" s="32" t="s">
        <v>346</v>
      </c>
      <c r="F2674" s="32" t="s">
        <v>552</v>
      </c>
    </row>
    <row r="2675" ht="16.5" customHeight="1">
      <c r="A2675" s="32">
        <v>2674.0</v>
      </c>
      <c r="B2675" s="32" t="s">
        <v>3415</v>
      </c>
      <c r="C2675" s="32" t="s">
        <v>184</v>
      </c>
      <c r="D2675" s="32" t="s">
        <v>285</v>
      </c>
      <c r="E2675" s="32" t="s">
        <v>346</v>
      </c>
      <c r="F2675" s="32" t="s">
        <v>552</v>
      </c>
    </row>
    <row r="2676" ht="16.5" customHeight="1">
      <c r="A2676" s="32">
        <v>2675.0</v>
      </c>
      <c r="B2676" s="32" t="s">
        <v>3416</v>
      </c>
      <c r="C2676" s="32" t="s">
        <v>184</v>
      </c>
      <c r="D2676" s="32" t="s">
        <v>285</v>
      </c>
      <c r="E2676" s="32" t="s">
        <v>346</v>
      </c>
    </row>
    <row r="2677" ht="16.5" customHeight="1">
      <c r="A2677" s="32">
        <v>2676.0</v>
      </c>
      <c r="B2677" s="32" t="s">
        <v>3417</v>
      </c>
      <c r="C2677" s="32" t="s">
        <v>184</v>
      </c>
      <c r="D2677" s="32" t="s">
        <v>192</v>
      </c>
      <c r="E2677" s="32" t="s">
        <v>346</v>
      </c>
      <c r="F2677" s="32" t="s">
        <v>570</v>
      </c>
      <c r="G2677" s="32" t="s">
        <v>447</v>
      </c>
    </row>
    <row r="2678" ht="16.5" customHeight="1">
      <c r="A2678" s="32">
        <v>2677.0</v>
      </c>
      <c r="B2678" s="32" t="s">
        <v>3418</v>
      </c>
      <c r="C2678" s="32" t="s">
        <v>184</v>
      </c>
      <c r="D2678" s="32" t="s">
        <v>192</v>
      </c>
      <c r="E2678" s="32" t="s">
        <v>346</v>
      </c>
    </row>
    <row r="2679" ht="16.5" customHeight="1">
      <c r="A2679" s="32">
        <v>2678.0</v>
      </c>
      <c r="B2679" s="32" t="s">
        <v>3419</v>
      </c>
      <c r="C2679" s="32" t="s">
        <v>184</v>
      </c>
      <c r="D2679" s="32" t="s">
        <v>234</v>
      </c>
      <c r="E2679" s="32" t="s">
        <v>346</v>
      </c>
      <c r="F2679" s="32" t="s">
        <v>347</v>
      </c>
      <c r="G2679" s="32" t="s">
        <v>382</v>
      </c>
    </row>
    <row r="2680" ht="16.5" customHeight="1">
      <c r="A2680" s="32">
        <v>2679.0</v>
      </c>
      <c r="B2680" s="32" t="s">
        <v>3420</v>
      </c>
      <c r="C2680" s="32" t="s">
        <v>184</v>
      </c>
      <c r="D2680" s="32" t="s">
        <v>234</v>
      </c>
      <c r="E2680" s="32" t="s">
        <v>346</v>
      </c>
      <c r="F2680" s="32" t="s">
        <v>235</v>
      </c>
      <c r="G2680" s="32" t="s">
        <v>243</v>
      </c>
    </row>
    <row r="2681" ht="16.5" customHeight="1">
      <c r="A2681" s="32">
        <v>2680.0</v>
      </c>
      <c r="B2681" s="32" t="s">
        <v>3421</v>
      </c>
      <c r="C2681" s="32" t="s">
        <v>184</v>
      </c>
      <c r="D2681" s="32" t="s">
        <v>254</v>
      </c>
      <c r="E2681" s="32" t="s">
        <v>346</v>
      </c>
      <c r="F2681" s="32" t="s">
        <v>256</v>
      </c>
      <c r="G2681" s="32" t="s">
        <v>257</v>
      </c>
    </row>
    <row r="2682" ht="16.5" customHeight="1">
      <c r="A2682" s="32">
        <v>2681.0</v>
      </c>
      <c r="B2682" s="32" t="s">
        <v>3422</v>
      </c>
      <c r="C2682" s="32" t="s">
        <v>184</v>
      </c>
      <c r="D2682" s="32" t="s">
        <v>254</v>
      </c>
      <c r="E2682" s="32" t="s">
        <v>346</v>
      </c>
      <c r="F2682" s="32" t="s">
        <v>256</v>
      </c>
      <c r="G2682" s="32" t="s">
        <v>257</v>
      </c>
    </row>
    <row r="2683" ht="16.5" customHeight="1">
      <c r="A2683" s="32">
        <v>2682.0</v>
      </c>
      <c r="B2683" s="32" t="s">
        <v>3423</v>
      </c>
      <c r="C2683" s="32" t="s">
        <v>184</v>
      </c>
      <c r="D2683" s="32" t="s">
        <v>285</v>
      </c>
      <c r="E2683" s="32" t="s">
        <v>346</v>
      </c>
      <c r="F2683" s="32" t="s">
        <v>188</v>
      </c>
      <c r="G2683" s="32" t="s">
        <v>561</v>
      </c>
    </row>
    <row r="2684" ht="16.5" customHeight="1">
      <c r="A2684" s="32">
        <v>2683.0</v>
      </c>
      <c r="B2684" s="32" t="s">
        <v>3424</v>
      </c>
      <c r="C2684" s="32" t="s">
        <v>184</v>
      </c>
      <c r="D2684" s="32" t="s">
        <v>285</v>
      </c>
      <c r="E2684" s="32" t="s">
        <v>346</v>
      </c>
      <c r="F2684" s="32" t="s">
        <v>188</v>
      </c>
      <c r="G2684" s="32" t="s">
        <v>665</v>
      </c>
    </row>
    <row r="2685" ht="16.5" customHeight="1">
      <c r="A2685" s="32">
        <v>2684.0</v>
      </c>
      <c r="B2685" s="32" t="s">
        <v>3425</v>
      </c>
      <c r="C2685" s="32" t="s">
        <v>184</v>
      </c>
      <c r="D2685" s="32" t="s">
        <v>254</v>
      </c>
      <c r="E2685" s="32" t="s">
        <v>346</v>
      </c>
      <c r="F2685" s="32" t="s">
        <v>305</v>
      </c>
      <c r="G2685" s="32" t="s">
        <v>289</v>
      </c>
    </row>
    <row r="2686" ht="16.5" customHeight="1">
      <c r="A2686" s="32">
        <v>2685.0</v>
      </c>
      <c r="B2686" s="32" t="s">
        <v>3426</v>
      </c>
      <c r="C2686" s="32" t="s">
        <v>184</v>
      </c>
      <c r="D2686" s="32" t="s">
        <v>285</v>
      </c>
      <c r="E2686" s="32" t="s">
        <v>346</v>
      </c>
      <c r="F2686" s="32" t="s">
        <v>188</v>
      </c>
      <c r="G2686" s="32" t="s">
        <v>665</v>
      </c>
    </row>
    <row r="2687" ht="16.5" customHeight="1">
      <c r="A2687" s="32">
        <v>2686.0</v>
      </c>
      <c r="B2687" s="32" t="s">
        <v>3427</v>
      </c>
      <c r="C2687" s="32" t="s">
        <v>184</v>
      </c>
      <c r="D2687" s="32" t="s">
        <v>285</v>
      </c>
      <c r="E2687" s="32" t="s">
        <v>346</v>
      </c>
      <c r="F2687" s="32" t="s">
        <v>188</v>
      </c>
      <c r="G2687" s="32" t="s">
        <v>665</v>
      </c>
    </row>
    <row r="2688" ht="16.5" customHeight="1">
      <c r="A2688" s="32">
        <v>2687.0</v>
      </c>
      <c r="B2688" s="32" t="s">
        <v>3428</v>
      </c>
      <c r="C2688" s="32" t="s">
        <v>184</v>
      </c>
      <c r="D2688" s="32" t="s">
        <v>192</v>
      </c>
      <c r="E2688" s="32" t="s">
        <v>346</v>
      </c>
      <c r="F2688" s="32" t="s">
        <v>329</v>
      </c>
      <c r="G2688" s="32" t="s">
        <v>3429</v>
      </c>
    </row>
    <row r="2689" ht="16.5" customHeight="1">
      <c r="A2689" s="32">
        <v>2688.0</v>
      </c>
      <c r="B2689" s="32" t="s">
        <v>3430</v>
      </c>
      <c r="C2689" s="32" t="s">
        <v>184</v>
      </c>
      <c r="D2689" s="32" t="s">
        <v>285</v>
      </c>
      <c r="E2689" s="32" t="s">
        <v>346</v>
      </c>
      <c r="F2689" s="32" t="s">
        <v>188</v>
      </c>
      <c r="G2689" s="32" t="s">
        <v>368</v>
      </c>
    </row>
    <row r="2690" ht="16.5" customHeight="1">
      <c r="A2690" s="32">
        <v>2689.0</v>
      </c>
      <c r="B2690" s="32" t="s">
        <v>3431</v>
      </c>
      <c r="C2690" s="32" t="s">
        <v>184</v>
      </c>
      <c r="D2690" s="32" t="s">
        <v>228</v>
      </c>
      <c r="E2690" s="32" t="s">
        <v>346</v>
      </c>
      <c r="F2690" s="32" t="s">
        <v>229</v>
      </c>
      <c r="G2690" s="32" t="s">
        <v>626</v>
      </c>
    </row>
    <row r="2691" ht="16.5" customHeight="1">
      <c r="A2691" s="32">
        <v>2690.0</v>
      </c>
      <c r="B2691" s="32" t="s">
        <v>3432</v>
      </c>
      <c r="C2691" s="32" t="s">
        <v>184</v>
      </c>
      <c r="D2691" s="32" t="s">
        <v>228</v>
      </c>
      <c r="E2691" s="32" t="s">
        <v>346</v>
      </c>
      <c r="F2691" s="32" t="s">
        <v>229</v>
      </c>
      <c r="G2691" s="32" t="s">
        <v>230</v>
      </c>
    </row>
    <row r="2692" ht="16.5" customHeight="1">
      <c r="A2692" s="32">
        <v>2691.0</v>
      </c>
      <c r="B2692" s="32" t="s">
        <v>3433</v>
      </c>
      <c r="C2692" s="32" t="s">
        <v>184</v>
      </c>
      <c r="D2692" s="32" t="s">
        <v>192</v>
      </c>
      <c r="E2692" s="32" t="s">
        <v>346</v>
      </c>
    </row>
    <row r="2693" ht="16.5" customHeight="1">
      <c r="A2693" s="32">
        <v>2692.0</v>
      </c>
      <c r="B2693" s="32" t="s">
        <v>3434</v>
      </c>
      <c r="C2693" s="32" t="s">
        <v>184</v>
      </c>
      <c r="D2693" s="32" t="s">
        <v>351</v>
      </c>
      <c r="E2693" s="32" t="s">
        <v>346</v>
      </c>
    </row>
    <row r="2694" ht="16.5" customHeight="1">
      <c r="A2694" s="32">
        <v>2693.0</v>
      </c>
      <c r="B2694" s="32" t="s">
        <v>3435</v>
      </c>
      <c r="C2694" s="32" t="s">
        <v>184</v>
      </c>
      <c r="D2694" s="32" t="s">
        <v>351</v>
      </c>
      <c r="E2694" s="32" t="s">
        <v>346</v>
      </c>
    </row>
    <row r="2695" ht="16.5" customHeight="1">
      <c r="A2695" s="32">
        <v>2694.0</v>
      </c>
      <c r="B2695" s="32" t="s">
        <v>3436</v>
      </c>
      <c r="C2695" s="32" t="s">
        <v>184</v>
      </c>
      <c r="D2695" s="32" t="s">
        <v>351</v>
      </c>
      <c r="E2695" s="32" t="s">
        <v>346</v>
      </c>
    </row>
    <row r="2696" ht="16.5" customHeight="1">
      <c r="A2696" s="32">
        <v>2695.0</v>
      </c>
      <c r="B2696" s="32" t="s">
        <v>3437</v>
      </c>
      <c r="C2696" s="32" t="s">
        <v>184</v>
      </c>
      <c r="D2696" s="32" t="s">
        <v>192</v>
      </c>
      <c r="E2696" s="32" t="s">
        <v>346</v>
      </c>
      <c r="F2696" s="32" t="s">
        <v>329</v>
      </c>
      <c r="G2696" s="32" t="s">
        <v>457</v>
      </c>
    </row>
    <row r="2697" ht="16.5" customHeight="1">
      <c r="A2697" s="32">
        <v>2696.0</v>
      </c>
      <c r="B2697" s="32" t="s">
        <v>3438</v>
      </c>
      <c r="C2697" s="32" t="s">
        <v>184</v>
      </c>
      <c r="D2697" s="32" t="s">
        <v>192</v>
      </c>
      <c r="E2697" s="32" t="s">
        <v>186</v>
      </c>
      <c r="F2697" s="32" t="s">
        <v>329</v>
      </c>
      <c r="G2697" s="32" t="s">
        <v>457</v>
      </c>
    </row>
    <row r="2698" ht="16.5" customHeight="1">
      <c r="A2698" s="32">
        <v>2697.0</v>
      </c>
      <c r="B2698" s="32" t="s">
        <v>3439</v>
      </c>
      <c r="C2698" s="32" t="s">
        <v>184</v>
      </c>
      <c r="D2698" s="32" t="s">
        <v>234</v>
      </c>
      <c r="E2698" s="32" t="s">
        <v>346</v>
      </c>
    </row>
    <row r="2699" ht="16.5" customHeight="1">
      <c r="A2699" s="32">
        <v>2698.0</v>
      </c>
      <c r="B2699" s="32" t="s">
        <v>3440</v>
      </c>
      <c r="C2699" s="32" t="s">
        <v>184</v>
      </c>
      <c r="D2699" s="32" t="s">
        <v>234</v>
      </c>
      <c r="E2699" s="32" t="s">
        <v>346</v>
      </c>
    </row>
    <row r="2700" ht="16.5" customHeight="1">
      <c r="A2700" s="32">
        <v>2699.0</v>
      </c>
      <c r="B2700" s="32" t="s">
        <v>3441</v>
      </c>
      <c r="C2700" s="32" t="s">
        <v>184</v>
      </c>
      <c r="D2700" s="32" t="s">
        <v>234</v>
      </c>
      <c r="E2700" s="32" t="s">
        <v>346</v>
      </c>
    </row>
    <row r="2701" ht="16.5" customHeight="1">
      <c r="A2701" s="32">
        <v>2700.0</v>
      </c>
      <c r="B2701" s="32" t="s">
        <v>3442</v>
      </c>
      <c r="C2701" s="32" t="s">
        <v>184</v>
      </c>
      <c r="D2701" s="32" t="s">
        <v>192</v>
      </c>
      <c r="E2701" s="32" t="s">
        <v>346</v>
      </c>
      <c r="F2701" s="32" t="s">
        <v>329</v>
      </c>
      <c r="G2701" s="32" t="s">
        <v>457</v>
      </c>
    </row>
    <row r="2702" ht="16.5" customHeight="1">
      <c r="A2702" s="32">
        <v>2701.0</v>
      </c>
      <c r="B2702" s="32" t="s">
        <v>3443</v>
      </c>
      <c r="C2702" s="32" t="s">
        <v>184</v>
      </c>
      <c r="D2702" s="32" t="s">
        <v>192</v>
      </c>
      <c r="E2702" s="32" t="s">
        <v>346</v>
      </c>
      <c r="F2702" s="32" t="s">
        <v>300</v>
      </c>
      <c r="G2702" s="32" t="s">
        <v>3444</v>
      </c>
    </row>
    <row r="2703" ht="16.5" customHeight="1">
      <c r="A2703" s="32">
        <v>2702.0</v>
      </c>
      <c r="B2703" s="32" t="s">
        <v>3445</v>
      </c>
      <c r="C2703" s="32" t="s">
        <v>184</v>
      </c>
      <c r="D2703" s="32" t="s">
        <v>192</v>
      </c>
      <c r="E2703" s="32" t="s">
        <v>346</v>
      </c>
    </row>
    <row r="2704" ht="16.5" customHeight="1">
      <c r="A2704" s="32">
        <v>2703.0</v>
      </c>
      <c r="B2704" s="32" t="s">
        <v>3446</v>
      </c>
      <c r="C2704" s="32" t="s">
        <v>184</v>
      </c>
      <c r="D2704" s="32" t="s">
        <v>192</v>
      </c>
      <c r="E2704" s="32" t="s">
        <v>346</v>
      </c>
      <c r="F2704" s="32" t="s">
        <v>329</v>
      </c>
      <c r="G2704" s="32" t="s">
        <v>457</v>
      </c>
    </row>
    <row r="2705" ht="16.5" customHeight="1">
      <c r="A2705" s="32">
        <v>2704.0</v>
      </c>
      <c r="B2705" s="32" t="s">
        <v>3447</v>
      </c>
      <c r="C2705" s="32" t="s">
        <v>184</v>
      </c>
      <c r="D2705" s="32" t="s">
        <v>228</v>
      </c>
      <c r="E2705" s="32" t="s">
        <v>346</v>
      </c>
      <c r="F2705" s="32" t="s">
        <v>229</v>
      </c>
      <c r="G2705" s="32" t="s">
        <v>3448</v>
      </c>
    </row>
    <row r="2706" ht="16.5" customHeight="1">
      <c r="A2706" s="32">
        <v>2705.0</v>
      </c>
      <c r="B2706" s="32" t="s">
        <v>3449</v>
      </c>
      <c r="C2706" s="32" t="s">
        <v>184</v>
      </c>
      <c r="D2706" s="32" t="s">
        <v>234</v>
      </c>
      <c r="E2706" s="32" t="s">
        <v>346</v>
      </c>
    </row>
    <row r="2707" ht="16.5" customHeight="1">
      <c r="A2707" s="32">
        <v>2706.0</v>
      </c>
      <c r="B2707" s="32" t="s">
        <v>3450</v>
      </c>
      <c r="C2707" s="32" t="s">
        <v>184</v>
      </c>
      <c r="D2707" s="32" t="s">
        <v>285</v>
      </c>
      <c r="E2707" s="32" t="s">
        <v>346</v>
      </c>
      <c r="F2707" s="32" t="s">
        <v>552</v>
      </c>
    </row>
    <row r="2708" ht="16.5" customHeight="1">
      <c r="A2708" s="32">
        <v>2707.0</v>
      </c>
      <c r="B2708" s="32" t="s">
        <v>3451</v>
      </c>
      <c r="C2708" s="32" t="s">
        <v>184</v>
      </c>
      <c r="D2708" s="32" t="s">
        <v>219</v>
      </c>
      <c r="E2708" s="32" t="s">
        <v>346</v>
      </c>
      <c r="F2708" s="32" t="s">
        <v>223</v>
      </c>
      <c r="G2708" s="32" t="s">
        <v>394</v>
      </c>
    </row>
    <row r="2709" ht="16.5" customHeight="1">
      <c r="A2709" s="32">
        <v>2708.0</v>
      </c>
      <c r="B2709" s="32" t="s">
        <v>3452</v>
      </c>
      <c r="C2709" s="32" t="s">
        <v>184</v>
      </c>
      <c r="D2709" s="32" t="s">
        <v>234</v>
      </c>
      <c r="E2709" s="32" t="s">
        <v>346</v>
      </c>
      <c r="F2709" s="32" t="s">
        <v>187</v>
      </c>
      <c r="G2709" s="32" t="s">
        <v>188</v>
      </c>
    </row>
    <row r="2710" ht="16.5" customHeight="1">
      <c r="A2710" s="32">
        <v>2709.0</v>
      </c>
      <c r="B2710" s="32" t="s">
        <v>3453</v>
      </c>
      <c r="C2710" s="32" t="s">
        <v>184</v>
      </c>
      <c r="D2710" s="32" t="s">
        <v>234</v>
      </c>
      <c r="E2710" s="32" t="s">
        <v>346</v>
      </c>
      <c r="F2710" s="32" t="s">
        <v>241</v>
      </c>
      <c r="G2710" s="32" t="s">
        <v>292</v>
      </c>
    </row>
    <row r="2711" ht="16.5" customHeight="1">
      <c r="A2711" s="32">
        <v>2710.0</v>
      </c>
      <c r="B2711" s="32" t="s">
        <v>3454</v>
      </c>
      <c r="C2711" s="32" t="s">
        <v>184</v>
      </c>
      <c r="D2711" s="32" t="s">
        <v>234</v>
      </c>
      <c r="E2711" s="32" t="s">
        <v>346</v>
      </c>
      <c r="F2711" s="32" t="s">
        <v>347</v>
      </c>
      <c r="G2711" s="32" t="s">
        <v>389</v>
      </c>
    </row>
    <row r="2712" ht="16.5" customHeight="1">
      <c r="A2712" s="32">
        <v>2711.0</v>
      </c>
      <c r="B2712" s="32" t="s">
        <v>3455</v>
      </c>
      <c r="C2712" s="32" t="s">
        <v>184</v>
      </c>
      <c r="D2712" s="35" t="s">
        <v>294</v>
      </c>
      <c r="E2712" s="32" t="s">
        <v>346</v>
      </c>
      <c r="F2712" s="32" t="s">
        <v>189</v>
      </c>
      <c r="G2712" s="32" t="s">
        <v>190</v>
      </c>
    </row>
    <row r="2713" ht="16.5" customHeight="1">
      <c r="A2713" s="32">
        <v>2712.0</v>
      </c>
      <c r="B2713" s="32" t="s">
        <v>3456</v>
      </c>
      <c r="C2713" s="32" t="s">
        <v>184</v>
      </c>
      <c r="D2713" s="32" t="s">
        <v>285</v>
      </c>
      <c r="E2713" s="32" t="s">
        <v>346</v>
      </c>
      <c r="F2713" s="32" t="s">
        <v>3457</v>
      </c>
      <c r="G2713" s="32" t="s">
        <v>3458</v>
      </c>
    </row>
    <row r="2714" ht="16.5" customHeight="1">
      <c r="A2714" s="32">
        <v>2713.0</v>
      </c>
      <c r="B2714" s="32" t="s">
        <v>3459</v>
      </c>
      <c r="C2714" s="32" t="s">
        <v>184</v>
      </c>
      <c r="D2714" s="32" t="s">
        <v>219</v>
      </c>
      <c r="E2714" s="32" t="s">
        <v>346</v>
      </c>
      <c r="F2714" s="32" t="s">
        <v>232</v>
      </c>
      <c r="G2714" s="32" t="s">
        <v>233</v>
      </c>
    </row>
    <row r="2715" ht="16.5" customHeight="1">
      <c r="A2715" s="32">
        <v>2714.0</v>
      </c>
      <c r="B2715" s="32" t="s">
        <v>3460</v>
      </c>
      <c r="C2715" s="32" t="s">
        <v>184</v>
      </c>
      <c r="D2715" s="32" t="s">
        <v>219</v>
      </c>
      <c r="E2715" s="32" t="s">
        <v>346</v>
      </c>
      <c r="F2715" s="32" t="s">
        <v>232</v>
      </c>
      <c r="G2715" s="32" t="s">
        <v>233</v>
      </c>
    </row>
    <row r="2716" ht="16.5" customHeight="1">
      <c r="A2716" s="32">
        <v>2715.0</v>
      </c>
      <c r="B2716" s="32" t="s">
        <v>3460</v>
      </c>
      <c r="C2716" s="32" t="s">
        <v>184</v>
      </c>
      <c r="D2716" s="32" t="s">
        <v>219</v>
      </c>
      <c r="E2716" s="32" t="s">
        <v>346</v>
      </c>
      <c r="F2716" s="32" t="s">
        <v>232</v>
      </c>
      <c r="G2716" s="32" t="s">
        <v>233</v>
      </c>
    </row>
    <row r="2717" ht="16.5" customHeight="1">
      <c r="A2717" s="32">
        <v>2716.0</v>
      </c>
      <c r="B2717" s="32" t="s">
        <v>3461</v>
      </c>
      <c r="C2717" s="32" t="s">
        <v>184</v>
      </c>
      <c r="D2717" s="32" t="s">
        <v>219</v>
      </c>
      <c r="E2717" s="32" t="s">
        <v>346</v>
      </c>
    </row>
    <row r="2718" ht="16.5" customHeight="1">
      <c r="A2718" s="32">
        <v>2717.0</v>
      </c>
      <c r="B2718" s="32" t="s">
        <v>3462</v>
      </c>
      <c r="C2718" s="32" t="s">
        <v>184</v>
      </c>
      <c r="D2718" s="32" t="s">
        <v>219</v>
      </c>
      <c r="E2718" s="32" t="s">
        <v>346</v>
      </c>
      <c r="F2718" s="32" t="s">
        <v>232</v>
      </c>
      <c r="G2718" s="32" t="s">
        <v>233</v>
      </c>
    </row>
    <row r="2719" ht="16.5" customHeight="1">
      <c r="A2719" s="32">
        <v>2718.0</v>
      </c>
      <c r="B2719" s="32" t="s">
        <v>3463</v>
      </c>
      <c r="C2719" s="32" t="s">
        <v>184</v>
      </c>
      <c r="D2719" s="32" t="s">
        <v>219</v>
      </c>
      <c r="E2719" s="32" t="s">
        <v>346</v>
      </c>
      <c r="F2719" s="32" t="s">
        <v>232</v>
      </c>
      <c r="G2719" s="32" t="s">
        <v>233</v>
      </c>
    </row>
    <row r="2720" ht="16.5" customHeight="1">
      <c r="A2720" s="32">
        <v>2719.0</v>
      </c>
      <c r="B2720" s="32" t="s">
        <v>3464</v>
      </c>
      <c r="C2720" s="32" t="s">
        <v>184</v>
      </c>
      <c r="D2720" s="32" t="s">
        <v>219</v>
      </c>
      <c r="E2720" s="32" t="s">
        <v>346</v>
      </c>
      <c r="F2720" s="32" t="s">
        <v>232</v>
      </c>
      <c r="G2720" s="32" t="s">
        <v>233</v>
      </c>
    </row>
    <row r="2721" ht="16.5" customHeight="1">
      <c r="A2721" s="32">
        <v>2720.0</v>
      </c>
      <c r="B2721" s="32" t="s">
        <v>3465</v>
      </c>
      <c r="C2721" s="32" t="s">
        <v>184</v>
      </c>
      <c r="D2721" s="32" t="s">
        <v>192</v>
      </c>
      <c r="E2721" s="32" t="s">
        <v>346</v>
      </c>
      <c r="F2721" s="32" t="s">
        <v>570</v>
      </c>
      <c r="G2721" s="32" t="s">
        <v>447</v>
      </c>
    </row>
    <row r="2722" ht="16.5" customHeight="1">
      <c r="A2722" s="32">
        <v>2721.0</v>
      </c>
      <c r="B2722" s="32" t="s">
        <v>3466</v>
      </c>
      <c r="C2722" s="32" t="s">
        <v>184</v>
      </c>
      <c r="D2722" s="32" t="s">
        <v>192</v>
      </c>
      <c r="E2722" s="32" t="s">
        <v>346</v>
      </c>
      <c r="F2722" s="32" t="s">
        <v>3467</v>
      </c>
      <c r="G2722" s="32" t="s">
        <v>3468</v>
      </c>
    </row>
    <row r="2723" ht="16.5" customHeight="1">
      <c r="A2723" s="32">
        <v>2722.0</v>
      </c>
      <c r="B2723" s="32" t="s">
        <v>3469</v>
      </c>
      <c r="C2723" s="32" t="s">
        <v>184</v>
      </c>
      <c r="D2723" s="32" t="s">
        <v>192</v>
      </c>
      <c r="E2723" s="32" t="s">
        <v>346</v>
      </c>
      <c r="F2723" s="32" t="s">
        <v>347</v>
      </c>
      <c r="G2723" s="32" t="s">
        <v>2362</v>
      </c>
    </row>
    <row r="2724" ht="16.5" customHeight="1">
      <c r="A2724" s="32">
        <v>2723.0</v>
      </c>
      <c r="B2724" s="32" t="s">
        <v>3470</v>
      </c>
      <c r="C2724" s="32" t="s">
        <v>184</v>
      </c>
      <c r="D2724" s="32" t="s">
        <v>192</v>
      </c>
      <c r="E2724" s="32" t="s">
        <v>346</v>
      </c>
    </row>
    <row r="2725" ht="16.5" customHeight="1">
      <c r="A2725" s="32">
        <v>2724.0</v>
      </c>
      <c r="B2725" s="32" t="s">
        <v>3471</v>
      </c>
      <c r="C2725" s="32" t="s">
        <v>184</v>
      </c>
      <c r="D2725" s="32" t="s">
        <v>192</v>
      </c>
      <c r="E2725" s="32" t="s">
        <v>346</v>
      </c>
      <c r="F2725" s="32" t="s">
        <v>300</v>
      </c>
      <c r="G2725" s="32" t="s">
        <v>708</v>
      </c>
    </row>
    <row r="2726" ht="16.5" customHeight="1">
      <c r="A2726" s="32">
        <v>2725.0</v>
      </c>
      <c r="B2726" s="32" t="s">
        <v>3472</v>
      </c>
      <c r="C2726" s="32" t="s">
        <v>184</v>
      </c>
      <c r="D2726" s="32" t="s">
        <v>219</v>
      </c>
      <c r="E2726" s="32" t="s">
        <v>346</v>
      </c>
    </row>
    <row r="2727" ht="16.5" customHeight="1">
      <c r="A2727" s="32">
        <v>2726.0</v>
      </c>
      <c r="B2727" s="32" t="s">
        <v>3473</v>
      </c>
      <c r="C2727" s="32" t="s">
        <v>184</v>
      </c>
      <c r="D2727" s="32" t="s">
        <v>192</v>
      </c>
      <c r="E2727" s="32" t="s">
        <v>346</v>
      </c>
      <c r="F2727" s="32" t="s">
        <v>329</v>
      </c>
      <c r="G2727" s="32" t="s">
        <v>457</v>
      </c>
    </row>
    <row r="2728" ht="16.5" customHeight="1">
      <c r="A2728" s="32">
        <v>2727.0</v>
      </c>
      <c r="B2728" s="32" t="s">
        <v>3474</v>
      </c>
      <c r="C2728" s="32" t="s">
        <v>184</v>
      </c>
      <c r="D2728" s="32" t="s">
        <v>192</v>
      </c>
      <c r="E2728" s="32" t="s">
        <v>346</v>
      </c>
    </row>
    <row r="2729" ht="16.5" customHeight="1">
      <c r="A2729" s="32">
        <v>2728.0</v>
      </c>
      <c r="B2729" s="32" t="s">
        <v>3475</v>
      </c>
      <c r="C2729" s="32" t="s">
        <v>184</v>
      </c>
      <c r="D2729" s="32" t="s">
        <v>185</v>
      </c>
      <c r="E2729" s="32" t="s">
        <v>346</v>
      </c>
      <c r="F2729" s="32" t="s">
        <v>187</v>
      </c>
      <c r="G2729" s="32" t="s">
        <v>188</v>
      </c>
    </row>
    <row r="2730" ht="16.5" customHeight="1">
      <c r="A2730" s="32">
        <v>2729.0</v>
      </c>
      <c r="B2730" s="32" t="s">
        <v>3476</v>
      </c>
      <c r="C2730" s="32" t="s">
        <v>184</v>
      </c>
      <c r="D2730" s="32" t="s">
        <v>185</v>
      </c>
      <c r="E2730" s="32" t="s">
        <v>346</v>
      </c>
      <c r="F2730" s="32" t="s">
        <v>267</v>
      </c>
      <c r="G2730" s="32" t="s">
        <v>188</v>
      </c>
    </row>
    <row r="2731" ht="16.5" customHeight="1">
      <c r="A2731" s="32">
        <v>2730.0</v>
      </c>
      <c r="B2731" s="32" t="s">
        <v>3477</v>
      </c>
      <c r="C2731" s="32" t="s">
        <v>184</v>
      </c>
      <c r="D2731" s="32" t="s">
        <v>228</v>
      </c>
      <c r="E2731" s="32" t="s">
        <v>346</v>
      </c>
    </row>
    <row r="2732" ht="16.5" customHeight="1">
      <c r="A2732" s="32">
        <v>2731.0</v>
      </c>
      <c r="B2732" s="32" t="s">
        <v>3478</v>
      </c>
      <c r="C2732" s="32" t="s">
        <v>184</v>
      </c>
      <c r="D2732" s="32" t="s">
        <v>192</v>
      </c>
      <c r="E2732" s="32" t="s">
        <v>346</v>
      </c>
      <c r="F2732" s="32" t="s">
        <v>329</v>
      </c>
      <c r="G2732" s="32" t="s">
        <v>457</v>
      </c>
    </row>
    <row r="2733" ht="16.5" customHeight="1">
      <c r="A2733" s="32">
        <v>2732.0</v>
      </c>
      <c r="B2733" s="32" t="s">
        <v>3479</v>
      </c>
      <c r="C2733" s="32" t="s">
        <v>184</v>
      </c>
      <c r="D2733" s="32" t="s">
        <v>192</v>
      </c>
      <c r="E2733" s="32" t="s">
        <v>346</v>
      </c>
      <c r="F2733" s="32" t="s">
        <v>570</v>
      </c>
      <c r="G2733" s="32" t="s">
        <v>447</v>
      </c>
    </row>
    <row r="2734" ht="16.5" customHeight="1">
      <c r="A2734" s="32">
        <v>2733.0</v>
      </c>
      <c r="B2734" s="32" t="s">
        <v>3480</v>
      </c>
      <c r="C2734" s="32" t="s">
        <v>184</v>
      </c>
      <c r="D2734" s="32" t="s">
        <v>185</v>
      </c>
      <c r="E2734" s="32" t="s">
        <v>346</v>
      </c>
      <c r="F2734" s="32" t="s">
        <v>189</v>
      </c>
      <c r="G2734" s="32" t="s">
        <v>190</v>
      </c>
    </row>
    <row r="2735" ht="16.5" customHeight="1">
      <c r="A2735" s="32">
        <v>2734.0</v>
      </c>
      <c r="B2735" s="32" t="s">
        <v>3481</v>
      </c>
      <c r="C2735" s="32" t="s">
        <v>184</v>
      </c>
      <c r="D2735" s="32" t="s">
        <v>325</v>
      </c>
      <c r="E2735" s="32" t="s">
        <v>346</v>
      </c>
      <c r="F2735" s="32" t="s">
        <v>368</v>
      </c>
      <c r="G2735" s="32" t="s">
        <v>463</v>
      </c>
    </row>
    <row r="2736" ht="16.5" customHeight="1">
      <c r="A2736" s="32">
        <v>2735.0</v>
      </c>
      <c r="B2736" s="32" t="s">
        <v>3482</v>
      </c>
      <c r="C2736" s="32" t="s">
        <v>184</v>
      </c>
      <c r="D2736" s="32" t="s">
        <v>325</v>
      </c>
      <c r="E2736" s="32" t="s">
        <v>346</v>
      </c>
      <c r="F2736" s="32" t="s">
        <v>368</v>
      </c>
      <c r="G2736" s="32" t="s">
        <v>463</v>
      </c>
    </row>
    <row r="2737" ht="16.5" customHeight="1">
      <c r="A2737" s="32">
        <v>2736.0</v>
      </c>
      <c r="B2737" s="32" t="s">
        <v>3483</v>
      </c>
      <c r="C2737" s="32" t="s">
        <v>184</v>
      </c>
      <c r="D2737" s="32" t="s">
        <v>192</v>
      </c>
      <c r="E2737" s="32" t="s">
        <v>346</v>
      </c>
      <c r="F2737" s="32" t="s">
        <v>329</v>
      </c>
      <c r="G2737" s="32" t="s">
        <v>457</v>
      </c>
    </row>
    <row r="2738" ht="16.5" customHeight="1">
      <c r="A2738" s="32">
        <v>2737.0</v>
      </c>
      <c r="B2738" s="32" t="s">
        <v>3484</v>
      </c>
      <c r="C2738" s="32" t="s">
        <v>184</v>
      </c>
      <c r="D2738" s="32" t="s">
        <v>325</v>
      </c>
      <c r="E2738" s="32" t="s">
        <v>346</v>
      </c>
      <c r="F2738" s="32" t="s">
        <v>368</v>
      </c>
      <c r="G2738" s="32" t="s">
        <v>463</v>
      </c>
    </row>
    <row r="2739" ht="16.5" customHeight="1">
      <c r="A2739" s="32">
        <v>2738.0</v>
      </c>
      <c r="B2739" s="32" t="s">
        <v>3485</v>
      </c>
      <c r="C2739" s="32" t="s">
        <v>184</v>
      </c>
      <c r="D2739" s="32" t="s">
        <v>325</v>
      </c>
      <c r="E2739" s="32" t="s">
        <v>346</v>
      </c>
      <c r="F2739" s="32" t="s">
        <v>368</v>
      </c>
      <c r="G2739" s="32" t="s">
        <v>463</v>
      </c>
    </row>
    <row r="2740" ht="16.5" customHeight="1">
      <c r="A2740" s="32">
        <v>2739.0</v>
      </c>
      <c r="B2740" s="32" t="s">
        <v>3486</v>
      </c>
      <c r="C2740" s="32" t="s">
        <v>184</v>
      </c>
      <c r="D2740" s="32" t="s">
        <v>325</v>
      </c>
      <c r="E2740" s="32" t="s">
        <v>346</v>
      </c>
      <c r="F2740" s="32" t="s">
        <v>463</v>
      </c>
      <c r="G2740" s="32" t="s">
        <v>368</v>
      </c>
    </row>
    <row r="2741" ht="16.5" customHeight="1">
      <c r="A2741" s="32">
        <v>2740.0</v>
      </c>
      <c r="B2741" s="32" t="s">
        <v>3487</v>
      </c>
      <c r="C2741" s="32" t="s">
        <v>184</v>
      </c>
      <c r="D2741" s="32" t="s">
        <v>325</v>
      </c>
      <c r="E2741" s="32" t="s">
        <v>346</v>
      </c>
      <c r="F2741" s="32" t="s">
        <v>368</v>
      </c>
      <c r="G2741" s="32" t="s">
        <v>463</v>
      </c>
    </row>
    <row r="2742" ht="16.5" customHeight="1">
      <c r="A2742" s="32">
        <v>2741.0</v>
      </c>
      <c r="B2742" s="32" t="s">
        <v>3488</v>
      </c>
      <c r="C2742" s="32" t="s">
        <v>184</v>
      </c>
      <c r="D2742" s="32" t="s">
        <v>325</v>
      </c>
      <c r="E2742" s="32" t="s">
        <v>346</v>
      </c>
      <c r="F2742" s="32" t="s">
        <v>368</v>
      </c>
      <c r="G2742" s="32" t="s">
        <v>463</v>
      </c>
    </row>
    <row r="2743" ht="16.5" customHeight="1">
      <c r="A2743" s="32">
        <v>2742.0</v>
      </c>
      <c r="B2743" s="32" t="s">
        <v>3489</v>
      </c>
      <c r="C2743" s="32" t="s">
        <v>184</v>
      </c>
      <c r="D2743" s="32" t="s">
        <v>254</v>
      </c>
      <c r="E2743" s="32" t="s">
        <v>346</v>
      </c>
      <c r="F2743" s="32" t="s">
        <v>256</v>
      </c>
      <c r="G2743" s="32" t="s">
        <v>257</v>
      </c>
    </row>
    <row r="2744" ht="16.5" customHeight="1">
      <c r="A2744" s="32">
        <v>2743.0</v>
      </c>
      <c r="B2744" s="32" t="s">
        <v>3490</v>
      </c>
      <c r="C2744" s="32" t="s">
        <v>184</v>
      </c>
      <c r="D2744" s="32" t="s">
        <v>254</v>
      </c>
      <c r="E2744" s="32" t="s">
        <v>346</v>
      </c>
      <c r="F2744" s="32" t="s">
        <v>256</v>
      </c>
      <c r="G2744" s="32" t="s">
        <v>257</v>
      </c>
    </row>
    <row r="2745" ht="16.5" customHeight="1">
      <c r="A2745" s="32">
        <v>2744.0</v>
      </c>
      <c r="B2745" s="32" t="s">
        <v>3491</v>
      </c>
      <c r="C2745" s="32" t="s">
        <v>184</v>
      </c>
      <c r="D2745" s="32" t="s">
        <v>254</v>
      </c>
      <c r="E2745" s="32" t="s">
        <v>346</v>
      </c>
      <c r="F2745" s="32" t="s">
        <v>256</v>
      </c>
      <c r="G2745" s="32" t="s">
        <v>257</v>
      </c>
    </row>
    <row r="2746" ht="16.5" customHeight="1">
      <c r="A2746" s="32">
        <v>2745.0</v>
      </c>
      <c r="B2746" s="32" t="s">
        <v>3492</v>
      </c>
      <c r="C2746" s="32" t="s">
        <v>184</v>
      </c>
      <c r="D2746" s="32" t="s">
        <v>254</v>
      </c>
      <c r="E2746" s="32" t="s">
        <v>346</v>
      </c>
      <c r="F2746" s="32" t="s">
        <v>256</v>
      </c>
      <c r="G2746" s="32" t="s">
        <v>257</v>
      </c>
    </row>
    <row r="2747" ht="16.5" customHeight="1">
      <c r="A2747" s="32">
        <v>2746.0</v>
      </c>
      <c r="B2747" s="32" t="s">
        <v>3493</v>
      </c>
      <c r="C2747" s="32" t="s">
        <v>184</v>
      </c>
      <c r="D2747" s="32" t="s">
        <v>254</v>
      </c>
      <c r="E2747" s="32" t="s">
        <v>346</v>
      </c>
      <c r="F2747" s="32" t="s">
        <v>256</v>
      </c>
      <c r="G2747" s="32" t="s">
        <v>257</v>
      </c>
    </row>
    <row r="2748" ht="16.5" customHeight="1">
      <c r="A2748" s="32">
        <v>2747.0</v>
      </c>
      <c r="B2748" s="32" t="s">
        <v>3494</v>
      </c>
      <c r="C2748" s="32" t="s">
        <v>184</v>
      </c>
      <c r="D2748" s="32" t="s">
        <v>254</v>
      </c>
      <c r="E2748" s="32" t="s">
        <v>346</v>
      </c>
      <c r="F2748" s="32" t="s">
        <v>256</v>
      </c>
      <c r="G2748" s="32" t="s">
        <v>257</v>
      </c>
    </row>
    <row r="2749" ht="16.5" customHeight="1">
      <c r="A2749" s="32">
        <v>2748.0</v>
      </c>
      <c r="B2749" s="32" t="s">
        <v>3495</v>
      </c>
      <c r="C2749" s="32" t="s">
        <v>184</v>
      </c>
      <c r="D2749" s="32" t="s">
        <v>219</v>
      </c>
      <c r="E2749" s="32" t="s">
        <v>346</v>
      </c>
      <c r="F2749" s="32" t="s">
        <v>223</v>
      </c>
      <c r="G2749" s="32" t="s">
        <v>394</v>
      </c>
    </row>
    <row r="2750" ht="16.5" customHeight="1">
      <c r="A2750" s="32">
        <v>2749.0</v>
      </c>
      <c r="B2750" s="32" t="s">
        <v>3496</v>
      </c>
      <c r="C2750" s="32" t="s">
        <v>184</v>
      </c>
      <c r="D2750" s="32" t="s">
        <v>219</v>
      </c>
      <c r="E2750" s="32" t="s">
        <v>346</v>
      </c>
      <c r="F2750" s="32" t="s">
        <v>223</v>
      </c>
      <c r="G2750" s="32" t="s">
        <v>394</v>
      </c>
    </row>
    <row r="2751" ht="16.5" customHeight="1">
      <c r="A2751" s="32">
        <v>2750.0</v>
      </c>
      <c r="B2751" s="32" t="s">
        <v>3497</v>
      </c>
      <c r="C2751" s="32" t="s">
        <v>184</v>
      </c>
      <c r="D2751" s="32" t="s">
        <v>234</v>
      </c>
      <c r="E2751" s="32" t="s">
        <v>346</v>
      </c>
      <c r="F2751" s="32" t="s">
        <v>347</v>
      </c>
      <c r="G2751" s="32" t="s">
        <v>2466</v>
      </c>
    </row>
    <row r="2752" ht="16.5" customHeight="1">
      <c r="A2752" s="32">
        <v>2751.0</v>
      </c>
      <c r="B2752" s="32" t="s">
        <v>3498</v>
      </c>
      <c r="C2752" s="32" t="s">
        <v>184</v>
      </c>
      <c r="D2752" s="32" t="s">
        <v>234</v>
      </c>
      <c r="E2752" s="32" t="s">
        <v>346</v>
      </c>
      <c r="F2752" s="32" t="s">
        <v>235</v>
      </c>
      <c r="G2752" s="32" t="s">
        <v>236</v>
      </c>
    </row>
    <row r="2753" ht="16.5" customHeight="1">
      <c r="A2753" s="32">
        <v>2752.0</v>
      </c>
      <c r="B2753" s="32" t="s">
        <v>3499</v>
      </c>
      <c r="C2753" s="32" t="s">
        <v>184</v>
      </c>
      <c r="D2753" s="32" t="s">
        <v>254</v>
      </c>
      <c r="E2753" s="32" t="s">
        <v>346</v>
      </c>
    </row>
    <row r="2754" ht="16.5" customHeight="1">
      <c r="A2754" s="32">
        <v>2753.0</v>
      </c>
      <c r="B2754" s="32" t="s">
        <v>3500</v>
      </c>
      <c r="C2754" s="32" t="s">
        <v>184</v>
      </c>
      <c r="D2754" s="32" t="s">
        <v>185</v>
      </c>
      <c r="E2754" s="32" t="s">
        <v>346</v>
      </c>
      <c r="F2754" s="32" t="s">
        <v>267</v>
      </c>
    </row>
    <row r="2755" ht="16.5" customHeight="1">
      <c r="A2755" s="32">
        <v>2754.0</v>
      </c>
      <c r="B2755" s="32" t="s">
        <v>3501</v>
      </c>
      <c r="C2755" s="32" t="s">
        <v>184</v>
      </c>
      <c r="D2755" s="32" t="s">
        <v>228</v>
      </c>
      <c r="E2755" s="32" t="s">
        <v>346</v>
      </c>
      <c r="F2755" s="32" t="s">
        <v>229</v>
      </c>
      <c r="G2755" s="32" t="s">
        <v>3502</v>
      </c>
    </row>
    <row r="2756" ht="16.5" customHeight="1">
      <c r="A2756" s="32">
        <v>2755.0</v>
      </c>
      <c r="B2756" s="32" t="s">
        <v>3503</v>
      </c>
      <c r="C2756" s="32" t="s">
        <v>184</v>
      </c>
      <c r="D2756" s="32" t="s">
        <v>185</v>
      </c>
      <c r="E2756" s="32" t="s">
        <v>346</v>
      </c>
      <c r="F2756" s="32" t="s">
        <v>1240</v>
      </c>
      <c r="G2756" s="32" t="s">
        <v>476</v>
      </c>
    </row>
    <row r="2757" ht="16.5" customHeight="1">
      <c r="A2757" s="32">
        <v>2756.0</v>
      </c>
      <c r="B2757" s="32" t="s">
        <v>3504</v>
      </c>
      <c r="C2757" s="32" t="s">
        <v>184</v>
      </c>
      <c r="D2757" s="32" t="s">
        <v>185</v>
      </c>
      <c r="E2757" s="32" t="s">
        <v>346</v>
      </c>
      <c r="F2757" s="32" t="s">
        <v>475</v>
      </c>
      <c r="G2757" s="32" t="s">
        <v>476</v>
      </c>
    </row>
    <row r="2758" ht="16.5" customHeight="1">
      <c r="A2758" s="32">
        <v>2757.0</v>
      </c>
      <c r="B2758" s="32" t="s">
        <v>3505</v>
      </c>
      <c r="C2758" s="32" t="s">
        <v>184</v>
      </c>
      <c r="D2758" s="32" t="s">
        <v>185</v>
      </c>
      <c r="E2758" s="32" t="s">
        <v>346</v>
      </c>
    </row>
    <row r="2759" ht="16.5" customHeight="1">
      <c r="A2759" s="32">
        <v>2758.0</v>
      </c>
      <c r="B2759" s="32" t="s">
        <v>3506</v>
      </c>
      <c r="C2759" s="32" t="s">
        <v>184</v>
      </c>
      <c r="D2759" s="32" t="s">
        <v>185</v>
      </c>
      <c r="E2759" s="32" t="s">
        <v>346</v>
      </c>
    </row>
    <row r="2760" ht="16.5" customHeight="1">
      <c r="A2760" s="32">
        <v>2759.0</v>
      </c>
      <c r="B2760" s="32" t="s">
        <v>3507</v>
      </c>
      <c r="C2760" s="32" t="s">
        <v>184</v>
      </c>
      <c r="D2760" s="32" t="s">
        <v>285</v>
      </c>
      <c r="E2760" s="32" t="s">
        <v>346</v>
      </c>
      <c r="F2760" s="32" t="s">
        <v>511</v>
      </c>
      <c r="G2760" s="32" t="s">
        <v>3508</v>
      </c>
    </row>
    <row r="2761" ht="16.5" customHeight="1">
      <c r="A2761" s="32">
        <v>2760.0</v>
      </c>
      <c r="B2761" s="32" t="s">
        <v>3509</v>
      </c>
      <c r="C2761" s="32" t="s">
        <v>184</v>
      </c>
      <c r="D2761" s="32" t="s">
        <v>185</v>
      </c>
      <c r="E2761" s="32" t="s">
        <v>346</v>
      </c>
      <c r="F2761" s="32" t="s">
        <v>514</v>
      </c>
      <c r="G2761" s="32" t="s">
        <v>515</v>
      </c>
    </row>
    <row r="2762" ht="16.5" customHeight="1">
      <c r="A2762" s="32">
        <v>2761.0</v>
      </c>
      <c r="B2762" s="32" t="s">
        <v>3510</v>
      </c>
      <c r="C2762" s="32" t="s">
        <v>184</v>
      </c>
      <c r="D2762" s="32" t="s">
        <v>185</v>
      </c>
      <c r="E2762" s="32" t="s">
        <v>346</v>
      </c>
    </row>
    <row r="2763" ht="16.5" customHeight="1">
      <c r="A2763" s="32">
        <v>2762.0</v>
      </c>
      <c r="B2763" s="32" t="s">
        <v>3511</v>
      </c>
      <c r="C2763" s="32" t="s">
        <v>184</v>
      </c>
      <c r="D2763" s="32" t="s">
        <v>185</v>
      </c>
      <c r="E2763" s="32" t="s">
        <v>346</v>
      </c>
    </row>
    <row r="2764" ht="16.5" customHeight="1">
      <c r="A2764" s="32">
        <v>2763.0</v>
      </c>
      <c r="B2764" s="32" t="s">
        <v>3512</v>
      </c>
      <c r="C2764" s="32" t="s">
        <v>184</v>
      </c>
      <c r="D2764" s="35" t="s">
        <v>294</v>
      </c>
      <c r="E2764" s="32" t="s">
        <v>346</v>
      </c>
      <c r="F2764" s="32" t="s">
        <v>189</v>
      </c>
      <c r="G2764" s="32" t="s">
        <v>190</v>
      </c>
    </row>
    <row r="2765" ht="16.5" customHeight="1">
      <c r="A2765" s="32">
        <v>2764.0</v>
      </c>
      <c r="B2765" s="32" t="s">
        <v>3513</v>
      </c>
      <c r="C2765" s="32" t="s">
        <v>184</v>
      </c>
      <c r="D2765" s="32" t="s">
        <v>254</v>
      </c>
      <c r="E2765" s="32" t="s">
        <v>346</v>
      </c>
    </row>
    <row r="2766" ht="16.5" customHeight="1">
      <c r="A2766" s="32">
        <v>2765.0</v>
      </c>
      <c r="B2766" s="32" t="s">
        <v>3514</v>
      </c>
      <c r="C2766" s="32" t="s">
        <v>184</v>
      </c>
      <c r="D2766" s="32" t="s">
        <v>285</v>
      </c>
      <c r="E2766" s="32" t="s">
        <v>346</v>
      </c>
      <c r="F2766" s="32" t="s">
        <v>188</v>
      </c>
      <c r="G2766" s="32" t="s">
        <v>2733</v>
      </c>
    </row>
    <row r="2767" ht="16.5" customHeight="1">
      <c r="A2767" s="32">
        <v>2766.0</v>
      </c>
      <c r="B2767" s="32" t="s">
        <v>3515</v>
      </c>
      <c r="C2767" s="32" t="s">
        <v>184</v>
      </c>
      <c r="D2767" s="32" t="s">
        <v>285</v>
      </c>
      <c r="E2767" s="32" t="s">
        <v>346</v>
      </c>
      <c r="F2767" s="32" t="s">
        <v>188</v>
      </c>
      <c r="G2767" s="32" t="s">
        <v>2733</v>
      </c>
    </row>
    <row r="2768" ht="16.5" customHeight="1">
      <c r="A2768" s="32">
        <v>2767.0</v>
      </c>
      <c r="B2768" s="32" t="s">
        <v>3516</v>
      </c>
      <c r="C2768" s="32" t="s">
        <v>184</v>
      </c>
      <c r="D2768" s="32" t="s">
        <v>285</v>
      </c>
      <c r="E2768" s="32" t="s">
        <v>346</v>
      </c>
      <c r="F2768" s="32" t="s">
        <v>552</v>
      </c>
    </row>
    <row r="2769" ht="16.5" customHeight="1">
      <c r="A2769" s="32">
        <v>2768.0</v>
      </c>
      <c r="B2769" s="32" t="s">
        <v>3517</v>
      </c>
      <c r="C2769" s="32" t="s">
        <v>184</v>
      </c>
      <c r="D2769" s="35" t="s">
        <v>294</v>
      </c>
      <c r="E2769" s="32" t="s">
        <v>346</v>
      </c>
      <c r="F2769" s="32" t="s">
        <v>189</v>
      </c>
      <c r="G2769" s="32" t="s">
        <v>190</v>
      </c>
    </row>
    <row r="2770" ht="16.5" customHeight="1">
      <c r="A2770" s="32">
        <v>2769.0</v>
      </c>
      <c r="B2770" s="32" t="s">
        <v>3518</v>
      </c>
      <c r="C2770" s="32" t="s">
        <v>184</v>
      </c>
      <c r="D2770" s="35" t="s">
        <v>294</v>
      </c>
      <c r="E2770" s="32" t="s">
        <v>346</v>
      </c>
    </row>
    <row r="2771" ht="16.5" customHeight="1">
      <c r="A2771" s="32">
        <v>2770.0</v>
      </c>
      <c r="B2771" s="32" t="s">
        <v>3519</v>
      </c>
      <c r="C2771" s="32" t="s">
        <v>184</v>
      </c>
      <c r="D2771" s="35" t="s">
        <v>294</v>
      </c>
      <c r="E2771" s="32" t="s">
        <v>346</v>
      </c>
      <c r="F2771" s="32" t="s">
        <v>189</v>
      </c>
      <c r="G2771" s="32" t="s">
        <v>190</v>
      </c>
    </row>
    <row r="2772" ht="16.5" customHeight="1">
      <c r="A2772" s="32">
        <v>2771.0</v>
      </c>
      <c r="B2772" s="32" t="s">
        <v>3520</v>
      </c>
      <c r="C2772" s="32" t="s">
        <v>184</v>
      </c>
      <c r="D2772" s="32" t="s">
        <v>254</v>
      </c>
      <c r="E2772" s="32" t="s">
        <v>346</v>
      </c>
      <c r="F2772" s="32" t="s">
        <v>256</v>
      </c>
      <c r="G2772" s="32" t="s">
        <v>257</v>
      </c>
    </row>
    <row r="2773" ht="16.5" customHeight="1">
      <c r="A2773" s="32">
        <v>2772.0</v>
      </c>
      <c r="B2773" s="32" t="s">
        <v>3521</v>
      </c>
      <c r="C2773" s="32" t="s">
        <v>184</v>
      </c>
      <c r="D2773" s="32" t="s">
        <v>254</v>
      </c>
      <c r="E2773" s="32" t="s">
        <v>346</v>
      </c>
      <c r="F2773" s="32" t="s">
        <v>256</v>
      </c>
      <c r="G2773" s="32" t="s">
        <v>257</v>
      </c>
    </row>
    <row r="2774" ht="16.5" customHeight="1">
      <c r="A2774" s="32">
        <v>2773.0</v>
      </c>
      <c r="B2774" s="32" t="s">
        <v>3522</v>
      </c>
      <c r="C2774" s="32" t="s">
        <v>184</v>
      </c>
      <c r="D2774" s="32" t="s">
        <v>325</v>
      </c>
      <c r="E2774" s="32" t="s">
        <v>346</v>
      </c>
      <c r="F2774" s="32" t="s">
        <v>463</v>
      </c>
      <c r="G2774" s="32" t="s">
        <v>368</v>
      </c>
    </row>
    <row r="2775" ht="16.5" customHeight="1">
      <c r="A2775" s="32">
        <v>2774.0</v>
      </c>
      <c r="B2775" s="32" t="s">
        <v>3523</v>
      </c>
      <c r="C2775" s="32" t="s">
        <v>184</v>
      </c>
      <c r="D2775" s="32" t="s">
        <v>285</v>
      </c>
      <c r="E2775" s="32" t="s">
        <v>346</v>
      </c>
      <c r="F2775" s="32" t="s">
        <v>188</v>
      </c>
      <c r="G2775" s="32" t="s">
        <v>665</v>
      </c>
    </row>
    <row r="2776" ht="16.5" customHeight="1">
      <c r="A2776" s="32">
        <v>2775.0</v>
      </c>
      <c r="B2776" s="32" t="s">
        <v>3524</v>
      </c>
      <c r="C2776" s="32" t="s">
        <v>184</v>
      </c>
      <c r="D2776" s="32" t="s">
        <v>285</v>
      </c>
      <c r="E2776" s="32" t="s">
        <v>346</v>
      </c>
    </row>
    <row r="2777" ht="16.5" customHeight="1">
      <c r="A2777" s="32">
        <v>2776.0</v>
      </c>
      <c r="B2777" s="32" t="s">
        <v>3525</v>
      </c>
      <c r="C2777" s="32" t="s">
        <v>184</v>
      </c>
      <c r="D2777" s="32" t="s">
        <v>285</v>
      </c>
      <c r="E2777" s="32" t="s">
        <v>346</v>
      </c>
    </row>
    <row r="2778" ht="16.5" customHeight="1">
      <c r="A2778" s="32">
        <v>2777.0</v>
      </c>
      <c r="B2778" s="32" t="s">
        <v>3526</v>
      </c>
      <c r="C2778" s="32" t="s">
        <v>184</v>
      </c>
      <c r="D2778" s="32" t="s">
        <v>228</v>
      </c>
      <c r="E2778" s="32" t="s">
        <v>346</v>
      </c>
      <c r="F2778" s="32" t="s">
        <v>408</v>
      </c>
      <c r="G2778" s="32" t="s">
        <v>452</v>
      </c>
    </row>
    <row r="2779" ht="16.5" customHeight="1">
      <c r="A2779" s="32">
        <v>2778.0</v>
      </c>
      <c r="B2779" s="32" t="s">
        <v>3527</v>
      </c>
      <c r="C2779" s="32" t="s">
        <v>184</v>
      </c>
      <c r="D2779" s="32" t="s">
        <v>228</v>
      </c>
      <c r="E2779" s="32" t="s">
        <v>346</v>
      </c>
      <c r="F2779" s="32" t="s">
        <v>408</v>
      </c>
      <c r="G2779" s="32" t="s">
        <v>452</v>
      </c>
    </row>
    <row r="2780" ht="16.5" customHeight="1">
      <c r="A2780" s="32">
        <v>2779.0</v>
      </c>
      <c r="B2780" s="32" t="s">
        <v>3528</v>
      </c>
      <c r="C2780" s="32" t="s">
        <v>184</v>
      </c>
      <c r="D2780" s="32" t="s">
        <v>228</v>
      </c>
      <c r="E2780" s="32" t="s">
        <v>346</v>
      </c>
      <c r="F2780" s="32" t="s">
        <v>408</v>
      </c>
      <c r="G2780" s="32" t="s">
        <v>731</v>
      </c>
    </row>
    <row r="2781" ht="16.5" customHeight="1">
      <c r="A2781" s="32">
        <v>2780.0</v>
      </c>
      <c r="B2781" s="32" t="s">
        <v>3529</v>
      </c>
      <c r="C2781" s="32" t="s">
        <v>184</v>
      </c>
      <c r="D2781" s="32" t="s">
        <v>254</v>
      </c>
      <c r="E2781" s="32" t="s">
        <v>346</v>
      </c>
    </row>
    <row r="2782" ht="16.5" customHeight="1">
      <c r="A2782" s="32">
        <v>2781.0</v>
      </c>
      <c r="B2782" s="32" t="s">
        <v>3530</v>
      </c>
      <c r="C2782" s="32" t="s">
        <v>184</v>
      </c>
      <c r="D2782" s="32" t="s">
        <v>192</v>
      </c>
      <c r="E2782" s="32" t="s">
        <v>346</v>
      </c>
      <c r="F2782" s="32" t="s">
        <v>329</v>
      </c>
      <c r="G2782" s="32" t="s">
        <v>457</v>
      </c>
    </row>
    <row r="2783" ht="16.5" customHeight="1">
      <c r="A2783" s="32">
        <v>2782.0</v>
      </c>
      <c r="B2783" s="32" t="s">
        <v>3531</v>
      </c>
      <c r="C2783" s="32" t="s">
        <v>184</v>
      </c>
      <c r="D2783" s="32" t="s">
        <v>192</v>
      </c>
      <c r="E2783" s="32" t="s">
        <v>346</v>
      </c>
      <c r="F2783" s="32" t="s">
        <v>570</v>
      </c>
      <c r="G2783" s="32" t="s">
        <v>447</v>
      </c>
    </row>
    <row r="2784" ht="16.5" customHeight="1">
      <c r="A2784" s="32">
        <v>2783.0</v>
      </c>
      <c r="B2784" s="32" t="s">
        <v>3532</v>
      </c>
      <c r="C2784" s="32" t="s">
        <v>184</v>
      </c>
      <c r="D2784" s="32" t="s">
        <v>192</v>
      </c>
      <c r="E2784" s="32" t="s">
        <v>346</v>
      </c>
      <c r="F2784" s="32" t="s">
        <v>570</v>
      </c>
      <c r="G2784" s="32" t="s">
        <v>447</v>
      </c>
    </row>
    <row r="2785" ht="16.5" customHeight="1">
      <c r="A2785" s="32">
        <v>2784.0</v>
      </c>
      <c r="B2785" s="32" t="s">
        <v>3533</v>
      </c>
      <c r="C2785" s="32" t="s">
        <v>184</v>
      </c>
      <c r="D2785" s="32" t="s">
        <v>192</v>
      </c>
      <c r="E2785" s="32" t="s">
        <v>346</v>
      </c>
      <c r="F2785" s="32" t="s">
        <v>570</v>
      </c>
      <c r="G2785" s="32" t="s">
        <v>447</v>
      </c>
    </row>
    <row r="2786" ht="16.5" customHeight="1">
      <c r="A2786" s="32">
        <v>2785.0</v>
      </c>
      <c r="B2786" s="32" t="s">
        <v>3534</v>
      </c>
      <c r="C2786" s="32" t="s">
        <v>184</v>
      </c>
      <c r="D2786" s="32" t="s">
        <v>228</v>
      </c>
      <c r="E2786" s="32" t="s">
        <v>346</v>
      </c>
      <c r="F2786" s="32" t="s">
        <v>229</v>
      </c>
      <c r="G2786" s="32" t="s">
        <v>626</v>
      </c>
    </row>
    <row r="2787" ht="16.5" customHeight="1">
      <c r="A2787" s="32">
        <v>2786.0</v>
      </c>
      <c r="B2787" s="32" t="s">
        <v>3535</v>
      </c>
      <c r="C2787" s="32" t="s">
        <v>184</v>
      </c>
      <c r="D2787" s="32" t="s">
        <v>228</v>
      </c>
      <c r="E2787" s="32" t="s">
        <v>346</v>
      </c>
      <c r="F2787" s="32" t="s">
        <v>229</v>
      </c>
      <c r="G2787" s="32" t="s">
        <v>230</v>
      </c>
    </row>
    <row r="2788" ht="16.5" customHeight="1">
      <c r="A2788" s="32">
        <v>2787.0</v>
      </c>
      <c r="B2788" s="32" t="s">
        <v>3536</v>
      </c>
      <c r="C2788" s="32" t="s">
        <v>184</v>
      </c>
      <c r="D2788" s="32" t="s">
        <v>285</v>
      </c>
      <c r="E2788" s="32" t="s">
        <v>346</v>
      </c>
      <c r="F2788" s="32" t="s">
        <v>189</v>
      </c>
      <c r="G2788" s="32" t="s">
        <v>190</v>
      </c>
    </row>
    <row r="2789" ht="16.5" customHeight="1">
      <c r="A2789" s="32">
        <v>2788.0</v>
      </c>
      <c r="B2789" s="32" t="s">
        <v>3537</v>
      </c>
      <c r="C2789" s="32" t="s">
        <v>184</v>
      </c>
      <c r="D2789" s="35" t="s">
        <v>294</v>
      </c>
      <c r="E2789" s="32" t="s">
        <v>346</v>
      </c>
    </row>
    <row r="2790" ht="16.5" customHeight="1">
      <c r="A2790" s="32">
        <v>2789.0</v>
      </c>
      <c r="B2790" s="32" t="s">
        <v>3538</v>
      </c>
      <c r="C2790" s="32" t="s">
        <v>184</v>
      </c>
      <c r="D2790" s="32" t="s">
        <v>325</v>
      </c>
      <c r="E2790" s="32" t="s">
        <v>346</v>
      </c>
      <c r="F2790" s="32" t="s">
        <v>3539</v>
      </c>
      <c r="G2790" s="32" t="s">
        <v>3540</v>
      </c>
    </row>
    <row r="2791" ht="16.5" customHeight="1">
      <c r="A2791" s="32">
        <v>2790.0</v>
      </c>
      <c r="B2791" s="32" t="s">
        <v>3541</v>
      </c>
      <c r="C2791" s="32" t="s">
        <v>184</v>
      </c>
      <c r="D2791" s="32" t="s">
        <v>254</v>
      </c>
      <c r="E2791" s="32" t="s">
        <v>346</v>
      </c>
      <c r="F2791" s="32" t="s">
        <v>257</v>
      </c>
    </row>
    <row r="2792" ht="16.5" customHeight="1">
      <c r="A2792" s="32">
        <v>2791.0</v>
      </c>
      <c r="B2792" s="32" t="s">
        <v>3542</v>
      </c>
      <c r="C2792" s="32" t="s">
        <v>184</v>
      </c>
      <c r="D2792" s="32" t="s">
        <v>254</v>
      </c>
      <c r="E2792" s="32" t="s">
        <v>346</v>
      </c>
    </row>
    <row r="2793" ht="16.5" customHeight="1">
      <c r="A2793" s="32">
        <v>2792.0</v>
      </c>
      <c r="B2793" s="32" t="s">
        <v>3543</v>
      </c>
      <c r="C2793" s="32" t="s">
        <v>184</v>
      </c>
      <c r="D2793" s="32" t="s">
        <v>285</v>
      </c>
      <c r="E2793" s="32" t="s">
        <v>346</v>
      </c>
    </row>
    <row r="2794" ht="16.5" customHeight="1">
      <c r="A2794" s="32">
        <v>2793.0</v>
      </c>
      <c r="B2794" s="32" t="s">
        <v>3544</v>
      </c>
      <c r="C2794" s="32" t="s">
        <v>184</v>
      </c>
      <c r="D2794" s="32" t="s">
        <v>228</v>
      </c>
      <c r="E2794" s="32" t="s">
        <v>346</v>
      </c>
      <c r="F2794" s="32" t="s">
        <v>1224</v>
      </c>
      <c r="G2794" s="32" t="s">
        <v>3545</v>
      </c>
    </row>
    <row r="2795" ht="16.5" customHeight="1">
      <c r="A2795" s="32">
        <v>2794.0</v>
      </c>
      <c r="B2795" s="32" t="s">
        <v>3546</v>
      </c>
      <c r="C2795" s="32" t="s">
        <v>184</v>
      </c>
      <c r="D2795" s="32" t="s">
        <v>228</v>
      </c>
      <c r="E2795" s="32" t="s">
        <v>346</v>
      </c>
      <c r="F2795" s="32" t="s">
        <v>229</v>
      </c>
      <c r="G2795" s="32" t="s">
        <v>626</v>
      </c>
    </row>
    <row r="2796" ht="16.5" customHeight="1">
      <c r="A2796" s="32">
        <v>2795.0</v>
      </c>
      <c r="B2796" s="32" t="s">
        <v>3547</v>
      </c>
      <c r="C2796" s="32" t="s">
        <v>184</v>
      </c>
      <c r="D2796" s="32" t="s">
        <v>228</v>
      </c>
      <c r="E2796" s="32" t="s">
        <v>346</v>
      </c>
      <c r="F2796" s="32" t="s">
        <v>229</v>
      </c>
      <c r="G2796" s="32" t="s">
        <v>626</v>
      </c>
    </row>
    <row r="2797" ht="16.5" customHeight="1">
      <c r="A2797" s="32">
        <v>2796.0</v>
      </c>
      <c r="B2797" s="32" t="s">
        <v>3548</v>
      </c>
      <c r="C2797" s="32" t="s">
        <v>184</v>
      </c>
      <c r="D2797" s="32" t="s">
        <v>192</v>
      </c>
      <c r="E2797" s="32" t="s">
        <v>346</v>
      </c>
      <c r="F2797" s="32" t="s">
        <v>238</v>
      </c>
      <c r="G2797" s="32" t="s">
        <v>618</v>
      </c>
    </row>
    <row r="2798" ht="16.5" customHeight="1">
      <c r="A2798" s="32">
        <v>2797.0</v>
      </c>
      <c r="B2798" s="32" t="s">
        <v>3549</v>
      </c>
      <c r="C2798" s="32" t="s">
        <v>184</v>
      </c>
      <c r="D2798" s="32" t="s">
        <v>192</v>
      </c>
      <c r="E2798" s="32" t="s">
        <v>346</v>
      </c>
      <c r="F2798" s="32" t="s">
        <v>238</v>
      </c>
      <c r="G2798" s="32" t="s">
        <v>618</v>
      </c>
    </row>
    <row r="2799" ht="16.5" customHeight="1">
      <c r="A2799" s="32">
        <v>2798.0</v>
      </c>
      <c r="B2799" s="32" t="s">
        <v>3550</v>
      </c>
      <c r="C2799" s="32" t="s">
        <v>184</v>
      </c>
      <c r="D2799" s="32" t="s">
        <v>192</v>
      </c>
      <c r="E2799" s="32" t="s">
        <v>346</v>
      </c>
      <c r="F2799" s="32" t="s">
        <v>238</v>
      </c>
      <c r="G2799" s="32" t="s">
        <v>618</v>
      </c>
    </row>
    <row r="2800" ht="16.5" customHeight="1">
      <c r="A2800" s="32">
        <v>2799.0</v>
      </c>
      <c r="B2800" s="32" t="s">
        <v>3551</v>
      </c>
      <c r="C2800" s="32" t="s">
        <v>184</v>
      </c>
      <c r="D2800" s="32" t="s">
        <v>185</v>
      </c>
      <c r="E2800" s="32" t="s">
        <v>346</v>
      </c>
      <c r="F2800" s="32" t="s">
        <v>271</v>
      </c>
      <c r="G2800" s="32" t="s">
        <v>3552</v>
      </c>
    </row>
    <row r="2801" ht="16.5" customHeight="1">
      <c r="A2801" s="32">
        <v>2800.0</v>
      </c>
      <c r="B2801" s="32" t="s">
        <v>3553</v>
      </c>
      <c r="C2801" s="32" t="s">
        <v>184</v>
      </c>
      <c r="D2801" s="32" t="s">
        <v>185</v>
      </c>
      <c r="E2801" s="32" t="s">
        <v>346</v>
      </c>
      <c r="F2801" s="32" t="s">
        <v>508</v>
      </c>
    </row>
    <row r="2802" ht="16.5" customHeight="1">
      <c r="A2802" s="32">
        <v>2801.0</v>
      </c>
      <c r="B2802" s="32" t="s">
        <v>3554</v>
      </c>
      <c r="C2802" s="32" t="s">
        <v>184</v>
      </c>
      <c r="D2802" s="32" t="s">
        <v>185</v>
      </c>
      <c r="E2802" s="32" t="s">
        <v>346</v>
      </c>
      <c r="F2802" s="32" t="s">
        <v>187</v>
      </c>
    </row>
    <row r="2803" ht="16.5" customHeight="1">
      <c r="A2803" s="32">
        <v>2802.0</v>
      </c>
      <c r="B2803" s="32" t="s">
        <v>3555</v>
      </c>
      <c r="C2803" s="32" t="s">
        <v>184</v>
      </c>
      <c r="D2803" s="32" t="s">
        <v>192</v>
      </c>
      <c r="E2803" s="32" t="s">
        <v>346</v>
      </c>
      <c r="F2803" s="32" t="s">
        <v>329</v>
      </c>
      <c r="G2803" s="32" t="s">
        <v>457</v>
      </c>
    </row>
    <row r="2804" ht="16.5" customHeight="1">
      <c r="A2804" s="32">
        <v>2803.0</v>
      </c>
      <c r="B2804" s="32" t="s">
        <v>3556</v>
      </c>
      <c r="C2804" s="32" t="s">
        <v>184</v>
      </c>
      <c r="D2804" s="32" t="s">
        <v>285</v>
      </c>
      <c r="E2804" s="32" t="s">
        <v>346</v>
      </c>
      <c r="F2804" s="32" t="s">
        <v>552</v>
      </c>
    </row>
    <row r="2805" ht="16.5" customHeight="1">
      <c r="A2805" s="32">
        <v>2804.0</v>
      </c>
      <c r="B2805" s="32" t="s">
        <v>3557</v>
      </c>
      <c r="C2805" s="32" t="s">
        <v>184</v>
      </c>
      <c r="D2805" s="32" t="s">
        <v>185</v>
      </c>
      <c r="E2805" s="32" t="s">
        <v>346</v>
      </c>
      <c r="F2805" s="32" t="s">
        <v>187</v>
      </c>
      <c r="G2805" s="32" t="s">
        <v>854</v>
      </c>
    </row>
    <row r="2806" ht="16.5" customHeight="1">
      <c r="A2806" s="32">
        <v>2805.0</v>
      </c>
      <c r="B2806" s="32" t="s">
        <v>3558</v>
      </c>
      <c r="C2806" s="32" t="s">
        <v>184</v>
      </c>
      <c r="D2806" s="32" t="s">
        <v>285</v>
      </c>
      <c r="E2806" s="32" t="s">
        <v>346</v>
      </c>
      <c r="F2806" s="32" t="s">
        <v>189</v>
      </c>
      <c r="G2806" s="32" t="s">
        <v>190</v>
      </c>
    </row>
    <row r="2807" ht="16.5" customHeight="1">
      <c r="A2807" s="32">
        <v>2806.0</v>
      </c>
      <c r="B2807" s="32" t="s">
        <v>3559</v>
      </c>
      <c r="C2807" s="32" t="s">
        <v>184</v>
      </c>
      <c r="D2807" s="32" t="s">
        <v>325</v>
      </c>
      <c r="E2807" s="32" t="s">
        <v>346</v>
      </c>
      <c r="F2807" s="32" t="s">
        <v>368</v>
      </c>
      <c r="G2807" s="32" t="s">
        <v>463</v>
      </c>
    </row>
    <row r="2808" ht="16.5" customHeight="1">
      <c r="A2808" s="32">
        <v>2807.0</v>
      </c>
      <c r="B2808" s="32" t="s">
        <v>3560</v>
      </c>
      <c r="C2808" s="32" t="s">
        <v>184</v>
      </c>
      <c r="D2808" s="32" t="s">
        <v>325</v>
      </c>
      <c r="E2808" s="32" t="s">
        <v>346</v>
      </c>
      <c r="F2808" s="32" t="s">
        <v>368</v>
      </c>
      <c r="G2808" s="32" t="s">
        <v>463</v>
      </c>
    </row>
    <row r="2809" ht="16.5" customHeight="1">
      <c r="A2809" s="32">
        <v>2808.0</v>
      </c>
      <c r="B2809" s="32" t="s">
        <v>3561</v>
      </c>
      <c r="C2809" s="32" t="s">
        <v>184</v>
      </c>
      <c r="D2809" s="32" t="s">
        <v>234</v>
      </c>
      <c r="E2809" s="32" t="s">
        <v>346</v>
      </c>
      <c r="F2809" s="32" t="s">
        <v>235</v>
      </c>
      <c r="G2809" s="32" t="s">
        <v>243</v>
      </c>
    </row>
    <row r="2810" ht="16.5" customHeight="1">
      <c r="A2810" s="32">
        <v>2809.0</v>
      </c>
      <c r="B2810" s="32" t="s">
        <v>3562</v>
      </c>
      <c r="C2810" s="32" t="s">
        <v>184</v>
      </c>
      <c r="D2810" s="32" t="s">
        <v>185</v>
      </c>
      <c r="E2810" s="32" t="s">
        <v>346</v>
      </c>
      <c r="F2810" s="32" t="s">
        <v>223</v>
      </c>
    </row>
    <row r="2811" ht="16.5" customHeight="1">
      <c r="A2811" s="32">
        <v>2810.0</v>
      </c>
      <c r="B2811" s="32" t="s">
        <v>3563</v>
      </c>
      <c r="C2811" s="32" t="s">
        <v>184</v>
      </c>
      <c r="D2811" s="32" t="s">
        <v>185</v>
      </c>
      <c r="E2811" s="32" t="s">
        <v>346</v>
      </c>
      <c r="F2811" s="32" t="s">
        <v>187</v>
      </c>
      <c r="G2811" s="32" t="s">
        <v>188</v>
      </c>
    </row>
    <row r="2812" ht="16.5" customHeight="1">
      <c r="A2812" s="32">
        <v>2811.0</v>
      </c>
      <c r="B2812" s="32" t="s">
        <v>3564</v>
      </c>
      <c r="C2812" s="32" t="s">
        <v>184</v>
      </c>
      <c r="D2812" s="32" t="s">
        <v>285</v>
      </c>
      <c r="E2812" s="32" t="s">
        <v>346</v>
      </c>
    </row>
    <row r="2813" ht="16.5" customHeight="1">
      <c r="A2813" s="32">
        <v>2812.0</v>
      </c>
      <c r="B2813" s="32" t="s">
        <v>3565</v>
      </c>
      <c r="C2813" s="32" t="s">
        <v>184</v>
      </c>
      <c r="D2813" s="32" t="s">
        <v>185</v>
      </c>
      <c r="E2813" s="32" t="s">
        <v>346</v>
      </c>
      <c r="F2813" s="32" t="s">
        <v>189</v>
      </c>
      <c r="G2813" s="32" t="s">
        <v>190</v>
      </c>
    </row>
    <row r="2814" ht="16.5" customHeight="1">
      <c r="A2814" s="32">
        <v>2813.0</v>
      </c>
      <c r="B2814" s="32" t="s">
        <v>3566</v>
      </c>
      <c r="C2814" s="32" t="s">
        <v>184</v>
      </c>
      <c r="D2814" s="32" t="s">
        <v>185</v>
      </c>
      <c r="E2814" s="32" t="s">
        <v>346</v>
      </c>
      <c r="F2814" s="32" t="s">
        <v>189</v>
      </c>
      <c r="G2814" s="32" t="s">
        <v>190</v>
      </c>
    </row>
    <row r="2815" ht="16.5" customHeight="1">
      <c r="A2815" s="32">
        <v>2814.0</v>
      </c>
      <c r="B2815" s="32" t="s">
        <v>3567</v>
      </c>
      <c r="C2815" s="32" t="s">
        <v>184</v>
      </c>
      <c r="D2815" s="32" t="s">
        <v>185</v>
      </c>
      <c r="E2815" s="32" t="s">
        <v>346</v>
      </c>
      <c r="F2815" s="32" t="s">
        <v>187</v>
      </c>
    </row>
    <row r="2816" ht="16.5" customHeight="1">
      <c r="A2816" s="32">
        <v>2815.0</v>
      </c>
      <c r="B2816" s="32" t="s">
        <v>3568</v>
      </c>
      <c r="C2816" s="32" t="s">
        <v>184</v>
      </c>
      <c r="D2816" s="32" t="s">
        <v>192</v>
      </c>
      <c r="E2816" s="32" t="s">
        <v>346</v>
      </c>
      <c r="F2816" s="32" t="s">
        <v>329</v>
      </c>
      <c r="G2816" s="32" t="s">
        <v>457</v>
      </c>
    </row>
    <row r="2817" ht="16.5" customHeight="1">
      <c r="A2817" s="32">
        <v>2816.0</v>
      </c>
      <c r="B2817" s="32" t="s">
        <v>3569</v>
      </c>
      <c r="C2817" s="32" t="s">
        <v>184</v>
      </c>
      <c r="D2817" s="32" t="s">
        <v>192</v>
      </c>
      <c r="E2817" s="32" t="s">
        <v>346</v>
      </c>
      <c r="F2817" s="32" t="s">
        <v>329</v>
      </c>
      <c r="G2817" s="32" t="s">
        <v>457</v>
      </c>
    </row>
    <row r="2818" ht="16.5" customHeight="1">
      <c r="A2818" s="32">
        <v>2817.0</v>
      </c>
      <c r="B2818" s="32" t="s">
        <v>3570</v>
      </c>
      <c r="C2818" s="32" t="s">
        <v>184</v>
      </c>
      <c r="D2818" s="32" t="s">
        <v>185</v>
      </c>
      <c r="E2818" s="32" t="s">
        <v>346</v>
      </c>
    </row>
    <row r="2819" ht="16.5" customHeight="1">
      <c r="A2819" s="32">
        <v>2818.0</v>
      </c>
      <c r="B2819" s="32" t="s">
        <v>3571</v>
      </c>
      <c r="C2819" s="32" t="s">
        <v>184</v>
      </c>
      <c r="D2819" s="32" t="s">
        <v>192</v>
      </c>
      <c r="E2819" s="32" t="s">
        <v>346</v>
      </c>
      <c r="F2819" s="32" t="s">
        <v>570</v>
      </c>
      <c r="G2819" s="32" t="s">
        <v>447</v>
      </c>
    </row>
    <row r="2820" ht="16.5" customHeight="1">
      <c r="A2820" s="32">
        <v>2819.0</v>
      </c>
      <c r="B2820" s="32" t="s">
        <v>3572</v>
      </c>
      <c r="C2820" s="32" t="s">
        <v>184</v>
      </c>
      <c r="D2820" s="32" t="s">
        <v>254</v>
      </c>
      <c r="E2820" s="32" t="s">
        <v>346</v>
      </c>
      <c r="F2820" s="32" t="s">
        <v>256</v>
      </c>
      <c r="G2820" s="32" t="s">
        <v>257</v>
      </c>
    </row>
    <row r="2821" ht="16.5" customHeight="1">
      <c r="A2821" s="32">
        <v>2820.0</v>
      </c>
      <c r="B2821" s="32" t="s">
        <v>3573</v>
      </c>
      <c r="C2821" s="32" t="s">
        <v>184</v>
      </c>
      <c r="D2821" s="32" t="s">
        <v>219</v>
      </c>
      <c r="E2821" s="32" t="s">
        <v>346</v>
      </c>
      <c r="F2821" s="32" t="s">
        <v>223</v>
      </c>
      <c r="G2821" s="32" t="s">
        <v>394</v>
      </c>
    </row>
    <row r="2822" ht="16.5" customHeight="1">
      <c r="A2822" s="32">
        <v>2821.0</v>
      </c>
      <c r="B2822" s="32" t="s">
        <v>3574</v>
      </c>
      <c r="C2822" s="32" t="s">
        <v>184</v>
      </c>
      <c r="D2822" s="32" t="s">
        <v>219</v>
      </c>
      <c r="E2822" s="32" t="s">
        <v>346</v>
      </c>
      <c r="F2822" s="32" t="s">
        <v>223</v>
      </c>
    </row>
    <row r="2823" ht="16.5" customHeight="1">
      <c r="A2823" s="32">
        <v>2822.0</v>
      </c>
      <c r="B2823" s="32" t="s">
        <v>3574</v>
      </c>
      <c r="C2823" s="32" t="s">
        <v>184</v>
      </c>
      <c r="D2823" s="32" t="s">
        <v>219</v>
      </c>
      <c r="E2823" s="32" t="s">
        <v>346</v>
      </c>
      <c r="F2823" s="32" t="s">
        <v>511</v>
      </c>
      <c r="G2823" s="32" t="s">
        <v>3575</v>
      </c>
    </row>
    <row r="2824" ht="16.5" customHeight="1">
      <c r="A2824" s="32">
        <v>2823.0</v>
      </c>
      <c r="B2824" s="32" t="s">
        <v>3576</v>
      </c>
      <c r="C2824" s="32" t="s">
        <v>184</v>
      </c>
      <c r="D2824" s="32" t="s">
        <v>219</v>
      </c>
      <c r="E2824" s="32" t="s">
        <v>346</v>
      </c>
      <c r="F2824" s="32" t="s">
        <v>223</v>
      </c>
    </row>
    <row r="2825" ht="16.5" customHeight="1">
      <c r="A2825" s="32">
        <v>2824.0</v>
      </c>
      <c r="B2825" s="32" t="s">
        <v>3577</v>
      </c>
      <c r="C2825" s="32" t="s">
        <v>184</v>
      </c>
      <c r="D2825" s="32" t="s">
        <v>219</v>
      </c>
      <c r="E2825" s="32" t="s">
        <v>346</v>
      </c>
      <c r="F2825" s="32" t="s">
        <v>223</v>
      </c>
    </row>
    <row r="2826" ht="16.5" customHeight="1">
      <c r="A2826" s="32">
        <v>2825.0</v>
      </c>
      <c r="B2826" s="32" t="s">
        <v>3578</v>
      </c>
      <c r="C2826" s="32" t="s">
        <v>184</v>
      </c>
      <c r="D2826" s="32" t="s">
        <v>254</v>
      </c>
      <c r="E2826" s="32" t="s">
        <v>346</v>
      </c>
      <c r="F2826" s="32" t="s">
        <v>257</v>
      </c>
      <c r="G2826" s="32" t="s">
        <v>256</v>
      </c>
    </row>
    <row r="2827" ht="16.5" customHeight="1">
      <c r="A2827" s="32">
        <v>2826.0</v>
      </c>
      <c r="B2827" s="32" t="s">
        <v>3579</v>
      </c>
      <c r="C2827" s="32" t="s">
        <v>184</v>
      </c>
      <c r="D2827" s="32" t="s">
        <v>254</v>
      </c>
      <c r="E2827" s="32" t="s">
        <v>346</v>
      </c>
      <c r="F2827" s="32" t="s">
        <v>257</v>
      </c>
      <c r="G2827" s="32" t="s">
        <v>271</v>
      </c>
    </row>
    <row r="2828" ht="16.5" customHeight="1">
      <c r="A2828" s="32">
        <v>2827.0</v>
      </c>
      <c r="B2828" s="32" t="s">
        <v>3580</v>
      </c>
      <c r="C2828" s="32" t="s">
        <v>184</v>
      </c>
      <c r="D2828" s="32" t="s">
        <v>192</v>
      </c>
      <c r="E2828" s="32" t="s">
        <v>346</v>
      </c>
      <c r="F2828" s="32" t="s">
        <v>329</v>
      </c>
      <c r="G2828" s="32" t="s">
        <v>457</v>
      </c>
    </row>
    <row r="2829" ht="16.5" customHeight="1">
      <c r="A2829" s="32">
        <v>2828.0</v>
      </c>
      <c r="B2829" s="32" t="s">
        <v>3581</v>
      </c>
      <c r="C2829" s="32" t="s">
        <v>184</v>
      </c>
      <c r="D2829" s="32" t="s">
        <v>192</v>
      </c>
      <c r="E2829" s="32" t="s">
        <v>346</v>
      </c>
      <c r="F2829" s="32" t="s">
        <v>300</v>
      </c>
      <c r="G2829" s="32" t="s">
        <v>3582</v>
      </c>
    </row>
    <row r="2830" ht="16.5" customHeight="1">
      <c r="A2830" s="32">
        <v>2829.0</v>
      </c>
      <c r="B2830" s="32" t="s">
        <v>3583</v>
      </c>
      <c r="C2830" s="32" t="s">
        <v>184</v>
      </c>
      <c r="D2830" s="32" t="s">
        <v>192</v>
      </c>
      <c r="E2830" s="32" t="s">
        <v>1160</v>
      </c>
      <c r="F2830" s="32" t="s">
        <v>329</v>
      </c>
      <c r="G2830" s="32" t="s">
        <v>457</v>
      </c>
    </row>
    <row r="2831" ht="16.5" customHeight="1">
      <c r="A2831" s="32">
        <v>2830.0</v>
      </c>
      <c r="B2831" s="32" t="s">
        <v>3584</v>
      </c>
      <c r="C2831" s="32" t="s">
        <v>184</v>
      </c>
      <c r="D2831" s="32" t="s">
        <v>254</v>
      </c>
      <c r="E2831" s="32" t="s">
        <v>255</v>
      </c>
      <c r="F2831" s="32" t="s">
        <v>256</v>
      </c>
      <c r="G2831" s="32" t="s">
        <v>257</v>
      </c>
    </row>
    <row r="2832" ht="16.5" customHeight="1">
      <c r="A2832" s="32">
        <v>2831.0</v>
      </c>
      <c r="B2832" s="32" t="s">
        <v>3585</v>
      </c>
      <c r="C2832" s="32" t="s">
        <v>184</v>
      </c>
      <c r="D2832" s="32" t="s">
        <v>254</v>
      </c>
      <c r="E2832" s="32" t="s">
        <v>255</v>
      </c>
    </row>
    <row r="2833" ht="16.5" customHeight="1">
      <c r="A2833" s="32">
        <v>2832.0</v>
      </c>
      <c r="B2833" s="32" t="s">
        <v>3586</v>
      </c>
      <c r="C2833" s="32" t="s">
        <v>184</v>
      </c>
      <c r="D2833" s="32" t="s">
        <v>254</v>
      </c>
      <c r="E2833" s="32" t="s">
        <v>346</v>
      </c>
    </row>
    <row r="2834" ht="16.5" customHeight="1">
      <c r="A2834" s="32">
        <v>2833.0</v>
      </c>
      <c r="B2834" s="32" t="s">
        <v>3587</v>
      </c>
      <c r="C2834" s="32" t="s">
        <v>184</v>
      </c>
      <c r="D2834" s="32" t="s">
        <v>185</v>
      </c>
      <c r="E2834" s="32" t="s">
        <v>346</v>
      </c>
    </row>
    <row r="2835" ht="16.5" customHeight="1">
      <c r="A2835" s="32">
        <v>2834.0</v>
      </c>
      <c r="B2835" s="32" t="s">
        <v>3588</v>
      </c>
      <c r="C2835" s="32" t="s">
        <v>184</v>
      </c>
      <c r="D2835" s="32" t="s">
        <v>185</v>
      </c>
      <c r="E2835" s="32" t="s">
        <v>255</v>
      </c>
      <c r="F2835" s="32" t="s">
        <v>187</v>
      </c>
    </row>
    <row r="2836" ht="16.5" customHeight="1">
      <c r="A2836" s="32">
        <v>2835.0</v>
      </c>
      <c r="B2836" s="32" t="s">
        <v>3589</v>
      </c>
      <c r="C2836" s="32" t="s">
        <v>184</v>
      </c>
      <c r="D2836" s="32" t="s">
        <v>185</v>
      </c>
      <c r="E2836" s="32" t="s">
        <v>255</v>
      </c>
      <c r="F2836" s="32" t="s">
        <v>187</v>
      </c>
    </row>
    <row r="2837" ht="16.5" customHeight="1">
      <c r="A2837" s="32">
        <v>2836.0</v>
      </c>
      <c r="B2837" s="32" t="s">
        <v>3590</v>
      </c>
      <c r="C2837" s="32" t="s">
        <v>184</v>
      </c>
      <c r="D2837" s="32" t="s">
        <v>192</v>
      </c>
      <c r="E2837" s="32" t="s">
        <v>255</v>
      </c>
      <c r="F2837" s="32" t="s">
        <v>275</v>
      </c>
    </row>
    <row r="2838" ht="16.5" customHeight="1">
      <c r="A2838" s="32">
        <v>2837.0</v>
      </c>
      <c r="B2838" s="32" t="s">
        <v>3591</v>
      </c>
      <c r="C2838" s="32" t="s">
        <v>184</v>
      </c>
      <c r="D2838" s="32" t="s">
        <v>185</v>
      </c>
      <c r="E2838" s="32" t="s">
        <v>255</v>
      </c>
      <c r="F2838" s="32" t="s">
        <v>189</v>
      </c>
      <c r="G2838" s="32" t="s">
        <v>190</v>
      </c>
    </row>
    <row r="2839" ht="16.5" customHeight="1">
      <c r="A2839" s="32">
        <v>2838.0</v>
      </c>
      <c r="B2839" s="32" t="s">
        <v>3592</v>
      </c>
      <c r="C2839" s="32" t="s">
        <v>184</v>
      </c>
      <c r="D2839" s="32" t="s">
        <v>285</v>
      </c>
      <c r="E2839" s="32" t="s">
        <v>255</v>
      </c>
    </row>
    <row r="2840" ht="16.5" customHeight="1">
      <c r="A2840" s="32">
        <v>2839.0</v>
      </c>
      <c r="B2840" s="32" t="s">
        <v>3593</v>
      </c>
      <c r="C2840" s="32" t="s">
        <v>184</v>
      </c>
      <c r="D2840" s="32" t="s">
        <v>285</v>
      </c>
      <c r="E2840" s="32" t="s">
        <v>255</v>
      </c>
      <c r="F2840" s="32" t="s">
        <v>3594</v>
      </c>
      <c r="G2840" s="32" t="s">
        <v>3595</v>
      </c>
    </row>
    <row r="2841" ht="16.5" customHeight="1">
      <c r="A2841" s="32">
        <v>2840.0</v>
      </c>
      <c r="B2841" s="32" t="s">
        <v>3596</v>
      </c>
      <c r="C2841" s="32" t="s">
        <v>184</v>
      </c>
      <c r="D2841" s="32" t="s">
        <v>285</v>
      </c>
      <c r="E2841" s="32" t="s">
        <v>255</v>
      </c>
      <c r="F2841" s="32" t="s">
        <v>189</v>
      </c>
      <c r="G2841" s="32" t="s">
        <v>190</v>
      </c>
    </row>
    <row r="2842" ht="16.5" customHeight="1">
      <c r="A2842" s="32">
        <v>2841.0</v>
      </c>
      <c r="B2842" s="32" t="s">
        <v>3597</v>
      </c>
      <c r="C2842" s="32" t="s">
        <v>184</v>
      </c>
      <c r="D2842" s="32" t="s">
        <v>254</v>
      </c>
      <c r="E2842" s="32" t="s">
        <v>255</v>
      </c>
      <c r="F2842" s="32" t="s">
        <v>524</v>
      </c>
      <c r="G2842" s="32" t="s">
        <v>190</v>
      </c>
    </row>
    <row r="2843" ht="16.5" customHeight="1">
      <c r="A2843" s="32">
        <v>2842.0</v>
      </c>
      <c r="B2843" s="32" t="s">
        <v>3598</v>
      </c>
      <c r="C2843" s="32" t="s">
        <v>184</v>
      </c>
      <c r="D2843" s="32" t="s">
        <v>254</v>
      </c>
      <c r="E2843" s="32" t="s">
        <v>255</v>
      </c>
      <c r="F2843" s="32" t="s">
        <v>256</v>
      </c>
      <c r="G2843" s="32" t="s">
        <v>271</v>
      </c>
    </row>
    <row r="2844" ht="16.5" customHeight="1">
      <c r="A2844" s="32">
        <v>2843.0</v>
      </c>
      <c r="B2844" s="32" t="s">
        <v>3599</v>
      </c>
      <c r="C2844" s="32" t="s">
        <v>184</v>
      </c>
      <c r="D2844" s="32" t="s">
        <v>254</v>
      </c>
      <c r="E2844" s="32" t="s">
        <v>255</v>
      </c>
      <c r="F2844" s="32" t="s">
        <v>256</v>
      </c>
      <c r="G2844" s="32" t="s">
        <v>271</v>
      </c>
    </row>
    <row r="2845" ht="16.5" customHeight="1">
      <c r="A2845" s="32">
        <v>2844.0</v>
      </c>
      <c r="B2845" s="32" t="s">
        <v>3600</v>
      </c>
      <c r="C2845" s="32" t="s">
        <v>184</v>
      </c>
      <c r="D2845" s="32" t="s">
        <v>321</v>
      </c>
      <c r="E2845" s="32" t="s">
        <v>255</v>
      </c>
    </row>
    <row r="2846" ht="16.5" customHeight="1">
      <c r="A2846" s="32">
        <v>2845.0</v>
      </c>
      <c r="B2846" s="32" t="s">
        <v>3601</v>
      </c>
      <c r="C2846" s="32" t="s">
        <v>184</v>
      </c>
      <c r="D2846" s="32" t="s">
        <v>321</v>
      </c>
      <c r="E2846" s="32" t="s">
        <v>255</v>
      </c>
    </row>
    <row r="2847" ht="16.5" customHeight="1">
      <c r="A2847" s="32">
        <v>2846.0</v>
      </c>
      <c r="B2847" s="32" t="s">
        <v>3602</v>
      </c>
      <c r="C2847" s="32" t="s">
        <v>184</v>
      </c>
      <c r="D2847" s="32" t="s">
        <v>185</v>
      </c>
      <c r="E2847" s="32" t="s">
        <v>255</v>
      </c>
      <c r="F2847" s="32" t="s">
        <v>187</v>
      </c>
      <c r="G2847" s="32" t="s">
        <v>188</v>
      </c>
    </row>
    <row r="2848" ht="16.5" customHeight="1">
      <c r="A2848" s="32">
        <v>2847.0</v>
      </c>
      <c r="B2848" s="32" t="s">
        <v>3603</v>
      </c>
      <c r="C2848" s="32" t="s">
        <v>184</v>
      </c>
      <c r="D2848" s="32" t="s">
        <v>185</v>
      </c>
      <c r="E2848" s="32" t="s">
        <v>255</v>
      </c>
    </row>
    <row r="2849" ht="16.5" customHeight="1">
      <c r="A2849" s="32">
        <v>2848.0</v>
      </c>
      <c r="B2849" s="32" t="s">
        <v>3604</v>
      </c>
      <c r="C2849" s="32" t="s">
        <v>184</v>
      </c>
      <c r="D2849" s="32" t="s">
        <v>228</v>
      </c>
      <c r="E2849" s="32" t="s">
        <v>255</v>
      </c>
      <c r="F2849" s="32" t="s">
        <v>1997</v>
      </c>
      <c r="G2849" s="32" t="s">
        <v>3605</v>
      </c>
    </row>
    <row r="2850" ht="16.5" customHeight="1">
      <c r="A2850" s="32">
        <v>2849.0</v>
      </c>
      <c r="B2850" s="32" t="s">
        <v>3606</v>
      </c>
      <c r="C2850" s="32" t="s">
        <v>184</v>
      </c>
      <c r="D2850" s="32" t="s">
        <v>228</v>
      </c>
      <c r="E2850" s="32" t="s">
        <v>255</v>
      </c>
      <c r="F2850" s="32" t="s">
        <v>408</v>
      </c>
      <c r="G2850" s="32" t="s">
        <v>3607</v>
      </c>
    </row>
    <row r="2851" ht="16.5" customHeight="1">
      <c r="A2851" s="32">
        <v>2850.0</v>
      </c>
      <c r="B2851" s="32" t="s">
        <v>3608</v>
      </c>
      <c r="C2851" s="32" t="s">
        <v>184</v>
      </c>
      <c r="D2851" s="32" t="s">
        <v>185</v>
      </c>
      <c r="E2851" s="32" t="s">
        <v>255</v>
      </c>
      <c r="F2851" s="32" t="s">
        <v>3609</v>
      </c>
      <c r="G2851" s="32" t="s">
        <v>3610</v>
      </c>
    </row>
    <row r="2852" ht="16.5" customHeight="1">
      <c r="A2852" s="32">
        <v>2851.0</v>
      </c>
      <c r="B2852" s="32" t="s">
        <v>3611</v>
      </c>
      <c r="C2852" s="32" t="s">
        <v>184</v>
      </c>
      <c r="D2852" s="32" t="s">
        <v>254</v>
      </c>
      <c r="E2852" s="32" t="s">
        <v>255</v>
      </c>
    </row>
    <row r="2853" ht="16.5" customHeight="1">
      <c r="A2853" s="32">
        <v>2852.0</v>
      </c>
      <c r="B2853" s="32" t="s">
        <v>3612</v>
      </c>
      <c r="C2853" s="32" t="s">
        <v>184</v>
      </c>
      <c r="D2853" s="32" t="s">
        <v>219</v>
      </c>
      <c r="E2853" s="32" t="s">
        <v>396</v>
      </c>
      <c r="F2853" s="32" t="s">
        <v>217</v>
      </c>
      <c r="G2853" s="32" t="s">
        <v>216</v>
      </c>
    </row>
    <row r="2854" ht="16.5" customHeight="1">
      <c r="A2854" s="32">
        <v>2853.0</v>
      </c>
      <c r="B2854" s="32" t="s">
        <v>3613</v>
      </c>
      <c r="C2854" s="32" t="s">
        <v>184</v>
      </c>
      <c r="D2854" s="32" t="s">
        <v>254</v>
      </c>
      <c r="E2854" s="32" t="s">
        <v>255</v>
      </c>
      <c r="F2854" s="32" t="s">
        <v>2868</v>
      </c>
      <c r="G2854" s="32" t="s">
        <v>1306</v>
      </c>
    </row>
    <row r="2855" ht="16.5" customHeight="1">
      <c r="A2855" s="32">
        <v>2854.0</v>
      </c>
      <c r="B2855" s="32" t="s">
        <v>3614</v>
      </c>
      <c r="C2855" s="32" t="s">
        <v>184</v>
      </c>
      <c r="D2855" s="32" t="s">
        <v>351</v>
      </c>
      <c r="E2855" s="32" t="s">
        <v>255</v>
      </c>
    </row>
    <row r="2856" ht="16.5" customHeight="1">
      <c r="A2856" s="32">
        <v>2855.0</v>
      </c>
      <c r="B2856" s="32" t="s">
        <v>3615</v>
      </c>
      <c r="C2856" s="32" t="s">
        <v>184</v>
      </c>
      <c r="D2856" s="32" t="s">
        <v>185</v>
      </c>
      <c r="E2856" s="32" t="s">
        <v>255</v>
      </c>
      <c r="F2856" s="32" t="s">
        <v>3616</v>
      </c>
      <c r="G2856" s="32" t="s">
        <v>3617</v>
      </c>
    </row>
    <row r="2857" ht="16.5" customHeight="1">
      <c r="A2857" s="32">
        <v>2856.0</v>
      </c>
      <c r="B2857" s="32" t="s">
        <v>3618</v>
      </c>
      <c r="C2857" s="32" t="s">
        <v>184</v>
      </c>
      <c r="D2857" s="32" t="s">
        <v>219</v>
      </c>
      <c r="E2857" s="32" t="s">
        <v>255</v>
      </c>
      <c r="F2857" s="32" t="s">
        <v>241</v>
      </c>
      <c r="G2857" s="32" t="s">
        <v>292</v>
      </c>
    </row>
    <row r="2858" ht="16.5" customHeight="1">
      <c r="A2858" s="32">
        <v>2857.0</v>
      </c>
      <c r="B2858" s="32" t="s">
        <v>3619</v>
      </c>
      <c r="C2858" s="32" t="s">
        <v>184</v>
      </c>
      <c r="D2858" s="32" t="s">
        <v>219</v>
      </c>
      <c r="E2858" s="32" t="s">
        <v>255</v>
      </c>
      <c r="F2858" s="32" t="s">
        <v>216</v>
      </c>
      <c r="G2858" s="32" t="s">
        <v>217</v>
      </c>
    </row>
    <row r="2859" ht="16.5" customHeight="1">
      <c r="A2859" s="32">
        <v>2858.0</v>
      </c>
      <c r="B2859" s="32" t="s">
        <v>3620</v>
      </c>
      <c r="C2859" s="32" t="s">
        <v>184</v>
      </c>
      <c r="D2859" s="32" t="s">
        <v>254</v>
      </c>
      <c r="E2859" s="32" t="s">
        <v>255</v>
      </c>
      <c r="F2859" s="32" t="s">
        <v>257</v>
      </c>
      <c r="G2859" s="32" t="s">
        <v>256</v>
      </c>
    </row>
    <row r="2860" ht="16.5" customHeight="1">
      <c r="A2860" s="32">
        <v>2859.0</v>
      </c>
      <c r="B2860" s="32" t="s">
        <v>3621</v>
      </c>
      <c r="C2860" s="32" t="s">
        <v>184</v>
      </c>
      <c r="D2860" s="32" t="s">
        <v>254</v>
      </c>
      <c r="E2860" s="32" t="s">
        <v>255</v>
      </c>
    </row>
    <row r="2861" ht="16.5" customHeight="1">
      <c r="A2861" s="32">
        <v>2860.0</v>
      </c>
      <c r="B2861" s="32" t="s">
        <v>3622</v>
      </c>
      <c r="C2861" s="32" t="s">
        <v>184</v>
      </c>
      <c r="D2861" s="32" t="s">
        <v>234</v>
      </c>
      <c r="E2861" s="32" t="s">
        <v>255</v>
      </c>
    </row>
    <row r="2862" ht="16.5" customHeight="1">
      <c r="A2862" s="32">
        <v>2861.0</v>
      </c>
      <c r="B2862" s="32" t="s">
        <v>3623</v>
      </c>
      <c r="C2862" s="32" t="s">
        <v>184</v>
      </c>
      <c r="D2862" s="32" t="s">
        <v>185</v>
      </c>
      <c r="E2862" s="32" t="s">
        <v>255</v>
      </c>
      <c r="F2862" s="32" t="s">
        <v>275</v>
      </c>
      <c r="G2862" s="32" t="s">
        <v>2412</v>
      </c>
    </row>
    <row r="2863" ht="16.5" customHeight="1">
      <c r="A2863" s="32">
        <v>2862.0</v>
      </c>
      <c r="B2863" s="32" t="s">
        <v>3624</v>
      </c>
      <c r="C2863" s="32" t="s">
        <v>184</v>
      </c>
      <c r="D2863" s="32" t="s">
        <v>185</v>
      </c>
      <c r="E2863" s="32" t="s">
        <v>255</v>
      </c>
      <c r="F2863" s="32" t="s">
        <v>275</v>
      </c>
      <c r="G2863" s="32" t="s">
        <v>2412</v>
      </c>
    </row>
    <row r="2864" ht="16.5" customHeight="1">
      <c r="A2864" s="32">
        <v>2863.0</v>
      </c>
      <c r="B2864" s="32" t="s">
        <v>3625</v>
      </c>
      <c r="C2864" s="32" t="s">
        <v>184</v>
      </c>
      <c r="D2864" s="32" t="s">
        <v>192</v>
      </c>
      <c r="E2864" s="32" t="s">
        <v>255</v>
      </c>
      <c r="F2864" s="32" t="s">
        <v>3626</v>
      </c>
      <c r="G2864" s="32" t="s">
        <v>408</v>
      </c>
    </row>
    <row r="2865" ht="16.5" customHeight="1">
      <c r="A2865" s="32">
        <v>2864.0</v>
      </c>
      <c r="B2865" s="32" t="s">
        <v>3627</v>
      </c>
      <c r="C2865" s="32" t="s">
        <v>184</v>
      </c>
      <c r="D2865" s="32" t="s">
        <v>185</v>
      </c>
      <c r="E2865" s="32" t="s">
        <v>255</v>
      </c>
      <c r="F2865" s="32" t="s">
        <v>271</v>
      </c>
      <c r="G2865" s="32" t="s">
        <v>3552</v>
      </c>
    </row>
    <row r="2866" ht="16.5" customHeight="1">
      <c r="A2866" s="32">
        <v>2865.0</v>
      </c>
      <c r="B2866" s="32" t="s">
        <v>3628</v>
      </c>
      <c r="C2866" s="32" t="s">
        <v>184</v>
      </c>
      <c r="D2866" s="32" t="s">
        <v>185</v>
      </c>
      <c r="E2866" s="32" t="s">
        <v>399</v>
      </c>
      <c r="F2866" s="32" t="s">
        <v>187</v>
      </c>
      <c r="G2866" s="32" t="s">
        <v>188</v>
      </c>
    </row>
    <row r="2867" ht="16.5" customHeight="1">
      <c r="A2867" s="32">
        <v>2866.0</v>
      </c>
      <c r="B2867" s="32" t="s">
        <v>3629</v>
      </c>
      <c r="C2867" s="32" t="s">
        <v>184</v>
      </c>
      <c r="D2867" s="32" t="s">
        <v>185</v>
      </c>
      <c r="E2867" s="32" t="s">
        <v>399</v>
      </c>
      <c r="F2867" s="32" t="s">
        <v>187</v>
      </c>
      <c r="G2867" s="32" t="s">
        <v>188</v>
      </c>
    </row>
    <row r="2868" ht="16.5" customHeight="1">
      <c r="A2868" s="32">
        <v>2867.0</v>
      </c>
      <c r="B2868" s="32" t="s">
        <v>3630</v>
      </c>
      <c r="C2868" s="32" t="s">
        <v>184</v>
      </c>
      <c r="D2868" s="32" t="s">
        <v>185</v>
      </c>
      <c r="E2868" s="32" t="s">
        <v>255</v>
      </c>
      <c r="F2868" s="32" t="s">
        <v>271</v>
      </c>
      <c r="G2868" s="32" t="s">
        <v>566</v>
      </c>
    </row>
    <row r="2869" ht="16.5" customHeight="1">
      <c r="A2869" s="32">
        <v>2868.0</v>
      </c>
      <c r="B2869" s="32" t="s">
        <v>3631</v>
      </c>
      <c r="C2869" s="32" t="s">
        <v>184</v>
      </c>
      <c r="D2869" s="32" t="s">
        <v>254</v>
      </c>
      <c r="E2869" s="32" t="s">
        <v>255</v>
      </c>
    </row>
    <row r="2870" ht="16.5" customHeight="1">
      <c r="A2870" s="32">
        <v>2869.0</v>
      </c>
      <c r="B2870" s="32" t="s">
        <v>3632</v>
      </c>
      <c r="C2870" s="32" t="s">
        <v>184</v>
      </c>
      <c r="D2870" s="32" t="s">
        <v>192</v>
      </c>
      <c r="E2870" s="32" t="s">
        <v>255</v>
      </c>
      <c r="F2870" s="32" t="s">
        <v>404</v>
      </c>
      <c r="G2870" s="32" t="s">
        <v>447</v>
      </c>
    </row>
    <row r="2871" ht="16.5" customHeight="1">
      <c r="A2871" s="32">
        <v>2870.0</v>
      </c>
      <c r="B2871" s="32" t="s">
        <v>3633</v>
      </c>
      <c r="C2871" s="32" t="s">
        <v>184</v>
      </c>
      <c r="D2871" s="32" t="s">
        <v>254</v>
      </c>
      <c r="E2871" s="32" t="s">
        <v>255</v>
      </c>
      <c r="F2871" s="32" t="s">
        <v>3634</v>
      </c>
      <c r="G2871" s="32" t="s">
        <v>3635</v>
      </c>
    </row>
    <row r="2872" ht="16.5" customHeight="1">
      <c r="A2872" s="32">
        <v>2871.0</v>
      </c>
      <c r="B2872" s="32" t="s">
        <v>3636</v>
      </c>
      <c r="C2872" s="32" t="s">
        <v>184</v>
      </c>
      <c r="D2872" s="32" t="s">
        <v>254</v>
      </c>
      <c r="E2872" s="32" t="s">
        <v>255</v>
      </c>
    </row>
    <row r="2873" ht="16.5" customHeight="1">
      <c r="A2873" s="32">
        <v>2872.0</v>
      </c>
      <c r="B2873" s="32" t="s">
        <v>3637</v>
      </c>
      <c r="C2873" s="32" t="s">
        <v>184</v>
      </c>
      <c r="D2873" s="32" t="s">
        <v>254</v>
      </c>
      <c r="E2873" s="32" t="s">
        <v>255</v>
      </c>
      <c r="F2873" s="32" t="s">
        <v>305</v>
      </c>
      <c r="G2873" s="32" t="s">
        <v>600</v>
      </c>
    </row>
    <row r="2874" ht="16.5" customHeight="1">
      <c r="A2874" s="32">
        <v>2873.0</v>
      </c>
      <c r="B2874" s="32" t="s">
        <v>3638</v>
      </c>
      <c r="C2874" s="32" t="s">
        <v>184</v>
      </c>
      <c r="D2874" s="32" t="s">
        <v>254</v>
      </c>
      <c r="E2874" s="32" t="s">
        <v>255</v>
      </c>
      <c r="F2874" s="32" t="s">
        <v>305</v>
      </c>
    </row>
    <row r="2875" ht="16.5" customHeight="1">
      <c r="A2875" s="32">
        <v>2874.0</v>
      </c>
      <c r="B2875" s="32" t="s">
        <v>3639</v>
      </c>
      <c r="C2875" s="32" t="s">
        <v>184</v>
      </c>
      <c r="D2875" s="32" t="s">
        <v>254</v>
      </c>
      <c r="E2875" s="32" t="s">
        <v>255</v>
      </c>
      <c r="F2875" s="32" t="s">
        <v>305</v>
      </c>
      <c r="G2875" s="32" t="s">
        <v>600</v>
      </c>
    </row>
    <row r="2876" ht="16.5" customHeight="1">
      <c r="A2876" s="32">
        <v>2875.0</v>
      </c>
      <c r="B2876" s="32" t="s">
        <v>3640</v>
      </c>
      <c r="C2876" s="32" t="s">
        <v>184</v>
      </c>
      <c r="D2876" s="35" t="s">
        <v>310</v>
      </c>
      <c r="E2876" s="32" t="s">
        <v>255</v>
      </c>
      <c r="F2876" s="32" t="s">
        <v>263</v>
      </c>
      <c r="G2876" s="32" t="s">
        <v>3641</v>
      </c>
    </row>
    <row r="2877" ht="16.5" customHeight="1">
      <c r="A2877" s="32">
        <v>2876.0</v>
      </c>
      <c r="B2877" s="32" t="s">
        <v>3642</v>
      </c>
      <c r="C2877" s="32" t="s">
        <v>184</v>
      </c>
      <c r="D2877" s="32" t="s">
        <v>254</v>
      </c>
      <c r="E2877" s="32" t="s">
        <v>255</v>
      </c>
      <c r="F2877" s="32" t="s">
        <v>256</v>
      </c>
      <c r="G2877" s="32" t="s">
        <v>3643</v>
      </c>
    </row>
    <row r="2878" ht="16.5" customHeight="1">
      <c r="A2878" s="32">
        <v>2877.0</v>
      </c>
      <c r="B2878" s="32" t="s">
        <v>3644</v>
      </c>
      <c r="C2878" s="32" t="s">
        <v>184</v>
      </c>
      <c r="D2878" s="32" t="s">
        <v>254</v>
      </c>
      <c r="E2878" s="32" t="s">
        <v>255</v>
      </c>
    </row>
    <row r="2879" ht="16.5" customHeight="1">
      <c r="A2879" s="32">
        <v>2878.0</v>
      </c>
      <c r="B2879" s="32" t="s">
        <v>3644</v>
      </c>
      <c r="C2879" s="32" t="s">
        <v>184</v>
      </c>
      <c r="D2879" s="32" t="s">
        <v>254</v>
      </c>
      <c r="E2879" s="32" t="s">
        <v>255</v>
      </c>
    </row>
    <row r="2880" ht="16.5" customHeight="1">
      <c r="A2880" s="32">
        <v>2879.0</v>
      </c>
      <c r="B2880" s="32" t="s">
        <v>3645</v>
      </c>
      <c r="C2880" s="32" t="s">
        <v>184</v>
      </c>
      <c r="D2880" s="32" t="s">
        <v>185</v>
      </c>
      <c r="E2880" s="32" t="s">
        <v>255</v>
      </c>
      <c r="F2880" s="32" t="s">
        <v>305</v>
      </c>
      <c r="G2880" s="32" t="s">
        <v>289</v>
      </c>
    </row>
    <row r="2881" ht="16.5" customHeight="1">
      <c r="A2881" s="32">
        <v>2880.0</v>
      </c>
      <c r="B2881" s="32" t="s">
        <v>3646</v>
      </c>
      <c r="C2881" s="32" t="s">
        <v>184</v>
      </c>
      <c r="D2881" s="32" t="s">
        <v>185</v>
      </c>
      <c r="E2881" s="32" t="s">
        <v>255</v>
      </c>
      <c r="F2881" s="32" t="s">
        <v>271</v>
      </c>
      <c r="G2881" s="32" t="s">
        <v>3322</v>
      </c>
    </row>
    <row r="2882" ht="16.5" customHeight="1">
      <c r="A2882" s="32">
        <v>2881.0</v>
      </c>
      <c r="B2882" s="32" t="s">
        <v>3647</v>
      </c>
      <c r="C2882" s="32" t="s">
        <v>184</v>
      </c>
      <c r="D2882" s="32" t="s">
        <v>254</v>
      </c>
      <c r="E2882" s="32" t="s">
        <v>255</v>
      </c>
      <c r="F2882" s="32" t="s">
        <v>305</v>
      </c>
      <c r="G2882" s="32" t="s">
        <v>3648</v>
      </c>
    </row>
    <row r="2883" ht="16.5" customHeight="1">
      <c r="A2883" s="32">
        <v>2882.0</v>
      </c>
      <c r="B2883" s="32" t="s">
        <v>3649</v>
      </c>
      <c r="C2883" s="32" t="s">
        <v>184</v>
      </c>
      <c r="D2883" s="32" t="s">
        <v>254</v>
      </c>
      <c r="E2883" s="32" t="s">
        <v>255</v>
      </c>
      <c r="F2883" s="32" t="s">
        <v>305</v>
      </c>
      <c r="G2883" s="32" t="s">
        <v>371</v>
      </c>
    </row>
    <row r="2884" ht="16.5" customHeight="1">
      <c r="A2884" s="32">
        <v>2883.0</v>
      </c>
      <c r="B2884" s="32" t="s">
        <v>3650</v>
      </c>
      <c r="C2884" s="32" t="s">
        <v>184</v>
      </c>
      <c r="D2884" s="32" t="s">
        <v>192</v>
      </c>
      <c r="E2884" s="32" t="s">
        <v>255</v>
      </c>
    </row>
    <row r="2885" ht="16.5" customHeight="1">
      <c r="A2885" s="32">
        <v>2884.0</v>
      </c>
      <c r="B2885" s="32" t="s">
        <v>3651</v>
      </c>
      <c r="C2885" s="32" t="s">
        <v>184</v>
      </c>
      <c r="D2885" s="32" t="s">
        <v>192</v>
      </c>
      <c r="E2885" s="32" t="s">
        <v>255</v>
      </c>
    </row>
    <row r="2886" ht="16.5" customHeight="1">
      <c r="A2886" s="32">
        <v>2885.0</v>
      </c>
      <c r="B2886" s="32" t="s">
        <v>3652</v>
      </c>
      <c r="C2886" s="32" t="s">
        <v>184</v>
      </c>
      <c r="D2886" s="32" t="s">
        <v>192</v>
      </c>
      <c r="E2886" s="32" t="s">
        <v>255</v>
      </c>
    </row>
    <row r="2887" ht="16.5" customHeight="1">
      <c r="A2887" s="32">
        <v>2886.0</v>
      </c>
      <c r="B2887" s="32" t="s">
        <v>3653</v>
      </c>
      <c r="C2887" s="32" t="s">
        <v>184</v>
      </c>
      <c r="D2887" s="32" t="s">
        <v>192</v>
      </c>
      <c r="E2887" s="32" t="s">
        <v>255</v>
      </c>
    </row>
    <row r="2888" ht="16.5" customHeight="1">
      <c r="A2888" s="32">
        <v>2887.0</v>
      </c>
      <c r="B2888" s="32" t="s">
        <v>3654</v>
      </c>
      <c r="C2888" s="32" t="s">
        <v>184</v>
      </c>
      <c r="D2888" s="32" t="s">
        <v>192</v>
      </c>
      <c r="E2888" s="32" t="s">
        <v>255</v>
      </c>
    </row>
    <row r="2889" ht="16.5" customHeight="1">
      <c r="A2889" s="32">
        <v>2888.0</v>
      </c>
      <c r="B2889" s="32" t="s">
        <v>3655</v>
      </c>
      <c r="C2889" s="32" t="s">
        <v>184</v>
      </c>
      <c r="D2889" s="32" t="s">
        <v>228</v>
      </c>
      <c r="E2889" s="32" t="s">
        <v>255</v>
      </c>
      <c r="F2889" s="32" t="s">
        <v>408</v>
      </c>
      <c r="G2889" s="32" t="s">
        <v>731</v>
      </c>
    </row>
    <row r="2890" ht="16.5" customHeight="1">
      <c r="A2890" s="32">
        <v>2889.0</v>
      </c>
      <c r="B2890" s="32" t="s">
        <v>3656</v>
      </c>
      <c r="C2890" s="32" t="s">
        <v>184</v>
      </c>
      <c r="D2890" s="32" t="s">
        <v>254</v>
      </c>
      <c r="E2890" s="32" t="s">
        <v>255</v>
      </c>
      <c r="F2890" s="32" t="s">
        <v>305</v>
      </c>
      <c r="G2890" s="32" t="s">
        <v>2482</v>
      </c>
    </row>
    <row r="2891" ht="16.5" customHeight="1">
      <c r="A2891" s="32">
        <v>2890.0</v>
      </c>
      <c r="B2891" s="32" t="s">
        <v>3657</v>
      </c>
      <c r="C2891" s="32" t="s">
        <v>184</v>
      </c>
      <c r="D2891" s="32" t="s">
        <v>185</v>
      </c>
      <c r="E2891" s="32" t="s">
        <v>255</v>
      </c>
      <c r="F2891" s="32" t="s">
        <v>271</v>
      </c>
      <c r="G2891" s="32" t="s">
        <v>303</v>
      </c>
    </row>
    <row r="2892" ht="16.5" customHeight="1">
      <c r="A2892" s="32">
        <v>2891.0</v>
      </c>
      <c r="B2892" s="32" t="s">
        <v>3658</v>
      </c>
      <c r="C2892" s="32" t="s">
        <v>184</v>
      </c>
      <c r="D2892" s="32" t="s">
        <v>185</v>
      </c>
      <c r="E2892" s="32" t="s">
        <v>255</v>
      </c>
      <c r="F2892" s="32" t="s">
        <v>3634</v>
      </c>
      <c r="G2892" s="32" t="s">
        <v>3659</v>
      </c>
    </row>
    <row r="2893" ht="16.5" customHeight="1">
      <c r="A2893" s="32">
        <v>2892.0</v>
      </c>
      <c r="B2893" s="32" t="s">
        <v>3660</v>
      </c>
      <c r="C2893" s="32" t="s">
        <v>184</v>
      </c>
      <c r="D2893" s="32" t="s">
        <v>185</v>
      </c>
      <c r="E2893" s="32" t="s">
        <v>255</v>
      </c>
      <c r="F2893" s="32" t="s">
        <v>271</v>
      </c>
      <c r="G2893" s="32" t="s">
        <v>563</v>
      </c>
    </row>
    <row r="2894" ht="16.5" customHeight="1">
      <c r="A2894" s="32">
        <v>2893.0</v>
      </c>
      <c r="B2894" s="32" t="s">
        <v>3661</v>
      </c>
      <c r="C2894" s="32" t="s">
        <v>184</v>
      </c>
      <c r="D2894" s="32" t="s">
        <v>185</v>
      </c>
      <c r="E2894" s="32" t="s">
        <v>255</v>
      </c>
      <c r="F2894" s="32" t="s">
        <v>271</v>
      </c>
      <c r="G2894" s="32" t="s">
        <v>566</v>
      </c>
    </row>
    <row r="2895" ht="16.5" customHeight="1">
      <c r="A2895" s="32">
        <v>2894.0</v>
      </c>
      <c r="B2895" s="32" t="s">
        <v>3662</v>
      </c>
      <c r="C2895" s="32" t="s">
        <v>184</v>
      </c>
      <c r="D2895" s="32" t="s">
        <v>214</v>
      </c>
      <c r="E2895" s="32" t="s">
        <v>255</v>
      </c>
      <c r="F2895" s="32" t="s">
        <v>216</v>
      </c>
      <c r="G2895" s="32" t="s">
        <v>217</v>
      </c>
    </row>
    <row r="2896" ht="16.5" customHeight="1">
      <c r="A2896" s="32">
        <v>2895.0</v>
      </c>
      <c r="B2896" s="32" t="s">
        <v>3663</v>
      </c>
      <c r="C2896" s="32" t="s">
        <v>184</v>
      </c>
      <c r="D2896" s="32" t="s">
        <v>285</v>
      </c>
      <c r="E2896" s="32" t="s">
        <v>255</v>
      </c>
    </row>
    <row r="2897" ht="16.5" customHeight="1">
      <c r="A2897" s="32">
        <v>2896.0</v>
      </c>
      <c r="B2897" s="32" t="s">
        <v>3664</v>
      </c>
      <c r="C2897" s="32" t="s">
        <v>184</v>
      </c>
      <c r="D2897" s="35" t="s">
        <v>310</v>
      </c>
      <c r="E2897" s="32" t="s">
        <v>255</v>
      </c>
      <c r="F2897" s="32" t="s">
        <v>2868</v>
      </c>
      <c r="G2897" s="32" t="s">
        <v>1204</v>
      </c>
    </row>
    <row r="2898" ht="16.5" customHeight="1">
      <c r="A2898" s="32">
        <v>2897.0</v>
      </c>
      <c r="B2898" s="32" t="s">
        <v>3665</v>
      </c>
      <c r="C2898" s="32" t="s">
        <v>184</v>
      </c>
      <c r="D2898" s="32" t="s">
        <v>185</v>
      </c>
      <c r="E2898" s="32" t="s">
        <v>255</v>
      </c>
      <c r="F2898" s="32" t="s">
        <v>271</v>
      </c>
      <c r="G2898" s="32" t="s">
        <v>566</v>
      </c>
    </row>
    <row r="2899" ht="16.5" customHeight="1">
      <c r="A2899" s="32">
        <v>2898.0</v>
      </c>
      <c r="B2899" s="32" t="s">
        <v>3666</v>
      </c>
      <c r="C2899" s="32" t="s">
        <v>184</v>
      </c>
      <c r="D2899" s="32" t="s">
        <v>234</v>
      </c>
      <c r="E2899" s="32" t="s">
        <v>346</v>
      </c>
      <c r="F2899" s="32" t="s">
        <v>347</v>
      </c>
      <c r="G2899" s="32" t="s">
        <v>382</v>
      </c>
    </row>
    <row r="2900" ht="16.5" customHeight="1">
      <c r="A2900" s="32">
        <v>2899.0</v>
      </c>
      <c r="B2900" s="32" t="s">
        <v>3667</v>
      </c>
      <c r="C2900" s="32" t="s">
        <v>184</v>
      </c>
      <c r="D2900" s="32" t="s">
        <v>285</v>
      </c>
      <c r="E2900" s="32" t="s">
        <v>255</v>
      </c>
      <c r="F2900" s="32" t="s">
        <v>189</v>
      </c>
      <c r="G2900" s="32" t="s">
        <v>190</v>
      </c>
    </row>
    <row r="2901" ht="16.5" customHeight="1">
      <c r="A2901" s="32">
        <v>2900.0</v>
      </c>
      <c r="B2901" s="32" t="s">
        <v>3668</v>
      </c>
      <c r="C2901" s="32" t="s">
        <v>184</v>
      </c>
      <c r="D2901" s="32" t="s">
        <v>1162</v>
      </c>
      <c r="E2901" s="32" t="s">
        <v>255</v>
      </c>
    </row>
    <row r="2902" ht="16.5" customHeight="1">
      <c r="A2902" s="32">
        <v>2901.0</v>
      </c>
      <c r="B2902" s="32" t="s">
        <v>3669</v>
      </c>
      <c r="C2902" s="32" t="s">
        <v>184</v>
      </c>
      <c r="D2902" s="32" t="s">
        <v>228</v>
      </c>
      <c r="E2902" s="32" t="s">
        <v>373</v>
      </c>
    </row>
    <row r="2903" ht="16.5" customHeight="1">
      <c r="A2903" s="32">
        <v>2902.0</v>
      </c>
      <c r="B2903" s="32" t="s">
        <v>3670</v>
      </c>
      <c r="C2903" s="32" t="s">
        <v>184</v>
      </c>
      <c r="D2903" s="32" t="s">
        <v>185</v>
      </c>
      <c r="E2903" s="32" t="s">
        <v>373</v>
      </c>
      <c r="F2903" s="32" t="s">
        <v>1114</v>
      </c>
    </row>
    <row r="2904" ht="16.5" customHeight="1">
      <c r="A2904" s="32">
        <v>2903.0</v>
      </c>
      <c r="B2904" s="32" t="s">
        <v>3671</v>
      </c>
      <c r="C2904" s="32" t="s">
        <v>184</v>
      </c>
      <c r="D2904" s="32" t="s">
        <v>192</v>
      </c>
      <c r="E2904" s="32" t="s">
        <v>373</v>
      </c>
      <c r="F2904" s="32" t="s">
        <v>3672</v>
      </c>
      <c r="G2904" s="32" t="s">
        <v>3673</v>
      </c>
    </row>
    <row r="2905" ht="16.5" customHeight="1">
      <c r="A2905" s="32">
        <v>2904.0</v>
      </c>
      <c r="B2905" s="32" t="s">
        <v>3674</v>
      </c>
      <c r="C2905" s="32" t="s">
        <v>184</v>
      </c>
      <c r="D2905" s="32" t="s">
        <v>234</v>
      </c>
      <c r="E2905" s="32" t="s">
        <v>373</v>
      </c>
      <c r="F2905" s="32" t="s">
        <v>347</v>
      </c>
      <c r="G2905" s="32" t="s">
        <v>382</v>
      </c>
    </row>
    <row r="2906" ht="16.5" customHeight="1">
      <c r="A2906" s="32">
        <v>2905.0</v>
      </c>
      <c r="B2906" s="32" t="s">
        <v>3675</v>
      </c>
      <c r="C2906" s="32" t="s">
        <v>184</v>
      </c>
      <c r="D2906" s="32" t="s">
        <v>234</v>
      </c>
      <c r="E2906" s="32" t="s">
        <v>373</v>
      </c>
    </row>
    <row r="2907" ht="16.5" customHeight="1">
      <c r="A2907" s="32">
        <v>2906.0</v>
      </c>
      <c r="B2907" s="32" t="s">
        <v>3676</v>
      </c>
      <c r="C2907" s="32" t="s">
        <v>184</v>
      </c>
      <c r="D2907" s="32" t="s">
        <v>234</v>
      </c>
      <c r="E2907" s="32" t="s">
        <v>373</v>
      </c>
      <c r="F2907" s="32" t="s">
        <v>347</v>
      </c>
      <c r="G2907" s="32" t="s">
        <v>3677</v>
      </c>
    </row>
    <row r="2908" ht="16.5" customHeight="1">
      <c r="A2908" s="32">
        <v>2907.0</v>
      </c>
      <c r="B2908" s="32" t="s">
        <v>3678</v>
      </c>
      <c r="C2908" s="32" t="s">
        <v>184</v>
      </c>
      <c r="D2908" s="32" t="s">
        <v>234</v>
      </c>
      <c r="E2908" s="32" t="s">
        <v>373</v>
      </c>
      <c r="F2908" s="32" t="s">
        <v>347</v>
      </c>
      <c r="G2908" s="32" t="s">
        <v>3679</v>
      </c>
    </row>
    <row r="2909" ht="16.5" customHeight="1">
      <c r="A2909" s="32">
        <v>2908.0</v>
      </c>
      <c r="B2909" s="32" t="s">
        <v>823</v>
      </c>
      <c r="C2909" s="32" t="s">
        <v>184</v>
      </c>
      <c r="D2909" s="32" t="s">
        <v>234</v>
      </c>
      <c r="E2909" s="32" t="s">
        <v>373</v>
      </c>
      <c r="F2909" s="32" t="s">
        <v>347</v>
      </c>
      <c r="G2909" s="32" t="s">
        <v>3680</v>
      </c>
    </row>
    <row r="2910" ht="16.5" customHeight="1">
      <c r="A2910" s="32">
        <v>2909.0</v>
      </c>
      <c r="B2910" s="32" t="s">
        <v>3681</v>
      </c>
      <c r="C2910" s="32" t="s">
        <v>184</v>
      </c>
      <c r="D2910" s="32" t="s">
        <v>234</v>
      </c>
      <c r="E2910" s="32" t="s">
        <v>373</v>
      </c>
      <c r="F2910" s="32" t="s">
        <v>347</v>
      </c>
      <c r="G2910" s="32" t="s">
        <v>3673</v>
      </c>
    </row>
    <row r="2911" ht="16.5" customHeight="1">
      <c r="A2911" s="32">
        <v>2910.0</v>
      </c>
      <c r="B2911" s="32" t="s">
        <v>3682</v>
      </c>
      <c r="C2911" s="32" t="s">
        <v>184</v>
      </c>
      <c r="D2911" s="32" t="s">
        <v>219</v>
      </c>
      <c r="E2911" s="32" t="s">
        <v>373</v>
      </c>
      <c r="F2911" s="32" t="s">
        <v>223</v>
      </c>
      <c r="G2911" s="32" t="s">
        <v>472</v>
      </c>
    </row>
    <row r="2912" ht="16.5" customHeight="1">
      <c r="A2912" s="32">
        <v>2911.0</v>
      </c>
      <c r="B2912" s="32" t="s">
        <v>3683</v>
      </c>
      <c r="C2912" s="32" t="s">
        <v>184</v>
      </c>
      <c r="D2912" s="32" t="s">
        <v>254</v>
      </c>
      <c r="E2912" s="32" t="s">
        <v>373</v>
      </c>
    </row>
    <row r="2913" ht="16.5" customHeight="1">
      <c r="A2913" s="32">
        <v>2912.0</v>
      </c>
      <c r="B2913" s="32" t="s">
        <v>3684</v>
      </c>
      <c r="C2913" s="32" t="s">
        <v>184</v>
      </c>
      <c r="D2913" s="32" t="s">
        <v>234</v>
      </c>
      <c r="E2913" s="32" t="s">
        <v>373</v>
      </c>
    </row>
    <row r="2914" ht="16.5" customHeight="1">
      <c r="A2914" s="32">
        <v>2913.0</v>
      </c>
      <c r="B2914" s="32" t="s">
        <v>3685</v>
      </c>
      <c r="C2914" s="32" t="s">
        <v>184</v>
      </c>
      <c r="D2914" s="35" t="s">
        <v>3686</v>
      </c>
      <c r="E2914" s="32" t="s">
        <v>373</v>
      </c>
      <c r="F2914" s="32" t="s">
        <v>2779</v>
      </c>
      <c r="G2914" s="32" t="s">
        <v>3687</v>
      </c>
    </row>
    <row r="2915" ht="16.5" customHeight="1">
      <c r="A2915" s="32">
        <v>2914.0</v>
      </c>
      <c r="B2915" s="32" t="s">
        <v>3688</v>
      </c>
      <c r="C2915" s="32" t="s">
        <v>184</v>
      </c>
      <c r="D2915" s="32" t="s">
        <v>254</v>
      </c>
      <c r="E2915" s="32" t="s">
        <v>373</v>
      </c>
      <c r="F2915" s="32" t="s">
        <v>305</v>
      </c>
      <c r="G2915" s="32" t="s">
        <v>1306</v>
      </c>
    </row>
    <row r="2916" ht="16.5" customHeight="1">
      <c r="A2916" s="32">
        <v>2915.0</v>
      </c>
      <c r="B2916" s="32" t="s">
        <v>3689</v>
      </c>
      <c r="C2916" s="32" t="s">
        <v>184</v>
      </c>
      <c r="D2916" s="32" t="s">
        <v>192</v>
      </c>
      <c r="E2916" s="32" t="s">
        <v>373</v>
      </c>
      <c r="F2916" s="32" t="s">
        <v>329</v>
      </c>
      <c r="G2916" s="32" t="s">
        <v>3690</v>
      </c>
    </row>
    <row r="2917" ht="16.5" customHeight="1">
      <c r="A2917" s="32">
        <v>2916.0</v>
      </c>
      <c r="B2917" s="32" t="s">
        <v>3691</v>
      </c>
      <c r="C2917" s="32" t="s">
        <v>184</v>
      </c>
      <c r="D2917" s="35" t="s">
        <v>310</v>
      </c>
      <c r="E2917" s="32" t="s">
        <v>373</v>
      </c>
      <c r="F2917" s="32" t="s">
        <v>1230</v>
      </c>
      <c r="G2917" s="32" t="s">
        <v>3692</v>
      </c>
    </row>
    <row r="2918" ht="16.5" customHeight="1">
      <c r="A2918" s="32">
        <v>2917.0</v>
      </c>
      <c r="B2918" s="32" t="s">
        <v>3693</v>
      </c>
      <c r="C2918" s="32" t="s">
        <v>184</v>
      </c>
      <c r="D2918" s="32" t="s">
        <v>254</v>
      </c>
      <c r="E2918" s="32" t="s">
        <v>373</v>
      </c>
    </row>
    <row r="2919" ht="16.5" customHeight="1">
      <c r="A2919" s="32">
        <v>2918.0</v>
      </c>
      <c r="B2919" s="32" t="s">
        <v>3694</v>
      </c>
      <c r="C2919" s="32" t="s">
        <v>184</v>
      </c>
      <c r="D2919" s="32" t="s">
        <v>254</v>
      </c>
      <c r="E2919" s="32" t="s">
        <v>373</v>
      </c>
    </row>
    <row r="2920" ht="16.5" customHeight="1">
      <c r="A2920" s="32">
        <v>2919.0</v>
      </c>
      <c r="B2920" s="32" t="s">
        <v>3695</v>
      </c>
      <c r="C2920" s="32" t="s">
        <v>184</v>
      </c>
      <c r="D2920" s="32" t="s">
        <v>185</v>
      </c>
      <c r="E2920" s="32" t="s">
        <v>373</v>
      </c>
    </row>
    <row r="2921" ht="16.5" customHeight="1">
      <c r="A2921" s="32">
        <v>2920.0</v>
      </c>
      <c r="B2921" s="32" t="s">
        <v>3696</v>
      </c>
      <c r="C2921" s="32" t="s">
        <v>184</v>
      </c>
      <c r="D2921" s="32" t="s">
        <v>254</v>
      </c>
      <c r="E2921" s="32" t="s">
        <v>373</v>
      </c>
      <c r="F2921" s="32" t="s">
        <v>305</v>
      </c>
      <c r="G2921" s="32" t="s">
        <v>3697</v>
      </c>
    </row>
    <row r="2922" ht="16.5" customHeight="1">
      <c r="A2922" s="32">
        <v>2921.0</v>
      </c>
      <c r="B2922" s="32" t="s">
        <v>3698</v>
      </c>
      <c r="C2922" s="32" t="s">
        <v>184</v>
      </c>
      <c r="D2922" s="35" t="s">
        <v>1894</v>
      </c>
      <c r="E2922" s="32" t="s">
        <v>373</v>
      </c>
      <c r="F2922" s="32" t="s">
        <v>2400</v>
      </c>
      <c r="G2922" s="32" t="s">
        <v>545</v>
      </c>
    </row>
    <row r="2923" ht="16.5" customHeight="1">
      <c r="A2923" s="32">
        <v>2922.0</v>
      </c>
      <c r="B2923" s="32" t="s">
        <v>3699</v>
      </c>
      <c r="C2923" s="32" t="s">
        <v>184</v>
      </c>
      <c r="D2923" s="32" t="s">
        <v>219</v>
      </c>
      <c r="E2923" s="32" t="s">
        <v>373</v>
      </c>
    </row>
    <row r="2924" ht="16.5" customHeight="1">
      <c r="A2924" s="32">
        <v>2923.0</v>
      </c>
      <c r="B2924" s="32" t="s">
        <v>3700</v>
      </c>
      <c r="C2924" s="32" t="s">
        <v>184</v>
      </c>
      <c r="D2924" s="32" t="s">
        <v>228</v>
      </c>
      <c r="E2924" s="32" t="s">
        <v>373</v>
      </c>
    </row>
    <row r="2925" ht="16.5" customHeight="1">
      <c r="A2925" s="32">
        <v>2924.0</v>
      </c>
      <c r="B2925" s="32" t="s">
        <v>3701</v>
      </c>
      <c r="C2925" s="32" t="s">
        <v>184</v>
      </c>
      <c r="D2925" s="32" t="s">
        <v>228</v>
      </c>
      <c r="E2925" s="32" t="s">
        <v>255</v>
      </c>
      <c r="F2925" s="32" t="s">
        <v>544</v>
      </c>
      <c r="G2925" s="32" t="s">
        <v>545</v>
      </c>
    </row>
    <row r="2926" ht="16.5" customHeight="1">
      <c r="A2926" s="32">
        <v>2925.0</v>
      </c>
      <c r="B2926" s="32" t="s">
        <v>3702</v>
      </c>
      <c r="C2926" s="32" t="s">
        <v>184</v>
      </c>
      <c r="D2926" s="32" t="s">
        <v>192</v>
      </c>
      <c r="E2926" s="32" t="s">
        <v>255</v>
      </c>
      <c r="F2926" s="32" t="s">
        <v>300</v>
      </c>
      <c r="G2926" s="32" t="s">
        <v>3703</v>
      </c>
    </row>
    <row r="2927" ht="16.5" customHeight="1">
      <c r="A2927" s="32">
        <v>2926.0</v>
      </c>
      <c r="B2927" s="32" t="s">
        <v>3704</v>
      </c>
      <c r="C2927" s="32" t="s">
        <v>184</v>
      </c>
      <c r="D2927" s="32" t="s">
        <v>214</v>
      </c>
      <c r="E2927" s="32" t="s">
        <v>255</v>
      </c>
      <c r="F2927" s="32" t="s">
        <v>3705</v>
      </c>
      <c r="G2927" s="32" t="s">
        <v>804</v>
      </c>
    </row>
    <row r="2928" ht="16.5" customHeight="1">
      <c r="A2928" s="32">
        <v>2927.0</v>
      </c>
      <c r="B2928" s="32" t="s">
        <v>3706</v>
      </c>
      <c r="C2928" s="32" t="s">
        <v>184</v>
      </c>
      <c r="D2928" s="32" t="s">
        <v>192</v>
      </c>
      <c r="E2928" s="32" t="s">
        <v>255</v>
      </c>
      <c r="F2928" s="32" t="s">
        <v>300</v>
      </c>
      <c r="G2928" s="32" t="s">
        <v>3707</v>
      </c>
    </row>
    <row r="2929" ht="16.5" customHeight="1">
      <c r="A2929" s="32">
        <v>2928.0</v>
      </c>
      <c r="B2929" s="32" t="s">
        <v>3708</v>
      </c>
      <c r="C2929" s="32" t="s">
        <v>184</v>
      </c>
      <c r="D2929" s="32" t="s">
        <v>192</v>
      </c>
      <c r="E2929" s="32" t="s">
        <v>255</v>
      </c>
      <c r="F2929" s="32" t="s">
        <v>3709</v>
      </c>
    </row>
    <row r="2930" ht="16.5" customHeight="1">
      <c r="A2930" s="32">
        <v>2929.0</v>
      </c>
      <c r="B2930" s="32" t="s">
        <v>3710</v>
      </c>
      <c r="C2930" s="32" t="s">
        <v>184</v>
      </c>
      <c r="D2930" s="32" t="s">
        <v>254</v>
      </c>
      <c r="E2930" s="32" t="s">
        <v>316</v>
      </c>
      <c r="F2930" s="32" t="s">
        <v>256</v>
      </c>
      <c r="G2930" s="32" t="s">
        <v>257</v>
      </c>
    </row>
    <row r="2931" ht="16.5" customHeight="1">
      <c r="A2931" s="32">
        <v>2930.0</v>
      </c>
      <c r="B2931" s="32" t="s">
        <v>3711</v>
      </c>
      <c r="C2931" s="32" t="s">
        <v>184</v>
      </c>
      <c r="D2931" s="32" t="s">
        <v>254</v>
      </c>
      <c r="E2931" s="32" t="s">
        <v>255</v>
      </c>
      <c r="F2931" s="32" t="s">
        <v>256</v>
      </c>
      <c r="G2931" s="32" t="s">
        <v>1316</v>
      </c>
    </row>
    <row r="2932" ht="16.5" customHeight="1">
      <c r="A2932" s="32">
        <v>2931.0</v>
      </c>
      <c r="B2932" s="32" t="s">
        <v>3712</v>
      </c>
      <c r="C2932" s="32" t="s">
        <v>184</v>
      </c>
      <c r="D2932" s="32" t="s">
        <v>219</v>
      </c>
      <c r="E2932" s="32" t="s">
        <v>399</v>
      </c>
      <c r="F2932" s="32" t="s">
        <v>223</v>
      </c>
      <c r="G2932" s="32" t="s">
        <v>472</v>
      </c>
    </row>
    <row r="2933" ht="16.5" customHeight="1">
      <c r="A2933" s="32">
        <v>2932.0</v>
      </c>
      <c r="B2933" s="32" t="s">
        <v>3713</v>
      </c>
      <c r="C2933" s="32" t="s">
        <v>184</v>
      </c>
      <c r="D2933" s="32" t="s">
        <v>192</v>
      </c>
      <c r="E2933" s="32" t="s">
        <v>255</v>
      </c>
      <c r="F2933" s="32" t="s">
        <v>329</v>
      </c>
      <c r="G2933" s="32" t="s">
        <v>357</v>
      </c>
    </row>
    <row r="2934" ht="16.5" customHeight="1">
      <c r="A2934" s="32">
        <v>2933.0</v>
      </c>
      <c r="B2934" s="32" t="s">
        <v>3714</v>
      </c>
      <c r="C2934" s="32" t="s">
        <v>184</v>
      </c>
      <c r="D2934" s="35" t="s">
        <v>294</v>
      </c>
      <c r="E2934" s="32" t="s">
        <v>255</v>
      </c>
      <c r="F2934" s="32" t="s">
        <v>189</v>
      </c>
      <c r="G2934" s="32" t="s">
        <v>190</v>
      </c>
    </row>
    <row r="2935" ht="16.5" customHeight="1">
      <c r="A2935" s="32">
        <v>2934.0</v>
      </c>
      <c r="B2935" s="32" t="s">
        <v>3715</v>
      </c>
      <c r="C2935" s="32" t="s">
        <v>184</v>
      </c>
      <c r="D2935" s="32" t="s">
        <v>192</v>
      </c>
      <c r="E2935" s="32" t="s">
        <v>255</v>
      </c>
    </row>
    <row r="2936" ht="16.5" customHeight="1">
      <c r="A2936" s="32">
        <v>2935.0</v>
      </c>
      <c r="B2936" s="32" t="s">
        <v>3716</v>
      </c>
      <c r="C2936" s="32" t="s">
        <v>184</v>
      </c>
      <c r="D2936" s="32" t="s">
        <v>351</v>
      </c>
      <c r="E2936" s="32" t="s">
        <v>255</v>
      </c>
      <c r="F2936" s="32" t="s">
        <v>3717</v>
      </c>
      <c r="G2936" s="32" t="s">
        <v>238</v>
      </c>
    </row>
    <row r="2937" ht="16.5" customHeight="1">
      <c r="A2937" s="32">
        <v>2936.0</v>
      </c>
      <c r="B2937" s="32" t="s">
        <v>3718</v>
      </c>
      <c r="C2937" s="32" t="s">
        <v>184</v>
      </c>
      <c r="D2937" s="32" t="s">
        <v>254</v>
      </c>
      <c r="E2937" s="32" t="s">
        <v>255</v>
      </c>
      <c r="F2937" s="32" t="s">
        <v>256</v>
      </c>
      <c r="G2937" s="32" t="s">
        <v>257</v>
      </c>
    </row>
    <row r="2938" ht="16.5" customHeight="1">
      <c r="A2938" s="32">
        <v>2937.0</v>
      </c>
      <c r="B2938" s="32" t="s">
        <v>3719</v>
      </c>
      <c r="C2938" s="32" t="s">
        <v>184</v>
      </c>
      <c r="D2938" s="32" t="s">
        <v>254</v>
      </c>
      <c r="E2938" s="32" t="s">
        <v>255</v>
      </c>
      <c r="F2938" s="32" t="s">
        <v>305</v>
      </c>
      <c r="G2938" s="32" t="s">
        <v>600</v>
      </c>
    </row>
    <row r="2939" ht="16.5" customHeight="1">
      <c r="A2939" s="32">
        <v>2938.0</v>
      </c>
      <c r="B2939" s="32" t="s">
        <v>3720</v>
      </c>
      <c r="C2939" s="32" t="s">
        <v>184</v>
      </c>
      <c r="D2939" s="32" t="s">
        <v>254</v>
      </c>
      <c r="E2939" s="32" t="s">
        <v>255</v>
      </c>
      <c r="F2939" s="32" t="s">
        <v>3721</v>
      </c>
      <c r="G2939" s="32" t="s">
        <v>3722</v>
      </c>
    </row>
    <row r="2940" ht="16.5" customHeight="1">
      <c r="A2940" s="32">
        <v>2939.0</v>
      </c>
      <c r="B2940" s="32" t="s">
        <v>3723</v>
      </c>
      <c r="C2940" s="32" t="s">
        <v>184</v>
      </c>
      <c r="D2940" s="32" t="s">
        <v>234</v>
      </c>
      <c r="E2940" s="32" t="s">
        <v>255</v>
      </c>
    </row>
    <row r="2941" ht="16.5" customHeight="1">
      <c r="A2941" s="32">
        <v>2940.0</v>
      </c>
      <c r="B2941" s="32" t="s">
        <v>3724</v>
      </c>
      <c r="C2941" s="32" t="s">
        <v>184</v>
      </c>
      <c r="D2941" s="32" t="s">
        <v>254</v>
      </c>
      <c r="E2941" s="32" t="s">
        <v>255</v>
      </c>
      <c r="F2941" s="32" t="s">
        <v>257</v>
      </c>
      <c r="G2941" s="32" t="s">
        <v>256</v>
      </c>
    </row>
    <row r="2942" ht="16.5" customHeight="1">
      <c r="A2942" s="32">
        <v>2941.0</v>
      </c>
      <c r="B2942" s="32" t="s">
        <v>3725</v>
      </c>
      <c r="C2942" s="32" t="s">
        <v>184</v>
      </c>
      <c r="D2942" s="32" t="s">
        <v>254</v>
      </c>
      <c r="E2942" s="32" t="s">
        <v>255</v>
      </c>
    </row>
    <row r="2943" ht="16.5" customHeight="1">
      <c r="A2943" s="32">
        <v>2942.0</v>
      </c>
      <c r="B2943" s="32" t="s">
        <v>3726</v>
      </c>
      <c r="C2943" s="32" t="s">
        <v>184</v>
      </c>
      <c r="D2943" s="32" t="s">
        <v>254</v>
      </c>
      <c r="E2943" s="32" t="s">
        <v>255</v>
      </c>
      <c r="F2943" s="32" t="s">
        <v>257</v>
      </c>
      <c r="G2943" s="32" t="s">
        <v>256</v>
      </c>
    </row>
    <row r="2944" ht="16.5" customHeight="1">
      <c r="A2944" s="32">
        <v>2943.0</v>
      </c>
      <c r="B2944" s="32" t="s">
        <v>3727</v>
      </c>
      <c r="C2944" s="32" t="s">
        <v>184</v>
      </c>
      <c r="D2944" s="32" t="s">
        <v>254</v>
      </c>
      <c r="E2944" s="32" t="s">
        <v>255</v>
      </c>
      <c r="F2944" s="32" t="s">
        <v>3728</v>
      </c>
      <c r="G2944" s="32" t="s">
        <v>3729</v>
      </c>
    </row>
    <row r="2945" ht="16.5" customHeight="1">
      <c r="A2945" s="32">
        <v>2944.0</v>
      </c>
      <c r="B2945" s="32" t="s">
        <v>3730</v>
      </c>
      <c r="C2945" s="32" t="s">
        <v>184</v>
      </c>
      <c r="D2945" s="32" t="s">
        <v>254</v>
      </c>
      <c r="E2945" s="32" t="s">
        <v>255</v>
      </c>
      <c r="F2945" s="32" t="s">
        <v>3731</v>
      </c>
      <c r="G2945" s="32" t="s">
        <v>256</v>
      </c>
    </row>
    <row r="2946" ht="16.5" customHeight="1">
      <c r="A2946" s="32">
        <v>2945.0</v>
      </c>
      <c r="B2946" s="32" t="s">
        <v>3732</v>
      </c>
      <c r="C2946" s="32" t="s">
        <v>184</v>
      </c>
      <c r="D2946" s="35" t="s">
        <v>310</v>
      </c>
      <c r="E2946" s="32" t="s">
        <v>255</v>
      </c>
      <c r="F2946" s="32" t="s">
        <v>3733</v>
      </c>
      <c r="G2946" s="32" t="s">
        <v>3734</v>
      </c>
    </row>
    <row r="2947" ht="16.5" customHeight="1">
      <c r="A2947" s="32">
        <v>2946.0</v>
      </c>
      <c r="B2947" s="32" t="s">
        <v>3735</v>
      </c>
      <c r="C2947" s="32" t="s">
        <v>184</v>
      </c>
      <c r="D2947" s="35" t="s">
        <v>3736</v>
      </c>
      <c r="E2947" s="32" t="s">
        <v>186</v>
      </c>
      <c r="F2947" s="32" t="s">
        <v>3737</v>
      </c>
      <c r="G2947" s="32" t="s">
        <v>3738</v>
      </c>
    </row>
    <row r="2948" ht="16.5" customHeight="1">
      <c r="A2948" s="32">
        <v>2947.0</v>
      </c>
      <c r="B2948" s="32" t="s">
        <v>3739</v>
      </c>
      <c r="C2948" s="32" t="s">
        <v>184</v>
      </c>
      <c r="D2948" s="35" t="s">
        <v>3736</v>
      </c>
      <c r="E2948" s="32" t="s">
        <v>186</v>
      </c>
      <c r="F2948" s="32" t="s">
        <v>3737</v>
      </c>
      <c r="G2948" s="32" t="s">
        <v>3740</v>
      </c>
    </row>
    <row r="2949" ht="16.5" customHeight="1">
      <c r="A2949" s="32">
        <v>2948.0</v>
      </c>
      <c r="B2949" s="32" t="s">
        <v>3741</v>
      </c>
      <c r="C2949" s="32" t="s">
        <v>184</v>
      </c>
      <c r="D2949" s="32" t="s">
        <v>214</v>
      </c>
      <c r="E2949" s="32" t="s">
        <v>3742</v>
      </c>
      <c r="F2949" s="32" t="s">
        <v>216</v>
      </c>
      <c r="G2949" s="32" t="s">
        <v>217</v>
      </c>
    </row>
    <row r="2950" ht="16.5" customHeight="1">
      <c r="A2950" s="32">
        <v>2949.0</v>
      </c>
      <c r="B2950" s="32" t="s">
        <v>3743</v>
      </c>
      <c r="C2950" s="32" t="s">
        <v>184</v>
      </c>
      <c r="D2950" s="32" t="s">
        <v>219</v>
      </c>
      <c r="E2950" s="32" t="s">
        <v>3742</v>
      </c>
      <c r="F2950" s="32" t="s">
        <v>223</v>
      </c>
    </row>
    <row r="2951" ht="16.5" customHeight="1">
      <c r="A2951" s="32">
        <v>2950.0</v>
      </c>
      <c r="B2951" s="32" t="s">
        <v>3744</v>
      </c>
      <c r="C2951" s="32" t="s">
        <v>184</v>
      </c>
      <c r="D2951" s="32" t="s">
        <v>192</v>
      </c>
      <c r="E2951" s="32" t="s">
        <v>255</v>
      </c>
      <c r="F2951" s="32" t="s">
        <v>1934</v>
      </c>
    </row>
    <row r="2952" ht="16.5" customHeight="1">
      <c r="A2952" s="32">
        <v>2951.0</v>
      </c>
      <c r="B2952" s="32" t="s">
        <v>3745</v>
      </c>
      <c r="C2952" s="32" t="s">
        <v>184</v>
      </c>
      <c r="D2952" s="32" t="s">
        <v>192</v>
      </c>
      <c r="E2952" s="32" t="s">
        <v>255</v>
      </c>
      <c r="F2952" s="32" t="s">
        <v>300</v>
      </c>
      <c r="G2952" s="32" t="s">
        <v>535</v>
      </c>
    </row>
    <row r="2953" ht="16.5" customHeight="1">
      <c r="A2953" s="32">
        <v>2952.0</v>
      </c>
      <c r="B2953" s="32" t="s">
        <v>3746</v>
      </c>
      <c r="C2953" s="32" t="s">
        <v>184</v>
      </c>
      <c r="D2953" s="32" t="s">
        <v>219</v>
      </c>
      <c r="E2953" s="32" t="s">
        <v>255</v>
      </c>
      <c r="F2953" s="32" t="s">
        <v>223</v>
      </c>
      <c r="G2953" s="32" t="s">
        <v>3747</v>
      </c>
    </row>
    <row r="2954" ht="16.5" customHeight="1">
      <c r="A2954" s="32">
        <v>2953.0</v>
      </c>
      <c r="B2954" s="32" t="s">
        <v>3748</v>
      </c>
      <c r="C2954" s="32" t="s">
        <v>184</v>
      </c>
      <c r="D2954" s="32" t="s">
        <v>254</v>
      </c>
      <c r="E2954" s="32" t="s">
        <v>255</v>
      </c>
      <c r="F2954" s="32" t="s">
        <v>260</v>
      </c>
      <c r="G2954" s="32" t="s">
        <v>3749</v>
      </c>
    </row>
    <row r="2955" ht="16.5" customHeight="1">
      <c r="A2955" s="32">
        <v>2954.0</v>
      </c>
      <c r="B2955" s="32" t="s">
        <v>3750</v>
      </c>
      <c r="C2955" s="32" t="s">
        <v>184</v>
      </c>
      <c r="D2955" s="32" t="s">
        <v>254</v>
      </c>
      <c r="E2955" s="32" t="s">
        <v>373</v>
      </c>
      <c r="F2955" s="32" t="s">
        <v>260</v>
      </c>
    </row>
    <row r="2956" ht="16.5" customHeight="1">
      <c r="A2956" s="32">
        <v>2955.0</v>
      </c>
      <c r="B2956" s="32" t="s">
        <v>3751</v>
      </c>
      <c r="C2956" s="32" t="s">
        <v>184</v>
      </c>
      <c r="D2956" s="32" t="s">
        <v>192</v>
      </c>
      <c r="E2956" s="32" t="s">
        <v>255</v>
      </c>
    </row>
    <row r="2957" ht="16.5" customHeight="1">
      <c r="A2957" s="32">
        <v>2956.0</v>
      </c>
      <c r="B2957" s="32" t="s">
        <v>3752</v>
      </c>
      <c r="C2957" s="32" t="s">
        <v>184</v>
      </c>
      <c r="D2957" s="32" t="s">
        <v>764</v>
      </c>
      <c r="E2957" s="32" t="s">
        <v>186</v>
      </c>
    </row>
    <row r="2958" ht="16.5" customHeight="1">
      <c r="A2958" s="32">
        <v>2957.0</v>
      </c>
      <c r="B2958" s="32" t="s">
        <v>3753</v>
      </c>
      <c r="C2958" s="32" t="s">
        <v>184</v>
      </c>
      <c r="D2958" s="32" t="s">
        <v>192</v>
      </c>
      <c r="E2958" s="32" t="s">
        <v>255</v>
      </c>
      <c r="F2958" s="32" t="s">
        <v>1934</v>
      </c>
    </row>
    <row r="2959" ht="16.5" customHeight="1">
      <c r="A2959" s="32">
        <v>2958.0</v>
      </c>
      <c r="B2959" s="32" t="s">
        <v>3754</v>
      </c>
      <c r="C2959" s="32" t="s">
        <v>184</v>
      </c>
      <c r="D2959" s="32" t="s">
        <v>325</v>
      </c>
      <c r="E2959" s="32" t="s">
        <v>255</v>
      </c>
      <c r="F2959" s="32" t="s">
        <v>368</v>
      </c>
      <c r="G2959" s="32" t="s">
        <v>463</v>
      </c>
    </row>
    <row r="2960" ht="16.5" customHeight="1">
      <c r="A2960" s="32">
        <v>2959.0</v>
      </c>
      <c r="B2960" s="32" t="s">
        <v>3755</v>
      </c>
      <c r="C2960" s="32" t="s">
        <v>184</v>
      </c>
      <c r="D2960" s="32" t="s">
        <v>325</v>
      </c>
      <c r="E2960" s="32" t="s">
        <v>255</v>
      </c>
      <c r="F2960" s="32" t="s">
        <v>368</v>
      </c>
      <c r="G2960" s="32" t="s">
        <v>463</v>
      </c>
    </row>
    <row r="2961" ht="16.5" customHeight="1">
      <c r="A2961" s="32">
        <v>2960.0</v>
      </c>
      <c r="B2961" s="32" t="s">
        <v>3756</v>
      </c>
      <c r="C2961" s="32" t="s">
        <v>184</v>
      </c>
      <c r="D2961" s="32" t="s">
        <v>325</v>
      </c>
      <c r="E2961" s="32" t="s">
        <v>255</v>
      </c>
      <c r="F2961" s="32" t="s">
        <v>368</v>
      </c>
      <c r="G2961" s="32" t="s">
        <v>463</v>
      </c>
    </row>
    <row r="2962" ht="16.5" customHeight="1">
      <c r="A2962" s="32">
        <v>2961.0</v>
      </c>
      <c r="B2962" s="32" t="s">
        <v>3757</v>
      </c>
      <c r="C2962" s="32" t="s">
        <v>184</v>
      </c>
      <c r="D2962" s="32" t="s">
        <v>185</v>
      </c>
      <c r="E2962" s="32" t="s">
        <v>255</v>
      </c>
      <c r="F2962" s="32" t="s">
        <v>187</v>
      </c>
      <c r="G2962" s="32" t="s">
        <v>188</v>
      </c>
    </row>
    <row r="2963" ht="16.5" customHeight="1">
      <c r="A2963" s="32">
        <v>2962.0</v>
      </c>
      <c r="B2963" s="32" t="s">
        <v>3758</v>
      </c>
      <c r="C2963" s="32" t="s">
        <v>184</v>
      </c>
      <c r="D2963" s="32" t="s">
        <v>285</v>
      </c>
      <c r="E2963" s="32" t="s">
        <v>255</v>
      </c>
      <c r="F2963" s="32" t="s">
        <v>189</v>
      </c>
      <c r="G2963" s="32" t="s">
        <v>190</v>
      </c>
    </row>
    <row r="2964" ht="16.5" customHeight="1">
      <c r="A2964" s="32">
        <v>2963.0</v>
      </c>
      <c r="B2964" s="32" t="s">
        <v>3759</v>
      </c>
      <c r="C2964" s="32" t="s">
        <v>184</v>
      </c>
      <c r="D2964" s="32" t="s">
        <v>185</v>
      </c>
      <c r="E2964" s="32" t="s">
        <v>255</v>
      </c>
      <c r="F2964" s="32" t="s">
        <v>189</v>
      </c>
      <c r="G2964" s="32" t="s">
        <v>190</v>
      </c>
    </row>
    <row r="2965" ht="16.5" customHeight="1">
      <c r="A2965" s="32">
        <v>2964.0</v>
      </c>
      <c r="B2965" s="32" t="s">
        <v>3760</v>
      </c>
      <c r="C2965" s="32" t="s">
        <v>184</v>
      </c>
      <c r="D2965" s="32" t="s">
        <v>234</v>
      </c>
      <c r="E2965" s="32" t="s">
        <v>255</v>
      </c>
      <c r="F2965" s="32" t="s">
        <v>235</v>
      </c>
      <c r="G2965" s="32" t="s">
        <v>3267</v>
      </c>
    </row>
    <row r="2966" ht="16.5" customHeight="1">
      <c r="A2966" s="32">
        <v>2965.0</v>
      </c>
      <c r="B2966" s="32" t="s">
        <v>3761</v>
      </c>
      <c r="C2966" s="32" t="s">
        <v>184</v>
      </c>
      <c r="D2966" s="32" t="s">
        <v>254</v>
      </c>
      <c r="E2966" s="32" t="s">
        <v>255</v>
      </c>
      <c r="F2966" s="32" t="s">
        <v>263</v>
      </c>
      <c r="G2966" s="32" t="s">
        <v>1306</v>
      </c>
    </row>
    <row r="2967" ht="16.5" customHeight="1">
      <c r="A2967" s="32">
        <v>2966.0</v>
      </c>
      <c r="B2967" s="32" t="s">
        <v>3762</v>
      </c>
      <c r="C2967" s="32" t="s">
        <v>184</v>
      </c>
      <c r="D2967" s="32" t="s">
        <v>254</v>
      </c>
      <c r="E2967" s="32" t="s">
        <v>396</v>
      </c>
      <c r="F2967" s="32" t="s">
        <v>305</v>
      </c>
      <c r="G2967" s="32" t="s">
        <v>3763</v>
      </c>
    </row>
    <row r="2968" ht="16.5" customHeight="1">
      <c r="A2968" s="32">
        <v>2967.0</v>
      </c>
      <c r="B2968" s="32" t="s">
        <v>3764</v>
      </c>
      <c r="C2968" s="32" t="s">
        <v>184</v>
      </c>
      <c r="D2968" s="35" t="s">
        <v>3765</v>
      </c>
      <c r="E2968" s="32" t="s">
        <v>396</v>
      </c>
      <c r="F2968" s="32" t="s">
        <v>3766</v>
      </c>
      <c r="G2968" s="32" t="s">
        <v>3767</v>
      </c>
    </row>
    <row r="2969" ht="16.5" customHeight="1">
      <c r="A2969" s="32">
        <v>2968.0</v>
      </c>
      <c r="B2969" s="32" t="s">
        <v>3768</v>
      </c>
      <c r="C2969" s="32" t="s">
        <v>184</v>
      </c>
      <c r="D2969" s="32" t="s">
        <v>185</v>
      </c>
      <c r="E2969" s="32" t="s">
        <v>255</v>
      </c>
      <c r="F2969" s="32" t="s">
        <v>2364</v>
      </c>
      <c r="G2969" s="32" t="s">
        <v>3769</v>
      </c>
    </row>
    <row r="2970" ht="16.5" customHeight="1">
      <c r="A2970" s="32">
        <v>2969.0</v>
      </c>
      <c r="B2970" s="32" t="s">
        <v>3770</v>
      </c>
      <c r="C2970" s="32" t="s">
        <v>184</v>
      </c>
      <c r="D2970" s="32" t="s">
        <v>228</v>
      </c>
      <c r="E2970" s="32" t="s">
        <v>255</v>
      </c>
      <c r="F2970" s="32" t="s">
        <v>454</v>
      </c>
      <c r="G2970" s="32" t="s">
        <v>389</v>
      </c>
    </row>
    <row r="2971" ht="16.5" customHeight="1">
      <c r="A2971" s="32">
        <v>2970.0</v>
      </c>
      <c r="B2971" s="32" t="s">
        <v>3771</v>
      </c>
      <c r="C2971" s="32" t="s">
        <v>184</v>
      </c>
      <c r="D2971" s="32" t="s">
        <v>219</v>
      </c>
      <c r="E2971" s="32" t="s">
        <v>255</v>
      </c>
      <c r="F2971" s="32" t="s">
        <v>223</v>
      </c>
    </row>
    <row r="2972" ht="16.5" customHeight="1">
      <c r="A2972" s="32">
        <v>2971.0</v>
      </c>
      <c r="B2972" s="32" t="s">
        <v>3772</v>
      </c>
      <c r="C2972" s="32" t="s">
        <v>184</v>
      </c>
      <c r="D2972" s="32" t="s">
        <v>228</v>
      </c>
      <c r="E2972" s="32" t="s">
        <v>255</v>
      </c>
      <c r="F2972" s="32" t="s">
        <v>3773</v>
      </c>
    </row>
    <row r="2973" ht="16.5" customHeight="1">
      <c r="A2973" s="32">
        <v>2972.0</v>
      </c>
      <c r="B2973" s="32" t="s">
        <v>3774</v>
      </c>
      <c r="C2973" s="32" t="s">
        <v>184</v>
      </c>
      <c r="D2973" s="32" t="s">
        <v>228</v>
      </c>
      <c r="E2973" s="32" t="s">
        <v>255</v>
      </c>
    </row>
    <row r="2974" ht="16.5" customHeight="1">
      <c r="A2974" s="32">
        <v>2973.0</v>
      </c>
      <c r="B2974" s="32" t="s">
        <v>3775</v>
      </c>
      <c r="C2974" s="32" t="s">
        <v>184</v>
      </c>
      <c r="D2974" s="32" t="s">
        <v>254</v>
      </c>
      <c r="E2974" s="32" t="s">
        <v>255</v>
      </c>
      <c r="F2974" s="32" t="s">
        <v>2848</v>
      </c>
      <c r="G2974" s="32" t="s">
        <v>3776</v>
      </c>
    </row>
    <row r="2975" ht="16.5" customHeight="1">
      <c r="A2975" s="32">
        <v>2974.0</v>
      </c>
      <c r="B2975" s="32" t="s">
        <v>3777</v>
      </c>
      <c r="C2975" s="32" t="s">
        <v>184</v>
      </c>
      <c r="D2975" s="35" t="s">
        <v>310</v>
      </c>
      <c r="E2975" s="32" t="s">
        <v>255</v>
      </c>
      <c r="F2975" s="32" t="s">
        <v>2848</v>
      </c>
      <c r="G2975" s="32" t="s">
        <v>3776</v>
      </c>
    </row>
    <row r="2976" ht="16.5" customHeight="1">
      <c r="A2976" s="32">
        <v>2975.0</v>
      </c>
      <c r="B2976" s="32" t="s">
        <v>3778</v>
      </c>
      <c r="C2976" s="32" t="s">
        <v>184</v>
      </c>
      <c r="D2976" s="32" t="s">
        <v>228</v>
      </c>
      <c r="E2976" s="32" t="s">
        <v>255</v>
      </c>
      <c r="F2976" s="32" t="s">
        <v>229</v>
      </c>
      <c r="G2976" s="32" t="s">
        <v>3779</v>
      </c>
    </row>
    <row r="2977" ht="16.5" customHeight="1">
      <c r="A2977" s="32">
        <v>2976.0</v>
      </c>
      <c r="B2977" s="32" t="s">
        <v>3780</v>
      </c>
      <c r="C2977" s="32" t="s">
        <v>184</v>
      </c>
      <c r="D2977" s="32" t="s">
        <v>234</v>
      </c>
      <c r="E2977" s="32" t="s">
        <v>255</v>
      </c>
      <c r="F2977" s="32" t="s">
        <v>229</v>
      </c>
      <c r="G2977" s="32" t="s">
        <v>3781</v>
      </c>
    </row>
    <row r="2978" ht="16.5" customHeight="1">
      <c r="A2978" s="32">
        <v>2977.0</v>
      </c>
      <c r="B2978" s="32" t="s">
        <v>3782</v>
      </c>
      <c r="C2978" s="32" t="s">
        <v>184</v>
      </c>
      <c r="D2978" s="32" t="s">
        <v>234</v>
      </c>
      <c r="E2978" s="32" t="s">
        <v>255</v>
      </c>
      <c r="F2978" s="32" t="s">
        <v>235</v>
      </c>
      <c r="G2978" s="32" t="s">
        <v>3783</v>
      </c>
    </row>
    <row r="2979" ht="16.5" customHeight="1">
      <c r="A2979" s="32">
        <v>2978.0</v>
      </c>
      <c r="B2979" s="32" t="s">
        <v>3784</v>
      </c>
      <c r="C2979" s="32" t="s">
        <v>184</v>
      </c>
      <c r="D2979" s="32" t="s">
        <v>228</v>
      </c>
      <c r="E2979" s="32" t="s">
        <v>255</v>
      </c>
      <c r="F2979" s="32" t="s">
        <v>229</v>
      </c>
      <c r="G2979" s="32" t="s">
        <v>3785</v>
      </c>
    </row>
    <row r="2980" ht="16.5" customHeight="1">
      <c r="A2980" s="32">
        <v>2979.0</v>
      </c>
      <c r="B2980" s="32" t="s">
        <v>3786</v>
      </c>
      <c r="C2980" s="32" t="s">
        <v>184</v>
      </c>
      <c r="D2980" s="32" t="s">
        <v>228</v>
      </c>
      <c r="E2980" s="32" t="s">
        <v>255</v>
      </c>
      <c r="F2980" s="32" t="s">
        <v>229</v>
      </c>
      <c r="G2980" s="32" t="s">
        <v>3787</v>
      </c>
    </row>
    <row r="2981" ht="16.5" customHeight="1">
      <c r="A2981" s="32">
        <v>2980.0</v>
      </c>
      <c r="B2981" s="32" t="s">
        <v>3788</v>
      </c>
      <c r="C2981" s="32" t="s">
        <v>184</v>
      </c>
      <c r="D2981" s="32" t="s">
        <v>234</v>
      </c>
      <c r="E2981" s="32" t="s">
        <v>255</v>
      </c>
      <c r="F2981" s="32" t="s">
        <v>472</v>
      </c>
      <c r="G2981" s="32" t="s">
        <v>3789</v>
      </c>
    </row>
    <row r="2982" ht="16.5" customHeight="1">
      <c r="A2982" s="32">
        <v>2981.0</v>
      </c>
      <c r="B2982" s="32" t="s">
        <v>3790</v>
      </c>
      <c r="C2982" s="32" t="s">
        <v>184</v>
      </c>
      <c r="D2982" s="32" t="s">
        <v>234</v>
      </c>
      <c r="E2982" s="32" t="s">
        <v>255</v>
      </c>
    </row>
    <row r="2983" ht="16.5" customHeight="1">
      <c r="A2983" s="32">
        <v>2982.0</v>
      </c>
      <c r="B2983" s="32" t="s">
        <v>3791</v>
      </c>
      <c r="C2983" s="32" t="s">
        <v>184</v>
      </c>
      <c r="D2983" s="32" t="s">
        <v>234</v>
      </c>
      <c r="E2983" s="32" t="s">
        <v>255</v>
      </c>
    </row>
    <row r="2984" ht="16.5" customHeight="1">
      <c r="A2984" s="32">
        <v>2983.0</v>
      </c>
      <c r="B2984" s="32" t="s">
        <v>3792</v>
      </c>
      <c r="C2984" s="32" t="s">
        <v>184</v>
      </c>
      <c r="D2984" s="32" t="s">
        <v>285</v>
      </c>
      <c r="E2984" s="32" t="s">
        <v>255</v>
      </c>
    </row>
    <row r="2985" ht="16.5" customHeight="1">
      <c r="A2985" s="32">
        <v>2984.0</v>
      </c>
      <c r="B2985" s="32" t="s">
        <v>3793</v>
      </c>
      <c r="C2985" s="32" t="s">
        <v>184</v>
      </c>
      <c r="D2985" s="32" t="s">
        <v>285</v>
      </c>
      <c r="E2985" s="32" t="s">
        <v>255</v>
      </c>
    </row>
    <row r="2986" ht="16.5" customHeight="1">
      <c r="A2986" s="32">
        <v>2985.0</v>
      </c>
      <c r="B2986" s="32" t="s">
        <v>3794</v>
      </c>
      <c r="C2986" s="32" t="s">
        <v>184</v>
      </c>
      <c r="D2986" s="32" t="s">
        <v>254</v>
      </c>
      <c r="E2986" s="32" t="s">
        <v>255</v>
      </c>
    </row>
    <row r="2987" ht="16.5" customHeight="1">
      <c r="A2987" s="32">
        <v>2986.0</v>
      </c>
      <c r="B2987" s="32" t="s">
        <v>3795</v>
      </c>
      <c r="C2987" s="32" t="s">
        <v>184</v>
      </c>
      <c r="D2987" s="32" t="s">
        <v>192</v>
      </c>
      <c r="E2987" s="32" t="s">
        <v>255</v>
      </c>
      <c r="F2987" s="32" t="s">
        <v>256</v>
      </c>
      <c r="G2987" s="32" t="s">
        <v>300</v>
      </c>
    </row>
    <row r="2988" ht="16.5" customHeight="1">
      <c r="A2988" s="32">
        <v>2987.0</v>
      </c>
      <c r="B2988" s="32" t="s">
        <v>3796</v>
      </c>
      <c r="C2988" s="32" t="s">
        <v>184</v>
      </c>
      <c r="D2988" s="32" t="s">
        <v>254</v>
      </c>
      <c r="E2988" s="32" t="s">
        <v>255</v>
      </c>
    </row>
    <row r="2989" ht="16.5" customHeight="1">
      <c r="A2989" s="32">
        <v>2988.0</v>
      </c>
      <c r="B2989" s="32" t="s">
        <v>3797</v>
      </c>
      <c r="C2989" s="32" t="s">
        <v>184</v>
      </c>
      <c r="D2989" s="32" t="s">
        <v>254</v>
      </c>
      <c r="E2989" s="32" t="s">
        <v>255</v>
      </c>
      <c r="F2989" s="32" t="s">
        <v>3798</v>
      </c>
      <c r="G2989" s="32" t="s">
        <v>3799</v>
      </c>
    </row>
    <row r="2990" ht="16.5" customHeight="1">
      <c r="A2990" s="32">
        <v>2989.0</v>
      </c>
      <c r="B2990" s="32" t="s">
        <v>3800</v>
      </c>
      <c r="C2990" s="32" t="s">
        <v>184</v>
      </c>
      <c r="D2990" s="32" t="s">
        <v>254</v>
      </c>
      <c r="E2990" s="32" t="s">
        <v>255</v>
      </c>
      <c r="F2990" s="32" t="s">
        <v>2845</v>
      </c>
      <c r="G2990" s="32" t="s">
        <v>3801</v>
      </c>
    </row>
    <row r="2991" ht="16.5" customHeight="1">
      <c r="A2991" s="32">
        <v>2990.0</v>
      </c>
      <c r="B2991" s="32" t="s">
        <v>3802</v>
      </c>
      <c r="C2991" s="32" t="s">
        <v>184</v>
      </c>
      <c r="D2991" s="32" t="s">
        <v>254</v>
      </c>
      <c r="E2991" s="32" t="s">
        <v>255</v>
      </c>
    </row>
    <row r="2992" ht="16.5" customHeight="1">
      <c r="A2992" s="32">
        <v>2991.0</v>
      </c>
      <c r="B2992" s="32" t="s">
        <v>3803</v>
      </c>
      <c r="C2992" s="32" t="s">
        <v>184</v>
      </c>
      <c r="D2992" s="32" t="s">
        <v>254</v>
      </c>
      <c r="E2992" s="32" t="s">
        <v>255</v>
      </c>
      <c r="F2992" s="32" t="s">
        <v>256</v>
      </c>
      <c r="G2992" s="32" t="s">
        <v>3801</v>
      </c>
    </row>
    <row r="2993" ht="16.5" customHeight="1">
      <c r="A2993" s="32">
        <v>2992.0</v>
      </c>
      <c r="B2993" s="32" t="s">
        <v>3804</v>
      </c>
      <c r="C2993" s="32" t="s">
        <v>184</v>
      </c>
      <c r="D2993" s="32" t="s">
        <v>185</v>
      </c>
      <c r="E2993" s="32" t="s">
        <v>396</v>
      </c>
      <c r="F2993" s="32" t="s">
        <v>275</v>
      </c>
      <c r="G2993" s="32" t="s">
        <v>2412</v>
      </c>
    </row>
    <row r="2994" ht="16.5" customHeight="1">
      <c r="A2994" s="32">
        <v>2993.0</v>
      </c>
      <c r="B2994" s="32" t="s">
        <v>3805</v>
      </c>
      <c r="C2994" s="32" t="s">
        <v>184</v>
      </c>
      <c r="D2994" s="32" t="s">
        <v>214</v>
      </c>
      <c r="E2994" s="32" t="s">
        <v>396</v>
      </c>
      <c r="F2994" s="32" t="s">
        <v>604</v>
      </c>
      <c r="G2994" s="32" t="s">
        <v>3806</v>
      </c>
    </row>
    <row r="2995" ht="16.5" customHeight="1">
      <c r="A2995" s="32">
        <v>2994.0</v>
      </c>
      <c r="B2995" s="32" t="s">
        <v>3807</v>
      </c>
      <c r="C2995" s="32" t="s">
        <v>184</v>
      </c>
      <c r="D2995" s="32" t="s">
        <v>234</v>
      </c>
      <c r="E2995" s="32" t="s">
        <v>255</v>
      </c>
      <c r="F2995" s="32" t="s">
        <v>347</v>
      </c>
      <c r="G2995" s="32" t="s">
        <v>3808</v>
      </c>
    </row>
    <row r="2996" ht="16.5" customHeight="1">
      <c r="A2996" s="32">
        <v>2995.0</v>
      </c>
      <c r="B2996" s="32" t="s">
        <v>3809</v>
      </c>
      <c r="C2996" s="32" t="s">
        <v>184</v>
      </c>
      <c r="D2996" s="32" t="s">
        <v>285</v>
      </c>
      <c r="E2996" s="32" t="s">
        <v>255</v>
      </c>
      <c r="F2996" s="32" t="s">
        <v>3810</v>
      </c>
      <c r="G2996" s="32" t="s">
        <v>1115</v>
      </c>
    </row>
    <row r="2997" ht="16.5" customHeight="1">
      <c r="A2997" s="32">
        <v>2996.0</v>
      </c>
      <c r="B2997" s="32" t="s">
        <v>3811</v>
      </c>
      <c r="C2997" s="32" t="s">
        <v>184</v>
      </c>
      <c r="D2997" s="32" t="s">
        <v>351</v>
      </c>
      <c r="E2997" s="32" t="s">
        <v>255</v>
      </c>
      <c r="F2997" s="32" t="s">
        <v>3717</v>
      </c>
    </row>
    <row r="2998" ht="16.5" customHeight="1">
      <c r="A2998" s="32">
        <v>2997.0</v>
      </c>
      <c r="B2998" s="32" t="s">
        <v>3812</v>
      </c>
      <c r="C2998" s="32" t="s">
        <v>184</v>
      </c>
      <c r="D2998" s="32" t="s">
        <v>254</v>
      </c>
      <c r="E2998" s="32" t="s">
        <v>255</v>
      </c>
      <c r="F2998" s="32" t="s">
        <v>256</v>
      </c>
      <c r="G2998" s="32" t="s">
        <v>257</v>
      </c>
    </row>
    <row r="2999" ht="16.5" customHeight="1">
      <c r="A2999" s="32">
        <v>2998.0</v>
      </c>
      <c r="B2999" s="32" t="s">
        <v>3813</v>
      </c>
      <c r="C2999" s="32" t="s">
        <v>184</v>
      </c>
      <c r="D2999" s="32" t="s">
        <v>254</v>
      </c>
      <c r="E2999" s="32" t="s">
        <v>255</v>
      </c>
      <c r="F2999" s="32" t="s">
        <v>256</v>
      </c>
      <c r="G2999" s="32" t="s">
        <v>257</v>
      </c>
    </row>
    <row r="3000" ht="16.5" customHeight="1">
      <c r="A3000" s="32">
        <v>2999.0</v>
      </c>
      <c r="B3000" s="32" t="s">
        <v>3814</v>
      </c>
      <c r="C3000" s="32" t="s">
        <v>184</v>
      </c>
      <c r="D3000" s="32" t="s">
        <v>185</v>
      </c>
      <c r="E3000" s="32" t="s">
        <v>255</v>
      </c>
      <c r="F3000" s="32" t="s">
        <v>189</v>
      </c>
      <c r="G3000" s="32" t="s">
        <v>190</v>
      </c>
    </row>
    <row r="3001" ht="16.5" customHeight="1">
      <c r="A3001" s="32">
        <v>3000.0</v>
      </c>
      <c r="B3001" s="32" t="s">
        <v>3815</v>
      </c>
      <c r="C3001" s="32" t="s">
        <v>184</v>
      </c>
      <c r="D3001" s="32" t="s">
        <v>185</v>
      </c>
      <c r="E3001" s="32" t="s">
        <v>255</v>
      </c>
      <c r="F3001" s="32" t="s">
        <v>189</v>
      </c>
      <c r="G3001" s="32" t="s">
        <v>190</v>
      </c>
    </row>
    <row r="3002" ht="16.5" customHeight="1">
      <c r="A3002" s="32">
        <v>3001.0</v>
      </c>
      <c r="B3002" s="32" t="s">
        <v>3816</v>
      </c>
      <c r="C3002" s="32" t="s">
        <v>184</v>
      </c>
      <c r="D3002" s="32" t="s">
        <v>285</v>
      </c>
      <c r="E3002" s="32" t="s">
        <v>186</v>
      </c>
      <c r="F3002" s="32" t="s">
        <v>795</v>
      </c>
    </row>
    <row r="3003" ht="16.5" customHeight="1">
      <c r="A3003" s="32">
        <v>3002.0</v>
      </c>
      <c r="B3003" s="32" t="s">
        <v>3817</v>
      </c>
      <c r="C3003" s="32" t="s">
        <v>184</v>
      </c>
      <c r="D3003" s="32" t="s">
        <v>285</v>
      </c>
      <c r="E3003" s="32" t="s">
        <v>255</v>
      </c>
      <c r="F3003" s="32" t="s">
        <v>3818</v>
      </c>
    </row>
    <row r="3004" ht="16.5" customHeight="1">
      <c r="A3004" s="32">
        <v>3003.0</v>
      </c>
      <c r="B3004" s="32" t="s">
        <v>3819</v>
      </c>
      <c r="C3004" s="32" t="s">
        <v>184</v>
      </c>
      <c r="D3004" s="35" t="s">
        <v>1888</v>
      </c>
      <c r="E3004" s="32" t="s">
        <v>255</v>
      </c>
      <c r="F3004" s="32" t="s">
        <v>3820</v>
      </c>
      <c r="G3004" s="32" t="s">
        <v>3821</v>
      </c>
    </row>
    <row r="3005" ht="16.5" customHeight="1">
      <c r="A3005" s="32">
        <v>3004.0</v>
      </c>
      <c r="B3005" s="32" t="s">
        <v>3822</v>
      </c>
      <c r="C3005" s="32" t="s">
        <v>184</v>
      </c>
      <c r="D3005" s="32" t="s">
        <v>285</v>
      </c>
      <c r="E3005" s="32" t="s">
        <v>3823</v>
      </c>
    </row>
    <row r="3006" ht="16.5" customHeight="1">
      <c r="A3006" s="32">
        <v>3005.0</v>
      </c>
      <c r="B3006" s="32" t="s">
        <v>3824</v>
      </c>
      <c r="C3006" s="32" t="s">
        <v>184</v>
      </c>
      <c r="D3006" s="32" t="s">
        <v>219</v>
      </c>
      <c r="E3006" s="32" t="s">
        <v>3823</v>
      </c>
    </row>
    <row r="3007" ht="16.5" customHeight="1">
      <c r="A3007" s="32">
        <v>3006.0</v>
      </c>
      <c r="B3007" s="32" t="s">
        <v>3825</v>
      </c>
      <c r="C3007" s="32" t="s">
        <v>184</v>
      </c>
      <c r="D3007" s="32" t="s">
        <v>764</v>
      </c>
      <c r="E3007" s="32" t="s">
        <v>3823</v>
      </c>
    </row>
    <row r="3008" ht="16.5" customHeight="1">
      <c r="A3008" s="32">
        <v>3007.0</v>
      </c>
      <c r="B3008" s="32" t="s">
        <v>3826</v>
      </c>
      <c r="C3008" s="32" t="s">
        <v>184</v>
      </c>
      <c r="D3008" s="32" t="s">
        <v>228</v>
      </c>
      <c r="E3008" s="32" t="s">
        <v>3823</v>
      </c>
    </row>
    <row r="3009" ht="16.5" customHeight="1">
      <c r="A3009" s="32">
        <v>3008.0</v>
      </c>
      <c r="B3009" s="32" t="s">
        <v>3827</v>
      </c>
      <c r="C3009" s="32" t="s">
        <v>184</v>
      </c>
      <c r="D3009" s="35" t="s">
        <v>484</v>
      </c>
      <c r="E3009" s="32" t="s">
        <v>3823</v>
      </c>
    </row>
    <row r="3010" ht="16.5" customHeight="1">
      <c r="A3010" s="32">
        <v>3009.0</v>
      </c>
      <c r="B3010" s="32" t="s">
        <v>3828</v>
      </c>
      <c r="C3010" s="32" t="s">
        <v>184</v>
      </c>
      <c r="D3010" s="32" t="s">
        <v>285</v>
      </c>
      <c r="E3010" s="32" t="s">
        <v>3823</v>
      </c>
      <c r="F3010" s="32" t="s">
        <v>3829</v>
      </c>
    </row>
    <row r="3011" ht="16.5" customHeight="1">
      <c r="A3011" s="32">
        <v>3010.0</v>
      </c>
      <c r="B3011" s="32" t="s">
        <v>3830</v>
      </c>
      <c r="C3011" s="32" t="s">
        <v>184</v>
      </c>
      <c r="D3011" s="32" t="s">
        <v>285</v>
      </c>
      <c r="E3011" s="32" t="s">
        <v>3823</v>
      </c>
    </row>
    <row r="3012" ht="16.5" customHeight="1">
      <c r="A3012" s="32">
        <v>3011.0</v>
      </c>
      <c r="B3012" s="32" t="s">
        <v>3831</v>
      </c>
      <c r="C3012" s="32" t="s">
        <v>184</v>
      </c>
      <c r="D3012" s="32" t="s">
        <v>285</v>
      </c>
      <c r="E3012" s="32" t="s">
        <v>3823</v>
      </c>
    </row>
    <row r="3013" ht="16.5" customHeight="1">
      <c r="A3013" s="32">
        <v>3012.0</v>
      </c>
      <c r="B3013" s="32" t="s">
        <v>3832</v>
      </c>
      <c r="C3013" s="32" t="s">
        <v>184</v>
      </c>
      <c r="D3013" s="32" t="s">
        <v>228</v>
      </c>
      <c r="E3013" s="32" t="s">
        <v>3823</v>
      </c>
    </row>
    <row r="3014" ht="16.5" customHeight="1">
      <c r="A3014" s="32">
        <v>3013.0</v>
      </c>
      <c r="B3014" s="32" t="s">
        <v>3833</v>
      </c>
      <c r="C3014" s="32" t="s">
        <v>184</v>
      </c>
      <c r="D3014" s="32" t="s">
        <v>285</v>
      </c>
      <c r="E3014" s="32" t="s">
        <v>3823</v>
      </c>
    </row>
    <row r="3015" ht="16.5" customHeight="1">
      <c r="A3015" s="32">
        <v>3014.0</v>
      </c>
      <c r="B3015" s="32" t="s">
        <v>3833</v>
      </c>
      <c r="C3015" s="32" t="s">
        <v>184</v>
      </c>
      <c r="D3015" s="32" t="s">
        <v>185</v>
      </c>
      <c r="E3015" s="32" t="s">
        <v>3823</v>
      </c>
    </row>
    <row r="3016" ht="16.5" customHeight="1">
      <c r="A3016" s="32">
        <v>3015.0</v>
      </c>
      <c r="B3016" s="32" t="s">
        <v>3834</v>
      </c>
      <c r="C3016" s="32" t="s">
        <v>184</v>
      </c>
      <c r="D3016" s="32" t="s">
        <v>285</v>
      </c>
      <c r="E3016" s="32" t="s">
        <v>3823</v>
      </c>
    </row>
    <row r="3017" ht="16.5" customHeight="1">
      <c r="A3017" s="32">
        <v>3016.0</v>
      </c>
      <c r="B3017" s="32" t="s">
        <v>3835</v>
      </c>
      <c r="C3017" s="32" t="s">
        <v>184</v>
      </c>
      <c r="D3017" s="32" t="s">
        <v>192</v>
      </c>
      <c r="E3017" s="32" t="s">
        <v>3823</v>
      </c>
    </row>
    <row r="3018" ht="16.5" customHeight="1">
      <c r="A3018" s="32">
        <v>3017.0</v>
      </c>
      <c r="B3018" s="32" t="s">
        <v>3836</v>
      </c>
      <c r="C3018" s="32" t="s">
        <v>184</v>
      </c>
      <c r="D3018" s="32" t="s">
        <v>219</v>
      </c>
      <c r="E3018" s="32" t="s">
        <v>3823</v>
      </c>
    </row>
    <row r="3019" ht="16.5" customHeight="1">
      <c r="A3019" s="32">
        <v>3018.0</v>
      </c>
      <c r="B3019" s="32" t="s">
        <v>3837</v>
      </c>
      <c r="C3019" s="32" t="s">
        <v>184</v>
      </c>
      <c r="D3019" s="32" t="s">
        <v>228</v>
      </c>
      <c r="E3019" s="32" t="s">
        <v>255</v>
      </c>
      <c r="F3019" s="32" t="s">
        <v>454</v>
      </c>
      <c r="G3019" s="32" t="s">
        <v>3448</v>
      </c>
    </row>
    <row r="3020" ht="16.5" customHeight="1">
      <c r="A3020" s="32">
        <v>3019.0</v>
      </c>
      <c r="B3020" s="32" t="s">
        <v>3838</v>
      </c>
      <c r="C3020" s="32" t="s">
        <v>184</v>
      </c>
      <c r="D3020" s="32" t="s">
        <v>219</v>
      </c>
      <c r="E3020" s="32" t="s">
        <v>2745</v>
      </c>
    </row>
    <row r="3021" ht="16.5" customHeight="1">
      <c r="A3021" s="32">
        <v>3020.0</v>
      </c>
      <c r="B3021" s="32" t="s">
        <v>3839</v>
      </c>
      <c r="C3021" s="32" t="s">
        <v>184</v>
      </c>
      <c r="D3021" s="32" t="s">
        <v>764</v>
      </c>
      <c r="E3021" s="32" t="s">
        <v>255</v>
      </c>
    </row>
    <row r="3022" ht="16.5" customHeight="1">
      <c r="A3022" s="32">
        <v>3021.0</v>
      </c>
      <c r="B3022" s="32" t="s">
        <v>3840</v>
      </c>
      <c r="C3022" s="32" t="s">
        <v>184</v>
      </c>
      <c r="D3022" s="32" t="s">
        <v>285</v>
      </c>
      <c r="E3022" s="32" t="s">
        <v>255</v>
      </c>
    </row>
    <row r="3023" ht="16.5" customHeight="1">
      <c r="A3023" s="32">
        <v>3022.0</v>
      </c>
      <c r="B3023" s="32" t="s">
        <v>3841</v>
      </c>
      <c r="C3023" s="32" t="s">
        <v>184</v>
      </c>
      <c r="D3023" s="32" t="s">
        <v>254</v>
      </c>
      <c r="E3023" s="32" t="s">
        <v>255</v>
      </c>
      <c r="F3023" s="32" t="s">
        <v>305</v>
      </c>
      <c r="G3023" s="32" t="s">
        <v>3842</v>
      </c>
    </row>
    <row r="3024" ht="16.5" customHeight="1">
      <c r="A3024" s="32">
        <v>3023.0</v>
      </c>
      <c r="B3024" s="32" t="s">
        <v>3843</v>
      </c>
      <c r="C3024" s="32" t="s">
        <v>184</v>
      </c>
      <c r="D3024" s="32" t="s">
        <v>285</v>
      </c>
      <c r="E3024" s="32" t="s">
        <v>255</v>
      </c>
    </row>
    <row r="3025" ht="16.5" customHeight="1">
      <c r="A3025" s="32">
        <v>3024.0</v>
      </c>
      <c r="B3025" s="32" t="s">
        <v>3844</v>
      </c>
      <c r="C3025" s="32" t="s">
        <v>184</v>
      </c>
      <c r="D3025" s="32" t="s">
        <v>351</v>
      </c>
      <c r="E3025" s="32" t="s">
        <v>255</v>
      </c>
    </row>
    <row r="3026" ht="16.5" customHeight="1">
      <c r="A3026" s="32">
        <v>3025.0</v>
      </c>
      <c r="B3026" s="32" t="s">
        <v>3845</v>
      </c>
      <c r="C3026" s="32" t="s">
        <v>184</v>
      </c>
      <c r="D3026" s="32" t="s">
        <v>351</v>
      </c>
      <c r="E3026" s="32" t="s">
        <v>255</v>
      </c>
    </row>
    <row r="3027" ht="16.5" customHeight="1">
      <c r="A3027" s="32">
        <v>3026.0</v>
      </c>
      <c r="B3027" s="32" t="s">
        <v>3846</v>
      </c>
      <c r="C3027" s="32" t="s">
        <v>184</v>
      </c>
      <c r="D3027" s="32" t="s">
        <v>192</v>
      </c>
      <c r="E3027" s="32" t="s">
        <v>255</v>
      </c>
    </row>
    <row r="3028" ht="16.5" customHeight="1">
      <c r="A3028" s="32">
        <v>3027.0</v>
      </c>
      <c r="B3028" s="32" t="s">
        <v>3847</v>
      </c>
      <c r="C3028" s="32" t="s">
        <v>184</v>
      </c>
      <c r="D3028" s="32" t="s">
        <v>254</v>
      </c>
      <c r="E3028" s="32" t="s">
        <v>399</v>
      </c>
    </row>
    <row r="3029" ht="16.5" customHeight="1">
      <c r="A3029" s="32">
        <v>3028.0</v>
      </c>
      <c r="B3029" s="32" t="s">
        <v>3848</v>
      </c>
      <c r="C3029" s="32" t="s">
        <v>184</v>
      </c>
      <c r="D3029" s="32" t="s">
        <v>192</v>
      </c>
      <c r="E3029" s="32" t="s">
        <v>255</v>
      </c>
    </row>
    <row r="3030" ht="16.5" customHeight="1">
      <c r="A3030" s="32">
        <v>3029.0</v>
      </c>
      <c r="B3030" s="32" t="s">
        <v>3849</v>
      </c>
      <c r="C3030" s="32" t="s">
        <v>184</v>
      </c>
      <c r="D3030" s="32" t="s">
        <v>234</v>
      </c>
      <c r="E3030" s="32" t="s">
        <v>255</v>
      </c>
      <c r="F3030" s="32" t="s">
        <v>3850</v>
      </c>
      <c r="G3030" s="32" t="s">
        <v>3851</v>
      </c>
    </row>
    <row r="3031" ht="16.5" customHeight="1">
      <c r="A3031" s="32">
        <v>3030.0</v>
      </c>
      <c r="B3031" s="32" t="s">
        <v>3852</v>
      </c>
      <c r="C3031" s="32" t="s">
        <v>184</v>
      </c>
      <c r="D3031" s="32" t="s">
        <v>192</v>
      </c>
      <c r="E3031" s="32" t="s">
        <v>255</v>
      </c>
      <c r="F3031" s="32" t="s">
        <v>300</v>
      </c>
      <c r="G3031" s="32" t="s">
        <v>3853</v>
      </c>
    </row>
    <row r="3032" ht="16.5" customHeight="1">
      <c r="A3032" s="32">
        <v>3031.0</v>
      </c>
      <c r="B3032" s="32" t="s">
        <v>3854</v>
      </c>
      <c r="C3032" s="32" t="s">
        <v>184</v>
      </c>
      <c r="D3032" s="32" t="s">
        <v>254</v>
      </c>
      <c r="E3032" s="32" t="s">
        <v>399</v>
      </c>
      <c r="F3032" s="32" t="s">
        <v>305</v>
      </c>
      <c r="G3032" s="32" t="s">
        <v>3855</v>
      </c>
    </row>
    <row r="3033" ht="16.5" customHeight="1">
      <c r="A3033" s="32">
        <v>3032.0</v>
      </c>
      <c r="B3033" s="32" t="s">
        <v>3856</v>
      </c>
      <c r="C3033" s="32" t="s">
        <v>184</v>
      </c>
      <c r="D3033" s="32" t="s">
        <v>192</v>
      </c>
      <c r="E3033" s="32" t="s">
        <v>255</v>
      </c>
      <c r="F3033" s="32" t="s">
        <v>300</v>
      </c>
      <c r="G3033" s="32" t="s">
        <v>387</v>
      </c>
    </row>
    <row r="3034" ht="16.5" customHeight="1">
      <c r="A3034" s="32">
        <v>3033.0</v>
      </c>
      <c r="B3034" s="32" t="s">
        <v>3857</v>
      </c>
      <c r="C3034" s="32" t="s">
        <v>184</v>
      </c>
      <c r="D3034" s="32" t="s">
        <v>192</v>
      </c>
      <c r="E3034" s="32" t="s">
        <v>255</v>
      </c>
    </row>
    <row r="3035" ht="16.5" customHeight="1">
      <c r="A3035" s="32">
        <v>3034.0</v>
      </c>
      <c r="B3035" s="32" t="s">
        <v>3858</v>
      </c>
      <c r="C3035" s="32" t="s">
        <v>184</v>
      </c>
      <c r="D3035" s="32" t="s">
        <v>192</v>
      </c>
      <c r="E3035" s="32" t="s">
        <v>255</v>
      </c>
      <c r="F3035" s="32" t="s">
        <v>300</v>
      </c>
      <c r="G3035" s="32" t="s">
        <v>445</v>
      </c>
    </row>
    <row r="3036" ht="16.5" customHeight="1">
      <c r="A3036" s="32">
        <v>3035.0</v>
      </c>
      <c r="B3036" s="32" t="s">
        <v>3859</v>
      </c>
      <c r="C3036" s="32" t="s">
        <v>184</v>
      </c>
      <c r="D3036" s="32" t="s">
        <v>192</v>
      </c>
      <c r="E3036" s="32" t="s">
        <v>255</v>
      </c>
      <c r="F3036" s="32" t="s">
        <v>570</v>
      </c>
      <c r="G3036" s="32" t="s">
        <v>447</v>
      </c>
    </row>
    <row r="3037" ht="16.5" customHeight="1">
      <c r="A3037" s="32">
        <v>3036.0</v>
      </c>
      <c r="B3037" s="32" t="s">
        <v>3860</v>
      </c>
      <c r="C3037" s="32" t="s">
        <v>184</v>
      </c>
      <c r="D3037" s="32" t="s">
        <v>192</v>
      </c>
      <c r="E3037" s="32" t="s">
        <v>255</v>
      </c>
      <c r="F3037" s="32" t="s">
        <v>731</v>
      </c>
      <c r="G3037" s="32" t="s">
        <v>408</v>
      </c>
    </row>
    <row r="3038" ht="16.5" customHeight="1">
      <c r="A3038" s="32">
        <v>3037.0</v>
      </c>
      <c r="B3038" s="32" t="s">
        <v>3861</v>
      </c>
      <c r="C3038" s="32" t="s">
        <v>184</v>
      </c>
      <c r="D3038" s="32" t="s">
        <v>254</v>
      </c>
      <c r="E3038" s="32" t="s">
        <v>255</v>
      </c>
      <c r="F3038" s="32" t="s">
        <v>256</v>
      </c>
      <c r="G3038" s="32" t="s">
        <v>3862</v>
      </c>
    </row>
    <row r="3039" ht="16.5" customHeight="1">
      <c r="A3039" s="32">
        <v>3038.0</v>
      </c>
      <c r="B3039" s="32" t="s">
        <v>3863</v>
      </c>
      <c r="C3039" s="32" t="s">
        <v>184</v>
      </c>
      <c r="D3039" s="32" t="s">
        <v>228</v>
      </c>
      <c r="E3039" s="32" t="s">
        <v>186</v>
      </c>
      <c r="F3039" s="32" t="s">
        <v>3864</v>
      </c>
    </row>
    <row r="3040" ht="16.5" customHeight="1">
      <c r="A3040" s="32">
        <v>3039.0</v>
      </c>
      <c r="B3040" s="32" t="s">
        <v>3865</v>
      </c>
      <c r="C3040" s="32" t="s">
        <v>184</v>
      </c>
      <c r="D3040" s="32" t="s">
        <v>234</v>
      </c>
      <c r="E3040" s="32" t="s">
        <v>399</v>
      </c>
    </row>
    <row r="3041" ht="16.5" customHeight="1">
      <c r="A3041" s="32">
        <v>3040.0</v>
      </c>
      <c r="B3041" s="32" t="s">
        <v>3866</v>
      </c>
      <c r="C3041" s="32" t="s">
        <v>184</v>
      </c>
      <c r="D3041" s="32" t="s">
        <v>234</v>
      </c>
      <c r="E3041" s="32" t="s">
        <v>316</v>
      </c>
      <c r="F3041" s="32" t="s">
        <v>347</v>
      </c>
      <c r="G3041" s="32" t="s">
        <v>3020</v>
      </c>
    </row>
    <row r="3042" ht="16.5" customHeight="1">
      <c r="A3042" s="32">
        <v>3041.0</v>
      </c>
      <c r="B3042" s="32" t="s">
        <v>3867</v>
      </c>
      <c r="C3042" s="32" t="s">
        <v>184</v>
      </c>
      <c r="D3042" s="32" t="s">
        <v>234</v>
      </c>
      <c r="E3042" s="32" t="s">
        <v>255</v>
      </c>
    </row>
    <row r="3043" ht="16.5" customHeight="1">
      <c r="A3043" s="32">
        <v>3042.0</v>
      </c>
      <c r="B3043" s="32" t="s">
        <v>3868</v>
      </c>
      <c r="C3043" s="32" t="s">
        <v>184</v>
      </c>
      <c r="D3043" s="32" t="s">
        <v>234</v>
      </c>
      <c r="E3043" s="32" t="s">
        <v>255</v>
      </c>
      <c r="F3043" s="32" t="s">
        <v>347</v>
      </c>
      <c r="G3043" s="32" t="s">
        <v>382</v>
      </c>
    </row>
    <row r="3044" ht="16.5" customHeight="1">
      <c r="A3044" s="32">
        <v>3043.0</v>
      </c>
      <c r="B3044" s="32" t="s">
        <v>3868</v>
      </c>
      <c r="C3044" s="32" t="s">
        <v>184</v>
      </c>
      <c r="D3044" s="32" t="s">
        <v>234</v>
      </c>
      <c r="E3044" s="32" t="s">
        <v>255</v>
      </c>
      <c r="F3044" s="32" t="s">
        <v>347</v>
      </c>
      <c r="G3044" s="32" t="s">
        <v>382</v>
      </c>
    </row>
    <row r="3045" ht="16.5" customHeight="1">
      <c r="A3045" s="32">
        <v>3044.0</v>
      </c>
      <c r="B3045" s="32" t="s">
        <v>3869</v>
      </c>
      <c r="C3045" s="32" t="s">
        <v>184</v>
      </c>
      <c r="D3045" s="32" t="s">
        <v>234</v>
      </c>
      <c r="E3045" s="32" t="s">
        <v>316</v>
      </c>
      <c r="F3045" s="32" t="s">
        <v>347</v>
      </c>
      <c r="G3045" s="32" t="s">
        <v>382</v>
      </c>
    </row>
    <row r="3046" ht="16.5" customHeight="1">
      <c r="A3046" s="32">
        <v>3045.0</v>
      </c>
      <c r="B3046" s="32" t="s">
        <v>3870</v>
      </c>
      <c r="C3046" s="32" t="s">
        <v>184</v>
      </c>
      <c r="D3046" s="32" t="s">
        <v>234</v>
      </c>
      <c r="E3046" s="32" t="s">
        <v>255</v>
      </c>
      <c r="F3046" s="32" t="s">
        <v>347</v>
      </c>
      <c r="G3046" s="32" t="s">
        <v>382</v>
      </c>
    </row>
    <row r="3047" ht="16.5" customHeight="1">
      <c r="A3047" s="32">
        <v>3046.0</v>
      </c>
      <c r="B3047" s="32" t="s">
        <v>3871</v>
      </c>
      <c r="C3047" s="32" t="s">
        <v>184</v>
      </c>
      <c r="D3047" s="32" t="s">
        <v>234</v>
      </c>
      <c r="E3047" s="32" t="s">
        <v>399</v>
      </c>
      <c r="F3047" s="32" t="s">
        <v>347</v>
      </c>
      <c r="G3047" s="32" t="s">
        <v>382</v>
      </c>
    </row>
    <row r="3048" ht="16.5" customHeight="1">
      <c r="A3048" s="32">
        <v>3047.0</v>
      </c>
      <c r="B3048" s="32" t="s">
        <v>3872</v>
      </c>
      <c r="C3048" s="32" t="s">
        <v>184</v>
      </c>
      <c r="D3048" s="32" t="s">
        <v>234</v>
      </c>
      <c r="E3048" s="32" t="s">
        <v>399</v>
      </c>
      <c r="F3048" s="32" t="s">
        <v>235</v>
      </c>
      <c r="G3048" s="32" t="s">
        <v>243</v>
      </c>
    </row>
    <row r="3049" ht="16.5" customHeight="1">
      <c r="A3049" s="32">
        <v>3048.0</v>
      </c>
      <c r="B3049" s="32" t="s">
        <v>3873</v>
      </c>
      <c r="C3049" s="32" t="s">
        <v>184</v>
      </c>
      <c r="D3049" s="32" t="s">
        <v>234</v>
      </c>
      <c r="E3049" s="32" t="s">
        <v>399</v>
      </c>
      <c r="F3049" s="32" t="s">
        <v>347</v>
      </c>
      <c r="G3049" s="32" t="s">
        <v>382</v>
      </c>
    </row>
    <row r="3050" ht="16.5" customHeight="1">
      <c r="A3050" s="32">
        <v>3049.0</v>
      </c>
      <c r="B3050" s="32" t="s">
        <v>3874</v>
      </c>
      <c r="C3050" s="32" t="s">
        <v>184</v>
      </c>
      <c r="D3050" s="32" t="s">
        <v>234</v>
      </c>
      <c r="E3050" s="32" t="s">
        <v>255</v>
      </c>
      <c r="F3050" s="32" t="s">
        <v>347</v>
      </c>
      <c r="G3050" s="32" t="s">
        <v>382</v>
      </c>
    </row>
    <row r="3051" ht="16.5" customHeight="1">
      <c r="A3051" s="32">
        <v>3050.0</v>
      </c>
      <c r="B3051" s="32" t="s">
        <v>3875</v>
      </c>
      <c r="C3051" s="32" t="s">
        <v>184</v>
      </c>
      <c r="D3051" s="32" t="s">
        <v>234</v>
      </c>
      <c r="E3051" s="32" t="s">
        <v>255</v>
      </c>
      <c r="F3051" s="32" t="s">
        <v>235</v>
      </c>
      <c r="G3051" s="32" t="s">
        <v>243</v>
      </c>
    </row>
    <row r="3052" ht="16.5" customHeight="1">
      <c r="A3052" s="32">
        <v>3051.0</v>
      </c>
      <c r="B3052" s="32" t="s">
        <v>3876</v>
      </c>
      <c r="C3052" s="32" t="s">
        <v>184</v>
      </c>
      <c r="D3052" s="32" t="s">
        <v>234</v>
      </c>
      <c r="E3052" s="32" t="s">
        <v>255</v>
      </c>
      <c r="F3052" s="32" t="s">
        <v>347</v>
      </c>
      <c r="G3052" s="32" t="s">
        <v>382</v>
      </c>
    </row>
    <row r="3053" ht="16.5" customHeight="1">
      <c r="A3053" s="32">
        <v>3052.0</v>
      </c>
      <c r="B3053" s="32" t="s">
        <v>3877</v>
      </c>
      <c r="C3053" s="32" t="s">
        <v>184</v>
      </c>
      <c r="D3053" s="32" t="s">
        <v>234</v>
      </c>
      <c r="E3053" s="32" t="s">
        <v>255</v>
      </c>
      <c r="F3053" s="32" t="s">
        <v>347</v>
      </c>
      <c r="G3053" s="32" t="s">
        <v>382</v>
      </c>
    </row>
    <row r="3054" ht="16.5" customHeight="1">
      <c r="A3054" s="32">
        <v>3053.0</v>
      </c>
      <c r="B3054" s="32" t="s">
        <v>3878</v>
      </c>
      <c r="C3054" s="32" t="s">
        <v>184</v>
      </c>
      <c r="D3054" s="32" t="s">
        <v>234</v>
      </c>
      <c r="E3054" s="32" t="s">
        <v>255</v>
      </c>
    </row>
    <row r="3055" ht="16.5" customHeight="1">
      <c r="A3055" s="32">
        <v>3054.0</v>
      </c>
      <c r="B3055" s="32" t="s">
        <v>3879</v>
      </c>
      <c r="C3055" s="32" t="s">
        <v>184</v>
      </c>
      <c r="D3055" s="32" t="s">
        <v>234</v>
      </c>
      <c r="E3055" s="32" t="s">
        <v>255</v>
      </c>
    </row>
    <row r="3056" ht="16.5" customHeight="1">
      <c r="A3056" s="32">
        <v>3055.0</v>
      </c>
      <c r="B3056" s="32" t="s">
        <v>3880</v>
      </c>
      <c r="C3056" s="32" t="s">
        <v>184</v>
      </c>
      <c r="D3056" s="32" t="s">
        <v>234</v>
      </c>
      <c r="E3056" s="32" t="s">
        <v>255</v>
      </c>
    </row>
    <row r="3057" ht="16.5" customHeight="1">
      <c r="A3057" s="32">
        <v>3056.0</v>
      </c>
      <c r="B3057" s="32" t="s">
        <v>3881</v>
      </c>
      <c r="C3057" s="32" t="s">
        <v>184</v>
      </c>
      <c r="D3057" s="32" t="s">
        <v>228</v>
      </c>
      <c r="E3057" s="32" t="s">
        <v>222</v>
      </c>
      <c r="F3057" s="32" t="s">
        <v>223</v>
      </c>
      <c r="G3057" s="32" t="s">
        <v>472</v>
      </c>
    </row>
    <row r="3058" ht="16.5" customHeight="1">
      <c r="A3058" s="32">
        <v>3057.0</v>
      </c>
      <c r="B3058" s="32" t="s">
        <v>3882</v>
      </c>
      <c r="C3058" s="32" t="s">
        <v>184</v>
      </c>
      <c r="D3058" s="35" t="s">
        <v>1894</v>
      </c>
      <c r="E3058" s="32" t="s">
        <v>255</v>
      </c>
      <c r="F3058" s="32" t="s">
        <v>2400</v>
      </c>
      <c r="G3058" s="32" t="s">
        <v>229</v>
      </c>
    </row>
    <row r="3059" ht="16.5" customHeight="1">
      <c r="A3059" s="32">
        <v>3058.0</v>
      </c>
      <c r="B3059" s="32" t="s">
        <v>3883</v>
      </c>
      <c r="C3059" s="32" t="s">
        <v>184</v>
      </c>
      <c r="D3059" s="32" t="s">
        <v>234</v>
      </c>
      <c r="E3059" s="32" t="s">
        <v>255</v>
      </c>
    </row>
    <row r="3060" ht="16.5" customHeight="1">
      <c r="A3060" s="32">
        <v>3059.0</v>
      </c>
      <c r="B3060" s="32" t="s">
        <v>3884</v>
      </c>
      <c r="C3060" s="32" t="s">
        <v>184</v>
      </c>
      <c r="D3060" s="32" t="s">
        <v>185</v>
      </c>
      <c r="E3060" s="32" t="s">
        <v>255</v>
      </c>
      <c r="F3060" s="32" t="s">
        <v>3885</v>
      </c>
      <c r="G3060" s="32" t="s">
        <v>382</v>
      </c>
    </row>
    <row r="3061" ht="16.5" customHeight="1">
      <c r="A3061" s="32">
        <v>3060.0</v>
      </c>
      <c r="B3061" s="32" t="s">
        <v>3886</v>
      </c>
      <c r="C3061" s="32" t="s">
        <v>184</v>
      </c>
      <c r="D3061" s="32" t="s">
        <v>234</v>
      </c>
      <c r="E3061" s="32" t="s">
        <v>255</v>
      </c>
    </row>
    <row r="3062" ht="16.5" customHeight="1">
      <c r="A3062" s="32">
        <v>3061.0</v>
      </c>
      <c r="B3062" s="32" t="s">
        <v>3887</v>
      </c>
      <c r="C3062" s="32" t="s">
        <v>184</v>
      </c>
      <c r="D3062" s="32" t="s">
        <v>234</v>
      </c>
      <c r="E3062" s="32" t="s">
        <v>373</v>
      </c>
      <c r="F3062" s="32" t="s">
        <v>347</v>
      </c>
      <c r="G3062" s="32" t="s">
        <v>382</v>
      </c>
    </row>
    <row r="3063" ht="16.5" customHeight="1">
      <c r="A3063" s="32">
        <v>3062.0</v>
      </c>
      <c r="B3063" s="32" t="s">
        <v>3888</v>
      </c>
      <c r="C3063" s="32" t="s">
        <v>184</v>
      </c>
      <c r="D3063" s="32" t="s">
        <v>219</v>
      </c>
      <c r="E3063" s="32" t="s">
        <v>255</v>
      </c>
      <c r="F3063" s="32" t="s">
        <v>223</v>
      </c>
      <c r="G3063" s="32" t="s">
        <v>472</v>
      </c>
    </row>
    <row r="3064" ht="16.5" customHeight="1">
      <c r="A3064" s="32">
        <v>3063.0</v>
      </c>
      <c r="B3064" s="32" t="s">
        <v>3889</v>
      </c>
      <c r="C3064" s="32" t="s">
        <v>184</v>
      </c>
      <c r="D3064" s="32" t="s">
        <v>234</v>
      </c>
      <c r="E3064" s="32" t="s">
        <v>255</v>
      </c>
      <c r="F3064" s="32" t="s">
        <v>3890</v>
      </c>
      <c r="G3064" s="32" t="s">
        <v>3891</v>
      </c>
    </row>
    <row r="3065" ht="16.5" customHeight="1">
      <c r="A3065" s="32">
        <v>3064.0</v>
      </c>
      <c r="B3065" s="32" t="s">
        <v>3892</v>
      </c>
      <c r="C3065" s="32" t="s">
        <v>184</v>
      </c>
      <c r="D3065" s="32" t="s">
        <v>234</v>
      </c>
      <c r="E3065" s="32" t="s">
        <v>255</v>
      </c>
      <c r="F3065" s="32" t="s">
        <v>3890</v>
      </c>
      <c r="G3065" s="32" t="s">
        <v>3891</v>
      </c>
    </row>
    <row r="3066" ht="16.5" customHeight="1">
      <c r="A3066" s="32">
        <v>3065.0</v>
      </c>
      <c r="B3066" s="32" t="s">
        <v>3893</v>
      </c>
      <c r="C3066" s="32" t="s">
        <v>184</v>
      </c>
      <c r="D3066" s="32" t="s">
        <v>234</v>
      </c>
      <c r="E3066" s="32" t="s">
        <v>255</v>
      </c>
      <c r="F3066" s="32" t="s">
        <v>1874</v>
      </c>
      <c r="G3066" s="32" t="s">
        <v>3894</v>
      </c>
    </row>
    <row r="3067" ht="16.5" customHeight="1">
      <c r="A3067" s="32">
        <v>3066.0</v>
      </c>
      <c r="B3067" s="32" t="s">
        <v>3895</v>
      </c>
      <c r="C3067" s="32" t="s">
        <v>184</v>
      </c>
      <c r="D3067" s="32" t="s">
        <v>234</v>
      </c>
      <c r="E3067" s="32" t="s">
        <v>255</v>
      </c>
    </row>
    <row r="3068" ht="16.5" customHeight="1">
      <c r="A3068" s="32">
        <v>3067.0</v>
      </c>
      <c r="B3068" s="32" t="s">
        <v>3896</v>
      </c>
      <c r="C3068" s="32" t="s">
        <v>184</v>
      </c>
      <c r="D3068" s="32" t="s">
        <v>254</v>
      </c>
      <c r="E3068" s="32" t="s">
        <v>255</v>
      </c>
    </row>
    <row r="3069" ht="16.5" customHeight="1">
      <c r="A3069" s="32">
        <v>3068.0</v>
      </c>
      <c r="B3069" s="32" t="s">
        <v>3897</v>
      </c>
      <c r="C3069" s="32" t="s">
        <v>184</v>
      </c>
      <c r="D3069" s="32" t="s">
        <v>192</v>
      </c>
      <c r="E3069" s="32" t="s">
        <v>255</v>
      </c>
      <c r="F3069" s="32" t="s">
        <v>3898</v>
      </c>
    </row>
    <row r="3070" ht="16.5" customHeight="1">
      <c r="A3070" s="32">
        <v>3069.0</v>
      </c>
      <c r="B3070" s="32" t="s">
        <v>3899</v>
      </c>
      <c r="C3070" s="32" t="s">
        <v>184</v>
      </c>
      <c r="D3070" s="32" t="s">
        <v>185</v>
      </c>
      <c r="E3070" s="32" t="s">
        <v>727</v>
      </c>
      <c r="F3070" s="32" t="s">
        <v>188</v>
      </c>
      <c r="G3070" s="32" t="s">
        <v>857</v>
      </c>
    </row>
    <row r="3071" ht="16.5" customHeight="1">
      <c r="A3071" s="32">
        <v>3070.0</v>
      </c>
      <c r="B3071" s="32" t="s">
        <v>3900</v>
      </c>
      <c r="C3071" s="32" t="s">
        <v>184</v>
      </c>
      <c r="D3071" s="32" t="s">
        <v>185</v>
      </c>
      <c r="E3071" s="32" t="s">
        <v>727</v>
      </c>
      <c r="F3071" s="32" t="s">
        <v>187</v>
      </c>
      <c r="G3071" s="32" t="s">
        <v>188</v>
      </c>
    </row>
    <row r="3072" ht="16.5" customHeight="1">
      <c r="A3072" s="32">
        <v>3071.0</v>
      </c>
      <c r="B3072" s="32" t="s">
        <v>3901</v>
      </c>
      <c r="C3072" s="32" t="s">
        <v>184</v>
      </c>
      <c r="D3072" s="32" t="s">
        <v>285</v>
      </c>
      <c r="E3072" s="32" t="s">
        <v>255</v>
      </c>
      <c r="F3072" s="32" t="s">
        <v>189</v>
      </c>
      <c r="G3072" s="32" t="s">
        <v>190</v>
      </c>
    </row>
    <row r="3073" ht="16.5" customHeight="1">
      <c r="A3073" s="32">
        <v>3072.0</v>
      </c>
      <c r="B3073" s="32" t="s">
        <v>3902</v>
      </c>
      <c r="C3073" s="32" t="s">
        <v>184</v>
      </c>
      <c r="D3073" s="32" t="s">
        <v>228</v>
      </c>
      <c r="E3073" s="32" t="s">
        <v>255</v>
      </c>
      <c r="F3073" s="32" t="s">
        <v>333</v>
      </c>
      <c r="G3073" s="32" t="s">
        <v>3903</v>
      </c>
    </row>
    <row r="3074" ht="16.5" customHeight="1">
      <c r="A3074" s="32">
        <v>3073.0</v>
      </c>
      <c r="B3074" s="32" t="s">
        <v>3904</v>
      </c>
      <c r="C3074" s="32" t="s">
        <v>184</v>
      </c>
      <c r="D3074" s="32" t="s">
        <v>285</v>
      </c>
      <c r="E3074" s="32" t="s">
        <v>255</v>
      </c>
      <c r="F3074" s="32" t="s">
        <v>188</v>
      </c>
      <c r="G3074" s="32" t="s">
        <v>665</v>
      </c>
    </row>
    <row r="3075" ht="16.5" customHeight="1">
      <c r="A3075" s="32">
        <v>3074.0</v>
      </c>
      <c r="B3075" s="32" t="s">
        <v>3905</v>
      </c>
      <c r="C3075" s="32" t="s">
        <v>184</v>
      </c>
      <c r="D3075" s="32" t="s">
        <v>254</v>
      </c>
      <c r="E3075" s="32" t="s">
        <v>255</v>
      </c>
      <c r="F3075" s="32" t="s">
        <v>256</v>
      </c>
      <c r="G3075" s="32" t="s">
        <v>257</v>
      </c>
    </row>
    <row r="3076" ht="16.5" customHeight="1">
      <c r="A3076" s="32">
        <v>3075.0</v>
      </c>
      <c r="B3076" s="32" t="s">
        <v>3906</v>
      </c>
      <c r="C3076" s="32" t="s">
        <v>184</v>
      </c>
      <c r="D3076" s="32" t="s">
        <v>234</v>
      </c>
      <c r="E3076" s="32" t="s">
        <v>255</v>
      </c>
      <c r="F3076" s="32" t="s">
        <v>347</v>
      </c>
      <c r="G3076" s="32" t="s">
        <v>3907</v>
      </c>
    </row>
    <row r="3077" ht="16.5" customHeight="1">
      <c r="A3077" s="32">
        <v>3076.0</v>
      </c>
      <c r="B3077" s="32" t="s">
        <v>3908</v>
      </c>
      <c r="C3077" s="32" t="s">
        <v>184</v>
      </c>
      <c r="D3077" s="32" t="s">
        <v>234</v>
      </c>
      <c r="E3077" s="32" t="s">
        <v>255</v>
      </c>
      <c r="F3077" s="32" t="s">
        <v>347</v>
      </c>
      <c r="G3077" s="32" t="s">
        <v>3909</v>
      </c>
    </row>
    <row r="3078" ht="16.5" customHeight="1">
      <c r="A3078" s="32">
        <v>3077.0</v>
      </c>
      <c r="B3078" s="32" t="s">
        <v>3910</v>
      </c>
      <c r="C3078" s="32" t="s">
        <v>184</v>
      </c>
      <c r="D3078" s="32" t="s">
        <v>254</v>
      </c>
      <c r="E3078" s="32" t="s">
        <v>255</v>
      </c>
      <c r="F3078" s="32" t="s">
        <v>187</v>
      </c>
      <c r="G3078" s="32" t="s">
        <v>854</v>
      </c>
    </row>
    <row r="3079" ht="16.5" customHeight="1">
      <c r="A3079" s="32">
        <v>3078.0</v>
      </c>
      <c r="B3079" s="32" t="s">
        <v>3911</v>
      </c>
      <c r="C3079" s="32" t="s">
        <v>184</v>
      </c>
      <c r="D3079" s="32" t="s">
        <v>228</v>
      </c>
      <c r="E3079" s="32" t="s">
        <v>255</v>
      </c>
      <c r="F3079" s="32" t="s">
        <v>408</v>
      </c>
      <c r="G3079" s="32" t="s">
        <v>452</v>
      </c>
    </row>
    <row r="3080" ht="16.5" customHeight="1">
      <c r="A3080" s="32">
        <v>3079.0</v>
      </c>
      <c r="B3080" s="32" t="s">
        <v>3912</v>
      </c>
      <c r="C3080" s="32" t="s">
        <v>184</v>
      </c>
      <c r="D3080" s="32" t="s">
        <v>192</v>
      </c>
      <c r="E3080" s="32" t="s">
        <v>255</v>
      </c>
      <c r="F3080" s="32" t="s">
        <v>329</v>
      </c>
      <c r="G3080" s="32" t="s">
        <v>447</v>
      </c>
    </row>
    <row r="3081" ht="16.5" customHeight="1">
      <c r="A3081" s="32">
        <v>3080.0</v>
      </c>
      <c r="B3081" s="32" t="s">
        <v>3913</v>
      </c>
      <c r="C3081" s="32" t="s">
        <v>184</v>
      </c>
      <c r="D3081" s="35" t="s">
        <v>294</v>
      </c>
      <c r="E3081" s="32" t="s">
        <v>255</v>
      </c>
      <c r="F3081" s="32" t="s">
        <v>189</v>
      </c>
      <c r="G3081" s="32" t="s">
        <v>190</v>
      </c>
    </row>
    <row r="3082" ht="16.5" customHeight="1">
      <c r="A3082" s="32">
        <v>3081.0</v>
      </c>
      <c r="B3082" s="32" t="s">
        <v>3914</v>
      </c>
      <c r="C3082" s="32" t="s">
        <v>184</v>
      </c>
      <c r="D3082" s="32" t="s">
        <v>321</v>
      </c>
      <c r="E3082" s="32" t="s">
        <v>1160</v>
      </c>
    </row>
    <row r="3083" ht="16.5" customHeight="1">
      <c r="A3083" s="32">
        <v>3082.0</v>
      </c>
      <c r="B3083" s="32" t="s">
        <v>3915</v>
      </c>
      <c r="C3083" s="32" t="s">
        <v>184</v>
      </c>
      <c r="D3083" s="32" t="s">
        <v>192</v>
      </c>
      <c r="E3083" s="32" t="s">
        <v>255</v>
      </c>
      <c r="F3083" s="32" t="s">
        <v>300</v>
      </c>
      <c r="G3083" s="32" t="s">
        <v>3916</v>
      </c>
    </row>
    <row r="3084" ht="16.5" customHeight="1">
      <c r="A3084" s="32">
        <v>3083.0</v>
      </c>
      <c r="B3084" s="32" t="s">
        <v>3917</v>
      </c>
      <c r="C3084" s="32" t="s">
        <v>184</v>
      </c>
      <c r="D3084" s="32" t="s">
        <v>285</v>
      </c>
      <c r="E3084" s="32" t="s">
        <v>255</v>
      </c>
    </row>
    <row r="3085" ht="16.5" customHeight="1">
      <c r="A3085" s="32">
        <v>3084.0</v>
      </c>
      <c r="B3085" s="32" t="s">
        <v>3918</v>
      </c>
      <c r="C3085" s="32" t="s">
        <v>184</v>
      </c>
      <c r="D3085" s="32" t="s">
        <v>185</v>
      </c>
      <c r="E3085" s="32" t="s">
        <v>523</v>
      </c>
    </row>
    <row r="3086" ht="16.5" customHeight="1">
      <c r="A3086" s="32">
        <v>3085.0</v>
      </c>
      <c r="B3086" s="32" t="s">
        <v>3919</v>
      </c>
      <c r="C3086" s="32" t="s">
        <v>184</v>
      </c>
      <c r="D3086" s="32" t="s">
        <v>285</v>
      </c>
      <c r="E3086" s="32" t="s">
        <v>523</v>
      </c>
    </row>
    <row r="3087" ht="16.5" customHeight="1">
      <c r="A3087" s="32">
        <v>3086.0</v>
      </c>
      <c r="B3087" s="32" t="s">
        <v>3920</v>
      </c>
      <c r="C3087" s="32" t="s">
        <v>184</v>
      </c>
      <c r="D3087" s="32" t="s">
        <v>254</v>
      </c>
      <c r="E3087" s="32" t="s">
        <v>523</v>
      </c>
      <c r="F3087" s="32" t="s">
        <v>1328</v>
      </c>
      <c r="G3087" s="32" t="s">
        <v>3921</v>
      </c>
    </row>
    <row r="3088" ht="16.5" customHeight="1">
      <c r="A3088" s="32">
        <v>3087.0</v>
      </c>
      <c r="B3088" s="32" t="s">
        <v>3922</v>
      </c>
      <c r="C3088" s="32" t="s">
        <v>184</v>
      </c>
      <c r="D3088" s="32" t="s">
        <v>254</v>
      </c>
      <c r="E3088" s="32" t="s">
        <v>523</v>
      </c>
    </row>
    <row r="3089" ht="16.5" customHeight="1">
      <c r="A3089" s="32">
        <v>3088.0</v>
      </c>
      <c r="B3089" s="32" t="s">
        <v>3923</v>
      </c>
      <c r="C3089" s="32" t="s">
        <v>184</v>
      </c>
      <c r="D3089" s="32" t="s">
        <v>285</v>
      </c>
      <c r="E3089" s="32" t="s">
        <v>523</v>
      </c>
    </row>
    <row r="3090" ht="16.5" customHeight="1">
      <c r="A3090" s="32">
        <v>3089.0</v>
      </c>
      <c r="B3090" s="32" t="s">
        <v>3924</v>
      </c>
      <c r="C3090" s="32" t="s">
        <v>184</v>
      </c>
      <c r="D3090" s="32" t="s">
        <v>185</v>
      </c>
      <c r="E3090" s="32" t="s">
        <v>523</v>
      </c>
      <c r="F3090" s="32" t="s">
        <v>187</v>
      </c>
      <c r="G3090" s="32" t="s">
        <v>188</v>
      </c>
    </row>
    <row r="3091" ht="16.5" customHeight="1">
      <c r="A3091" s="32">
        <v>3090.0</v>
      </c>
      <c r="B3091" s="32" t="s">
        <v>3925</v>
      </c>
      <c r="C3091" s="32" t="s">
        <v>184</v>
      </c>
      <c r="D3091" s="32" t="s">
        <v>185</v>
      </c>
      <c r="E3091" s="32" t="s">
        <v>523</v>
      </c>
      <c r="F3091" s="32" t="s">
        <v>475</v>
      </c>
      <c r="G3091" s="32" t="s">
        <v>1206</v>
      </c>
    </row>
    <row r="3092" ht="16.5" customHeight="1">
      <c r="A3092" s="32">
        <v>3091.0</v>
      </c>
      <c r="B3092" s="32" t="s">
        <v>3926</v>
      </c>
      <c r="C3092" s="32" t="s">
        <v>184</v>
      </c>
      <c r="D3092" s="32" t="s">
        <v>192</v>
      </c>
      <c r="E3092" s="32" t="s">
        <v>523</v>
      </c>
      <c r="F3092" s="32" t="s">
        <v>329</v>
      </c>
      <c r="G3092" s="32" t="s">
        <v>357</v>
      </c>
    </row>
    <row r="3093" ht="16.5" customHeight="1">
      <c r="A3093" s="32">
        <v>3092.0</v>
      </c>
      <c r="B3093" s="32" t="s">
        <v>3927</v>
      </c>
      <c r="C3093" s="32" t="s">
        <v>184</v>
      </c>
      <c r="D3093" s="32" t="s">
        <v>228</v>
      </c>
      <c r="E3093" s="32" t="s">
        <v>523</v>
      </c>
    </row>
    <row r="3094" ht="16.5" customHeight="1">
      <c r="A3094" s="32">
        <v>3093.0</v>
      </c>
      <c r="B3094" s="32" t="s">
        <v>3928</v>
      </c>
      <c r="C3094" s="32" t="s">
        <v>184</v>
      </c>
      <c r="D3094" s="32" t="s">
        <v>192</v>
      </c>
      <c r="E3094" s="32" t="s">
        <v>523</v>
      </c>
    </row>
    <row r="3095" ht="16.5" customHeight="1">
      <c r="A3095" s="32">
        <v>3094.0</v>
      </c>
      <c r="B3095" s="32" t="s">
        <v>3929</v>
      </c>
      <c r="C3095" s="32" t="s">
        <v>184</v>
      </c>
      <c r="D3095" s="32" t="s">
        <v>185</v>
      </c>
      <c r="E3095" s="32" t="s">
        <v>523</v>
      </c>
      <c r="F3095" s="32" t="s">
        <v>267</v>
      </c>
    </row>
    <row r="3096" ht="16.5" customHeight="1">
      <c r="A3096" s="32">
        <v>3095.0</v>
      </c>
      <c r="B3096" s="32" t="s">
        <v>3930</v>
      </c>
      <c r="C3096" s="32" t="s">
        <v>184</v>
      </c>
      <c r="D3096" s="32" t="s">
        <v>285</v>
      </c>
      <c r="E3096" s="32" t="s">
        <v>215</v>
      </c>
    </row>
    <row r="3097" ht="16.5" customHeight="1">
      <c r="A3097" s="32">
        <v>3096.0</v>
      </c>
      <c r="B3097" s="32" t="s">
        <v>3931</v>
      </c>
      <c r="C3097" s="32" t="s">
        <v>184</v>
      </c>
      <c r="D3097" s="32" t="s">
        <v>325</v>
      </c>
      <c r="E3097" s="32" t="s">
        <v>523</v>
      </c>
      <c r="F3097" s="32" t="s">
        <v>368</v>
      </c>
      <c r="G3097" s="32" t="s">
        <v>463</v>
      </c>
    </row>
    <row r="3098" ht="16.5" customHeight="1">
      <c r="A3098" s="32">
        <v>3097.0</v>
      </c>
      <c r="B3098" s="32" t="s">
        <v>3932</v>
      </c>
      <c r="C3098" s="32" t="s">
        <v>184</v>
      </c>
      <c r="D3098" s="32" t="s">
        <v>185</v>
      </c>
      <c r="E3098" s="32" t="s">
        <v>523</v>
      </c>
      <c r="F3098" s="32" t="s">
        <v>475</v>
      </c>
      <c r="G3098" s="32" t="s">
        <v>476</v>
      </c>
    </row>
    <row r="3099" ht="16.5" customHeight="1">
      <c r="A3099" s="32">
        <v>3098.0</v>
      </c>
      <c r="B3099" s="32" t="s">
        <v>3933</v>
      </c>
      <c r="C3099" s="32" t="s">
        <v>184</v>
      </c>
      <c r="D3099" s="32" t="s">
        <v>192</v>
      </c>
      <c r="E3099" s="32" t="s">
        <v>523</v>
      </c>
    </row>
    <row r="3100" ht="16.5" customHeight="1">
      <c r="A3100" s="32">
        <v>3099.0</v>
      </c>
      <c r="B3100" s="32" t="s">
        <v>3934</v>
      </c>
      <c r="C3100" s="32" t="s">
        <v>184</v>
      </c>
      <c r="D3100" s="32" t="s">
        <v>185</v>
      </c>
      <c r="E3100" s="32" t="s">
        <v>523</v>
      </c>
    </row>
    <row r="3101" ht="16.5" customHeight="1">
      <c r="A3101" s="32">
        <v>3100.0</v>
      </c>
      <c r="B3101" s="32" t="s">
        <v>3935</v>
      </c>
      <c r="C3101" s="32" t="s">
        <v>184</v>
      </c>
      <c r="D3101" s="32" t="s">
        <v>192</v>
      </c>
      <c r="E3101" s="32" t="s">
        <v>523</v>
      </c>
      <c r="F3101" s="32" t="s">
        <v>2197</v>
      </c>
      <c r="G3101" s="32" t="s">
        <v>1541</v>
      </c>
    </row>
    <row r="3102" ht="16.5" customHeight="1">
      <c r="A3102" s="32">
        <v>3101.0</v>
      </c>
      <c r="B3102" s="32" t="s">
        <v>3936</v>
      </c>
      <c r="C3102" s="32" t="s">
        <v>184</v>
      </c>
      <c r="D3102" s="32" t="s">
        <v>192</v>
      </c>
      <c r="E3102" s="32" t="s">
        <v>523</v>
      </c>
      <c r="F3102" s="32" t="s">
        <v>275</v>
      </c>
      <c r="G3102" s="32" t="s">
        <v>2412</v>
      </c>
    </row>
    <row r="3103" ht="16.5" customHeight="1">
      <c r="A3103" s="32">
        <v>3102.0</v>
      </c>
      <c r="B3103" s="32" t="s">
        <v>3937</v>
      </c>
      <c r="C3103" s="32" t="s">
        <v>184</v>
      </c>
      <c r="D3103" s="32" t="s">
        <v>325</v>
      </c>
      <c r="E3103" s="32" t="s">
        <v>523</v>
      </c>
    </row>
    <row r="3104" ht="16.5" customHeight="1">
      <c r="A3104" s="32">
        <v>3103.0</v>
      </c>
      <c r="B3104" s="32" t="s">
        <v>3938</v>
      </c>
      <c r="C3104" s="32" t="s">
        <v>184</v>
      </c>
      <c r="D3104" s="32" t="s">
        <v>325</v>
      </c>
      <c r="E3104" s="32" t="s">
        <v>523</v>
      </c>
    </row>
    <row r="3105" ht="16.5" customHeight="1">
      <c r="A3105" s="32">
        <v>3104.0</v>
      </c>
      <c r="B3105" s="32" t="s">
        <v>3939</v>
      </c>
      <c r="C3105" s="32" t="s">
        <v>184</v>
      </c>
      <c r="D3105" s="32" t="s">
        <v>325</v>
      </c>
      <c r="E3105" s="32" t="s">
        <v>523</v>
      </c>
    </row>
    <row r="3106" ht="16.5" customHeight="1">
      <c r="A3106" s="32">
        <v>3105.0</v>
      </c>
      <c r="B3106" s="32" t="s">
        <v>3940</v>
      </c>
      <c r="C3106" s="32" t="s">
        <v>184</v>
      </c>
      <c r="D3106" s="32" t="s">
        <v>325</v>
      </c>
      <c r="E3106" s="32" t="s">
        <v>523</v>
      </c>
    </row>
    <row r="3107" ht="16.5" customHeight="1">
      <c r="A3107" s="32">
        <v>3106.0</v>
      </c>
      <c r="B3107" s="32" t="s">
        <v>3941</v>
      </c>
      <c r="C3107" s="32" t="s">
        <v>184</v>
      </c>
      <c r="D3107" s="35" t="s">
        <v>310</v>
      </c>
      <c r="E3107" s="32" t="s">
        <v>523</v>
      </c>
      <c r="F3107" s="32" t="s">
        <v>3942</v>
      </c>
      <c r="G3107" s="32" t="s">
        <v>3943</v>
      </c>
    </row>
    <row r="3108" ht="16.5" customHeight="1">
      <c r="A3108" s="32">
        <v>3107.0</v>
      </c>
      <c r="B3108" s="32" t="s">
        <v>3944</v>
      </c>
      <c r="C3108" s="32" t="s">
        <v>184</v>
      </c>
      <c r="D3108" s="32" t="s">
        <v>192</v>
      </c>
      <c r="E3108" s="32" t="s">
        <v>523</v>
      </c>
    </row>
    <row r="3109" ht="16.5" customHeight="1">
      <c r="A3109" s="32">
        <v>3108.0</v>
      </c>
      <c r="B3109" s="32" t="s">
        <v>3945</v>
      </c>
      <c r="C3109" s="32" t="s">
        <v>184</v>
      </c>
      <c r="D3109" s="35" t="s">
        <v>294</v>
      </c>
      <c r="E3109" s="35" t="s">
        <v>3946</v>
      </c>
      <c r="F3109" s="32" t="s">
        <v>189</v>
      </c>
      <c r="G3109" s="32" t="s">
        <v>190</v>
      </c>
    </row>
    <row r="3110" ht="16.5" customHeight="1">
      <c r="A3110" s="32">
        <v>3109.0</v>
      </c>
      <c r="B3110" s="32" t="s">
        <v>3947</v>
      </c>
      <c r="C3110" s="32" t="s">
        <v>184</v>
      </c>
      <c r="D3110" s="32" t="s">
        <v>185</v>
      </c>
      <c r="E3110" s="32" t="s">
        <v>523</v>
      </c>
      <c r="F3110" s="32" t="s">
        <v>187</v>
      </c>
      <c r="G3110" s="32" t="s">
        <v>854</v>
      </c>
    </row>
    <row r="3111" ht="16.5" customHeight="1">
      <c r="A3111" s="32">
        <v>3110.0</v>
      </c>
      <c r="B3111" s="32" t="s">
        <v>3948</v>
      </c>
      <c r="C3111" s="32" t="s">
        <v>184</v>
      </c>
      <c r="D3111" s="32" t="s">
        <v>185</v>
      </c>
      <c r="E3111" s="32" t="s">
        <v>523</v>
      </c>
    </row>
    <row r="3112" ht="16.5" customHeight="1">
      <c r="A3112" s="32">
        <v>3111.0</v>
      </c>
      <c r="B3112" s="32" t="s">
        <v>3949</v>
      </c>
      <c r="C3112" s="32" t="s">
        <v>184</v>
      </c>
      <c r="D3112" s="32" t="s">
        <v>228</v>
      </c>
      <c r="E3112" s="32" t="s">
        <v>523</v>
      </c>
      <c r="F3112" s="32" t="s">
        <v>408</v>
      </c>
      <c r="G3112" s="32" t="s">
        <v>3950</v>
      </c>
    </row>
    <row r="3113" ht="16.5" customHeight="1">
      <c r="A3113" s="32">
        <v>3112.0</v>
      </c>
      <c r="B3113" s="32" t="s">
        <v>3951</v>
      </c>
      <c r="C3113" s="32" t="s">
        <v>184</v>
      </c>
      <c r="D3113" s="32" t="s">
        <v>214</v>
      </c>
      <c r="E3113" s="32" t="s">
        <v>523</v>
      </c>
      <c r="F3113" s="32" t="s">
        <v>216</v>
      </c>
      <c r="G3113" s="32" t="s">
        <v>217</v>
      </c>
    </row>
    <row r="3114" ht="16.5" customHeight="1">
      <c r="A3114" s="32">
        <v>3113.0</v>
      </c>
      <c r="B3114" s="32" t="s">
        <v>3952</v>
      </c>
      <c r="C3114" s="32" t="s">
        <v>184</v>
      </c>
      <c r="D3114" s="32" t="s">
        <v>185</v>
      </c>
      <c r="E3114" s="32" t="s">
        <v>523</v>
      </c>
      <c r="F3114" s="32" t="s">
        <v>187</v>
      </c>
      <c r="G3114" s="32" t="s">
        <v>188</v>
      </c>
    </row>
    <row r="3115" ht="16.5" customHeight="1">
      <c r="A3115" s="32">
        <v>3114.0</v>
      </c>
      <c r="B3115" s="32" t="s">
        <v>3953</v>
      </c>
      <c r="C3115" s="32" t="s">
        <v>184</v>
      </c>
      <c r="D3115" s="32" t="s">
        <v>185</v>
      </c>
      <c r="E3115" s="32" t="s">
        <v>523</v>
      </c>
      <c r="F3115" s="32" t="s">
        <v>187</v>
      </c>
      <c r="G3115" s="32" t="s">
        <v>854</v>
      </c>
    </row>
    <row r="3116" ht="16.5" customHeight="1">
      <c r="A3116" s="32">
        <v>3115.0</v>
      </c>
      <c r="B3116" s="32" t="s">
        <v>3954</v>
      </c>
      <c r="C3116" s="32" t="s">
        <v>184</v>
      </c>
      <c r="D3116" s="32" t="s">
        <v>185</v>
      </c>
      <c r="E3116" s="32" t="s">
        <v>523</v>
      </c>
      <c r="F3116" s="32" t="s">
        <v>187</v>
      </c>
      <c r="G3116" s="32" t="s">
        <v>188</v>
      </c>
    </row>
    <row r="3117" ht="16.5" customHeight="1">
      <c r="A3117" s="32">
        <v>3116.0</v>
      </c>
      <c r="B3117" s="32" t="s">
        <v>3955</v>
      </c>
      <c r="C3117" s="32" t="s">
        <v>184</v>
      </c>
      <c r="D3117" s="32" t="s">
        <v>254</v>
      </c>
      <c r="E3117" s="32" t="s">
        <v>523</v>
      </c>
      <c r="F3117" s="32" t="s">
        <v>257</v>
      </c>
    </row>
    <row r="3118" ht="16.5" customHeight="1">
      <c r="A3118" s="32">
        <v>3117.0</v>
      </c>
      <c r="B3118" s="32" t="s">
        <v>3956</v>
      </c>
      <c r="C3118" s="32" t="s">
        <v>184</v>
      </c>
      <c r="D3118" s="32" t="s">
        <v>192</v>
      </c>
      <c r="E3118" s="32" t="s">
        <v>523</v>
      </c>
    </row>
    <row r="3119" ht="16.5" customHeight="1">
      <c r="A3119" s="32">
        <v>3118.0</v>
      </c>
      <c r="B3119" s="32" t="s">
        <v>3957</v>
      </c>
      <c r="C3119" s="32" t="s">
        <v>184</v>
      </c>
      <c r="D3119" s="32" t="s">
        <v>254</v>
      </c>
      <c r="E3119" s="32" t="s">
        <v>523</v>
      </c>
      <c r="F3119" s="32" t="s">
        <v>256</v>
      </c>
      <c r="G3119" s="32" t="s">
        <v>257</v>
      </c>
    </row>
    <row r="3120" ht="16.5" customHeight="1">
      <c r="A3120" s="32">
        <v>3119.0</v>
      </c>
      <c r="B3120" s="32" t="s">
        <v>3958</v>
      </c>
      <c r="C3120" s="32" t="s">
        <v>184</v>
      </c>
      <c r="D3120" s="32" t="s">
        <v>254</v>
      </c>
      <c r="E3120" s="32" t="s">
        <v>523</v>
      </c>
      <c r="F3120" s="32" t="s">
        <v>256</v>
      </c>
      <c r="G3120" s="32" t="s">
        <v>257</v>
      </c>
    </row>
    <row r="3121" ht="16.5" customHeight="1">
      <c r="A3121" s="32">
        <v>3120.0</v>
      </c>
      <c r="B3121" s="32" t="s">
        <v>3959</v>
      </c>
      <c r="C3121" s="32" t="s">
        <v>184</v>
      </c>
      <c r="D3121" s="32" t="s">
        <v>185</v>
      </c>
      <c r="E3121" s="32" t="s">
        <v>523</v>
      </c>
      <c r="F3121" s="32" t="s">
        <v>475</v>
      </c>
      <c r="G3121" s="32" t="s">
        <v>1206</v>
      </c>
    </row>
    <row r="3122" ht="16.5" customHeight="1">
      <c r="A3122" s="32">
        <v>3121.0</v>
      </c>
      <c r="B3122" s="32" t="s">
        <v>3960</v>
      </c>
      <c r="C3122" s="32" t="s">
        <v>184</v>
      </c>
      <c r="D3122" s="32" t="s">
        <v>254</v>
      </c>
      <c r="E3122" s="32" t="s">
        <v>523</v>
      </c>
      <c r="F3122" s="32" t="s">
        <v>1697</v>
      </c>
      <c r="G3122" s="32" t="s">
        <v>3961</v>
      </c>
    </row>
    <row r="3123" ht="16.5" customHeight="1">
      <c r="A3123" s="32">
        <v>3122.0</v>
      </c>
      <c r="B3123" s="32" t="s">
        <v>3962</v>
      </c>
      <c r="C3123" s="32" t="s">
        <v>184</v>
      </c>
      <c r="D3123" s="32" t="s">
        <v>285</v>
      </c>
      <c r="E3123" s="32" t="s">
        <v>523</v>
      </c>
      <c r="F3123" s="32" t="s">
        <v>188</v>
      </c>
      <c r="G3123" s="32" t="s">
        <v>552</v>
      </c>
    </row>
    <row r="3124" ht="16.5" customHeight="1">
      <c r="A3124" s="32">
        <v>3123.0</v>
      </c>
      <c r="B3124" s="32" t="s">
        <v>3963</v>
      </c>
      <c r="C3124" s="32" t="s">
        <v>184</v>
      </c>
      <c r="D3124" s="32" t="s">
        <v>285</v>
      </c>
      <c r="E3124" s="32" t="s">
        <v>523</v>
      </c>
      <c r="F3124" s="32" t="s">
        <v>188</v>
      </c>
      <c r="G3124" s="32" t="s">
        <v>561</v>
      </c>
    </row>
    <row r="3125" ht="16.5" customHeight="1">
      <c r="A3125" s="32">
        <v>3124.0</v>
      </c>
      <c r="B3125" s="32" t="s">
        <v>3964</v>
      </c>
      <c r="C3125" s="32" t="s">
        <v>184</v>
      </c>
      <c r="D3125" s="32" t="s">
        <v>285</v>
      </c>
      <c r="E3125" s="32" t="s">
        <v>523</v>
      </c>
      <c r="F3125" s="32" t="s">
        <v>552</v>
      </c>
      <c r="G3125" s="32" t="s">
        <v>3965</v>
      </c>
    </row>
    <row r="3126" ht="16.5" customHeight="1">
      <c r="A3126" s="32">
        <v>3125.0</v>
      </c>
      <c r="B3126" s="32" t="s">
        <v>3966</v>
      </c>
      <c r="C3126" s="32" t="s">
        <v>184</v>
      </c>
      <c r="D3126" s="32" t="s">
        <v>285</v>
      </c>
      <c r="E3126" s="32" t="s">
        <v>523</v>
      </c>
      <c r="F3126" s="32" t="s">
        <v>552</v>
      </c>
      <c r="G3126" s="32" t="s">
        <v>3965</v>
      </c>
    </row>
    <row r="3127" ht="16.5" customHeight="1">
      <c r="A3127" s="32">
        <v>3126.0</v>
      </c>
      <c r="B3127" s="32" t="s">
        <v>3967</v>
      </c>
      <c r="C3127" s="32" t="s">
        <v>184</v>
      </c>
      <c r="D3127" s="32" t="s">
        <v>185</v>
      </c>
      <c r="E3127" s="32" t="s">
        <v>523</v>
      </c>
      <c r="F3127" s="32" t="s">
        <v>187</v>
      </c>
      <c r="G3127" s="32" t="s">
        <v>188</v>
      </c>
    </row>
    <row r="3128" ht="16.5" customHeight="1">
      <c r="A3128" s="32">
        <v>3127.0</v>
      </c>
      <c r="B3128" s="32" t="s">
        <v>3968</v>
      </c>
      <c r="C3128" s="32" t="s">
        <v>184</v>
      </c>
      <c r="D3128" s="32" t="s">
        <v>285</v>
      </c>
      <c r="E3128" s="32" t="s">
        <v>523</v>
      </c>
      <c r="F3128" s="32" t="s">
        <v>552</v>
      </c>
      <c r="G3128" s="32" t="s">
        <v>553</v>
      </c>
    </row>
    <row r="3129" ht="16.5" customHeight="1">
      <c r="A3129" s="32">
        <v>3128.0</v>
      </c>
      <c r="B3129" s="32" t="s">
        <v>3969</v>
      </c>
      <c r="C3129" s="32" t="s">
        <v>184</v>
      </c>
      <c r="D3129" s="32" t="s">
        <v>285</v>
      </c>
      <c r="E3129" s="32" t="s">
        <v>523</v>
      </c>
      <c r="F3129" s="32" t="s">
        <v>189</v>
      </c>
      <c r="G3129" s="32" t="s">
        <v>190</v>
      </c>
    </row>
    <row r="3130" ht="16.5" customHeight="1">
      <c r="A3130" s="32">
        <v>3129.0</v>
      </c>
      <c r="B3130" s="32" t="s">
        <v>3970</v>
      </c>
      <c r="C3130" s="32" t="s">
        <v>184</v>
      </c>
      <c r="D3130" s="32" t="s">
        <v>185</v>
      </c>
      <c r="E3130" s="32" t="s">
        <v>523</v>
      </c>
      <c r="F3130" s="32" t="s">
        <v>475</v>
      </c>
      <c r="G3130" s="32" t="s">
        <v>476</v>
      </c>
    </row>
    <row r="3131" ht="16.5" customHeight="1">
      <c r="A3131" s="32">
        <v>3130.0</v>
      </c>
      <c r="B3131" s="32" t="s">
        <v>3971</v>
      </c>
      <c r="C3131" s="32" t="s">
        <v>184</v>
      </c>
      <c r="D3131" s="32" t="s">
        <v>185</v>
      </c>
      <c r="E3131" s="32" t="s">
        <v>523</v>
      </c>
      <c r="F3131" s="32" t="s">
        <v>475</v>
      </c>
      <c r="G3131" s="32" t="s">
        <v>476</v>
      </c>
    </row>
    <row r="3132" ht="16.5" customHeight="1">
      <c r="A3132" s="32">
        <v>3131.0</v>
      </c>
      <c r="B3132" s="32" t="s">
        <v>3972</v>
      </c>
      <c r="C3132" s="32" t="s">
        <v>184</v>
      </c>
      <c r="D3132" s="32" t="s">
        <v>192</v>
      </c>
      <c r="E3132" s="32" t="s">
        <v>523</v>
      </c>
      <c r="F3132" s="32" t="s">
        <v>329</v>
      </c>
      <c r="G3132" s="32" t="s">
        <v>447</v>
      </c>
    </row>
    <row r="3133" ht="16.5" customHeight="1">
      <c r="A3133" s="32">
        <v>3132.0</v>
      </c>
      <c r="B3133" s="32" t="s">
        <v>3973</v>
      </c>
      <c r="C3133" s="32" t="s">
        <v>184</v>
      </c>
      <c r="D3133" s="32" t="s">
        <v>185</v>
      </c>
      <c r="E3133" s="32" t="s">
        <v>523</v>
      </c>
      <c r="F3133" s="32" t="s">
        <v>187</v>
      </c>
      <c r="G3133" s="32" t="s">
        <v>854</v>
      </c>
    </row>
    <row r="3134" ht="16.5" customHeight="1">
      <c r="A3134" s="32">
        <v>3133.0</v>
      </c>
      <c r="B3134" s="32" t="s">
        <v>3974</v>
      </c>
      <c r="C3134" s="32" t="s">
        <v>184</v>
      </c>
      <c r="D3134" s="32" t="s">
        <v>185</v>
      </c>
      <c r="E3134" s="32" t="s">
        <v>523</v>
      </c>
    </row>
    <row r="3135" ht="16.5" customHeight="1">
      <c r="A3135" s="32">
        <v>3134.0</v>
      </c>
      <c r="B3135" s="32" t="s">
        <v>3975</v>
      </c>
      <c r="C3135" s="32" t="s">
        <v>184</v>
      </c>
      <c r="D3135" s="32" t="s">
        <v>185</v>
      </c>
      <c r="E3135" s="32" t="s">
        <v>523</v>
      </c>
      <c r="F3135" s="32" t="s">
        <v>187</v>
      </c>
      <c r="G3135" s="32" t="s">
        <v>854</v>
      </c>
    </row>
    <row r="3136" ht="16.5" customHeight="1">
      <c r="A3136" s="32">
        <v>3135.0</v>
      </c>
      <c r="B3136" s="32" t="s">
        <v>3976</v>
      </c>
      <c r="C3136" s="32" t="s">
        <v>184</v>
      </c>
      <c r="D3136" s="32" t="s">
        <v>185</v>
      </c>
      <c r="E3136" s="32" t="s">
        <v>523</v>
      </c>
      <c r="F3136" s="32" t="s">
        <v>187</v>
      </c>
      <c r="G3136" s="32" t="s">
        <v>188</v>
      </c>
    </row>
    <row r="3137" ht="16.5" customHeight="1">
      <c r="A3137" s="32">
        <v>3136.0</v>
      </c>
      <c r="B3137" s="32" t="s">
        <v>3977</v>
      </c>
      <c r="C3137" s="32" t="s">
        <v>184</v>
      </c>
      <c r="D3137" s="32" t="s">
        <v>185</v>
      </c>
      <c r="E3137" s="32" t="s">
        <v>523</v>
      </c>
      <c r="F3137" s="32" t="s">
        <v>187</v>
      </c>
      <c r="G3137" s="32" t="s">
        <v>188</v>
      </c>
    </row>
    <row r="3138" ht="16.5" customHeight="1">
      <c r="A3138" s="32">
        <v>3137.0</v>
      </c>
      <c r="B3138" s="32" t="s">
        <v>3978</v>
      </c>
      <c r="C3138" s="32" t="s">
        <v>184</v>
      </c>
      <c r="D3138" s="32" t="s">
        <v>185</v>
      </c>
      <c r="E3138" s="32" t="s">
        <v>523</v>
      </c>
      <c r="F3138" s="32" t="s">
        <v>187</v>
      </c>
      <c r="G3138" s="32" t="s">
        <v>188</v>
      </c>
    </row>
    <row r="3139" ht="16.5" customHeight="1">
      <c r="A3139" s="32">
        <v>3138.0</v>
      </c>
      <c r="B3139" s="32" t="s">
        <v>3979</v>
      </c>
      <c r="C3139" s="32" t="s">
        <v>184</v>
      </c>
      <c r="D3139" s="32" t="s">
        <v>228</v>
      </c>
      <c r="E3139" s="32" t="s">
        <v>523</v>
      </c>
      <c r="F3139" s="32" t="s">
        <v>229</v>
      </c>
      <c r="G3139" s="32" t="s">
        <v>626</v>
      </c>
    </row>
    <row r="3140" ht="16.5" customHeight="1">
      <c r="A3140" s="32">
        <v>3139.0</v>
      </c>
      <c r="B3140" s="32" t="s">
        <v>3980</v>
      </c>
      <c r="C3140" s="32" t="s">
        <v>184</v>
      </c>
      <c r="D3140" s="32" t="s">
        <v>185</v>
      </c>
      <c r="E3140" s="32" t="s">
        <v>523</v>
      </c>
    </row>
    <row r="3141" ht="16.5" customHeight="1">
      <c r="A3141" s="32">
        <v>3140.0</v>
      </c>
      <c r="B3141" s="32" t="s">
        <v>3981</v>
      </c>
      <c r="C3141" s="32" t="s">
        <v>184</v>
      </c>
      <c r="D3141" s="32" t="s">
        <v>285</v>
      </c>
      <c r="E3141" s="32" t="s">
        <v>523</v>
      </c>
      <c r="F3141" s="32" t="s">
        <v>188</v>
      </c>
      <c r="G3141" s="32" t="s">
        <v>1332</v>
      </c>
    </row>
    <row r="3142" ht="16.5" customHeight="1">
      <c r="A3142" s="32">
        <v>3141.0</v>
      </c>
      <c r="B3142" s="32" t="s">
        <v>3982</v>
      </c>
      <c r="C3142" s="32" t="s">
        <v>184</v>
      </c>
      <c r="D3142" s="32" t="s">
        <v>185</v>
      </c>
      <c r="E3142" s="32" t="s">
        <v>523</v>
      </c>
    </row>
    <row r="3143" ht="16.5" customHeight="1">
      <c r="A3143" s="32">
        <v>3142.0</v>
      </c>
      <c r="B3143" s="32" t="s">
        <v>3983</v>
      </c>
      <c r="C3143" s="32" t="s">
        <v>184</v>
      </c>
      <c r="D3143" s="32" t="s">
        <v>228</v>
      </c>
      <c r="E3143" s="32" t="s">
        <v>523</v>
      </c>
      <c r="F3143" s="32" t="s">
        <v>408</v>
      </c>
      <c r="G3143" s="32" t="s">
        <v>731</v>
      </c>
    </row>
    <row r="3144" ht="16.5" customHeight="1">
      <c r="A3144" s="32">
        <v>3143.0</v>
      </c>
      <c r="B3144" s="32" t="s">
        <v>3984</v>
      </c>
      <c r="C3144" s="32" t="s">
        <v>184</v>
      </c>
      <c r="D3144" s="32" t="s">
        <v>228</v>
      </c>
      <c r="E3144" s="32" t="s">
        <v>523</v>
      </c>
      <c r="F3144" s="32" t="s">
        <v>408</v>
      </c>
      <c r="G3144" s="32" t="s">
        <v>731</v>
      </c>
    </row>
    <row r="3145" ht="16.5" customHeight="1">
      <c r="A3145" s="32">
        <v>3144.0</v>
      </c>
      <c r="B3145" s="32" t="s">
        <v>3985</v>
      </c>
      <c r="C3145" s="32" t="s">
        <v>184</v>
      </c>
      <c r="D3145" s="32" t="s">
        <v>185</v>
      </c>
      <c r="E3145" s="32" t="s">
        <v>523</v>
      </c>
      <c r="F3145" s="32" t="s">
        <v>187</v>
      </c>
      <c r="G3145" s="32" t="s">
        <v>188</v>
      </c>
    </row>
    <row r="3146" ht="16.5" customHeight="1">
      <c r="A3146" s="32">
        <v>3145.0</v>
      </c>
      <c r="B3146" s="32" t="s">
        <v>3986</v>
      </c>
      <c r="C3146" s="32" t="s">
        <v>184</v>
      </c>
      <c r="D3146" s="32" t="s">
        <v>228</v>
      </c>
      <c r="E3146" s="32" t="s">
        <v>523</v>
      </c>
    </row>
    <row r="3147" ht="16.5" customHeight="1">
      <c r="A3147" s="32">
        <v>3146.0</v>
      </c>
      <c r="B3147" s="32" t="s">
        <v>3987</v>
      </c>
      <c r="C3147" s="32" t="s">
        <v>184</v>
      </c>
      <c r="D3147" s="32" t="s">
        <v>192</v>
      </c>
      <c r="E3147" s="32" t="s">
        <v>523</v>
      </c>
    </row>
    <row r="3148" ht="16.5" customHeight="1">
      <c r="A3148" s="32">
        <v>3147.0</v>
      </c>
      <c r="B3148" s="32" t="s">
        <v>3988</v>
      </c>
      <c r="C3148" s="32" t="s">
        <v>184</v>
      </c>
      <c r="D3148" s="32" t="s">
        <v>234</v>
      </c>
      <c r="E3148" s="32" t="s">
        <v>523</v>
      </c>
    </row>
    <row r="3149" ht="16.5" customHeight="1">
      <c r="A3149" s="32">
        <v>3148.0</v>
      </c>
      <c r="B3149" s="32" t="s">
        <v>3989</v>
      </c>
      <c r="C3149" s="32" t="s">
        <v>184</v>
      </c>
      <c r="D3149" s="32" t="s">
        <v>234</v>
      </c>
      <c r="E3149" s="32" t="s">
        <v>523</v>
      </c>
      <c r="F3149" s="32" t="s">
        <v>235</v>
      </c>
      <c r="G3149" s="32" t="s">
        <v>1907</v>
      </c>
    </row>
    <row r="3150" ht="16.5" customHeight="1">
      <c r="A3150" s="32">
        <v>3149.0</v>
      </c>
      <c r="B3150" s="32" t="s">
        <v>3990</v>
      </c>
      <c r="C3150" s="32" t="s">
        <v>184</v>
      </c>
      <c r="D3150" s="32" t="s">
        <v>192</v>
      </c>
      <c r="E3150" s="32" t="s">
        <v>523</v>
      </c>
    </row>
    <row r="3151" ht="16.5" customHeight="1">
      <c r="A3151" s="32">
        <v>3150.0</v>
      </c>
      <c r="B3151" s="32" t="s">
        <v>3991</v>
      </c>
      <c r="C3151" s="32" t="s">
        <v>184</v>
      </c>
      <c r="D3151" s="32" t="s">
        <v>228</v>
      </c>
      <c r="E3151" s="32" t="s">
        <v>523</v>
      </c>
      <c r="F3151" s="32" t="s">
        <v>408</v>
      </c>
      <c r="G3151" s="32" t="s">
        <v>3992</v>
      </c>
    </row>
    <row r="3152" ht="16.5" customHeight="1">
      <c r="A3152" s="32">
        <v>3151.0</v>
      </c>
      <c r="B3152" s="32" t="s">
        <v>3993</v>
      </c>
      <c r="C3152" s="32" t="s">
        <v>184</v>
      </c>
      <c r="D3152" s="32" t="s">
        <v>185</v>
      </c>
      <c r="E3152" s="32" t="s">
        <v>523</v>
      </c>
      <c r="F3152" s="32" t="s">
        <v>187</v>
      </c>
      <c r="G3152" s="32" t="s">
        <v>188</v>
      </c>
    </row>
    <row r="3153" ht="16.5" customHeight="1">
      <c r="A3153" s="32">
        <v>3152.0</v>
      </c>
      <c r="B3153" s="32" t="s">
        <v>3994</v>
      </c>
      <c r="C3153" s="32" t="s">
        <v>184</v>
      </c>
      <c r="D3153" s="32" t="s">
        <v>219</v>
      </c>
      <c r="E3153" s="32" t="s">
        <v>523</v>
      </c>
    </row>
    <row r="3154" ht="16.5" customHeight="1">
      <c r="A3154" s="32">
        <v>3153.0</v>
      </c>
      <c r="B3154" s="32" t="s">
        <v>3995</v>
      </c>
      <c r="C3154" s="32" t="s">
        <v>184</v>
      </c>
      <c r="D3154" s="32" t="s">
        <v>219</v>
      </c>
      <c r="E3154" s="32" t="s">
        <v>523</v>
      </c>
      <c r="F3154" s="32" t="s">
        <v>241</v>
      </c>
      <c r="G3154" s="32" t="s">
        <v>292</v>
      </c>
    </row>
    <row r="3155" ht="16.5" customHeight="1">
      <c r="A3155" s="32">
        <v>3154.0</v>
      </c>
      <c r="B3155" s="32" t="s">
        <v>3996</v>
      </c>
      <c r="C3155" s="32" t="s">
        <v>184</v>
      </c>
      <c r="D3155" s="32" t="s">
        <v>234</v>
      </c>
      <c r="E3155" s="32" t="s">
        <v>523</v>
      </c>
    </row>
    <row r="3156" ht="16.5" customHeight="1">
      <c r="A3156" s="32">
        <v>3155.0</v>
      </c>
      <c r="B3156" s="32" t="s">
        <v>3997</v>
      </c>
      <c r="C3156" s="32" t="s">
        <v>184</v>
      </c>
      <c r="D3156" s="32" t="s">
        <v>234</v>
      </c>
      <c r="E3156" s="32" t="s">
        <v>523</v>
      </c>
      <c r="F3156" s="32" t="s">
        <v>235</v>
      </c>
      <c r="G3156" s="32" t="s">
        <v>243</v>
      </c>
    </row>
    <row r="3157" ht="16.5" customHeight="1">
      <c r="A3157" s="32">
        <v>3156.0</v>
      </c>
      <c r="B3157" s="32" t="s">
        <v>3998</v>
      </c>
      <c r="C3157" s="32" t="s">
        <v>184</v>
      </c>
      <c r="D3157" s="32" t="s">
        <v>228</v>
      </c>
      <c r="E3157" s="32" t="s">
        <v>523</v>
      </c>
    </row>
    <row r="3158" ht="16.5" customHeight="1">
      <c r="A3158" s="32">
        <v>3157.0</v>
      </c>
      <c r="B3158" s="32" t="s">
        <v>3999</v>
      </c>
      <c r="C3158" s="32" t="s">
        <v>184</v>
      </c>
      <c r="D3158" s="32" t="s">
        <v>185</v>
      </c>
      <c r="E3158" s="32" t="s">
        <v>523</v>
      </c>
      <c r="F3158" s="32" t="s">
        <v>475</v>
      </c>
      <c r="G3158" s="32" t="s">
        <v>476</v>
      </c>
    </row>
    <row r="3159" ht="16.5" customHeight="1">
      <c r="A3159" s="32">
        <v>3158.0</v>
      </c>
      <c r="B3159" s="32" t="s">
        <v>4000</v>
      </c>
      <c r="C3159" s="32" t="s">
        <v>184</v>
      </c>
      <c r="D3159" s="32" t="s">
        <v>185</v>
      </c>
      <c r="E3159" s="32" t="s">
        <v>523</v>
      </c>
      <c r="F3159" s="32" t="s">
        <v>475</v>
      </c>
      <c r="G3159" s="32" t="s">
        <v>476</v>
      </c>
    </row>
    <row r="3160" ht="16.5" customHeight="1">
      <c r="A3160" s="32">
        <v>3159.0</v>
      </c>
      <c r="B3160" s="32" t="s">
        <v>4001</v>
      </c>
      <c r="C3160" s="32" t="s">
        <v>184</v>
      </c>
      <c r="D3160" s="32" t="s">
        <v>285</v>
      </c>
      <c r="E3160" s="32" t="s">
        <v>523</v>
      </c>
      <c r="F3160" s="32" t="s">
        <v>188</v>
      </c>
      <c r="G3160" s="32" t="s">
        <v>561</v>
      </c>
    </row>
    <row r="3161" ht="16.5" customHeight="1">
      <c r="A3161" s="32">
        <v>3160.0</v>
      </c>
      <c r="B3161" s="32" t="s">
        <v>4002</v>
      </c>
      <c r="C3161" s="32" t="s">
        <v>184</v>
      </c>
      <c r="D3161" s="32" t="s">
        <v>228</v>
      </c>
      <c r="E3161" s="32" t="s">
        <v>523</v>
      </c>
    </row>
    <row r="3162" ht="16.5" customHeight="1">
      <c r="A3162" s="32">
        <v>3161.0</v>
      </c>
      <c r="B3162" s="32" t="s">
        <v>4003</v>
      </c>
      <c r="C3162" s="32" t="s">
        <v>184</v>
      </c>
      <c r="D3162" s="32" t="s">
        <v>228</v>
      </c>
      <c r="E3162" s="32" t="s">
        <v>523</v>
      </c>
      <c r="F3162" s="32" t="s">
        <v>229</v>
      </c>
      <c r="G3162" s="32" t="s">
        <v>626</v>
      </c>
    </row>
    <row r="3163" ht="16.5" customHeight="1">
      <c r="A3163" s="32">
        <v>3162.0</v>
      </c>
      <c r="B3163" s="32" t="s">
        <v>4004</v>
      </c>
      <c r="C3163" s="32" t="s">
        <v>184</v>
      </c>
      <c r="D3163" s="32" t="s">
        <v>285</v>
      </c>
      <c r="E3163" s="32" t="s">
        <v>523</v>
      </c>
      <c r="F3163" s="32" t="s">
        <v>188</v>
      </c>
      <c r="G3163" s="32" t="s">
        <v>3539</v>
      </c>
    </row>
    <row r="3164" ht="16.5" customHeight="1">
      <c r="A3164" s="32">
        <v>3163.0</v>
      </c>
      <c r="B3164" s="32" t="s">
        <v>4005</v>
      </c>
      <c r="C3164" s="32" t="s">
        <v>184</v>
      </c>
      <c r="D3164" s="32" t="s">
        <v>192</v>
      </c>
      <c r="E3164" s="32" t="s">
        <v>523</v>
      </c>
      <c r="F3164" s="32" t="s">
        <v>329</v>
      </c>
      <c r="G3164" s="32" t="s">
        <v>447</v>
      </c>
    </row>
    <row r="3165" ht="16.5" customHeight="1">
      <c r="A3165" s="32">
        <v>3164.0</v>
      </c>
      <c r="B3165" s="32" t="s">
        <v>4006</v>
      </c>
      <c r="C3165" s="32" t="s">
        <v>184</v>
      </c>
      <c r="D3165" s="32" t="s">
        <v>192</v>
      </c>
      <c r="E3165" s="32" t="s">
        <v>523</v>
      </c>
      <c r="F3165" s="32" t="s">
        <v>329</v>
      </c>
      <c r="G3165" s="32" t="s">
        <v>447</v>
      </c>
    </row>
    <row r="3166" ht="16.5" customHeight="1">
      <c r="A3166" s="32">
        <v>3165.0</v>
      </c>
      <c r="B3166" s="32" t="s">
        <v>4007</v>
      </c>
      <c r="C3166" s="32" t="s">
        <v>184</v>
      </c>
      <c r="D3166" s="32" t="s">
        <v>192</v>
      </c>
      <c r="E3166" s="32" t="s">
        <v>523</v>
      </c>
      <c r="F3166" s="32" t="s">
        <v>4008</v>
      </c>
      <c r="G3166" s="32" t="s">
        <v>1621</v>
      </c>
    </row>
    <row r="3167" ht="16.5" customHeight="1">
      <c r="A3167" s="32">
        <v>3166.0</v>
      </c>
      <c r="B3167" s="32" t="s">
        <v>4009</v>
      </c>
      <c r="C3167" s="32" t="s">
        <v>184</v>
      </c>
      <c r="D3167" s="32" t="s">
        <v>185</v>
      </c>
      <c r="E3167" s="32" t="s">
        <v>523</v>
      </c>
    </row>
    <row r="3168" ht="16.5" customHeight="1">
      <c r="A3168" s="32">
        <v>3167.0</v>
      </c>
      <c r="B3168" s="32" t="s">
        <v>4010</v>
      </c>
      <c r="C3168" s="32" t="s">
        <v>184</v>
      </c>
      <c r="D3168" s="35" t="s">
        <v>310</v>
      </c>
      <c r="E3168" s="32" t="s">
        <v>523</v>
      </c>
      <c r="F3168" s="32" t="s">
        <v>4011</v>
      </c>
      <c r="G3168" s="32" t="s">
        <v>476</v>
      </c>
    </row>
    <row r="3169" ht="16.5" customHeight="1">
      <c r="A3169" s="32">
        <v>3168.0</v>
      </c>
      <c r="B3169" s="32" t="s">
        <v>4012</v>
      </c>
      <c r="C3169" s="32" t="s">
        <v>184</v>
      </c>
      <c r="D3169" s="32" t="s">
        <v>254</v>
      </c>
      <c r="E3169" s="32" t="s">
        <v>523</v>
      </c>
    </row>
    <row r="3170" ht="16.5" customHeight="1">
      <c r="A3170" s="32">
        <v>3169.0</v>
      </c>
      <c r="B3170" s="32" t="s">
        <v>4013</v>
      </c>
      <c r="C3170" s="32" t="s">
        <v>184</v>
      </c>
      <c r="D3170" s="32" t="s">
        <v>228</v>
      </c>
      <c r="E3170" s="32" t="s">
        <v>523</v>
      </c>
      <c r="F3170" s="32" t="s">
        <v>229</v>
      </c>
      <c r="G3170" s="32" t="s">
        <v>626</v>
      </c>
    </row>
    <row r="3171" ht="16.5" customHeight="1">
      <c r="A3171" s="32">
        <v>3170.0</v>
      </c>
      <c r="B3171" s="32" t="s">
        <v>4014</v>
      </c>
      <c r="C3171" s="32" t="s">
        <v>184</v>
      </c>
      <c r="D3171" s="32" t="s">
        <v>192</v>
      </c>
      <c r="E3171" s="32" t="s">
        <v>523</v>
      </c>
    </row>
    <row r="3172" ht="16.5" customHeight="1">
      <c r="A3172" s="32">
        <v>3171.0</v>
      </c>
      <c r="B3172" s="32" t="s">
        <v>4015</v>
      </c>
      <c r="C3172" s="32" t="s">
        <v>184</v>
      </c>
      <c r="D3172" s="32" t="s">
        <v>192</v>
      </c>
      <c r="E3172" s="32" t="s">
        <v>523</v>
      </c>
    </row>
    <row r="3173" ht="16.5" customHeight="1">
      <c r="A3173" s="32">
        <v>3172.0</v>
      </c>
      <c r="B3173" s="32" t="s">
        <v>4016</v>
      </c>
      <c r="C3173" s="32" t="s">
        <v>184</v>
      </c>
      <c r="D3173" s="32" t="s">
        <v>285</v>
      </c>
      <c r="E3173" s="32" t="s">
        <v>4017</v>
      </c>
    </row>
    <row r="3174" ht="16.5" customHeight="1">
      <c r="A3174" s="32">
        <v>3173.0</v>
      </c>
      <c r="B3174" s="32" t="s">
        <v>4018</v>
      </c>
      <c r="C3174" s="32" t="s">
        <v>184</v>
      </c>
      <c r="D3174" s="32" t="s">
        <v>192</v>
      </c>
      <c r="E3174" s="32" t="s">
        <v>523</v>
      </c>
    </row>
    <row r="3175" ht="16.5" customHeight="1">
      <c r="A3175" s="32">
        <v>3174.0</v>
      </c>
      <c r="B3175" s="32" t="s">
        <v>4019</v>
      </c>
      <c r="C3175" s="32" t="s">
        <v>184</v>
      </c>
      <c r="D3175" s="32" t="s">
        <v>285</v>
      </c>
      <c r="E3175" s="32" t="s">
        <v>523</v>
      </c>
      <c r="F3175" s="32" t="s">
        <v>189</v>
      </c>
      <c r="G3175" s="32" t="s">
        <v>190</v>
      </c>
    </row>
    <row r="3176" ht="16.5" customHeight="1">
      <c r="A3176" s="32">
        <v>3175.0</v>
      </c>
      <c r="B3176" s="32" t="s">
        <v>4020</v>
      </c>
      <c r="C3176" s="32" t="s">
        <v>184</v>
      </c>
      <c r="D3176" s="32" t="s">
        <v>254</v>
      </c>
      <c r="E3176" s="32" t="s">
        <v>523</v>
      </c>
    </row>
    <row r="3177" ht="16.5" customHeight="1">
      <c r="A3177" s="32">
        <v>3176.0</v>
      </c>
      <c r="B3177" s="32" t="s">
        <v>4021</v>
      </c>
      <c r="C3177" s="32" t="s">
        <v>184</v>
      </c>
      <c r="D3177" s="32" t="s">
        <v>285</v>
      </c>
      <c r="E3177" s="32" t="s">
        <v>523</v>
      </c>
    </row>
    <row r="3178" ht="16.5" customHeight="1">
      <c r="A3178" s="32">
        <v>3177.0</v>
      </c>
      <c r="B3178" s="32" t="s">
        <v>4022</v>
      </c>
      <c r="C3178" s="32" t="s">
        <v>184</v>
      </c>
      <c r="D3178" s="32" t="s">
        <v>254</v>
      </c>
      <c r="E3178" s="32" t="s">
        <v>523</v>
      </c>
    </row>
    <row r="3179" ht="16.5" customHeight="1">
      <c r="A3179" s="32">
        <v>3178.0</v>
      </c>
      <c r="B3179" s="32" t="s">
        <v>4023</v>
      </c>
      <c r="C3179" s="32" t="s">
        <v>184</v>
      </c>
      <c r="D3179" s="32" t="s">
        <v>192</v>
      </c>
      <c r="E3179" s="32" t="s">
        <v>523</v>
      </c>
    </row>
    <row r="3180" ht="16.5" customHeight="1">
      <c r="A3180" s="32">
        <v>3179.0</v>
      </c>
      <c r="B3180" s="32" t="s">
        <v>4024</v>
      </c>
      <c r="C3180" s="32" t="s">
        <v>184</v>
      </c>
      <c r="D3180" s="32" t="s">
        <v>254</v>
      </c>
      <c r="E3180" s="32" t="s">
        <v>523</v>
      </c>
      <c r="F3180" s="32" t="s">
        <v>256</v>
      </c>
      <c r="G3180" s="32" t="s">
        <v>257</v>
      </c>
    </row>
    <row r="3181" ht="16.5" customHeight="1">
      <c r="A3181" s="32">
        <v>3180.0</v>
      </c>
      <c r="B3181" s="32" t="s">
        <v>4025</v>
      </c>
      <c r="C3181" s="32" t="s">
        <v>184</v>
      </c>
      <c r="D3181" s="32" t="s">
        <v>185</v>
      </c>
      <c r="E3181" s="32" t="s">
        <v>523</v>
      </c>
    </row>
    <row r="3182" ht="16.5" customHeight="1">
      <c r="A3182" s="32">
        <v>3181.0</v>
      </c>
      <c r="B3182" s="32" t="s">
        <v>4026</v>
      </c>
      <c r="C3182" s="32" t="s">
        <v>184</v>
      </c>
      <c r="D3182" s="35" t="s">
        <v>294</v>
      </c>
      <c r="E3182" s="32" t="s">
        <v>523</v>
      </c>
      <c r="F3182" s="32" t="s">
        <v>2412</v>
      </c>
      <c r="G3182" s="32" t="s">
        <v>552</v>
      </c>
    </row>
    <row r="3183" ht="16.5" customHeight="1">
      <c r="A3183" s="32">
        <v>3182.0</v>
      </c>
      <c r="B3183" s="32" t="s">
        <v>4027</v>
      </c>
      <c r="C3183" s="32" t="s">
        <v>184</v>
      </c>
      <c r="D3183" s="32" t="s">
        <v>185</v>
      </c>
      <c r="E3183" s="32" t="s">
        <v>523</v>
      </c>
      <c r="F3183" s="32" t="s">
        <v>1240</v>
      </c>
    </row>
    <row r="3184" ht="16.5" customHeight="1">
      <c r="A3184" s="32">
        <v>3183.0</v>
      </c>
      <c r="B3184" s="32" t="s">
        <v>4028</v>
      </c>
      <c r="C3184" s="32" t="s">
        <v>184</v>
      </c>
      <c r="D3184" s="32" t="s">
        <v>219</v>
      </c>
      <c r="E3184" s="32" t="s">
        <v>523</v>
      </c>
      <c r="F3184" s="32" t="s">
        <v>223</v>
      </c>
    </row>
    <row r="3185" ht="16.5" customHeight="1">
      <c r="A3185" s="32">
        <v>3184.0</v>
      </c>
      <c r="B3185" s="32" t="s">
        <v>4029</v>
      </c>
      <c r="C3185" s="32" t="s">
        <v>184</v>
      </c>
      <c r="D3185" s="32" t="s">
        <v>219</v>
      </c>
      <c r="E3185" s="32" t="s">
        <v>523</v>
      </c>
      <c r="F3185" s="32" t="s">
        <v>223</v>
      </c>
    </row>
    <row r="3186" ht="16.5" customHeight="1">
      <c r="A3186" s="32">
        <v>3185.0</v>
      </c>
      <c r="B3186" s="32" t="s">
        <v>4030</v>
      </c>
      <c r="C3186" s="32" t="s">
        <v>184</v>
      </c>
      <c r="D3186" s="35" t="s">
        <v>310</v>
      </c>
      <c r="E3186" s="32" t="s">
        <v>523</v>
      </c>
      <c r="F3186" s="32" t="s">
        <v>305</v>
      </c>
      <c r="G3186" s="32" t="s">
        <v>4031</v>
      </c>
    </row>
    <row r="3187" ht="16.5" customHeight="1">
      <c r="A3187" s="32">
        <v>3186.0</v>
      </c>
      <c r="B3187" s="32" t="s">
        <v>4032</v>
      </c>
      <c r="C3187" s="32" t="s">
        <v>184</v>
      </c>
      <c r="D3187" s="32" t="s">
        <v>254</v>
      </c>
      <c r="E3187" s="32" t="s">
        <v>523</v>
      </c>
    </row>
    <row r="3188" ht="16.5" customHeight="1">
      <c r="A3188" s="32">
        <v>3187.0</v>
      </c>
      <c r="B3188" s="32" t="s">
        <v>4033</v>
      </c>
      <c r="C3188" s="32" t="s">
        <v>184</v>
      </c>
      <c r="D3188" s="32" t="s">
        <v>185</v>
      </c>
      <c r="E3188" s="32" t="s">
        <v>255</v>
      </c>
    </row>
    <row r="3189" ht="16.5" customHeight="1">
      <c r="A3189" s="32">
        <v>3188.0</v>
      </c>
      <c r="B3189" s="32" t="s">
        <v>4034</v>
      </c>
      <c r="C3189" s="32" t="s">
        <v>184</v>
      </c>
      <c r="D3189" s="32" t="s">
        <v>254</v>
      </c>
      <c r="E3189" s="32" t="s">
        <v>255</v>
      </c>
      <c r="F3189" s="32" t="s">
        <v>256</v>
      </c>
      <c r="G3189" s="32" t="s">
        <v>257</v>
      </c>
    </row>
    <row r="3190" ht="16.5" customHeight="1">
      <c r="A3190" s="32">
        <v>3189.0</v>
      </c>
      <c r="B3190" s="32" t="s">
        <v>4034</v>
      </c>
      <c r="C3190" s="32" t="s">
        <v>184</v>
      </c>
      <c r="D3190" s="32" t="s">
        <v>254</v>
      </c>
      <c r="E3190" s="32" t="s">
        <v>255</v>
      </c>
      <c r="F3190" s="32" t="s">
        <v>256</v>
      </c>
      <c r="G3190" s="32" t="s">
        <v>257</v>
      </c>
    </row>
    <row r="3191" ht="16.5" customHeight="1">
      <c r="A3191" s="32">
        <v>3190.0</v>
      </c>
      <c r="B3191" s="32" t="s">
        <v>4035</v>
      </c>
      <c r="C3191" s="32" t="s">
        <v>184</v>
      </c>
      <c r="D3191" s="32" t="s">
        <v>254</v>
      </c>
      <c r="E3191" s="32" t="s">
        <v>255</v>
      </c>
      <c r="F3191" s="32" t="s">
        <v>305</v>
      </c>
      <c r="G3191" s="32" t="s">
        <v>600</v>
      </c>
    </row>
    <row r="3192" ht="16.5" customHeight="1">
      <c r="A3192" s="32">
        <v>3191.0</v>
      </c>
      <c r="B3192" s="32" t="s">
        <v>4036</v>
      </c>
      <c r="C3192" s="32" t="s">
        <v>184</v>
      </c>
      <c r="D3192" s="32" t="s">
        <v>254</v>
      </c>
      <c r="E3192" s="32" t="s">
        <v>255</v>
      </c>
    </row>
    <row r="3193" ht="16.5" customHeight="1">
      <c r="A3193" s="32">
        <v>3192.0</v>
      </c>
      <c r="B3193" s="32" t="s">
        <v>4037</v>
      </c>
      <c r="C3193" s="32" t="s">
        <v>184</v>
      </c>
      <c r="D3193" s="32" t="s">
        <v>254</v>
      </c>
      <c r="E3193" s="32" t="s">
        <v>255</v>
      </c>
      <c r="F3193" s="32" t="s">
        <v>2640</v>
      </c>
      <c r="G3193" s="32" t="s">
        <v>1840</v>
      </c>
    </row>
    <row r="3194" ht="16.5" customHeight="1">
      <c r="A3194" s="32">
        <v>3193.0</v>
      </c>
      <c r="B3194" s="32" t="s">
        <v>4038</v>
      </c>
      <c r="C3194" s="32" t="s">
        <v>184</v>
      </c>
      <c r="D3194" s="32" t="s">
        <v>254</v>
      </c>
      <c r="E3194" s="32" t="s">
        <v>255</v>
      </c>
    </row>
    <row r="3195" ht="16.5" customHeight="1">
      <c r="A3195" s="32">
        <v>3194.0</v>
      </c>
      <c r="B3195" s="32" t="s">
        <v>4039</v>
      </c>
      <c r="C3195" s="32" t="s">
        <v>184</v>
      </c>
      <c r="D3195" s="32" t="s">
        <v>219</v>
      </c>
      <c r="E3195" s="32" t="s">
        <v>255</v>
      </c>
      <c r="F3195" s="32" t="s">
        <v>223</v>
      </c>
      <c r="G3195" s="32" t="s">
        <v>472</v>
      </c>
    </row>
    <row r="3196" ht="16.5" customHeight="1">
      <c r="A3196" s="32">
        <v>3195.0</v>
      </c>
      <c r="B3196" s="32" t="s">
        <v>4040</v>
      </c>
      <c r="C3196" s="32" t="s">
        <v>184</v>
      </c>
      <c r="D3196" s="32" t="s">
        <v>219</v>
      </c>
      <c r="E3196" s="32" t="s">
        <v>255</v>
      </c>
      <c r="F3196" s="32" t="s">
        <v>223</v>
      </c>
      <c r="G3196" s="32" t="s">
        <v>394</v>
      </c>
    </row>
    <row r="3197" ht="16.5" customHeight="1">
      <c r="A3197" s="32">
        <v>3196.0</v>
      </c>
      <c r="B3197" s="32" t="s">
        <v>4041</v>
      </c>
      <c r="C3197" s="32" t="s">
        <v>184</v>
      </c>
      <c r="D3197" s="32" t="s">
        <v>185</v>
      </c>
      <c r="E3197" s="32" t="s">
        <v>255</v>
      </c>
    </row>
    <row r="3198" ht="16.5" customHeight="1">
      <c r="A3198" s="32">
        <v>3197.0</v>
      </c>
      <c r="B3198" s="32" t="s">
        <v>4041</v>
      </c>
      <c r="C3198" s="32" t="s">
        <v>184</v>
      </c>
      <c r="D3198" s="32" t="s">
        <v>185</v>
      </c>
      <c r="E3198" s="32" t="s">
        <v>255</v>
      </c>
    </row>
    <row r="3199" ht="16.5" customHeight="1">
      <c r="A3199" s="32">
        <v>3198.0</v>
      </c>
      <c r="B3199" s="32" t="s">
        <v>4042</v>
      </c>
      <c r="C3199" s="32" t="s">
        <v>184</v>
      </c>
      <c r="D3199" s="32" t="s">
        <v>192</v>
      </c>
      <c r="E3199" s="32" t="s">
        <v>346</v>
      </c>
      <c r="F3199" s="32" t="s">
        <v>300</v>
      </c>
      <c r="G3199" s="32" t="s">
        <v>1733</v>
      </c>
    </row>
    <row r="3200" ht="16.5" customHeight="1">
      <c r="A3200" s="32">
        <v>3199.0</v>
      </c>
      <c r="B3200" s="32" t="s">
        <v>4043</v>
      </c>
      <c r="C3200" s="32" t="s">
        <v>184</v>
      </c>
      <c r="D3200" s="32" t="s">
        <v>192</v>
      </c>
      <c r="E3200" s="32" t="s">
        <v>346</v>
      </c>
      <c r="F3200" s="32" t="s">
        <v>300</v>
      </c>
      <c r="G3200" s="32" t="s">
        <v>1733</v>
      </c>
    </row>
    <row r="3201" ht="16.5" customHeight="1">
      <c r="A3201" s="32">
        <v>3200.0</v>
      </c>
      <c r="B3201" s="32" t="s">
        <v>4044</v>
      </c>
      <c r="C3201" s="32" t="s">
        <v>184</v>
      </c>
      <c r="D3201" s="32" t="s">
        <v>192</v>
      </c>
      <c r="E3201" s="32" t="s">
        <v>255</v>
      </c>
      <c r="F3201" s="32" t="s">
        <v>300</v>
      </c>
      <c r="G3201" s="32" t="s">
        <v>4045</v>
      </c>
    </row>
    <row r="3202" ht="16.5" customHeight="1">
      <c r="A3202" s="32">
        <v>3201.0</v>
      </c>
      <c r="B3202" s="32" t="s">
        <v>4046</v>
      </c>
      <c r="C3202" s="32" t="s">
        <v>184</v>
      </c>
      <c r="D3202" s="32" t="s">
        <v>192</v>
      </c>
      <c r="E3202" s="32" t="s">
        <v>255</v>
      </c>
      <c r="F3202" s="32" t="s">
        <v>329</v>
      </c>
      <c r="G3202" s="32" t="s">
        <v>357</v>
      </c>
    </row>
    <row r="3203" ht="16.5" customHeight="1">
      <c r="A3203" s="32">
        <v>3202.0</v>
      </c>
      <c r="B3203" s="32" t="s">
        <v>4047</v>
      </c>
      <c r="C3203" s="32" t="s">
        <v>184</v>
      </c>
      <c r="D3203" s="32" t="s">
        <v>285</v>
      </c>
      <c r="E3203" s="32" t="s">
        <v>399</v>
      </c>
      <c r="F3203" s="32" t="s">
        <v>267</v>
      </c>
      <c r="G3203" s="32" t="s">
        <v>188</v>
      </c>
    </row>
    <row r="3204" ht="16.5" customHeight="1">
      <c r="A3204" s="32">
        <v>3203.0</v>
      </c>
      <c r="B3204" s="32" t="s">
        <v>4048</v>
      </c>
      <c r="C3204" s="32" t="s">
        <v>184</v>
      </c>
      <c r="D3204" s="32" t="s">
        <v>185</v>
      </c>
      <c r="E3204" s="32" t="s">
        <v>255</v>
      </c>
      <c r="F3204" s="32" t="s">
        <v>187</v>
      </c>
      <c r="G3204" s="32" t="s">
        <v>188</v>
      </c>
    </row>
    <row r="3205" ht="16.5" customHeight="1">
      <c r="A3205" s="32">
        <v>3204.0</v>
      </c>
      <c r="B3205" s="32" t="s">
        <v>4049</v>
      </c>
      <c r="C3205" s="32" t="s">
        <v>184</v>
      </c>
      <c r="D3205" s="32" t="s">
        <v>185</v>
      </c>
      <c r="E3205" s="32" t="s">
        <v>255</v>
      </c>
    </row>
    <row r="3206" ht="16.5" customHeight="1">
      <c r="A3206" s="32">
        <v>3205.0</v>
      </c>
      <c r="B3206" s="32" t="s">
        <v>4050</v>
      </c>
      <c r="C3206" s="32" t="s">
        <v>184</v>
      </c>
      <c r="D3206" s="32" t="s">
        <v>285</v>
      </c>
      <c r="E3206" s="32" t="s">
        <v>255</v>
      </c>
      <c r="F3206" s="32" t="s">
        <v>189</v>
      </c>
      <c r="G3206" s="32" t="s">
        <v>683</v>
      </c>
    </row>
    <row r="3207" ht="16.5" customHeight="1">
      <c r="A3207" s="32">
        <v>3206.0</v>
      </c>
      <c r="B3207" s="32" t="s">
        <v>4051</v>
      </c>
      <c r="C3207" s="32" t="s">
        <v>184</v>
      </c>
      <c r="D3207" s="32" t="s">
        <v>192</v>
      </c>
      <c r="E3207" s="32" t="s">
        <v>255</v>
      </c>
      <c r="F3207" s="32" t="s">
        <v>2848</v>
      </c>
      <c r="G3207" s="32" t="s">
        <v>4052</v>
      </c>
    </row>
    <row r="3208" ht="16.5" customHeight="1">
      <c r="A3208" s="32">
        <v>3207.0</v>
      </c>
      <c r="B3208" s="32" t="s">
        <v>4053</v>
      </c>
      <c r="C3208" s="32" t="s">
        <v>184</v>
      </c>
      <c r="D3208" s="32" t="s">
        <v>254</v>
      </c>
      <c r="E3208" s="32" t="s">
        <v>255</v>
      </c>
    </row>
    <row r="3209" ht="16.5" customHeight="1">
      <c r="A3209" s="32">
        <v>3208.0</v>
      </c>
      <c r="B3209" s="32" t="s">
        <v>4054</v>
      </c>
      <c r="C3209" s="32" t="s">
        <v>184</v>
      </c>
      <c r="D3209" s="32" t="s">
        <v>254</v>
      </c>
      <c r="E3209" s="32" t="s">
        <v>255</v>
      </c>
    </row>
    <row r="3210" ht="16.5" customHeight="1">
      <c r="A3210" s="32">
        <v>3209.0</v>
      </c>
      <c r="B3210" s="32" t="s">
        <v>4055</v>
      </c>
      <c r="C3210" s="32" t="s">
        <v>184</v>
      </c>
      <c r="D3210" s="32" t="s">
        <v>219</v>
      </c>
      <c r="E3210" s="32" t="s">
        <v>255</v>
      </c>
      <c r="F3210" s="32" t="s">
        <v>223</v>
      </c>
      <c r="G3210" s="32" t="s">
        <v>1817</v>
      </c>
    </row>
    <row r="3211" ht="16.5" customHeight="1">
      <c r="A3211" s="32">
        <v>3210.0</v>
      </c>
      <c r="B3211" s="32" t="s">
        <v>4056</v>
      </c>
      <c r="C3211" s="32" t="s">
        <v>184</v>
      </c>
      <c r="D3211" s="32" t="s">
        <v>285</v>
      </c>
      <c r="E3211" s="32" t="s">
        <v>255</v>
      </c>
    </row>
    <row r="3212" ht="16.5" customHeight="1">
      <c r="A3212" s="32">
        <v>3211.0</v>
      </c>
      <c r="B3212" s="32" t="s">
        <v>4057</v>
      </c>
      <c r="C3212" s="32" t="s">
        <v>184</v>
      </c>
      <c r="D3212" s="32" t="s">
        <v>254</v>
      </c>
      <c r="E3212" s="32" t="s">
        <v>255</v>
      </c>
    </row>
    <row r="3213" ht="16.5" customHeight="1">
      <c r="A3213" s="32">
        <v>3212.0</v>
      </c>
      <c r="B3213" s="32" t="s">
        <v>4058</v>
      </c>
      <c r="C3213" s="32" t="s">
        <v>184</v>
      </c>
      <c r="D3213" s="32" t="s">
        <v>234</v>
      </c>
      <c r="E3213" s="32" t="s">
        <v>255</v>
      </c>
    </row>
    <row r="3214" ht="16.5" customHeight="1">
      <c r="A3214" s="32">
        <v>3213.0</v>
      </c>
      <c r="B3214" s="32" t="s">
        <v>4059</v>
      </c>
      <c r="C3214" s="32" t="s">
        <v>184</v>
      </c>
      <c r="D3214" s="32" t="s">
        <v>219</v>
      </c>
      <c r="E3214" s="32" t="s">
        <v>255</v>
      </c>
      <c r="F3214" s="32" t="s">
        <v>223</v>
      </c>
      <c r="G3214" s="32" t="s">
        <v>472</v>
      </c>
    </row>
    <row r="3215" ht="16.5" customHeight="1">
      <c r="A3215" s="32">
        <v>3214.0</v>
      </c>
      <c r="B3215" s="32" t="s">
        <v>4060</v>
      </c>
      <c r="C3215" s="32" t="s">
        <v>184</v>
      </c>
      <c r="D3215" s="32" t="s">
        <v>192</v>
      </c>
      <c r="E3215" s="32" t="s">
        <v>255</v>
      </c>
    </row>
    <row r="3216" ht="16.5" customHeight="1">
      <c r="A3216" s="32">
        <v>3215.0</v>
      </c>
      <c r="B3216" s="32" t="s">
        <v>4061</v>
      </c>
      <c r="C3216" s="32" t="s">
        <v>184</v>
      </c>
      <c r="D3216" s="32" t="s">
        <v>192</v>
      </c>
      <c r="E3216" s="32" t="s">
        <v>3009</v>
      </c>
      <c r="F3216" s="32" t="s">
        <v>329</v>
      </c>
      <c r="G3216" s="32" t="s">
        <v>447</v>
      </c>
    </row>
    <row r="3217" ht="16.5" customHeight="1">
      <c r="A3217" s="32">
        <v>3216.0</v>
      </c>
      <c r="B3217" s="32" t="s">
        <v>4062</v>
      </c>
      <c r="C3217" s="32" t="s">
        <v>184</v>
      </c>
      <c r="D3217" s="32" t="s">
        <v>192</v>
      </c>
      <c r="E3217" s="32" t="s">
        <v>3009</v>
      </c>
      <c r="F3217" s="32" t="s">
        <v>329</v>
      </c>
      <c r="G3217" s="32" t="s">
        <v>447</v>
      </c>
    </row>
    <row r="3218" ht="16.5" customHeight="1">
      <c r="A3218" s="32">
        <v>3217.0</v>
      </c>
      <c r="B3218" s="32" t="s">
        <v>4063</v>
      </c>
      <c r="C3218" s="32" t="s">
        <v>184</v>
      </c>
      <c r="D3218" s="32" t="s">
        <v>254</v>
      </c>
      <c r="E3218" s="32" t="s">
        <v>3009</v>
      </c>
      <c r="F3218" s="32" t="s">
        <v>260</v>
      </c>
    </row>
    <row r="3219" ht="16.5" customHeight="1">
      <c r="A3219" s="32">
        <v>3218.0</v>
      </c>
      <c r="B3219" s="32" t="s">
        <v>4064</v>
      </c>
      <c r="C3219" s="32" t="s">
        <v>184</v>
      </c>
      <c r="D3219" s="32" t="s">
        <v>285</v>
      </c>
      <c r="E3219" s="32" t="s">
        <v>255</v>
      </c>
    </row>
    <row r="3220" ht="16.5" customHeight="1">
      <c r="A3220" s="32">
        <v>3219.0</v>
      </c>
      <c r="B3220" s="32" t="s">
        <v>4065</v>
      </c>
      <c r="C3220" s="32" t="s">
        <v>184</v>
      </c>
      <c r="D3220" s="32" t="s">
        <v>285</v>
      </c>
      <c r="E3220" s="32" t="s">
        <v>255</v>
      </c>
    </row>
    <row r="3221" ht="16.5" customHeight="1">
      <c r="A3221" s="32">
        <v>3220.0</v>
      </c>
      <c r="B3221" s="32" t="s">
        <v>4066</v>
      </c>
      <c r="C3221" s="32" t="s">
        <v>184</v>
      </c>
      <c r="D3221" s="32" t="s">
        <v>254</v>
      </c>
      <c r="E3221" s="32" t="s">
        <v>255</v>
      </c>
    </row>
    <row r="3222" ht="16.5" customHeight="1">
      <c r="A3222" s="32">
        <v>3221.0</v>
      </c>
      <c r="B3222" s="32" t="s">
        <v>4067</v>
      </c>
      <c r="C3222" s="32" t="s">
        <v>184</v>
      </c>
      <c r="D3222" s="32" t="s">
        <v>228</v>
      </c>
      <c r="E3222" s="32" t="s">
        <v>255</v>
      </c>
    </row>
    <row r="3223" ht="16.5" customHeight="1">
      <c r="A3223" s="32">
        <v>3222.0</v>
      </c>
      <c r="B3223" s="32" t="s">
        <v>4068</v>
      </c>
      <c r="C3223" s="32" t="s">
        <v>184</v>
      </c>
      <c r="D3223" s="32" t="s">
        <v>254</v>
      </c>
      <c r="E3223" s="32" t="s">
        <v>3009</v>
      </c>
      <c r="F3223" s="32" t="s">
        <v>260</v>
      </c>
    </row>
    <row r="3224" ht="16.5" customHeight="1">
      <c r="A3224" s="32">
        <v>3223.0</v>
      </c>
      <c r="B3224" s="32" t="s">
        <v>4069</v>
      </c>
      <c r="C3224" s="32" t="s">
        <v>184</v>
      </c>
      <c r="D3224" s="32" t="s">
        <v>192</v>
      </c>
      <c r="E3224" s="32" t="s">
        <v>255</v>
      </c>
    </row>
    <row r="3225" ht="16.5" customHeight="1">
      <c r="A3225" s="32">
        <v>3224.0</v>
      </c>
      <c r="B3225" s="32" t="s">
        <v>4070</v>
      </c>
      <c r="C3225" s="32" t="s">
        <v>184</v>
      </c>
      <c r="D3225" s="32" t="s">
        <v>192</v>
      </c>
      <c r="E3225" s="32" t="s">
        <v>255</v>
      </c>
      <c r="F3225" s="32" t="s">
        <v>300</v>
      </c>
      <c r="G3225" s="32" t="s">
        <v>535</v>
      </c>
    </row>
    <row r="3226" ht="16.5" customHeight="1">
      <c r="A3226" s="32">
        <v>3225.0</v>
      </c>
      <c r="B3226" s="32" t="s">
        <v>4071</v>
      </c>
      <c r="C3226" s="32" t="s">
        <v>184</v>
      </c>
      <c r="D3226" s="32" t="s">
        <v>254</v>
      </c>
      <c r="E3226" s="32" t="s">
        <v>255</v>
      </c>
      <c r="F3226" s="32" t="s">
        <v>260</v>
      </c>
      <c r="G3226" s="32" t="s">
        <v>4072</v>
      </c>
    </row>
    <row r="3227" ht="16.5" customHeight="1">
      <c r="A3227" s="32">
        <v>3226.0</v>
      </c>
      <c r="B3227" s="32" t="s">
        <v>4073</v>
      </c>
      <c r="C3227" s="32" t="s">
        <v>184</v>
      </c>
      <c r="D3227" s="32" t="s">
        <v>254</v>
      </c>
      <c r="E3227" s="32" t="s">
        <v>255</v>
      </c>
      <c r="F3227" s="32" t="s">
        <v>256</v>
      </c>
      <c r="G3227" s="32" t="s">
        <v>257</v>
      </c>
    </row>
    <row r="3228" ht="16.5" customHeight="1">
      <c r="A3228" s="32">
        <v>3227.0</v>
      </c>
      <c r="B3228" s="32" t="s">
        <v>4074</v>
      </c>
      <c r="C3228" s="32" t="s">
        <v>184</v>
      </c>
      <c r="D3228" s="32" t="s">
        <v>185</v>
      </c>
      <c r="E3228" s="32" t="s">
        <v>255</v>
      </c>
    </row>
    <row r="3229" ht="16.5" customHeight="1">
      <c r="A3229" s="32">
        <v>3228.0</v>
      </c>
      <c r="B3229" s="32" t="s">
        <v>4075</v>
      </c>
      <c r="C3229" s="32" t="s">
        <v>184</v>
      </c>
      <c r="D3229" s="32" t="s">
        <v>192</v>
      </c>
      <c r="E3229" s="32" t="s">
        <v>1160</v>
      </c>
      <c r="F3229" s="32" t="s">
        <v>329</v>
      </c>
      <c r="G3229" s="32" t="s">
        <v>457</v>
      </c>
    </row>
    <row r="3230" ht="16.5" customHeight="1">
      <c r="A3230" s="32">
        <v>3229.0</v>
      </c>
      <c r="B3230" s="32" t="s">
        <v>4076</v>
      </c>
      <c r="C3230" s="32" t="s">
        <v>184</v>
      </c>
      <c r="D3230" s="32" t="s">
        <v>254</v>
      </c>
      <c r="E3230" s="32" t="s">
        <v>255</v>
      </c>
      <c r="F3230" s="32" t="s">
        <v>1874</v>
      </c>
      <c r="G3230" s="32" t="s">
        <v>4077</v>
      </c>
    </row>
    <row r="3231" ht="16.5" customHeight="1">
      <c r="A3231" s="32">
        <v>3230.0</v>
      </c>
      <c r="B3231" s="32" t="s">
        <v>4078</v>
      </c>
      <c r="C3231" s="32" t="s">
        <v>184</v>
      </c>
      <c r="D3231" s="32" t="s">
        <v>254</v>
      </c>
      <c r="E3231" s="32" t="s">
        <v>255</v>
      </c>
      <c r="F3231" s="32" t="s">
        <v>4079</v>
      </c>
      <c r="G3231" s="32" t="s">
        <v>4080</v>
      </c>
    </row>
    <row r="3232" ht="16.5" customHeight="1">
      <c r="A3232" s="32">
        <v>3231.0</v>
      </c>
      <c r="B3232" s="32" t="s">
        <v>4081</v>
      </c>
      <c r="C3232" s="32" t="s">
        <v>184</v>
      </c>
      <c r="D3232" s="35" t="s">
        <v>3260</v>
      </c>
      <c r="E3232" s="32" t="s">
        <v>255</v>
      </c>
      <c r="F3232" s="32" t="s">
        <v>1874</v>
      </c>
      <c r="G3232" s="32" t="s">
        <v>3261</v>
      </c>
    </row>
    <row r="3233" ht="16.5" customHeight="1">
      <c r="A3233" s="32">
        <v>3232.0</v>
      </c>
      <c r="B3233" s="32" t="s">
        <v>4082</v>
      </c>
      <c r="C3233" s="32" t="s">
        <v>184</v>
      </c>
      <c r="D3233" s="32" t="s">
        <v>185</v>
      </c>
      <c r="E3233" s="32" t="s">
        <v>255</v>
      </c>
    </row>
    <row r="3234" ht="16.5" customHeight="1">
      <c r="A3234" s="32">
        <v>3233.0</v>
      </c>
      <c r="B3234" s="32" t="s">
        <v>4083</v>
      </c>
      <c r="C3234" s="32" t="s">
        <v>184</v>
      </c>
      <c r="D3234" s="32" t="s">
        <v>254</v>
      </c>
      <c r="E3234" s="32" t="s">
        <v>255</v>
      </c>
      <c r="F3234" s="32" t="s">
        <v>257</v>
      </c>
      <c r="G3234" s="32" t="s">
        <v>271</v>
      </c>
    </row>
    <row r="3235" ht="16.5" customHeight="1">
      <c r="A3235" s="32">
        <v>3234.0</v>
      </c>
      <c r="B3235" s="32" t="s">
        <v>4084</v>
      </c>
      <c r="C3235" s="32" t="s">
        <v>184</v>
      </c>
      <c r="D3235" s="32" t="s">
        <v>254</v>
      </c>
      <c r="E3235" s="32" t="s">
        <v>255</v>
      </c>
      <c r="F3235" s="32" t="s">
        <v>257</v>
      </c>
      <c r="G3235" s="32" t="s">
        <v>271</v>
      </c>
    </row>
    <row r="3236" ht="16.5" customHeight="1">
      <c r="A3236" s="32">
        <v>3235.0</v>
      </c>
      <c r="B3236" s="32" t="s">
        <v>4085</v>
      </c>
      <c r="C3236" s="32" t="s">
        <v>184</v>
      </c>
      <c r="D3236" s="32" t="s">
        <v>254</v>
      </c>
      <c r="E3236" s="32" t="s">
        <v>399</v>
      </c>
      <c r="F3236" s="32" t="s">
        <v>257</v>
      </c>
      <c r="G3236" s="32" t="s">
        <v>271</v>
      </c>
    </row>
    <row r="3237" ht="16.5" customHeight="1">
      <c r="A3237" s="32">
        <v>3236.0</v>
      </c>
      <c r="B3237" s="32" t="s">
        <v>4086</v>
      </c>
      <c r="C3237" s="32" t="s">
        <v>184</v>
      </c>
      <c r="D3237" s="32" t="s">
        <v>254</v>
      </c>
      <c r="E3237" s="32" t="s">
        <v>373</v>
      </c>
      <c r="F3237" s="32" t="s">
        <v>257</v>
      </c>
      <c r="G3237" s="32" t="s">
        <v>256</v>
      </c>
    </row>
    <row r="3238" ht="16.5" customHeight="1">
      <c r="A3238" s="32">
        <v>3237.0</v>
      </c>
      <c r="B3238" s="32" t="s">
        <v>4087</v>
      </c>
      <c r="C3238" s="32" t="s">
        <v>184</v>
      </c>
      <c r="D3238" s="32" t="s">
        <v>254</v>
      </c>
      <c r="E3238" s="32" t="s">
        <v>255</v>
      </c>
      <c r="F3238" s="32" t="s">
        <v>257</v>
      </c>
      <c r="G3238" s="32" t="s">
        <v>271</v>
      </c>
    </row>
    <row r="3239" ht="16.5" customHeight="1">
      <c r="A3239" s="32">
        <v>3238.0</v>
      </c>
      <c r="B3239" s="32" t="s">
        <v>4088</v>
      </c>
      <c r="C3239" s="32" t="s">
        <v>184</v>
      </c>
      <c r="D3239" s="32" t="s">
        <v>285</v>
      </c>
      <c r="E3239" s="32" t="s">
        <v>255</v>
      </c>
    </row>
    <row r="3240" ht="16.5" customHeight="1">
      <c r="A3240" s="32">
        <v>3239.0</v>
      </c>
      <c r="B3240" s="32" t="s">
        <v>4089</v>
      </c>
      <c r="C3240" s="32" t="s">
        <v>184</v>
      </c>
      <c r="D3240" s="32" t="s">
        <v>285</v>
      </c>
      <c r="E3240" s="32" t="s">
        <v>255</v>
      </c>
    </row>
    <row r="3241" ht="16.5" customHeight="1">
      <c r="A3241" s="32">
        <v>3240.0</v>
      </c>
      <c r="B3241" s="32" t="s">
        <v>4090</v>
      </c>
      <c r="C3241" s="32" t="s">
        <v>184</v>
      </c>
      <c r="D3241" s="32" t="s">
        <v>185</v>
      </c>
      <c r="E3241" s="32" t="s">
        <v>255</v>
      </c>
    </row>
    <row r="3242" ht="16.5" customHeight="1">
      <c r="A3242" s="32">
        <v>3241.0</v>
      </c>
      <c r="B3242" s="32" t="s">
        <v>4091</v>
      </c>
      <c r="C3242" s="32" t="s">
        <v>184</v>
      </c>
      <c r="D3242" s="32" t="s">
        <v>285</v>
      </c>
      <c r="E3242" s="32" t="s">
        <v>373</v>
      </c>
    </row>
    <row r="3243" ht="16.5" customHeight="1">
      <c r="A3243" s="32">
        <v>3242.0</v>
      </c>
      <c r="B3243" s="32" t="s">
        <v>4092</v>
      </c>
      <c r="C3243" s="32" t="s">
        <v>184</v>
      </c>
      <c r="D3243" s="32" t="s">
        <v>192</v>
      </c>
      <c r="E3243" s="32" t="s">
        <v>255</v>
      </c>
      <c r="F3243" s="32" t="s">
        <v>239</v>
      </c>
      <c r="G3243" s="32" t="s">
        <v>4008</v>
      </c>
    </row>
    <row r="3244" ht="16.5" customHeight="1">
      <c r="A3244" s="32">
        <v>3243.0</v>
      </c>
      <c r="B3244" s="32" t="s">
        <v>4093</v>
      </c>
      <c r="C3244" s="32" t="s">
        <v>184</v>
      </c>
      <c r="D3244" s="32" t="s">
        <v>192</v>
      </c>
      <c r="E3244" s="32" t="s">
        <v>255</v>
      </c>
      <c r="F3244" s="32" t="s">
        <v>239</v>
      </c>
      <c r="G3244" s="32" t="s">
        <v>4008</v>
      </c>
    </row>
    <row r="3245" ht="16.5" customHeight="1">
      <c r="A3245" s="32">
        <v>3244.0</v>
      </c>
      <c r="B3245" s="32" t="s">
        <v>4094</v>
      </c>
      <c r="C3245" s="32" t="s">
        <v>184</v>
      </c>
      <c r="D3245" s="32" t="s">
        <v>234</v>
      </c>
      <c r="E3245" s="32" t="s">
        <v>255</v>
      </c>
      <c r="F3245" s="32" t="s">
        <v>885</v>
      </c>
      <c r="G3245" s="32" t="s">
        <v>1621</v>
      </c>
    </row>
    <row r="3246" ht="16.5" customHeight="1">
      <c r="A3246" s="32">
        <v>3245.0</v>
      </c>
      <c r="B3246" s="32" t="s">
        <v>4095</v>
      </c>
      <c r="C3246" s="32" t="s">
        <v>184</v>
      </c>
      <c r="D3246" s="32" t="s">
        <v>192</v>
      </c>
      <c r="E3246" s="32" t="s">
        <v>255</v>
      </c>
      <c r="F3246" s="32" t="s">
        <v>4096</v>
      </c>
      <c r="G3246" s="32" t="s">
        <v>300</v>
      </c>
    </row>
    <row r="3247" ht="16.5" customHeight="1">
      <c r="A3247" s="32">
        <v>3246.0</v>
      </c>
      <c r="B3247" s="32" t="s">
        <v>4097</v>
      </c>
      <c r="C3247" s="32" t="s">
        <v>184</v>
      </c>
      <c r="D3247" s="32" t="s">
        <v>192</v>
      </c>
      <c r="E3247" s="32" t="s">
        <v>255</v>
      </c>
      <c r="F3247" s="32" t="s">
        <v>4008</v>
      </c>
      <c r="G3247" s="32" t="s">
        <v>408</v>
      </c>
    </row>
    <row r="3248" ht="16.5" customHeight="1">
      <c r="A3248" s="32">
        <v>3247.0</v>
      </c>
      <c r="B3248" s="32" t="s">
        <v>4098</v>
      </c>
      <c r="C3248" s="32" t="s">
        <v>184</v>
      </c>
      <c r="D3248" s="32" t="s">
        <v>254</v>
      </c>
      <c r="E3248" s="32" t="s">
        <v>255</v>
      </c>
    </row>
    <row r="3249" ht="16.5" customHeight="1">
      <c r="A3249" s="32">
        <v>3248.0</v>
      </c>
      <c r="B3249" s="32" t="s">
        <v>4099</v>
      </c>
      <c r="C3249" s="32" t="s">
        <v>184</v>
      </c>
      <c r="D3249" s="35" t="s">
        <v>310</v>
      </c>
      <c r="E3249" s="32" t="s">
        <v>255</v>
      </c>
      <c r="F3249" s="32" t="s">
        <v>2845</v>
      </c>
      <c r="G3249" s="32" t="s">
        <v>4100</v>
      </c>
    </row>
    <row r="3250" ht="16.5" customHeight="1">
      <c r="A3250" s="32">
        <v>3249.0</v>
      </c>
      <c r="B3250" s="32" t="s">
        <v>4101</v>
      </c>
      <c r="C3250" s="32" t="s">
        <v>184</v>
      </c>
      <c r="D3250" s="32" t="s">
        <v>185</v>
      </c>
      <c r="E3250" s="32" t="s">
        <v>255</v>
      </c>
    </row>
    <row r="3251" ht="16.5" customHeight="1">
      <c r="A3251" s="32">
        <v>3250.0</v>
      </c>
      <c r="B3251" s="32" t="s">
        <v>4102</v>
      </c>
      <c r="C3251" s="32" t="s">
        <v>184</v>
      </c>
      <c r="D3251" s="32" t="s">
        <v>254</v>
      </c>
      <c r="E3251" s="32" t="s">
        <v>255</v>
      </c>
      <c r="F3251" s="32" t="s">
        <v>4103</v>
      </c>
      <c r="G3251" s="32" t="s">
        <v>4104</v>
      </c>
    </row>
    <row r="3252" ht="16.5" customHeight="1">
      <c r="A3252" s="32">
        <v>3251.0</v>
      </c>
      <c r="B3252" s="32" t="s">
        <v>4105</v>
      </c>
      <c r="C3252" s="32" t="s">
        <v>184</v>
      </c>
      <c r="D3252" s="35" t="s">
        <v>310</v>
      </c>
      <c r="E3252" s="32" t="s">
        <v>255</v>
      </c>
      <c r="F3252" s="32" t="s">
        <v>305</v>
      </c>
      <c r="G3252" s="32" t="s">
        <v>1306</v>
      </c>
    </row>
    <row r="3253" ht="16.5" customHeight="1">
      <c r="A3253" s="32">
        <v>3252.0</v>
      </c>
      <c r="B3253" s="32" t="s">
        <v>4106</v>
      </c>
      <c r="C3253" s="32" t="s">
        <v>184</v>
      </c>
      <c r="D3253" s="32" t="s">
        <v>192</v>
      </c>
      <c r="E3253" s="32" t="s">
        <v>2745</v>
      </c>
    </row>
    <row r="3254" ht="16.5" customHeight="1">
      <c r="A3254" s="32">
        <v>3253.0</v>
      </c>
      <c r="B3254" s="32" t="s">
        <v>4107</v>
      </c>
      <c r="C3254" s="32" t="s">
        <v>184</v>
      </c>
      <c r="D3254" s="32" t="s">
        <v>254</v>
      </c>
      <c r="E3254" s="32" t="s">
        <v>255</v>
      </c>
    </row>
    <row r="3255" ht="16.5" customHeight="1">
      <c r="A3255" s="32">
        <v>3254.0</v>
      </c>
      <c r="B3255" s="32" t="s">
        <v>4108</v>
      </c>
      <c r="C3255" s="32" t="s">
        <v>184</v>
      </c>
      <c r="D3255" s="32" t="s">
        <v>228</v>
      </c>
      <c r="E3255" s="32" t="s">
        <v>399</v>
      </c>
    </row>
    <row r="3256" ht="16.5" customHeight="1">
      <c r="A3256" s="32">
        <v>3255.0</v>
      </c>
      <c r="B3256" s="32" t="s">
        <v>4109</v>
      </c>
      <c r="C3256" s="32" t="s">
        <v>184</v>
      </c>
      <c r="D3256" s="32" t="s">
        <v>192</v>
      </c>
      <c r="E3256" s="32" t="s">
        <v>255</v>
      </c>
    </row>
    <row r="3257" ht="16.5" customHeight="1">
      <c r="A3257" s="32">
        <v>3256.0</v>
      </c>
      <c r="B3257" s="32" t="s">
        <v>4110</v>
      </c>
      <c r="C3257" s="32" t="s">
        <v>184</v>
      </c>
      <c r="D3257" s="32" t="s">
        <v>234</v>
      </c>
      <c r="E3257" s="32" t="s">
        <v>255</v>
      </c>
      <c r="F3257" s="32" t="s">
        <v>472</v>
      </c>
    </row>
    <row r="3258" ht="16.5" customHeight="1">
      <c r="A3258" s="32">
        <v>3257.0</v>
      </c>
      <c r="B3258" s="32" t="s">
        <v>4111</v>
      </c>
      <c r="C3258" s="32" t="s">
        <v>184</v>
      </c>
      <c r="D3258" s="32" t="s">
        <v>351</v>
      </c>
      <c r="E3258" s="32" t="s">
        <v>255</v>
      </c>
    </row>
    <row r="3259" ht="16.5" customHeight="1">
      <c r="A3259" s="32">
        <v>3258.0</v>
      </c>
      <c r="B3259" s="32" t="s">
        <v>4112</v>
      </c>
      <c r="C3259" s="32" t="s">
        <v>184</v>
      </c>
      <c r="D3259" s="32" t="s">
        <v>192</v>
      </c>
      <c r="E3259" s="32" t="s">
        <v>255</v>
      </c>
      <c r="F3259" s="32" t="s">
        <v>329</v>
      </c>
      <c r="G3259" s="32" t="s">
        <v>447</v>
      </c>
    </row>
    <row r="3260" ht="16.5" customHeight="1">
      <c r="A3260" s="32">
        <v>3259.0</v>
      </c>
      <c r="B3260" s="32" t="s">
        <v>4113</v>
      </c>
      <c r="C3260" s="32" t="s">
        <v>184</v>
      </c>
      <c r="D3260" s="32" t="s">
        <v>192</v>
      </c>
      <c r="E3260" s="32" t="s">
        <v>255</v>
      </c>
      <c r="F3260" s="32" t="s">
        <v>329</v>
      </c>
      <c r="G3260" s="32" t="s">
        <v>447</v>
      </c>
    </row>
    <row r="3261" ht="16.5" customHeight="1">
      <c r="A3261" s="32">
        <v>3260.0</v>
      </c>
      <c r="B3261" s="32" t="s">
        <v>4114</v>
      </c>
      <c r="C3261" s="32" t="s">
        <v>184</v>
      </c>
      <c r="D3261" s="35" t="s">
        <v>361</v>
      </c>
      <c r="E3261" s="32" t="s">
        <v>255</v>
      </c>
      <c r="F3261" s="32" t="s">
        <v>329</v>
      </c>
      <c r="G3261" s="32" t="s">
        <v>357</v>
      </c>
    </row>
    <row r="3262" ht="16.5" customHeight="1">
      <c r="A3262" s="32">
        <v>3261.0</v>
      </c>
      <c r="B3262" s="32" t="s">
        <v>4115</v>
      </c>
      <c r="C3262" s="32" t="s">
        <v>184</v>
      </c>
      <c r="D3262" s="32" t="s">
        <v>351</v>
      </c>
      <c r="E3262" s="32" t="s">
        <v>255</v>
      </c>
      <c r="F3262" s="32" t="s">
        <v>4116</v>
      </c>
    </row>
    <row r="3263" ht="16.5" customHeight="1">
      <c r="A3263" s="32">
        <v>3262.0</v>
      </c>
      <c r="B3263" s="32" t="s">
        <v>4117</v>
      </c>
      <c r="C3263" s="32" t="s">
        <v>184</v>
      </c>
      <c r="D3263" s="32" t="s">
        <v>254</v>
      </c>
      <c r="E3263" s="32" t="s">
        <v>255</v>
      </c>
      <c r="F3263" s="32" t="s">
        <v>305</v>
      </c>
      <c r="G3263" s="32" t="s">
        <v>600</v>
      </c>
    </row>
    <row r="3264" ht="16.5" customHeight="1">
      <c r="A3264" s="32">
        <v>3263.0</v>
      </c>
      <c r="B3264" s="32" t="s">
        <v>4118</v>
      </c>
      <c r="C3264" s="32" t="s">
        <v>184</v>
      </c>
      <c r="D3264" s="32" t="s">
        <v>325</v>
      </c>
      <c r="E3264" s="32" t="s">
        <v>255</v>
      </c>
    </row>
    <row r="3265" ht="16.5" customHeight="1">
      <c r="A3265" s="32">
        <v>3264.0</v>
      </c>
      <c r="B3265" s="32" t="s">
        <v>4119</v>
      </c>
      <c r="C3265" s="32" t="s">
        <v>184</v>
      </c>
      <c r="D3265" s="35" t="s">
        <v>522</v>
      </c>
      <c r="E3265" s="32" t="s">
        <v>255</v>
      </c>
      <c r="F3265" s="32" t="s">
        <v>2640</v>
      </c>
      <c r="G3265" s="32" t="s">
        <v>1206</v>
      </c>
    </row>
    <row r="3266" ht="16.5" customHeight="1">
      <c r="A3266" s="32">
        <v>3265.0</v>
      </c>
      <c r="B3266" s="32" t="s">
        <v>4120</v>
      </c>
      <c r="C3266" s="32" t="s">
        <v>184</v>
      </c>
      <c r="D3266" s="32" t="s">
        <v>254</v>
      </c>
      <c r="E3266" s="32" t="s">
        <v>255</v>
      </c>
      <c r="F3266" s="32" t="s">
        <v>305</v>
      </c>
      <c r="G3266" s="32" t="s">
        <v>600</v>
      </c>
    </row>
    <row r="3267" ht="16.5" customHeight="1">
      <c r="A3267" s="32">
        <v>3266.0</v>
      </c>
      <c r="B3267" s="32" t="s">
        <v>4121</v>
      </c>
      <c r="C3267" s="32" t="s">
        <v>184</v>
      </c>
      <c r="D3267" s="32" t="s">
        <v>254</v>
      </c>
      <c r="E3267" s="32" t="s">
        <v>255</v>
      </c>
      <c r="F3267" s="32" t="s">
        <v>256</v>
      </c>
      <c r="G3267" s="32" t="s">
        <v>424</v>
      </c>
    </row>
    <row r="3268" ht="16.5" customHeight="1">
      <c r="A3268" s="32">
        <v>3267.0</v>
      </c>
      <c r="B3268" s="32" t="s">
        <v>4122</v>
      </c>
      <c r="C3268" s="32" t="s">
        <v>184</v>
      </c>
      <c r="D3268" s="35" t="s">
        <v>310</v>
      </c>
      <c r="E3268" s="32" t="s">
        <v>255</v>
      </c>
    </row>
    <row r="3269" ht="16.5" customHeight="1">
      <c r="A3269" s="32">
        <v>3268.0</v>
      </c>
      <c r="B3269" s="32" t="s">
        <v>4123</v>
      </c>
      <c r="C3269" s="32" t="s">
        <v>184</v>
      </c>
      <c r="D3269" s="32" t="s">
        <v>219</v>
      </c>
      <c r="E3269" s="32" t="s">
        <v>255</v>
      </c>
    </row>
    <row r="3270" ht="16.5" customHeight="1">
      <c r="A3270" s="32">
        <v>3269.0</v>
      </c>
      <c r="B3270" s="32" t="s">
        <v>4124</v>
      </c>
      <c r="C3270" s="32" t="s">
        <v>184</v>
      </c>
      <c r="D3270" s="32" t="s">
        <v>192</v>
      </c>
      <c r="E3270" s="32" t="s">
        <v>255</v>
      </c>
      <c r="F3270" s="32" t="s">
        <v>329</v>
      </c>
      <c r="G3270" s="32" t="s">
        <v>447</v>
      </c>
    </row>
    <row r="3271" ht="16.5" customHeight="1">
      <c r="A3271" s="32">
        <v>3270.0</v>
      </c>
      <c r="B3271" s="32" t="s">
        <v>4125</v>
      </c>
      <c r="C3271" s="32" t="s">
        <v>184</v>
      </c>
      <c r="D3271" s="32" t="s">
        <v>192</v>
      </c>
      <c r="E3271" s="32" t="s">
        <v>255</v>
      </c>
    </row>
    <row r="3272" ht="16.5" customHeight="1">
      <c r="A3272" s="32">
        <v>3271.0</v>
      </c>
      <c r="B3272" s="32" t="s">
        <v>4126</v>
      </c>
      <c r="C3272" s="32" t="s">
        <v>184</v>
      </c>
      <c r="D3272" s="32" t="s">
        <v>192</v>
      </c>
      <c r="E3272" s="32" t="s">
        <v>255</v>
      </c>
      <c r="F3272" s="32" t="s">
        <v>329</v>
      </c>
      <c r="G3272" s="32" t="s">
        <v>447</v>
      </c>
    </row>
    <row r="3273" ht="16.5" customHeight="1">
      <c r="A3273" s="32">
        <v>3272.0</v>
      </c>
      <c r="B3273" s="32" t="s">
        <v>4127</v>
      </c>
      <c r="C3273" s="32" t="s">
        <v>184</v>
      </c>
      <c r="D3273" s="32" t="s">
        <v>192</v>
      </c>
      <c r="E3273" s="32" t="s">
        <v>255</v>
      </c>
      <c r="F3273" s="32" t="s">
        <v>300</v>
      </c>
      <c r="G3273" s="32" t="s">
        <v>3413</v>
      </c>
    </row>
    <row r="3274" ht="16.5" customHeight="1">
      <c r="A3274" s="32">
        <v>3273.0</v>
      </c>
      <c r="B3274" s="32" t="s">
        <v>4128</v>
      </c>
      <c r="C3274" s="32" t="s">
        <v>184</v>
      </c>
      <c r="D3274" s="32" t="s">
        <v>192</v>
      </c>
      <c r="E3274" s="32" t="s">
        <v>2745</v>
      </c>
    </row>
    <row r="3275" ht="16.5" customHeight="1">
      <c r="A3275" s="32">
        <v>3274.0</v>
      </c>
      <c r="B3275" s="32" t="s">
        <v>4129</v>
      </c>
      <c r="C3275" s="32" t="s">
        <v>184</v>
      </c>
      <c r="D3275" s="32" t="s">
        <v>192</v>
      </c>
      <c r="E3275" s="32" t="s">
        <v>255</v>
      </c>
      <c r="F3275" s="32" t="s">
        <v>570</v>
      </c>
      <c r="G3275" s="32" t="s">
        <v>447</v>
      </c>
    </row>
    <row r="3276" ht="16.5" customHeight="1">
      <c r="A3276" s="32">
        <v>3275.0</v>
      </c>
      <c r="B3276" s="32" t="s">
        <v>4130</v>
      </c>
      <c r="C3276" s="32" t="s">
        <v>184</v>
      </c>
      <c r="D3276" s="32" t="s">
        <v>254</v>
      </c>
      <c r="E3276" s="32" t="s">
        <v>255</v>
      </c>
      <c r="F3276" s="32" t="s">
        <v>1328</v>
      </c>
      <c r="G3276" s="32" t="s">
        <v>190</v>
      </c>
    </row>
    <row r="3277" ht="16.5" customHeight="1">
      <c r="A3277" s="32">
        <v>3276.0</v>
      </c>
      <c r="B3277" s="32" t="s">
        <v>4131</v>
      </c>
      <c r="C3277" s="32" t="s">
        <v>184</v>
      </c>
      <c r="D3277" s="32" t="s">
        <v>254</v>
      </c>
      <c r="E3277" s="32" t="s">
        <v>255</v>
      </c>
      <c r="F3277" s="32" t="s">
        <v>263</v>
      </c>
      <c r="G3277" s="32" t="s">
        <v>4132</v>
      </c>
    </row>
    <row r="3278" ht="16.5" customHeight="1">
      <c r="A3278" s="32">
        <v>3277.0</v>
      </c>
      <c r="B3278" s="32" t="s">
        <v>4133</v>
      </c>
      <c r="C3278" s="32" t="s">
        <v>184</v>
      </c>
      <c r="D3278" s="32" t="s">
        <v>234</v>
      </c>
      <c r="E3278" s="32" t="s">
        <v>255</v>
      </c>
      <c r="F3278" s="32" t="s">
        <v>472</v>
      </c>
    </row>
    <row r="3279" ht="16.5" customHeight="1">
      <c r="A3279" s="32">
        <v>3278.0</v>
      </c>
      <c r="B3279" s="32" t="s">
        <v>4134</v>
      </c>
      <c r="C3279" s="32" t="s">
        <v>184</v>
      </c>
      <c r="D3279" s="32" t="s">
        <v>254</v>
      </c>
      <c r="E3279" s="32" t="s">
        <v>399</v>
      </c>
      <c r="F3279" s="32" t="s">
        <v>257</v>
      </c>
      <c r="G3279" s="32" t="s">
        <v>271</v>
      </c>
    </row>
    <row r="3280" ht="16.5" customHeight="1">
      <c r="A3280" s="32">
        <v>3279.0</v>
      </c>
      <c r="B3280" s="32" t="s">
        <v>4135</v>
      </c>
      <c r="C3280" s="32" t="s">
        <v>184</v>
      </c>
      <c r="D3280" s="32" t="s">
        <v>254</v>
      </c>
      <c r="E3280" s="32" t="s">
        <v>255</v>
      </c>
      <c r="F3280" s="32" t="s">
        <v>257</v>
      </c>
      <c r="G3280" s="32" t="s">
        <v>256</v>
      </c>
    </row>
    <row r="3281" ht="16.5" customHeight="1">
      <c r="A3281" s="32">
        <v>3280.0</v>
      </c>
      <c r="B3281" s="32" t="s">
        <v>4136</v>
      </c>
      <c r="C3281" s="32" t="s">
        <v>184</v>
      </c>
      <c r="D3281" s="32" t="s">
        <v>254</v>
      </c>
      <c r="E3281" s="32" t="s">
        <v>255</v>
      </c>
      <c r="F3281" s="32" t="s">
        <v>257</v>
      </c>
      <c r="G3281" s="32" t="s">
        <v>256</v>
      </c>
    </row>
    <row r="3282" ht="16.5" customHeight="1">
      <c r="A3282" s="32">
        <v>3281.0</v>
      </c>
      <c r="B3282" s="32" t="s">
        <v>4137</v>
      </c>
      <c r="C3282" s="32" t="s">
        <v>184</v>
      </c>
      <c r="D3282" s="32" t="s">
        <v>254</v>
      </c>
      <c r="E3282" s="32" t="s">
        <v>255</v>
      </c>
    </row>
    <row r="3283" ht="16.5" customHeight="1">
      <c r="A3283" s="32">
        <v>3282.0</v>
      </c>
      <c r="B3283" s="32" t="s">
        <v>4138</v>
      </c>
      <c r="C3283" s="32" t="s">
        <v>184</v>
      </c>
      <c r="D3283" s="32" t="s">
        <v>285</v>
      </c>
      <c r="E3283" s="32" t="s">
        <v>255</v>
      </c>
      <c r="F3283" s="32" t="s">
        <v>188</v>
      </c>
      <c r="G3283" s="32" t="s">
        <v>4139</v>
      </c>
    </row>
    <row r="3284" ht="16.5" customHeight="1">
      <c r="A3284" s="32">
        <v>3283.0</v>
      </c>
      <c r="B3284" s="32" t="s">
        <v>4138</v>
      </c>
      <c r="C3284" s="32" t="s">
        <v>184</v>
      </c>
      <c r="D3284" s="32" t="s">
        <v>285</v>
      </c>
      <c r="E3284" s="32" t="s">
        <v>255</v>
      </c>
    </row>
    <row r="3285" ht="16.5" customHeight="1">
      <c r="A3285" s="32">
        <v>3284.0</v>
      </c>
      <c r="B3285" s="32" t="s">
        <v>4140</v>
      </c>
      <c r="C3285" s="32" t="s">
        <v>184</v>
      </c>
      <c r="D3285" s="32" t="s">
        <v>285</v>
      </c>
      <c r="E3285" s="32" t="s">
        <v>255</v>
      </c>
      <c r="F3285" s="32" t="s">
        <v>188</v>
      </c>
      <c r="G3285" s="32" t="s">
        <v>4141</v>
      </c>
    </row>
    <row r="3286" ht="16.5" customHeight="1">
      <c r="A3286" s="32">
        <v>3285.0</v>
      </c>
      <c r="B3286" s="32" t="s">
        <v>4142</v>
      </c>
      <c r="C3286" s="32" t="s">
        <v>184</v>
      </c>
      <c r="D3286" s="35" t="s">
        <v>361</v>
      </c>
      <c r="E3286" s="32" t="s">
        <v>255</v>
      </c>
      <c r="F3286" s="32" t="s">
        <v>1230</v>
      </c>
    </row>
    <row r="3287" ht="16.5" customHeight="1">
      <c r="A3287" s="32">
        <v>3286.0</v>
      </c>
      <c r="B3287" s="32" t="s">
        <v>4143</v>
      </c>
      <c r="C3287" s="32" t="s">
        <v>184</v>
      </c>
      <c r="D3287" s="32" t="s">
        <v>285</v>
      </c>
      <c r="E3287" s="32" t="s">
        <v>255</v>
      </c>
      <c r="F3287" s="32" t="s">
        <v>188</v>
      </c>
      <c r="G3287" s="32" t="s">
        <v>368</v>
      </c>
    </row>
    <row r="3288" ht="16.5" customHeight="1">
      <c r="A3288" s="32">
        <v>3287.0</v>
      </c>
      <c r="B3288" s="32" t="s">
        <v>4144</v>
      </c>
      <c r="C3288" s="32" t="s">
        <v>184</v>
      </c>
      <c r="D3288" s="32" t="s">
        <v>192</v>
      </c>
      <c r="E3288" s="32" t="s">
        <v>255</v>
      </c>
      <c r="F3288" s="32" t="s">
        <v>4008</v>
      </c>
      <c r="G3288" s="32" t="s">
        <v>1621</v>
      </c>
    </row>
    <row r="3289" ht="16.5" customHeight="1">
      <c r="A3289" s="32">
        <v>3288.0</v>
      </c>
      <c r="B3289" s="32" t="s">
        <v>4145</v>
      </c>
      <c r="C3289" s="32" t="s">
        <v>184</v>
      </c>
      <c r="D3289" s="32" t="s">
        <v>192</v>
      </c>
      <c r="E3289" s="32" t="s">
        <v>255</v>
      </c>
    </row>
    <row r="3290" ht="16.5" customHeight="1">
      <c r="A3290" s="32">
        <v>3289.0</v>
      </c>
      <c r="B3290" s="32" t="s">
        <v>4146</v>
      </c>
      <c r="C3290" s="32" t="s">
        <v>184</v>
      </c>
      <c r="D3290" s="32" t="s">
        <v>192</v>
      </c>
      <c r="E3290" s="32" t="s">
        <v>255</v>
      </c>
      <c r="F3290" s="32" t="s">
        <v>300</v>
      </c>
      <c r="G3290" s="32" t="s">
        <v>387</v>
      </c>
    </row>
    <row r="3291" ht="16.5" customHeight="1">
      <c r="A3291" s="32">
        <v>3290.0</v>
      </c>
      <c r="B3291" s="32" t="s">
        <v>4147</v>
      </c>
      <c r="C3291" s="32" t="s">
        <v>184</v>
      </c>
      <c r="D3291" s="32" t="s">
        <v>192</v>
      </c>
      <c r="E3291" s="32" t="s">
        <v>255</v>
      </c>
      <c r="F3291" s="32" t="s">
        <v>300</v>
      </c>
      <c r="G3291" s="32" t="s">
        <v>535</v>
      </c>
    </row>
    <row r="3292" ht="16.5" customHeight="1">
      <c r="A3292" s="32">
        <v>3291.0</v>
      </c>
      <c r="B3292" s="32" t="s">
        <v>4148</v>
      </c>
      <c r="C3292" s="32" t="s">
        <v>184</v>
      </c>
      <c r="D3292" s="32" t="s">
        <v>228</v>
      </c>
      <c r="E3292" s="32" t="s">
        <v>291</v>
      </c>
      <c r="F3292" s="32" t="s">
        <v>229</v>
      </c>
      <c r="G3292" s="32" t="s">
        <v>626</v>
      </c>
    </row>
    <row r="3293" ht="16.5" customHeight="1">
      <c r="A3293" s="32">
        <v>3292.0</v>
      </c>
      <c r="B3293" s="32" t="s">
        <v>4149</v>
      </c>
      <c r="C3293" s="32" t="s">
        <v>184</v>
      </c>
      <c r="D3293" s="35" t="s">
        <v>3260</v>
      </c>
      <c r="E3293" s="32" t="s">
        <v>255</v>
      </c>
      <c r="F3293" s="32" t="s">
        <v>4150</v>
      </c>
      <c r="G3293" s="32" t="s">
        <v>3267</v>
      </c>
    </row>
    <row r="3294" ht="16.5" customHeight="1">
      <c r="A3294" s="32">
        <v>3293.0</v>
      </c>
      <c r="B3294" s="32" t="s">
        <v>4151</v>
      </c>
      <c r="C3294" s="32" t="s">
        <v>184</v>
      </c>
      <c r="D3294" s="32" t="s">
        <v>254</v>
      </c>
      <c r="E3294" s="32" t="s">
        <v>255</v>
      </c>
      <c r="F3294" s="32" t="s">
        <v>235</v>
      </c>
      <c r="G3294" s="32" t="s">
        <v>3265</v>
      </c>
    </row>
    <row r="3295" ht="16.5" customHeight="1">
      <c r="A3295" s="32">
        <v>3294.0</v>
      </c>
      <c r="B3295" s="32" t="s">
        <v>4152</v>
      </c>
      <c r="C3295" s="32" t="s">
        <v>184</v>
      </c>
      <c r="D3295" s="32" t="s">
        <v>234</v>
      </c>
      <c r="E3295" s="32" t="s">
        <v>255</v>
      </c>
      <c r="F3295" s="32" t="s">
        <v>235</v>
      </c>
      <c r="G3295" s="32" t="s">
        <v>3267</v>
      </c>
    </row>
    <row r="3296" ht="16.5" customHeight="1">
      <c r="A3296" s="32">
        <v>3295.0</v>
      </c>
      <c r="B3296" s="32" t="s">
        <v>4153</v>
      </c>
      <c r="C3296" s="32" t="s">
        <v>184</v>
      </c>
      <c r="D3296" s="32" t="s">
        <v>192</v>
      </c>
      <c r="E3296" s="32" t="s">
        <v>255</v>
      </c>
    </row>
    <row r="3297" ht="16.5" customHeight="1">
      <c r="A3297" s="32">
        <v>3296.0</v>
      </c>
      <c r="B3297" s="32" t="s">
        <v>4154</v>
      </c>
      <c r="C3297" s="32" t="s">
        <v>184</v>
      </c>
      <c r="D3297" s="35" t="s">
        <v>294</v>
      </c>
      <c r="E3297" s="32" t="s">
        <v>255</v>
      </c>
      <c r="F3297" s="32" t="s">
        <v>189</v>
      </c>
      <c r="G3297" s="32" t="s">
        <v>190</v>
      </c>
    </row>
    <row r="3298" ht="16.5" customHeight="1">
      <c r="A3298" s="32">
        <v>3297.0</v>
      </c>
      <c r="B3298" s="32" t="s">
        <v>4155</v>
      </c>
      <c r="C3298" s="32" t="s">
        <v>184</v>
      </c>
      <c r="D3298" s="32" t="s">
        <v>192</v>
      </c>
      <c r="E3298" s="32" t="s">
        <v>255</v>
      </c>
    </row>
    <row r="3299" ht="16.5" customHeight="1">
      <c r="A3299" s="32">
        <v>3298.0</v>
      </c>
      <c r="B3299" s="32" t="s">
        <v>4156</v>
      </c>
      <c r="C3299" s="32" t="s">
        <v>184</v>
      </c>
      <c r="D3299" s="32" t="s">
        <v>285</v>
      </c>
      <c r="E3299" s="32" t="s">
        <v>255</v>
      </c>
    </row>
    <row r="3300" ht="16.5" customHeight="1">
      <c r="A3300" s="32">
        <v>3299.0</v>
      </c>
      <c r="B3300" s="32" t="s">
        <v>4157</v>
      </c>
      <c r="C3300" s="32" t="s">
        <v>184</v>
      </c>
      <c r="D3300" s="32" t="s">
        <v>254</v>
      </c>
      <c r="E3300" s="32" t="s">
        <v>399</v>
      </c>
      <c r="F3300" s="32" t="s">
        <v>257</v>
      </c>
      <c r="G3300" s="32" t="s">
        <v>271</v>
      </c>
    </row>
    <row r="3301" ht="16.5" customHeight="1">
      <c r="A3301" s="32">
        <v>3300.0</v>
      </c>
      <c r="B3301" s="32" t="s">
        <v>4158</v>
      </c>
      <c r="C3301" s="32" t="s">
        <v>184</v>
      </c>
      <c r="D3301" s="32" t="s">
        <v>254</v>
      </c>
      <c r="E3301" s="32" t="s">
        <v>255</v>
      </c>
      <c r="F3301" s="32" t="s">
        <v>257</v>
      </c>
      <c r="G3301" s="32" t="s">
        <v>4159</v>
      </c>
    </row>
    <row r="3302" ht="16.5" customHeight="1">
      <c r="A3302" s="32">
        <v>3301.0</v>
      </c>
      <c r="B3302" s="32" t="s">
        <v>4160</v>
      </c>
      <c r="C3302" s="32" t="s">
        <v>184</v>
      </c>
      <c r="D3302" s="32" t="s">
        <v>285</v>
      </c>
      <c r="E3302" s="32" t="s">
        <v>255</v>
      </c>
      <c r="F3302" s="32" t="s">
        <v>2482</v>
      </c>
      <c r="G3302" s="32" t="s">
        <v>4161</v>
      </c>
    </row>
    <row r="3303" ht="16.5" customHeight="1">
      <c r="A3303" s="32">
        <v>3302.0</v>
      </c>
      <c r="B3303" s="32" t="s">
        <v>4162</v>
      </c>
      <c r="C3303" s="32" t="s">
        <v>184</v>
      </c>
      <c r="D3303" s="32" t="s">
        <v>285</v>
      </c>
      <c r="E3303" s="32" t="s">
        <v>255</v>
      </c>
      <c r="F3303" s="32" t="s">
        <v>1328</v>
      </c>
      <c r="G3303" s="32" t="s">
        <v>4163</v>
      </c>
    </row>
    <row r="3304" ht="16.5" customHeight="1">
      <c r="A3304" s="32">
        <v>3303.0</v>
      </c>
      <c r="B3304" s="32" t="s">
        <v>4164</v>
      </c>
      <c r="C3304" s="32" t="s">
        <v>184</v>
      </c>
      <c r="D3304" s="32" t="s">
        <v>254</v>
      </c>
      <c r="E3304" s="32" t="s">
        <v>255</v>
      </c>
      <c r="F3304" s="32" t="s">
        <v>257</v>
      </c>
      <c r="G3304" s="32" t="s">
        <v>4165</v>
      </c>
    </row>
    <row r="3305" ht="16.5" customHeight="1">
      <c r="A3305" s="32">
        <v>3304.0</v>
      </c>
      <c r="B3305" s="32" t="s">
        <v>4166</v>
      </c>
      <c r="C3305" s="32" t="s">
        <v>184</v>
      </c>
      <c r="D3305" s="32" t="s">
        <v>185</v>
      </c>
      <c r="E3305" s="32" t="s">
        <v>255</v>
      </c>
      <c r="F3305" s="32" t="s">
        <v>508</v>
      </c>
      <c r="G3305" s="32" t="s">
        <v>424</v>
      </c>
    </row>
    <row r="3306" ht="16.5" customHeight="1">
      <c r="A3306" s="32">
        <v>3305.0</v>
      </c>
      <c r="B3306" s="32" t="s">
        <v>4166</v>
      </c>
      <c r="C3306" s="32" t="s">
        <v>184</v>
      </c>
      <c r="D3306" s="32" t="s">
        <v>185</v>
      </c>
      <c r="E3306" s="32" t="s">
        <v>255</v>
      </c>
      <c r="F3306" s="32" t="s">
        <v>257</v>
      </c>
      <c r="G3306" s="32" t="s">
        <v>734</v>
      </c>
    </row>
    <row r="3307" ht="16.5" customHeight="1">
      <c r="A3307" s="32">
        <v>3306.0</v>
      </c>
      <c r="B3307" s="32" t="s">
        <v>4167</v>
      </c>
      <c r="C3307" s="32" t="s">
        <v>184</v>
      </c>
      <c r="D3307" s="32" t="s">
        <v>185</v>
      </c>
      <c r="E3307" s="32" t="s">
        <v>255</v>
      </c>
      <c r="F3307" s="32" t="s">
        <v>1206</v>
      </c>
    </row>
    <row r="3308" ht="16.5" customHeight="1">
      <c r="A3308" s="32">
        <v>3307.0</v>
      </c>
      <c r="B3308" s="32" t="s">
        <v>4168</v>
      </c>
      <c r="C3308" s="32" t="s">
        <v>184</v>
      </c>
      <c r="D3308" s="35" t="s">
        <v>1720</v>
      </c>
      <c r="E3308" s="32" t="s">
        <v>255</v>
      </c>
      <c r="F3308" s="32" t="s">
        <v>4169</v>
      </c>
      <c r="G3308" s="32" t="s">
        <v>4170</v>
      </c>
    </row>
    <row r="3309" ht="16.5" customHeight="1">
      <c r="A3309" s="32">
        <v>3308.0</v>
      </c>
      <c r="B3309" s="32" t="s">
        <v>4171</v>
      </c>
      <c r="C3309" s="32" t="s">
        <v>184</v>
      </c>
      <c r="D3309" s="32" t="s">
        <v>254</v>
      </c>
      <c r="E3309" s="32" t="s">
        <v>255</v>
      </c>
      <c r="F3309" s="32" t="s">
        <v>257</v>
      </c>
    </row>
    <row r="3310" ht="16.5" customHeight="1">
      <c r="A3310" s="32">
        <v>3309.0</v>
      </c>
      <c r="B3310" s="32" t="s">
        <v>4172</v>
      </c>
      <c r="C3310" s="32" t="s">
        <v>184</v>
      </c>
      <c r="D3310" s="32" t="s">
        <v>185</v>
      </c>
      <c r="E3310" s="32" t="s">
        <v>255</v>
      </c>
    </row>
    <row r="3311" ht="16.5" customHeight="1">
      <c r="A3311" s="32">
        <v>3310.0</v>
      </c>
      <c r="B3311" s="32" t="s">
        <v>4173</v>
      </c>
      <c r="C3311" s="32" t="s">
        <v>184</v>
      </c>
      <c r="D3311" s="32" t="s">
        <v>254</v>
      </c>
      <c r="E3311" s="32" t="s">
        <v>255</v>
      </c>
      <c r="F3311" s="32" t="s">
        <v>257</v>
      </c>
    </row>
    <row r="3312" ht="16.5" customHeight="1">
      <c r="A3312" s="32">
        <v>3311.0</v>
      </c>
      <c r="B3312" s="32" t="s">
        <v>4174</v>
      </c>
      <c r="C3312" s="32" t="s">
        <v>184</v>
      </c>
      <c r="D3312" s="32" t="s">
        <v>254</v>
      </c>
      <c r="E3312" s="32" t="s">
        <v>255</v>
      </c>
      <c r="F3312" s="32" t="s">
        <v>257</v>
      </c>
      <c r="G3312" s="32" t="s">
        <v>256</v>
      </c>
    </row>
    <row r="3313" ht="16.5" customHeight="1">
      <c r="A3313" s="32">
        <v>3312.0</v>
      </c>
      <c r="B3313" s="32" t="s">
        <v>4175</v>
      </c>
      <c r="C3313" s="32" t="s">
        <v>184</v>
      </c>
      <c r="D3313" s="32" t="s">
        <v>254</v>
      </c>
      <c r="E3313" s="32" t="s">
        <v>255</v>
      </c>
      <c r="F3313" s="32" t="s">
        <v>257</v>
      </c>
      <c r="G3313" s="32" t="s">
        <v>256</v>
      </c>
    </row>
    <row r="3314" ht="16.5" customHeight="1">
      <c r="A3314" s="32">
        <v>3313.0</v>
      </c>
      <c r="B3314" s="32" t="s">
        <v>4176</v>
      </c>
      <c r="C3314" s="32" t="s">
        <v>184</v>
      </c>
      <c r="D3314" s="32" t="s">
        <v>254</v>
      </c>
      <c r="E3314" s="32" t="s">
        <v>255</v>
      </c>
      <c r="F3314" s="32" t="s">
        <v>256</v>
      </c>
      <c r="G3314" s="32" t="s">
        <v>257</v>
      </c>
    </row>
    <row r="3315" ht="16.5" customHeight="1">
      <c r="A3315" s="32">
        <v>3314.0</v>
      </c>
      <c r="B3315" s="32" t="s">
        <v>4177</v>
      </c>
      <c r="C3315" s="32" t="s">
        <v>184</v>
      </c>
      <c r="D3315" s="32" t="s">
        <v>254</v>
      </c>
      <c r="E3315" s="32" t="s">
        <v>255</v>
      </c>
    </row>
    <row r="3316" ht="16.5" customHeight="1">
      <c r="A3316" s="32">
        <v>3315.0</v>
      </c>
      <c r="B3316" s="32" t="s">
        <v>4178</v>
      </c>
      <c r="C3316" s="32" t="s">
        <v>184</v>
      </c>
      <c r="D3316" s="32" t="s">
        <v>254</v>
      </c>
      <c r="E3316" s="32" t="s">
        <v>255</v>
      </c>
      <c r="F3316" s="32" t="s">
        <v>257</v>
      </c>
    </row>
    <row r="3317" ht="16.5" customHeight="1">
      <c r="A3317" s="32">
        <v>3316.0</v>
      </c>
      <c r="B3317" s="32" t="s">
        <v>4179</v>
      </c>
      <c r="C3317" s="32" t="s">
        <v>184</v>
      </c>
      <c r="D3317" s="32" t="s">
        <v>185</v>
      </c>
      <c r="E3317" s="32" t="s">
        <v>255</v>
      </c>
      <c r="F3317" s="32" t="s">
        <v>475</v>
      </c>
    </row>
    <row r="3318" ht="16.5" customHeight="1">
      <c r="A3318" s="32">
        <v>3317.0</v>
      </c>
      <c r="B3318" s="32" t="s">
        <v>4180</v>
      </c>
      <c r="C3318" s="32" t="s">
        <v>184</v>
      </c>
      <c r="D3318" s="35" t="s">
        <v>294</v>
      </c>
      <c r="E3318" s="32" t="s">
        <v>255</v>
      </c>
      <c r="F3318" s="32" t="s">
        <v>189</v>
      </c>
      <c r="G3318" s="32" t="s">
        <v>902</v>
      </c>
    </row>
    <row r="3319" ht="16.5" customHeight="1">
      <c r="A3319" s="32">
        <v>3318.0</v>
      </c>
      <c r="B3319" s="32" t="s">
        <v>4181</v>
      </c>
      <c r="C3319" s="32" t="s">
        <v>184</v>
      </c>
      <c r="D3319" s="35" t="s">
        <v>294</v>
      </c>
      <c r="E3319" s="32" t="s">
        <v>255</v>
      </c>
      <c r="F3319" s="32" t="s">
        <v>189</v>
      </c>
      <c r="G3319" s="32" t="s">
        <v>902</v>
      </c>
    </row>
    <row r="3320" ht="16.5" customHeight="1">
      <c r="A3320" s="32">
        <v>3319.0</v>
      </c>
      <c r="B3320" s="32" t="s">
        <v>4182</v>
      </c>
      <c r="C3320" s="32" t="s">
        <v>184</v>
      </c>
      <c r="D3320" s="32" t="s">
        <v>185</v>
      </c>
      <c r="E3320" s="32" t="s">
        <v>255</v>
      </c>
      <c r="F3320" s="32" t="s">
        <v>475</v>
      </c>
      <c r="G3320" s="32" t="s">
        <v>476</v>
      </c>
    </row>
    <row r="3321" ht="16.5" customHeight="1">
      <c r="A3321" s="32">
        <v>3320.0</v>
      </c>
      <c r="B3321" s="32" t="s">
        <v>4183</v>
      </c>
      <c r="C3321" s="32" t="s">
        <v>184</v>
      </c>
      <c r="D3321" s="32" t="s">
        <v>285</v>
      </c>
      <c r="E3321" s="32" t="s">
        <v>255</v>
      </c>
      <c r="F3321" s="32" t="s">
        <v>4184</v>
      </c>
      <c r="G3321" s="32" t="s">
        <v>4185</v>
      </c>
    </row>
    <row r="3322" ht="16.5" customHeight="1">
      <c r="A3322" s="32">
        <v>3321.0</v>
      </c>
      <c r="B3322" s="32" t="s">
        <v>4186</v>
      </c>
      <c r="C3322" s="32" t="s">
        <v>184</v>
      </c>
      <c r="D3322" s="32" t="s">
        <v>185</v>
      </c>
      <c r="E3322" s="32" t="s">
        <v>255</v>
      </c>
      <c r="F3322" s="32" t="s">
        <v>4187</v>
      </c>
    </row>
    <row r="3323" ht="16.5" customHeight="1">
      <c r="A3323" s="32">
        <v>3322.0</v>
      </c>
      <c r="B3323" s="32" t="s">
        <v>4188</v>
      </c>
      <c r="C3323" s="32" t="s">
        <v>184</v>
      </c>
      <c r="D3323" s="32" t="s">
        <v>185</v>
      </c>
      <c r="E3323" s="32" t="s">
        <v>255</v>
      </c>
      <c r="F3323" s="32" t="s">
        <v>4187</v>
      </c>
      <c r="G3323" s="32" t="s">
        <v>3965</v>
      </c>
    </row>
    <row r="3324" ht="16.5" customHeight="1">
      <c r="A3324" s="32">
        <v>3323.0</v>
      </c>
      <c r="B3324" s="32" t="s">
        <v>4189</v>
      </c>
      <c r="C3324" s="32" t="s">
        <v>184</v>
      </c>
      <c r="D3324" s="32" t="s">
        <v>185</v>
      </c>
      <c r="E3324" s="32" t="s">
        <v>255</v>
      </c>
      <c r="F3324" s="32" t="s">
        <v>1322</v>
      </c>
      <c r="G3324" s="32" t="s">
        <v>3617</v>
      </c>
    </row>
    <row r="3325" ht="16.5" customHeight="1">
      <c r="A3325" s="32">
        <v>3324.0</v>
      </c>
      <c r="B3325" s="32" t="s">
        <v>4190</v>
      </c>
      <c r="C3325" s="32" t="s">
        <v>184</v>
      </c>
      <c r="D3325" s="32" t="s">
        <v>185</v>
      </c>
      <c r="E3325" s="32" t="s">
        <v>255</v>
      </c>
    </row>
    <row r="3326" ht="16.5" customHeight="1">
      <c r="A3326" s="32">
        <v>3325.0</v>
      </c>
      <c r="B3326" s="32" t="s">
        <v>4191</v>
      </c>
      <c r="C3326" s="32" t="s">
        <v>184</v>
      </c>
      <c r="D3326" s="32" t="s">
        <v>185</v>
      </c>
      <c r="E3326" s="32" t="s">
        <v>255</v>
      </c>
      <c r="F3326" s="32" t="s">
        <v>295</v>
      </c>
      <c r="G3326" s="32" t="s">
        <v>476</v>
      </c>
    </row>
    <row r="3327" ht="16.5" customHeight="1">
      <c r="A3327" s="32">
        <v>3326.0</v>
      </c>
      <c r="B3327" s="32" t="s">
        <v>4192</v>
      </c>
      <c r="C3327" s="32" t="s">
        <v>184</v>
      </c>
      <c r="D3327" s="32" t="s">
        <v>185</v>
      </c>
      <c r="E3327" s="32" t="s">
        <v>255</v>
      </c>
      <c r="F3327" s="32" t="s">
        <v>475</v>
      </c>
      <c r="G3327" s="32" t="s">
        <v>476</v>
      </c>
    </row>
    <row r="3328" ht="16.5" customHeight="1">
      <c r="A3328" s="32">
        <v>3327.0</v>
      </c>
      <c r="B3328" s="32" t="s">
        <v>4193</v>
      </c>
      <c r="C3328" s="32" t="s">
        <v>184</v>
      </c>
      <c r="D3328" s="32" t="s">
        <v>185</v>
      </c>
      <c r="E3328" s="32" t="s">
        <v>255</v>
      </c>
      <c r="F3328" s="32" t="s">
        <v>475</v>
      </c>
      <c r="G3328" s="32" t="s">
        <v>476</v>
      </c>
    </row>
    <row r="3329" ht="16.5" customHeight="1">
      <c r="A3329" s="32">
        <v>3328.0</v>
      </c>
      <c r="B3329" s="32" t="s">
        <v>4194</v>
      </c>
      <c r="C3329" s="32" t="s">
        <v>184</v>
      </c>
      <c r="D3329" s="32" t="s">
        <v>254</v>
      </c>
      <c r="E3329" s="32" t="s">
        <v>255</v>
      </c>
      <c r="F3329" s="32" t="s">
        <v>257</v>
      </c>
    </row>
    <row r="3330" ht="16.5" customHeight="1">
      <c r="A3330" s="32">
        <v>3329.0</v>
      </c>
      <c r="B3330" s="32" t="s">
        <v>4195</v>
      </c>
      <c r="C3330" s="32" t="s">
        <v>184</v>
      </c>
      <c r="D3330" s="32" t="s">
        <v>254</v>
      </c>
      <c r="E3330" s="32" t="s">
        <v>255</v>
      </c>
      <c r="F3330" s="32" t="s">
        <v>257</v>
      </c>
      <c r="G3330" s="32" t="s">
        <v>2066</v>
      </c>
    </row>
    <row r="3331" ht="16.5" customHeight="1">
      <c r="A3331" s="32">
        <v>3330.0</v>
      </c>
      <c r="B3331" s="32" t="s">
        <v>4196</v>
      </c>
      <c r="C3331" s="32" t="s">
        <v>184</v>
      </c>
      <c r="D3331" s="32" t="s">
        <v>254</v>
      </c>
      <c r="E3331" s="32" t="s">
        <v>255</v>
      </c>
      <c r="F3331" s="32" t="s">
        <v>257</v>
      </c>
    </row>
    <row r="3332" ht="16.5" customHeight="1">
      <c r="A3332" s="32">
        <v>3331.0</v>
      </c>
      <c r="B3332" s="32" t="s">
        <v>4197</v>
      </c>
      <c r="C3332" s="32" t="s">
        <v>184</v>
      </c>
      <c r="D3332" s="32" t="s">
        <v>254</v>
      </c>
      <c r="E3332" s="32" t="s">
        <v>255</v>
      </c>
      <c r="F3332" s="32" t="s">
        <v>4011</v>
      </c>
      <c r="G3332" s="32" t="s">
        <v>4198</v>
      </c>
    </row>
    <row r="3333" ht="16.5" customHeight="1">
      <c r="A3333" s="32">
        <v>3332.0</v>
      </c>
      <c r="B3333" s="32" t="s">
        <v>4199</v>
      </c>
      <c r="C3333" s="32" t="s">
        <v>184</v>
      </c>
      <c r="D3333" s="32" t="s">
        <v>254</v>
      </c>
      <c r="E3333" s="32" t="s">
        <v>255</v>
      </c>
    </row>
    <row r="3334" ht="16.5" customHeight="1">
      <c r="A3334" s="32">
        <v>3333.0</v>
      </c>
      <c r="B3334" s="32" t="s">
        <v>4200</v>
      </c>
      <c r="C3334" s="32" t="s">
        <v>184</v>
      </c>
      <c r="D3334" s="32" t="s">
        <v>185</v>
      </c>
      <c r="E3334" s="32" t="s">
        <v>255</v>
      </c>
      <c r="F3334" s="32" t="s">
        <v>3634</v>
      </c>
      <c r="G3334" s="32" t="s">
        <v>3617</v>
      </c>
    </row>
    <row r="3335" ht="16.5" customHeight="1">
      <c r="A3335" s="32">
        <v>3334.0</v>
      </c>
      <c r="B3335" s="32" t="s">
        <v>4201</v>
      </c>
      <c r="C3335" s="32" t="s">
        <v>184</v>
      </c>
      <c r="D3335" s="32" t="s">
        <v>185</v>
      </c>
      <c r="E3335" s="32" t="s">
        <v>255</v>
      </c>
      <c r="F3335" s="32" t="s">
        <v>4202</v>
      </c>
      <c r="G3335" s="32" t="s">
        <v>4203</v>
      </c>
    </row>
    <row r="3336" ht="16.5" customHeight="1">
      <c r="A3336" s="32">
        <v>3335.0</v>
      </c>
      <c r="B3336" s="32" t="s">
        <v>4204</v>
      </c>
      <c r="C3336" s="32" t="s">
        <v>184</v>
      </c>
      <c r="D3336" s="32" t="s">
        <v>254</v>
      </c>
      <c r="E3336" s="32" t="s">
        <v>255</v>
      </c>
    </row>
    <row r="3337" ht="16.5" customHeight="1">
      <c r="A3337" s="32">
        <v>3336.0</v>
      </c>
      <c r="B3337" s="32" t="s">
        <v>4205</v>
      </c>
      <c r="C3337" s="32" t="s">
        <v>184</v>
      </c>
      <c r="D3337" s="32" t="s">
        <v>254</v>
      </c>
      <c r="E3337" s="32" t="s">
        <v>255</v>
      </c>
      <c r="F3337" s="32" t="s">
        <v>3728</v>
      </c>
      <c r="G3337" s="32" t="s">
        <v>4206</v>
      </c>
    </row>
    <row r="3338" ht="16.5" customHeight="1">
      <c r="A3338" s="32">
        <v>3337.0</v>
      </c>
      <c r="B3338" s="32" t="s">
        <v>4207</v>
      </c>
      <c r="C3338" s="32" t="s">
        <v>184</v>
      </c>
      <c r="D3338" s="32" t="s">
        <v>254</v>
      </c>
      <c r="E3338" s="32" t="s">
        <v>255</v>
      </c>
    </row>
    <row r="3339" ht="16.5" customHeight="1">
      <c r="A3339" s="32">
        <v>3338.0</v>
      </c>
      <c r="B3339" s="32" t="s">
        <v>4208</v>
      </c>
      <c r="C3339" s="32" t="s">
        <v>184</v>
      </c>
      <c r="D3339" s="32" t="s">
        <v>219</v>
      </c>
      <c r="E3339" s="32" t="s">
        <v>255</v>
      </c>
      <c r="F3339" s="32" t="s">
        <v>223</v>
      </c>
    </row>
    <row r="3340" ht="16.5" customHeight="1">
      <c r="A3340" s="32">
        <v>3339.0</v>
      </c>
      <c r="B3340" s="32" t="s">
        <v>4209</v>
      </c>
      <c r="C3340" s="32" t="s">
        <v>184</v>
      </c>
      <c r="D3340" s="32" t="s">
        <v>234</v>
      </c>
      <c r="E3340" s="32" t="s">
        <v>255</v>
      </c>
      <c r="F3340" s="32" t="s">
        <v>235</v>
      </c>
      <c r="G3340" s="32" t="s">
        <v>4210</v>
      </c>
    </row>
    <row r="3341" ht="16.5" customHeight="1">
      <c r="A3341" s="32">
        <v>3340.0</v>
      </c>
      <c r="B3341" s="32" t="s">
        <v>4211</v>
      </c>
      <c r="C3341" s="32" t="s">
        <v>184</v>
      </c>
      <c r="D3341" s="32" t="s">
        <v>254</v>
      </c>
      <c r="E3341" s="32" t="s">
        <v>255</v>
      </c>
      <c r="F3341" s="32" t="s">
        <v>257</v>
      </c>
      <c r="G3341" s="32" t="s">
        <v>256</v>
      </c>
    </row>
    <row r="3342" ht="16.5" customHeight="1">
      <c r="A3342" s="32">
        <v>3341.0</v>
      </c>
      <c r="B3342" s="32" t="s">
        <v>4212</v>
      </c>
      <c r="C3342" s="32" t="s">
        <v>184</v>
      </c>
      <c r="D3342" s="32" t="s">
        <v>285</v>
      </c>
      <c r="E3342" s="32" t="s">
        <v>255</v>
      </c>
    </row>
    <row r="3343" ht="16.5" customHeight="1">
      <c r="A3343" s="32">
        <v>3342.0</v>
      </c>
      <c r="B3343" s="32" t="s">
        <v>4213</v>
      </c>
      <c r="C3343" s="32" t="s">
        <v>184</v>
      </c>
      <c r="D3343" s="32" t="s">
        <v>285</v>
      </c>
      <c r="E3343" s="32" t="s">
        <v>255</v>
      </c>
      <c r="F3343" s="32" t="s">
        <v>189</v>
      </c>
      <c r="G3343" s="32" t="s">
        <v>902</v>
      </c>
    </row>
    <row r="3344" ht="16.5" customHeight="1">
      <c r="A3344" s="32">
        <v>3343.0</v>
      </c>
      <c r="B3344" s="32" t="s">
        <v>4214</v>
      </c>
      <c r="C3344" s="32" t="s">
        <v>184</v>
      </c>
      <c r="D3344" s="32" t="s">
        <v>185</v>
      </c>
      <c r="E3344" s="32" t="s">
        <v>255</v>
      </c>
    </row>
    <row r="3345" ht="16.5" customHeight="1">
      <c r="A3345" s="32">
        <v>3344.0</v>
      </c>
      <c r="B3345" s="32" t="s">
        <v>4215</v>
      </c>
      <c r="C3345" s="32" t="s">
        <v>184</v>
      </c>
      <c r="D3345" s="32" t="s">
        <v>185</v>
      </c>
      <c r="E3345" s="32" t="s">
        <v>255</v>
      </c>
      <c r="F3345" s="32" t="s">
        <v>3616</v>
      </c>
      <c r="G3345" s="32" t="s">
        <v>3617</v>
      </c>
    </row>
    <row r="3346" ht="16.5" customHeight="1">
      <c r="A3346" s="32">
        <v>3345.0</v>
      </c>
      <c r="B3346" s="32" t="s">
        <v>4216</v>
      </c>
      <c r="C3346" s="32" t="s">
        <v>184</v>
      </c>
      <c r="D3346" s="32" t="s">
        <v>185</v>
      </c>
      <c r="E3346" s="32" t="s">
        <v>255</v>
      </c>
      <c r="F3346" s="32" t="s">
        <v>3616</v>
      </c>
      <c r="G3346" s="32" t="s">
        <v>3617</v>
      </c>
    </row>
    <row r="3347" ht="16.5" customHeight="1">
      <c r="A3347" s="32">
        <v>3346.0</v>
      </c>
      <c r="B3347" s="32" t="s">
        <v>4217</v>
      </c>
      <c r="C3347" s="32" t="s">
        <v>184</v>
      </c>
      <c r="D3347" s="32" t="s">
        <v>185</v>
      </c>
      <c r="E3347" s="32" t="s">
        <v>255</v>
      </c>
    </row>
    <row r="3348" ht="16.5" customHeight="1">
      <c r="A3348" s="32">
        <v>3347.0</v>
      </c>
      <c r="B3348" s="32" t="s">
        <v>4218</v>
      </c>
      <c r="C3348" s="32" t="s">
        <v>184</v>
      </c>
      <c r="D3348" s="32" t="s">
        <v>192</v>
      </c>
      <c r="E3348" s="32" t="s">
        <v>255</v>
      </c>
      <c r="F3348" s="32" t="s">
        <v>300</v>
      </c>
      <c r="G3348" s="32" t="s">
        <v>535</v>
      </c>
    </row>
    <row r="3349" ht="16.5" customHeight="1">
      <c r="A3349" s="32">
        <v>3348.0</v>
      </c>
      <c r="B3349" s="32" t="s">
        <v>4219</v>
      </c>
      <c r="C3349" s="32" t="s">
        <v>184</v>
      </c>
      <c r="D3349" s="32" t="s">
        <v>185</v>
      </c>
      <c r="E3349" s="32" t="s">
        <v>255</v>
      </c>
      <c r="F3349" s="32" t="s">
        <v>4220</v>
      </c>
      <c r="G3349" s="32" t="s">
        <v>4221</v>
      </c>
    </row>
    <row r="3350" ht="16.5" customHeight="1">
      <c r="A3350" s="32">
        <v>3349.0</v>
      </c>
      <c r="B3350" s="32" t="s">
        <v>4222</v>
      </c>
      <c r="C3350" s="32" t="s">
        <v>184</v>
      </c>
      <c r="D3350" s="32" t="s">
        <v>254</v>
      </c>
      <c r="E3350" s="32" t="s">
        <v>255</v>
      </c>
      <c r="F3350" s="32" t="s">
        <v>256</v>
      </c>
      <c r="G3350" s="32" t="s">
        <v>257</v>
      </c>
    </row>
    <row r="3351" ht="16.5" customHeight="1">
      <c r="A3351" s="32">
        <v>3350.0</v>
      </c>
      <c r="B3351" s="32" t="s">
        <v>4223</v>
      </c>
      <c r="C3351" s="32" t="s">
        <v>184</v>
      </c>
      <c r="D3351" s="32" t="s">
        <v>254</v>
      </c>
      <c r="E3351" s="32" t="s">
        <v>255</v>
      </c>
      <c r="F3351" s="32" t="s">
        <v>257</v>
      </c>
      <c r="G3351" s="32" t="s">
        <v>256</v>
      </c>
    </row>
    <row r="3352" ht="16.5" customHeight="1">
      <c r="A3352" s="32">
        <v>3351.0</v>
      </c>
      <c r="B3352" s="32" t="s">
        <v>4224</v>
      </c>
      <c r="C3352" s="32" t="s">
        <v>184</v>
      </c>
      <c r="D3352" s="32" t="s">
        <v>285</v>
      </c>
      <c r="E3352" s="32" t="s">
        <v>222</v>
      </c>
      <c r="F3352" s="32" t="s">
        <v>189</v>
      </c>
      <c r="G3352" s="32" t="s">
        <v>190</v>
      </c>
    </row>
    <row r="3353" ht="16.5" customHeight="1">
      <c r="A3353" s="32">
        <v>3352.0</v>
      </c>
      <c r="B3353" s="32" t="s">
        <v>4225</v>
      </c>
      <c r="C3353" s="32" t="s">
        <v>184</v>
      </c>
      <c r="D3353" s="32" t="s">
        <v>234</v>
      </c>
      <c r="E3353" s="32" t="s">
        <v>255</v>
      </c>
      <c r="F3353" s="32" t="s">
        <v>1895</v>
      </c>
      <c r="G3353" s="32" t="s">
        <v>2981</v>
      </c>
    </row>
    <row r="3354" ht="16.5" customHeight="1">
      <c r="A3354" s="32">
        <v>3353.0</v>
      </c>
      <c r="B3354" s="32" t="s">
        <v>4226</v>
      </c>
      <c r="C3354" s="32" t="s">
        <v>184</v>
      </c>
      <c r="D3354" s="32" t="s">
        <v>234</v>
      </c>
      <c r="E3354" s="32" t="s">
        <v>255</v>
      </c>
      <c r="F3354" s="32" t="s">
        <v>347</v>
      </c>
      <c r="G3354" s="32" t="s">
        <v>382</v>
      </c>
    </row>
    <row r="3355" ht="16.5" customHeight="1">
      <c r="A3355" s="32">
        <v>3354.0</v>
      </c>
      <c r="B3355" s="32" t="s">
        <v>4227</v>
      </c>
      <c r="C3355" s="32" t="s">
        <v>184</v>
      </c>
      <c r="D3355" s="32" t="s">
        <v>234</v>
      </c>
      <c r="E3355" s="32" t="s">
        <v>373</v>
      </c>
    </row>
    <row r="3356" ht="16.5" customHeight="1">
      <c r="A3356" s="32">
        <v>3355.0</v>
      </c>
      <c r="B3356" s="32" t="s">
        <v>4228</v>
      </c>
      <c r="C3356" s="32" t="s">
        <v>184</v>
      </c>
      <c r="D3356" s="32" t="s">
        <v>234</v>
      </c>
      <c r="E3356" s="32" t="s">
        <v>255</v>
      </c>
      <c r="F3356" s="32" t="s">
        <v>235</v>
      </c>
      <c r="G3356" s="32" t="s">
        <v>243</v>
      </c>
    </row>
    <row r="3357" ht="16.5" customHeight="1">
      <c r="A3357" s="32">
        <v>3356.0</v>
      </c>
      <c r="B3357" s="32" t="s">
        <v>4229</v>
      </c>
      <c r="C3357" s="32" t="s">
        <v>184</v>
      </c>
      <c r="D3357" s="32" t="s">
        <v>192</v>
      </c>
      <c r="E3357" s="32" t="s">
        <v>255</v>
      </c>
    </row>
    <row r="3358" ht="16.5" customHeight="1">
      <c r="A3358" s="32">
        <v>3357.0</v>
      </c>
      <c r="B3358" s="32" t="s">
        <v>4230</v>
      </c>
      <c r="C3358" s="32" t="s">
        <v>184</v>
      </c>
      <c r="D3358" s="32" t="s">
        <v>192</v>
      </c>
      <c r="E3358" s="32" t="s">
        <v>215</v>
      </c>
      <c r="F3358" s="32" t="s">
        <v>300</v>
      </c>
      <c r="G3358" s="32" t="s">
        <v>4231</v>
      </c>
    </row>
    <row r="3359" ht="16.5" customHeight="1">
      <c r="A3359" s="32">
        <v>3358.0</v>
      </c>
      <c r="B3359" s="32" t="s">
        <v>4232</v>
      </c>
      <c r="C3359" s="32" t="s">
        <v>184</v>
      </c>
      <c r="D3359" s="32" t="s">
        <v>254</v>
      </c>
      <c r="E3359" s="32" t="s">
        <v>222</v>
      </c>
    </row>
    <row r="3360" ht="16.5" customHeight="1">
      <c r="A3360" s="32">
        <v>3359.0</v>
      </c>
      <c r="B3360" s="32" t="s">
        <v>4233</v>
      </c>
      <c r="C3360" s="32" t="s">
        <v>184</v>
      </c>
      <c r="D3360" s="32" t="s">
        <v>285</v>
      </c>
      <c r="E3360" s="32" t="s">
        <v>255</v>
      </c>
      <c r="F3360" s="32" t="s">
        <v>189</v>
      </c>
      <c r="G3360" s="32" t="s">
        <v>190</v>
      </c>
    </row>
    <row r="3361" ht="16.5" customHeight="1">
      <c r="A3361" s="32">
        <v>3360.0</v>
      </c>
      <c r="B3361" s="32" t="s">
        <v>4234</v>
      </c>
      <c r="C3361" s="32" t="s">
        <v>184</v>
      </c>
      <c r="D3361" s="32" t="s">
        <v>185</v>
      </c>
      <c r="E3361" s="32" t="s">
        <v>255</v>
      </c>
      <c r="F3361" s="32" t="s">
        <v>187</v>
      </c>
      <c r="G3361" s="32" t="s">
        <v>4235</v>
      </c>
    </row>
    <row r="3362" ht="16.5" customHeight="1">
      <c r="A3362" s="32">
        <v>3361.0</v>
      </c>
      <c r="B3362" s="32" t="s">
        <v>4236</v>
      </c>
      <c r="C3362" s="32" t="s">
        <v>184</v>
      </c>
      <c r="D3362" s="32" t="s">
        <v>185</v>
      </c>
      <c r="E3362" s="32" t="s">
        <v>255</v>
      </c>
      <c r="F3362" s="32" t="s">
        <v>2848</v>
      </c>
      <c r="G3362" s="32" t="s">
        <v>4237</v>
      </c>
    </row>
    <row r="3363" ht="16.5" customHeight="1">
      <c r="A3363" s="32">
        <v>3362.0</v>
      </c>
      <c r="B3363" s="32" t="s">
        <v>4238</v>
      </c>
      <c r="C3363" s="32" t="s">
        <v>184</v>
      </c>
      <c r="D3363" s="32" t="s">
        <v>185</v>
      </c>
      <c r="E3363" s="32" t="s">
        <v>255</v>
      </c>
      <c r="F3363" s="32" t="s">
        <v>1332</v>
      </c>
      <c r="G3363" s="32" t="s">
        <v>188</v>
      </c>
    </row>
    <row r="3364" ht="16.5" customHeight="1">
      <c r="A3364" s="32">
        <v>3363.0</v>
      </c>
      <c r="B3364" s="32" t="s">
        <v>4239</v>
      </c>
      <c r="C3364" s="32" t="s">
        <v>184</v>
      </c>
      <c r="D3364" s="32" t="s">
        <v>325</v>
      </c>
      <c r="E3364" s="32" t="s">
        <v>222</v>
      </c>
      <c r="F3364" s="32" t="s">
        <v>368</v>
      </c>
      <c r="G3364" s="32" t="s">
        <v>463</v>
      </c>
    </row>
    <row r="3365" ht="16.5" customHeight="1">
      <c r="A3365" s="32">
        <v>3364.0</v>
      </c>
      <c r="B3365" s="32" t="s">
        <v>4240</v>
      </c>
      <c r="C3365" s="32" t="s">
        <v>184</v>
      </c>
      <c r="D3365" s="32" t="s">
        <v>325</v>
      </c>
      <c r="E3365" s="32" t="s">
        <v>255</v>
      </c>
      <c r="F3365" s="32" t="s">
        <v>368</v>
      </c>
      <c r="G3365" s="32" t="s">
        <v>463</v>
      </c>
    </row>
    <row r="3366" ht="16.5" customHeight="1">
      <c r="A3366" s="32">
        <v>3365.0</v>
      </c>
      <c r="B3366" s="32" t="s">
        <v>4241</v>
      </c>
      <c r="C3366" s="32" t="s">
        <v>184</v>
      </c>
      <c r="D3366" s="35" t="s">
        <v>691</v>
      </c>
      <c r="E3366" s="32" t="s">
        <v>255</v>
      </c>
      <c r="F3366" s="32" t="s">
        <v>2288</v>
      </c>
      <c r="G3366" s="32" t="s">
        <v>4242</v>
      </c>
    </row>
    <row r="3367" ht="16.5" customHeight="1">
      <c r="A3367" s="32">
        <v>3366.0</v>
      </c>
      <c r="B3367" s="32" t="s">
        <v>4243</v>
      </c>
      <c r="C3367" s="32" t="s">
        <v>184</v>
      </c>
      <c r="D3367" s="32" t="s">
        <v>219</v>
      </c>
      <c r="E3367" s="32" t="s">
        <v>255</v>
      </c>
      <c r="F3367" s="32" t="s">
        <v>223</v>
      </c>
      <c r="G3367" s="32" t="s">
        <v>394</v>
      </c>
    </row>
    <row r="3368" ht="16.5" customHeight="1">
      <c r="A3368" s="32">
        <v>3367.0</v>
      </c>
      <c r="B3368" s="32" t="s">
        <v>4244</v>
      </c>
      <c r="C3368" s="32" t="s">
        <v>184</v>
      </c>
      <c r="D3368" s="32" t="s">
        <v>285</v>
      </c>
      <c r="E3368" s="32" t="s">
        <v>399</v>
      </c>
      <c r="F3368" s="32" t="s">
        <v>188</v>
      </c>
      <c r="G3368" s="32" t="s">
        <v>2733</v>
      </c>
    </row>
    <row r="3369" ht="16.5" customHeight="1">
      <c r="A3369" s="32">
        <v>3368.0</v>
      </c>
      <c r="B3369" s="32" t="s">
        <v>4245</v>
      </c>
      <c r="C3369" s="32" t="s">
        <v>184</v>
      </c>
      <c r="D3369" s="32" t="s">
        <v>185</v>
      </c>
      <c r="E3369" s="32" t="s">
        <v>255</v>
      </c>
      <c r="F3369" s="32" t="s">
        <v>267</v>
      </c>
      <c r="G3369" s="32" t="s">
        <v>188</v>
      </c>
    </row>
    <row r="3370" ht="16.5" customHeight="1">
      <c r="A3370" s="32">
        <v>3369.0</v>
      </c>
      <c r="B3370" s="32" t="s">
        <v>4246</v>
      </c>
      <c r="C3370" s="32" t="s">
        <v>184</v>
      </c>
      <c r="D3370" s="32" t="s">
        <v>185</v>
      </c>
      <c r="E3370" s="32" t="s">
        <v>255</v>
      </c>
    </row>
    <row r="3371" ht="16.5" customHeight="1">
      <c r="A3371" s="32">
        <v>3370.0</v>
      </c>
      <c r="B3371" s="32" t="s">
        <v>4247</v>
      </c>
      <c r="C3371" s="32" t="s">
        <v>184</v>
      </c>
      <c r="D3371" s="32" t="s">
        <v>185</v>
      </c>
      <c r="E3371" s="32" t="s">
        <v>255</v>
      </c>
      <c r="F3371" s="32" t="s">
        <v>1322</v>
      </c>
      <c r="G3371" s="32" t="s">
        <v>3610</v>
      </c>
    </row>
    <row r="3372" ht="16.5" customHeight="1">
      <c r="A3372" s="32">
        <v>3371.0</v>
      </c>
      <c r="B3372" s="32" t="s">
        <v>4248</v>
      </c>
      <c r="C3372" s="32" t="s">
        <v>184</v>
      </c>
      <c r="D3372" s="32" t="s">
        <v>185</v>
      </c>
      <c r="E3372" s="32" t="s">
        <v>255</v>
      </c>
      <c r="F3372" s="32" t="s">
        <v>187</v>
      </c>
      <c r="G3372" s="32" t="s">
        <v>854</v>
      </c>
    </row>
    <row r="3373" ht="16.5" customHeight="1">
      <c r="A3373" s="32">
        <v>3372.0</v>
      </c>
      <c r="B3373" s="32" t="s">
        <v>4249</v>
      </c>
      <c r="C3373" s="32" t="s">
        <v>184</v>
      </c>
      <c r="D3373" s="35" t="s">
        <v>294</v>
      </c>
      <c r="E3373" s="32" t="s">
        <v>255</v>
      </c>
      <c r="F3373" s="32" t="s">
        <v>189</v>
      </c>
      <c r="G3373" s="32" t="s">
        <v>2046</v>
      </c>
    </row>
    <row r="3374" ht="16.5" customHeight="1">
      <c r="A3374" s="32">
        <v>3373.0</v>
      </c>
      <c r="B3374" s="32" t="s">
        <v>4250</v>
      </c>
      <c r="C3374" s="32" t="s">
        <v>184</v>
      </c>
      <c r="D3374" s="32" t="s">
        <v>185</v>
      </c>
      <c r="E3374" s="32" t="s">
        <v>255</v>
      </c>
      <c r="F3374" s="32" t="s">
        <v>187</v>
      </c>
      <c r="G3374" s="32" t="s">
        <v>552</v>
      </c>
    </row>
    <row r="3375" ht="16.5" customHeight="1">
      <c r="A3375" s="32">
        <v>3374.0</v>
      </c>
      <c r="B3375" s="32" t="s">
        <v>4251</v>
      </c>
      <c r="C3375" s="32" t="s">
        <v>184</v>
      </c>
      <c r="D3375" s="32" t="s">
        <v>185</v>
      </c>
      <c r="E3375" s="32" t="s">
        <v>255</v>
      </c>
      <c r="F3375" s="32" t="s">
        <v>187</v>
      </c>
      <c r="G3375" s="32" t="s">
        <v>188</v>
      </c>
    </row>
    <row r="3376" ht="16.5" customHeight="1">
      <c r="A3376" s="32">
        <v>3375.0</v>
      </c>
      <c r="B3376" s="32" t="s">
        <v>4252</v>
      </c>
      <c r="C3376" s="32" t="s">
        <v>184</v>
      </c>
      <c r="D3376" s="32" t="s">
        <v>185</v>
      </c>
      <c r="E3376" s="32" t="s">
        <v>255</v>
      </c>
      <c r="F3376" s="32" t="s">
        <v>187</v>
      </c>
      <c r="G3376" s="32" t="s">
        <v>854</v>
      </c>
    </row>
    <row r="3377" ht="16.5" customHeight="1">
      <c r="A3377" s="32">
        <v>3376.0</v>
      </c>
      <c r="B3377" s="32" t="s">
        <v>4253</v>
      </c>
      <c r="C3377" s="32" t="s">
        <v>184</v>
      </c>
      <c r="D3377" s="32" t="s">
        <v>185</v>
      </c>
      <c r="E3377" s="32" t="s">
        <v>255</v>
      </c>
      <c r="F3377" s="32" t="s">
        <v>187</v>
      </c>
      <c r="G3377" s="32" t="s">
        <v>854</v>
      </c>
    </row>
    <row r="3378" ht="16.5" customHeight="1">
      <c r="A3378" s="32">
        <v>3377.0</v>
      </c>
      <c r="B3378" s="32" t="s">
        <v>4254</v>
      </c>
      <c r="C3378" s="32" t="s">
        <v>184</v>
      </c>
      <c r="D3378" s="35" t="s">
        <v>294</v>
      </c>
      <c r="E3378" s="32" t="s">
        <v>255</v>
      </c>
      <c r="F3378" s="32" t="s">
        <v>189</v>
      </c>
      <c r="G3378" s="32" t="s">
        <v>190</v>
      </c>
    </row>
    <row r="3379" ht="16.5" customHeight="1">
      <c r="A3379" s="32">
        <v>3378.0</v>
      </c>
      <c r="B3379" s="32" t="s">
        <v>4255</v>
      </c>
      <c r="C3379" s="32" t="s">
        <v>184</v>
      </c>
      <c r="D3379" s="32" t="s">
        <v>285</v>
      </c>
      <c r="E3379" s="32" t="s">
        <v>255</v>
      </c>
      <c r="F3379" s="32" t="s">
        <v>188</v>
      </c>
      <c r="G3379" s="32" t="s">
        <v>368</v>
      </c>
    </row>
    <row r="3380" ht="16.5" customHeight="1">
      <c r="A3380" s="32">
        <v>3379.0</v>
      </c>
      <c r="B3380" s="32" t="s">
        <v>4256</v>
      </c>
      <c r="C3380" s="32" t="s">
        <v>184</v>
      </c>
      <c r="D3380" s="32" t="s">
        <v>285</v>
      </c>
      <c r="E3380" s="32" t="s">
        <v>255</v>
      </c>
    </row>
    <row r="3381" ht="16.5" customHeight="1">
      <c r="A3381" s="32">
        <v>3380.0</v>
      </c>
      <c r="B3381" s="32" t="s">
        <v>4257</v>
      </c>
      <c r="C3381" s="32" t="s">
        <v>184</v>
      </c>
      <c r="D3381" s="32" t="s">
        <v>285</v>
      </c>
      <c r="E3381" s="32" t="s">
        <v>255</v>
      </c>
      <c r="F3381" s="32" t="s">
        <v>552</v>
      </c>
      <c r="G3381" s="32" t="s">
        <v>4258</v>
      </c>
    </row>
    <row r="3382" ht="16.5" customHeight="1">
      <c r="A3382" s="32">
        <v>3381.0</v>
      </c>
      <c r="B3382" s="32" t="s">
        <v>4259</v>
      </c>
      <c r="C3382" s="32" t="s">
        <v>184</v>
      </c>
      <c r="D3382" s="35" t="s">
        <v>522</v>
      </c>
      <c r="E3382" s="32" t="s">
        <v>255</v>
      </c>
      <c r="F3382" s="32" t="s">
        <v>4260</v>
      </c>
    </row>
    <row r="3383" ht="16.5" customHeight="1">
      <c r="A3383" s="32">
        <v>3382.0</v>
      </c>
      <c r="B3383" s="32" t="s">
        <v>4261</v>
      </c>
      <c r="C3383" s="32" t="s">
        <v>184</v>
      </c>
      <c r="D3383" s="32" t="s">
        <v>185</v>
      </c>
      <c r="E3383" s="32" t="s">
        <v>255</v>
      </c>
      <c r="F3383" s="32" t="s">
        <v>189</v>
      </c>
      <c r="G3383" s="32" t="s">
        <v>190</v>
      </c>
    </row>
    <row r="3384" ht="16.5" customHeight="1">
      <c r="A3384" s="32">
        <v>3383.0</v>
      </c>
      <c r="B3384" s="32" t="s">
        <v>4262</v>
      </c>
      <c r="C3384" s="32" t="s">
        <v>184</v>
      </c>
      <c r="D3384" s="32" t="s">
        <v>285</v>
      </c>
      <c r="E3384" s="32" t="s">
        <v>255</v>
      </c>
      <c r="F3384" s="32" t="s">
        <v>189</v>
      </c>
      <c r="G3384" s="32" t="s">
        <v>190</v>
      </c>
    </row>
    <row r="3385" ht="16.5" customHeight="1">
      <c r="A3385" s="32">
        <v>3384.0</v>
      </c>
      <c r="B3385" s="32" t="s">
        <v>4263</v>
      </c>
      <c r="C3385" s="32" t="s">
        <v>184</v>
      </c>
      <c r="D3385" s="32" t="s">
        <v>285</v>
      </c>
      <c r="E3385" s="32" t="s">
        <v>255</v>
      </c>
      <c r="F3385" s="32" t="s">
        <v>189</v>
      </c>
      <c r="G3385" s="32" t="s">
        <v>190</v>
      </c>
    </row>
    <row r="3386" ht="16.5" customHeight="1">
      <c r="A3386" s="32">
        <v>3385.0</v>
      </c>
      <c r="B3386" s="32" t="s">
        <v>4264</v>
      </c>
      <c r="C3386" s="32" t="s">
        <v>184</v>
      </c>
      <c r="D3386" s="32" t="s">
        <v>285</v>
      </c>
      <c r="E3386" s="32" t="s">
        <v>255</v>
      </c>
      <c r="F3386" s="32" t="s">
        <v>189</v>
      </c>
      <c r="G3386" s="32" t="s">
        <v>190</v>
      </c>
    </row>
    <row r="3387" ht="16.5" customHeight="1">
      <c r="A3387" s="32">
        <v>3386.0</v>
      </c>
      <c r="B3387" s="32" t="s">
        <v>4265</v>
      </c>
      <c r="C3387" s="32" t="s">
        <v>184</v>
      </c>
      <c r="D3387" s="35" t="s">
        <v>294</v>
      </c>
      <c r="E3387" s="32" t="s">
        <v>255</v>
      </c>
      <c r="F3387" s="32" t="s">
        <v>189</v>
      </c>
      <c r="G3387" s="32" t="s">
        <v>190</v>
      </c>
    </row>
    <row r="3388" ht="16.5" customHeight="1">
      <c r="A3388" s="32">
        <v>3387.0</v>
      </c>
      <c r="B3388" s="32" t="s">
        <v>4266</v>
      </c>
      <c r="C3388" s="32" t="s">
        <v>184</v>
      </c>
      <c r="D3388" s="32" t="s">
        <v>285</v>
      </c>
      <c r="E3388" s="32" t="s">
        <v>255</v>
      </c>
      <c r="F3388" s="32" t="s">
        <v>189</v>
      </c>
      <c r="G3388" s="32" t="s">
        <v>2046</v>
      </c>
    </row>
    <row r="3389" ht="16.5" customHeight="1">
      <c r="A3389" s="32">
        <v>3388.0</v>
      </c>
      <c r="B3389" s="32" t="s">
        <v>4267</v>
      </c>
      <c r="C3389" s="32" t="s">
        <v>184</v>
      </c>
      <c r="D3389" s="32" t="s">
        <v>285</v>
      </c>
      <c r="E3389" s="32" t="s">
        <v>255</v>
      </c>
    </row>
    <row r="3390" ht="16.5" customHeight="1">
      <c r="A3390" s="32">
        <v>3389.0</v>
      </c>
      <c r="B3390" s="32" t="s">
        <v>4268</v>
      </c>
      <c r="C3390" s="32" t="s">
        <v>184</v>
      </c>
      <c r="D3390" s="32" t="s">
        <v>185</v>
      </c>
      <c r="E3390" s="32" t="s">
        <v>255</v>
      </c>
    </row>
    <row r="3391" ht="16.5" customHeight="1">
      <c r="A3391" s="32">
        <v>3390.0</v>
      </c>
      <c r="B3391" s="32" t="s">
        <v>4269</v>
      </c>
      <c r="C3391" s="32" t="s">
        <v>184</v>
      </c>
      <c r="D3391" s="32" t="s">
        <v>285</v>
      </c>
      <c r="E3391" s="32" t="s">
        <v>255</v>
      </c>
      <c r="F3391" s="32" t="s">
        <v>552</v>
      </c>
    </row>
    <row r="3392" ht="16.5" customHeight="1">
      <c r="A3392" s="32">
        <v>3391.0</v>
      </c>
      <c r="B3392" s="32" t="s">
        <v>4270</v>
      </c>
      <c r="C3392" s="32" t="s">
        <v>184</v>
      </c>
      <c r="D3392" s="32" t="s">
        <v>285</v>
      </c>
      <c r="E3392" s="32" t="s">
        <v>255</v>
      </c>
      <c r="F3392" s="32" t="s">
        <v>189</v>
      </c>
      <c r="G3392" s="32" t="s">
        <v>190</v>
      </c>
    </row>
    <row r="3393" ht="16.5" customHeight="1">
      <c r="A3393" s="32">
        <v>3392.0</v>
      </c>
      <c r="B3393" s="32" t="s">
        <v>4271</v>
      </c>
      <c r="C3393" s="32" t="s">
        <v>184</v>
      </c>
      <c r="D3393" s="32" t="s">
        <v>285</v>
      </c>
      <c r="E3393" s="32" t="s">
        <v>255</v>
      </c>
    </row>
    <row r="3394" ht="16.5" customHeight="1">
      <c r="A3394" s="32">
        <v>3393.0</v>
      </c>
      <c r="B3394" s="32" t="s">
        <v>4272</v>
      </c>
      <c r="C3394" s="32" t="s">
        <v>184</v>
      </c>
      <c r="D3394" s="32" t="s">
        <v>254</v>
      </c>
      <c r="E3394" s="32" t="s">
        <v>255</v>
      </c>
      <c r="F3394" s="32" t="s">
        <v>256</v>
      </c>
      <c r="G3394" s="32" t="s">
        <v>257</v>
      </c>
    </row>
    <row r="3395" ht="16.5" customHeight="1">
      <c r="A3395" s="32">
        <v>3394.0</v>
      </c>
      <c r="B3395" s="32" t="s">
        <v>4273</v>
      </c>
      <c r="C3395" s="32" t="s">
        <v>184</v>
      </c>
      <c r="D3395" s="32" t="s">
        <v>254</v>
      </c>
      <c r="E3395" s="32" t="s">
        <v>255</v>
      </c>
      <c r="F3395" s="32" t="s">
        <v>256</v>
      </c>
      <c r="G3395" s="32" t="s">
        <v>424</v>
      </c>
    </row>
    <row r="3396" ht="16.5" customHeight="1">
      <c r="A3396" s="32">
        <v>3395.0</v>
      </c>
      <c r="B3396" s="32" t="s">
        <v>4274</v>
      </c>
      <c r="C3396" s="32" t="s">
        <v>184</v>
      </c>
      <c r="D3396" s="32" t="s">
        <v>254</v>
      </c>
      <c r="E3396" s="32" t="s">
        <v>255</v>
      </c>
      <c r="F3396" s="32" t="s">
        <v>305</v>
      </c>
      <c r="G3396" s="32" t="s">
        <v>593</v>
      </c>
    </row>
    <row r="3397" ht="16.5" customHeight="1">
      <c r="A3397" s="32">
        <v>3396.0</v>
      </c>
      <c r="B3397" s="32" t="s">
        <v>4275</v>
      </c>
      <c r="C3397" s="32" t="s">
        <v>184</v>
      </c>
      <c r="D3397" s="32" t="s">
        <v>254</v>
      </c>
      <c r="E3397" s="32" t="s">
        <v>255</v>
      </c>
      <c r="F3397" s="32" t="s">
        <v>305</v>
      </c>
      <c r="G3397" s="32" t="s">
        <v>257</v>
      </c>
    </row>
    <row r="3398" ht="16.5" customHeight="1">
      <c r="A3398" s="32">
        <v>3397.0</v>
      </c>
      <c r="B3398" s="32" t="s">
        <v>4276</v>
      </c>
      <c r="C3398" s="32" t="s">
        <v>184</v>
      </c>
      <c r="D3398" s="35" t="s">
        <v>294</v>
      </c>
      <c r="E3398" s="32" t="s">
        <v>255</v>
      </c>
      <c r="F3398" s="32" t="s">
        <v>189</v>
      </c>
      <c r="G3398" s="32" t="s">
        <v>190</v>
      </c>
    </row>
    <row r="3399" ht="16.5" customHeight="1">
      <c r="A3399" s="32">
        <v>3398.0</v>
      </c>
      <c r="B3399" s="32" t="s">
        <v>4277</v>
      </c>
      <c r="C3399" s="32" t="s">
        <v>184</v>
      </c>
      <c r="D3399" s="35" t="s">
        <v>294</v>
      </c>
      <c r="E3399" s="32" t="s">
        <v>2893</v>
      </c>
      <c r="F3399" s="32" t="s">
        <v>189</v>
      </c>
      <c r="G3399" s="32" t="s">
        <v>190</v>
      </c>
    </row>
    <row r="3400" ht="16.5" customHeight="1">
      <c r="A3400" s="32">
        <v>3399.0</v>
      </c>
      <c r="B3400" s="32" t="s">
        <v>4278</v>
      </c>
      <c r="C3400" s="32" t="s">
        <v>184</v>
      </c>
      <c r="D3400" s="35" t="s">
        <v>294</v>
      </c>
      <c r="E3400" s="32" t="s">
        <v>2893</v>
      </c>
      <c r="F3400" s="32" t="s">
        <v>189</v>
      </c>
      <c r="G3400" s="32" t="s">
        <v>190</v>
      </c>
    </row>
    <row r="3401" ht="16.5" customHeight="1">
      <c r="A3401" s="32">
        <v>3400.0</v>
      </c>
      <c r="B3401" s="32" t="s">
        <v>4279</v>
      </c>
      <c r="C3401" s="32" t="s">
        <v>184</v>
      </c>
      <c r="D3401" s="32" t="s">
        <v>185</v>
      </c>
      <c r="E3401" s="32" t="s">
        <v>2893</v>
      </c>
      <c r="F3401" s="32" t="s">
        <v>189</v>
      </c>
      <c r="G3401" s="32" t="s">
        <v>190</v>
      </c>
    </row>
    <row r="3402" ht="16.5" customHeight="1">
      <c r="A3402" s="32">
        <v>3401.0</v>
      </c>
      <c r="B3402" s="32" t="s">
        <v>4280</v>
      </c>
      <c r="C3402" s="32" t="s">
        <v>184</v>
      </c>
      <c r="D3402" s="35" t="s">
        <v>294</v>
      </c>
      <c r="E3402" s="32" t="s">
        <v>2893</v>
      </c>
    </row>
    <row r="3403" ht="16.5" customHeight="1">
      <c r="A3403" s="32">
        <v>3402.0</v>
      </c>
      <c r="B3403" s="32" t="s">
        <v>4281</v>
      </c>
      <c r="C3403" s="32" t="s">
        <v>184</v>
      </c>
      <c r="D3403" s="35" t="s">
        <v>294</v>
      </c>
      <c r="E3403" s="32" t="s">
        <v>2893</v>
      </c>
      <c r="F3403" s="32" t="s">
        <v>189</v>
      </c>
      <c r="G3403" s="32" t="s">
        <v>190</v>
      </c>
    </row>
    <row r="3404" ht="16.5" customHeight="1">
      <c r="A3404" s="32">
        <v>3403.0</v>
      </c>
      <c r="B3404" s="32" t="s">
        <v>4282</v>
      </c>
      <c r="C3404" s="32" t="s">
        <v>184</v>
      </c>
      <c r="D3404" s="32" t="s">
        <v>325</v>
      </c>
      <c r="E3404" s="32" t="s">
        <v>2893</v>
      </c>
      <c r="F3404" s="32" t="s">
        <v>368</v>
      </c>
      <c r="G3404" s="32" t="s">
        <v>463</v>
      </c>
    </row>
    <row r="3405" ht="16.5" customHeight="1">
      <c r="A3405" s="32">
        <v>3404.0</v>
      </c>
      <c r="B3405" s="32" t="s">
        <v>4283</v>
      </c>
      <c r="C3405" s="32" t="s">
        <v>184</v>
      </c>
      <c r="D3405" s="32" t="s">
        <v>185</v>
      </c>
      <c r="E3405" s="32" t="s">
        <v>2893</v>
      </c>
      <c r="F3405" s="32" t="s">
        <v>189</v>
      </c>
      <c r="G3405" s="32" t="s">
        <v>190</v>
      </c>
    </row>
    <row r="3406" ht="16.5" customHeight="1">
      <c r="A3406" s="32">
        <v>3405.0</v>
      </c>
      <c r="B3406" s="32" t="s">
        <v>4284</v>
      </c>
      <c r="C3406" s="32" t="s">
        <v>184</v>
      </c>
      <c r="D3406" s="32" t="s">
        <v>285</v>
      </c>
      <c r="E3406" s="32" t="s">
        <v>2893</v>
      </c>
      <c r="F3406" s="32" t="s">
        <v>189</v>
      </c>
      <c r="G3406" s="32" t="s">
        <v>190</v>
      </c>
    </row>
    <row r="3407" ht="16.5" customHeight="1">
      <c r="A3407" s="32">
        <v>3406.0</v>
      </c>
      <c r="B3407" s="32" t="s">
        <v>4285</v>
      </c>
      <c r="C3407" s="32" t="s">
        <v>184</v>
      </c>
      <c r="D3407" s="32" t="s">
        <v>285</v>
      </c>
      <c r="E3407" s="32" t="s">
        <v>2893</v>
      </c>
      <c r="F3407" s="32" t="s">
        <v>189</v>
      </c>
      <c r="G3407" s="32" t="s">
        <v>190</v>
      </c>
    </row>
    <row r="3408" ht="16.5" customHeight="1">
      <c r="A3408" s="32">
        <v>3407.0</v>
      </c>
      <c r="B3408" s="32" t="s">
        <v>4286</v>
      </c>
      <c r="C3408" s="32" t="s">
        <v>184</v>
      </c>
      <c r="D3408" s="32" t="s">
        <v>285</v>
      </c>
      <c r="E3408" s="32" t="s">
        <v>2893</v>
      </c>
      <c r="F3408" s="32" t="s">
        <v>189</v>
      </c>
      <c r="G3408" s="32" t="s">
        <v>1121</v>
      </c>
    </row>
    <row r="3409" ht="16.5" customHeight="1">
      <c r="A3409" s="32">
        <v>3408.0</v>
      </c>
      <c r="B3409" s="32" t="s">
        <v>4287</v>
      </c>
      <c r="C3409" s="32" t="s">
        <v>184</v>
      </c>
      <c r="D3409" s="32" t="s">
        <v>285</v>
      </c>
      <c r="E3409" s="32" t="s">
        <v>2893</v>
      </c>
      <c r="F3409" s="32" t="s">
        <v>189</v>
      </c>
      <c r="G3409" s="32" t="s">
        <v>190</v>
      </c>
    </row>
    <row r="3410" ht="16.5" customHeight="1">
      <c r="A3410" s="32">
        <v>3409.0</v>
      </c>
      <c r="B3410" s="32" t="s">
        <v>4288</v>
      </c>
      <c r="C3410" s="32" t="s">
        <v>184</v>
      </c>
      <c r="D3410" s="32" t="s">
        <v>325</v>
      </c>
      <c r="E3410" s="32" t="s">
        <v>2893</v>
      </c>
      <c r="F3410" s="32" t="s">
        <v>368</v>
      </c>
      <c r="G3410" s="32" t="s">
        <v>463</v>
      </c>
    </row>
    <row r="3411" ht="16.5" customHeight="1">
      <c r="A3411" s="32">
        <v>3410.0</v>
      </c>
      <c r="B3411" s="32" t="s">
        <v>4289</v>
      </c>
      <c r="C3411" s="32" t="s">
        <v>184</v>
      </c>
      <c r="D3411" s="32" t="s">
        <v>325</v>
      </c>
      <c r="E3411" s="32" t="s">
        <v>2893</v>
      </c>
      <c r="F3411" s="32" t="s">
        <v>368</v>
      </c>
      <c r="G3411" s="32" t="s">
        <v>463</v>
      </c>
    </row>
    <row r="3412" ht="16.5" customHeight="1">
      <c r="A3412" s="32">
        <v>3411.0</v>
      </c>
      <c r="B3412" s="32" t="s">
        <v>4290</v>
      </c>
      <c r="C3412" s="32" t="s">
        <v>184</v>
      </c>
      <c r="D3412" s="32" t="s">
        <v>285</v>
      </c>
      <c r="E3412" s="32" t="s">
        <v>2893</v>
      </c>
      <c r="F3412" s="32" t="s">
        <v>189</v>
      </c>
      <c r="G3412" s="32" t="s">
        <v>190</v>
      </c>
    </row>
    <row r="3413" ht="16.5" customHeight="1">
      <c r="A3413" s="32">
        <v>3412.0</v>
      </c>
      <c r="B3413" s="32" t="s">
        <v>4291</v>
      </c>
      <c r="C3413" s="32" t="s">
        <v>184</v>
      </c>
      <c r="F3413" s="32" t="s">
        <v>368</v>
      </c>
      <c r="G3413" s="32" t="s">
        <v>463</v>
      </c>
    </row>
    <row r="3414" ht="16.5" customHeight="1">
      <c r="A3414" s="32">
        <v>3413.0</v>
      </c>
      <c r="B3414" s="32" t="s">
        <v>4292</v>
      </c>
      <c r="C3414" s="32" t="s">
        <v>184</v>
      </c>
      <c r="D3414" s="32" t="s">
        <v>285</v>
      </c>
      <c r="E3414" s="32" t="s">
        <v>2893</v>
      </c>
    </row>
    <row r="3415" ht="16.5" customHeight="1">
      <c r="A3415" s="32">
        <v>3414.0</v>
      </c>
      <c r="B3415" s="32" t="s">
        <v>4293</v>
      </c>
      <c r="C3415" s="32" t="s">
        <v>184</v>
      </c>
      <c r="D3415" s="35" t="s">
        <v>294</v>
      </c>
      <c r="E3415" s="32" t="s">
        <v>2893</v>
      </c>
    </row>
    <row r="3416" ht="16.5" customHeight="1">
      <c r="A3416" s="32">
        <v>3415.0</v>
      </c>
      <c r="B3416" s="32" t="s">
        <v>4294</v>
      </c>
      <c r="C3416" s="32" t="s">
        <v>184</v>
      </c>
      <c r="D3416" s="32" t="s">
        <v>185</v>
      </c>
      <c r="E3416" s="32" t="s">
        <v>2893</v>
      </c>
      <c r="F3416" s="32" t="s">
        <v>189</v>
      </c>
      <c r="G3416" s="32" t="s">
        <v>190</v>
      </c>
    </row>
    <row r="3417" ht="16.5" customHeight="1">
      <c r="A3417" s="32">
        <v>3416.0</v>
      </c>
      <c r="B3417" s="32" t="s">
        <v>4295</v>
      </c>
      <c r="C3417" s="32" t="s">
        <v>184</v>
      </c>
      <c r="D3417" s="32" t="s">
        <v>285</v>
      </c>
      <c r="E3417" s="32" t="s">
        <v>2893</v>
      </c>
      <c r="F3417" s="32" t="s">
        <v>189</v>
      </c>
      <c r="G3417" s="32" t="s">
        <v>190</v>
      </c>
    </row>
    <row r="3418" ht="16.5" customHeight="1">
      <c r="A3418" s="32">
        <v>3417.0</v>
      </c>
      <c r="B3418" s="32" t="s">
        <v>4296</v>
      </c>
      <c r="C3418" s="32" t="s">
        <v>184</v>
      </c>
      <c r="D3418" s="32" t="s">
        <v>285</v>
      </c>
      <c r="E3418" s="32" t="s">
        <v>2893</v>
      </c>
    </row>
    <row r="3419" ht="16.5" customHeight="1">
      <c r="A3419" s="32">
        <v>3418.0</v>
      </c>
      <c r="B3419" s="32" t="s">
        <v>4297</v>
      </c>
      <c r="C3419" s="32" t="s">
        <v>184</v>
      </c>
      <c r="D3419" s="32" t="s">
        <v>325</v>
      </c>
      <c r="E3419" s="32" t="s">
        <v>2893</v>
      </c>
      <c r="F3419" s="32" t="s">
        <v>368</v>
      </c>
      <c r="G3419" s="32" t="s">
        <v>463</v>
      </c>
    </row>
    <row r="3420" ht="16.5" customHeight="1">
      <c r="A3420" s="32">
        <v>3419.0</v>
      </c>
      <c r="B3420" s="32" t="s">
        <v>4298</v>
      </c>
      <c r="C3420" s="32" t="s">
        <v>184</v>
      </c>
      <c r="D3420" s="32" t="s">
        <v>285</v>
      </c>
      <c r="E3420" s="32" t="s">
        <v>2893</v>
      </c>
      <c r="F3420" s="32" t="s">
        <v>189</v>
      </c>
      <c r="G3420" s="32" t="s">
        <v>190</v>
      </c>
    </row>
    <row r="3421" ht="16.5" customHeight="1">
      <c r="A3421" s="32">
        <v>3420.0</v>
      </c>
      <c r="B3421" s="32" t="s">
        <v>4299</v>
      </c>
      <c r="C3421" s="32" t="s">
        <v>184</v>
      </c>
      <c r="D3421" s="32" t="s">
        <v>325</v>
      </c>
      <c r="E3421" s="32" t="s">
        <v>2893</v>
      </c>
      <c r="F3421" s="32" t="s">
        <v>368</v>
      </c>
      <c r="G3421" s="32" t="s">
        <v>463</v>
      </c>
    </row>
    <row r="3422" ht="16.5" customHeight="1">
      <c r="A3422" s="32">
        <v>3421.0</v>
      </c>
      <c r="B3422" s="32" t="s">
        <v>4300</v>
      </c>
      <c r="C3422" s="32" t="s">
        <v>184</v>
      </c>
      <c r="D3422" s="32" t="s">
        <v>285</v>
      </c>
      <c r="E3422" s="32" t="s">
        <v>2893</v>
      </c>
    </row>
    <row r="3423" ht="16.5" customHeight="1">
      <c r="A3423" s="32">
        <v>3422.0</v>
      </c>
      <c r="B3423" s="32" t="s">
        <v>4301</v>
      </c>
      <c r="C3423" s="32" t="s">
        <v>184</v>
      </c>
      <c r="D3423" s="32" t="s">
        <v>285</v>
      </c>
      <c r="E3423" s="32" t="s">
        <v>2893</v>
      </c>
      <c r="F3423" s="32" t="s">
        <v>189</v>
      </c>
      <c r="G3423" s="32" t="s">
        <v>190</v>
      </c>
    </row>
    <row r="3424" ht="16.5" customHeight="1">
      <c r="A3424" s="32">
        <v>3423.0</v>
      </c>
      <c r="B3424" s="32" t="s">
        <v>4302</v>
      </c>
      <c r="C3424" s="32" t="s">
        <v>184</v>
      </c>
      <c r="D3424" s="32" t="s">
        <v>285</v>
      </c>
      <c r="E3424" s="32" t="s">
        <v>2893</v>
      </c>
    </row>
    <row r="3425" ht="16.5" customHeight="1">
      <c r="A3425" s="32">
        <v>3424.0</v>
      </c>
      <c r="B3425" s="32" t="s">
        <v>4303</v>
      </c>
      <c r="C3425" s="32" t="s">
        <v>184</v>
      </c>
      <c r="D3425" s="32" t="s">
        <v>285</v>
      </c>
      <c r="E3425" s="32" t="s">
        <v>2893</v>
      </c>
      <c r="F3425" s="32" t="s">
        <v>189</v>
      </c>
      <c r="G3425" s="32" t="s">
        <v>902</v>
      </c>
    </row>
    <row r="3426" ht="16.5" customHeight="1">
      <c r="A3426" s="32">
        <v>3425.0</v>
      </c>
      <c r="B3426" s="32" t="s">
        <v>4304</v>
      </c>
      <c r="C3426" s="32" t="s">
        <v>184</v>
      </c>
      <c r="D3426" s="32" t="s">
        <v>254</v>
      </c>
      <c r="E3426" s="32" t="s">
        <v>4305</v>
      </c>
      <c r="F3426" s="32" t="s">
        <v>260</v>
      </c>
      <c r="G3426" s="32" t="s">
        <v>4306</v>
      </c>
    </row>
    <row r="3427" ht="16.5" customHeight="1">
      <c r="A3427" s="32">
        <v>3426.0</v>
      </c>
      <c r="B3427" s="32" t="s">
        <v>4307</v>
      </c>
      <c r="C3427" s="32" t="s">
        <v>184</v>
      </c>
      <c r="D3427" s="35" t="s">
        <v>522</v>
      </c>
      <c r="E3427" s="32" t="s">
        <v>255</v>
      </c>
      <c r="F3427" s="32" t="s">
        <v>4260</v>
      </c>
    </row>
    <row r="3428" ht="16.5" customHeight="1">
      <c r="A3428" s="32">
        <v>3427.0</v>
      </c>
      <c r="B3428" s="32" t="s">
        <v>4308</v>
      </c>
      <c r="C3428" s="32" t="s">
        <v>184</v>
      </c>
      <c r="D3428" s="32" t="s">
        <v>192</v>
      </c>
      <c r="E3428" s="32" t="s">
        <v>255</v>
      </c>
      <c r="F3428" s="32" t="s">
        <v>300</v>
      </c>
      <c r="G3428" s="32" t="s">
        <v>4309</v>
      </c>
    </row>
    <row r="3429" ht="16.5" customHeight="1">
      <c r="A3429" s="32">
        <v>3428.0</v>
      </c>
      <c r="B3429" s="32" t="s">
        <v>4310</v>
      </c>
      <c r="C3429" s="32" t="s">
        <v>184</v>
      </c>
      <c r="D3429" s="32" t="s">
        <v>192</v>
      </c>
      <c r="E3429" s="32" t="s">
        <v>255</v>
      </c>
      <c r="F3429" s="32" t="s">
        <v>300</v>
      </c>
      <c r="G3429" s="32" t="s">
        <v>4311</v>
      </c>
    </row>
    <row r="3430" ht="16.5" customHeight="1">
      <c r="A3430" s="32">
        <v>3429.0</v>
      </c>
      <c r="B3430" s="32" t="s">
        <v>4312</v>
      </c>
      <c r="C3430" s="32" t="s">
        <v>184</v>
      </c>
      <c r="D3430" s="32" t="s">
        <v>192</v>
      </c>
      <c r="E3430" s="32" t="s">
        <v>255</v>
      </c>
    </row>
    <row r="3431" ht="16.5" customHeight="1">
      <c r="A3431" s="32">
        <v>3430.0</v>
      </c>
      <c r="B3431" s="32" t="s">
        <v>4313</v>
      </c>
      <c r="C3431" s="32" t="s">
        <v>184</v>
      </c>
      <c r="D3431" s="32" t="s">
        <v>285</v>
      </c>
      <c r="E3431" s="32" t="s">
        <v>255</v>
      </c>
      <c r="F3431" s="32" t="s">
        <v>2412</v>
      </c>
      <c r="G3431" s="32" t="s">
        <v>561</v>
      </c>
    </row>
    <row r="3432" ht="16.5" customHeight="1">
      <c r="A3432" s="32">
        <v>3431.0</v>
      </c>
      <c r="B3432" s="32" t="s">
        <v>4313</v>
      </c>
      <c r="C3432" s="32" t="s">
        <v>184</v>
      </c>
      <c r="D3432" s="32" t="s">
        <v>185</v>
      </c>
      <c r="E3432" s="32" t="s">
        <v>255</v>
      </c>
      <c r="F3432" s="32" t="s">
        <v>188</v>
      </c>
      <c r="G3432" s="32" t="s">
        <v>665</v>
      </c>
    </row>
    <row r="3433" ht="16.5" customHeight="1">
      <c r="A3433" s="32">
        <v>3432.0</v>
      </c>
      <c r="B3433" s="32" t="s">
        <v>4314</v>
      </c>
      <c r="C3433" s="32" t="s">
        <v>184</v>
      </c>
      <c r="D3433" s="32" t="s">
        <v>192</v>
      </c>
      <c r="E3433" s="32" t="s">
        <v>4017</v>
      </c>
      <c r="F3433" s="32" t="s">
        <v>238</v>
      </c>
      <c r="G3433" s="32" t="s">
        <v>618</v>
      </c>
    </row>
    <row r="3434" ht="16.5" customHeight="1">
      <c r="A3434" s="32">
        <v>3433.0</v>
      </c>
      <c r="B3434" s="32" t="s">
        <v>4315</v>
      </c>
      <c r="C3434" s="32" t="s">
        <v>184</v>
      </c>
      <c r="D3434" s="32" t="s">
        <v>192</v>
      </c>
      <c r="E3434" s="32" t="s">
        <v>4017</v>
      </c>
      <c r="F3434" s="32" t="s">
        <v>238</v>
      </c>
      <c r="G3434" s="32" t="s">
        <v>239</v>
      </c>
    </row>
    <row r="3435" ht="16.5" customHeight="1">
      <c r="A3435" s="32">
        <v>3434.0</v>
      </c>
      <c r="B3435" s="32" t="s">
        <v>4316</v>
      </c>
      <c r="C3435" s="32" t="s">
        <v>184</v>
      </c>
      <c r="D3435" s="32" t="s">
        <v>285</v>
      </c>
      <c r="E3435" s="32" t="s">
        <v>4017</v>
      </c>
    </row>
    <row r="3436" ht="16.5" customHeight="1">
      <c r="A3436" s="32">
        <v>3435.0</v>
      </c>
      <c r="B3436" s="32" t="s">
        <v>4317</v>
      </c>
      <c r="C3436" s="32" t="s">
        <v>184</v>
      </c>
      <c r="D3436" s="32" t="s">
        <v>228</v>
      </c>
      <c r="E3436" s="32" t="s">
        <v>4017</v>
      </c>
      <c r="F3436" s="32" t="s">
        <v>229</v>
      </c>
      <c r="G3436" s="32" t="s">
        <v>230</v>
      </c>
    </row>
    <row r="3437" ht="16.5" customHeight="1">
      <c r="A3437" s="32">
        <v>3436.0</v>
      </c>
      <c r="B3437" s="32" t="s">
        <v>4318</v>
      </c>
      <c r="C3437" s="32" t="s">
        <v>184</v>
      </c>
      <c r="D3437" s="32" t="s">
        <v>234</v>
      </c>
      <c r="E3437" s="32" t="s">
        <v>4017</v>
      </c>
      <c r="F3437" s="32" t="s">
        <v>235</v>
      </c>
      <c r="G3437" s="32" t="s">
        <v>243</v>
      </c>
    </row>
    <row r="3438" ht="16.5" customHeight="1">
      <c r="A3438" s="32">
        <v>3437.0</v>
      </c>
      <c r="B3438" s="32" t="s">
        <v>4319</v>
      </c>
      <c r="C3438" s="32" t="s">
        <v>184</v>
      </c>
      <c r="D3438" s="32" t="s">
        <v>185</v>
      </c>
      <c r="E3438" s="32" t="s">
        <v>4017</v>
      </c>
      <c r="F3438" s="32" t="s">
        <v>267</v>
      </c>
      <c r="G3438" s="32" t="s">
        <v>188</v>
      </c>
    </row>
    <row r="3439" ht="16.5" customHeight="1">
      <c r="A3439" s="32">
        <v>3438.0</v>
      </c>
      <c r="B3439" s="32" t="s">
        <v>4320</v>
      </c>
      <c r="C3439" s="32" t="s">
        <v>184</v>
      </c>
      <c r="D3439" s="32" t="s">
        <v>192</v>
      </c>
      <c r="E3439" s="32" t="s">
        <v>4017</v>
      </c>
      <c r="F3439" s="32" t="s">
        <v>329</v>
      </c>
      <c r="G3439" s="32" t="s">
        <v>447</v>
      </c>
    </row>
    <row r="3440" ht="16.5" customHeight="1">
      <c r="A3440" s="32">
        <v>3439.0</v>
      </c>
      <c r="B3440" s="32" t="s">
        <v>4321</v>
      </c>
      <c r="C3440" s="32" t="s">
        <v>184</v>
      </c>
      <c r="D3440" s="32" t="s">
        <v>192</v>
      </c>
      <c r="E3440" s="32" t="s">
        <v>4017</v>
      </c>
      <c r="F3440" s="32" t="s">
        <v>329</v>
      </c>
      <c r="G3440" s="32" t="s">
        <v>457</v>
      </c>
    </row>
    <row r="3441" ht="16.5" customHeight="1">
      <c r="A3441" s="32">
        <v>3440.0</v>
      </c>
      <c r="B3441" s="32" t="s">
        <v>4322</v>
      </c>
      <c r="C3441" s="32" t="s">
        <v>184</v>
      </c>
      <c r="D3441" s="32" t="s">
        <v>192</v>
      </c>
      <c r="E3441" s="32" t="s">
        <v>4017</v>
      </c>
      <c r="F3441" s="32" t="s">
        <v>329</v>
      </c>
      <c r="G3441" s="32" t="s">
        <v>457</v>
      </c>
    </row>
    <row r="3442" ht="16.5" customHeight="1">
      <c r="A3442" s="32">
        <v>3441.0</v>
      </c>
      <c r="B3442" s="32" t="s">
        <v>4323</v>
      </c>
      <c r="C3442" s="32" t="s">
        <v>184</v>
      </c>
      <c r="D3442" s="32" t="s">
        <v>228</v>
      </c>
      <c r="E3442" s="32" t="s">
        <v>4017</v>
      </c>
      <c r="F3442" s="32" t="s">
        <v>408</v>
      </c>
      <c r="G3442" s="32" t="s">
        <v>490</v>
      </c>
    </row>
    <row r="3443" ht="16.5" customHeight="1">
      <c r="A3443" s="32">
        <v>3442.0</v>
      </c>
      <c r="B3443" s="32" t="s">
        <v>4324</v>
      </c>
      <c r="C3443" s="32" t="s">
        <v>184</v>
      </c>
      <c r="D3443" s="32" t="s">
        <v>325</v>
      </c>
      <c r="E3443" s="32" t="s">
        <v>4017</v>
      </c>
      <c r="F3443" s="32" t="s">
        <v>368</v>
      </c>
      <c r="G3443" s="32" t="s">
        <v>463</v>
      </c>
    </row>
    <row r="3444" ht="16.5" customHeight="1">
      <c r="A3444" s="32">
        <v>3443.0</v>
      </c>
      <c r="B3444" s="32" t="s">
        <v>4325</v>
      </c>
      <c r="C3444" s="32" t="s">
        <v>184</v>
      </c>
      <c r="D3444" s="32" t="s">
        <v>325</v>
      </c>
      <c r="E3444" s="32" t="s">
        <v>4017</v>
      </c>
      <c r="F3444" s="32" t="s">
        <v>368</v>
      </c>
      <c r="G3444" s="32" t="s">
        <v>463</v>
      </c>
    </row>
    <row r="3445" ht="16.5" customHeight="1">
      <c r="A3445" s="32">
        <v>3444.0</v>
      </c>
      <c r="B3445" s="32" t="s">
        <v>4326</v>
      </c>
      <c r="C3445" s="32" t="s">
        <v>184</v>
      </c>
      <c r="D3445" s="32" t="s">
        <v>285</v>
      </c>
      <c r="E3445" s="32" t="s">
        <v>4017</v>
      </c>
      <c r="F3445" s="32" t="s">
        <v>2413</v>
      </c>
      <c r="G3445" s="32" t="s">
        <v>857</v>
      </c>
    </row>
    <row r="3446" ht="16.5" customHeight="1">
      <c r="A3446" s="32">
        <v>3445.0</v>
      </c>
      <c r="B3446" s="32" t="s">
        <v>4327</v>
      </c>
      <c r="C3446" s="32" t="s">
        <v>184</v>
      </c>
      <c r="D3446" s="32" t="s">
        <v>285</v>
      </c>
      <c r="E3446" s="32" t="s">
        <v>4017</v>
      </c>
      <c r="F3446" s="32" t="s">
        <v>189</v>
      </c>
      <c r="G3446" s="32" t="s">
        <v>190</v>
      </c>
    </row>
    <row r="3447" ht="16.5" customHeight="1">
      <c r="A3447" s="32">
        <v>3446.0</v>
      </c>
      <c r="B3447" s="32" t="s">
        <v>4328</v>
      </c>
      <c r="C3447" s="32" t="s">
        <v>184</v>
      </c>
      <c r="D3447" s="32" t="s">
        <v>219</v>
      </c>
      <c r="E3447" s="32" t="s">
        <v>4017</v>
      </c>
      <c r="F3447" s="32" t="s">
        <v>223</v>
      </c>
      <c r="G3447" s="32" t="s">
        <v>472</v>
      </c>
    </row>
    <row r="3448" ht="16.5" customHeight="1">
      <c r="A3448" s="32">
        <v>3447.0</v>
      </c>
      <c r="B3448" s="32" t="s">
        <v>4329</v>
      </c>
      <c r="C3448" s="32" t="s">
        <v>184</v>
      </c>
      <c r="D3448" s="32" t="s">
        <v>185</v>
      </c>
      <c r="E3448" s="32" t="s">
        <v>4017</v>
      </c>
      <c r="F3448" s="32" t="s">
        <v>267</v>
      </c>
      <c r="G3448" s="32" t="s">
        <v>975</v>
      </c>
    </row>
    <row r="3449" ht="16.5" customHeight="1">
      <c r="A3449" s="32">
        <v>3448.0</v>
      </c>
      <c r="B3449" s="32" t="s">
        <v>4330</v>
      </c>
      <c r="C3449" s="32" t="s">
        <v>184</v>
      </c>
      <c r="D3449" s="35" t="s">
        <v>294</v>
      </c>
      <c r="E3449" s="32" t="s">
        <v>4017</v>
      </c>
      <c r="F3449" s="32" t="s">
        <v>2010</v>
      </c>
      <c r="G3449" s="32" t="s">
        <v>2076</v>
      </c>
    </row>
    <row r="3450" ht="16.5" customHeight="1">
      <c r="A3450" s="32">
        <v>3449.0</v>
      </c>
      <c r="B3450" s="32" t="s">
        <v>4331</v>
      </c>
      <c r="C3450" s="32" t="s">
        <v>184</v>
      </c>
      <c r="D3450" s="32" t="s">
        <v>234</v>
      </c>
      <c r="E3450" s="32" t="s">
        <v>4017</v>
      </c>
      <c r="F3450" s="32" t="s">
        <v>347</v>
      </c>
      <c r="G3450" s="32" t="s">
        <v>382</v>
      </c>
    </row>
    <row r="3451" ht="16.5" customHeight="1">
      <c r="A3451" s="32">
        <v>3450.0</v>
      </c>
      <c r="B3451" s="32" t="s">
        <v>4332</v>
      </c>
      <c r="C3451" s="32" t="s">
        <v>184</v>
      </c>
      <c r="D3451" s="32" t="s">
        <v>234</v>
      </c>
      <c r="E3451" s="32" t="s">
        <v>4017</v>
      </c>
      <c r="F3451" s="32" t="s">
        <v>347</v>
      </c>
      <c r="G3451" s="32" t="s">
        <v>382</v>
      </c>
    </row>
    <row r="3452" ht="16.5" customHeight="1">
      <c r="A3452" s="32">
        <v>3451.0</v>
      </c>
      <c r="B3452" s="32" t="s">
        <v>4333</v>
      </c>
      <c r="C3452" s="32" t="s">
        <v>184</v>
      </c>
      <c r="D3452" s="32" t="s">
        <v>219</v>
      </c>
      <c r="E3452" s="32" t="s">
        <v>4017</v>
      </c>
    </row>
    <row r="3453" ht="16.5" customHeight="1">
      <c r="A3453" s="32">
        <v>3452.0</v>
      </c>
      <c r="B3453" s="32" t="s">
        <v>4334</v>
      </c>
      <c r="C3453" s="32" t="s">
        <v>184</v>
      </c>
      <c r="D3453" s="32" t="s">
        <v>285</v>
      </c>
      <c r="E3453" s="32" t="s">
        <v>4017</v>
      </c>
    </row>
    <row r="3454" ht="16.5" customHeight="1">
      <c r="A3454" s="32">
        <v>3453.0</v>
      </c>
      <c r="B3454" s="32" t="s">
        <v>4335</v>
      </c>
      <c r="C3454" s="32" t="s">
        <v>184</v>
      </c>
      <c r="D3454" s="32" t="s">
        <v>285</v>
      </c>
      <c r="E3454" s="32" t="s">
        <v>4017</v>
      </c>
    </row>
    <row r="3455" ht="16.5" customHeight="1">
      <c r="A3455" s="32">
        <v>3454.0</v>
      </c>
      <c r="B3455" s="32" t="s">
        <v>4336</v>
      </c>
      <c r="C3455" s="32" t="s">
        <v>184</v>
      </c>
      <c r="D3455" s="32" t="s">
        <v>285</v>
      </c>
      <c r="E3455" s="32" t="s">
        <v>4017</v>
      </c>
      <c r="F3455" s="32" t="s">
        <v>189</v>
      </c>
      <c r="G3455" s="32" t="s">
        <v>190</v>
      </c>
    </row>
    <row r="3456" ht="16.5" customHeight="1">
      <c r="A3456" s="32">
        <v>3455.0</v>
      </c>
      <c r="B3456" s="32" t="s">
        <v>4337</v>
      </c>
      <c r="C3456" s="32" t="s">
        <v>184</v>
      </c>
      <c r="D3456" s="32" t="s">
        <v>285</v>
      </c>
      <c r="E3456" s="32" t="s">
        <v>4017</v>
      </c>
    </row>
    <row r="3457" ht="16.5" customHeight="1">
      <c r="A3457" s="32">
        <v>3456.0</v>
      </c>
      <c r="B3457" s="32" t="s">
        <v>4338</v>
      </c>
      <c r="C3457" s="32" t="s">
        <v>184</v>
      </c>
      <c r="D3457" s="32" t="s">
        <v>285</v>
      </c>
      <c r="E3457" s="32" t="s">
        <v>4017</v>
      </c>
      <c r="F3457" s="32" t="s">
        <v>189</v>
      </c>
      <c r="G3457" s="32" t="s">
        <v>190</v>
      </c>
    </row>
    <row r="3458" ht="16.5" customHeight="1">
      <c r="A3458" s="32">
        <v>3457.0</v>
      </c>
      <c r="B3458" s="32" t="s">
        <v>4339</v>
      </c>
      <c r="C3458" s="32" t="s">
        <v>184</v>
      </c>
      <c r="D3458" s="32" t="s">
        <v>185</v>
      </c>
      <c r="E3458" s="32" t="s">
        <v>4017</v>
      </c>
    </row>
    <row r="3459" ht="16.5" customHeight="1">
      <c r="A3459" s="32">
        <v>3458.0</v>
      </c>
      <c r="B3459" s="32" t="s">
        <v>4340</v>
      </c>
      <c r="C3459" s="32" t="s">
        <v>184</v>
      </c>
      <c r="D3459" s="32" t="s">
        <v>185</v>
      </c>
      <c r="E3459" s="32" t="s">
        <v>4017</v>
      </c>
      <c r="F3459" s="32" t="s">
        <v>189</v>
      </c>
      <c r="G3459" s="32" t="s">
        <v>190</v>
      </c>
    </row>
    <row r="3460" ht="16.5" customHeight="1">
      <c r="A3460" s="32">
        <v>3459.0</v>
      </c>
      <c r="B3460" s="32" t="s">
        <v>4341</v>
      </c>
      <c r="C3460" s="32" t="s">
        <v>184</v>
      </c>
      <c r="D3460" s="32" t="s">
        <v>764</v>
      </c>
      <c r="E3460" s="32" t="s">
        <v>4017</v>
      </c>
    </row>
    <row r="3461" ht="16.5" customHeight="1">
      <c r="A3461" s="32">
        <v>3460.0</v>
      </c>
      <c r="B3461" s="32" t="s">
        <v>4342</v>
      </c>
      <c r="C3461" s="32" t="s">
        <v>184</v>
      </c>
      <c r="D3461" s="32" t="s">
        <v>234</v>
      </c>
      <c r="E3461" s="32" t="s">
        <v>4017</v>
      </c>
      <c r="F3461" s="32" t="s">
        <v>347</v>
      </c>
      <c r="G3461" s="32" t="s">
        <v>382</v>
      </c>
    </row>
    <row r="3462" ht="16.5" customHeight="1">
      <c r="A3462" s="32">
        <v>3461.0</v>
      </c>
      <c r="B3462" s="32" t="s">
        <v>4343</v>
      </c>
      <c r="C3462" s="32" t="s">
        <v>184</v>
      </c>
      <c r="D3462" s="32" t="s">
        <v>254</v>
      </c>
      <c r="E3462" s="32" t="s">
        <v>4017</v>
      </c>
      <c r="F3462" s="32" t="s">
        <v>256</v>
      </c>
      <c r="G3462" s="32" t="s">
        <v>257</v>
      </c>
    </row>
    <row r="3463" ht="16.5" customHeight="1">
      <c r="A3463" s="32">
        <v>3462.0</v>
      </c>
      <c r="B3463" s="32" t="s">
        <v>4344</v>
      </c>
      <c r="C3463" s="32" t="s">
        <v>184</v>
      </c>
      <c r="D3463" s="32" t="s">
        <v>185</v>
      </c>
      <c r="E3463" s="32" t="s">
        <v>4017</v>
      </c>
      <c r="F3463" s="32" t="s">
        <v>187</v>
      </c>
      <c r="G3463" s="32" t="s">
        <v>854</v>
      </c>
    </row>
    <row r="3464" ht="16.5" customHeight="1">
      <c r="A3464" s="32">
        <v>3463.0</v>
      </c>
      <c r="B3464" s="32" t="s">
        <v>4345</v>
      </c>
      <c r="C3464" s="32" t="s">
        <v>184</v>
      </c>
      <c r="D3464" s="32" t="s">
        <v>234</v>
      </c>
      <c r="E3464" s="32" t="s">
        <v>4017</v>
      </c>
      <c r="F3464" s="32" t="s">
        <v>415</v>
      </c>
      <c r="G3464" s="32" t="s">
        <v>243</v>
      </c>
    </row>
    <row r="3465" ht="16.5" customHeight="1">
      <c r="A3465" s="32">
        <v>3464.0</v>
      </c>
      <c r="B3465" s="32" t="s">
        <v>4346</v>
      </c>
      <c r="C3465" s="32" t="s">
        <v>184</v>
      </c>
      <c r="D3465" s="32" t="s">
        <v>234</v>
      </c>
      <c r="E3465" s="32" t="s">
        <v>4017</v>
      </c>
      <c r="F3465" s="32" t="s">
        <v>415</v>
      </c>
      <c r="G3465" s="32" t="s">
        <v>243</v>
      </c>
    </row>
    <row r="3466" ht="16.5" customHeight="1">
      <c r="A3466" s="32">
        <v>3465.0</v>
      </c>
      <c r="B3466" s="32" t="s">
        <v>4347</v>
      </c>
      <c r="C3466" s="32" t="s">
        <v>184</v>
      </c>
      <c r="D3466" s="32" t="s">
        <v>234</v>
      </c>
      <c r="E3466" s="32" t="s">
        <v>4017</v>
      </c>
      <c r="F3466" s="32" t="s">
        <v>885</v>
      </c>
      <c r="G3466" s="32" t="s">
        <v>882</v>
      </c>
    </row>
    <row r="3467" ht="16.5" customHeight="1">
      <c r="A3467" s="32">
        <v>3466.0</v>
      </c>
      <c r="B3467" s="32" t="s">
        <v>4348</v>
      </c>
      <c r="C3467" s="32" t="s">
        <v>184</v>
      </c>
      <c r="D3467" s="32" t="s">
        <v>185</v>
      </c>
      <c r="E3467" s="32" t="s">
        <v>4017</v>
      </c>
    </row>
    <row r="3468" ht="16.5" customHeight="1">
      <c r="A3468" s="32">
        <v>3467.0</v>
      </c>
      <c r="B3468" s="32" t="s">
        <v>4349</v>
      </c>
      <c r="C3468" s="32" t="s">
        <v>184</v>
      </c>
      <c r="D3468" s="32" t="s">
        <v>185</v>
      </c>
      <c r="E3468" s="32" t="s">
        <v>4017</v>
      </c>
      <c r="F3468" s="32" t="s">
        <v>187</v>
      </c>
      <c r="G3468" s="32" t="s">
        <v>188</v>
      </c>
    </row>
    <row r="3469" ht="16.5" customHeight="1">
      <c r="A3469" s="32">
        <v>3468.0</v>
      </c>
      <c r="B3469" s="32" t="s">
        <v>4350</v>
      </c>
      <c r="C3469" s="32" t="s">
        <v>184</v>
      </c>
      <c r="D3469" s="32" t="s">
        <v>185</v>
      </c>
      <c r="E3469" s="32" t="s">
        <v>4017</v>
      </c>
    </row>
    <row r="3470" ht="16.5" customHeight="1">
      <c r="A3470" s="32">
        <v>3469.0</v>
      </c>
      <c r="B3470" s="32" t="s">
        <v>4351</v>
      </c>
      <c r="C3470" s="32" t="s">
        <v>184</v>
      </c>
      <c r="D3470" s="32" t="s">
        <v>285</v>
      </c>
      <c r="E3470" s="32" t="s">
        <v>4017</v>
      </c>
      <c r="F3470" s="32" t="s">
        <v>189</v>
      </c>
      <c r="G3470" s="32" t="s">
        <v>2046</v>
      </c>
    </row>
    <row r="3471" ht="16.5" customHeight="1">
      <c r="A3471" s="32">
        <v>3470.0</v>
      </c>
      <c r="B3471" s="32" t="s">
        <v>4352</v>
      </c>
      <c r="C3471" s="32" t="s">
        <v>184</v>
      </c>
      <c r="D3471" s="32" t="s">
        <v>285</v>
      </c>
      <c r="E3471" s="32" t="s">
        <v>4017</v>
      </c>
      <c r="F3471" s="32" t="s">
        <v>189</v>
      </c>
      <c r="G3471" s="32" t="s">
        <v>190</v>
      </c>
    </row>
    <row r="3472" ht="16.5" customHeight="1">
      <c r="A3472" s="32">
        <v>3471.0</v>
      </c>
      <c r="B3472" s="32" t="s">
        <v>4353</v>
      </c>
      <c r="C3472" s="32" t="s">
        <v>184</v>
      </c>
      <c r="D3472" s="35" t="s">
        <v>294</v>
      </c>
      <c r="E3472" s="32" t="s">
        <v>4017</v>
      </c>
      <c r="F3472" s="32" t="s">
        <v>189</v>
      </c>
      <c r="G3472" s="32" t="s">
        <v>190</v>
      </c>
    </row>
    <row r="3473" ht="16.5" customHeight="1">
      <c r="A3473" s="32">
        <v>3472.0</v>
      </c>
      <c r="B3473" s="32" t="s">
        <v>4354</v>
      </c>
      <c r="C3473" s="32" t="s">
        <v>184</v>
      </c>
      <c r="D3473" s="32" t="s">
        <v>285</v>
      </c>
      <c r="E3473" s="32" t="s">
        <v>4017</v>
      </c>
      <c r="F3473" s="32" t="s">
        <v>189</v>
      </c>
      <c r="G3473" s="32" t="s">
        <v>190</v>
      </c>
    </row>
    <row r="3474" ht="16.5" customHeight="1">
      <c r="A3474" s="32">
        <v>3473.0</v>
      </c>
      <c r="B3474" s="32" t="s">
        <v>4355</v>
      </c>
      <c r="C3474" s="32" t="s">
        <v>184</v>
      </c>
      <c r="D3474" s="32" t="s">
        <v>185</v>
      </c>
      <c r="E3474" s="32" t="s">
        <v>4017</v>
      </c>
      <c r="F3474" s="32" t="s">
        <v>187</v>
      </c>
      <c r="G3474" s="32" t="s">
        <v>2733</v>
      </c>
    </row>
    <row r="3475" ht="16.5" customHeight="1">
      <c r="A3475" s="32">
        <v>3474.0</v>
      </c>
      <c r="B3475" s="32" t="s">
        <v>4356</v>
      </c>
      <c r="C3475" s="32" t="s">
        <v>184</v>
      </c>
      <c r="D3475" s="32" t="s">
        <v>219</v>
      </c>
      <c r="E3475" s="32" t="s">
        <v>4017</v>
      </c>
      <c r="F3475" s="32" t="s">
        <v>241</v>
      </c>
      <c r="G3475" s="32" t="s">
        <v>292</v>
      </c>
    </row>
    <row r="3476" ht="16.5" customHeight="1">
      <c r="A3476" s="32">
        <v>3475.0</v>
      </c>
      <c r="B3476" s="32" t="s">
        <v>4357</v>
      </c>
      <c r="C3476" s="32" t="s">
        <v>184</v>
      </c>
      <c r="D3476" s="32" t="s">
        <v>219</v>
      </c>
      <c r="E3476" s="32" t="s">
        <v>4017</v>
      </c>
    </row>
    <row r="3477" ht="16.5" customHeight="1">
      <c r="A3477" s="32">
        <v>3476.0</v>
      </c>
      <c r="B3477" s="32" t="s">
        <v>4358</v>
      </c>
      <c r="C3477" s="32" t="s">
        <v>184</v>
      </c>
      <c r="D3477" s="32" t="s">
        <v>219</v>
      </c>
      <c r="E3477" s="32" t="s">
        <v>4017</v>
      </c>
    </row>
    <row r="3478" ht="16.5" customHeight="1">
      <c r="A3478" s="32">
        <v>3477.0</v>
      </c>
      <c r="B3478" s="32" t="s">
        <v>4359</v>
      </c>
      <c r="C3478" s="32" t="s">
        <v>184</v>
      </c>
      <c r="D3478" s="32" t="s">
        <v>234</v>
      </c>
      <c r="E3478" s="32" t="s">
        <v>4017</v>
      </c>
    </row>
    <row r="3479" ht="16.5" customHeight="1">
      <c r="A3479" s="32">
        <v>3478.0</v>
      </c>
      <c r="B3479" s="32" t="s">
        <v>4360</v>
      </c>
      <c r="C3479" s="32" t="s">
        <v>184</v>
      </c>
      <c r="D3479" s="32" t="s">
        <v>192</v>
      </c>
      <c r="E3479" s="32" t="s">
        <v>4017</v>
      </c>
    </row>
    <row r="3480" ht="16.5" customHeight="1">
      <c r="A3480" s="32">
        <v>3479.0</v>
      </c>
      <c r="B3480" s="32" t="s">
        <v>4361</v>
      </c>
      <c r="C3480" s="32" t="s">
        <v>184</v>
      </c>
      <c r="D3480" s="32" t="s">
        <v>192</v>
      </c>
      <c r="E3480" s="32" t="s">
        <v>4017</v>
      </c>
      <c r="F3480" s="32" t="s">
        <v>329</v>
      </c>
      <c r="G3480" s="32" t="s">
        <v>457</v>
      </c>
    </row>
    <row r="3481" ht="16.5" customHeight="1">
      <c r="A3481" s="32">
        <v>3480.0</v>
      </c>
      <c r="B3481" s="32" t="s">
        <v>4362</v>
      </c>
      <c r="C3481" s="32" t="s">
        <v>184</v>
      </c>
      <c r="D3481" s="32" t="s">
        <v>192</v>
      </c>
      <c r="E3481" s="32" t="s">
        <v>4017</v>
      </c>
      <c r="F3481" s="32" t="s">
        <v>267</v>
      </c>
      <c r="G3481" s="32" t="s">
        <v>188</v>
      </c>
    </row>
    <row r="3482" ht="16.5" customHeight="1">
      <c r="A3482" s="32">
        <v>3481.0</v>
      </c>
      <c r="B3482" s="32" t="s">
        <v>4363</v>
      </c>
      <c r="C3482" s="32" t="s">
        <v>184</v>
      </c>
      <c r="D3482" s="32" t="s">
        <v>325</v>
      </c>
      <c r="E3482" s="32" t="s">
        <v>4017</v>
      </c>
      <c r="F3482" s="32" t="s">
        <v>368</v>
      </c>
      <c r="G3482" s="32" t="s">
        <v>463</v>
      </c>
    </row>
    <row r="3483" ht="16.5" customHeight="1">
      <c r="A3483" s="32">
        <v>3482.0</v>
      </c>
      <c r="B3483" s="32" t="s">
        <v>4364</v>
      </c>
      <c r="C3483" s="32" t="s">
        <v>184</v>
      </c>
      <c r="D3483" s="32" t="s">
        <v>325</v>
      </c>
      <c r="E3483" s="32" t="s">
        <v>4017</v>
      </c>
    </row>
    <row r="3484" ht="16.5" customHeight="1">
      <c r="A3484" s="32">
        <v>3483.0</v>
      </c>
      <c r="B3484" s="32" t="s">
        <v>4365</v>
      </c>
      <c r="C3484" s="32" t="s">
        <v>184</v>
      </c>
      <c r="D3484" s="32" t="s">
        <v>185</v>
      </c>
      <c r="E3484" s="32" t="s">
        <v>4017</v>
      </c>
    </row>
    <row r="3485" ht="16.5" customHeight="1">
      <c r="A3485" s="32">
        <v>3484.0</v>
      </c>
      <c r="B3485" s="32" t="s">
        <v>4366</v>
      </c>
      <c r="C3485" s="32" t="s">
        <v>184</v>
      </c>
      <c r="D3485" s="32" t="s">
        <v>285</v>
      </c>
      <c r="E3485" s="32" t="s">
        <v>4017</v>
      </c>
      <c r="F3485" s="32" t="s">
        <v>189</v>
      </c>
      <c r="G3485" s="32" t="s">
        <v>190</v>
      </c>
    </row>
    <row r="3486" ht="16.5" customHeight="1">
      <c r="A3486" s="32">
        <v>3485.0</v>
      </c>
      <c r="B3486" s="32" t="s">
        <v>4367</v>
      </c>
      <c r="C3486" s="32" t="s">
        <v>184</v>
      </c>
      <c r="D3486" s="32" t="s">
        <v>325</v>
      </c>
      <c r="E3486" s="32" t="s">
        <v>4017</v>
      </c>
      <c r="F3486" s="32" t="s">
        <v>1100</v>
      </c>
      <c r="G3486" s="32" t="s">
        <v>463</v>
      </c>
    </row>
    <row r="3487" ht="16.5" customHeight="1">
      <c r="A3487" s="32">
        <v>3486.0</v>
      </c>
      <c r="B3487" s="32" t="s">
        <v>4367</v>
      </c>
      <c r="C3487" s="32" t="s">
        <v>184</v>
      </c>
      <c r="D3487" s="32" t="s">
        <v>325</v>
      </c>
      <c r="E3487" s="32" t="s">
        <v>4017</v>
      </c>
      <c r="F3487" s="32" t="s">
        <v>368</v>
      </c>
      <c r="G3487" s="32" t="s">
        <v>463</v>
      </c>
    </row>
    <row r="3488" ht="16.5" customHeight="1">
      <c r="A3488" s="32">
        <v>3487.0</v>
      </c>
      <c r="B3488" s="32" t="s">
        <v>4368</v>
      </c>
      <c r="C3488" s="32" t="s">
        <v>184</v>
      </c>
      <c r="D3488" s="32" t="s">
        <v>325</v>
      </c>
      <c r="E3488" s="32" t="s">
        <v>4017</v>
      </c>
    </row>
    <row r="3489" ht="16.5" customHeight="1">
      <c r="A3489" s="32">
        <v>3488.0</v>
      </c>
      <c r="B3489" s="32" t="s">
        <v>4369</v>
      </c>
      <c r="C3489" s="32" t="s">
        <v>184</v>
      </c>
      <c r="D3489" s="32" t="s">
        <v>192</v>
      </c>
      <c r="E3489" s="32" t="s">
        <v>4017</v>
      </c>
      <c r="F3489" s="32" t="s">
        <v>329</v>
      </c>
      <c r="G3489" s="32" t="s">
        <v>4370</v>
      </c>
    </row>
    <row r="3490" ht="16.5" customHeight="1">
      <c r="A3490" s="32">
        <v>3489.0</v>
      </c>
      <c r="B3490" s="32" t="s">
        <v>4371</v>
      </c>
      <c r="C3490" s="32" t="s">
        <v>184</v>
      </c>
      <c r="D3490" s="32" t="s">
        <v>185</v>
      </c>
      <c r="E3490" s="32" t="s">
        <v>4017</v>
      </c>
    </row>
    <row r="3491" ht="16.5" customHeight="1">
      <c r="A3491" s="32">
        <v>3490.0</v>
      </c>
      <c r="B3491" s="32" t="s">
        <v>4372</v>
      </c>
      <c r="C3491" s="32" t="s">
        <v>184</v>
      </c>
      <c r="D3491" s="32" t="s">
        <v>234</v>
      </c>
      <c r="E3491" s="32" t="s">
        <v>4017</v>
      </c>
      <c r="F3491" s="32" t="s">
        <v>235</v>
      </c>
      <c r="G3491" s="32" t="s">
        <v>243</v>
      </c>
    </row>
    <row r="3492" ht="16.5" customHeight="1">
      <c r="A3492" s="32">
        <v>3491.0</v>
      </c>
      <c r="B3492" s="32" t="s">
        <v>4373</v>
      </c>
      <c r="C3492" s="32" t="s">
        <v>184</v>
      </c>
      <c r="D3492" s="32" t="s">
        <v>325</v>
      </c>
      <c r="E3492" s="32" t="s">
        <v>4017</v>
      </c>
    </row>
    <row r="3493" ht="16.5" customHeight="1">
      <c r="A3493" s="32">
        <v>3492.0</v>
      </c>
      <c r="B3493" s="32" t="s">
        <v>4374</v>
      </c>
      <c r="C3493" s="32" t="s">
        <v>184</v>
      </c>
      <c r="D3493" s="32" t="s">
        <v>325</v>
      </c>
      <c r="E3493" s="32" t="s">
        <v>4017</v>
      </c>
      <c r="F3493" s="32" t="s">
        <v>368</v>
      </c>
      <c r="G3493" s="32" t="s">
        <v>463</v>
      </c>
    </row>
    <row r="3494" ht="16.5" customHeight="1">
      <c r="A3494" s="32">
        <v>3493.0</v>
      </c>
      <c r="B3494" s="32" t="s">
        <v>4375</v>
      </c>
      <c r="C3494" s="32" t="s">
        <v>184</v>
      </c>
      <c r="D3494" s="32" t="s">
        <v>228</v>
      </c>
      <c r="E3494" s="32" t="s">
        <v>4017</v>
      </c>
      <c r="F3494" s="32" t="s">
        <v>229</v>
      </c>
      <c r="G3494" s="32" t="s">
        <v>626</v>
      </c>
    </row>
    <row r="3495" ht="16.5" customHeight="1">
      <c r="A3495" s="32">
        <v>3494.0</v>
      </c>
      <c r="B3495" s="32" t="s">
        <v>4376</v>
      </c>
      <c r="C3495" s="32" t="s">
        <v>184</v>
      </c>
      <c r="D3495" s="32" t="s">
        <v>228</v>
      </c>
      <c r="E3495" s="32" t="s">
        <v>4017</v>
      </c>
      <c r="F3495" s="32" t="s">
        <v>229</v>
      </c>
      <c r="G3495" s="32" t="s">
        <v>626</v>
      </c>
    </row>
    <row r="3496" ht="16.5" customHeight="1">
      <c r="A3496" s="32">
        <v>3495.0</v>
      </c>
      <c r="B3496" s="32" t="s">
        <v>4377</v>
      </c>
      <c r="C3496" s="32" t="s">
        <v>184</v>
      </c>
      <c r="D3496" s="32" t="s">
        <v>214</v>
      </c>
      <c r="E3496" s="32" t="s">
        <v>4017</v>
      </c>
      <c r="F3496" s="32" t="s">
        <v>720</v>
      </c>
    </row>
    <row r="3497" ht="16.5" customHeight="1">
      <c r="A3497" s="32">
        <v>3496.0</v>
      </c>
      <c r="B3497" s="32" t="s">
        <v>4378</v>
      </c>
      <c r="C3497" s="32" t="s">
        <v>184</v>
      </c>
      <c r="D3497" s="32" t="s">
        <v>228</v>
      </c>
      <c r="E3497" s="32" t="s">
        <v>4017</v>
      </c>
      <c r="F3497" s="32" t="s">
        <v>229</v>
      </c>
      <c r="G3497" s="32" t="s">
        <v>626</v>
      </c>
    </row>
    <row r="3498" ht="16.5" customHeight="1">
      <c r="A3498" s="32">
        <v>3497.0</v>
      </c>
      <c r="B3498" s="32" t="s">
        <v>4379</v>
      </c>
      <c r="C3498" s="32" t="s">
        <v>184</v>
      </c>
      <c r="D3498" s="32" t="s">
        <v>192</v>
      </c>
      <c r="E3498" s="32" t="s">
        <v>4017</v>
      </c>
      <c r="F3498" s="32" t="s">
        <v>238</v>
      </c>
      <c r="G3498" s="32" t="s">
        <v>618</v>
      </c>
    </row>
    <row r="3499" ht="16.5" customHeight="1">
      <c r="A3499" s="32">
        <v>3498.0</v>
      </c>
      <c r="B3499" s="32" t="s">
        <v>4380</v>
      </c>
      <c r="C3499" s="32" t="s">
        <v>184</v>
      </c>
      <c r="D3499" s="32" t="s">
        <v>192</v>
      </c>
      <c r="E3499" s="32" t="s">
        <v>4017</v>
      </c>
      <c r="F3499" s="32" t="s">
        <v>329</v>
      </c>
      <c r="G3499" s="32" t="s">
        <v>447</v>
      </c>
    </row>
    <row r="3500" ht="16.5" customHeight="1">
      <c r="A3500" s="32">
        <v>3499.0</v>
      </c>
      <c r="B3500" s="32" t="s">
        <v>4381</v>
      </c>
      <c r="C3500" s="32" t="s">
        <v>184</v>
      </c>
      <c r="D3500" s="32" t="s">
        <v>285</v>
      </c>
      <c r="E3500" s="32" t="s">
        <v>4017</v>
      </c>
      <c r="F3500" s="32" t="s">
        <v>189</v>
      </c>
      <c r="G3500" s="32" t="s">
        <v>190</v>
      </c>
    </row>
    <row r="3501" ht="16.5" customHeight="1">
      <c r="A3501" s="32">
        <v>3500.0</v>
      </c>
      <c r="B3501" s="32" t="s">
        <v>4382</v>
      </c>
      <c r="C3501" s="32" t="s">
        <v>184</v>
      </c>
      <c r="D3501" s="35" t="s">
        <v>294</v>
      </c>
      <c r="E3501" s="32" t="s">
        <v>4017</v>
      </c>
      <c r="F3501" s="32" t="s">
        <v>189</v>
      </c>
      <c r="G3501" s="32" t="s">
        <v>190</v>
      </c>
    </row>
    <row r="3502" ht="16.5" customHeight="1">
      <c r="A3502" s="32">
        <v>3501.0</v>
      </c>
      <c r="B3502" s="32" t="s">
        <v>4383</v>
      </c>
      <c r="C3502" s="32" t="s">
        <v>184</v>
      </c>
      <c r="D3502" s="35" t="s">
        <v>294</v>
      </c>
      <c r="E3502" s="32" t="s">
        <v>4017</v>
      </c>
    </row>
    <row r="3503" ht="16.5" customHeight="1">
      <c r="A3503" s="32">
        <v>3502.0</v>
      </c>
      <c r="B3503" s="32" t="s">
        <v>4384</v>
      </c>
      <c r="C3503" s="32" t="s">
        <v>184</v>
      </c>
      <c r="D3503" s="32" t="s">
        <v>285</v>
      </c>
      <c r="E3503" s="32" t="s">
        <v>4017</v>
      </c>
      <c r="F3503" s="32" t="s">
        <v>189</v>
      </c>
      <c r="G3503" s="32" t="s">
        <v>190</v>
      </c>
    </row>
    <row r="3504" ht="16.5" customHeight="1">
      <c r="A3504" s="32">
        <v>3503.0</v>
      </c>
      <c r="B3504" s="32" t="s">
        <v>4385</v>
      </c>
      <c r="C3504" s="32" t="s">
        <v>184</v>
      </c>
      <c r="D3504" s="32" t="s">
        <v>185</v>
      </c>
      <c r="E3504" s="32" t="s">
        <v>4017</v>
      </c>
      <c r="F3504" s="32" t="s">
        <v>189</v>
      </c>
      <c r="G3504" s="32" t="s">
        <v>190</v>
      </c>
    </row>
    <row r="3505" ht="16.5" customHeight="1">
      <c r="A3505" s="32">
        <v>3504.0</v>
      </c>
      <c r="B3505" s="32" t="s">
        <v>4386</v>
      </c>
      <c r="C3505" s="32" t="s">
        <v>184</v>
      </c>
      <c r="D3505" s="32" t="s">
        <v>285</v>
      </c>
      <c r="E3505" s="32" t="s">
        <v>4017</v>
      </c>
    </row>
    <row r="3506" ht="16.5" customHeight="1">
      <c r="A3506" s="32">
        <v>3505.0</v>
      </c>
      <c r="B3506" s="32" t="s">
        <v>4387</v>
      </c>
      <c r="C3506" s="32" t="s">
        <v>184</v>
      </c>
      <c r="D3506" s="32" t="s">
        <v>214</v>
      </c>
      <c r="E3506" s="32" t="s">
        <v>4017</v>
      </c>
      <c r="F3506" s="32" t="s">
        <v>720</v>
      </c>
    </row>
    <row r="3507" ht="16.5" customHeight="1">
      <c r="A3507" s="32">
        <v>3506.0</v>
      </c>
      <c r="B3507" s="32" t="s">
        <v>4388</v>
      </c>
      <c r="C3507" s="32" t="s">
        <v>184</v>
      </c>
      <c r="D3507" s="32" t="s">
        <v>228</v>
      </c>
      <c r="E3507" s="32" t="s">
        <v>4017</v>
      </c>
      <c r="F3507" s="32" t="s">
        <v>229</v>
      </c>
      <c r="G3507" s="32" t="s">
        <v>230</v>
      </c>
    </row>
    <row r="3508" ht="16.5" customHeight="1">
      <c r="A3508" s="32">
        <v>3507.0</v>
      </c>
      <c r="B3508" s="32" t="s">
        <v>4389</v>
      </c>
      <c r="C3508" s="32" t="s">
        <v>184</v>
      </c>
      <c r="D3508" s="32" t="s">
        <v>325</v>
      </c>
      <c r="E3508" s="32" t="s">
        <v>4017</v>
      </c>
      <c r="F3508" s="32" t="s">
        <v>368</v>
      </c>
      <c r="G3508" s="32" t="s">
        <v>463</v>
      </c>
    </row>
    <row r="3509" ht="16.5" customHeight="1">
      <c r="A3509" s="32">
        <v>3508.0</v>
      </c>
      <c r="B3509" s="32" t="s">
        <v>4390</v>
      </c>
      <c r="C3509" s="32" t="s">
        <v>184</v>
      </c>
      <c r="D3509" s="32" t="s">
        <v>325</v>
      </c>
      <c r="E3509" s="32" t="s">
        <v>4017</v>
      </c>
      <c r="F3509" s="32" t="s">
        <v>368</v>
      </c>
      <c r="G3509" s="32" t="s">
        <v>463</v>
      </c>
    </row>
    <row r="3510" ht="16.5" customHeight="1">
      <c r="A3510" s="32">
        <v>3509.0</v>
      </c>
      <c r="B3510" s="32" t="s">
        <v>4391</v>
      </c>
      <c r="C3510" s="32" t="s">
        <v>184</v>
      </c>
      <c r="D3510" s="32" t="s">
        <v>228</v>
      </c>
      <c r="E3510" s="32" t="s">
        <v>4017</v>
      </c>
      <c r="F3510" s="32" t="s">
        <v>229</v>
      </c>
      <c r="G3510" s="32" t="s">
        <v>230</v>
      </c>
    </row>
    <row r="3511" ht="16.5" customHeight="1">
      <c r="A3511" s="32">
        <v>3510.0</v>
      </c>
      <c r="B3511" s="32" t="s">
        <v>4392</v>
      </c>
      <c r="C3511" s="32" t="s">
        <v>184</v>
      </c>
      <c r="D3511" s="32" t="s">
        <v>228</v>
      </c>
      <c r="E3511" s="32" t="s">
        <v>4017</v>
      </c>
      <c r="F3511" s="32" t="s">
        <v>229</v>
      </c>
      <c r="G3511" s="32" t="s">
        <v>230</v>
      </c>
    </row>
    <row r="3512" ht="16.5" customHeight="1">
      <c r="A3512" s="32">
        <v>3511.0</v>
      </c>
      <c r="B3512" s="32" t="s">
        <v>4393</v>
      </c>
      <c r="C3512" s="32" t="s">
        <v>184</v>
      </c>
      <c r="D3512" s="32" t="s">
        <v>185</v>
      </c>
      <c r="E3512" s="32" t="s">
        <v>4017</v>
      </c>
    </row>
    <row r="3513" ht="16.5" customHeight="1">
      <c r="A3513" s="32">
        <v>3512.0</v>
      </c>
      <c r="B3513" s="32" t="s">
        <v>4394</v>
      </c>
      <c r="C3513" s="32" t="s">
        <v>184</v>
      </c>
      <c r="D3513" s="32" t="s">
        <v>185</v>
      </c>
      <c r="E3513" s="32" t="s">
        <v>4017</v>
      </c>
      <c r="F3513" s="32" t="s">
        <v>189</v>
      </c>
      <c r="G3513" s="32" t="s">
        <v>902</v>
      </c>
    </row>
    <row r="3514" ht="16.5" customHeight="1">
      <c r="A3514" s="32">
        <v>3513.0</v>
      </c>
      <c r="B3514" s="32" t="s">
        <v>4395</v>
      </c>
      <c r="C3514" s="32" t="s">
        <v>184</v>
      </c>
      <c r="D3514" s="32" t="s">
        <v>185</v>
      </c>
      <c r="E3514" s="32" t="s">
        <v>4017</v>
      </c>
    </row>
    <row r="3515" ht="16.5" customHeight="1">
      <c r="A3515" s="32">
        <v>3514.0</v>
      </c>
      <c r="B3515" s="32" t="s">
        <v>4396</v>
      </c>
      <c r="C3515" s="32" t="s">
        <v>184</v>
      </c>
      <c r="D3515" s="32" t="s">
        <v>325</v>
      </c>
      <c r="E3515" s="32" t="s">
        <v>4017</v>
      </c>
      <c r="F3515" s="32" t="s">
        <v>368</v>
      </c>
      <c r="G3515" s="32" t="s">
        <v>463</v>
      </c>
    </row>
    <row r="3516" ht="16.5" customHeight="1">
      <c r="A3516" s="32">
        <v>3515.0</v>
      </c>
      <c r="B3516" s="32" t="s">
        <v>4397</v>
      </c>
      <c r="C3516" s="32" t="s">
        <v>184</v>
      </c>
      <c r="D3516" s="32" t="s">
        <v>325</v>
      </c>
      <c r="E3516" s="32" t="s">
        <v>4017</v>
      </c>
    </row>
    <row r="3517" ht="16.5" customHeight="1">
      <c r="A3517" s="32">
        <v>3516.0</v>
      </c>
      <c r="B3517" s="32" t="s">
        <v>4398</v>
      </c>
      <c r="C3517" s="32" t="s">
        <v>184</v>
      </c>
      <c r="D3517" s="32" t="s">
        <v>228</v>
      </c>
      <c r="E3517" s="32" t="s">
        <v>4017</v>
      </c>
      <c r="F3517" s="32" t="s">
        <v>544</v>
      </c>
      <c r="G3517" s="32" t="s">
        <v>713</v>
      </c>
    </row>
    <row r="3518" ht="16.5" customHeight="1">
      <c r="A3518" s="32">
        <v>3517.0</v>
      </c>
      <c r="B3518" s="32" t="s">
        <v>4399</v>
      </c>
      <c r="C3518" s="32" t="s">
        <v>184</v>
      </c>
      <c r="D3518" s="32" t="s">
        <v>234</v>
      </c>
      <c r="E3518" s="32" t="s">
        <v>4017</v>
      </c>
      <c r="F3518" s="32" t="s">
        <v>347</v>
      </c>
      <c r="G3518" s="32" t="s">
        <v>382</v>
      </c>
    </row>
    <row r="3519" ht="16.5" customHeight="1">
      <c r="A3519" s="32">
        <v>3518.0</v>
      </c>
      <c r="B3519" s="32" t="s">
        <v>4400</v>
      </c>
      <c r="C3519" s="32" t="s">
        <v>184</v>
      </c>
      <c r="D3519" s="32" t="s">
        <v>234</v>
      </c>
      <c r="E3519" s="32" t="s">
        <v>4017</v>
      </c>
      <c r="F3519" s="32" t="s">
        <v>347</v>
      </c>
      <c r="G3519" s="32" t="s">
        <v>382</v>
      </c>
    </row>
    <row r="3520" ht="16.5" customHeight="1">
      <c r="A3520" s="32">
        <v>3519.0</v>
      </c>
      <c r="B3520" s="32" t="s">
        <v>4401</v>
      </c>
      <c r="C3520" s="32" t="s">
        <v>184</v>
      </c>
      <c r="D3520" s="32" t="s">
        <v>192</v>
      </c>
      <c r="E3520" s="32" t="s">
        <v>4017</v>
      </c>
      <c r="F3520" s="32" t="s">
        <v>238</v>
      </c>
      <c r="G3520" s="32" t="s">
        <v>239</v>
      </c>
    </row>
    <row r="3521" ht="16.5" customHeight="1">
      <c r="A3521" s="32">
        <v>3520.0</v>
      </c>
      <c r="B3521" s="32" t="s">
        <v>4402</v>
      </c>
      <c r="C3521" s="32" t="s">
        <v>184</v>
      </c>
      <c r="D3521" s="32" t="s">
        <v>285</v>
      </c>
      <c r="E3521" s="32" t="s">
        <v>4017</v>
      </c>
    </row>
    <row r="3522" ht="16.5" customHeight="1">
      <c r="A3522" s="32">
        <v>3521.0</v>
      </c>
      <c r="B3522" s="32" t="s">
        <v>4403</v>
      </c>
      <c r="C3522" s="32" t="s">
        <v>184</v>
      </c>
      <c r="D3522" s="32" t="s">
        <v>285</v>
      </c>
      <c r="E3522" s="32" t="s">
        <v>186</v>
      </c>
      <c r="F3522" s="32" t="s">
        <v>4404</v>
      </c>
    </row>
    <row r="3523" ht="16.5" customHeight="1">
      <c r="A3523" s="32">
        <v>3522.0</v>
      </c>
      <c r="B3523" s="32" t="s">
        <v>4405</v>
      </c>
      <c r="C3523" s="32" t="s">
        <v>184</v>
      </c>
      <c r="D3523" s="32" t="s">
        <v>254</v>
      </c>
      <c r="E3523" s="32" t="s">
        <v>222</v>
      </c>
      <c r="F3523" s="32" t="s">
        <v>260</v>
      </c>
      <c r="G3523" s="32" t="s">
        <v>2577</v>
      </c>
    </row>
    <row r="3524" ht="16.5" customHeight="1">
      <c r="A3524" s="32">
        <v>3523.0</v>
      </c>
      <c r="B3524" s="32" t="s">
        <v>4406</v>
      </c>
      <c r="C3524" s="32" t="s">
        <v>184</v>
      </c>
      <c r="D3524" s="32" t="s">
        <v>254</v>
      </c>
      <c r="E3524" s="32" t="s">
        <v>222</v>
      </c>
      <c r="F3524" s="32" t="s">
        <v>260</v>
      </c>
      <c r="G3524" s="32" t="s">
        <v>4407</v>
      </c>
    </row>
    <row r="3525" ht="16.5" customHeight="1">
      <c r="A3525" s="32">
        <v>3524.0</v>
      </c>
      <c r="B3525" s="32" t="s">
        <v>4408</v>
      </c>
      <c r="C3525" s="32" t="s">
        <v>184</v>
      </c>
      <c r="D3525" s="32" t="s">
        <v>185</v>
      </c>
      <c r="E3525" s="32" t="s">
        <v>255</v>
      </c>
      <c r="F3525" s="32" t="s">
        <v>2845</v>
      </c>
      <c r="G3525" s="32" t="s">
        <v>4409</v>
      </c>
    </row>
    <row r="3526" ht="16.5" customHeight="1">
      <c r="A3526" s="32">
        <v>3525.0</v>
      </c>
      <c r="B3526" s="32" t="s">
        <v>4410</v>
      </c>
      <c r="C3526" s="32" t="s">
        <v>184</v>
      </c>
      <c r="D3526" s="35" t="s">
        <v>1798</v>
      </c>
      <c r="E3526" s="32" t="s">
        <v>255</v>
      </c>
      <c r="F3526" s="32" t="s">
        <v>4411</v>
      </c>
    </row>
    <row r="3527" ht="16.5" customHeight="1">
      <c r="A3527" s="32">
        <v>3526.0</v>
      </c>
      <c r="B3527" s="32" t="s">
        <v>4412</v>
      </c>
      <c r="C3527" s="32" t="s">
        <v>184</v>
      </c>
      <c r="D3527" s="32" t="s">
        <v>185</v>
      </c>
      <c r="E3527" s="32" t="s">
        <v>255</v>
      </c>
    </row>
    <row r="3528" ht="16.5" customHeight="1">
      <c r="A3528" s="32">
        <v>3527.0</v>
      </c>
      <c r="B3528" s="32" t="s">
        <v>4413</v>
      </c>
      <c r="C3528" s="32" t="s">
        <v>184</v>
      </c>
      <c r="D3528" s="32" t="s">
        <v>254</v>
      </c>
      <c r="E3528" s="32" t="s">
        <v>255</v>
      </c>
      <c r="F3528" s="32" t="s">
        <v>257</v>
      </c>
    </row>
    <row r="3529" ht="16.5" customHeight="1">
      <c r="A3529" s="32">
        <v>3528.0</v>
      </c>
      <c r="B3529" s="32" t="s">
        <v>4414</v>
      </c>
      <c r="C3529" s="32" t="s">
        <v>184</v>
      </c>
      <c r="D3529" s="35" t="s">
        <v>294</v>
      </c>
      <c r="E3529" s="32" t="s">
        <v>255</v>
      </c>
      <c r="F3529" s="32" t="s">
        <v>4415</v>
      </c>
      <c r="G3529" s="32" t="s">
        <v>4416</v>
      </c>
    </row>
    <row r="3530" ht="16.5" customHeight="1">
      <c r="A3530" s="32">
        <v>3529.0</v>
      </c>
      <c r="B3530" s="32" t="s">
        <v>4417</v>
      </c>
      <c r="C3530" s="32" t="s">
        <v>184</v>
      </c>
      <c r="D3530" s="35" t="s">
        <v>294</v>
      </c>
      <c r="E3530" s="32" t="s">
        <v>255</v>
      </c>
      <c r="F3530" s="32" t="s">
        <v>189</v>
      </c>
      <c r="G3530" s="32" t="s">
        <v>314</v>
      </c>
    </row>
    <row r="3531" ht="16.5" customHeight="1">
      <c r="A3531" s="32">
        <v>3530.0</v>
      </c>
      <c r="B3531" s="32" t="s">
        <v>4418</v>
      </c>
      <c r="C3531" s="32" t="s">
        <v>184</v>
      </c>
      <c r="D3531" s="35" t="s">
        <v>294</v>
      </c>
      <c r="E3531" s="32" t="s">
        <v>255</v>
      </c>
      <c r="F3531" s="32" t="s">
        <v>189</v>
      </c>
      <c r="G3531" s="32" t="s">
        <v>314</v>
      </c>
    </row>
    <row r="3532" ht="16.5" customHeight="1">
      <c r="A3532" s="32">
        <v>3531.0</v>
      </c>
      <c r="B3532" s="32" t="s">
        <v>4419</v>
      </c>
      <c r="C3532" s="32" t="s">
        <v>184</v>
      </c>
      <c r="D3532" s="32" t="s">
        <v>185</v>
      </c>
      <c r="E3532" s="32" t="s">
        <v>255</v>
      </c>
      <c r="F3532" s="32" t="s">
        <v>189</v>
      </c>
      <c r="G3532" s="32" t="s">
        <v>190</v>
      </c>
    </row>
    <row r="3533" ht="16.5" customHeight="1">
      <c r="A3533" s="32">
        <v>3532.0</v>
      </c>
      <c r="B3533" s="32" t="s">
        <v>4420</v>
      </c>
      <c r="C3533" s="32" t="s">
        <v>184</v>
      </c>
      <c r="D3533" s="32" t="s">
        <v>185</v>
      </c>
      <c r="E3533" s="32" t="s">
        <v>255</v>
      </c>
      <c r="F3533" s="32" t="s">
        <v>189</v>
      </c>
      <c r="G3533" s="32" t="s">
        <v>190</v>
      </c>
    </row>
    <row r="3534" ht="16.5" customHeight="1">
      <c r="A3534" s="32">
        <v>3533.0</v>
      </c>
      <c r="B3534" s="32" t="s">
        <v>4421</v>
      </c>
      <c r="C3534" s="32" t="s">
        <v>184</v>
      </c>
      <c r="D3534" s="35" t="s">
        <v>294</v>
      </c>
      <c r="E3534" s="32" t="s">
        <v>255</v>
      </c>
      <c r="F3534" s="32" t="s">
        <v>189</v>
      </c>
      <c r="G3534" s="32" t="s">
        <v>190</v>
      </c>
    </row>
    <row r="3535" ht="16.5" customHeight="1">
      <c r="A3535" s="32">
        <v>3534.0</v>
      </c>
      <c r="B3535" s="32" t="s">
        <v>4422</v>
      </c>
      <c r="C3535" s="32" t="s">
        <v>184</v>
      </c>
      <c r="D3535" s="35" t="s">
        <v>294</v>
      </c>
      <c r="E3535" s="32" t="s">
        <v>255</v>
      </c>
      <c r="F3535" s="32" t="s">
        <v>189</v>
      </c>
      <c r="G3535" s="32" t="s">
        <v>190</v>
      </c>
    </row>
    <row r="3536" ht="16.5" customHeight="1">
      <c r="A3536" s="32">
        <v>3535.0</v>
      </c>
      <c r="B3536" s="32" t="s">
        <v>4423</v>
      </c>
      <c r="C3536" s="32" t="s">
        <v>184</v>
      </c>
      <c r="D3536" s="32" t="s">
        <v>254</v>
      </c>
      <c r="E3536" s="32" t="s">
        <v>255</v>
      </c>
    </row>
    <row r="3537" ht="16.5" customHeight="1">
      <c r="A3537" s="32">
        <v>3536.0</v>
      </c>
      <c r="B3537" s="32" t="s">
        <v>75</v>
      </c>
      <c r="C3537" s="32" t="s">
        <v>184</v>
      </c>
      <c r="D3537" s="32" t="s">
        <v>185</v>
      </c>
      <c r="E3537" s="32" t="s">
        <v>255</v>
      </c>
      <c r="F3537" s="32" t="s">
        <v>189</v>
      </c>
      <c r="G3537" s="32" t="s">
        <v>190</v>
      </c>
    </row>
    <row r="3538" ht="16.5" customHeight="1">
      <c r="A3538" s="32">
        <v>3537.0</v>
      </c>
      <c r="B3538" s="32" t="s">
        <v>4424</v>
      </c>
      <c r="C3538" s="32" t="s">
        <v>184</v>
      </c>
      <c r="D3538" s="32" t="s">
        <v>285</v>
      </c>
      <c r="E3538" s="32" t="s">
        <v>255</v>
      </c>
      <c r="F3538" s="32" t="s">
        <v>189</v>
      </c>
      <c r="G3538" s="32" t="s">
        <v>190</v>
      </c>
    </row>
    <row r="3539" ht="16.5" customHeight="1">
      <c r="A3539" s="32">
        <v>3538.0</v>
      </c>
      <c r="B3539" s="32" t="s">
        <v>4425</v>
      </c>
      <c r="C3539" s="32" t="s">
        <v>184</v>
      </c>
      <c r="D3539" s="32" t="s">
        <v>285</v>
      </c>
      <c r="E3539" s="32" t="s">
        <v>255</v>
      </c>
      <c r="F3539" s="32" t="s">
        <v>189</v>
      </c>
      <c r="G3539" s="32" t="s">
        <v>190</v>
      </c>
    </row>
    <row r="3540" ht="16.5" customHeight="1">
      <c r="A3540" s="32">
        <v>3539.0</v>
      </c>
      <c r="B3540" s="32" t="s">
        <v>4426</v>
      </c>
      <c r="C3540" s="32" t="s">
        <v>184</v>
      </c>
      <c r="D3540" s="32" t="s">
        <v>285</v>
      </c>
      <c r="E3540" s="32" t="s">
        <v>291</v>
      </c>
      <c r="F3540" s="32" t="s">
        <v>189</v>
      </c>
      <c r="G3540" s="32" t="s">
        <v>190</v>
      </c>
    </row>
    <row r="3541" ht="16.5" customHeight="1">
      <c r="A3541" s="32">
        <v>3540.0</v>
      </c>
      <c r="B3541" s="32" t="s">
        <v>4427</v>
      </c>
      <c r="C3541" s="32" t="s">
        <v>184</v>
      </c>
      <c r="D3541" s="35" t="s">
        <v>294</v>
      </c>
      <c r="E3541" s="32" t="s">
        <v>255</v>
      </c>
    </row>
    <row r="3542" ht="16.5" customHeight="1">
      <c r="A3542" s="32">
        <v>3541.0</v>
      </c>
      <c r="B3542" s="32" t="s">
        <v>4428</v>
      </c>
      <c r="C3542" s="32" t="s">
        <v>184</v>
      </c>
      <c r="D3542" s="32" t="s">
        <v>325</v>
      </c>
      <c r="E3542" s="32" t="s">
        <v>255</v>
      </c>
      <c r="F3542" s="32" t="s">
        <v>368</v>
      </c>
      <c r="G3542" s="32" t="s">
        <v>4429</v>
      </c>
    </row>
    <row r="3543" ht="16.5" customHeight="1">
      <c r="A3543" s="32">
        <v>3542.0</v>
      </c>
      <c r="B3543" s="32" t="s">
        <v>4430</v>
      </c>
      <c r="C3543" s="32" t="s">
        <v>184</v>
      </c>
      <c r="D3543" s="32" t="s">
        <v>285</v>
      </c>
      <c r="E3543" s="32" t="s">
        <v>186</v>
      </c>
    </row>
    <row r="3544" ht="16.5" customHeight="1">
      <c r="A3544" s="32">
        <v>3543.0</v>
      </c>
      <c r="B3544" s="32" t="s">
        <v>4431</v>
      </c>
      <c r="C3544" s="32" t="s">
        <v>184</v>
      </c>
      <c r="D3544" s="32" t="s">
        <v>285</v>
      </c>
      <c r="E3544" s="32" t="s">
        <v>186</v>
      </c>
      <c r="F3544" s="32" t="s">
        <v>189</v>
      </c>
      <c r="G3544" s="32" t="s">
        <v>2046</v>
      </c>
    </row>
    <row r="3545" ht="16.5" customHeight="1">
      <c r="A3545" s="32">
        <v>3544.0</v>
      </c>
      <c r="B3545" s="32" t="s">
        <v>4432</v>
      </c>
      <c r="C3545" s="32" t="s">
        <v>184</v>
      </c>
      <c r="D3545" s="32" t="s">
        <v>285</v>
      </c>
      <c r="E3545" s="32" t="s">
        <v>316</v>
      </c>
      <c r="F3545" s="32" t="s">
        <v>189</v>
      </c>
      <c r="G3545" s="32" t="s">
        <v>190</v>
      </c>
    </row>
    <row r="3546" ht="16.5" customHeight="1">
      <c r="A3546" s="32">
        <v>3545.0</v>
      </c>
      <c r="B3546" s="32" t="s">
        <v>4433</v>
      </c>
      <c r="C3546" s="32" t="s">
        <v>184</v>
      </c>
      <c r="D3546" s="32" t="s">
        <v>321</v>
      </c>
      <c r="E3546" s="32" t="s">
        <v>255</v>
      </c>
    </row>
    <row r="3547" ht="16.5" customHeight="1">
      <c r="A3547" s="32">
        <v>3546.0</v>
      </c>
      <c r="B3547" s="32" t="s">
        <v>4434</v>
      </c>
      <c r="C3547" s="32" t="s">
        <v>184</v>
      </c>
      <c r="D3547" s="32" t="s">
        <v>285</v>
      </c>
      <c r="E3547" s="32" t="s">
        <v>255</v>
      </c>
      <c r="F3547" s="32" t="s">
        <v>295</v>
      </c>
      <c r="G3547" s="32" t="s">
        <v>314</v>
      </c>
    </row>
    <row r="3548" ht="16.5" customHeight="1">
      <c r="A3548" s="32">
        <v>3547.0</v>
      </c>
      <c r="B3548" s="32" t="s">
        <v>4435</v>
      </c>
      <c r="C3548" s="32" t="s">
        <v>184</v>
      </c>
      <c r="D3548" s="32" t="s">
        <v>285</v>
      </c>
      <c r="E3548" s="32" t="s">
        <v>255</v>
      </c>
    </row>
    <row r="3549" ht="16.5" customHeight="1">
      <c r="A3549" s="32">
        <v>3548.0</v>
      </c>
      <c r="B3549" s="32" t="s">
        <v>4436</v>
      </c>
      <c r="C3549" s="32" t="s">
        <v>184</v>
      </c>
      <c r="D3549" s="32" t="s">
        <v>254</v>
      </c>
      <c r="E3549" s="32" t="s">
        <v>399</v>
      </c>
      <c r="F3549" s="32" t="s">
        <v>256</v>
      </c>
      <c r="G3549" s="32" t="s">
        <v>257</v>
      </c>
    </row>
    <row r="3550" ht="16.5" customHeight="1">
      <c r="A3550" s="32">
        <v>3549.0</v>
      </c>
      <c r="B3550" s="32" t="s">
        <v>4437</v>
      </c>
      <c r="C3550" s="32" t="s">
        <v>184</v>
      </c>
      <c r="D3550" s="32" t="s">
        <v>254</v>
      </c>
      <c r="E3550" s="32" t="s">
        <v>399</v>
      </c>
    </row>
    <row r="3551" ht="16.5" customHeight="1">
      <c r="A3551" s="32">
        <v>3550.0</v>
      </c>
      <c r="B3551" s="32" t="s">
        <v>4438</v>
      </c>
      <c r="C3551" s="32" t="s">
        <v>184</v>
      </c>
      <c r="D3551" s="32" t="s">
        <v>185</v>
      </c>
      <c r="E3551" s="32" t="s">
        <v>399</v>
      </c>
      <c r="F3551" s="32" t="s">
        <v>267</v>
      </c>
      <c r="G3551" s="32" t="s">
        <v>188</v>
      </c>
    </row>
    <row r="3552" ht="16.5" customHeight="1">
      <c r="A3552" s="32">
        <v>3551.0</v>
      </c>
      <c r="B3552" s="32" t="s">
        <v>4439</v>
      </c>
      <c r="C3552" s="32" t="s">
        <v>184</v>
      </c>
      <c r="D3552" s="32" t="s">
        <v>185</v>
      </c>
      <c r="E3552" s="32" t="s">
        <v>399</v>
      </c>
      <c r="F3552" s="32" t="s">
        <v>305</v>
      </c>
      <c r="G3552" s="32" t="s">
        <v>4440</v>
      </c>
    </row>
    <row r="3553" ht="16.5" customHeight="1">
      <c r="A3553" s="32">
        <v>3552.0</v>
      </c>
      <c r="B3553" s="32" t="s">
        <v>4441</v>
      </c>
      <c r="C3553" s="32" t="s">
        <v>184</v>
      </c>
      <c r="D3553" s="32" t="s">
        <v>185</v>
      </c>
      <c r="E3553" s="32" t="s">
        <v>399</v>
      </c>
      <c r="F3553" s="32" t="s">
        <v>305</v>
      </c>
      <c r="G3553" s="32" t="s">
        <v>4442</v>
      </c>
    </row>
    <row r="3554" ht="16.5" customHeight="1">
      <c r="A3554" s="32">
        <v>3553.0</v>
      </c>
      <c r="B3554" s="32" t="s">
        <v>4443</v>
      </c>
      <c r="C3554" s="32" t="s">
        <v>184</v>
      </c>
      <c r="D3554" s="32" t="s">
        <v>254</v>
      </c>
      <c r="E3554" s="32" t="s">
        <v>399</v>
      </c>
      <c r="F3554" s="32" t="s">
        <v>305</v>
      </c>
      <c r="G3554" s="32" t="s">
        <v>1002</v>
      </c>
    </row>
    <row r="3555" ht="16.5" customHeight="1">
      <c r="A3555" s="32">
        <v>3554.0</v>
      </c>
      <c r="B3555" s="32" t="s">
        <v>4444</v>
      </c>
      <c r="C3555" s="32" t="s">
        <v>184</v>
      </c>
      <c r="D3555" s="32" t="s">
        <v>285</v>
      </c>
      <c r="E3555" s="32" t="s">
        <v>399</v>
      </c>
      <c r="F3555" s="32" t="s">
        <v>189</v>
      </c>
      <c r="G3555" s="32" t="s">
        <v>190</v>
      </c>
    </row>
    <row r="3556" ht="16.5" customHeight="1">
      <c r="A3556" s="32">
        <v>3555.0</v>
      </c>
      <c r="B3556" s="32" t="s">
        <v>4445</v>
      </c>
      <c r="C3556" s="32" t="s">
        <v>184</v>
      </c>
      <c r="D3556" s="32" t="s">
        <v>254</v>
      </c>
      <c r="E3556" s="32" t="s">
        <v>255</v>
      </c>
    </row>
    <row r="3557" ht="16.5" customHeight="1">
      <c r="A3557" s="32">
        <v>3556.0</v>
      </c>
      <c r="B3557" s="32" t="s">
        <v>4446</v>
      </c>
      <c r="C3557" s="32" t="s">
        <v>184</v>
      </c>
      <c r="D3557" s="32" t="s">
        <v>285</v>
      </c>
      <c r="E3557" s="32" t="s">
        <v>255</v>
      </c>
      <c r="F3557" s="32" t="s">
        <v>189</v>
      </c>
      <c r="G3557" s="32" t="s">
        <v>190</v>
      </c>
    </row>
    <row r="3558" ht="16.5" customHeight="1">
      <c r="A3558" s="32">
        <v>3557.0</v>
      </c>
      <c r="B3558" s="32" t="s">
        <v>4447</v>
      </c>
      <c r="C3558" s="32" t="s">
        <v>184</v>
      </c>
      <c r="D3558" s="32" t="s">
        <v>254</v>
      </c>
      <c r="E3558" s="32" t="s">
        <v>255</v>
      </c>
    </row>
    <row r="3559" ht="16.5" customHeight="1">
      <c r="A3559" s="32">
        <v>3558.0</v>
      </c>
      <c r="B3559" s="32" t="s">
        <v>4448</v>
      </c>
      <c r="C3559" s="32" t="s">
        <v>184</v>
      </c>
      <c r="D3559" s="32" t="s">
        <v>254</v>
      </c>
      <c r="E3559" s="32" t="s">
        <v>255</v>
      </c>
      <c r="F3559" s="32" t="s">
        <v>257</v>
      </c>
      <c r="G3559" s="32" t="s">
        <v>256</v>
      </c>
    </row>
    <row r="3560" ht="16.5" customHeight="1">
      <c r="A3560" s="32">
        <v>3559.0</v>
      </c>
      <c r="B3560" s="32" t="s">
        <v>4449</v>
      </c>
      <c r="C3560" s="32" t="s">
        <v>184</v>
      </c>
      <c r="D3560" s="32" t="s">
        <v>185</v>
      </c>
      <c r="E3560" s="32" t="s">
        <v>255</v>
      </c>
    </row>
    <row r="3561" ht="16.5" customHeight="1">
      <c r="A3561" s="32">
        <v>3560.0</v>
      </c>
      <c r="B3561" s="32" t="s">
        <v>4450</v>
      </c>
      <c r="C3561" s="32" t="s">
        <v>184</v>
      </c>
      <c r="D3561" s="32" t="s">
        <v>228</v>
      </c>
      <c r="E3561" s="32" t="s">
        <v>186</v>
      </c>
      <c r="F3561" s="32" t="s">
        <v>229</v>
      </c>
      <c r="G3561" s="32" t="s">
        <v>230</v>
      </c>
    </row>
    <row r="3562" ht="16.5" customHeight="1">
      <c r="A3562" s="32">
        <v>3561.0</v>
      </c>
      <c r="B3562" s="32" t="s">
        <v>4451</v>
      </c>
      <c r="C3562" s="32" t="s">
        <v>184</v>
      </c>
      <c r="D3562" s="32" t="s">
        <v>185</v>
      </c>
      <c r="E3562" s="32" t="s">
        <v>255</v>
      </c>
      <c r="F3562" s="32" t="s">
        <v>3609</v>
      </c>
      <c r="G3562" s="32" t="s">
        <v>1202</v>
      </c>
    </row>
    <row r="3563" ht="16.5" customHeight="1">
      <c r="A3563" s="32">
        <v>3562.0</v>
      </c>
      <c r="B3563" s="32" t="s">
        <v>4452</v>
      </c>
      <c r="C3563" s="32" t="s">
        <v>184</v>
      </c>
      <c r="D3563" s="32" t="s">
        <v>325</v>
      </c>
      <c r="E3563" s="32" t="s">
        <v>255</v>
      </c>
      <c r="F3563" s="32" t="s">
        <v>368</v>
      </c>
      <c r="G3563" s="32" t="s">
        <v>463</v>
      </c>
    </row>
    <row r="3564" ht="16.5" customHeight="1">
      <c r="A3564" s="32">
        <v>3563.0</v>
      </c>
      <c r="B3564" s="32" t="s">
        <v>4453</v>
      </c>
      <c r="C3564" s="32" t="s">
        <v>184</v>
      </c>
      <c r="D3564" s="32" t="s">
        <v>325</v>
      </c>
      <c r="E3564" s="32" t="s">
        <v>255</v>
      </c>
      <c r="F3564" s="32" t="s">
        <v>368</v>
      </c>
      <c r="G3564" s="32" t="s">
        <v>463</v>
      </c>
    </row>
    <row r="3565" ht="16.5" customHeight="1">
      <c r="A3565" s="32">
        <v>3564.0</v>
      </c>
      <c r="B3565" s="32" t="s">
        <v>4454</v>
      </c>
      <c r="C3565" s="32" t="s">
        <v>184</v>
      </c>
      <c r="D3565" s="32" t="s">
        <v>325</v>
      </c>
      <c r="E3565" s="32" t="s">
        <v>255</v>
      </c>
      <c r="F3565" s="32" t="s">
        <v>552</v>
      </c>
      <c r="G3565" s="32" t="s">
        <v>463</v>
      </c>
    </row>
    <row r="3566" ht="16.5" customHeight="1">
      <c r="A3566" s="32">
        <v>3565.0</v>
      </c>
      <c r="B3566" s="32" t="s">
        <v>4455</v>
      </c>
      <c r="C3566" s="32" t="s">
        <v>184</v>
      </c>
      <c r="D3566" s="32" t="s">
        <v>325</v>
      </c>
      <c r="E3566" s="32" t="s">
        <v>255</v>
      </c>
    </row>
    <row r="3567" ht="16.5" customHeight="1">
      <c r="A3567" s="32">
        <v>3566.0</v>
      </c>
      <c r="B3567" s="32" t="s">
        <v>4456</v>
      </c>
      <c r="C3567" s="32" t="s">
        <v>184</v>
      </c>
      <c r="D3567" s="32" t="s">
        <v>325</v>
      </c>
      <c r="E3567" s="32" t="s">
        <v>255</v>
      </c>
      <c r="F3567" s="32" t="s">
        <v>368</v>
      </c>
      <c r="G3567" s="32" t="s">
        <v>463</v>
      </c>
    </row>
    <row r="3568" ht="16.5" customHeight="1">
      <c r="A3568" s="32">
        <v>3567.0</v>
      </c>
      <c r="B3568" s="32" t="s">
        <v>4457</v>
      </c>
      <c r="C3568" s="32" t="s">
        <v>184</v>
      </c>
      <c r="D3568" s="32" t="s">
        <v>325</v>
      </c>
      <c r="E3568" s="32" t="s">
        <v>255</v>
      </c>
      <c r="F3568" s="32" t="s">
        <v>561</v>
      </c>
    </row>
    <row r="3569" ht="16.5" customHeight="1">
      <c r="A3569" s="32">
        <v>3568.0</v>
      </c>
      <c r="B3569" s="32" t="s">
        <v>4458</v>
      </c>
      <c r="C3569" s="32" t="s">
        <v>184</v>
      </c>
      <c r="D3569" s="32" t="s">
        <v>214</v>
      </c>
      <c r="E3569" s="32" t="s">
        <v>255</v>
      </c>
    </row>
    <row r="3570" ht="16.5" customHeight="1">
      <c r="A3570" s="32">
        <v>3569.0</v>
      </c>
      <c r="B3570" s="32" t="s">
        <v>4459</v>
      </c>
      <c r="C3570" s="32" t="s">
        <v>184</v>
      </c>
      <c r="D3570" s="32" t="s">
        <v>185</v>
      </c>
      <c r="E3570" s="32" t="s">
        <v>255</v>
      </c>
      <c r="F3570" s="32" t="s">
        <v>508</v>
      </c>
    </row>
    <row r="3571" ht="16.5" customHeight="1">
      <c r="A3571" s="32">
        <v>3570.0</v>
      </c>
      <c r="B3571" s="32" t="s">
        <v>4460</v>
      </c>
      <c r="C3571" s="32" t="s">
        <v>184</v>
      </c>
      <c r="D3571" s="32" t="s">
        <v>185</v>
      </c>
      <c r="E3571" s="32" t="s">
        <v>255</v>
      </c>
      <c r="F3571" s="32" t="s">
        <v>508</v>
      </c>
    </row>
    <row r="3572" ht="16.5" customHeight="1">
      <c r="A3572" s="32">
        <v>3571.0</v>
      </c>
      <c r="B3572" s="32" t="s">
        <v>4461</v>
      </c>
      <c r="C3572" s="32" t="s">
        <v>184</v>
      </c>
      <c r="D3572" s="32" t="s">
        <v>185</v>
      </c>
      <c r="E3572" s="32" t="s">
        <v>255</v>
      </c>
      <c r="F3572" s="32" t="s">
        <v>514</v>
      </c>
      <c r="G3572" s="32" t="s">
        <v>515</v>
      </c>
    </row>
    <row r="3573" ht="16.5" customHeight="1">
      <c r="A3573" s="32">
        <v>3572.0</v>
      </c>
      <c r="B3573" s="32" t="s">
        <v>4462</v>
      </c>
      <c r="C3573" s="32" t="s">
        <v>184</v>
      </c>
      <c r="D3573" s="32" t="s">
        <v>185</v>
      </c>
      <c r="E3573" s="32" t="s">
        <v>255</v>
      </c>
      <c r="F3573" s="32" t="s">
        <v>187</v>
      </c>
      <c r="G3573" s="32" t="s">
        <v>188</v>
      </c>
    </row>
    <row r="3574" ht="16.5" customHeight="1">
      <c r="A3574" s="32">
        <v>3573.0</v>
      </c>
      <c r="B3574" s="32" t="s">
        <v>4463</v>
      </c>
      <c r="C3574" s="32" t="s">
        <v>184</v>
      </c>
      <c r="D3574" s="32" t="s">
        <v>185</v>
      </c>
      <c r="E3574" s="32" t="s">
        <v>255</v>
      </c>
      <c r="F3574" s="32" t="s">
        <v>187</v>
      </c>
      <c r="G3574" s="32" t="s">
        <v>188</v>
      </c>
    </row>
    <row r="3575" ht="16.5" customHeight="1">
      <c r="A3575" s="32">
        <v>3574.0</v>
      </c>
      <c r="B3575" s="32" t="s">
        <v>4464</v>
      </c>
      <c r="C3575" s="32" t="s">
        <v>184</v>
      </c>
      <c r="D3575" s="32" t="s">
        <v>228</v>
      </c>
      <c r="E3575" s="32" t="s">
        <v>291</v>
      </c>
      <c r="F3575" s="32" t="s">
        <v>229</v>
      </c>
      <c r="G3575" s="32" t="s">
        <v>244</v>
      </c>
    </row>
    <row r="3576" ht="16.5" customHeight="1">
      <c r="A3576" s="32">
        <v>3575.0</v>
      </c>
      <c r="B3576" s="32" t="s">
        <v>4465</v>
      </c>
      <c r="C3576" s="32" t="s">
        <v>184</v>
      </c>
      <c r="D3576" s="32" t="s">
        <v>185</v>
      </c>
      <c r="E3576" s="32" t="s">
        <v>255</v>
      </c>
      <c r="F3576" s="32" t="s">
        <v>2066</v>
      </c>
    </row>
    <row r="3577" ht="16.5" customHeight="1">
      <c r="A3577" s="32">
        <v>3576.0</v>
      </c>
      <c r="B3577" s="32" t="s">
        <v>4466</v>
      </c>
      <c r="C3577" s="32" t="s">
        <v>184</v>
      </c>
      <c r="D3577" s="32" t="s">
        <v>285</v>
      </c>
      <c r="E3577" s="32" t="s">
        <v>255</v>
      </c>
    </row>
    <row r="3578" ht="16.5" customHeight="1">
      <c r="A3578" s="32">
        <v>3577.0</v>
      </c>
      <c r="B3578" s="32" t="s">
        <v>4467</v>
      </c>
      <c r="C3578" s="32" t="s">
        <v>184</v>
      </c>
      <c r="D3578" s="32" t="s">
        <v>228</v>
      </c>
      <c r="E3578" s="32" t="s">
        <v>396</v>
      </c>
      <c r="F3578" s="32" t="s">
        <v>229</v>
      </c>
      <c r="G3578" s="32" t="s">
        <v>2400</v>
      </c>
    </row>
    <row r="3579" ht="16.5" customHeight="1">
      <c r="A3579" s="32">
        <v>3578.0</v>
      </c>
      <c r="B3579" s="32" t="s">
        <v>4468</v>
      </c>
      <c r="C3579" s="32" t="s">
        <v>184</v>
      </c>
      <c r="D3579" s="32" t="s">
        <v>254</v>
      </c>
      <c r="E3579" s="32" t="s">
        <v>255</v>
      </c>
      <c r="F3579" s="32" t="s">
        <v>257</v>
      </c>
      <c r="G3579" s="32" t="s">
        <v>271</v>
      </c>
    </row>
    <row r="3580" ht="16.5" customHeight="1">
      <c r="A3580" s="32">
        <v>3579.0</v>
      </c>
      <c r="B3580" s="32" t="s">
        <v>4468</v>
      </c>
      <c r="C3580" s="32" t="s">
        <v>184</v>
      </c>
      <c r="D3580" s="32" t="s">
        <v>254</v>
      </c>
      <c r="E3580" s="32" t="s">
        <v>255</v>
      </c>
      <c r="F3580" s="32" t="s">
        <v>257</v>
      </c>
      <c r="G3580" s="32" t="s">
        <v>271</v>
      </c>
    </row>
    <row r="3581" ht="16.5" customHeight="1">
      <c r="A3581" s="32">
        <v>3580.0</v>
      </c>
      <c r="B3581" s="32" t="s">
        <v>4469</v>
      </c>
      <c r="C3581" s="32" t="s">
        <v>184</v>
      </c>
      <c r="D3581" s="32" t="s">
        <v>254</v>
      </c>
      <c r="E3581" s="32" t="s">
        <v>255</v>
      </c>
      <c r="F3581" s="32" t="s">
        <v>257</v>
      </c>
      <c r="G3581" s="32" t="s">
        <v>271</v>
      </c>
    </row>
    <row r="3582" ht="16.5" customHeight="1">
      <c r="A3582" s="32">
        <v>3581.0</v>
      </c>
      <c r="B3582" s="32" t="s">
        <v>4470</v>
      </c>
      <c r="C3582" s="32" t="s">
        <v>184</v>
      </c>
      <c r="D3582" s="32" t="s">
        <v>185</v>
      </c>
      <c r="E3582" s="32" t="s">
        <v>255</v>
      </c>
      <c r="F3582" s="32" t="s">
        <v>4011</v>
      </c>
      <c r="G3582" s="32" t="s">
        <v>296</v>
      </c>
    </row>
    <row r="3583" ht="16.5" customHeight="1">
      <c r="A3583" s="32">
        <v>3582.0</v>
      </c>
      <c r="B3583" s="32" t="s">
        <v>4471</v>
      </c>
      <c r="C3583" s="32" t="s">
        <v>184</v>
      </c>
      <c r="D3583" s="32" t="s">
        <v>325</v>
      </c>
      <c r="E3583" s="32" t="s">
        <v>255</v>
      </c>
      <c r="F3583" s="32" t="s">
        <v>368</v>
      </c>
      <c r="G3583" s="32" t="s">
        <v>463</v>
      </c>
    </row>
    <row r="3584" ht="16.5" customHeight="1">
      <c r="A3584" s="32">
        <v>3583.0</v>
      </c>
      <c r="B3584" s="32" t="s">
        <v>4472</v>
      </c>
      <c r="C3584" s="32" t="s">
        <v>184</v>
      </c>
      <c r="D3584" s="32" t="s">
        <v>325</v>
      </c>
      <c r="E3584" s="32" t="s">
        <v>255</v>
      </c>
    </row>
    <row r="3585" ht="16.5" customHeight="1">
      <c r="A3585" s="32">
        <v>3584.0</v>
      </c>
      <c r="B3585" s="32" t="s">
        <v>4473</v>
      </c>
      <c r="C3585" s="32" t="s">
        <v>184</v>
      </c>
      <c r="D3585" s="32" t="s">
        <v>325</v>
      </c>
      <c r="E3585" s="32" t="s">
        <v>255</v>
      </c>
      <c r="F3585" s="32" t="s">
        <v>368</v>
      </c>
      <c r="G3585" s="32" t="s">
        <v>463</v>
      </c>
    </row>
    <row r="3586" ht="16.5" customHeight="1">
      <c r="A3586" s="32">
        <v>3585.0</v>
      </c>
      <c r="B3586" s="32" t="s">
        <v>4474</v>
      </c>
      <c r="C3586" s="32" t="s">
        <v>184</v>
      </c>
      <c r="D3586" s="32" t="s">
        <v>285</v>
      </c>
      <c r="E3586" s="32" t="s">
        <v>255</v>
      </c>
      <c r="F3586" s="32" t="s">
        <v>188</v>
      </c>
      <c r="G3586" s="32" t="s">
        <v>368</v>
      </c>
    </row>
    <row r="3587" ht="16.5" customHeight="1">
      <c r="A3587" s="32">
        <v>3586.0</v>
      </c>
      <c r="B3587" s="32" t="s">
        <v>4475</v>
      </c>
      <c r="C3587" s="32" t="s">
        <v>184</v>
      </c>
      <c r="D3587" s="32" t="s">
        <v>185</v>
      </c>
      <c r="E3587" s="32" t="s">
        <v>255</v>
      </c>
      <c r="F3587" s="32" t="s">
        <v>4476</v>
      </c>
      <c r="G3587" s="32" t="s">
        <v>1115</v>
      </c>
    </row>
    <row r="3588" ht="16.5" customHeight="1">
      <c r="A3588" s="32">
        <v>3587.0</v>
      </c>
      <c r="B3588" s="32" t="s">
        <v>4477</v>
      </c>
      <c r="C3588" s="32" t="s">
        <v>184</v>
      </c>
      <c r="D3588" s="32" t="s">
        <v>254</v>
      </c>
      <c r="E3588" s="32" t="s">
        <v>4478</v>
      </c>
      <c r="F3588" s="32" t="s">
        <v>305</v>
      </c>
      <c r="G3588" s="32" t="s">
        <v>1005</v>
      </c>
    </row>
    <row r="3589" ht="16.5" customHeight="1">
      <c r="A3589" s="32">
        <v>3588.0</v>
      </c>
      <c r="B3589" s="32" t="s">
        <v>4479</v>
      </c>
      <c r="C3589" s="32" t="s">
        <v>184</v>
      </c>
      <c r="D3589" s="32" t="s">
        <v>254</v>
      </c>
      <c r="E3589" s="32" t="s">
        <v>255</v>
      </c>
      <c r="F3589" s="32" t="s">
        <v>305</v>
      </c>
      <c r="G3589" s="32" t="s">
        <v>1005</v>
      </c>
    </row>
    <row r="3590" ht="16.5" customHeight="1">
      <c r="A3590" s="32">
        <v>3589.0</v>
      </c>
      <c r="B3590" s="32" t="s">
        <v>4480</v>
      </c>
      <c r="C3590" s="32" t="s">
        <v>184</v>
      </c>
      <c r="D3590" s="32" t="s">
        <v>254</v>
      </c>
      <c r="E3590" s="32" t="s">
        <v>255</v>
      </c>
    </row>
    <row r="3591" ht="16.5" customHeight="1">
      <c r="A3591" s="32">
        <v>3590.0</v>
      </c>
      <c r="B3591" s="32" t="s">
        <v>4481</v>
      </c>
      <c r="C3591" s="32" t="s">
        <v>184</v>
      </c>
      <c r="D3591" s="32" t="s">
        <v>254</v>
      </c>
      <c r="E3591" s="32" t="s">
        <v>255</v>
      </c>
      <c r="F3591" s="32" t="s">
        <v>263</v>
      </c>
      <c r="G3591" s="32" t="s">
        <v>4482</v>
      </c>
    </row>
    <row r="3592" ht="16.5" customHeight="1">
      <c r="A3592" s="32">
        <v>3591.0</v>
      </c>
      <c r="B3592" s="32" t="s">
        <v>4483</v>
      </c>
      <c r="C3592" s="32" t="s">
        <v>184</v>
      </c>
      <c r="D3592" s="32" t="s">
        <v>254</v>
      </c>
      <c r="E3592" s="32" t="s">
        <v>255</v>
      </c>
      <c r="F3592" s="32" t="s">
        <v>263</v>
      </c>
      <c r="G3592" s="32" t="s">
        <v>4484</v>
      </c>
    </row>
    <row r="3593" ht="16.5" customHeight="1">
      <c r="A3593" s="32">
        <v>3592.0</v>
      </c>
      <c r="B3593" s="32" t="s">
        <v>4485</v>
      </c>
      <c r="C3593" s="32" t="s">
        <v>184</v>
      </c>
      <c r="D3593" s="32" t="s">
        <v>285</v>
      </c>
      <c r="E3593" s="32" t="s">
        <v>255</v>
      </c>
      <c r="F3593" s="32" t="s">
        <v>189</v>
      </c>
      <c r="G3593" s="32" t="s">
        <v>4486</v>
      </c>
    </row>
    <row r="3594" ht="16.5" customHeight="1">
      <c r="A3594" s="32">
        <v>3593.0</v>
      </c>
      <c r="B3594" s="32" t="s">
        <v>4487</v>
      </c>
      <c r="C3594" s="32" t="s">
        <v>184</v>
      </c>
      <c r="D3594" s="32" t="s">
        <v>192</v>
      </c>
      <c r="E3594" s="32" t="s">
        <v>255</v>
      </c>
      <c r="F3594" s="32" t="s">
        <v>300</v>
      </c>
      <c r="G3594" s="32" t="s">
        <v>4309</v>
      </c>
    </row>
    <row r="3595" ht="16.5" customHeight="1">
      <c r="A3595" s="32">
        <v>3594.0</v>
      </c>
      <c r="B3595" s="32" t="s">
        <v>4488</v>
      </c>
      <c r="C3595" s="32" t="s">
        <v>184</v>
      </c>
      <c r="D3595" s="32" t="s">
        <v>185</v>
      </c>
      <c r="E3595" s="32" t="s">
        <v>255</v>
      </c>
      <c r="F3595" s="32" t="s">
        <v>189</v>
      </c>
      <c r="G3595" s="32" t="s">
        <v>2046</v>
      </c>
    </row>
    <row r="3596" ht="16.5" customHeight="1">
      <c r="A3596" s="32">
        <v>3595.0</v>
      </c>
      <c r="B3596" s="32" t="s">
        <v>4489</v>
      </c>
      <c r="C3596" s="32" t="s">
        <v>184</v>
      </c>
      <c r="D3596" s="35" t="s">
        <v>294</v>
      </c>
      <c r="E3596" s="32" t="s">
        <v>255</v>
      </c>
      <c r="F3596" s="32" t="s">
        <v>189</v>
      </c>
      <c r="G3596" s="32" t="s">
        <v>2046</v>
      </c>
    </row>
    <row r="3597" ht="16.5" customHeight="1">
      <c r="A3597" s="32">
        <v>3596.0</v>
      </c>
      <c r="B3597" s="32" t="s">
        <v>4490</v>
      </c>
      <c r="C3597" s="32" t="s">
        <v>184</v>
      </c>
      <c r="D3597" s="32" t="s">
        <v>285</v>
      </c>
      <c r="E3597" s="32" t="s">
        <v>255</v>
      </c>
    </row>
    <row r="3598" ht="16.5" customHeight="1">
      <c r="A3598" s="32">
        <v>3597.0</v>
      </c>
      <c r="B3598" s="32" t="s">
        <v>4491</v>
      </c>
      <c r="C3598" s="32" t="s">
        <v>184</v>
      </c>
      <c r="D3598" s="32" t="s">
        <v>254</v>
      </c>
      <c r="E3598" s="32" t="s">
        <v>255</v>
      </c>
    </row>
    <row r="3599" ht="16.5" customHeight="1">
      <c r="A3599" s="32">
        <v>3598.0</v>
      </c>
      <c r="B3599" s="32" t="s">
        <v>4492</v>
      </c>
      <c r="C3599" s="32" t="s">
        <v>184</v>
      </c>
      <c r="D3599" s="32" t="s">
        <v>185</v>
      </c>
      <c r="E3599" s="32" t="s">
        <v>255</v>
      </c>
    </row>
    <row r="3600" ht="16.5" customHeight="1">
      <c r="A3600" s="32">
        <v>3599.0</v>
      </c>
      <c r="B3600" s="32" t="s">
        <v>4493</v>
      </c>
      <c r="C3600" s="32" t="s">
        <v>184</v>
      </c>
      <c r="D3600" s="32" t="s">
        <v>185</v>
      </c>
      <c r="E3600" s="32" t="s">
        <v>255</v>
      </c>
      <c r="F3600" s="32" t="s">
        <v>187</v>
      </c>
      <c r="G3600" s="32" t="s">
        <v>188</v>
      </c>
    </row>
    <row r="3601" ht="16.5" customHeight="1">
      <c r="A3601" s="32">
        <v>3600.0</v>
      </c>
      <c r="B3601" s="32" t="s">
        <v>4494</v>
      </c>
      <c r="C3601" s="32" t="s">
        <v>184</v>
      </c>
      <c r="D3601" s="32" t="s">
        <v>185</v>
      </c>
      <c r="E3601" s="32" t="s">
        <v>255</v>
      </c>
      <c r="F3601" s="32" t="s">
        <v>187</v>
      </c>
      <c r="G3601" s="32" t="s">
        <v>188</v>
      </c>
    </row>
    <row r="3602" ht="16.5" customHeight="1">
      <c r="A3602" s="32">
        <v>3601.0</v>
      </c>
      <c r="B3602" s="32" t="s">
        <v>4495</v>
      </c>
      <c r="C3602" s="32" t="s">
        <v>184</v>
      </c>
      <c r="D3602" s="32" t="s">
        <v>185</v>
      </c>
      <c r="E3602" s="32" t="s">
        <v>255</v>
      </c>
      <c r="F3602" s="32" t="s">
        <v>508</v>
      </c>
    </row>
    <row r="3603" ht="16.5" customHeight="1">
      <c r="A3603" s="32">
        <v>3602.0</v>
      </c>
      <c r="B3603" s="32" t="s">
        <v>4496</v>
      </c>
      <c r="C3603" s="32" t="s">
        <v>184</v>
      </c>
      <c r="D3603" s="32" t="s">
        <v>254</v>
      </c>
      <c r="E3603" s="32" t="s">
        <v>255</v>
      </c>
      <c r="F3603" s="32" t="s">
        <v>305</v>
      </c>
      <c r="G3603" s="32" t="s">
        <v>600</v>
      </c>
    </row>
    <row r="3604" ht="16.5" customHeight="1">
      <c r="A3604" s="32">
        <v>3603.0</v>
      </c>
      <c r="B3604" s="32" t="s">
        <v>4497</v>
      </c>
      <c r="C3604" s="32" t="s">
        <v>184</v>
      </c>
      <c r="D3604" s="32" t="s">
        <v>254</v>
      </c>
      <c r="E3604" s="32" t="s">
        <v>255</v>
      </c>
      <c r="F3604" s="32" t="s">
        <v>305</v>
      </c>
      <c r="G3604" s="32" t="s">
        <v>319</v>
      </c>
    </row>
    <row r="3605" ht="16.5" customHeight="1">
      <c r="A3605" s="32">
        <v>3604.0</v>
      </c>
      <c r="B3605" s="32" t="s">
        <v>4498</v>
      </c>
      <c r="C3605" s="32" t="s">
        <v>184</v>
      </c>
      <c r="D3605" s="35" t="s">
        <v>4925</v>
      </c>
      <c r="E3605" s="32" t="s">
        <v>186</v>
      </c>
    </row>
    <row r="3606" ht="16.5" customHeight="1">
      <c r="A3606" s="32">
        <v>3605.0</v>
      </c>
      <c r="B3606" s="32" t="s">
        <v>4499</v>
      </c>
      <c r="C3606" s="32" t="s">
        <v>184</v>
      </c>
      <c r="D3606" s="32" t="s">
        <v>764</v>
      </c>
      <c r="E3606" s="32" t="s">
        <v>255</v>
      </c>
    </row>
    <row r="3607" ht="16.5" customHeight="1">
      <c r="A3607" s="32">
        <v>3606.0</v>
      </c>
      <c r="B3607" s="32" t="s">
        <v>4500</v>
      </c>
      <c r="C3607" s="32" t="s">
        <v>184</v>
      </c>
      <c r="D3607" s="35" t="s">
        <v>645</v>
      </c>
      <c r="E3607" s="32" t="s">
        <v>396</v>
      </c>
    </row>
    <row r="3608" ht="16.5" customHeight="1">
      <c r="A3608" s="32">
        <v>3607.0</v>
      </c>
      <c r="B3608" s="32" t="s">
        <v>4501</v>
      </c>
      <c r="C3608" s="32" t="s">
        <v>184</v>
      </c>
      <c r="D3608" s="32" t="s">
        <v>285</v>
      </c>
      <c r="E3608" s="32" t="s">
        <v>186</v>
      </c>
    </row>
    <row r="3609" ht="16.5" customHeight="1">
      <c r="A3609" s="32">
        <v>3608.0</v>
      </c>
      <c r="B3609" s="32" t="s">
        <v>4502</v>
      </c>
      <c r="C3609" s="32" t="s">
        <v>184</v>
      </c>
      <c r="D3609" s="35" t="s">
        <v>4503</v>
      </c>
      <c r="E3609" s="32" t="s">
        <v>396</v>
      </c>
    </row>
    <row r="3610" ht="16.5" customHeight="1">
      <c r="A3610" s="32">
        <v>3609.0</v>
      </c>
      <c r="B3610" s="32" t="s">
        <v>4504</v>
      </c>
      <c r="C3610" s="32" t="s">
        <v>184</v>
      </c>
      <c r="D3610" s="32" t="s">
        <v>285</v>
      </c>
      <c r="E3610" s="32" t="s">
        <v>396</v>
      </c>
    </row>
    <row r="3611" ht="16.5" customHeight="1">
      <c r="A3611" s="32">
        <v>3610.0</v>
      </c>
      <c r="B3611" s="32" t="s">
        <v>4505</v>
      </c>
      <c r="C3611" s="32" t="s">
        <v>184</v>
      </c>
      <c r="D3611" s="32" t="s">
        <v>228</v>
      </c>
      <c r="E3611" s="32" t="s">
        <v>396</v>
      </c>
    </row>
    <row r="3612" ht="16.5" customHeight="1">
      <c r="A3612" s="32">
        <v>3611.0</v>
      </c>
      <c r="B3612" s="32" t="s">
        <v>4506</v>
      </c>
      <c r="C3612" s="32" t="s">
        <v>184</v>
      </c>
      <c r="D3612" s="35" t="s">
        <v>294</v>
      </c>
      <c r="E3612" s="32" t="s">
        <v>186</v>
      </c>
    </row>
    <row r="3613" ht="16.5" customHeight="1">
      <c r="A3613" s="32">
        <v>3612.0</v>
      </c>
      <c r="B3613" s="32" t="s">
        <v>4507</v>
      </c>
      <c r="C3613" s="32" t="s">
        <v>184</v>
      </c>
      <c r="D3613" s="32" t="s">
        <v>285</v>
      </c>
      <c r="E3613" s="32" t="s">
        <v>396</v>
      </c>
    </row>
    <row r="3614" ht="16.5" customHeight="1">
      <c r="A3614" s="32">
        <v>3613.0</v>
      </c>
      <c r="B3614" s="32" t="s">
        <v>4508</v>
      </c>
      <c r="C3614" s="32" t="s">
        <v>184</v>
      </c>
      <c r="D3614" s="35" t="s">
        <v>691</v>
      </c>
      <c r="E3614" s="32" t="s">
        <v>222</v>
      </c>
    </row>
    <row r="3615" ht="16.5" customHeight="1">
      <c r="A3615" s="32">
        <v>3614.0</v>
      </c>
      <c r="B3615" s="32" t="s">
        <v>4509</v>
      </c>
      <c r="C3615" s="32" t="s">
        <v>184</v>
      </c>
      <c r="D3615" s="35" t="s">
        <v>1172</v>
      </c>
      <c r="E3615" s="32" t="s">
        <v>396</v>
      </c>
    </row>
    <row r="3616" ht="16.5" customHeight="1">
      <c r="A3616" s="32">
        <v>3615.0</v>
      </c>
      <c r="B3616" s="32" t="s">
        <v>4510</v>
      </c>
      <c r="C3616" s="32" t="s">
        <v>184</v>
      </c>
      <c r="D3616" s="35" t="s">
        <v>294</v>
      </c>
      <c r="E3616" s="32" t="s">
        <v>186</v>
      </c>
    </row>
    <row r="3617" ht="16.5" customHeight="1">
      <c r="A3617" s="32">
        <v>3616.0</v>
      </c>
      <c r="B3617" s="32" t="s">
        <v>4511</v>
      </c>
      <c r="C3617" s="32" t="s">
        <v>184</v>
      </c>
      <c r="D3617" s="32" t="s">
        <v>228</v>
      </c>
      <c r="E3617" s="32" t="s">
        <v>396</v>
      </c>
    </row>
    <row r="3618" ht="16.5" customHeight="1">
      <c r="A3618" s="32">
        <v>3617.0</v>
      </c>
      <c r="B3618" s="32" t="s">
        <v>4512</v>
      </c>
      <c r="C3618" s="32" t="s">
        <v>184</v>
      </c>
      <c r="D3618" s="35" t="s">
        <v>4513</v>
      </c>
      <c r="E3618" s="32" t="s">
        <v>396</v>
      </c>
    </row>
    <row r="3619" ht="16.5" customHeight="1">
      <c r="A3619" s="32">
        <v>3618.0</v>
      </c>
      <c r="B3619" s="32" t="s">
        <v>4514</v>
      </c>
      <c r="C3619" s="32" t="s">
        <v>184</v>
      </c>
      <c r="D3619" s="35" t="s">
        <v>4515</v>
      </c>
      <c r="E3619" s="32" t="s">
        <v>396</v>
      </c>
    </row>
    <row r="3620" ht="16.5" customHeight="1">
      <c r="A3620" s="32">
        <v>3619.0</v>
      </c>
      <c r="B3620" s="32" t="s">
        <v>4516</v>
      </c>
      <c r="C3620" s="32" t="s">
        <v>184</v>
      </c>
      <c r="D3620" s="32" t="s">
        <v>285</v>
      </c>
      <c r="E3620" s="32" t="s">
        <v>396</v>
      </c>
    </row>
    <row r="3621" ht="16.5" customHeight="1">
      <c r="A3621" s="32">
        <v>3620.0</v>
      </c>
      <c r="B3621" s="32" t="s">
        <v>4517</v>
      </c>
      <c r="C3621" s="32" t="s">
        <v>184</v>
      </c>
      <c r="D3621" s="32" t="s">
        <v>228</v>
      </c>
      <c r="E3621" s="32" t="s">
        <v>396</v>
      </c>
    </row>
    <row r="3622" ht="16.5" customHeight="1">
      <c r="A3622" s="32">
        <v>3621.0</v>
      </c>
      <c r="B3622" s="32" t="s">
        <v>4518</v>
      </c>
      <c r="C3622" s="32" t="s">
        <v>184</v>
      </c>
      <c r="D3622" s="35" t="s">
        <v>4519</v>
      </c>
      <c r="E3622" s="32" t="s">
        <v>396</v>
      </c>
    </row>
    <row r="3623" ht="16.5" customHeight="1">
      <c r="A3623" s="32">
        <v>3622.0</v>
      </c>
      <c r="B3623" s="32" t="s">
        <v>4520</v>
      </c>
      <c r="C3623" s="32" t="s">
        <v>184</v>
      </c>
      <c r="D3623" s="35" t="s">
        <v>484</v>
      </c>
      <c r="E3623" s="32" t="s">
        <v>396</v>
      </c>
    </row>
    <row r="3624" ht="16.5" customHeight="1">
      <c r="A3624" s="32">
        <v>3623.0</v>
      </c>
      <c r="B3624" s="32" t="s">
        <v>4521</v>
      </c>
      <c r="C3624" s="32" t="s">
        <v>184</v>
      </c>
      <c r="D3624" s="32" t="s">
        <v>764</v>
      </c>
      <c r="E3624" s="32" t="s">
        <v>255</v>
      </c>
    </row>
    <row r="3625" ht="16.5" customHeight="1">
      <c r="A3625" s="32">
        <v>3624.0</v>
      </c>
      <c r="B3625" s="32" t="s">
        <v>4522</v>
      </c>
      <c r="C3625" s="32" t="s">
        <v>184</v>
      </c>
      <c r="D3625" s="32" t="s">
        <v>764</v>
      </c>
      <c r="E3625" s="32" t="s">
        <v>255</v>
      </c>
    </row>
    <row r="3626" ht="16.5" customHeight="1">
      <c r="A3626" s="32">
        <v>3625.0</v>
      </c>
      <c r="B3626" s="32" t="s">
        <v>4523</v>
      </c>
      <c r="C3626" s="32" t="s">
        <v>184</v>
      </c>
      <c r="D3626" s="35" t="s">
        <v>294</v>
      </c>
      <c r="E3626" s="32" t="s">
        <v>396</v>
      </c>
    </row>
    <row r="3627" ht="16.5" customHeight="1">
      <c r="A3627" s="32">
        <v>3626.0</v>
      </c>
      <c r="B3627" s="32" t="s">
        <v>4524</v>
      </c>
      <c r="C3627" s="32" t="s">
        <v>184</v>
      </c>
      <c r="D3627" s="32" t="s">
        <v>285</v>
      </c>
      <c r="E3627" s="32" t="s">
        <v>396</v>
      </c>
    </row>
    <row r="3628" ht="16.5" customHeight="1">
      <c r="A3628" s="32">
        <v>3627.0</v>
      </c>
      <c r="B3628" s="32" t="s">
        <v>4525</v>
      </c>
      <c r="C3628" s="32" t="s">
        <v>184</v>
      </c>
      <c r="D3628" s="32" t="s">
        <v>285</v>
      </c>
      <c r="E3628" s="32" t="s">
        <v>396</v>
      </c>
    </row>
    <row r="3629" ht="16.5" customHeight="1">
      <c r="A3629" s="32">
        <v>3628.0</v>
      </c>
      <c r="B3629" s="32" t="s">
        <v>4526</v>
      </c>
      <c r="C3629" s="32" t="s">
        <v>184</v>
      </c>
      <c r="D3629" s="35" t="s">
        <v>294</v>
      </c>
      <c r="E3629" s="32" t="s">
        <v>396</v>
      </c>
    </row>
    <row r="3630" ht="16.5" customHeight="1">
      <c r="A3630" s="32">
        <v>3629.0</v>
      </c>
      <c r="B3630" s="32" t="s">
        <v>4527</v>
      </c>
      <c r="C3630" s="32" t="s">
        <v>184</v>
      </c>
      <c r="D3630" s="32" t="s">
        <v>285</v>
      </c>
      <c r="E3630" s="32" t="s">
        <v>396</v>
      </c>
    </row>
    <row r="3631" ht="16.5" customHeight="1">
      <c r="A3631" s="32">
        <v>3630.0</v>
      </c>
      <c r="B3631" s="32" t="s">
        <v>4528</v>
      </c>
      <c r="C3631" s="32" t="s">
        <v>184</v>
      </c>
      <c r="D3631" s="32" t="s">
        <v>764</v>
      </c>
      <c r="E3631" s="32" t="s">
        <v>396</v>
      </c>
    </row>
    <row r="3632" ht="16.5" customHeight="1">
      <c r="A3632" s="32">
        <v>3631.0</v>
      </c>
      <c r="B3632" s="32" t="s">
        <v>4529</v>
      </c>
      <c r="C3632" s="32" t="s">
        <v>184</v>
      </c>
      <c r="D3632" s="32" t="s">
        <v>764</v>
      </c>
      <c r="E3632" s="32" t="s">
        <v>255</v>
      </c>
    </row>
    <row r="3633" ht="16.5" customHeight="1">
      <c r="A3633" s="32">
        <v>3632.0</v>
      </c>
      <c r="B3633" s="32" t="s">
        <v>4530</v>
      </c>
      <c r="C3633" s="32" t="s">
        <v>184</v>
      </c>
      <c r="D3633" s="35" t="s">
        <v>1129</v>
      </c>
      <c r="E3633" s="32" t="s">
        <v>396</v>
      </c>
    </row>
    <row r="3634" ht="16.5" customHeight="1">
      <c r="A3634" s="32">
        <v>3633.0</v>
      </c>
      <c r="B3634" s="32" t="s">
        <v>4531</v>
      </c>
      <c r="C3634" s="32" t="s">
        <v>184</v>
      </c>
      <c r="D3634" s="32" t="s">
        <v>185</v>
      </c>
      <c r="E3634" s="32" t="s">
        <v>396</v>
      </c>
    </row>
    <row r="3635" ht="16.5" customHeight="1">
      <c r="A3635" s="32">
        <v>3634.0</v>
      </c>
      <c r="B3635" s="32" t="s">
        <v>4532</v>
      </c>
      <c r="C3635" s="32" t="s">
        <v>184</v>
      </c>
      <c r="D3635" s="32" t="s">
        <v>285</v>
      </c>
      <c r="E3635" s="32" t="s">
        <v>396</v>
      </c>
    </row>
    <row r="3636" ht="16.5" customHeight="1">
      <c r="A3636" s="32">
        <v>3635.0</v>
      </c>
      <c r="B3636" s="32" t="s">
        <v>4533</v>
      </c>
      <c r="C3636" s="32" t="s">
        <v>184</v>
      </c>
      <c r="D3636" s="35" t="s">
        <v>294</v>
      </c>
      <c r="E3636" s="32" t="s">
        <v>396</v>
      </c>
    </row>
    <row r="3637" ht="16.5" customHeight="1">
      <c r="A3637" s="32">
        <v>3636.0</v>
      </c>
      <c r="B3637" s="32" t="s">
        <v>4534</v>
      </c>
      <c r="C3637" s="32" t="s">
        <v>184</v>
      </c>
      <c r="D3637" s="32" t="s">
        <v>185</v>
      </c>
      <c r="E3637" s="32" t="s">
        <v>255</v>
      </c>
    </row>
    <row r="3638" ht="16.5" customHeight="1">
      <c r="A3638" s="32">
        <v>3637.0</v>
      </c>
      <c r="B3638" s="32" t="s">
        <v>4535</v>
      </c>
      <c r="C3638" s="32" t="s">
        <v>184</v>
      </c>
      <c r="D3638" s="32" t="s">
        <v>228</v>
      </c>
      <c r="E3638" s="32" t="s">
        <v>186</v>
      </c>
      <c r="F3638" s="32" t="s">
        <v>799</v>
      </c>
      <c r="G3638" s="32" t="s">
        <v>4536</v>
      </c>
    </row>
    <row r="3639" ht="16.5" customHeight="1">
      <c r="A3639" s="32">
        <v>3638.0</v>
      </c>
      <c r="B3639" s="32" t="s">
        <v>4537</v>
      </c>
      <c r="C3639" s="32" t="s">
        <v>184</v>
      </c>
      <c r="D3639" s="32" t="s">
        <v>285</v>
      </c>
      <c r="E3639" s="32" t="s">
        <v>255</v>
      </c>
      <c r="F3639" s="32" t="s">
        <v>189</v>
      </c>
      <c r="G3639" s="32" t="s">
        <v>902</v>
      </c>
    </row>
    <row r="3640" ht="16.5" customHeight="1">
      <c r="A3640" s="32">
        <v>3639.0</v>
      </c>
      <c r="B3640" s="32" t="s">
        <v>4537</v>
      </c>
      <c r="C3640" s="32" t="s">
        <v>184</v>
      </c>
      <c r="D3640" s="32" t="s">
        <v>285</v>
      </c>
      <c r="E3640" s="32" t="s">
        <v>255</v>
      </c>
      <c r="F3640" s="32" t="s">
        <v>189</v>
      </c>
      <c r="G3640" s="32" t="s">
        <v>1127</v>
      </c>
    </row>
    <row r="3641" ht="16.5" customHeight="1">
      <c r="A3641" s="32">
        <v>3640.0</v>
      </c>
      <c r="B3641" s="32" t="s">
        <v>4538</v>
      </c>
      <c r="C3641" s="32" t="s">
        <v>184</v>
      </c>
      <c r="D3641" s="32" t="s">
        <v>185</v>
      </c>
      <c r="E3641" s="32" t="s">
        <v>255</v>
      </c>
      <c r="F3641" s="32" t="s">
        <v>189</v>
      </c>
      <c r="G3641" s="32" t="s">
        <v>902</v>
      </c>
    </row>
    <row r="3642" ht="16.5" customHeight="1">
      <c r="A3642" s="32">
        <v>3641.0</v>
      </c>
      <c r="B3642" s="32" t="s">
        <v>4539</v>
      </c>
      <c r="C3642" s="32" t="s">
        <v>184</v>
      </c>
      <c r="D3642" s="32" t="s">
        <v>254</v>
      </c>
      <c r="E3642" s="32" t="s">
        <v>255</v>
      </c>
      <c r="F3642" s="32" t="s">
        <v>275</v>
      </c>
      <c r="G3642" s="32" t="s">
        <v>2412</v>
      </c>
    </row>
    <row r="3643" ht="16.5" customHeight="1">
      <c r="A3643" s="32">
        <v>3642.0</v>
      </c>
      <c r="B3643" s="32" t="s">
        <v>4540</v>
      </c>
      <c r="C3643" s="32" t="s">
        <v>184</v>
      </c>
      <c r="D3643" s="32" t="s">
        <v>185</v>
      </c>
      <c r="E3643" s="32" t="s">
        <v>255</v>
      </c>
      <c r="F3643" s="32" t="s">
        <v>275</v>
      </c>
      <c r="G3643" s="32" t="s">
        <v>2412</v>
      </c>
    </row>
    <row r="3644" ht="16.5" customHeight="1">
      <c r="A3644" s="32">
        <v>3643.0</v>
      </c>
      <c r="B3644" s="32" t="s">
        <v>4541</v>
      </c>
      <c r="C3644" s="32" t="s">
        <v>184</v>
      </c>
      <c r="D3644" s="32" t="s">
        <v>234</v>
      </c>
      <c r="E3644" s="32" t="s">
        <v>255</v>
      </c>
      <c r="F3644" s="32" t="s">
        <v>4542</v>
      </c>
      <c r="G3644" s="32" t="s">
        <v>4543</v>
      </c>
    </row>
    <row r="3645" ht="16.5" customHeight="1">
      <c r="A3645" s="32">
        <v>3644.0</v>
      </c>
      <c r="B3645" s="32" t="s">
        <v>4544</v>
      </c>
      <c r="C3645" s="32" t="s">
        <v>184</v>
      </c>
      <c r="D3645" s="32" t="s">
        <v>192</v>
      </c>
      <c r="E3645" s="32" t="s">
        <v>255</v>
      </c>
      <c r="F3645" s="32" t="s">
        <v>4545</v>
      </c>
      <c r="G3645" s="32" t="s">
        <v>4546</v>
      </c>
    </row>
    <row r="3646" ht="16.5" customHeight="1">
      <c r="A3646" s="32">
        <v>3645.0</v>
      </c>
      <c r="B3646" s="32" t="s">
        <v>4547</v>
      </c>
      <c r="C3646" s="32" t="s">
        <v>184</v>
      </c>
      <c r="D3646" s="35" t="s">
        <v>3183</v>
      </c>
      <c r="E3646" s="32" t="s">
        <v>255</v>
      </c>
      <c r="F3646" s="32" t="s">
        <v>4548</v>
      </c>
      <c r="G3646" s="32" t="s">
        <v>4549</v>
      </c>
    </row>
    <row r="3647" ht="16.5" customHeight="1">
      <c r="A3647" s="32">
        <v>3646.0</v>
      </c>
      <c r="B3647" s="32" t="s">
        <v>4550</v>
      </c>
      <c r="C3647" s="32" t="s">
        <v>184</v>
      </c>
      <c r="D3647" s="32" t="s">
        <v>185</v>
      </c>
      <c r="E3647" s="32" t="s">
        <v>255</v>
      </c>
    </row>
    <row r="3648" ht="16.5" customHeight="1">
      <c r="A3648" s="32">
        <v>3647.0</v>
      </c>
      <c r="B3648" s="32" t="s">
        <v>4551</v>
      </c>
      <c r="C3648" s="32" t="s">
        <v>184</v>
      </c>
      <c r="D3648" s="32" t="s">
        <v>185</v>
      </c>
      <c r="E3648" s="32" t="s">
        <v>255</v>
      </c>
    </row>
    <row r="3649" ht="16.5" customHeight="1">
      <c r="A3649" s="32">
        <v>3648.0</v>
      </c>
      <c r="B3649" s="32" t="s">
        <v>4552</v>
      </c>
      <c r="C3649" s="32" t="s">
        <v>184</v>
      </c>
      <c r="D3649" s="32" t="s">
        <v>192</v>
      </c>
      <c r="E3649" s="32" t="s">
        <v>255</v>
      </c>
    </row>
    <row r="3650" ht="16.5" customHeight="1">
      <c r="A3650" s="32">
        <v>3649.0</v>
      </c>
      <c r="B3650" s="32" t="s">
        <v>4553</v>
      </c>
      <c r="C3650" s="32" t="s">
        <v>184</v>
      </c>
      <c r="D3650" s="32" t="s">
        <v>192</v>
      </c>
      <c r="E3650" s="32" t="s">
        <v>255</v>
      </c>
    </row>
    <row r="3651" ht="16.5" customHeight="1">
      <c r="A3651" s="32">
        <v>3650.0</v>
      </c>
      <c r="B3651" s="32" t="s">
        <v>4554</v>
      </c>
      <c r="C3651" s="32" t="s">
        <v>184</v>
      </c>
      <c r="D3651" s="32" t="s">
        <v>285</v>
      </c>
      <c r="E3651" s="32" t="s">
        <v>255</v>
      </c>
    </row>
    <row r="3652" ht="16.5" customHeight="1">
      <c r="A3652" s="32">
        <v>3651.0</v>
      </c>
      <c r="B3652" s="32" t="s">
        <v>4555</v>
      </c>
      <c r="C3652" s="32" t="s">
        <v>184</v>
      </c>
      <c r="D3652" s="32" t="s">
        <v>254</v>
      </c>
      <c r="E3652" s="32" t="s">
        <v>255</v>
      </c>
      <c r="F3652" s="32" t="s">
        <v>256</v>
      </c>
      <c r="G3652" s="32" t="s">
        <v>4556</v>
      </c>
    </row>
    <row r="3653" ht="16.5" customHeight="1">
      <c r="A3653" s="32">
        <v>3652.0</v>
      </c>
      <c r="B3653" s="32" t="s">
        <v>4557</v>
      </c>
      <c r="C3653" s="32" t="s">
        <v>184</v>
      </c>
      <c r="D3653" s="32" t="s">
        <v>234</v>
      </c>
      <c r="E3653" s="32" t="s">
        <v>255</v>
      </c>
      <c r="F3653" s="32" t="s">
        <v>347</v>
      </c>
      <c r="G3653" s="32" t="s">
        <v>3020</v>
      </c>
    </row>
    <row r="3654" ht="16.5" customHeight="1">
      <c r="A3654" s="32">
        <v>3653.0</v>
      </c>
      <c r="B3654" s="32" t="s">
        <v>4558</v>
      </c>
      <c r="C3654" s="32" t="s">
        <v>184</v>
      </c>
      <c r="D3654" s="32" t="s">
        <v>254</v>
      </c>
      <c r="E3654" s="32" t="s">
        <v>255</v>
      </c>
      <c r="F3654" s="32" t="s">
        <v>256</v>
      </c>
      <c r="G3654" s="32" t="s">
        <v>4203</v>
      </c>
    </row>
    <row r="3655" ht="16.5" customHeight="1">
      <c r="A3655" s="32">
        <v>3654.0</v>
      </c>
      <c r="B3655" s="32" t="s">
        <v>4559</v>
      </c>
      <c r="C3655" s="32" t="s">
        <v>184</v>
      </c>
      <c r="D3655" s="32" t="s">
        <v>192</v>
      </c>
      <c r="E3655" s="32" t="s">
        <v>255</v>
      </c>
      <c r="F3655" s="32" t="s">
        <v>3041</v>
      </c>
      <c r="G3655" s="32" t="s">
        <v>330</v>
      </c>
    </row>
    <row r="3656" ht="16.5" customHeight="1">
      <c r="A3656" s="32">
        <v>3655.0</v>
      </c>
      <c r="B3656" s="32" t="s">
        <v>4560</v>
      </c>
      <c r="C3656" s="32" t="s">
        <v>184</v>
      </c>
      <c r="D3656" s="32" t="s">
        <v>285</v>
      </c>
      <c r="E3656" s="32" t="s">
        <v>255</v>
      </c>
      <c r="F3656" s="32" t="s">
        <v>189</v>
      </c>
      <c r="G3656" s="32" t="s">
        <v>190</v>
      </c>
    </row>
    <row r="3657" ht="16.5" customHeight="1">
      <c r="A3657" s="32">
        <v>3656.0</v>
      </c>
      <c r="B3657" s="32" t="s">
        <v>4561</v>
      </c>
      <c r="C3657" s="32" t="s">
        <v>184</v>
      </c>
      <c r="D3657" s="32" t="s">
        <v>254</v>
      </c>
      <c r="E3657" s="32" t="s">
        <v>3009</v>
      </c>
    </row>
    <row r="3658" ht="16.5" customHeight="1">
      <c r="A3658" s="32">
        <v>3657.0</v>
      </c>
      <c r="B3658" s="32" t="s">
        <v>4562</v>
      </c>
      <c r="C3658" s="32" t="s">
        <v>184</v>
      </c>
      <c r="D3658" s="32" t="s">
        <v>228</v>
      </c>
      <c r="E3658" s="32" t="s">
        <v>3009</v>
      </c>
    </row>
    <row r="3659" ht="16.5" customHeight="1">
      <c r="A3659" s="32">
        <v>3658.0</v>
      </c>
      <c r="B3659" s="32" t="s">
        <v>4563</v>
      </c>
      <c r="C3659" s="32" t="s">
        <v>184</v>
      </c>
      <c r="D3659" s="32" t="s">
        <v>254</v>
      </c>
      <c r="E3659" s="32" t="s">
        <v>3009</v>
      </c>
    </row>
    <row r="3660" ht="16.5" customHeight="1">
      <c r="A3660" s="32">
        <v>3659.0</v>
      </c>
      <c r="B3660" s="32" t="s">
        <v>4564</v>
      </c>
      <c r="C3660" s="32" t="s">
        <v>184</v>
      </c>
      <c r="D3660" s="32" t="s">
        <v>192</v>
      </c>
      <c r="E3660" s="32" t="s">
        <v>3009</v>
      </c>
    </row>
    <row r="3661" ht="16.5" customHeight="1">
      <c r="A3661" s="32">
        <v>3660.0</v>
      </c>
      <c r="B3661" s="32" t="s">
        <v>4565</v>
      </c>
      <c r="C3661" s="32" t="s">
        <v>184</v>
      </c>
      <c r="D3661" s="32" t="s">
        <v>192</v>
      </c>
      <c r="E3661" s="32" t="s">
        <v>3009</v>
      </c>
    </row>
    <row r="3662" ht="16.5" customHeight="1">
      <c r="A3662" s="32">
        <v>3661.0</v>
      </c>
      <c r="B3662" s="32" t="s">
        <v>4566</v>
      </c>
      <c r="C3662" s="32" t="s">
        <v>184</v>
      </c>
      <c r="D3662" s="32" t="s">
        <v>192</v>
      </c>
      <c r="E3662" s="32" t="s">
        <v>3009</v>
      </c>
      <c r="F3662" s="32" t="s">
        <v>329</v>
      </c>
      <c r="G3662" s="32" t="s">
        <v>447</v>
      </c>
    </row>
    <row r="3663" ht="16.5" customHeight="1">
      <c r="A3663" s="32">
        <v>3662.0</v>
      </c>
      <c r="B3663" s="32" t="s">
        <v>4567</v>
      </c>
      <c r="C3663" s="32" t="s">
        <v>184</v>
      </c>
      <c r="D3663" s="32" t="s">
        <v>192</v>
      </c>
      <c r="E3663" s="32" t="s">
        <v>3009</v>
      </c>
      <c r="F3663" s="32" t="s">
        <v>329</v>
      </c>
      <c r="G3663" s="32" t="s">
        <v>447</v>
      </c>
    </row>
    <row r="3664" ht="16.5" customHeight="1">
      <c r="A3664" s="32">
        <v>3663.0</v>
      </c>
      <c r="B3664" s="32" t="s">
        <v>4568</v>
      </c>
      <c r="C3664" s="32" t="s">
        <v>184</v>
      </c>
      <c r="D3664" s="32" t="s">
        <v>285</v>
      </c>
      <c r="E3664" s="32" t="s">
        <v>3009</v>
      </c>
      <c r="F3664" s="32" t="s">
        <v>4569</v>
      </c>
      <c r="G3664" s="32" t="s">
        <v>902</v>
      </c>
    </row>
    <row r="3665" ht="16.5" customHeight="1">
      <c r="A3665" s="32">
        <v>3664.0</v>
      </c>
      <c r="B3665" s="32" t="s">
        <v>4570</v>
      </c>
      <c r="C3665" s="32" t="s">
        <v>184</v>
      </c>
      <c r="D3665" s="32" t="s">
        <v>219</v>
      </c>
      <c r="E3665" s="32" t="s">
        <v>3009</v>
      </c>
      <c r="F3665" s="32" t="s">
        <v>232</v>
      </c>
      <c r="G3665" s="32" t="s">
        <v>233</v>
      </c>
    </row>
    <row r="3666" ht="16.5" customHeight="1">
      <c r="A3666" s="32">
        <v>3665.0</v>
      </c>
      <c r="B3666" s="32" t="s">
        <v>4571</v>
      </c>
      <c r="C3666" s="32" t="s">
        <v>184</v>
      </c>
      <c r="D3666" s="32" t="s">
        <v>219</v>
      </c>
      <c r="E3666" s="32" t="s">
        <v>3009</v>
      </c>
      <c r="F3666" s="32" t="s">
        <v>241</v>
      </c>
      <c r="G3666" s="32" t="s">
        <v>292</v>
      </c>
    </row>
    <row r="3667" ht="16.5" customHeight="1">
      <c r="A3667" s="32">
        <v>3666.0</v>
      </c>
      <c r="B3667" s="32" t="s">
        <v>4572</v>
      </c>
      <c r="C3667" s="32" t="s">
        <v>184</v>
      </c>
      <c r="D3667" s="32" t="s">
        <v>192</v>
      </c>
      <c r="E3667" s="32" t="s">
        <v>3009</v>
      </c>
      <c r="F3667" s="32" t="s">
        <v>329</v>
      </c>
      <c r="G3667" s="32" t="s">
        <v>457</v>
      </c>
    </row>
    <row r="3668" ht="16.5" customHeight="1">
      <c r="A3668" s="32">
        <v>3667.0</v>
      </c>
      <c r="B3668" s="32" t="s">
        <v>4573</v>
      </c>
      <c r="C3668" s="32" t="s">
        <v>184</v>
      </c>
      <c r="D3668" s="32" t="s">
        <v>219</v>
      </c>
      <c r="E3668" s="32" t="s">
        <v>3009</v>
      </c>
      <c r="F3668" s="32" t="s">
        <v>241</v>
      </c>
      <c r="G3668" s="32" t="s">
        <v>4574</v>
      </c>
    </row>
    <row r="3669" ht="16.5" customHeight="1">
      <c r="A3669" s="32">
        <v>3668.0</v>
      </c>
      <c r="B3669" s="32" t="s">
        <v>4575</v>
      </c>
      <c r="C3669" s="32" t="s">
        <v>184</v>
      </c>
      <c r="D3669" s="32" t="s">
        <v>254</v>
      </c>
      <c r="E3669" s="32" t="s">
        <v>3009</v>
      </c>
      <c r="F3669" s="32" t="s">
        <v>2792</v>
      </c>
      <c r="G3669" s="32" t="s">
        <v>4576</v>
      </c>
    </row>
    <row r="3670" ht="16.5" customHeight="1">
      <c r="A3670" s="32">
        <v>3669.0</v>
      </c>
      <c r="B3670" s="32" t="s">
        <v>4577</v>
      </c>
      <c r="C3670" s="32" t="s">
        <v>184</v>
      </c>
      <c r="D3670" s="32" t="s">
        <v>325</v>
      </c>
      <c r="E3670" s="32" t="s">
        <v>3009</v>
      </c>
      <c r="F3670" s="32" t="s">
        <v>368</v>
      </c>
      <c r="G3670" s="32" t="s">
        <v>463</v>
      </c>
    </row>
    <row r="3671" ht="16.5" customHeight="1">
      <c r="A3671" s="32">
        <v>3670.0</v>
      </c>
      <c r="B3671" s="32" t="s">
        <v>4578</v>
      </c>
      <c r="C3671" s="32" t="s">
        <v>184</v>
      </c>
      <c r="D3671" s="32" t="s">
        <v>234</v>
      </c>
      <c r="E3671" s="32" t="s">
        <v>3009</v>
      </c>
      <c r="F3671" s="32" t="s">
        <v>347</v>
      </c>
      <c r="G3671" s="32" t="s">
        <v>1764</v>
      </c>
    </row>
    <row r="3672" ht="16.5" customHeight="1">
      <c r="A3672" s="32">
        <v>3671.0</v>
      </c>
      <c r="B3672" s="32" t="s">
        <v>4579</v>
      </c>
      <c r="C3672" s="32" t="s">
        <v>184</v>
      </c>
      <c r="D3672" s="32" t="s">
        <v>234</v>
      </c>
      <c r="E3672" s="32" t="s">
        <v>3009</v>
      </c>
      <c r="F3672" s="32" t="s">
        <v>347</v>
      </c>
      <c r="G3672" s="32" t="s">
        <v>382</v>
      </c>
    </row>
    <row r="3673" ht="16.5" customHeight="1">
      <c r="A3673" s="32">
        <v>3672.0</v>
      </c>
      <c r="B3673" s="32" t="s">
        <v>4580</v>
      </c>
      <c r="C3673" s="32" t="s">
        <v>184</v>
      </c>
      <c r="D3673" s="32" t="s">
        <v>192</v>
      </c>
      <c r="E3673" s="32" t="s">
        <v>3009</v>
      </c>
    </row>
    <row r="3674" ht="16.5" customHeight="1">
      <c r="A3674" s="32">
        <v>3673.0</v>
      </c>
      <c r="B3674" s="32" t="s">
        <v>4581</v>
      </c>
      <c r="C3674" s="32" t="s">
        <v>184</v>
      </c>
      <c r="D3674" s="32" t="s">
        <v>234</v>
      </c>
      <c r="E3674" s="32" t="s">
        <v>3009</v>
      </c>
      <c r="F3674" s="32" t="s">
        <v>347</v>
      </c>
      <c r="G3674" s="32" t="s">
        <v>382</v>
      </c>
    </row>
    <row r="3675" ht="16.5" customHeight="1">
      <c r="A3675" s="32">
        <v>3674.0</v>
      </c>
      <c r="B3675" s="32" t="s">
        <v>4582</v>
      </c>
      <c r="C3675" s="32" t="s">
        <v>184</v>
      </c>
      <c r="D3675" s="32" t="s">
        <v>254</v>
      </c>
      <c r="E3675" s="32" t="s">
        <v>3009</v>
      </c>
      <c r="F3675" s="32" t="s">
        <v>305</v>
      </c>
      <c r="G3675" s="32" t="s">
        <v>257</v>
      </c>
    </row>
    <row r="3676" ht="16.5" customHeight="1">
      <c r="A3676" s="32">
        <v>3675.0</v>
      </c>
      <c r="B3676" s="32" t="s">
        <v>4583</v>
      </c>
      <c r="C3676" s="32" t="s">
        <v>184</v>
      </c>
      <c r="D3676" s="32" t="s">
        <v>228</v>
      </c>
      <c r="E3676" s="32" t="s">
        <v>3009</v>
      </c>
      <c r="F3676" s="32" t="s">
        <v>408</v>
      </c>
      <c r="G3676" s="32" t="s">
        <v>4584</v>
      </c>
    </row>
    <row r="3677" ht="16.5" customHeight="1">
      <c r="A3677" s="32">
        <v>3676.0</v>
      </c>
      <c r="B3677" s="32" t="s">
        <v>4585</v>
      </c>
      <c r="C3677" s="32" t="s">
        <v>184</v>
      </c>
      <c r="D3677" s="32" t="s">
        <v>234</v>
      </c>
      <c r="E3677" s="32" t="s">
        <v>3009</v>
      </c>
      <c r="F3677" s="32" t="s">
        <v>347</v>
      </c>
      <c r="G3677" s="32" t="s">
        <v>420</v>
      </c>
    </row>
    <row r="3678" ht="16.5" customHeight="1">
      <c r="A3678" s="32">
        <v>3677.0</v>
      </c>
      <c r="B3678" s="32" t="s">
        <v>4586</v>
      </c>
      <c r="C3678" s="32" t="s">
        <v>184</v>
      </c>
      <c r="D3678" s="32" t="s">
        <v>254</v>
      </c>
      <c r="E3678" s="32" t="s">
        <v>3009</v>
      </c>
      <c r="F3678" s="32" t="s">
        <v>256</v>
      </c>
      <c r="G3678" s="32" t="s">
        <v>2482</v>
      </c>
    </row>
    <row r="3679" ht="16.5" customHeight="1">
      <c r="A3679" s="32">
        <v>3678.0</v>
      </c>
      <c r="B3679" s="32" t="s">
        <v>4587</v>
      </c>
      <c r="C3679" s="32" t="s">
        <v>184</v>
      </c>
      <c r="D3679" s="32" t="s">
        <v>228</v>
      </c>
      <c r="E3679" s="32" t="s">
        <v>3009</v>
      </c>
      <c r="F3679" s="32" t="s">
        <v>229</v>
      </c>
      <c r="G3679" s="32" t="s">
        <v>244</v>
      </c>
    </row>
    <row r="3680" ht="16.5" customHeight="1">
      <c r="A3680" s="32">
        <v>3679.0</v>
      </c>
      <c r="B3680" s="32" t="s">
        <v>4588</v>
      </c>
      <c r="C3680" s="32" t="s">
        <v>184</v>
      </c>
      <c r="D3680" s="32" t="s">
        <v>219</v>
      </c>
      <c r="E3680" s="32" t="s">
        <v>3009</v>
      </c>
      <c r="F3680" s="32" t="s">
        <v>216</v>
      </c>
      <c r="G3680" s="32" t="s">
        <v>217</v>
      </c>
    </row>
    <row r="3681" ht="16.5" customHeight="1">
      <c r="A3681" s="32">
        <v>3680.0</v>
      </c>
      <c r="B3681" s="32" t="s">
        <v>4589</v>
      </c>
      <c r="C3681" s="32" t="s">
        <v>184</v>
      </c>
      <c r="D3681" s="32" t="s">
        <v>285</v>
      </c>
      <c r="E3681" s="32" t="s">
        <v>3009</v>
      </c>
      <c r="F3681" s="32" t="s">
        <v>188</v>
      </c>
      <c r="G3681" s="32" t="s">
        <v>368</v>
      </c>
    </row>
    <row r="3682" ht="16.5" customHeight="1">
      <c r="A3682" s="32">
        <v>3681.0</v>
      </c>
      <c r="B3682" s="32" t="s">
        <v>4590</v>
      </c>
      <c r="C3682" s="32" t="s">
        <v>184</v>
      </c>
      <c r="D3682" s="32" t="s">
        <v>219</v>
      </c>
      <c r="E3682" s="32" t="s">
        <v>3009</v>
      </c>
      <c r="F3682" s="32" t="s">
        <v>223</v>
      </c>
      <c r="G3682" s="32" t="s">
        <v>4591</v>
      </c>
    </row>
    <row r="3683" ht="16.5" customHeight="1">
      <c r="A3683" s="32">
        <v>3682.0</v>
      </c>
      <c r="B3683" s="32" t="s">
        <v>4592</v>
      </c>
      <c r="C3683" s="32" t="s">
        <v>184</v>
      </c>
      <c r="D3683" s="32" t="s">
        <v>185</v>
      </c>
      <c r="E3683" s="32" t="s">
        <v>3009</v>
      </c>
      <c r="F3683" s="32" t="s">
        <v>508</v>
      </c>
    </row>
    <row r="3684" ht="16.5" customHeight="1">
      <c r="A3684" s="32">
        <v>3683.0</v>
      </c>
      <c r="B3684" s="32" t="s">
        <v>4593</v>
      </c>
      <c r="C3684" s="32" t="s">
        <v>184</v>
      </c>
      <c r="D3684" s="32" t="s">
        <v>185</v>
      </c>
      <c r="E3684" s="32" t="s">
        <v>3009</v>
      </c>
      <c r="F3684" s="32" t="s">
        <v>187</v>
      </c>
      <c r="G3684" s="32" t="s">
        <v>4594</v>
      </c>
    </row>
    <row r="3685" ht="16.5" customHeight="1">
      <c r="A3685" s="32">
        <v>3684.0</v>
      </c>
      <c r="B3685" s="32" t="s">
        <v>4595</v>
      </c>
      <c r="C3685" s="32" t="s">
        <v>184</v>
      </c>
      <c r="D3685" s="32" t="s">
        <v>185</v>
      </c>
      <c r="E3685" s="32" t="s">
        <v>3009</v>
      </c>
      <c r="F3685" s="32" t="s">
        <v>187</v>
      </c>
      <c r="G3685" s="32" t="s">
        <v>1241</v>
      </c>
    </row>
    <row r="3686" ht="16.5" customHeight="1">
      <c r="A3686" s="32">
        <v>3685.0</v>
      </c>
      <c r="B3686" s="32" t="s">
        <v>4596</v>
      </c>
      <c r="C3686" s="32" t="s">
        <v>184</v>
      </c>
      <c r="D3686" s="32" t="s">
        <v>192</v>
      </c>
      <c r="E3686" s="32" t="s">
        <v>3009</v>
      </c>
      <c r="F3686" s="32" t="s">
        <v>275</v>
      </c>
      <c r="G3686" s="32" t="s">
        <v>2412</v>
      </c>
    </row>
    <row r="3687" ht="16.5" customHeight="1">
      <c r="A3687" s="32">
        <v>3686.0</v>
      </c>
      <c r="B3687" s="32" t="s">
        <v>4597</v>
      </c>
      <c r="C3687" s="32" t="s">
        <v>184</v>
      </c>
      <c r="D3687" s="32" t="s">
        <v>234</v>
      </c>
      <c r="E3687" s="32" t="s">
        <v>3009</v>
      </c>
      <c r="F3687" s="32" t="s">
        <v>235</v>
      </c>
      <c r="G3687" s="32" t="s">
        <v>243</v>
      </c>
    </row>
    <row r="3688" ht="16.5" customHeight="1">
      <c r="A3688" s="32">
        <v>3687.0</v>
      </c>
      <c r="B3688" s="32" t="s">
        <v>4598</v>
      </c>
      <c r="C3688" s="32" t="s">
        <v>184</v>
      </c>
      <c r="D3688" s="32" t="s">
        <v>192</v>
      </c>
      <c r="E3688" s="32" t="s">
        <v>3009</v>
      </c>
      <c r="F3688" s="32" t="s">
        <v>329</v>
      </c>
      <c r="G3688" s="32" t="s">
        <v>457</v>
      </c>
    </row>
    <row r="3689" ht="16.5" customHeight="1">
      <c r="A3689" s="32">
        <v>3688.0</v>
      </c>
      <c r="B3689" s="32" t="s">
        <v>4599</v>
      </c>
      <c r="C3689" s="32" t="s">
        <v>184</v>
      </c>
      <c r="D3689" s="32" t="s">
        <v>254</v>
      </c>
      <c r="E3689" s="32" t="s">
        <v>3009</v>
      </c>
      <c r="F3689" s="32" t="s">
        <v>305</v>
      </c>
      <c r="G3689" s="32" t="s">
        <v>371</v>
      </c>
    </row>
    <row r="3690" ht="16.5" customHeight="1">
      <c r="A3690" s="32">
        <v>3689.0</v>
      </c>
      <c r="B3690" s="32" t="s">
        <v>4600</v>
      </c>
      <c r="C3690" s="32" t="s">
        <v>184</v>
      </c>
      <c r="D3690" s="32" t="s">
        <v>254</v>
      </c>
      <c r="E3690" s="32" t="s">
        <v>3009</v>
      </c>
      <c r="F3690" s="32" t="s">
        <v>305</v>
      </c>
      <c r="G3690" s="32" t="s">
        <v>4601</v>
      </c>
    </row>
    <row r="3691" ht="16.5" customHeight="1">
      <c r="A3691" s="32">
        <v>3690.0</v>
      </c>
      <c r="B3691" s="32" t="s">
        <v>4602</v>
      </c>
      <c r="C3691" s="32" t="s">
        <v>184</v>
      </c>
      <c r="D3691" s="32" t="s">
        <v>285</v>
      </c>
      <c r="E3691" s="32" t="s">
        <v>3009</v>
      </c>
      <c r="F3691" s="32" t="s">
        <v>188</v>
      </c>
      <c r="G3691" s="32" t="s">
        <v>368</v>
      </c>
    </row>
    <row r="3692" ht="16.5" customHeight="1">
      <c r="A3692" s="32">
        <v>3691.0</v>
      </c>
      <c r="B3692" s="32" t="s">
        <v>4603</v>
      </c>
      <c r="C3692" s="32" t="s">
        <v>184</v>
      </c>
      <c r="D3692" s="32" t="s">
        <v>285</v>
      </c>
      <c r="E3692" s="32" t="s">
        <v>3009</v>
      </c>
      <c r="F3692" s="32" t="s">
        <v>552</v>
      </c>
      <c r="G3692" s="32" t="s">
        <v>4604</v>
      </c>
    </row>
    <row r="3693" ht="16.5" customHeight="1">
      <c r="A3693" s="32">
        <v>3692.0</v>
      </c>
      <c r="B3693" s="32" t="s">
        <v>4605</v>
      </c>
      <c r="C3693" s="32" t="s">
        <v>184</v>
      </c>
      <c r="D3693" s="32" t="s">
        <v>228</v>
      </c>
      <c r="E3693" s="32" t="s">
        <v>3009</v>
      </c>
      <c r="F3693" s="32" t="s">
        <v>408</v>
      </c>
      <c r="G3693" s="32" t="s">
        <v>490</v>
      </c>
    </row>
    <row r="3694" ht="16.5" customHeight="1">
      <c r="A3694" s="32">
        <v>3693.0</v>
      </c>
      <c r="B3694" s="32" t="s">
        <v>4606</v>
      </c>
      <c r="C3694" s="32" t="s">
        <v>184</v>
      </c>
      <c r="D3694" s="32" t="s">
        <v>185</v>
      </c>
      <c r="E3694" s="32" t="s">
        <v>3009</v>
      </c>
      <c r="F3694" s="32" t="s">
        <v>271</v>
      </c>
      <c r="G3694" s="32" t="s">
        <v>563</v>
      </c>
    </row>
    <row r="3695" ht="16.5" customHeight="1">
      <c r="A3695" s="32">
        <v>3694.0</v>
      </c>
      <c r="B3695" s="32" t="s">
        <v>4607</v>
      </c>
      <c r="C3695" s="32" t="s">
        <v>184</v>
      </c>
      <c r="D3695" s="32" t="s">
        <v>185</v>
      </c>
      <c r="E3695" s="32" t="s">
        <v>3009</v>
      </c>
      <c r="F3695" s="32" t="s">
        <v>4608</v>
      </c>
      <c r="G3695" s="32" t="s">
        <v>4609</v>
      </c>
    </row>
    <row r="3696" ht="16.5" customHeight="1">
      <c r="A3696" s="32">
        <v>3695.0</v>
      </c>
      <c r="B3696" s="32" t="s">
        <v>4610</v>
      </c>
      <c r="C3696" s="32" t="s">
        <v>184</v>
      </c>
      <c r="D3696" s="32" t="s">
        <v>254</v>
      </c>
      <c r="E3696" s="32" t="s">
        <v>3009</v>
      </c>
      <c r="F3696" s="32" t="s">
        <v>257</v>
      </c>
      <c r="G3696" s="32" t="s">
        <v>4611</v>
      </c>
    </row>
    <row r="3697" ht="16.5" customHeight="1">
      <c r="A3697" s="32">
        <v>3696.0</v>
      </c>
      <c r="B3697" s="32" t="s">
        <v>4612</v>
      </c>
      <c r="C3697" s="32" t="s">
        <v>184</v>
      </c>
      <c r="D3697" s="32" t="s">
        <v>219</v>
      </c>
      <c r="E3697" s="32" t="s">
        <v>3009</v>
      </c>
      <c r="F3697" s="32" t="s">
        <v>241</v>
      </c>
      <c r="G3697" s="32" t="s">
        <v>292</v>
      </c>
    </row>
    <row r="3698" ht="16.5" customHeight="1">
      <c r="A3698" s="32">
        <v>3697.0</v>
      </c>
      <c r="B3698" s="32" t="s">
        <v>4613</v>
      </c>
      <c r="C3698" s="32" t="s">
        <v>184</v>
      </c>
      <c r="D3698" s="32" t="s">
        <v>234</v>
      </c>
      <c r="E3698" s="32" t="s">
        <v>3009</v>
      </c>
      <c r="F3698" s="32" t="s">
        <v>347</v>
      </c>
      <c r="G3698" s="32" t="s">
        <v>382</v>
      </c>
    </row>
    <row r="3699" ht="16.5" customHeight="1">
      <c r="A3699" s="32">
        <v>3698.0</v>
      </c>
      <c r="B3699" s="32" t="s">
        <v>4614</v>
      </c>
      <c r="C3699" s="32" t="s">
        <v>184</v>
      </c>
      <c r="D3699" s="32" t="s">
        <v>234</v>
      </c>
      <c r="E3699" s="32" t="s">
        <v>3009</v>
      </c>
      <c r="F3699" s="32" t="s">
        <v>347</v>
      </c>
      <c r="G3699" s="32" t="s">
        <v>382</v>
      </c>
    </row>
    <row r="3700" ht="16.5" customHeight="1">
      <c r="A3700" s="32">
        <v>3699.0</v>
      </c>
      <c r="B3700" s="32" t="s">
        <v>4615</v>
      </c>
      <c r="C3700" s="32" t="s">
        <v>184</v>
      </c>
      <c r="D3700" s="32" t="s">
        <v>234</v>
      </c>
      <c r="E3700" s="32" t="s">
        <v>3009</v>
      </c>
      <c r="F3700" s="32" t="s">
        <v>347</v>
      </c>
      <c r="G3700" s="32" t="s">
        <v>382</v>
      </c>
    </row>
    <row r="3701" ht="16.5" customHeight="1">
      <c r="A3701" s="32">
        <v>3700.0</v>
      </c>
      <c r="B3701" s="32" t="s">
        <v>4616</v>
      </c>
      <c r="C3701" s="32" t="s">
        <v>184</v>
      </c>
      <c r="D3701" s="32" t="s">
        <v>254</v>
      </c>
      <c r="E3701" s="32" t="s">
        <v>3009</v>
      </c>
      <c r="F3701" s="32" t="s">
        <v>257</v>
      </c>
      <c r="G3701" s="32" t="s">
        <v>4617</v>
      </c>
    </row>
    <row r="3702" ht="16.5" customHeight="1">
      <c r="A3702" s="32">
        <v>3701.0</v>
      </c>
      <c r="B3702" s="32" t="s">
        <v>4618</v>
      </c>
      <c r="C3702" s="32" t="s">
        <v>184</v>
      </c>
      <c r="D3702" s="32" t="s">
        <v>185</v>
      </c>
      <c r="E3702" s="32" t="s">
        <v>3009</v>
      </c>
      <c r="F3702" s="32" t="s">
        <v>271</v>
      </c>
      <c r="G3702" s="32" t="s">
        <v>566</v>
      </c>
    </row>
    <row r="3703" ht="16.5" customHeight="1">
      <c r="A3703" s="32">
        <v>3702.0</v>
      </c>
      <c r="B3703" s="32" t="s">
        <v>4619</v>
      </c>
      <c r="C3703" s="32" t="s">
        <v>184</v>
      </c>
      <c r="D3703" s="32" t="s">
        <v>192</v>
      </c>
      <c r="E3703" s="32" t="s">
        <v>3009</v>
      </c>
      <c r="F3703" s="32" t="s">
        <v>329</v>
      </c>
      <c r="G3703" s="32" t="s">
        <v>4620</v>
      </c>
    </row>
    <row r="3704" ht="16.5" customHeight="1">
      <c r="A3704" s="32">
        <v>3703.0</v>
      </c>
      <c r="B3704" s="32" t="s">
        <v>4621</v>
      </c>
      <c r="C3704" s="32" t="s">
        <v>184</v>
      </c>
      <c r="D3704" s="32" t="s">
        <v>192</v>
      </c>
      <c r="E3704" s="32" t="s">
        <v>3009</v>
      </c>
      <c r="F3704" s="32" t="s">
        <v>275</v>
      </c>
      <c r="G3704" s="32" t="s">
        <v>4622</v>
      </c>
    </row>
    <row r="3705" ht="16.5" customHeight="1">
      <c r="A3705" s="32">
        <v>3704.0</v>
      </c>
      <c r="B3705" s="32" t="s">
        <v>4623</v>
      </c>
      <c r="C3705" s="32" t="s">
        <v>184</v>
      </c>
      <c r="D3705" s="32" t="s">
        <v>192</v>
      </c>
      <c r="E3705" s="32" t="s">
        <v>3009</v>
      </c>
      <c r="F3705" s="32" t="s">
        <v>300</v>
      </c>
      <c r="G3705" s="32" t="s">
        <v>4624</v>
      </c>
    </row>
    <row r="3706" ht="16.5" customHeight="1">
      <c r="A3706" s="32">
        <v>3705.0</v>
      </c>
      <c r="B3706" s="32" t="s">
        <v>4625</v>
      </c>
      <c r="C3706" s="32" t="s">
        <v>184</v>
      </c>
      <c r="D3706" s="32" t="s">
        <v>192</v>
      </c>
      <c r="E3706" s="32" t="s">
        <v>3009</v>
      </c>
      <c r="F3706" s="32" t="s">
        <v>329</v>
      </c>
      <c r="G3706" s="32" t="s">
        <v>4626</v>
      </c>
    </row>
    <row r="3707" ht="16.5" customHeight="1">
      <c r="A3707" s="32">
        <v>3706.0</v>
      </c>
      <c r="B3707" s="32" t="s">
        <v>4627</v>
      </c>
      <c r="C3707" s="32" t="s">
        <v>184</v>
      </c>
      <c r="D3707" s="32" t="s">
        <v>234</v>
      </c>
      <c r="E3707" s="32" t="s">
        <v>3009</v>
      </c>
      <c r="F3707" s="32" t="s">
        <v>347</v>
      </c>
      <c r="G3707" s="32" t="s">
        <v>382</v>
      </c>
    </row>
    <row r="3708" ht="16.5" customHeight="1">
      <c r="A3708" s="32">
        <v>3707.0</v>
      </c>
      <c r="B3708" s="32" t="s">
        <v>4628</v>
      </c>
      <c r="C3708" s="32" t="s">
        <v>184</v>
      </c>
      <c r="D3708" s="32" t="s">
        <v>228</v>
      </c>
      <c r="E3708" s="32" t="s">
        <v>3009</v>
      </c>
      <c r="F3708" s="32" t="s">
        <v>408</v>
      </c>
      <c r="G3708" s="32" t="s">
        <v>4629</v>
      </c>
    </row>
    <row r="3709" ht="16.5" customHeight="1">
      <c r="A3709" s="32">
        <v>3708.0</v>
      </c>
      <c r="B3709" s="32" t="s">
        <v>4630</v>
      </c>
      <c r="C3709" s="32" t="s">
        <v>184</v>
      </c>
      <c r="D3709" s="32" t="s">
        <v>285</v>
      </c>
      <c r="E3709" s="32" t="s">
        <v>3009</v>
      </c>
      <c r="F3709" s="32" t="s">
        <v>189</v>
      </c>
      <c r="G3709" s="32" t="s">
        <v>190</v>
      </c>
    </row>
    <row r="3710" ht="16.5" customHeight="1">
      <c r="A3710" s="32">
        <v>3709.0</v>
      </c>
      <c r="B3710" s="32" t="s">
        <v>4631</v>
      </c>
      <c r="C3710" s="32" t="s">
        <v>184</v>
      </c>
      <c r="D3710" s="32" t="s">
        <v>228</v>
      </c>
      <c r="E3710" s="32" t="s">
        <v>3009</v>
      </c>
      <c r="F3710" s="32" t="s">
        <v>408</v>
      </c>
      <c r="G3710" s="32" t="s">
        <v>731</v>
      </c>
    </row>
    <row r="3711" ht="16.5" customHeight="1">
      <c r="A3711" s="32">
        <v>3710.0</v>
      </c>
      <c r="B3711" s="32" t="s">
        <v>4632</v>
      </c>
      <c r="C3711" s="32" t="s">
        <v>184</v>
      </c>
      <c r="D3711" s="32" t="s">
        <v>192</v>
      </c>
      <c r="E3711" s="32" t="s">
        <v>3009</v>
      </c>
      <c r="F3711" s="32" t="s">
        <v>4633</v>
      </c>
      <c r="G3711" s="32" t="s">
        <v>4634</v>
      </c>
    </row>
    <row r="3712" ht="16.5" customHeight="1">
      <c r="A3712" s="32">
        <v>3711.0</v>
      </c>
      <c r="B3712" s="32" t="s">
        <v>4635</v>
      </c>
      <c r="C3712" s="32" t="s">
        <v>184</v>
      </c>
      <c r="D3712" s="32" t="s">
        <v>254</v>
      </c>
      <c r="E3712" s="32" t="s">
        <v>3009</v>
      </c>
      <c r="F3712" s="32" t="s">
        <v>256</v>
      </c>
      <c r="G3712" s="32" t="s">
        <v>4636</v>
      </c>
    </row>
    <row r="3713" ht="16.5" customHeight="1">
      <c r="A3713" s="32">
        <v>3712.0</v>
      </c>
      <c r="B3713" s="32" t="s">
        <v>4637</v>
      </c>
      <c r="C3713" s="32" t="s">
        <v>184</v>
      </c>
      <c r="D3713" s="32" t="s">
        <v>192</v>
      </c>
      <c r="E3713" s="32" t="s">
        <v>3009</v>
      </c>
      <c r="F3713" s="32" t="s">
        <v>329</v>
      </c>
      <c r="G3713" s="32" t="s">
        <v>447</v>
      </c>
    </row>
    <row r="3714" ht="16.5" customHeight="1">
      <c r="A3714" s="32">
        <v>3713.0</v>
      </c>
      <c r="B3714" s="32" t="s">
        <v>4638</v>
      </c>
      <c r="C3714" s="32" t="s">
        <v>184</v>
      </c>
      <c r="D3714" s="32" t="s">
        <v>234</v>
      </c>
      <c r="E3714" s="32" t="s">
        <v>3009</v>
      </c>
      <c r="F3714" s="32" t="s">
        <v>347</v>
      </c>
      <c r="G3714" s="32" t="s">
        <v>1764</v>
      </c>
    </row>
    <row r="3715" ht="16.5" customHeight="1">
      <c r="A3715" s="32">
        <v>3714.0</v>
      </c>
      <c r="B3715" s="32" t="s">
        <v>4639</v>
      </c>
      <c r="C3715" s="32" t="s">
        <v>184</v>
      </c>
      <c r="D3715" s="32" t="s">
        <v>192</v>
      </c>
      <c r="E3715" s="32" t="s">
        <v>3009</v>
      </c>
      <c r="F3715" s="32" t="s">
        <v>300</v>
      </c>
      <c r="G3715" s="32" t="s">
        <v>535</v>
      </c>
    </row>
    <row r="3716" ht="16.5" customHeight="1">
      <c r="A3716" s="32">
        <v>3715.0</v>
      </c>
      <c r="B3716" s="32" t="s">
        <v>4640</v>
      </c>
      <c r="C3716" s="32" t="s">
        <v>184</v>
      </c>
      <c r="D3716" s="32" t="s">
        <v>219</v>
      </c>
      <c r="E3716" s="32" t="s">
        <v>3009</v>
      </c>
      <c r="F3716" s="32" t="s">
        <v>223</v>
      </c>
      <c r="G3716" s="32" t="s">
        <v>394</v>
      </c>
    </row>
    <row r="3717" ht="16.5" customHeight="1">
      <c r="A3717" s="32">
        <v>3716.0</v>
      </c>
      <c r="B3717" s="32" t="s">
        <v>4641</v>
      </c>
      <c r="C3717" s="32" t="s">
        <v>184</v>
      </c>
      <c r="D3717" s="32" t="s">
        <v>192</v>
      </c>
      <c r="E3717" s="32" t="s">
        <v>3009</v>
      </c>
      <c r="F3717" s="32" t="s">
        <v>2451</v>
      </c>
      <c r="G3717" s="32" t="s">
        <v>4642</v>
      </c>
    </row>
    <row r="3718" ht="16.5" customHeight="1">
      <c r="A3718" s="32">
        <v>3717.0</v>
      </c>
      <c r="B3718" s="32" t="s">
        <v>4643</v>
      </c>
      <c r="C3718" s="32" t="s">
        <v>184</v>
      </c>
      <c r="D3718" s="32" t="s">
        <v>254</v>
      </c>
      <c r="E3718" s="32" t="s">
        <v>3009</v>
      </c>
      <c r="F3718" s="32" t="s">
        <v>257</v>
      </c>
      <c r="G3718" s="32" t="s">
        <v>4644</v>
      </c>
    </row>
    <row r="3719" ht="16.5" customHeight="1">
      <c r="A3719" s="32">
        <v>3718.0</v>
      </c>
      <c r="B3719" s="32" t="s">
        <v>4645</v>
      </c>
      <c r="C3719" s="32" t="s">
        <v>184</v>
      </c>
      <c r="D3719" s="32" t="s">
        <v>254</v>
      </c>
      <c r="E3719" s="32" t="s">
        <v>3009</v>
      </c>
      <c r="F3719" s="32" t="s">
        <v>257</v>
      </c>
      <c r="G3719" s="32" t="s">
        <v>4646</v>
      </c>
    </row>
    <row r="3720" ht="16.5" customHeight="1">
      <c r="A3720" s="32">
        <v>3719.0</v>
      </c>
      <c r="B3720" s="32" t="s">
        <v>4647</v>
      </c>
      <c r="C3720" s="32" t="s">
        <v>184</v>
      </c>
      <c r="D3720" s="32" t="s">
        <v>285</v>
      </c>
      <c r="E3720" s="32" t="s">
        <v>3009</v>
      </c>
      <c r="F3720" s="32" t="s">
        <v>552</v>
      </c>
      <c r="G3720" s="32" t="s">
        <v>4648</v>
      </c>
    </row>
    <row r="3721" ht="16.5" customHeight="1">
      <c r="A3721" s="32">
        <v>3720.0</v>
      </c>
      <c r="B3721" s="32" t="s">
        <v>4649</v>
      </c>
      <c r="C3721" s="32" t="s">
        <v>184</v>
      </c>
      <c r="D3721" s="32" t="s">
        <v>285</v>
      </c>
      <c r="E3721" s="32" t="s">
        <v>3009</v>
      </c>
      <c r="F3721" s="32" t="s">
        <v>4650</v>
      </c>
      <c r="G3721" s="32" t="s">
        <v>4185</v>
      </c>
    </row>
    <row r="3722" ht="16.5" customHeight="1">
      <c r="A3722" s="32">
        <v>3721.0</v>
      </c>
      <c r="B3722" s="32" t="s">
        <v>4651</v>
      </c>
      <c r="C3722" s="32" t="s">
        <v>184</v>
      </c>
      <c r="D3722" s="32" t="s">
        <v>228</v>
      </c>
      <c r="E3722" s="32" t="s">
        <v>3009</v>
      </c>
      <c r="F3722" s="32" t="s">
        <v>408</v>
      </c>
      <c r="G3722" s="32" t="s">
        <v>490</v>
      </c>
    </row>
    <row r="3723" ht="16.5" customHeight="1">
      <c r="A3723" s="32">
        <v>3722.0</v>
      </c>
      <c r="B3723" s="32" t="s">
        <v>4652</v>
      </c>
      <c r="C3723" s="32" t="s">
        <v>184</v>
      </c>
      <c r="D3723" s="32" t="s">
        <v>185</v>
      </c>
      <c r="E3723" s="32" t="s">
        <v>3009</v>
      </c>
      <c r="F3723" s="32" t="s">
        <v>187</v>
      </c>
      <c r="G3723" s="32" t="s">
        <v>188</v>
      </c>
    </row>
    <row r="3724" ht="16.5" customHeight="1">
      <c r="A3724" s="32">
        <v>3723.0</v>
      </c>
      <c r="B3724" s="32" t="s">
        <v>4653</v>
      </c>
      <c r="C3724" s="32" t="s">
        <v>184</v>
      </c>
      <c r="D3724" s="32" t="s">
        <v>254</v>
      </c>
      <c r="E3724" s="32" t="s">
        <v>3009</v>
      </c>
      <c r="F3724" s="32" t="s">
        <v>256</v>
      </c>
      <c r="G3724" s="32" t="s">
        <v>2482</v>
      </c>
    </row>
    <row r="3725" ht="16.5" customHeight="1">
      <c r="A3725" s="32">
        <v>3724.0</v>
      </c>
      <c r="B3725" s="32" t="s">
        <v>4654</v>
      </c>
      <c r="C3725" s="32" t="s">
        <v>184</v>
      </c>
      <c r="D3725" s="32" t="s">
        <v>254</v>
      </c>
      <c r="E3725" s="32" t="s">
        <v>3009</v>
      </c>
      <c r="F3725" s="32" t="s">
        <v>256</v>
      </c>
      <c r="G3725" s="32" t="s">
        <v>2482</v>
      </c>
    </row>
    <row r="3726" ht="16.5" customHeight="1">
      <c r="A3726" s="32">
        <v>3725.0</v>
      </c>
      <c r="B3726" s="32" t="s">
        <v>4655</v>
      </c>
      <c r="C3726" s="32" t="s">
        <v>184</v>
      </c>
      <c r="D3726" s="32" t="s">
        <v>185</v>
      </c>
      <c r="E3726" s="32" t="s">
        <v>3009</v>
      </c>
      <c r="F3726" s="32" t="s">
        <v>187</v>
      </c>
      <c r="G3726" s="32" t="s">
        <v>480</v>
      </c>
    </row>
    <row r="3727" ht="16.5" customHeight="1">
      <c r="A3727" s="32">
        <v>3726.0</v>
      </c>
      <c r="B3727" s="32" t="s">
        <v>4656</v>
      </c>
      <c r="C3727" s="32" t="s">
        <v>184</v>
      </c>
      <c r="D3727" s="32" t="s">
        <v>185</v>
      </c>
      <c r="E3727" s="32" t="s">
        <v>3009</v>
      </c>
      <c r="F3727" s="32" t="s">
        <v>187</v>
      </c>
      <c r="G3727" s="32" t="s">
        <v>480</v>
      </c>
    </row>
    <row r="3728" ht="16.5" customHeight="1">
      <c r="A3728" s="32">
        <v>3727.0</v>
      </c>
      <c r="B3728" s="32" t="s">
        <v>4657</v>
      </c>
      <c r="C3728" s="32" t="s">
        <v>184</v>
      </c>
      <c r="D3728" s="32" t="s">
        <v>185</v>
      </c>
      <c r="E3728" s="32" t="s">
        <v>3009</v>
      </c>
      <c r="F3728" s="32" t="s">
        <v>187</v>
      </c>
      <c r="G3728" s="32" t="s">
        <v>480</v>
      </c>
    </row>
    <row r="3729" ht="16.5" customHeight="1">
      <c r="A3729" s="32">
        <v>3728.0</v>
      </c>
      <c r="B3729" s="32" t="s">
        <v>4658</v>
      </c>
      <c r="C3729" s="32" t="s">
        <v>184</v>
      </c>
      <c r="D3729" s="32" t="s">
        <v>285</v>
      </c>
      <c r="E3729" s="32" t="s">
        <v>3009</v>
      </c>
      <c r="F3729" s="32" t="s">
        <v>189</v>
      </c>
      <c r="G3729" s="32" t="s">
        <v>190</v>
      </c>
    </row>
    <row r="3730" ht="16.5" customHeight="1">
      <c r="A3730" s="32">
        <v>3729.0</v>
      </c>
      <c r="B3730" s="32" t="s">
        <v>4659</v>
      </c>
      <c r="C3730" s="32" t="s">
        <v>184</v>
      </c>
      <c r="D3730" s="32" t="s">
        <v>254</v>
      </c>
      <c r="E3730" s="32" t="s">
        <v>3009</v>
      </c>
      <c r="F3730" s="32" t="s">
        <v>305</v>
      </c>
      <c r="G3730" s="32" t="s">
        <v>593</v>
      </c>
    </row>
    <row r="3731" ht="16.5" customHeight="1">
      <c r="A3731" s="32">
        <v>3730.0</v>
      </c>
      <c r="B3731" s="32" t="s">
        <v>4660</v>
      </c>
      <c r="C3731" s="32" t="s">
        <v>184</v>
      </c>
      <c r="D3731" s="32" t="s">
        <v>185</v>
      </c>
      <c r="E3731" s="32" t="s">
        <v>3009</v>
      </c>
      <c r="F3731" s="32" t="s">
        <v>1213</v>
      </c>
      <c r="G3731" s="32" t="s">
        <v>4661</v>
      </c>
    </row>
    <row r="3732" ht="16.5" customHeight="1">
      <c r="A3732" s="32">
        <v>3731.0</v>
      </c>
      <c r="B3732" s="32" t="s">
        <v>4662</v>
      </c>
      <c r="C3732" s="32" t="s">
        <v>184</v>
      </c>
      <c r="D3732" s="32" t="s">
        <v>228</v>
      </c>
      <c r="E3732" s="32" t="s">
        <v>3009</v>
      </c>
      <c r="F3732" s="32" t="s">
        <v>2754</v>
      </c>
      <c r="G3732" s="32" t="s">
        <v>3134</v>
      </c>
    </row>
    <row r="3733" ht="16.5" customHeight="1">
      <c r="A3733" s="32">
        <v>3732.0</v>
      </c>
      <c r="B3733" s="32" t="s">
        <v>4663</v>
      </c>
      <c r="C3733" s="32" t="s">
        <v>184</v>
      </c>
      <c r="D3733" s="32" t="s">
        <v>285</v>
      </c>
      <c r="E3733" s="32" t="s">
        <v>3009</v>
      </c>
      <c r="F3733" s="32" t="s">
        <v>189</v>
      </c>
      <c r="G3733" s="32" t="s">
        <v>314</v>
      </c>
    </row>
    <row r="3734" ht="16.5" customHeight="1">
      <c r="A3734" s="32">
        <v>3733.0</v>
      </c>
      <c r="B3734" s="32" t="s">
        <v>4664</v>
      </c>
      <c r="C3734" s="32" t="s">
        <v>184</v>
      </c>
      <c r="D3734" s="32" t="s">
        <v>285</v>
      </c>
      <c r="E3734" s="32" t="s">
        <v>3009</v>
      </c>
      <c r="F3734" s="32" t="s">
        <v>552</v>
      </c>
      <c r="G3734" s="32" t="s">
        <v>553</v>
      </c>
    </row>
    <row r="3735" ht="16.5" customHeight="1">
      <c r="A3735" s="32">
        <v>3734.0</v>
      </c>
      <c r="B3735" s="32" t="s">
        <v>4665</v>
      </c>
      <c r="C3735" s="32" t="s">
        <v>184</v>
      </c>
      <c r="D3735" s="32" t="s">
        <v>285</v>
      </c>
      <c r="E3735" s="32" t="s">
        <v>3009</v>
      </c>
      <c r="F3735" s="32" t="s">
        <v>189</v>
      </c>
      <c r="G3735" s="32" t="s">
        <v>190</v>
      </c>
    </row>
    <row r="3736" ht="16.5" customHeight="1">
      <c r="A3736" s="32">
        <v>3735.0</v>
      </c>
      <c r="B3736" s="32" t="s">
        <v>4666</v>
      </c>
      <c r="C3736" s="32" t="s">
        <v>184</v>
      </c>
      <c r="D3736" s="32" t="s">
        <v>285</v>
      </c>
      <c r="E3736" s="32" t="s">
        <v>3009</v>
      </c>
      <c r="F3736" s="32" t="s">
        <v>4667</v>
      </c>
      <c r="G3736" s="32" t="s">
        <v>4668</v>
      </c>
    </row>
    <row r="3737" ht="16.5" customHeight="1">
      <c r="A3737" s="32">
        <v>3736.0</v>
      </c>
      <c r="B3737" s="32" t="s">
        <v>4669</v>
      </c>
      <c r="C3737" s="32" t="s">
        <v>184</v>
      </c>
      <c r="D3737" s="32" t="s">
        <v>254</v>
      </c>
      <c r="E3737" s="32" t="s">
        <v>3009</v>
      </c>
      <c r="F3737" s="32" t="s">
        <v>256</v>
      </c>
      <c r="G3737" s="32" t="s">
        <v>4670</v>
      </c>
    </row>
    <row r="3738" ht="16.5" customHeight="1">
      <c r="A3738" s="32">
        <v>3737.0</v>
      </c>
      <c r="B3738" s="32" t="s">
        <v>4671</v>
      </c>
      <c r="C3738" s="32" t="s">
        <v>184</v>
      </c>
      <c r="D3738" s="32" t="s">
        <v>254</v>
      </c>
      <c r="E3738" s="32" t="s">
        <v>3009</v>
      </c>
      <c r="F3738" s="32" t="s">
        <v>257</v>
      </c>
    </row>
    <row r="3739" ht="16.5" customHeight="1">
      <c r="A3739" s="32">
        <v>3738.0</v>
      </c>
      <c r="B3739" s="32" t="s">
        <v>4672</v>
      </c>
      <c r="C3739" s="32" t="s">
        <v>184</v>
      </c>
      <c r="D3739" s="32" t="s">
        <v>254</v>
      </c>
      <c r="E3739" s="32" t="s">
        <v>3009</v>
      </c>
      <c r="F3739" s="32" t="s">
        <v>1807</v>
      </c>
      <c r="G3739" s="32" t="s">
        <v>4673</v>
      </c>
    </row>
    <row r="3740" ht="16.5" customHeight="1">
      <c r="A3740" s="32">
        <v>3739.0</v>
      </c>
      <c r="B3740" s="32" t="s">
        <v>4674</v>
      </c>
      <c r="C3740" s="32" t="s">
        <v>184</v>
      </c>
      <c r="D3740" s="32" t="s">
        <v>285</v>
      </c>
      <c r="E3740" s="32" t="s">
        <v>3009</v>
      </c>
      <c r="F3740" s="32" t="s">
        <v>188</v>
      </c>
      <c r="G3740" s="32" t="s">
        <v>368</v>
      </c>
    </row>
    <row r="3741" ht="16.5" customHeight="1">
      <c r="A3741" s="32">
        <v>3740.0</v>
      </c>
      <c r="B3741" s="32" t="s">
        <v>4675</v>
      </c>
      <c r="C3741" s="32" t="s">
        <v>184</v>
      </c>
      <c r="D3741" s="32" t="s">
        <v>185</v>
      </c>
      <c r="E3741" s="32" t="s">
        <v>3009</v>
      </c>
      <c r="F3741" s="32" t="s">
        <v>1851</v>
      </c>
      <c r="G3741" s="32" t="s">
        <v>1121</v>
      </c>
    </row>
    <row r="3742" ht="16.5" customHeight="1">
      <c r="A3742" s="32">
        <v>3741.0</v>
      </c>
      <c r="B3742" s="32" t="s">
        <v>4676</v>
      </c>
      <c r="C3742" s="32" t="s">
        <v>184</v>
      </c>
      <c r="D3742" s="32" t="s">
        <v>254</v>
      </c>
      <c r="E3742" s="32" t="s">
        <v>3009</v>
      </c>
      <c r="F3742" s="32" t="s">
        <v>305</v>
      </c>
      <c r="G3742" s="32" t="s">
        <v>593</v>
      </c>
    </row>
    <row r="3743" ht="16.5" customHeight="1">
      <c r="A3743" s="32">
        <v>3742.0</v>
      </c>
      <c r="B3743" s="32" t="s">
        <v>4677</v>
      </c>
      <c r="C3743" s="32" t="s">
        <v>184</v>
      </c>
      <c r="D3743" s="32" t="s">
        <v>254</v>
      </c>
      <c r="E3743" s="32" t="s">
        <v>3009</v>
      </c>
      <c r="F3743" s="32" t="s">
        <v>4678</v>
      </c>
      <c r="G3743" s="32" t="s">
        <v>1328</v>
      </c>
    </row>
    <row r="3744" ht="16.5" customHeight="1">
      <c r="A3744" s="32">
        <v>3743.0</v>
      </c>
      <c r="B3744" s="32" t="s">
        <v>4679</v>
      </c>
      <c r="C3744" s="32" t="s">
        <v>184</v>
      </c>
      <c r="D3744" s="32" t="s">
        <v>219</v>
      </c>
      <c r="E3744" s="32" t="s">
        <v>3009</v>
      </c>
      <c r="F3744" s="32" t="s">
        <v>223</v>
      </c>
      <c r="G3744" s="32" t="s">
        <v>394</v>
      </c>
    </row>
    <row r="3745" ht="16.5" customHeight="1">
      <c r="A3745" s="32">
        <v>3744.0</v>
      </c>
      <c r="B3745" s="32" t="s">
        <v>4680</v>
      </c>
      <c r="C3745" s="32" t="s">
        <v>184</v>
      </c>
      <c r="D3745" s="32" t="s">
        <v>219</v>
      </c>
      <c r="E3745" s="32" t="s">
        <v>3009</v>
      </c>
      <c r="F3745" s="32" t="s">
        <v>223</v>
      </c>
    </row>
    <row r="3746" ht="16.5" customHeight="1">
      <c r="A3746" s="32">
        <v>3745.0</v>
      </c>
      <c r="B3746" s="32" t="s">
        <v>4681</v>
      </c>
      <c r="C3746" s="32" t="s">
        <v>184</v>
      </c>
      <c r="D3746" s="32" t="s">
        <v>219</v>
      </c>
      <c r="E3746" s="32" t="s">
        <v>3009</v>
      </c>
      <c r="F3746" s="32" t="s">
        <v>223</v>
      </c>
    </row>
    <row r="3747" ht="16.5" customHeight="1">
      <c r="A3747" s="32">
        <v>3746.0</v>
      </c>
      <c r="B3747" s="32" t="s">
        <v>4682</v>
      </c>
      <c r="C3747" s="32" t="s">
        <v>184</v>
      </c>
      <c r="D3747" s="32" t="s">
        <v>219</v>
      </c>
      <c r="E3747" s="32" t="s">
        <v>3009</v>
      </c>
      <c r="F3747" s="32" t="s">
        <v>223</v>
      </c>
    </row>
    <row r="3748" ht="16.5" customHeight="1">
      <c r="A3748" s="32">
        <v>3747.0</v>
      </c>
      <c r="B3748" s="32" t="s">
        <v>4683</v>
      </c>
      <c r="C3748" s="32" t="s">
        <v>184</v>
      </c>
      <c r="D3748" s="32" t="s">
        <v>254</v>
      </c>
      <c r="E3748" s="32" t="s">
        <v>3009</v>
      </c>
      <c r="F3748" s="32" t="s">
        <v>257</v>
      </c>
      <c r="G3748" s="32" t="s">
        <v>508</v>
      </c>
    </row>
    <row r="3749" ht="16.5" customHeight="1">
      <c r="A3749" s="32">
        <v>3748.0</v>
      </c>
      <c r="B3749" s="32" t="s">
        <v>4684</v>
      </c>
      <c r="C3749" s="32" t="s">
        <v>184</v>
      </c>
      <c r="D3749" s="32" t="s">
        <v>254</v>
      </c>
      <c r="E3749" s="32" t="s">
        <v>3009</v>
      </c>
      <c r="F3749" s="32" t="s">
        <v>741</v>
      </c>
      <c r="G3749" s="32" t="s">
        <v>4685</v>
      </c>
    </row>
    <row r="3750" ht="16.5" customHeight="1">
      <c r="A3750" s="32">
        <v>3749.0</v>
      </c>
      <c r="B3750" s="32" t="s">
        <v>4686</v>
      </c>
      <c r="C3750" s="32" t="s">
        <v>184</v>
      </c>
      <c r="D3750" s="32" t="s">
        <v>254</v>
      </c>
      <c r="E3750" s="32" t="s">
        <v>3009</v>
      </c>
      <c r="F3750" s="32" t="s">
        <v>257</v>
      </c>
      <c r="G3750" s="32" t="s">
        <v>1715</v>
      </c>
    </row>
    <row r="3751" ht="16.5" customHeight="1">
      <c r="A3751" s="32">
        <v>3750.0</v>
      </c>
      <c r="B3751" s="32" t="s">
        <v>4687</v>
      </c>
      <c r="C3751" s="32" t="s">
        <v>184</v>
      </c>
      <c r="D3751" s="32" t="s">
        <v>254</v>
      </c>
      <c r="E3751" s="32" t="s">
        <v>3009</v>
      </c>
      <c r="F3751" s="32" t="s">
        <v>257</v>
      </c>
      <c r="G3751" s="32" t="s">
        <v>1707</v>
      </c>
    </row>
    <row r="3752" ht="16.5" customHeight="1">
      <c r="A3752" s="32">
        <v>3751.0</v>
      </c>
      <c r="B3752" s="32" t="s">
        <v>4688</v>
      </c>
      <c r="C3752" s="32" t="s">
        <v>184</v>
      </c>
      <c r="D3752" s="32" t="s">
        <v>192</v>
      </c>
      <c r="E3752" s="32" t="s">
        <v>3009</v>
      </c>
      <c r="F3752" s="32" t="s">
        <v>329</v>
      </c>
      <c r="G3752" s="32" t="s">
        <v>357</v>
      </c>
    </row>
    <row r="3753" ht="16.5" customHeight="1">
      <c r="A3753" s="32">
        <v>3752.0</v>
      </c>
      <c r="B3753" s="32" t="s">
        <v>4689</v>
      </c>
      <c r="C3753" s="32" t="s">
        <v>184</v>
      </c>
      <c r="D3753" s="32" t="s">
        <v>228</v>
      </c>
      <c r="E3753" s="32" t="s">
        <v>3009</v>
      </c>
      <c r="F3753" s="32" t="s">
        <v>544</v>
      </c>
      <c r="G3753" s="32" t="s">
        <v>4690</v>
      </c>
    </row>
    <row r="3754" ht="16.5" customHeight="1">
      <c r="A3754" s="32">
        <v>3753.0</v>
      </c>
      <c r="B3754" s="32" t="s">
        <v>4691</v>
      </c>
      <c r="C3754" s="32" t="s">
        <v>184</v>
      </c>
      <c r="D3754" s="32" t="s">
        <v>185</v>
      </c>
      <c r="E3754" s="32" t="s">
        <v>255</v>
      </c>
    </row>
    <row r="3755" ht="16.5" customHeight="1">
      <c r="A3755" s="32">
        <v>3754.0</v>
      </c>
      <c r="B3755" s="32" t="s">
        <v>4692</v>
      </c>
      <c r="C3755" s="32" t="s">
        <v>184</v>
      </c>
      <c r="D3755" s="32" t="s">
        <v>185</v>
      </c>
      <c r="E3755" s="32" t="s">
        <v>255</v>
      </c>
      <c r="F3755" s="32" t="s">
        <v>1114</v>
      </c>
    </row>
    <row r="3756" ht="16.5" customHeight="1">
      <c r="A3756" s="32">
        <v>3755.0</v>
      </c>
      <c r="B3756" s="32" t="s">
        <v>4693</v>
      </c>
      <c r="C3756" s="32" t="s">
        <v>184</v>
      </c>
      <c r="D3756" s="32" t="s">
        <v>185</v>
      </c>
      <c r="E3756" s="32" t="s">
        <v>255</v>
      </c>
      <c r="F3756" s="32" t="s">
        <v>1114</v>
      </c>
    </row>
    <row r="3757" ht="16.5" customHeight="1">
      <c r="A3757" s="32">
        <v>3756.0</v>
      </c>
      <c r="B3757" s="32" t="s">
        <v>4694</v>
      </c>
      <c r="C3757" s="32" t="s">
        <v>184</v>
      </c>
      <c r="D3757" s="32" t="s">
        <v>185</v>
      </c>
      <c r="E3757" s="32" t="s">
        <v>255</v>
      </c>
      <c r="F3757" s="32" t="s">
        <v>4695</v>
      </c>
    </row>
    <row r="3758" ht="16.5" customHeight="1">
      <c r="A3758" s="32">
        <v>3757.0</v>
      </c>
      <c r="B3758" s="32" t="s">
        <v>4696</v>
      </c>
      <c r="C3758" s="32" t="s">
        <v>184</v>
      </c>
      <c r="D3758" s="32" t="s">
        <v>185</v>
      </c>
      <c r="E3758" s="32" t="s">
        <v>255</v>
      </c>
    </row>
    <row r="3759" ht="16.5" customHeight="1">
      <c r="A3759" s="32">
        <v>3758.0</v>
      </c>
      <c r="B3759" s="32" t="s">
        <v>4697</v>
      </c>
      <c r="C3759" s="32" t="s">
        <v>184</v>
      </c>
      <c r="D3759" s="32" t="s">
        <v>219</v>
      </c>
      <c r="E3759" s="32" t="s">
        <v>255</v>
      </c>
    </row>
    <row r="3760" ht="16.5" customHeight="1">
      <c r="A3760" s="32">
        <v>3759.0</v>
      </c>
      <c r="B3760" s="32" t="s">
        <v>4698</v>
      </c>
      <c r="C3760" s="32" t="s">
        <v>184</v>
      </c>
      <c r="D3760" s="32" t="s">
        <v>325</v>
      </c>
      <c r="E3760" s="32" t="s">
        <v>255</v>
      </c>
    </row>
    <row r="3761" ht="16.5" customHeight="1">
      <c r="A3761" s="32">
        <v>3760.0</v>
      </c>
      <c r="B3761" s="32" t="s">
        <v>4699</v>
      </c>
      <c r="C3761" s="32" t="s">
        <v>184</v>
      </c>
      <c r="D3761" s="32" t="s">
        <v>285</v>
      </c>
      <c r="E3761" s="32" t="s">
        <v>255</v>
      </c>
    </row>
    <row r="3762" ht="16.5" customHeight="1">
      <c r="A3762" s="32">
        <v>3761.0</v>
      </c>
      <c r="B3762" s="32" t="s">
        <v>4700</v>
      </c>
      <c r="C3762" s="32" t="s">
        <v>184</v>
      </c>
      <c r="D3762" s="32" t="s">
        <v>285</v>
      </c>
      <c r="E3762" s="32" t="s">
        <v>255</v>
      </c>
      <c r="F3762" s="32" t="s">
        <v>2482</v>
      </c>
      <c r="G3762" s="32" t="s">
        <v>553</v>
      </c>
    </row>
    <row r="3763" ht="16.5" customHeight="1">
      <c r="A3763" s="32">
        <v>3762.0</v>
      </c>
      <c r="B3763" s="32" t="s">
        <v>4701</v>
      </c>
      <c r="C3763" s="32" t="s">
        <v>184</v>
      </c>
      <c r="D3763" s="32" t="s">
        <v>192</v>
      </c>
      <c r="E3763" s="32" t="s">
        <v>255</v>
      </c>
    </row>
    <row r="3764" ht="16.5" customHeight="1">
      <c r="A3764" s="32">
        <v>3763.0</v>
      </c>
      <c r="B3764" s="32" t="s">
        <v>4702</v>
      </c>
      <c r="C3764" s="32" t="s">
        <v>184</v>
      </c>
      <c r="D3764" s="32" t="s">
        <v>285</v>
      </c>
      <c r="E3764" s="32" t="s">
        <v>222</v>
      </c>
    </row>
    <row r="3765" ht="16.5" customHeight="1">
      <c r="A3765" s="32">
        <v>3764.0</v>
      </c>
      <c r="B3765" s="32" t="s">
        <v>4703</v>
      </c>
      <c r="C3765" s="32" t="s">
        <v>184</v>
      </c>
      <c r="D3765" s="32" t="s">
        <v>285</v>
      </c>
      <c r="E3765" s="32" t="s">
        <v>255</v>
      </c>
    </row>
    <row r="3766" ht="16.5" customHeight="1">
      <c r="A3766" s="32">
        <v>3765.0</v>
      </c>
      <c r="B3766" s="32" t="s">
        <v>4704</v>
      </c>
      <c r="C3766" s="32" t="s">
        <v>184</v>
      </c>
      <c r="D3766" s="32" t="s">
        <v>185</v>
      </c>
      <c r="E3766" s="32" t="s">
        <v>4705</v>
      </c>
    </row>
    <row r="3767" ht="16.5" customHeight="1">
      <c r="A3767" s="32">
        <v>3766.0</v>
      </c>
      <c r="B3767" s="32" t="s">
        <v>4706</v>
      </c>
      <c r="C3767" s="32" t="s">
        <v>184</v>
      </c>
      <c r="D3767" s="32" t="s">
        <v>192</v>
      </c>
      <c r="E3767" s="32" t="s">
        <v>4705</v>
      </c>
      <c r="F3767" s="32" t="s">
        <v>570</v>
      </c>
      <c r="G3767" s="32" t="s">
        <v>447</v>
      </c>
    </row>
    <row r="3768" ht="16.5" customHeight="1">
      <c r="A3768" s="32">
        <v>3767.0</v>
      </c>
      <c r="B3768" s="32" t="s">
        <v>4707</v>
      </c>
      <c r="C3768" s="32" t="s">
        <v>184</v>
      </c>
      <c r="D3768" s="32" t="s">
        <v>285</v>
      </c>
      <c r="E3768" s="32" t="s">
        <v>4705</v>
      </c>
      <c r="F3768" s="32" t="s">
        <v>189</v>
      </c>
      <c r="G3768" s="32" t="s">
        <v>190</v>
      </c>
    </row>
    <row r="3769" ht="16.5" customHeight="1">
      <c r="A3769" s="32">
        <v>3768.0</v>
      </c>
      <c r="B3769" s="32" t="s">
        <v>4708</v>
      </c>
      <c r="C3769" s="32" t="s">
        <v>184</v>
      </c>
      <c r="D3769" s="32" t="s">
        <v>185</v>
      </c>
      <c r="E3769" s="32" t="s">
        <v>4705</v>
      </c>
    </row>
    <row r="3770" ht="16.5" customHeight="1">
      <c r="A3770" s="32">
        <v>3769.0</v>
      </c>
      <c r="B3770" s="32" t="s">
        <v>4709</v>
      </c>
      <c r="C3770" s="32" t="s">
        <v>184</v>
      </c>
      <c r="D3770" s="32" t="s">
        <v>285</v>
      </c>
      <c r="E3770" s="32" t="s">
        <v>4705</v>
      </c>
    </row>
    <row r="3771" ht="16.5" customHeight="1">
      <c r="A3771" s="32">
        <v>3770.0</v>
      </c>
      <c r="B3771" s="32" t="s">
        <v>4710</v>
      </c>
      <c r="C3771" s="32" t="s">
        <v>184</v>
      </c>
      <c r="D3771" s="32" t="s">
        <v>185</v>
      </c>
      <c r="E3771" s="32" t="s">
        <v>4705</v>
      </c>
      <c r="F3771" s="32" t="s">
        <v>189</v>
      </c>
      <c r="G3771" s="32" t="s">
        <v>314</v>
      </c>
    </row>
    <row r="3772" ht="16.5" customHeight="1">
      <c r="A3772" s="32">
        <v>3771.0</v>
      </c>
      <c r="B3772" s="32" t="s">
        <v>4711</v>
      </c>
      <c r="C3772" s="32" t="s">
        <v>184</v>
      </c>
      <c r="D3772" s="32" t="s">
        <v>192</v>
      </c>
      <c r="E3772" s="32" t="s">
        <v>4705</v>
      </c>
      <c r="F3772" s="32" t="s">
        <v>238</v>
      </c>
      <c r="G3772" s="32" t="s">
        <v>618</v>
      </c>
    </row>
    <row r="3773" ht="16.5" customHeight="1">
      <c r="A3773" s="32">
        <v>3772.0</v>
      </c>
      <c r="B3773" s="32" t="s">
        <v>4712</v>
      </c>
      <c r="C3773" s="32" t="s">
        <v>184</v>
      </c>
      <c r="D3773" s="32" t="s">
        <v>219</v>
      </c>
      <c r="E3773" s="32" t="s">
        <v>255</v>
      </c>
      <c r="F3773" s="32" t="s">
        <v>223</v>
      </c>
      <c r="G3773" s="32" t="s">
        <v>394</v>
      </c>
    </row>
    <row r="3774" ht="16.5" customHeight="1">
      <c r="A3774" s="32">
        <v>3773.0</v>
      </c>
      <c r="B3774" s="32" t="s">
        <v>4713</v>
      </c>
      <c r="C3774" s="32" t="s">
        <v>184</v>
      </c>
      <c r="D3774" s="32" t="s">
        <v>219</v>
      </c>
      <c r="E3774" s="32" t="s">
        <v>255</v>
      </c>
      <c r="F3774" s="32" t="s">
        <v>223</v>
      </c>
      <c r="G3774" s="32" t="s">
        <v>662</v>
      </c>
    </row>
    <row r="3775" ht="16.5" customHeight="1">
      <c r="A3775" s="32">
        <v>3774.0</v>
      </c>
      <c r="B3775" s="32" t="s">
        <v>4714</v>
      </c>
      <c r="C3775" s="32" t="s">
        <v>184</v>
      </c>
      <c r="D3775" s="32" t="s">
        <v>219</v>
      </c>
      <c r="E3775" s="32" t="s">
        <v>255</v>
      </c>
      <c r="F3775" s="32" t="s">
        <v>223</v>
      </c>
      <c r="G3775" s="32" t="s">
        <v>662</v>
      </c>
    </row>
    <row r="3776" ht="16.5" customHeight="1">
      <c r="A3776" s="32">
        <v>3775.0</v>
      </c>
      <c r="B3776" s="32" t="s">
        <v>4715</v>
      </c>
      <c r="C3776" s="32" t="s">
        <v>184</v>
      </c>
      <c r="D3776" s="32" t="s">
        <v>219</v>
      </c>
      <c r="E3776" s="32" t="s">
        <v>255</v>
      </c>
      <c r="F3776" s="32" t="s">
        <v>223</v>
      </c>
      <c r="G3776" s="32" t="s">
        <v>394</v>
      </c>
    </row>
    <row r="3777" ht="16.5" customHeight="1">
      <c r="A3777" s="32">
        <v>3776.0</v>
      </c>
      <c r="B3777" s="32" t="s">
        <v>4716</v>
      </c>
      <c r="C3777" s="32" t="s">
        <v>184</v>
      </c>
      <c r="D3777" s="32" t="s">
        <v>219</v>
      </c>
      <c r="E3777" s="32" t="s">
        <v>255</v>
      </c>
      <c r="F3777" s="32" t="s">
        <v>223</v>
      </c>
      <c r="G3777" s="32" t="s">
        <v>394</v>
      </c>
    </row>
    <row r="3778" ht="16.5" customHeight="1">
      <c r="A3778" s="32">
        <v>3777.0</v>
      </c>
      <c r="B3778" s="32" t="s">
        <v>4717</v>
      </c>
      <c r="C3778" s="32" t="s">
        <v>184</v>
      </c>
      <c r="D3778" s="32" t="s">
        <v>219</v>
      </c>
      <c r="E3778" s="32" t="s">
        <v>255</v>
      </c>
      <c r="F3778" s="32" t="s">
        <v>223</v>
      </c>
      <c r="G3778" s="32" t="s">
        <v>394</v>
      </c>
    </row>
    <row r="3779" ht="16.5" customHeight="1">
      <c r="A3779" s="32">
        <v>3778.0</v>
      </c>
      <c r="B3779" s="32" t="s">
        <v>4718</v>
      </c>
      <c r="C3779" s="32" t="s">
        <v>184</v>
      </c>
      <c r="D3779" s="32" t="s">
        <v>219</v>
      </c>
      <c r="E3779" s="32" t="s">
        <v>255</v>
      </c>
      <c r="F3779" s="32" t="s">
        <v>223</v>
      </c>
      <c r="G3779" s="32" t="s">
        <v>472</v>
      </c>
    </row>
    <row r="3780" ht="16.5" customHeight="1">
      <c r="A3780" s="32">
        <v>3779.0</v>
      </c>
      <c r="B3780" s="32" t="s">
        <v>4719</v>
      </c>
      <c r="C3780" s="32" t="s">
        <v>184</v>
      </c>
      <c r="D3780" s="32" t="s">
        <v>219</v>
      </c>
      <c r="E3780" s="32" t="s">
        <v>255</v>
      </c>
      <c r="F3780" s="32" t="s">
        <v>223</v>
      </c>
      <c r="G3780" s="32" t="s">
        <v>347</v>
      </c>
    </row>
    <row r="3781" ht="16.5" customHeight="1">
      <c r="A3781" s="32">
        <v>3780.0</v>
      </c>
      <c r="B3781" s="32" t="s">
        <v>4720</v>
      </c>
      <c r="C3781" s="32" t="s">
        <v>184</v>
      </c>
      <c r="D3781" s="32" t="s">
        <v>219</v>
      </c>
      <c r="E3781" s="32" t="s">
        <v>255</v>
      </c>
    </row>
    <row r="3782" ht="16.5" customHeight="1">
      <c r="A3782" s="32">
        <v>3781.0</v>
      </c>
      <c r="B3782" s="32" t="s">
        <v>4721</v>
      </c>
      <c r="C3782" s="32" t="s">
        <v>184</v>
      </c>
      <c r="D3782" s="32" t="s">
        <v>219</v>
      </c>
      <c r="E3782" s="32" t="s">
        <v>255</v>
      </c>
    </row>
    <row r="3783" ht="16.5" customHeight="1">
      <c r="A3783" s="32">
        <v>3782.0</v>
      </c>
      <c r="B3783" s="32" t="s">
        <v>4722</v>
      </c>
      <c r="C3783" s="32" t="s">
        <v>184</v>
      </c>
      <c r="D3783" s="32" t="s">
        <v>254</v>
      </c>
      <c r="E3783" s="32" t="s">
        <v>255</v>
      </c>
      <c r="F3783" s="32" t="s">
        <v>256</v>
      </c>
      <c r="G3783" s="32" t="s">
        <v>257</v>
      </c>
    </row>
    <row r="3784" ht="16.5" customHeight="1">
      <c r="A3784" s="32">
        <v>3783.0</v>
      </c>
      <c r="B3784" s="32" t="s">
        <v>4723</v>
      </c>
      <c r="C3784" s="32" t="s">
        <v>184</v>
      </c>
      <c r="D3784" s="32" t="s">
        <v>254</v>
      </c>
      <c r="E3784" s="32" t="s">
        <v>255</v>
      </c>
    </row>
    <row r="3785" ht="16.5" customHeight="1">
      <c r="A3785" s="32">
        <v>3784.0</v>
      </c>
      <c r="B3785" s="32" t="s">
        <v>4724</v>
      </c>
      <c r="C3785" s="32" t="s">
        <v>184</v>
      </c>
      <c r="D3785" s="32" t="s">
        <v>192</v>
      </c>
      <c r="E3785" s="32" t="s">
        <v>215</v>
      </c>
      <c r="F3785" s="32" t="s">
        <v>300</v>
      </c>
      <c r="G3785" s="32" t="s">
        <v>387</v>
      </c>
    </row>
    <row r="3786" ht="16.5" customHeight="1">
      <c r="A3786" s="32">
        <v>3785.0</v>
      </c>
      <c r="B3786" s="32" t="s">
        <v>4725</v>
      </c>
      <c r="C3786" s="32" t="s">
        <v>184</v>
      </c>
      <c r="D3786" s="32" t="s">
        <v>254</v>
      </c>
      <c r="E3786" s="32" t="s">
        <v>255</v>
      </c>
      <c r="F3786" s="32" t="s">
        <v>263</v>
      </c>
      <c r="G3786" s="32" t="s">
        <v>1878</v>
      </c>
    </row>
    <row r="3787" ht="16.5" customHeight="1">
      <c r="A3787" s="32">
        <v>3786.0</v>
      </c>
      <c r="B3787" s="32" t="s">
        <v>4726</v>
      </c>
      <c r="C3787" s="32" t="s">
        <v>184</v>
      </c>
      <c r="D3787" s="32" t="s">
        <v>254</v>
      </c>
      <c r="E3787" s="32" t="s">
        <v>255</v>
      </c>
      <c r="F3787" s="32" t="s">
        <v>260</v>
      </c>
      <c r="G3787" s="32" t="s">
        <v>1306</v>
      </c>
    </row>
    <row r="3788" ht="16.5" customHeight="1">
      <c r="A3788" s="32">
        <v>3787.0</v>
      </c>
      <c r="B3788" s="32" t="s">
        <v>4727</v>
      </c>
      <c r="C3788" s="32" t="s">
        <v>184</v>
      </c>
      <c r="D3788" s="32" t="s">
        <v>185</v>
      </c>
      <c r="E3788" s="32" t="s">
        <v>255</v>
      </c>
      <c r="F3788" s="32" t="s">
        <v>4728</v>
      </c>
      <c r="G3788" s="32" t="s">
        <v>188</v>
      </c>
    </row>
    <row r="3789" ht="16.5" customHeight="1">
      <c r="A3789" s="32">
        <v>3788.0</v>
      </c>
      <c r="B3789" s="32" t="s">
        <v>4729</v>
      </c>
      <c r="C3789" s="32" t="s">
        <v>184</v>
      </c>
      <c r="D3789" s="32" t="s">
        <v>234</v>
      </c>
      <c r="E3789" s="32" t="s">
        <v>255</v>
      </c>
      <c r="F3789" s="32" t="s">
        <v>235</v>
      </c>
      <c r="G3789" s="32" t="s">
        <v>4730</v>
      </c>
    </row>
    <row r="3790" ht="16.5" customHeight="1">
      <c r="A3790" s="32">
        <v>3789.0</v>
      </c>
      <c r="B3790" s="32" t="s">
        <v>4731</v>
      </c>
      <c r="C3790" s="32" t="s">
        <v>184</v>
      </c>
      <c r="D3790" s="32" t="s">
        <v>228</v>
      </c>
      <c r="E3790" s="32" t="s">
        <v>255</v>
      </c>
      <c r="F3790" s="32" t="s">
        <v>257</v>
      </c>
      <c r="G3790" s="32" t="s">
        <v>4732</v>
      </c>
    </row>
    <row r="3791" ht="16.5" customHeight="1">
      <c r="A3791" s="32">
        <v>3790.0</v>
      </c>
      <c r="B3791" s="32" t="s">
        <v>4733</v>
      </c>
      <c r="C3791" s="32" t="s">
        <v>184</v>
      </c>
      <c r="D3791" s="32" t="s">
        <v>254</v>
      </c>
      <c r="E3791" s="32" t="s">
        <v>255</v>
      </c>
      <c r="F3791" s="32" t="s">
        <v>263</v>
      </c>
    </row>
    <row r="3792" ht="16.5" customHeight="1">
      <c r="A3792" s="32">
        <v>3791.0</v>
      </c>
      <c r="B3792" s="32" t="s">
        <v>4734</v>
      </c>
      <c r="C3792" s="32" t="s">
        <v>184</v>
      </c>
      <c r="D3792" s="32" t="s">
        <v>285</v>
      </c>
      <c r="E3792" s="32" t="s">
        <v>255</v>
      </c>
      <c r="F3792" s="32" t="s">
        <v>524</v>
      </c>
      <c r="G3792" s="32" t="s">
        <v>190</v>
      </c>
    </row>
    <row r="3793" ht="16.5" customHeight="1">
      <c r="A3793" s="32">
        <v>3792.0</v>
      </c>
      <c r="B3793" s="32" t="s">
        <v>4735</v>
      </c>
      <c r="C3793" s="32" t="s">
        <v>184</v>
      </c>
      <c r="D3793" s="32" t="s">
        <v>185</v>
      </c>
      <c r="E3793" s="32" t="s">
        <v>255</v>
      </c>
      <c r="F3793" s="32" t="s">
        <v>4736</v>
      </c>
      <c r="G3793" s="32" t="s">
        <v>3229</v>
      </c>
    </row>
    <row r="3794" ht="16.5" customHeight="1">
      <c r="A3794" s="32">
        <v>3793.0</v>
      </c>
      <c r="B3794" s="32" t="s">
        <v>4737</v>
      </c>
      <c r="C3794" s="32" t="s">
        <v>184</v>
      </c>
      <c r="D3794" s="32" t="s">
        <v>254</v>
      </c>
      <c r="E3794" s="32" t="s">
        <v>255</v>
      </c>
    </row>
    <row r="3795" ht="16.5" customHeight="1">
      <c r="A3795" s="32">
        <v>3794.0</v>
      </c>
      <c r="B3795" s="32" t="s">
        <v>4738</v>
      </c>
      <c r="C3795" s="32" t="s">
        <v>184</v>
      </c>
      <c r="D3795" s="32" t="s">
        <v>254</v>
      </c>
      <c r="E3795" s="32" t="s">
        <v>255</v>
      </c>
      <c r="F3795" s="32" t="s">
        <v>263</v>
      </c>
      <c r="G3795" s="32" t="s">
        <v>289</v>
      </c>
    </row>
    <row r="3796" ht="16.5" customHeight="1">
      <c r="A3796" s="32">
        <v>3795.0</v>
      </c>
      <c r="B3796" s="32" t="s">
        <v>4739</v>
      </c>
      <c r="C3796" s="32" t="s">
        <v>184</v>
      </c>
      <c r="D3796" s="32" t="s">
        <v>254</v>
      </c>
      <c r="E3796" s="32" t="s">
        <v>255</v>
      </c>
      <c r="F3796" s="32" t="s">
        <v>257</v>
      </c>
      <c r="G3796" s="32" t="s">
        <v>256</v>
      </c>
    </row>
    <row r="3797" ht="16.5" customHeight="1">
      <c r="A3797" s="32">
        <v>3796.0</v>
      </c>
      <c r="B3797" s="32" t="s">
        <v>4739</v>
      </c>
      <c r="C3797" s="32" t="s">
        <v>184</v>
      </c>
      <c r="D3797" s="32" t="s">
        <v>254</v>
      </c>
      <c r="E3797" s="32" t="s">
        <v>255</v>
      </c>
      <c r="F3797" s="32" t="s">
        <v>257</v>
      </c>
      <c r="G3797" s="32" t="s">
        <v>256</v>
      </c>
    </row>
    <row r="3798" ht="16.5" customHeight="1">
      <c r="A3798" s="32">
        <v>3797.0</v>
      </c>
      <c r="B3798" s="32" t="s">
        <v>4740</v>
      </c>
      <c r="C3798" s="32" t="s">
        <v>184</v>
      </c>
      <c r="D3798" s="32" t="s">
        <v>254</v>
      </c>
      <c r="E3798" s="32" t="s">
        <v>255</v>
      </c>
      <c r="F3798" s="32" t="s">
        <v>260</v>
      </c>
    </row>
    <row r="3799" ht="16.5" customHeight="1">
      <c r="A3799" s="32">
        <v>3798.0</v>
      </c>
      <c r="B3799" s="32" t="s">
        <v>4741</v>
      </c>
      <c r="C3799" s="32" t="s">
        <v>184</v>
      </c>
      <c r="D3799" s="32" t="s">
        <v>254</v>
      </c>
      <c r="E3799" s="32" t="s">
        <v>255</v>
      </c>
      <c r="F3799" s="32" t="s">
        <v>260</v>
      </c>
    </row>
    <row r="3800" ht="16.5" customHeight="1">
      <c r="A3800" s="32">
        <v>3799.0</v>
      </c>
      <c r="B3800" s="32" t="s">
        <v>4742</v>
      </c>
      <c r="C3800" s="32" t="s">
        <v>184</v>
      </c>
      <c r="D3800" s="32" t="s">
        <v>219</v>
      </c>
      <c r="E3800" s="32" t="s">
        <v>255</v>
      </c>
      <c r="F3800" s="32" t="s">
        <v>216</v>
      </c>
      <c r="G3800" s="32" t="s">
        <v>217</v>
      </c>
    </row>
    <row r="3801" ht="16.5" customHeight="1">
      <c r="A3801" s="32">
        <v>3800.0</v>
      </c>
      <c r="B3801" s="32" t="s">
        <v>4743</v>
      </c>
      <c r="C3801" s="32" t="s">
        <v>184</v>
      </c>
      <c r="D3801" s="32" t="s">
        <v>219</v>
      </c>
      <c r="E3801" s="32" t="s">
        <v>255</v>
      </c>
      <c r="F3801" s="32" t="s">
        <v>241</v>
      </c>
      <c r="G3801" s="32" t="s">
        <v>292</v>
      </c>
    </row>
    <row r="3802" ht="16.5" customHeight="1">
      <c r="A3802" s="32">
        <v>3801.0</v>
      </c>
      <c r="B3802" s="32" t="s">
        <v>4744</v>
      </c>
      <c r="C3802" s="32" t="s">
        <v>184</v>
      </c>
      <c r="D3802" s="32" t="s">
        <v>192</v>
      </c>
      <c r="E3802" s="32" t="s">
        <v>255</v>
      </c>
      <c r="F3802" s="32" t="s">
        <v>329</v>
      </c>
      <c r="G3802" s="32" t="s">
        <v>3429</v>
      </c>
    </row>
    <row r="3803" ht="16.5" customHeight="1">
      <c r="A3803" s="32">
        <v>3802.0</v>
      </c>
      <c r="B3803" s="32" t="s">
        <v>4745</v>
      </c>
      <c r="C3803" s="32" t="s">
        <v>184</v>
      </c>
      <c r="D3803" s="32" t="s">
        <v>254</v>
      </c>
      <c r="E3803" s="32" t="s">
        <v>255</v>
      </c>
      <c r="F3803" s="32" t="s">
        <v>4150</v>
      </c>
      <c r="G3803" s="32" t="s">
        <v>243</v>
      </c>
    </row>
    <row r="3804" ht="16.5" customHeight="1">
      <c r="A3804" s="32">
        <v>3803.0</v>
      </c>
      <c r="B3804" s="32" t="s">
        <v>4746</v>
      </c>
      <c r="C3804" s="32" t="s">
        <v>184</v>
      </c>
      <c r="D3804" s="32" t="s">
        <v>254</v>
      </c>
      <c r="E3804" s="32" t="s">
        <v>255</v>
      </c>
    </row>
    <row r="3805" ht="16.5" customHeight="1">
      <c r="A3805" s="32">
        <v>3804.0</v>
      </c>
      <c r="B3805" s="32" t="s">
        <v>4747</v>
      </c>
      <c r="C3805" s="32" t="s">
        <v>184</v>
      </c>
      <c r="D3805" s="32" t="s">
        <v>254</v>
      </c>
      <c r="E3805" s="32" t="s">
        <v>255</v>
      </c>
      <c r="F3805" s="32" t="s">
        <v>305</v>
      </c>
      <c r="G3805" s="32" t="s">
        <v>317</v>
      </c>
    </row>
    <row r="3806" ht="16.5" customHeight="1">
      <c r="A3806" s="32">
        <v>3805.0</v>
      </c>
      <c r="B3806" s="32" t="s">
        <v>4748</v>
      </c>
      <c r="C3806" s="32" t="s">
        <v>184</v>
      </c>
      <c r="D3806" s="35" t="s">
        <v>310</v>
      </c>
      <c r="E3806" s="32" t="s">
        <v>255</v>
      </c>
      <c r="F3806" s="32" t="s">
        <v>305</v>
      </c>
      <c r="G3806" s="32" t="s">
        <v>4749</v>
      </c>
    </row>
    <row r="3807" ht="16.5" customHeight="1">
      <c r="A3807" s="32">
        <v>3806.0</v>
      </c>
      <c r="B3807" s="32" t="s">
        <v>4750</v>
      </c>
      <c r="C3807" s="32" t="s">
        <v>184</v>
      </c>
      <c r="D3807" s="32" t="s">
        <v>254</v>
      </c>
      <c r="E3807" s="32" t="s">
        <v>255</v>
      </c>
      <c r="F3807" s="32" t="s">
        <v>305</v>
      </c>
      <c r="G3807" s="32" t="s">
        <v>319</v>
      </c>
    </row>
    <row r="3808" ht="16.5" customHeight="1">
      <c r="A3808" s="32">
        <v>3807.0</v>
      </c>
      <c r="B3808" s="32" t="s">
        <v>4751</v>
      </c>
      <c r="C3808" s="32" t="s">
        <v>184</v>
      </c>
      <c r="D3808" s="32" t="s">
        <v>254</v>
      </c>
      <c r="E3808" s="32" t="s">
        <v>399</v>
      </c>
    </row>
    <row r="3809" ht="16.5" customHeight="1">
      <c r="A3809" s="32">
        <v>3808.0</v>
      </c>
      <c r="B3809" s="32" t="s">
        <v>4752</v>
      </c>
      <c r="C3809" s="32" t="s">
        <v>184</v>
      </c>
      <c r="D3809" s="32" t="s">
        <v>254</v>
      </c>
      <c r="E3809" s="32" t="s">
        <v>399</v>
      </c>
    </row>
    <row r="3810" ht="16.5" customHeight="1">
      <c r="A3810" s="32">
        <v>3809.0</v>
      </c>
      <c r="B3810" s="32" t="s">
        <v>4753</v>
      </c>
      <c r="C3810" s="32" t="s">
        <v>184</v>
      </c>
      <c r="D3810" s="32" t="s">
        <v>254</v>
      </c>
      <c r="E3810" s="32" t="s">
        <v>255</v>
      </c>
      <c r="F3810" s="32" t="s">
        <v>256</v>
      </c>
      <c r="G3810" s="32" t="s">
        <v>4754</v>
      </c>
    </row>
    <row r="3811" ht="16.5" customHeight="1">
      <c r="A3811" s="32">
        <v>3810.0</v>
      </c>
      <c r="B3811" s="32" t="s">
        <v>4755</v>
      </c>
      <c r="C3811" s="32" t="s">
        <v>184</v>
      </c>
      <c r="D3811" s="32" t="s">
        <v>254</v>
      </c>
      <c r="E3811" s="32" t="s">
        <v>255</v>
      </c>
    </row>
    <row r="3812" ht="16.5" customHeight="1">
      <c r="A3812" s="32">
        <v>3811.0</v>
      </c>
      <c r="B3812" s="32" t="s">
        <v>4756</v>
      </c>
      <c r="C3812" s="32" t="s">
        <v>184</v>
      </c>
      <c r="D3812" s="32" t="s">
        <v>185</v>
      </c>
      <c r="E3812" s="32" t="s">
        <v>255</v>
      </c>
      <c r="F3812" s="32" t="s">
        <v>271</v>
      </c>
      <c r="G3812" s="32" t="s">
        <v>563</v>
      </c>
    </row>
    <row r="3813" ht="16.5" customHeight="1">
      <c r="A3813" s="32">
        <v>3812.0</v>
      </c>
      <c r="B3813" s="32" t="s">
        <v>4757</v>
      </c>
      <c r="C3813" s="32" t="s">
        <v>184</v>
      </c>
      <c r="D3813" s="35" t="s">
        <v>310</v>
      </c>
      <c r="E3813" s="32" t="s">
        <v>255</v>
      </c>
    </row>
    <row r="3814" ht="16.5" customHeight="1">
      <c r="A3814" s="32">
        <v>3813.0</v>
      </c>
      <c r="B3814" s="32" t="s">
        <v>4758</v>
      </c>
      <c r="C3814" s="32" t="s">
        <v>184</v>
      </c>
      <c r="D3814" s="32" t="s">
        <v>254</v>
      </c>
      <c r="E3814" s="32" t="s">
        <v>255</v>
      </c>
      <c r="F3814" s="32" t="s">
        <v>305</v>
      </c>
      <c r="G3814" s="32" t="s">
        <v>2482</v>
      </c>
    </row>
    <row r="3815" ht="16.5" customHeight="1">
      <c r="A3815" s="32">
        <v>3814.0</v>
      </c>
      <c r="B3815" s="32" t="s">
        <v>4759</v>
      </c>
      <c r="C3815" s="32" t="s">
        <v>184</v>
      </c>
      <c r="D3815" s="32" t="s">
        <v>185</v>
      </c>
      <c r="E3815" s="32" t="s">
        <v>255</v>
      </c>
    </row>
    <row r="3816" ht="16.5" customHeight="1">
      <c r="A3816" s="32">
        <v>3815.0</v>
      </c>
      <c r="B3816" s="32" t="s">
        <v>4760</v>
      </c>
      <c r="C3816" s="32" t="s">
        <v>184</v>
      </c>
      <c r="D3816" s="32" t="s">
        <v>254</v>
      </c>
      <c r="E3816" s="32" t="s">
        <v>255</v>
      </c>
      <c r="F3816" s="32" t="s">
        <v>305</v>
      </c>
      <c r="G3816" s="32" t="s">
        <v>600</v>
      </c>
    </row>
    <row r="3817" ht="16.5" customHeight="1">
      <c r="A3817" s="32">
        <v>3816.0</v>
      </c>
      <c r="B3817" s="32" t="s">
        <v>4761</v>
      </c>
      <c r="C3817" s="32" t="s">
        <v>184</v>
      </c>
      <c r="D3817" s="32" t="s">
        <v>285</v>
      </c>
      <c r="E3817" s="32" t="s">
        <v>255</v>
      </c>
      <c r="F3817" s="32" t="s">
        <v>189</v>
      </c>
      <c r="G3817" s="32" t="s">
        <v>190</v>
      </c>
    </row>
    <row r="3818" ht="16.5" customHeight="1">
      <c r="A3818" s="32">
        <v>3817.0</v>
      </c>
      <c r="B3818" s="32" t="s">
        <v>4762</v>
      </c>
      <c r="C3818" s="32" t="s">
        <v>184</v>
      </c>
      <c r="D3818" s="32" t="s">
        <v>185</v>
      </c>
      <c r="E3818" s="32" t="s">
        <v>255</v>
      </c>
    </row>
    <row r="3819" ht="16.5" customHeight="1">
      <c r="A3819" s="32">
        <v>3818.0</v>
      </c>
      <c r="B3819" s="32" t="s">
        <v>4763</v>
      </c>
      <c r="C3819" s="32" t="s">
        <v>184</v>
      </c>
      <c r="D3819" s="32" t="s">
        <v>219</v>
      </c>
      <c r="E3819" s="32" t="s">
        <v>255</v>
      </c>
      <c r="F3819" s="32" t="s">
        <v>223</v>
      </c>
    </row>
    <row r="3820" ht="16.5" customHeight="1">
      <c r="A3820" s="32">
        <v>3819.0</v>
      </c>
      <c r="B3820" s="32" t="s">
        <v>4764</v>
      </c>
      <c r="C3820" s="32" t="s">
        <v>184</v>
      </c>
      <c r="D3820" s="32" t="s">
        <v>219</v>
      </c>
      <c r="E3820" s="32" t="s">
        <v>396</v>
      </c>
      <c r="F3820" s="32" t="s">
        <v>223</v>
      </c>
      <c r="G3820" s="32" t="s">
        <v>394</v>
      </c>
    </row>
    <row r="3821" ht="16.5" customHeight="1">
      <c r="A3821" s="32">
        <v>3820.0</v>
      </c>
      <c r="B3821" s="32" t="s">
        <v>4765</v>
      </c>
      <c r="C3821" s="32" t="s">
        <v>184</v>
      </c>
      <c r="D3821" s="32" t="s">
        <v>254</v>
      </c>
      <c r="E3821" s="32" t="s">
        <v>396</v>
      </c>
      <c r="F3821" s="32" t="s">
        <v>305</v>
      </c>
    </row>
    <row r="3822" ht="16.5" customHeight="1">
      <c r="A3822" s="32">
        <v>3821.0</v>
      </c>
      <c r="B3822" s="32" t="s">
        <v>4766</v>
      </c>
      <c r="C3822" s="32" t="s">
        <v>184</v>
      </c>
      <c r="D3822" s="32" t="s">
        <v>185</v>
      </c>
      <c r="E3822" s="32" t="s">
        <v>396</v>
      </c>
    </row>
    <row r="3823" ht="16.5" customHeight="1">
      <c r="A3823" s="32">
        <v>3822.0</v>
      </c>
      <c r="B3823" s="32" t="s">
        <v>4767</v>
      </c>
      <c r="C3823" s="32" t="s">
        <v>184</v>
      </c>
      <c r="D3823" s="32" t="s">
        <v>192</v>
      </c>
      <c r="E3823" s="32" t="s">
        <v>396</v>
      </c>
      <c r="F3823" s="32" t="s">
        <v>329</v>
      </c>
      <c r="G3823" s="32" t="s">
        <v>447</v>
      </c>
    </row>
    <row r="3824" ht="16.5" customHeight="1">
      <c r="A3824" s="32">
        <v>3823.0</v>
      </c>
      <c r="B3824" s="32" t="s">
        <v>4768</v>
      </c>
      <c r="C3824" s="32" t="s">
        <v>184</v>
      </c>
      <c r="D3824" s="32" t="s">
        <v>192</v>
      </c>
      <c r="E3824" s="32" t="s">
        <v>396</v>
      </c>
      <c r="F3824" s="32" t="s">
        <v>300</v>
      </c>
      <c r="G3824" s="32" t="s">
        <v>1357</v>
      </c>
    </row>
    <row r="3825" ht="16.5" customHeight="1">
      <c r="A3825" s="32">
        <v>3824.0</v>
      </c>
      <c r="B3825" s="32" t="s">
        <v>4769</v>
      </c>
      <c r="C3825" s="32" t="s">
        <v>184</v>
      </c>
      <c r="D3825" s="35" t="s">
        <v>294</v>
      </c>
      <c r="E3825" s="32" t="s">
        <v>396</v>
      </c>
      <c r="F3825" s="32" t="s">
        <v>4770</v>
      </c>
      <c r="G3825" s="32" t="s">
        <v>4771</v>
      </c>
    </row>
    <row r="3826" ht="16.5" customHeight="1">
      <c r="A3826" s="32">
        <v>3825.0</v>
      </c>
      <c r="B3826" s="32" t="s">
        <v>4772</v>
      </c>
      <c r="C3826" s="32" t="s">
        <v>184</v>
      </c>
      <c r="D3826" s="32" t="s">
        <v>285</v>
      </c>
      <c r="E3826" s="32" t="s">
        <v>396</v>
      </c>
    </row>
    <row r="3827" ht="16.5" customHeight="1">
      <c r="A3827" s="32">
        <v>3826.0</v>
      </c>
      <c r="B3827" s="32" t="s">
        <v>4773</v>
      </c>
      <c r="C3827" s="32" t="s">
        <v>184</v>
      </c>
      <c r="D3827" s="32" t="s">
        <v>285</v>
      </c>
      <c r="E3827" s="32" t="s">
        <v>396</v>
      </c>
      <c r="F3827" s="32" t="s">
        <v>189</v>
      </c>
      <c r="G3827" s="32" t="s">
        <v>190</v>
      </c>
    </row>
    <row r="3828" ht="16.5" customHeight="1">
      <c r="A3828" s="32">
        <v>3827.0</v>
      </c>
      <c r="B3828" s="32" t="s">
        <v>4774</v>
      </c>
      <c r="C3828" s="32" t="s">
        <v>184</v>
      </c>
      <c r="D3828" s="32" t="s">
        <v>254</v>
      </c>
      <c r="E3828" s="32" t="s">
        <v>396</v>
      </c>
      <c r="F3828" s="32" t="s">
        <v>256</v>
      </c>
      <c r="G3828" s="32" t="s">
        <v>257</v>
      </c>
    </row>
    <row r="3829" ht="16.5" customHeight="1">
      <c r="A3829" s="32">
        <v>3828.0</v>
      </c>
      <c r="B3829" s="32" t="s">
        <v>4775</v>
      </c>
      <c r="C3829" s="32" t="s">
        <v>184</v>
      </c>
      <c r="D3829" s="32" t="s">
        <v>254</v>
      </c>
      <c r="E3829" s="32" t="s">
        <v>399</v>
      </c>
      <c r="F3829" s="32" t="s">
        <v>256</v>
      </c>
      <c r="G3829" s="32" t="s">
        <v>257</v>
      </c>
    </row>
    <row r="3830" ht="16.5" customHeight="1">
      <c r="A3830" s="32">
        <v>3829.0</v>
      </c>
      <c r="B3830" s="32" t="s">
        <v>4776</v>
      </c>
      <c r="C3830" s="32" t="s">
        <v>184</v>
      </c>
      <c r="D3830" s="32" t="s">
        <v>254</v>
      </c>
      <c r="E3830" s="32" t="s">
        <v>396</v>
      </c>
    </row>
    <row r="3831" ht="16.5" customHeight="1">
      <c r="A3831" s="32">
        <v>3830.0</v>
      </c>
      <c r="B3831" s="32" t="s">
        <v>4777</v>
      </c>
      <c r="C3831" s="32" t="s">
        <v>184</v>
      </c>
      <c r="D3831" s="32" t="s">
        <v>254</v>
      </c>
      <c r="E3831" s="32" t="s">
        <v>396</v>
      </c>
      <c r="F3831" s="32" t="s">
        <v>256</v>
      </c>
      <c r="G3831" s="32" t="s">
        <v>257</v>
      </c>
    </row>
    <row r="3832" ht="16.5" customHeight="1">
      <c r="A3832" s="32">
        <v>3831.0</v>
      </c>
      <c r="B3832" s="32" t="s">
        <v>4778</v>
      </c>
      <c r="C3832" s="32" t="s">
        <v>184</v>
      </c>
      <c r="D3832" s="32" t="s">
        <v>254</v>
      </c>
      <c r="E3832" s="32" t="s">
        <v>396</v>
      </c>
    </row>
    <row r="3833" ht="16.5" customHeight="1">
      <c r="A3833" s="32">
        <v>3832.0</v>
      </c>
      <c r="B3833" s="32" t="s">
        <v>4779</v>
      </c>
      <c r="C3833" s="32" t="s">
        <v>184</v>
      </c>
      <c r="D3833" s="35" t="s">
        <v>740</v>
      </c>
      <c r="E3833" s="32" t="s">
        <v>396</v>
      </c>
      <c r="F3833" s="32" t="s">
        <v>3766</v>
      </c>
      <c r="G3833" s="32" t="s">
        <v>4780</v>
      </c>
    </row>
    <row r="3834" ht="16.5" customHeight="1">
      <c r="A3834" s="32">
        <v>3833.0</v>
      </c>
      <c r="B3834" s="32" t="s">
        <v>4781</v>
      </c>
      <c r="C3834" s="32" t="s">
        <v>184</v>
      </c>
      <c r="D3834" s="32" t="s">
        <v>325</v>
      </c>
      <c r="E3834" s="32" t="s">
        <v>396</v>
      </c>
      <c r="F3834" s="32" t="s">
        <v>368</v>
      </c>
      <c r="G3834" s="32" t="s">
        <v>463</v>
      </c>
    </row>
    <row r="3835" ht="16.5" customHeight="1">
      <c r="A3835" s="32">
        <v>3834.0</v>
      </c>
      <c r="B3835" s="32" t="s">
        <v>4782</v>
      </c>
      <c r="C3835" s="32" t="s">
        <v>184</v>
      </c>
      <c r="D3835" s="32" t="s">
        <v>234</v>
      </c>
      <c r="E3835" s="32" t="s">
        <v>396</v>
      </c>
      <c r="F3835" s="32" t="s">
        <v>347</v>
      </c>
      <c r="G3835" s="32" t="s">
        <v>3020</v>
      </c>
    </row>
    <row r="3836" ht="16.5" customHeight="1">
      <c r="A3836" s="32">
        <v>3835.0</v>
      </c>
      <c r="B3836" s="32" t="s">
        <v>4783</v>
      </c>
      <c r="C3836" s="32" t="s">
        <v>184</v>
      </c>
      <c r="D3836" s="32" t="s">
        <v>285</v>
      </c>
      <c r="E3836" s="32" t="s">
        <v>396</v>
      </c>
    </row>
    <row r="3837" ht="16.5" customHeight="1">
      <c r="A3837" s="32">
        <v>3836.0</v>
      </c>
      <c r="B3837" s="32" t="s">
        <v>4784</v>
      </c>
      <c r="C3837" s="32" t="s">
        <v>184</v>
      </c>
      <c r="D3837" s="32" t="s">
        <v>254</v>
      </c>
      <c r="E3837" s="32" t="s">
        <v>396</v>
      </c>
      <c r="F3837" s="32" t="s">
        <v>256</v>
      </c>
      <c r="G3837" s="32" t="s">
        <v>257</v>
      </c>
    </row>
    <row r="3838" ht="16.5" customHeight="1">
      <c r="A3838" s="32">
        <v>3837.0</v>
      </c>
      <c r="B3838" s="32" t="s">
        <v>4785</v>
      </c>
      <c r="C3838" s="32" t="s">
        <v>184</v>
      </c>
      <c r="D3838" s="32" t="s">
        <v>254</v>
      </c>
      <c r="E3838" s="32" t="s">
        <v>396</v>
      </c>
      <c r="F3838" s="32" t="s">
        <v>257</v>
      </c>
      <c r="G3838" s="32" t="s">
        <v>256</v>
      </c>
    </row>
    <row r="3839" ht="16.5" customHeight="1">
      <c r="A3839" s="32">
        <v>3838.0</v>
      </c>
      <c r="B3839" s="32" t="s">
        <v>4786</v>
      </c>
      <c r="C3839" s="32" t="s">
        <v>184</v>
      </c>
      <c r="D3839" s="32" t="s">
        <v>185</v>
      </c>
      <c r="E3839" s="32" t="s">
        <v>396</v>
      </c>
      <c r="F3839" s="32" t="s">
        <v>1240</v>
      </c>
      <c r="G3839" s="32" t="s">
        <v>1241</v>
      </c>
    </row>
    <row r="3840" ht="16.5" customHeight="1">
      <c r="A3840" s="32">
        <v>3839.0</v>
      </c>
      <c r="B3840" s="32" t="s">
        <v>4787</v>
      </c>
      <c r="C3840" s="32" t="s">
        <v>184</v>
      </c>
      <c r="D3840" s="32" t="s">
        <v>228</v>
      </c>
      <c r="E3840" s="32" t="s">
        <v>396</v>
      </c>
      <c r="F3840" s="32" t="s">
        <v>229</v>
      </c>
      <c r="G3840" s="32" t="s">
        <v>244</v>
      </c>
    </row>
    <row r="3841" ht="16.5" customHeight="1">
      <c r="A3841" s="32">
        <v>3840.0</v>
      </c>
      <c r="B3841" s="32" t="s">
        <v>4788</v>
      </c>
      <c r="C3841" s="32" t="s">
        <v>184</v>
      </c>
      <c r="D3841" s="32" t="s">
        <v>228</v>
      </c>
      <c r="E3841" s="32" t="s">
        <v>396</v>
      </c>
    </row>
    <row r="3842" ht="16.5" customHeight="1">
      <c r="A3842" s="32">
        <v>3841.0</v>
      </c>
      <c r="B3842" s="32" t="s">
        <v>4789</v>
      </c>
      <c r="C3842" s="32" t="s">
        <v>184</v>
      </c>
      <c r="D3842" s="32" t="s">
        <v>285</v>
      </c>
      <c r="E3842" s="32" t="s">
        <v>396</v>
      </c>
      <c r="F3842" s="32" t="s">
        <v>793</v>
      </c>
      <c r="G3842" s="32" t="s">
        <v>1130</v>
      </c>
    </row>
    <row r="3843" ht="16.5" customHeight="1">
      <c r="A3843" s="32">
        <v>3842.0</v>
      </c>
      <c r="B3843" s="32" t="s">
        <v>4790</v>
      </c>
      <c r="C3843" s="32" t="s">
        <v>184</v>
      </c>
      <c r="D3843" s="32" t="s">
        <v>192</v>
      </c>
      <c r="E3843" s="32" t="s">
        <v>396</v>
      </c>
      <c r="F3843" s="32" t="s">
        <v>300</v>
      </c>
      <c r="G3843" s="32" t="s">
        <v>1357</v>
      </c>
    </row>
    <row r="3844" ht="16.5" customHeight="1">
      <c r="A3844" s="32">
        <v>3843.0</v>
      </c>
      <c r="B3844" s="32" t="s">
        <v>4791</v>
      </c>
      <c r="C3844" s="32" t="s">
        <v>184</v>
      </c>
      <c r="D3844" s="32" t="s">
        <v>192</v>
      </c>
      <c r="E3844" s="32" t="s">
        <v>396</v>
      </c>
    </row>
    <row r="3845" ht="16.5" customHeight="1">
      <c r="A3845" s="32">
        <v>3844.0</v>
      </c>
      <c r="B3845" s="32" t="s">
        <v>4792</v>
      </c>
      <c r="C3845" s="32" t="s">
        <v>184</v>
      </c>
      <c r="D3845" s="32" t="s">
        <v>254</v>
      </c>
      <c r="E3845" s="32" t="s">
        <v>396</v>
      </c>
      <c r="F3845" s="32" t="s">
        <v>256</v>
      </c>
      <c r="G3845" s="32" t="s">
        <v>1308</v>
      </c>
    </row>
    <row r="3846" ht="16.5" customHeight="1">
      <c r="A3846" s="32">
        <v>3845.0</v>
      </c>
      <c r="B3846" s="32" t="s">
        <v>4793</v>
      </c>
      <c r="C3846" s="32" t="s">
        <v>184</v>
      </c>
      <c r="D3846" s="32" t="s">
        <v>185</v>
      </c>
      <c r="E3846" s="32" t="s">
        <v>396</v>
      </c>
    </row>
    <row r="3847" ht="16.5" customHeight="1">
      <c r="A3847" s="32">
        <v>3846.0</v>
      </c>
      <c r="B3847" s="32" t="s">
        <v>4794</v>
      </c>
      <c r="C3847" s="32" t="s">
        <v>184</v>
      </c>
      <c r="D3847" s="32" t="s">
        <v>185</v>
      </c>
      <c r="E3847" s="32" t="s">
        <v>396</v>
      </c>
      <c r="F3847" s="32" t="s">
        <v>275</v>
      </c>
      <c r="G3847" s="32" t="s">
        <v>2412</v>
      </c>
    </row>
    <row r="3848" ht="16.5" customHeight="1">
      <c r="A3848" s="32">
        <v>3847.0</v>
      </c>
      <c r="B3848" s="32" t="s">
        <v>4795</v>
      </c>
      <c r="C3848" s="32" t="s">
        <v>184</v>
      </c>
      <c r="D3848" s="32" t="s">
        <v>254</v>
      </c>
      <c r="E3848" s="32" t="s">
        <v>396</v>
      </c>
      <c r="F3848" s="32" t="s">
        <v>275</v>
      </c>
    </row>
    <row r="3849" ht="16.5" customHeight="1">
      <c r="A3849" s="32">
        <v>3848.0</v>
      </c>
      <c r="B3849" s="32" t="s">
        <v>4796</v>
      </c>
      <c r="C3849" s="32" t="s">
        <v>184</v>
      </c>
      <c r="D3849" s="32" t="s">
        <v>219</v>
      </c>
      <c r="E3849" s="32" t="s">
        <v>396</v>
      </c>
      <c r="F3849" s="32" t="s">
        <v>415</v>
      </c>
      <c r="G3849" s="32" t="s">
        <v>243</v>
      </c>
    </row>
    <row r="3850" ht="16.5" customHeight="1">
      <c r="A3850" s="32">
        <v>3849.0</v>
      </c>
      <c r="B3850" s="32" t="s">
        <v>4797</v>
      </c>
      <c r="C3850" s="32" t="s">
        <v>184</v>
      </c>
      <c r="D3850" s="32" t="s">
        <v>192</v>
      </c>
      <c r="E3850" s="32" t="s">
        <v>396</v>
      </c>
      <c r="F3850" s="32" t="s">
        <v>329</v>
      </c>
      <c r="G3850" s="32" t="s">
        <v>1907</v>
      </c>
    </row>
    <row r="3851" ht="16.5" customHeight="1">
      <c r="A3851" s="32">
        <v>3850.0</v>
      </c>
      <c r="B3851" s="32" t="s">
        <v>4798</v>
      </c>
      <c r="C3851" s="32" t="s">
        <v>184</v>
      </c>
      <c r="D3851" s="35" t="s">
        <v>1129</v>
      </c>
      <c r="E3851" s="32" t="s">
        <v>396</v>
      </c>
      <c r="F3851" s="32" t="s">
        <v>4799</v>
      </c>
      <c r="G3851" s="32" t="s">
        <v>4800</v>
      </c>
    </row>
    <row r="3852" ht="16.5" customHeight="1">
      <c r="A3852" s="32">
        <v>3851.0</v>
      </c>
      <c r="B3852" s="32" t="s">
        <v>4801</v>
      </c>
      <c r="C3852" s="32" t="s">
        <v>184</v>
      </c>
      <c r="D3852" s="32" t="s">
        <v>254</v>
      </c>
      <c r="E3852" s="32" t="s">
        <v>399</v>
      </c>
      <c r="F3852" s="32" t="s">
        <v>256</v>
      </c>
      <c r="G3852" s="32" t="s">
        <v>1308</v>
      </c>
    </row>
    <row r="3853" ht="16.5" customHeight="1">
      <c r="A3853" s="32">
        <v>3852.0</v>
      </c>
      <c r="B3853" s="32" t="s">
        <v>4802</v>
      </c>
      <c r="C3853" s="32" t="s">
        <v>184</v>
      </c>
      <c r="D3853" s="35" t="s">
        <v>1129</v>
      </c>
      <c r="E3853" s="32" t="s">
        <v>396</v>
      </c>
      <c r="F3853" s="32" t="s">
        <v>793</v>
      </c>
      <c r="G3853" s="32" t="s">
        <v>2392</v>
      </c>
    </row>
    <row r="3854" ht="16.5" customHeight="1">
      <c r="A3854" s="32">
        <v>3853.0</v>
      </c>
      <c r="B3854" s="32" t="s">
        <v>4803</v>
      </c>
      <c r="C3854" s="32" t="s">
        <v>184</v>
      </c>
      <c r="D3854" s="32" t="s">
        <v>185</v>
      </c>
      <c r="E3854" s="32" t="s">
        <v>396</v>
      </c>
      <c r="F3854" s="32" t="s">
        <v>475</v>
      </c>
    </row>
    <row r="3855" ht="16.5" customHeight="1">
      <c r="A3855" s="32">
        <v>3854.0</v>
      </c>
      <c r="B3855" s="32" t="s">
        <v>4804</v>
      </c>
      <c r="C3855" s="32" t="s">
        <v>184</v>
      </c>
      <c r="D3855" s="32" t="s">
        <v>351</v>
      </c>
      <c r="E3855" s="32" t="s">
        <v>396</v>
      </c>
      <c r="F3855" s="32" t="s">
        <v>3457</v>
      </c>
      <c r="G3855" s="32" t="s">
        <v>3458</v>
      </c>
    </row>
    <row r="3856" ht="16.5" customHeight="1">
      <c r="A3856" s="32">
        <v>3855.0</v>
      </c>
      <c r="B3856" s="32" t="s">
        <v>4805</v>
      </c>
      <c r="C3856" s="32" t="s">
        <v>184</v>
      </c>
      <c r="D3856" s="32" t="s">
        <v>351</v>
      </c>
      <c r="E3856" s="32" t="s">
        <v>396</v>
      </c>
    </row>
    <row r="3857" ht="16.5" customHeight="1">
      <c r="A3857" s="32">
        <v>3856.0</v>
      </c>
      <c r="B3857" s="32" t="s">
        <v>4806</v>
      </c>
      <c r="C3857" s="32" t="s">
        <v>184</v>
      </c>
      <c r="D3857" s="32" t="s">
        <v>351</v>
      </c>
      <c r="E3857" s="32" t="s">
        <v>396</v>
      </c>
      <c r="F3857" s="32" t="s">
        <v>3717</v>
      </c>
      <c r="G3857" s="32" t="s">
        <v>4807</v>
      </c>
    </row>
    <row r="3858" ht="16.5" customHeight="1">
      <c r="A3858" s="32">
        <v>3857.0</v>
      </c>
      <c r="B3858" s="32" t="s">
        <v>4808</v>
      </c>
      <c r="C3858" s="32" t="s">
        <v>184</v>
      </c>
      <c r="D3858" s="32" t="s">
        <v>351</v>
      </c>
      <c r="E3858" s="32" t="s">
        <v>396</v>
      </c>
    </row>
    <row r="3859" ht="16.5" customHeight="1">
      <c r="A3859" s="32">
        <v>3858.0</v>
      </c>
      <c r="B3859" s="32" t="s">
        <v>4809</v>
      </c>
      <c r="C3859" s="32" t="s">
        <v>184</v>
      </c>
      <c r="D3859" s="32" t="s">
        <v>351</v>
      </c>
      <c r="E3859" s="32" t="s">
        <v>396</v>
      </c>
    </row>
    <row r="3860" ht="16.5" customHeight="1">
      <c r="A3860" s="32">
        <v>3859.0</v>
      </c>
      <c r="B3860" s="32" t="s">
        <v>4810</v>
      </c>
      <c r="C3860" s="32" t="s">
        <v>184</v>
      </c>
      <c r="D3860" s="32" t="s">
        <v>351</v>
      </c>
      <c r="E3860" s="32" t="s">
        <v>396</v>
      </c>
    </row>
    <row r="3861" ht="16.5" customHeight="1">
      <c r="A3861" s="32">
        <v>3860.0</v>
      </c>
      <c r="B3861" s="32" t="s">
        <v>4811</v>
      </c>
      <c r="C3861" s="32" t="s">
        <v>184</v>
      </c>
      <c r="D3861" s="32" t="s">
        <v>351</v>
      </c>
      <c r="E3861" s="32" t="s">
        <v>396</v>
      </c>
      <c r="F3861" s="32" t="s">
        <v>3717</v>
      </c>
      <c r="G3861" s="32" t="s">
        <v>4812</v>
      </c>
    </row>
    <row r="3862" ht="16.5" customHeight="1">
      <c r="A3862" s="32">
        <v>3861.0</v>
      </c>
      <c r="B3862" s="32" t="s">
        <v>4813</v>
      </c>
      <c r="C3862" s="32" t="s">
        <v>184</v>
      </c>
      <c r="D3862" s="32" t="s">
        <v>351</v>
      </c>
      <c r="E3862" s="32" t="s">
        <v>396</v>
      </c>
    </row>
    <row r="3863" ht="16.5" customHeight="1">
      <c r="A3863" s="32">
        <v>3862.0</v>
      </c>
      <c r="B3863" s="32" t="s">
        <v>4814</v>
      </c>
      <c r="C3863" s="32" t="s">
        <v>184</v>
      </c>
      <c r="D3863" s="32" t="s">
        <v>254</v>
      </c>
      <c r="E3863" s="32" t="s">
        <v>399</v>
      </c>
      <c r="F3863" s="32" t="s">
        <v>257</v>
      </c>
    </row>
    <row r="3864" ht="16.5" customHeight="1">
      <c r="A3864" s="32">
        <v>3863.0</v>
      </c>
      <c r="B3864" s="32" t="s">
        <v>4815</v>
      </c>
      <c r="C3864" s="32" t="s">
        <v>184</v>
      </c>
      <c r="D3864" s="32" t="s">
        <v>192</v>
      </c>
      <c r="E3864" s="32" t="s">
        <v>396</v>
      </c>
    </row>
    <row r="3865" ht="16.5" customHeight="1">
      <c r="A3865" s="32">
        <v>3864.0</v>
      </c>
      <c r="B3865" s="32" t="s">
        <v>4816</v>
      </c>
      <c r="C3865" s="32" t="s">
        <v>184</v>
      </c>
      <c r="D3865" s="35" t="s">
        <v>361</v>
      </c>
      <c r="E3865" s="32" t="s">
        <v>396</v>
      </c>
    </row>
    <row r="3866" ht="16.5" customHeight="1">
      <c r="A3866" s="32">
        <v>3865.0</v>
      </c>
      <c r="B3866" s="32" t="s">
        <v>4817</v>
      </c>
      <c r="C3866" s="32" t="s">
        <v>184</v>
      </c>
      <c r="D3866" s="32" t="s">
        <v>192</v>
      </c>
      <c r="E3866" s="32" t="s">
        <v>396</v>
      </c>
      <c r="F3866" s="32" t="s">
        <v>300</v>
      </c>
      <c r="G3866" s="32" t="s">
        <v>387</v>
      </c>
    </row>
    <row r="3867" ht="16.5" customHeight="1">
      <c r="A3867" s="32">
        <v>3866.0</v>
      </c>
      <c r="B3867" s="32" t="s">
        <v>4818</v>
      </c>
      <c r="C3867" s="32" t="s">
        <v>184</v>
      </c>
      <c r="D3867" s="32" t="s">
        <v>185</v>
      </c>
      <c r="E3867" s="32" t="s">
        <v>396</v>
      </c>
      <c r="F3867" s="32" t="s">
        <v>187</v>
      </c>
      <c r="G3867" s="32" t="s">
        <v>854</v>
      </c>
    </row>
    <row r="3868" ht="16.5" customHeight="1">
      <c r="A3868" s="32">
        <v>3867.0</v>
      </c>
      <c r="B3868" s="32" t="s">
        <v>4819</v>
      </c>
      <c r="C3868" s="32" t="s">
        <v>184</v>
      </c>
      <c r="D3868" s="32" t="s">
        <v>254</v>
      </c>
      <c r="E3868" s="32" t="s">
        <v>396</v>
      </c>
      <c r="F3868" s="32" t="s">
        <v>256</v>
      </c>
      <c r="G3868" s="32" t="s">
        <v>257</v>
      </c>
    </row>
    <row r="3869" ht="16.5" customHeight="1">
      <c r="A3869" s="32">
        <v>3868.0</v>
      </c>
      <c r="B3869" s="32" t="s">
        <v>4820</v>
      </c>
      <c r="C3869" s="32" t="s">
        <v>184</v>
      </c>
      <c r="D3869" s="32" t="s">
        <v>285</v>
      </c>
      <c r="E3869" s="32" t="s">
        <v>396</v>
      </c>
    </row>
    <row r="3870" ht="16.5" customHeight="1">
      <c r="A3870" s="32">
        <v>3869.0</v>
      </c>
      <c r="B3870" s="32" t="s">
        <v>4821</v>
      </c>
      <c r="C3870" s="32" t="s">
        <v>184</v>
      </c>
      <c r="D3870" s="32" t="s">
        <v>192</v>
      </c>
      <c r="E3870" s="32" t="s">
        <v>396</v>
      </c>
      <c r="F3870" s="32" t="s">
        <v>570</v>
      </c>
      <c r="G3870" s="32" t="s">
        <v>447</v>
      </c>
    </row>
    <row r="3871" ht="16.5" customHeight="1">
      <c r="A3871" s="32">
        <v>3870.0</v>
      </c>
      <c r="B3871" s="32" t="s">
        <v>4822</v>
      </c>
      <c r="C3871" s="32" t="s">
        <v>184</v>
      </c>
      <c r="D3871" s="32" t="s">
        <v>285</v>
      </c>
      <c r="E3871" s="32" t="s">
        <v>396</v>
      </c>
      <c r="F3871" s="32" t="s">
        <v>1332</v>
      </c>
      <c r="G3871" s="32" t="s">
        <v>314</v>
      </c>
    </row>
    <row r="3872" ht="16.5" customHeight="1">
      <c r="A3872" s="32">
        <v>3871.0</v>
      </c>
      <c r="B3872" s="32" t="s">
        <v>4823</v>
      </c>
      <c r="C3872" s="32" t="s">
        <v>184</v>
      </c>
      <c r="D3872" s="32" t="s">
        <v>228</v>
      </c>
      <c r="E3872" s="32" t="s">
        <v>396</v>
      </c>
    </row>
    <row r="3873" ht="16.5" customHeight="1">
      <c r="A3873" s="32">
        <v>3872.0</v>
      </c>
      <c r="B3873" s="32" t="s">
        <v>4824</v>
      </c>
      <c r="C3873" s="32" t="s">
        <v>184</v>
      </c>
      <c r="D3873" s="32" t="s">
        <v>192</v>
      </c>
      <c r="E3873" s="32" t="s">
        <v>396</v>
      </c>
      <c r="F3873" s="32" t="s">
        <v>300</v>
      </c>
      <c r="G3873" s="32" t="s">
        <v>4825</v>
      </c>
    </row>
    <row r="3874" ht="16.5" customHeight="1">
      <c r="A3874" s="32">
        <v>3873.0</v>
      </c>
      <c r="B3874" s="32" t="s">
        <v>4826</v>
      </c>
      <c r="C3874" s="32" t="s">
        <v>184</v>
      </c>
      <c r="D3874" s="32" t="s">
        <v>192</v>
      </c>
      <c r="E3874" s="32" t="s">
        <v>396</v>
      </c>
      <c r="F3874" s="32" t="s">
        <v>300</v>
      </c>
      <c r="G3874" s="32" t="s">
        <v>687</v>
      </c>
    </row>
    <row r="3875" ht="16.5" customHeight="1">
      <c r="A3875" s="32">
        <v>3874.0</v>
      </c>
      <c r="B3875" s="32" t="s">
        <v>4827</v>
      </c>
      <c r="C3875" s="32" t="s">
        <v>184</v>
      </c>
      <c r="D3875" s="32" t="s">
        <v>234</v>
      </c>
      <c r="E3875" s="32" t="s">
        <v>396</v>
      </c>
      <c r="F3875" s="32" t="s">
        <v>235</v>
      </c>
      <c r="G3875" s="32" t="s">
        <v>243</v>
      </c>
    </row>
    <row r="3876" ht="16.5" customHeight="1">
      <c r="A3876" s="32">
        <v>3875.0</v>
      </c>
      <c r="B3876" s="32" t="s">
        <v>4828</v>
      </c>
      <c r="C3876" s="32" t="s">
        <v>184</v>
      </c>
      <c r="D3876" s="32" t="s">
        <v>285</v>
      </c>
      <c r="E3876" s="32" t="s">
        <v>399</v>
      </c>
      <c r="F3876" s="32" t="s">
        <v>2412</v>
      </c>
      <c r="G3876" s="32" t="s">
        <v>4829</v>
      </c>
    </row>
    <row r="3877" ht="16.5" customHeight="1">
      <c r="A3877" s="32">
        <v>3876.0</v>
      </c>
      <c r="B3877" s="32" t="s">
        <v>4830</v>
      </c>
      <c r="C3877" s="32" t="s">
        <v>184</v>
      </c>
      <c r="D3877" s="32" t="s">
        <v>228</v>
      </c>
      <c r="E3877" s="32" t="s">
        <v>396</v>
      </c>
      <c r="F3877" s="32" t="s">
        <v>229</v>
      </c>
      <c r="G3877" s="32" t="s">
        <v>244</v>
      </c>
    </row>
    <row r="3878" ht="16.5" customHeight="1">
      <c r="A3878" s="32">
        <v>3877.0</v>
      </c>
      <c r="B3878" s="32" t="s">
        <v>4831</v>
      </c>
      <c r="C3878" s="32" t="s">
        <v>184</v>
      </c>
      <c r="D3878" s="32" t="s">
        <v>254</v>
      </c>
      <c r="E3878" s="32" t="s">
        <v>396</v>
      </c>
      <c r="F3878" s="32" t="s">
        <v>257</v>
      </c>
    </row>
    <row r="3879" ht="16.5" customHeight="1">
      <c r="A3879" s="32">
        <v>3878.0</v>
      </c>
      <c r="B3879" s="32" t="s">
        <v>4832</v>
      </c>
      <c r="C3879" s="32" t="s">
        <v>184</v>
      </c>
      <c r="D3879" s="32" t="s">
        <v>254</v>
      </c>
      <c r="E3879" s="32" t="s">
        <v>396</v>
      </c>
    </row>
    <row r="3880" ht="16.5" customHeight="1">
      <c r="A3880" s="32">
        <v>3879.0</v>
      </c>
      <c r="B3880" s="32" t="s">
        <v>4833</v>
      </c>
      <c r="C3880" s="32" t="s">
        <v>184</v>
      </c>
      <c r="D3880" s="32" t="s">
        <v>254</v>
      </c>
      <c r="E3880" s="32" t="s">
        <v>396</v>
      </c>
      <c r="F3880" s="32" t="s">
        <v>257</v>
      </c>
      <c r="G3880" s="32" t="s">
        <v>2640</v>
      </c>
    </row>
    <row r="3881" ht="16.5" customHeight="1">
      <c r="A3881" s="32">
        <v>3880.0</v>
      </c>
      <c r="B3881" s="32" t="s">
        <v>4834</v>
      </c>
      <c r="C3881" s="32" t="s">
        <v>184</v>
      </c>
      <c r="D3881" s="32" t="s">
        <v>254</v>
      </c>
      <c r="E3881" s="32" t="s">
        <v>396</v>
      </c>
      <c r="F3881" s="32" t="s">
        <v>257</v>
      </c>
      <c r="G3881" s="32" t="s">
        <v>305</v>
      </c>
    </row>
    <row r="3882" ht="16.5" customHeight="1">
      <c r="A3882" s="32">
        <v>3881.0</v>
      </c>
      <c r="B3882" s="32" t="s">
        <v>4835</v>
      </c>
      <c r="C3882" s="32" t="s">
        <v>184</v>
      </c>
      <c r="D3882" s="32" t="s">
        <v>219</v>
      </c>
      <c r="E3882" s="32" t="s">
        <v>373</v>
      </c>
      <c r="F3882" s="32" t="s">
        <v>232</v>
      </c>
      <c r="G3882" s="32" t="s">
        <v>233</v>
      </c>
    </row>
    <row r="3883" ht="16.5" customHeight="1">
      <c r="A3883" s="32">
        <v>3882.0</v>
      </c>
      <c r="B3883" s="32" t="s">
        <v>4836</v>
      </c>
      <c r="C3883" s="32" t="s">
        <v>184</v>
      </c>
      <c r="D3883" s="32" t="s">
        <v>325</v>
      </c>
      <c r="E3883" s="32" t="s">
        <v>396</v>
      </c>
      <c r="F3883" s="32" t="s">
        <v>368</v>
      </c>
      <c r="G3883" s="32" t="s">
        <v>463</v>
      </c>
    </row>
    <row r="3884" ht="16.5" customHeight="1">
      <c r="A3884" s="32">
        <v>3883.0</v>
      </c>
      <c r="B3884" s="32" t="s">
        <v>4837</v>
      </c>
      <c r="C3884" s="32" t="s">
        <v>184</v>
      </c>
      <c r="D3884" s="32" t="s">
        <v>325</v>
      </c>
      <c r="E3884" s="32" t="s">
        <v>396</v>
      </c>
    </row>
    <row r="3885" ht="16.5" customHeight="1">
      <c r="A3885" s="32">
        <v>3884.0</v>
      </c>
      <c r="B3885" s="32" t="s">
        <v>4838</v>
      </c>
      <c r="C3885" s="32" t="s">
        <v>184</v>
      </c>
      <c r="D3885" s="32" t="s">
        <v>254</v>
      </c>
      <c r="E3885" s="32" t="s">
        <v>396</v>
      </c>
      <c r="F3885" s="32" t="s">
        <v>305</v>
      </c>
      <c r="G3885" s="32" t="s">
        <v>600</v>
      </c>
    </row>
    <row r="3886" ht="16.5" customHeight="1">
      <c r="A3886" s="32">
        <v>3885.0</v>
      </c>
      <c r="B3886" s="32" t="s">
        <v>4839</v>
      </c>
      <c r="C3886" s="32" t="s">
        <v>184</v>
      </c>
      <c r="D3886" s="32" t="s">
        <v>351</v>
      </c>
      <c r="E3886" s="32" t="s">
        <v>396</v>
      </c>
      <c r="F3886" s="32" t="s">
        <v>3457</v>
      </c>
      <c r="G3886" s="32" t="s">
        <v>4840</v>
      </c>
    </row>
    <row r="3887" ht="16.5" customHeight="1">
      <c r="A3887" s="32">
        <v>3886.0</v>
      </c>
      <c r="B3887" s="32" t="s">
        <v>4841</v>
      </c>
      <c r="C3887" s="32" t="s">
        <v>184</v>
      </c>
      <c r="D3887" s="32" t="s">
        <v>214</v>
      </c>
      <c r="E3887" s="32" t="s">
        <v>396</v>
      </c>
    </row>
    <row r="3888" ht="16.5" customHeight="1">
      <c r="A3888" s="32">
        <v>3887.0</v>
      </c>
      <c r="B3888" s="32" t="s">
        <v>4842</v>
      </c>
      <c r="C3888" s="32" t="s">
        <v>184</v>
      </c>
      <c r="D3888" s="32" t="s">
        <v>214</v>
      </c>
      <c r="E3888" s="32" t="s">
        <v>396</v>
      </c>
      <c r="F3888" s="32" t="s">
        <v>604</v>
      </c>
    </row>
    <row r="3889" ht="16.5" customHeight="1">
      <c r="A3889" s="32">
        <v>3888.0</v>
      </c>
      <c r="B3889" s="32" t="s">
        <v>4843</v>
      </c>
      <c r="C3889" s="32" t="s">
        <v>184</v>
      </c>
      <c r="D3889" s="32" t="s">
        <v>214</v>
      </c>
      <c r="E3889" s="32" t="s">
        <v>396</v>
      </c>
      <c r="F3889" s="32" t="s">
        <v>720</v>
      </c>
    </row>
    <row r="3890" ht="16.5" customHeight="1">
      <c r="A3890" s="32">
        <v>3889.0</v>
      </c>
      <c r="B3890" s="32" t="s">
        <v>4844</v>
      </c>
      <c r="C3890" s="32" t="s">
        <v>184</v>
      </c>
      <c r="D3890" s="32" t="s">
        <v>214</v>
      </c>
      <c r="E3890" s="32" t="s">
        <v>396</v>
      </c>
      <c r="F3890" s="32" t="s">
        <v>604</v>
      </c>
    </row>
    <row r="3891" ht="16.5" customHeight="1">
      <c r="A3891" s="32">
        <v>3890.0</v>
      </c>
      <c r="B3891" s="32" t="s">
        <v>4845</v>
      </c>
      <c r="C3891" s="32" t="s">
        <v>184</v>
      </c>
      <c r="D3891" s="32" t="s">
        <v>325</v>
      </c>
      <c r="E3891" s="32" t="s">
        <v>396</v>
      </c>
    </row>
    <row r="3892" ht="16.5" customHeight="1">
      <c r="A3892" s="32">
        <v>3891.0</v>
      </c>
      <c r="B3892" s="32" t="s">
        <v>4846</v>
      </c>
      <c r="C3892" s="32" t="s">
        <v>184</v>
      </c>
      <c r="D3892" s="32" t="s">
        <v>214</v>
      </c>
      <c r="E3892" s="32" t="s">
        <v>396</v>
      </c>
      <c r="F3892" s="32" t="s">
        <v>216</v>
      </c>
    </row>
    <row r="3893" ht="16.5" customHeight="1">
      <c r="A3893" s="32">
        <v>3892.0</v>
      </c>
      <c r="B3893" s="32" t="s">
        <v>4847</v>
      </c>
      <c r="C3893" s="32" t="s">
        <v>184</v>
      </c>
      <c r="D3893" s="32" t="s">
        <v>219</v>
      </c>
      <c r="E3893" s="32" t="s">
        <v>396</v>
      </c>
    </row>
    <row r="3894" ht="16.5" customHeight="1">
      <c r="A3894" s="32">
        <v>3893.0</v>
      </c>
      <c r="B3894" s="32" t="s">
        <v>4848</v>
      </c>
      <c r="C3894" s="32" t="s">
        <v>184</v>
      </c>
      <c r="D3894" s="32" t="s">
        <v>254</v>
      </c>
      <c r="E3894" s="32" t="s">
        <v>396</v>
      </c>
    </row>
    <row r="3895" ht="16.5" customHeight="1">
      <c r="A3895" s="32">
        <v>3894.0</v>
      </c>
      <c r="B3895" s="32" t="s">
        <v>4849</v>
      </c>
      <c r="C3895" s="32" t="s">
        <v>184</v>
      </c>
      <c r="D3895" s="32" t="s">
        <v>254</v>
      </c>
      <c r="E3895" s="32" t="s">
        <v>396</v>
      </c>
      <c r="F3895" s="32" t="s">
        <v>257</v>
      </c>
    </row>
    <row r="3896" ht="16.5" customHeight="1">
      <c r="A3896" s="32">
        <v>3895.0</v>
      </c>
      <c r="B3896" s="32" t="s">
        <v>4850</v>
      </c>
      <c r="C3896" s="32" t="s">
        <v>184</v>
      </c>
      <c r="D3896" s="32" t="s">
        <v>254</v>
      </c>
      <c r="E3896" s="32" t="s">
        <v>396</v>
      </c>
      <c r="F3896" s="32" t="s">
        <v>257</v>
      </c>
    </row>
    <row r="3897" ht="16.5" customHeight="1">
      <c r="A3897" s="32">
        <v>3896.0</v>
      </c>
      <c r="B3897" s="32" t="s">
        <v>4851</v>
      </c>
      <c r="C3897" s="32" t="s">
        <v>184</v>
      </c>
      <c r="D3897" s="32" t="s">
        <v>254</v>
      </c>
      <c r="E3897" s="32" t="s">
        <v>396</v>
      </c>
      <c r="F3897" s="32" t="s">
        <v>260</v>
      </c>
    </row>
    <row r="3898" ht="16.5" customHeight="1">
      <c r="A3898" s="32">
        <v>3897.0</v>
      </c>
      <c r="B3898" s="32" t="s">
        <v>4852</v>
      </c>
      <c r="C3898" s="32" t="s">
        <v>184</v>
      </c>
      <c r="D3898" s="32" t="s">
        <v>351</v>
      </c>
      <c r="E3898" s="32" t="s">
        <v>396</v>
      </c>
    </row>
    <row r="3899" ht="16.5" customHeight="1">
      <c r="A3899" s="32">
        <v>3898.0</v>
      </c>
      <c r="B3899" s="32" t="s">
        <v>4853</v>
      </c>
      <c r="C3899" s="32" t="s">
        <v>184</v>
      </c>
      <c r="D3899" s="32" t="s">
        <v>285</v>
      </c>
      <c r="E3899" s="32" t="s">
        <v>396</v>
      </c>
      <c r="F3899" s="32" t="s">
        <v>3818</v>
      </c>
      <c r="G3899" s="32" t="s">
        <v>4854</v>
      </c>
    </row>
    <row r="3900" ht="16.5" customHeight="1">
      <c r="A3900" s="32">
        <v>3899.0</v>
      </c>
      <c r="B3900" s="32" t="s">
        <v>4855</v>
      </c>
      <c r="C3900" s="32" t="s">
        <v>184</v>
      </c>
      <c r="D3900" s="32" t="s">
        <v>285</v>
      </c>
      <c r="E3900" s="32" t="s">
        <v>396</v>
      </c>
      <c r="F3900" s="32" t="s">
        <v>552</v>
      </c>
    </row>
    <row r="3901" ht="16.5" customHeight="1">
      <c r="A3901" s="32">
        <v>3900.0</v>
      </c>
      <c r="B3901" s="32" t="s">
        <v>4856</v>
      </c>
      <c r="C3901" s="32" t="s">
        <v>184</v>
      </c>
      <c r="D3901" s="32" t="s">
        <v>285</v>
      </c>
      <c r="E3901" s="32" t="s">
        <v>396</v>
      </c>
      <c r="F3901" s="32" t="s">
        <v>552</v>
      </c>
      <c r="G3901" s="32" t="s">
        <v>1115</v>
      </c>
    </row>
    <row r="3902" ht="16.5" customHeight="1">
      <c r="A3902" s="32">
        <v>3901.0</v>
      </c>
      <c r="B3902" s="32" t="s">
        <v>4857</v>
      </c>
      <c r="C3902" s="32" t="s">
        <v>184</v>
      </c>
      <c r="D3902" s="32" t="s">
        <v>285</v>
      </c>
      <c r="E3902" s="32" t="s">
        <v>396</v>
      </c>
      <c r="F3902" s="32" t="s">
        <v>189</v>
      </c>
      <c r="G3902" s="32" t="s">
        <v>190</v>
      </c>
    </row>
    <row r="3903" ht="16.5" customHeight="1">
      <c r="A3903" s="32">
        <v>3902.0</v>
      </c>
      <c r="B3903" s="32" t="s">
        <v>4858</v>
      </c>
      <c r="C3903" s="32" t="s">
        <v>184</v>
      </c>
      <c r="D3903" s="32" t="s">
        <v>254</v>
      </c>
      <c r="E3903" s="32" t="s">
        <v>396</v>
      </c>
      <c r="F3903" s="32" t="s">
        <v>256</v>
      </c>
      <c r="G3903" s="32" t="s">
        <v>257</v>
      </c>
    </row>
    <row r="3904" ht="16.5" customHeight="1">
      <c r="A3904" s="32">
        <v>3903.0</v>
      </c>
      <c r="B3904" s="32" t="s">
        <v>4859</v>
      </c>
      <c r="C3904" s="32" t="s">
        <v>184</v>
      </c>
      <c r="D3904" s="32" t="s">
        <v>214</v>
      </c>
      <c r="E3904" s="32" t="s">
        <v>396</v>
      </c>
      <c r="F3904" s="32" t="s">
        <v>216</v>
      </c>
      <c r="G3904" s="32" t="s">
        <v>217</v>
      </c>
    </row>
    <row r="3905" ht="16.5" customHeight="1">
      <c r="A3905" s="32">
        <v>3904.0</v>
      </c>
      <c r="B3905" s="32" t="s">
        <v>4860</v>
      </c>
      <c r="C3905" s="32" t="s">
        <v>184</v>
      </c>
      <c r="D3905" s="32" t="s">
        <v>214</v>
      </c>
      <c r="E3905" s="32" t="s">
        <v>396</v>
      </c>
      <c r="F3905" s="32" t="s">
        <v>217</v>
      </c>
    </row>
    <row r="3906" ht="16.5" customHeight="1">
      <c r="A3906" s="32">
        <v>3905.0</v>
      </c>
      <c r="B3906" s="32" t="s">
        <v>4861</v>
      </c>
      <c r="C3906" s="32" t="s">
        <v>184</v>
      </c>
      <c r="D3906" s="32" t="s">
        <v>214</v>
      </c>
      <c r="E3906" s="32" t="s">
        <v>396</v>
      </c>
    </row>
    <row r="3907" ht="16.5" customHeight="1">
      <c r="A3907" s="32">
        <v>3906.0</v>
      </c>
      <c r="B3907" s="32" t="s">
        <v>4862</v>
      </c>
      <c r="C3907" s="32" t="s">
        <v>184</v>
      </c>
      <c r="D3907" s="32" t="s">
        <v>351</v>
      </c>
      <c r="E3907" s="32" t="s">
        <v>396</v>
      </c>
    </row>
    <row r="3908" ht="16.5" customHeight="1">
      <c r="A3908" s="32">
        <v>3907.0</v>
      </c>
      <c r="B3908" s="32" t="s">
        <v>4863</v>
      </c>
      <c r="C3908" s="32" t="s">
        <v>184</v>
      </c>
      <c r="D3908" s="32" t="s">
        <v>228</v>
      </c>
      <c r="E3908" s="32" t="s">
        <v>396</v>
      </c>
    </row>
    <row r="3909" ht="16.5" customHeight="1">
      <c r="A3909" s="32">
        <v>3908.0</v>
      </c>
      <c r="B3909" s="32" t="s">
        <v>4864</v>
      </c>
      <c r="C3909" s="32" t="s">
        <v>184</v>
      </c>
      <c r="D3909" s="32" t="s">
        <v>254</v>
      </c>
      <c r="E3909" s="32" t="s">
        <v>396</v>
      </c>
      <c r="F3909" s="32" t="s">
        <v>257</v>
      </c>
      <c r="G3909" s="32" t="s">
        <v>271</v>
      </c>
    </row>
    <row r="3910" ht="16.5" customHeight="1">
      <c r="A3910" s="32">
        <v>3909.0</v>
      </c>
      <c r="B3910" s="32" t="s">
        <v>4865</v>
      </c>
      <c r="C3910" s="32" t="s">
        <v>184</v>
      </c>
      <c r="D3910" s="32" t="s">
        <v>234</v>
      </c>
      <c r="E3910" s="32" t="s">
        <v>396</v>
      </c>
      <c r="F3910" s="32" t="s">
        <v>235</v>
      </c>
      <c r="G3910" s="32" t="s">
        <v>243</v>
      </c>
    </row>
    <row r="3911" ht="16.5" customHeight="1">
      <c r="A3911" s="32">
        <v>3910.0</v>
      </c>
      <c r="B3911" s="32" t="s">
        <v>4866</v>
      </c>
      <c r="C3911" s="32" t="s">
        <v>184</v>
      </c>
      <c r="D3911" s="32" t="s">
        <v>254</v>
      </c>
      <c r="E3911" s="32" t="s">
        <v>396</v>
      </c>
    </row>
    <row r="3912" ht="16.5" customHeight="1">
      <c r="A3912" s="32">
        <v>3911.0</v>
      </c>
      <c r="B3912" s="32" t="s">
        <v>4867</v>
      </c>
      <c r="C3912" s="32" t="s">
        <v>184</v>
      </c>
      <c r="D3912" s="32" t="s">
        <v>219</v>
      </c>
      <c r="E3912" s="32" t="s">
        <v>396</v>
      </c>
      <c r="F3912" s="32" t="s">
        <v>347</v>
      </c>
      <c r="G3912" s="32" t="s">
        <v>382</v>
      </c>
    </row>
    <row r="3913" ht="16.5" customHeight="1">
      <c r="A3913" s="32">
        <v>3912.0</v>
      </c>
      <c r="B3913" s="32" t="s">
        <v>4868</v>
      </c>
      <c r="C3913" s="32" t="s">
        <v>184</v>
      </c>
      <c r="D3913" s="32" t="s">
        <v>234</v>
      </c>
      <c r="E3913" s="32" t="s">
        <v>396</v>
      </c>
      <c r="F3913" s="32" t="s">
        <v>347</v>
      </c>
      <c r="G3913" s="32" t="s">
        <v>382</v>
      </c>
    </row>
    <row r="3914" ht="16.5" customHeight="1">
      <c r="A3914" s="32">
        <v>3913.0</v>
      </c>
      <c r="B3914" s="32" t="s">
        <v>4869</v>
      </c>
      <c r="C3914" s="32" t="s">
        <v>184</v>
      </c>
      <c r="D3914" s="32" t="s">
        <v>234</v>
      </c>
      <c r="E3914" s="32" t="s">
        <v>396</v>
      </c>
    </row>
    <row r="3915" ht="16.5" customHeight="1">
      <c r="A3915" s="32">
        <v>3914.0</v>
      </c>
      <c r="B3915" s="32" t="s">
        <v>4870</v>
      </c>
      <c r="C3915" s="32" t="s">
        <v>184</v>
      </c>
      <c r="D3915" s="32" t="s">
        <v>219</v>
      </c>
      <c r="E3915" s="32" t="s">
        <v>396</v>
      </c>
      <c r="F3915" s="32" t="s">
        <v>223</v>
      </c>
      <c r="G3915" s="32" t="s">
        <v>394</v>
      </c>
    </row>
    <row r="3916" ht="16.5" customHeight="1">
      <c r="A3916" s="32">
        <v>3915.0</v>
      </c>
      <c r="B3916" s="32" t="s">
        <v>4871</v>
      </c>
      <c r="C3916" s="32" t="s">
        <v>184</v>
      </c>
      <c r="D3916" s="32" t="s">
        <v>219</v>
      </c>
      <c r="E3916" s="32" t="s">
        <v>396</v>
      </c>
      <c r="F3916" s="32" t="s">
        <v>223</v>
      </c>
      <c r="G3916" s="32" t="s">
        <v>394</v>
      </c>
    </row>
    <row r="3917" ht="16.5" customHeight="1">
      <c r="A3917" s="32">
        <v>3916.0</v>
      </c>
      <c r="B3917" s="32" t="s">
        <v>4872</v>
      </c>
      <c r="C3917" s="32" t="s">
        <v>184</v>
      </c>
      <c r="D3917" s="32" t="s">
        <v>219</v>
      </c>
      <c r="E3917" s="32" t="s">
        <v>396</v>
      </c>
    </row>
    <row r="3918" ht="16.5" customHeight="1">
      <c r="A3918" s="32">
        <v>3917.0</v>
      </c>
      <c r="B3918" s="32" t="s">
        <v>4873</v>
      </c>
      <c r="C3918" s="32" t="s">
        <v>184</v>
      </c>
      <c r="D3918" s="32" t="s">
        <v>254</v>
      </c>
      <c r="E3918" s="32" t="s">
        <v>396</v>
      </c>
      <c r="F3918" s="32" t="s">
        <v>263</v>
      </c>
      <c r="G3918" s="32" t="s">
        <v>4874</v>
      </c>
    </row>
    <row r="3919" ht="16.5" customHeight="1">
      <c r="A3919" s="32">
        <v>3918.0</v>
      </c>
      <c r="B3919" s="32" t="s">
        <v>4875</v>
      </c>
      <c r="C3919" s="32" t="s">
        <v>184</v>
      </c>
      <c r="D3919" s="32" t="s">
        <v>254</v>
      </c>
      <c r="E3919" s="32" t="s">
        <v>316</v>
      </c>
      <c r="F3919" s="32" t="s">
        <v>305</v>
      </c>
      <c r="G3919" s="32" t="s">
        <v>4749</v>
      </c>
    </row>
    <row r="3920" ht="16.5" customHeight="1">
      <c r="A3920" s="32">
        <v>3919.0</v>
      </c>
      <c r="B3920" s="32" t="s">
        <v>4876</v>
      </c>
      <c r="C3920" s="32" t="s">
        <v>184</v>
      </c>
      <c r="D3920" s="32" t="s">
        <v>192</v>
      </c>
      <c r="E3920" s="32" t="s">
        <v>4478</v>
      </c>
      <c r="F3920" s="32" t="s">
        <v>271</v>
      </c>
      <c r="G3920" s="32" t="s">
        <v>4877</v>
      </c>
    </row>
    <row r="3921" ht="16.5" customHeight="1">
      <c r="A3921" s="32">
        <v>3920.0</v>
      </c>
      <c r="B3921" s="32" t="s">
        <v>4878</v>
      </c>
      <c r="C3921" s="32" t="s">
        <v>184</v>
      </c>
      <c r="D3921" s="32" t="s">
        <v>254</v>
      </c>
      <c r="E3921" s="32" t="s">
        <v>4478</v>
      </c>
      <c r="F3921" s="32" t="s">
        <v>263</v>
      </c>
      <c r="G3921" s="32" t="s">
        <v>437</v>
      </c>
    </row>
    <row r="3922" ht="16.5" customHeight="1">
      <c r="A3922" s="32">
        <v>3921.0</v>
      </c>
      <c r="B3922" s="32" t="s">
        <v>4879</v>
      </c>
      <c r="C3922" s="32" t="s">
        <v>184</v>
      </c>
      <c r="D3922" s="32" t="s">
        <v>254</v>
      </c>
      <c r="E3922" s="32" t="s">
        <v>255</v>
      </c>
    </row>
    <row r="3923" ht="16.5" customHeight="1">
      <c r="A3923" s="32">
        <v>3922.0</v>
      </c>
      <c r="B3923" s="32" t="s">
        <v>4880</v>
      </c>
      <c r="C3923" s="32" t="s">
        <v>184</v>
      </c>
      <c r="D3923" s="32" t="s">
        <v>185</v>
      </c>
      <c r="E3923" s="32" t="s">
        <v>255</v>
      </c>
    </row>
    <row r="3924" ht="16.5" customHeight="1">
      <c r="A3924" s="32">
        <v>3923.0</v>
      </c>
      <c r="B3924" s="32" t="s">
        <v>4881</v>
      </c>
      <c r="C3924" s="32" t="s">
        <v>184</v>
      </c>
      <c r="D3924" s="32" t="s">
        <v>192</v>
      </c>
      <c r="E3924" s="32" t="s">
        <v>255</v>
      </c>
      <c r="F3924" s="32" t="s">
        <v>4882</v>
      </c>
      <c r="G3924" s="32" t="s">
        <v>447</v>
      </c>
    </row>
    <row r="3925" ht="16.5" customHeight="1">
      <c r="A3925" s="32">
        <v>3924.0</v>
      </c>
      <c r="B3925" s="32" t="s">
        <v>4883</v>
      </c>
      <c r="C3925" s="32" t="s">
        <v>184</v>
      </c>
      <c r="D3925" s="32" t="s">
        <v>192</v>
      </c>
      <c r="E3925" s="32" t="s">
        <v>255</v>
      </c>
      <c r="F3925" s="32" t="s">
        <v>300</v>
      </c>
      <c r="G3925" s="32" t="s">
        <v>4884</v>
      </c>
    </row>
    <row r="3926" ht="16.5" customHeight="1">
      <c r="A3926" s="32">
        <v>3925.0</v>
      </c>
      <c r="B3926" s="32" t="s">
        <v>4885</v>
      </c>
      <c r="C3926" s="32" t="s">
        <v>184</v>
      </c>
      <c r="D3926" s="32" t="s">
        <v>192</v>
      </c>
      <c r="E3926" s="32" t="s">
        <v>255</v>
      </c>
      <c r="F3926" s="32" t="s">
        <v>300</v>
      </c>
      <c r="G3926" s="32" t="s">
        <v>3413</v>
      </c>
    </row>
    <row r="3927" ht="16.5" customHeight="1">
      <c r="A3927" s="32">
        <v>3926.0</v>
      </c>
      <c r="B3927" s="32" t="s">
        <v>4886</v>
      </c>
      <c r="C3927" s="32" t="s">
        <v>184</v>
      </c>
      <c r="D3927" s="32" t="s">
        <v>192</v>
      </c>
      <c r="E3927" s="32" t="s">
        <v>255</v>
      </c>
    </row>
    <row r="3928" ht="16.5" customHeight="1">
      <c r="A3928" s="32">
        <v>3927.0</v>
      </c>
      <c r="B3928" s="32" t="s">
        <v>4887</v>
      </c>
      <c r="C3928" s="32" t="s">
        <v>184</v>
      </c>
      <c r="D3928" s="32" t="s">
        <v>192</v>
      </c>
      <c r="E3928" s="32" t="s">
        <v>255</v>
      </c>
      <c r="F3928" s="32" t="s">
        <v>300</v>
      </c>
      <c r="G3928" s="32" t="s">
        <v>4888</v>
      </c>
    </row>
    <row r="3929" ht="16.5" customHeight="1">
      <c r="A3929" s="32">
        <v>3928.0</v>
      </c>
      <c r="B3929" s="32" t="s">
        <v>4889</v>
      </c>
      <c r="C3929" s="32" t="s">
        <v>184</v>
      </c>
      <c r="D3929" s="32" t="s">
        <v>192</v>
      </c>
      <c r="E3929" s="32" t="s">
        <v>255</v>
      </c>
      <c r="F3929" s="32" t="s">
        <v>300</v>
      </c>
      <c r="G3929" s="32" t="s">
        <v>4890</v>
      </c>
    </row>
    <row r="3930" ht="16.5" customHeight="1">
      <c r="A3930" s="32">
        <v>3929.0</v>
      </c>
      <c r="B3930" s="32" t="s">
        <v>4891</v>
      </c>
      <c r="C3930" s="32" t="s">
        <v>184</v>
      </c>
      <c r="D3930" s="32" t="s">
        <v>234</v>
      </c>
      <c r="E3930" s="32" t="s">
        <v>255</v>
      </c>
      <c r="F3930" s="32" t="s">
        <v>347</v>
      </c>
      <c r="G3930" s="32" t="s">
        <v>382</v>
      </c>
    </row>
    <row r="3931" ht="16.5" customHeight="1">
      <c r="A3931" s="32">
        <v>3930.0</v>
      </c>
      <c r="B3931" s="32" t="s">
        <v>4892</v>
      </c>
      <c r="C3931" s="32" t="s">
        <v>184</v>
      </c>
      <c r="D3931" s="32" t="s">
        <v>234</v>
      </c>
      <c r="E3931" s="32" t="s">
        <v>255</v>
      </c>
      <c r="F3931" s="32" t="s">
        <v>235</v>
      </c>
      <c r="G3931" s="32" t="s">
        <v>243</v>
      </c>
    </row>
    <row r="3932" ht="16.5" customHeight="1">
      <c r="A3932" s="32">
        <v>3931.0</v>
      </c>
      <c r="B3932" s="32" t="s">
        <v>4893</v>
      </c>
      <c r="C3932" s="32" t="s">
        <v>184</v>
      </c>
      <c r="D3932" s="32" t="s">
        <v>234</v>
      </c>
      <c r="E3932" s="32" t="s">
        <v>255</v>
      </c>
      <c r="F3932" s="32" t="s">
        <v>235</v>
      </c>
      <c r="G3932" s="32" t="s">
        <v>243</v>
      </c>
    </row>
    <row r="3933" ht="16.5" customHeight="1">
      <c r="A3933" s="32">
        <v>3932.0</v>
      </c>
      <c r="B3933" s="32" t="s">
        <v>4894</v>
      </c>
      <c r="C3933" s="32" t="s">
        <v>184</v>
      </c>
      <c r="D3933" s="32" t="s">
        <v>192</v>
      </c>
      <c r="E3933" s="32" t="s">
        <v>255</v>
      </c>
    </row>
    <row r="3934" ht="16.5" customHeight="1">
      <c r="A3934" s="32">
        <v>3933.0</v>
      </c>
      <c r="B3934" s="32" t="s">
        <v>4895</v>
      </c>
      <c r="C3934" s="32" t="s">
        <v>184</v>
      </c>
      <c r="D3934" s="32" t="s">
        <v>234</v>
      </c>
      <c r="E3934" s="32" t="s">
        <v>255</v>
      </c>
    </row>
    <row r="3935" ht="16.5" customHeight="1">
      <c r="A3935" s="32">
        <v>3934.0</v>
      </c>
      <c r="B3935" s="32" t="s">
        <v>4896</v>
      </c>
      <c r="C3935" s="32" t="s">
        <v>184</v>
      </c>
      <c r="D3935" s="32" t="s">
        <v>234</v>
      </c>
      <c r="E3935" s="32" t="s">
        <v>255</v>
      </c>
      <c r="F3935" s="32" t="s">
        <v>235</v>
      </c>
      <c r="G3935" s="32" t="s">
        <v>243</v>
      </c>
    </row>
    <row r="3936" ht="16.5" customHeight="1">
      <c r="A3936" s="32">
        <v>3935.0</v>
      </c>
      <c r="B3936" s="32" t="s">
        <v>4897</v>
      </c>
      <c r="C3936" s="32" t="s">
        <v>184</v>
      </c>
      <c r="D3936" s="32" t="s">
        <v>254</v>
      </c>
      <c r="E3936" s="32" t="s">
        <v>255</v>
      </c>
      <c r="F3936" s="32" t="s">
        <v>305</v>
      </c>
      <c r="G3936" s="32" t="s">
        <v>566</v>
      </c>
    </row>
    <row r="3937" ht="16.5" customHeight="1">
      <c r="A3937" s="32">
        <v>3936.0</v>
      </c>
      <c r="B3937" s="32" t="s">
        <v>4898</v>
      </c>
      <c r="C3937" s="32" t="s">
        <v>184</v>
      </c>
      <c r="D3937" s="32" t="s">
        <v>254</v>
      </c>
      <c r="E3937" s="32" t="s">
        <v>255</v>
      </c>
      <c r="F3937" s="32" t="s">
        <v>257</v>
      </c>
    </row>
    <row r="3938" ht="16.5" customHeight="1">
      <c r="A3938" s="32">
        <v>3937.0</v>
      </c>
      <c r="B3938" s="32" t="s">
        <v>4899</v>
      </c>
      <c r="C3938" s="32" t="s">
        <v>184</v>
      </c>
      <c r="D3938" s="32" t="s">
        <v>214</v>
      </c>
      <c r="E3938" s="32" t="s">
        <v>255</v>
      </c>
    </row>
    <row r="3939" ht="16.5" customHeight="1">
      <c r="A3939" s="32">
        <v>3938.0</v>
      </c>
      <c r="B3939" s="32" t="s">
        <v>4900</v>
      </c>
      <c r="C3939" s="32" t="s">
        <v>184</v>
      </c>
      <c r="D3939" s="32" t="s">
        <v>214</v>
      </c>
      <c r="E3939" s="32" t="s">
        <v>255</v>
      </c>
      <c r="F3939" s="32" t="s">
        <v>3705</v>
      </c>
    </row>
    <row r="3940" ht="16.5" customHeight="1">
      <c r="A3940" s="32">
        <v>3939.0</v>
      </c>
      <c r="B3940" s="32" t="s">
        <v>4901</v>
      </c>
      <c r="C3940" s="32" t="s">
        <v>184</v>
      </c>
      <c r="D3940" s="32" t="s">
        <v>214</v>
      </c>
      <c r="E3940" s="32" t="s">
        <v>255</v>
      </c>
      <c r="F3940" s="32" t="s">
        <v>3705</v>
      </c>
    </row>
    <row r="3941" ht="16.5" customHeight="1">
      <c r="A3941" s="32">
        <v>3940.0</v>
      </c>
      <c r="B3941" s="32" t="s">
        <v>117</v>
      </c>
      <c r="C3941" s="32" t="s">
        <v>184</v>
      </c>
      <c r="D3941" s="32" t="s">
        <v>214</v>
      </c>
      <c r="E3941" s="32" t="s">
        <v>396</v>
      </c>
      <c r="F3941" s="32" t="s">
        <v>3705</v>
      </c>
    </row>
  </sheetData>
  <autoFilter ref="$A$1:$G$1"/>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41.14"/>
    <col customWidth="1" min="3" max="3" width="54.86"/>
    <col customWidth="1" min="4" max="6" width="16.43"/>
    <col customWidth="1" min="7" max="8" width="35.0"/>
  </cols>
  <sheetData>
    <row r="1" ht="16.5" customHeight="1">
      <c r="B1" s="34"/>
      <c r="C1" s="34"/>
      <c r="D1" s="34"/>
      <c r="E1" s="34"/>
      <c r="F1" s="34"/>
      <c r="G1" s="34"/>
      <c r="H1" s="34"/>
    </row>
    <row r="2" ht="16.5" customHeight="1">
      <c r="B2" s="34"/>
      <c r="C2" s="34"/>
      <c r="D2" s="34"/>
      <c r="E2" s="34"/>
      <c r="F2" s="34"/>
      <c r="G2" s="34"/>
      <c r="H2" s="34"/>
    </row>
    <row r="3" ht="16.5" customHeight="1">
      <c r="B3" s="34"/>
      <c r="C3" s="34"/>
      <c r="D3" s="34"/>
      <c r="E3" s="34"/>
      <c r="F3" s="34"/>
      <c r="G3" s="34"/>
      <c r="H3" s="34"/>
    </row>
    <row r="4" ht="16.5" customHeight="1">
      <c r="A4" s="32" t="s">
        <v>246</v>
      </c>
      <c r="B4" s="34"/>
      <c r="C4" s="34" t="s">
        <v>247</v>
      </c>
      <c r="D4" s="34" t="s">
        <v>248</v>
      </c>
      <c r="E4" s="34" t="s">
        <v>249</v>
      </c>
      <c r="F4" s="34" t="s">
        <v>250</v>
      </c>
      <c r="G4" s="34" t="s">
        <v>251</v>
      </c>
      <c r="H4" s="34" t="s">
        <v>252</v>
      </c>
    </row>
    <row r="5" ht="218.25" customHeight="1">
      <c r="A5" s="32">
        <v>1.0</v>
      </c>
      <c r="C5" s="32" t="s">
        <v>253</v>
      </c>
      <c r="D5" s="32" t="s">
        <v>184</v>
      </c>
      <c r="E5" s="32" t="s">
        <v>254</v>
      </c>
      <c r="F5" s="32" t="s">
        <v>255</v>
      </c>
      <c r="G5" s="32" t="s">
        <v>256</v>
      </c>
      <c r="H5" s="32" t="s">
        <v>257</v>
      </c>
    </row>
    <row r="6" ht="16.5" customHeight="1">
      <c r="A6" s="32">
        <v>2.0</v>
      </c>
      <c r="C6" s="32" t="s">
        <v>258</v>
      </c>
      <c r="D6" s="32" t="s">
        <v>184</v>
      </c>
      <c r="E6" s="32" t="s">
        <v>254</v>
      </c>
      <c r="F6" s="32" t="s">
        <v>255</v>
      </c>
      <c r="G6" s="32" t="s">
        <v>256</v>
      </c>
      <c r="H6" s="32" t="s">
        <v>257</v>
      </c>
    </row>
    <row r="7" ht="16.5" customHeight="1">
      <c r="A7" s="32">
        <v>3.0</v>
      </c>
      <c r="C7" s="32" t="s">
        <v>259</v>
      </c>
      <c r="D7" s="32" t="s">
        <v>184</v>
      </c>
      <c r="E7" s="32" t="s">
        <v>254</v>
      </c>
      <c r="F7" s="32" t="s">
        <v>255</v>
      </c>
      <c r="G7" s="32" t="s">
        <v>260</v>
      </c>
      <c r="H7" s="32" t="s">
        <v>261</v>
      </c>
    </row>
    <row r="8" ht="16.5" customHeight="1">
      <c r="A8" s="32">
        <v>4.0</v>
      </c>
      <c r="C8" s="32" t="s">
        <v>262</v>
      </c>
      <c r="D8" s="32" t="s">
        <v>184</v>
      </c>
      <c r="E8" s="32" t="s">
        <v>254</v>
      </c>
      <c r="F8" s="32" t="s">
        <v>255</v>
      </c>
      <c r="G8" s="32" t="s">
        <v>263</v>
      </c>
      <c r="H8" s="32" t="s">
        <v>264</v>
      </c>
    </row>
    <row r="9" ht="16.5" customHeight="1">
      <c r="A9" s="32">
        <v>5.0</v>
      </c>
      <c r="C9" s="32" t="s">
        <v>265</v>
      </c>
      <c r="D9" s="32" t="s">
        <v>184</v>
      </c>
      <c r="E9" s="32" t="s">
        <v>185</v>
      </c>
      <c r="F9" s="32" t="s">
        <v>255</v>
      </c>
      <c r="G9" s="32" t="s">
        <v>187</v>
      </c>
      <c r="H9" s="32" t="s">
        <v>188</v>
      </c>
    </row>
    <row r="10" ht="16.5" customHeight="1">
      <c r="A10" s="32">
        <v>6.0</v>
      </c>
      <c r="C10" s="32" t="s">
        <v>266</v>
      </c>
      <c r="D10" s="32" t="s">
        <v>184</v>
      </c>
      <c r="E10" s="32" t="s">
        <v>192</v>
      </c>
      <c r="F10" s="32" t="s">
        <v>255</v>
      </c>
      <c r="G10" s="32" t="s">
        <v>267</v>
      </c>
      <c r="H10" s="32" t="s">
        <v>188</v>
      </c>
    </row>
    <row r="11" ht="16.5" customHeight="1">
      <c r="A11" s="32">
        <v>7.0</v>
      </c>
      <c r="C11" s="32" t="s">
        <v>268</v>
      </c>
      <c r="D11" s="32" t="s">
        <v>184</v>
      </c>
      <c r="E11" s="32" t="s">
        <v>185</v>
      </c>
      <c r="F11" s="32" t="s">
        <v>255</v>
      </c>
      <c r="G11" s="32" t="s">
        <v>187</v>
      </c>
      <c r="H11" s="32" t="s">
        <v>227</v>
      </c>
    </row>
    <row r="12" ht="16.5" customHeight="1">
      <c r="A12" s="32">
        <v>8.0</v>
      </c>
      <c r="C12" s="32" t="s">
        <v>269</v>
      </c>
      <c r="D12" s="32" t="s">
        <v>184</v>
      </c>
      <c r="E12" s="32" t="s">
        <v>185</v>
      </c>
      <c r="F12" s="32" t="s">
        <v>255</v>
      </c>
      <c r="G12" s="32" t="s">
        <v>227</v>
      </c>
      <c r="H12" s="32" t="s">
        <v>187</v>
      </c>
    </row>
    <row r="13" ht="16.5" customHeight="1">
      <c r="A13" s="32">
        <v>9.0</v>
      </c>
      <c r="C13" s="32" t="s">
        <v>270</v>
      </c>
      <c r="D13" s="32" t="s">
        <v>184</v>
      </c>
      <c r="E13" s="32" t="s">
        <v>254</v>
      </c>
      <c r="F13" s="32" t="s">
        <v>255</v>
      </c>
      <c r="G13" s="32" t="s">
        <v>257</v>
      </c>
      <c r="H13" s="32" t="s">
        <v>271</v>
      </c>
    </row>
    <row r="14" ht="16.5" customHeight="1">
      <c r="A14" s="32">
        <v>10.0</v>
      </c>
      <c r="C14" s="32" t="s">
        <v>272</v>
      </c>
      <c r="D14" s="32" t="s">
        <v>184</v>
      </c>
      <c r="E14" s="32" t="s">
        <v>185</v>
      </c>
      <c r="F14" s="32" t="s">
        <v>255</v>
      </c>
      <c r="G14" s="32" t="s">
        <v>273</v>
      </c>
      <c r="H14" s="32" t="s">
        <v>187</v>
      </c>
    </row>
    <row r="15" ht="16.5" customHeight="1">
      <c r="A15" s="32">
        <v>11.0</v>
      </c>
      <c r="C15" s="32" t="s">
        <v>274</v>
      </c>
      <c r="D15" s="32" t="s">
        <v>184</v>
      </c>
      <c r="E15" s="32" t="s">
        <v>185</v>
      </c>
      <c r="F15" s="32" t="s">
        <v>255</v>
      </c>
      <c r="G15" s="32" t="s">
        <v>275</v>
      </c>
    </row>
    <row r="16" ht="16.5" customHeight="1">
      <c r="A16" s="32">
        <v>12.0</v>
      </c>
      <c r="C16" s="32" t="s">
        <v>276</v>
      </c>
      <c r="D16" s="32" t="s">
        <v>184</v>
      </c>
      <c r="E16" s="32" t="s">
        <v>254</v>
      </c>
      <c r="F16" s="32" t="s">
        <v>255</v>
      </c>
      <c r="G16" s="32" t="s">
        <v>257</v>
      </c>
      <c r="H16" s="32" t="s">
        <v>271</v>
      </c>
    </row>
    <row r="17" ht="16.5" customHeight="1">
      <c r="A17" s="32">
        <v>13.0</v>
      </c>
      <c r="C17" s="32" t="s">
        <v>277</v>
      </c>
      <c r="D17" s="32" t="s">
        <v>184</v>
      </c>
      <c r="E17" s="32" t="s">
        <v>254</v>
      </c>
      <c r="F17" s="32" t="s">
        <v>255</v>
      </c>
    </row>
    <row r="18" ht="16.5" customHeight="1">
      <c r="A18" s="32">
        <v>14.0</v>
      </c>
      <c r="C18" s="32" t="s">
        <v>278</v>
      </c>
      <c r="D18" s="32" t="s">
        <v>184</v>
      </c>
      <c r="E18" s="32" t="s">
        <v>254</v>
      </c>
      <c r="F18" s="32" t="s">
        <v>255</v>
      </c>
      <c r="G18" s="32" t="s">
        <v>256</v>
      </c>
      <c r="H18" s="32" t="s">
        <v>257</v>
      </c>
    </row>
    <row r="19" ht="16.5" customHeight="1">
      <c r="A19" s="32">
        <v>15.0</v>
      </c>
      <c r="C19" s="32" t="s">
        <v>279</v>
      </c>
      <c r="D19" s="32" t="s">
        <v>184</v>
      </c>
      <c r="E19" s="32" t="s">
        <v>254</v>
      </c>
      <c r="F19" s="32" t="s">
        <v>255</v>
      </c>
      <c r="G19" s="32" t="s">
        <v>256</v>
      </c>
      <c r="H19" s="32" t="s">
        <v>257</v>
      </c>
    </row>
    <row r="20" ht="16.5" customHeight="1">
      <c r="A20" s="32">
        <v>16.0</v>
      </c>
      <c r="C20" s="32" t="s">
        <v>280</v>
      </c>
      <c r="D20" s="32" t="s">
        <v>184</v>
      </c>
      <c r="E20" s="32" t="s">
        <v>254</v>
      </c>
      <c r="F20" s="32" t="s">
        <v>255</v>
      </c>
    </row>
    <row r="21" ht="16.5" customHeight="1">
      <c r="A21" s="32">
        <v>17.0</v>
      </c>
      <c r="C21" s="32" t="s">
        <v>281</v>
      </c>
      <c r="D21" s="32" t="s">
        <v>184</v>
      </c>
      <c r="E21" s="32" t="s">
        <v>254</v>
      </c>
      <c r="F21" s="32" t="s">
        <v>255</v>
      </c>
      <c r="G21" s="32" t="s">
        <v>257</v>
      </c>
      <c r="H21" s="32" t="s">
        <v>282</v>
      </c>
    </row>
    <row r="22" ht="16.5" customHeight="1">
      <c r="A22" s="32">
        <v>18.0</v>
      </c>
      <c r="C22" s="32" t="s">
        <v>283</v>
      </c>
      <c r="D22" s="32" t="s">
        <v>184</v>
      </c>
      <c r="E22" s="32" t="s">
        <v>254</v>
      </c>
      <c r="F22" s="32" t="s">
        <v>255</v>
      </c>
      <c r="G22" s="32" t="s">
        <v>257</v>
      </c>
      <c r="H22" s="32" t="s">
        <v>282</v>
      </c>
    </row>
    <row r="23" ht="16.5" customHeight="1">
      <c r="A23" s="32">
        <v>19.0</v>
      </c>
      <c r="C23" s="32" t="s">
        <v>284</v>
      </c>
      <c r="D23" s="32" t="s">
        <v>184</v>
      </c>
      <c r="E23" s="32" t="s">
        <v>285</v>
      </c>
      <c r="F23" s="32" t="s">
        <v>255</v>
      </c>
    </row>
    <row r="24" ht="16.5" customHeight="1">
      <c r="A24" s="32">
        <v>20.0</v>
      </c>
      <c r="C24" s="32" t="s">
        <v>286</v>
      </c>
      <c r="D24" s="32" t="s">
        <v>184</v>
      </c>
      <c r="E24" s="32" t="s">
        <v>285</v>
      </c>
      <c r="F24" s="32" t="s">
        <v>255</v>
      </c>
    </row>
    <row r="25" ht="16.5" customHeight="1">
      <c r="A25" s="32">
        <v>21.0</v>
      </c>
      <c r="C25" s="32" t="s">
        <v>287</v>
      </c>
      <c r="D25" s="32" t="s">
        <v>184</v>
      </c>
      <c r="E25" s="32" t="s">
        <v>254</v>
      </c>
      <c r="F25" s="32" t="s">
        <v>255</v>
      </c>
      <c r="G25" s="32" t="s">
        <v>257</v>
      </c>
      <c r="H25" s="32" t="s">
        <v>282</v>
      </c>
    </row>
    <row r="26" ht="16.5" customHeight="1">
      <c r="A26" s="32">
        <v>22.0</v>
      </c>
      <c r="C26" s="32" t="s">
        <v>288</v>
      </c>
      <c r="D26" s="32" t="s">
        <v>184</v>
      </c>
      <c r="E26" s="32" t="s">
        <v>254</v>
      </c>
      <c r="F26" s="32" t="s">
        <v>255</v>
      </c>
      <c r="G26" s="32" t="s">
        <v>263</v>
      </c>
      <c r="H26" s="32" t="s">
        <v>289</v>
      </c>
    </row>
    <row r="27" ht="16.5" customHeight="1">
      <c r="A27" s="32">
        <v>23.0</v>
      </c>
      <c r="C27" s="32" t="s">
        <v>290</v>
      </c>
      <c r="D27" s="32" t="s">
        <v>184</v>
      </c>
      <c r="E27" s="32" t="s">
        <v>219</v>
      </c>
      <c r="F27" s="32" t="s">
        <v>291</v>
      </c>
      <c r="G27" s="32" t="s">
        <v>241</v>
      </c>
      <c r="H27" s="32" t="s">
        <v>292</v>
      </c>
    </row>
    <row r="28" ht="16.5" customHeight="1">
      <c r="A28" s="32">
        <v>24.0</v>
      </c>
      <c r="C28" s="32" t="s">
        <v>293</v>
      </c>
      <c r="D28" s="32" t="s">
        <v>184</v>
      </c>
      <c r="E28" s="35" t="s">
        <v>294</v>
      </c>
      <c r="F28" s="32" t="s">
        <v>255</v>
      </c>
      <c r="G28" s="32" t="s">
        <v>295</v>
      </c>
      <c r="H28" s="32" t="s">
        <v>296</v>
      </c>
    </row>
    <row r="29" ht="16.5" customHeight="1">
      <c r="A29" s="32">
        <v>25.0</v>
      </c>
      <c r="C29" s="32" t="s">
        <v>297</v>
      </c>
      <c r="D29" s="32" t="s">
        <v>184</v>
      </c>
      <c r="E29" s="32" t="s">
        <v>254</v>
      </c>
      <c r="F29" s="32" t="s">
        <v>255</v>
      </c>
      <c r="G29" s="32" t="s">
        <v>257</v>
      </c>
    </row>
    <row r="30" ht="16.5" customHeight="1">
      <c r="A30" s="32">
        <v>26.0</v>
      </c>
      <c r="C30" s="32" t="s">
        <v>298</v>
      </c>
      <c r="D30" s="32" t="s">
        <v>184</v>
      </c>
      <c r="E30" s="32" t="s">
        <v>254</v>
      </c>
      <c r="F30" s="32" t="s">
        <v>255</v>
      </c>
      <c r="G30" s="32" t="s">
        <v>257</v>
      </c>
    </row>
    <row r="31" ht="16.5" customHeight="1">
      <c r="A31" s="32">
        <v>27.0</v>
      </c>
      <c r="C31" s="32" t="s">
        <v>299</v>
      </c>
      <c r="D31" s="32" t="s">
        <v>184</v>
      </c>
      <c r="E31" s="32" t="s">
        <v>192</v>
      </c>
      <c r="F31" s="32" t="s">
        <v>215</v>
      </c>
      <c r="G31" s="32" t="s">
        <v>300</v>
      </c>
      <c r="H31" s="32" t="s">
        <v>301</v>
      </c>
    </row>
    <row r="32" ht="16.5" customHeight="1">
      <c r="A32" s="32">
        <v>28.0</v>
      </c>
      <c r="C32" s="32" t="s">
        <v>302</v>
      </c>
      <c r="D32" s="32" t="s">
        <v>184</v>
      </c>
      <c r="E32" s="32" t="s">
        <v>185</v>
      </c>
      <c r="F32" s="32" t="s">
        <v>255</v>
      </c>
      <c r="G32" s="32" t="s">
        <v>271</v>
      </c>
      <c r="H32" s="32" t="s">
        <v>303</v>
      </c>
    </row>
    <row r="33" ht="16.5" customHeight="1">
      <c r="A33" s="32">
        <v>29.0</v>
      </c>
      <c r="C33" s="32" t="s">
        <v>304</v>
      </c>
      <c r="D33" s="32" t="s">
        <v>184</v>
      </c>
      <c r="E33" s="32" t="s">
        <v>185</v>
      </c>
      <c r="F33" s="32" t="s">
        <v>255</v>
      </c>
      <c r="G33" s="32" t="s">
        <v>305</v>
      </c>
      <c r="H33" s="32" t="s">
        <v>289</v>
      </c>
    </row>
    <row r="34" ht="16.5" customHeight="1">
      <c r="A34" s="32">
        <v>30.0</v>
      </c>
      <c r="C34" s="32" t="s">
        <v>306</v>
      </c>
      <c r="D34" s="32" t="s">
        <v>184</v>
      </c>
      <c r="E34" s="32" t="s">
        <v>254</v>
      </c>
      <c r="F34" s="32" t="s">
        <v>255</v>
      </c>
      <c r="G34" s="32" t="s">
        <v>305</v>
      </c>
      <c r="H34" s="32" t="s">
        <v>289</v>
      </c>
    </row>
    <row r="35" ht="16.5" customHeight="1">
      <c r="A35" s="32">
        <v>31.0</v>
      </c>
      <c r="C35" s="32" t="s">
        <v>307</v>
      </c>
      <c r="D35" s="32" t="s">
        <v>184</v>
      </c>
      <c r="E35" s="32" t="s">
        <v>254</v>
      </c>
      <c r="F35" s="32" t="s">
        <v>255</v>
      </c>
      <c r="G35" s="32" t="s">
        <v>256</v>
      </c>
      <c r="H35" s="32" t="s">
        <v>308</v>
      </c>
    </row>
    <row r="36" ht="16.5" customHeight="1">
      <c r="A36" s="32">
        <v>32.0</v>
      </c>
      <c r="C36" s="32" t="s">
        <v>309</v>
      </c>
      <c r="D36" s="32" t="s">
        <v>184</v>
      </c>
      <c r="E36" s="35" t="s">
        <v>310</v>
      </c>
      <c r="F36" s="32" t="s">
        <v>255</v>
      </c>
      <c r="G36" s="32" t="s">
        <v>305</v>
      </c>
      <c r="H36" s="32" t="s">
        <v>311</v>
      </c>
    </row>
    <row r="37" ht="16.5" customHeight="1">
      <c r="A37" s="32">
        <v>33.0</v>
      </c>
      <c r="C37" s="32" t="s">
        <v>312</v>
      </c>
      <c r="D37" s="32" t="s">
        <v>184</v>
      </c>
      <c r="E37" s="32" t="s">
        <v>254</v>
      </c>
      <c r="F37" s="32" t="s">
        <v>255</v>
      </c>
      <c r="G37" s="32" t="s">
        <v>257</v>
      </c>
      <c r="H37" s="32" t="s">
        <v>256</v>
      </c>
    </row>
    <row r="38" ht="16.5" customHeight="1">
      <c r="A38" s="32">
        <v>34.0</v>
      </c>
      <c r="C38" s="32" t="s">
        <v>313</v>
      </c>
      <c r="D38" s="32" t="s">
        <v>184</v>
      </c>
      <c r="E38" s="35" t="s">
        <v>294</v>
      </c>
      <c r="F38" s="32" t="s">
        <v>255</v>
      </c>
      <c r="G38" s="32" t="s">
        <v>189</v>
      </c>
      <c r="H38" s="32" t="s">
        <v>314</v>
      </c>
    </row>
    <row r="39" ht="16.5" customHeight="1">
      <c r="A39" s="32">
        <v>35.0</v>
      </c>
      <c r="C39" s="32" t="s">
        <v>315</v>
      </c>
      <c r="D39" s="32" t="s">
        <v>184</v>
      </c>
      <c r="E39" s="32" t="s">
        <v>254</v>
      </c>
      <c r="F39" s="32" t="s">
        <v>316</v>
      </c>
      <c r="G39" s="32" t="s">
        <v>305</v>
      </c>
      <c r="H39" s="32" t="s">
        <v>317</v>
      </c>
    </row>
    <row r="40" ht="16.5" customHeight="1">
      <c r="A40" s="32">
        <v>36.0</v>
      </c>
      <c r="C40" s="32" t="s">
        <v>318</v>
      </c>
      <c r="D40" s="32" t="s">
        <v>184</v>
      </c>
      <c r="E40" s="32" t="s">
        <v>185</v>
      </c>
      <c r="F40" s="32" t="s">
        <v>255</v>
      </c>
      <c r="G40" s="32" t="s">
        <v>305</v>
      </c>
      <c r="H40" s="32" t="s">
        <v>319</v>
      </c>
    </row>
    <row r="41" ht="16.5" customHeight="1">
      <c r="A41" s="32">
        <v>37.0</v>
      </c>
      <c r="C41" s="32" t="s">
        <v>320</v>
      </c>
      <c r="D41" s="32" t="s">
        <v>184</v>
      </c>
      <c r="E41" s="32" t="s">
        <v>321</v>
      </c>
      <c r="F41" s="32" t="s">
        <v>255</v>
      </c>
    </row>
    <row r="42" ht="16.5" customHeight="1">
      <c r="A42" s="32">
        <v>38.0</v>
      </c>
      <c r="C42" s="32" t="s">
        <v>322</v>
      </c>
      <c r="D42" s="32" t="s">
        <v>184</v>
      </c>
      <c r="E42" s="32" t="s">
        <v>321</v>
      </c>
      <c r="F42" s="32" t="s">
        <v>255</v>
      </c>
    </row>
    <row r="43" ht="16.5" customHeight="1">
      <c r="A43" s="32">
        <v>39.0</v>
      </c>
      <c r="C43" s="32" t="s">
        <v>323</v>
      </c>
      <c r="D43" s="32" t="s">
        <v>184</v>
      </c>
      <c r="E43" s="32" t="s">
        <v>185</v>
      </c>
      <c r="F43" s="32" t="s">
        <v>255</v>
      </c>
    </row>
    <row r="44" ht="16.5" customHeight="1">
      <c r="A44" s="32">
        <v>40.0</v>
      </c>
      <c r="C44" s="32" t="s">
        <v>323</v>
      </c>
      <c r="D44" s="32" t="s">
        <v>184</v>
      </c>
      <c r="E44" s="32" t="s">
        <v>185</v>
      </c>
      <c r="F44" s="32" t="s">
        <v>255</v>
      </c>
      <c r="G44" s="32" t="s">
        <v>267</v>
      </c>
      <c r="H44" s="32" t="s">
        <v>188</v>
      </c>
    </row>
    <row r="45" ht="16.5" customHeight="1">
      <c r="A45" s="32">
        <v>41.0</v>
      </c>
      <c r="C45" s="32" t="s">
        <v>324</v>
      </c>
      <c r="D45" s="32" t="s">
        <v>184</v>
      </c>
      <c r="E45" s="32" t="s">
        <v>325</v>
      </c>
      <c r="F45" s="32" t="s">
        <v>255</v>
      </c>
      <c r="G45" s="32" t="s">
        <v>326</v>
      </c>
    </row>
    <row r="46" ht="16.5" customHeight="1">
      <c r="A46" s="32">
        <v>42.0</v>
      </c>
      <c r="C46" s="32" t="s">
        <v>327</v>
      </c>
      <c r="D46" s="32" t="s">
        <v>184</v>
      </c>
      <c r="E46" s="32" t="s">
        <v>325</v>
      </c>
      <c r="F46" s="32" t="s">
        <v>255</v>
      </c>
      <c r="G46" s="32" t="s">
        <v>326</v>
      </c>
    </row>
    <row r="47" ht="16.5" customHeight="1">
      <c r="A47" s="32">
        <v>43.0</v>
      </c>
      <c r="C47" s="32" t="s">
        <v>328</v>
      </c>
      <c r="D47" s="32" t="s">
        <v>184</v>
      </c>
      <c r="E47" s="32" t="s">
        <v>192</v>
      </c>
      <c r="F47" s="32" t="s">
        <v>255</v>
      </c>
      <c r="G47" s="32" t="s">
        <v>329</v>
      </c>
      <c r="H47" s="32" t="s">
        <v>330</v>
      </c>
    </row>
    <row r="48" ht="16.5" customHeight="1">
      <c r="A48" s="32">
        <v>44.0</v>
      </c>
      <c r="C48" s="32" t="s">
        <v>331</v>
      </c>
      <c r="D48" s="32" t="s">
        <v>184</v>
      </c>
      <c r="E48" s="32" t="s">
        <v>234</v>
      </c>
      <c r="F48" s="32" t="s">
        <v>255</v>
      </c>
      <c r="G48" s="32" t="s">
        <v>235</v>
      </c>
      <c r="H48" s="32" t="s">
        <v>243</v>
      </c>
    </row>
    <row r="49" ht="16.5" customHeight="1">
      <c r="A49" s="32">
        <v>45.0</v>
      </c>
      <c r="C49" s="32" t="s">
        <v>332</v>
      </c>
      <c r="D49" s="32" t="s">
        <v>184</v>
      </c>
      <c r="E49" s="32" t="s">
        <v>228</v>
      </c>
      <c r="F49" s="32" t="s">
        <v>255</v>
      </c>
      <c r="G49" s="32" t="s">
        <v>333</v>
      </c>
      <c r="H49" s="32" t="s">
        <v>334</v>
      </c>
    </row>
    <row r="50" ht="16.5" customHeight="1">
      <c r="A50" s="32">
        <v>46.0</v>
      </c>
      <c r="C50" s="32" t="s">
        <v>335</v>
      </c>
      <c r="D50" s="32" t="s">
        <v>184</v>
      </c>
      <c r="E50" s="32" t="s">
        <v>234</v>
      </c>
      <c r="F50" s="32" t="s">
        <v>255</v>
      </c>
      <c r="G50" s="32" t="s">
        <v>235</v>
      </c>
      <c r="H50" s="32" t="s">
        <v>336</v>
      </c>
    </row>
    <row r="51" ht="16.5" customHeight="1">
      <c r="A51" s="32">
        <v>47.0</v>
      </c>
      <c r="C51" s="32" t="s">
        <v>337</v>
      </c>
      <c r="D51" s="32" t="s">
        <v>184</v>
      </c>
      <c r="E51" s="32" t="s">
        <v>234</v>
      </c>
      <c r="F51" s="32" t="s">
        <v>255</v>
      </c>
      <c r="G51" s="32" t="s">
        <v>235</v>
      </c>
      <c r="H51" s="32" t="s">
        <v>336</v>
      </c>
    </row>
    <row r="52" ht="16.5" customHeight="1">
      <c r="A52" s="32">
        <v>48.0</v>
      </c>
      <c r="C52" s="32" t="s">
        <v>338</v>
      </c>
      <c r="D52" s="32" t="s">
        <v>184</v>
      </c>
      <c r="E52" s="32" t="s">
        <v>254</v>
      </c>
      <c r="F52" s="32" t="s">
        <v>255</v>
      </c>
      <c r="G52" s="32" t="s">
        <v>256</v>
      </c>
      <c r="H52" s="32" t="s">
        <v>339</v>
      </c>
    </row>
    <row r="53" ht="16.5" customHeight="1">
      <c r="A53" s="32">
        <v>49.0</v>
      </c>
      <c r="C53" s="32" t="s">
        <v>340</v>
      </c>
      <c r="D53" s="32" t="s">
        <v>184</v>
      </c>
      <c r="E53" s="32" t="s">
        <v>254</v>
      </c>
      <c r="F53" s="32" t="s">
        <v>255</v>
      </c>
      <c r="G53" s="32" t="s">
        <v>305</v>
      </c>
      <c r="H53" s="32" t="s">
        <v>341</v>
      </c>
    </row>
    <row r="54" ht="16.5" customHeight="1">
      <c r="A54" s="32">
        <v>50.0</v>
      </c>
      <c r="C54" s="32" t="s">
        <v>342</v>
      </c>
      <c r="D54" s="32" t="s">
        <v>184</v>
      </c>
      <c r="E54" s="32" t="s">
        <v>185</v>
      </c>
      <c r="F54" s="32" t="s">
        <v>255</v>
      </c>
    </row>
    <row r="55" ht="16.5" customHeight="1">
      <c r="A55" s="32">
        <v>51.0</v>
      </c>
      <c r="C55" s="32" t="s">
        <v>343</v>
      </c>
      <c r="D55" s="32" t="s">
        <v>184</v>
      </c>
      <c r="E55" s="32" t="s">
        <v>185</v>
      </c>
      <c r="F55" s="32" t="s">
        <v>255</v>
      </c>
      <c r="G55" s="32" t="s">
        <v>267</v>
      </c>
    </row>
    <row r="56" ht="16.5" customHeight="1">
      <c r="A56" s="32">
        <v>52.0</v>
      </c>
      <c r="C56" s="32" t="s">
        <v>344</v>
      </c>
      <c r="D56" s="32" t="s">
        <v>184</v>
      </c>
      <c r="E56" s="32" t="s">
        <v>285</v>
      </c>
      <c r="F56" s="32" t="s">
        <v>255</v>
      </c>
    </row>
    <row r="57" ht="16.5" customHeight="1">
      <c r="A57" s="32">
        <v>53.0</v>
      </c>
      <c r="C57" s="32" t="s">
        <v>345</v>
      </c>
      <c r="D57" s="32" t="s">
        <v>184</v>
      </c>
      <c r="E57" s="32" t="s">
        <v>234</v>
      </c>
      <c r="F57" s="32" t="s">
        <v>346</v>
      </c>
      <c r="G57" s="32" t="s">
        <v>347</v>
      </c>
      <c r="H57" s="32" t="s">
        <v>348</v>
      </c>
    </row>
    <row r="58" ht="16.5" customHeight="1">
      <c r="A58" s="32">
        <v>54.0</v>
      </c>
      <c r="C58" s="32" t="s">
        <v>349</v>
      </c>
      <c r="D58" s="32" t="s">
        <v>184</v>
      </c>
      <c r="E58" s="32" t="s">
        <v>234</v>
      </c>
      <c r="F58" s="32" t="s">
        <v>346</v>
      </c>
    </row>
    <row r="59" ht="16.5" customHeight="1">
      <c r="A59" s="32">
        <v>55.0</v>
      </c>
      <c r="C59" s="32" t="s">
        <v>350</v>
      </c>
      <c r="D59" s="32" t="s">
        <v>184</v>
      </c>
      <c r="E59" s="32" t="s">
        <v>351</v>
      </c>
      <c r="F59" s="32" t="s">
        <v>352</v>
      </c>
    </row>
    <row r="60" ht="16.5" customHeight="1">
      <c r="A60" s="32">
        <v>56.0</v>
      </c>
      <c r="C60" s="32" t="s">
        <v>353</v>
      </c>
      <c r="D60" s="32" t="s">
        <v>184</v>
      </c>
      <c r="E60" s="32" t="s">
        <v>351</v>
      </c>
      <c r="F60" s="32" t="s">
        <v>255</v>
      </c>
    </row>
    <row r="61" ht="16.5" customHeight="1">
      <c r="A61" s="32">
        <v>57.0</v>
      </c>
      <c r="C61" s="32" t="s">
        <v>354</v>
      </c>
      <c r="D61" s="32" t="s">
        <v>184</v>
      </c>
      <c r="E61" s="32" t="s">
        <v>192</v>
      </c>
      <c r="F61" s="32" t="s">
        <v>255</v>
      </c>
    </row>
    <row r="62" ht="16.5" customHeight="1">
      <c r="A62" s="32">
        <v>58.0</v>
      </c>
      <c r="C62" s="32" t="s">
        <v>355</v>
      </c>
      <c r="D62" s="32" t="s">
        <v>184</v>
      </c>
      <c r="E62" s="32" t="s">
        <v>192</v>
      </c>
      <c r="F62" s="32" t="s">
        <v>255</v>
      </c>
    </row>
    <row r="63" ht="16.5" customHeight="1">
      <c r="A63" s="32">
        <v>59.0</v>
      </c>
      <c r="C63" s="32" t="s">
        <v>356</v>
      </c>
      <c r="D63" s="32" t="s">
        <v>184</v>
      </c>
      <c r="E63" s="32" t="s">
        <v>192</v>
      </c>
      <c r="F63" s="32" t="s">
        <v>346</v>
      </c>
      <c r="G63" s="32" t="s">
        <v>329</v>
      </c>
      <c r="H63" s="32" t="s">
        <v>357</v>
      </c>
    </row>
    <row r="64" ht="16.5" customHeight="1">
      <c r="A64" s="32">
        <v>60.0</v>
      </c>
      <c r="C64" s="32" t="s">
        <v>358</v>
      </c>
      <c r="D64" s="32" t="s">
        <v>184</v>
      </c>
      <c r="E64" s="32" t="s">
        <v>192</v>
      </c>
      <c r="F64" s="32" t="s">
        <v>346</v>
      </c>
      <c r="G64" s="32" t="s">
        <v>300</v>
      </c>
      <c r="H64" s="32" t="s">
        <v>359</v>
      </c>
    </row>
    <row r="65" ht="16.5" customHeight="1">
      <c r="A65" s="32">
        <v>61.0</v>
      </c>
      <c r="C65" s="32" t="s">
        <v>360</v>
      </c>
      <c r="D65" s="32" t="s">
        <v>184</v>
      </c>
      <c r="E65" s="35" t="s">
        <v>361</v>
      </c>
      <c r="F65" s="32" t="s">
        <v>255</v>
      </c>
      <c r="G65" s="32" t="s">
        <v>362</v>
      </c>
      <c r="H65" s="32" t="s">
        <v>357</v>
      </c>
    </row>
    <row r="66" ht="16.5" customHeight="1">
      <c r="A66" s="32">
        <v>62.0</v>
      </c>
      <c r="C66" s="32" t="s">
        <v>363</v>
      </c>
      <c r="D66" s="32" t="s">
        <v>184</v>
      </c>
      <c r="E66" s="32" t="s">
        <v>254</v>
      </c>
      <c r="F66" s="32" t="s">
        <v>352</v>
      </c>
      <c r="G66" s="32" t="s">
        <v>256</v>
      </c>
      <c r="H66" s="32" t="s">
        <v>364</v>
      </c>
    </row>
    <row r="67" ht="16.5" customHeight="1">
      <c r="A67" s="32">
        <v>63.0</v>
      </c>
      <c r="C67" s="32" t="s">
        <v>365</v>
      </c>
      <c r="D67" s="32" t="s">
        <v>184</v>
      </c>
      <c r="E67" s="32" t="s">
        <v>254</v>
      </c>
      <c r="F67" s="32" t="s">
        <v>352</v>
      </c>
      <c r="G67" s="32" t="s">
        <v>305</v>
      </c>
      <c r="H67" s="32" t="s">
        <v>366</v>
      </c>
    </row>
    <row r="68" ht="16.5" customHeight="1">
      <c r="A68" s="32">
        <v>64.0</v>
      </c>
      <c r="C68" s="32" t="s">
        <v>367</v>
      </c>
      <c r="D68" s="32" t="s">
        <v>184</v>
      </c>
      <c r="E68" s="32" t="s">
        <v>285</v>
      </c>
      <c r="F68" s="32" t="s">
        <v>352</v>
      </c>
      <c r="G68" s="32" t="s">
        <v>188</v>
      </c>
      <c r="H68" s="32" t="s">
        <v>368</v>
      </c>
    </row>
    <row r="69" ht="16.5" customHeight="1">
      <c r="A69" s="32">
        <v>65.0</v>
      </c>
      <c r="C69" s="32" t="s">
        <v>369</v>
      </c>
      <c r="D69" s="32" t="s">
        <v>184</v>
      </c>
      <c r="E69" s="32" t="s">
        <v>254</v>
      </c>
      <c r="F69" s="32" t="s">
        <v>352</v>
      </c>
      <c r="G69" s="32" t="s">
        <v>260</v>
      </c>
      <c r="H69" s="32" t="s">
        <v>366</v>
      </c>
    </row>
    <row r="70" ht="16.5" customHeight="1">
      <c r="A70" s="32">
        <v>66.0</v>
      </c>
      <c r="C70" s="32" t="s">
        <v>370</v>
      </c>
      <c r="D70" s="32" t="s">
        <v>184</v>
      </c>
      <c r="E70" s="32" t="s">
        <v>254</v>
      </c>
      <c r="F70" s="32" t="s">
        <v>352</v>
      </c>
      <c r="G70" s="32" t="s">
        <v>256</v>
      </c>
      <c r="H70" s="32" t="s">
        <v>371</v>
      </c>
    </row>
    <row r="71" ht="16.5" customHeight="1">
      <c r="A71" s="32">
        <v>67.0</v>
      </c>
      <c r="C71" s="32" t="s">
        <v>372</v>
      </c>
      <c r="D71" s="32" t="s">
        <v>184</v>
      </c>
      <c r="E71" s="32" t="s">
        <v>254</v>
      </c>
      <c r="F71" s="32" t="s">
        <v>373</v>
      </c>
      <c r="G71" s="32" t="s">
        <v>257</v>
      </c>
      <c r="H71" s="32" t="s">
        <v>256</v>
      </c>
    </row>
    <row r="72" ht="16.5" customHeight="1">
      <c r="A72" s="32">
        <v>68.0</v>
      </c>
      <c r="C72" s="32" t="s">
        <v>374</v>
      </c>
      <c r="D72" s="32" t="s">
        <v>184</v>
      </c>
      <c r="E72" s="32" t="s">
        <v>192</v>
      </c>
      <c r="F72" s="32" t="s">
        <v>346</v>
      </c>
      <c r="G72" s="32" t="s">
        <v>300</v>
      </c>
      <c r="H72" s="32" t="s">
        <v>375</v>
      </c>
    </row>
    <row r="73" ht="16.5" customHeight="1">
      <c r="A73" s="32">
        <v>69.0</v>
      </c>
      <c r="C73" s="32" t="s">
        <v>376</v>
      </c>
      <c r="D73" s="32" t="s">
        <v>184</v>
      </c>
      <c r="E73" s="32" t="s">
        <v>285</v>
      </c>
      <c r="F73" s="32" t="s">
        <v>255</v>
      </c>
      <c r="G73" s="32" t="s">
        <v>189</v>
      </c>
      <c r="H73" s="32" t="s">
        <v>190</v>
      </c>
    </row>
    <row r="74" ht="16.5" customHeight="1">
      <c r="A74" s="32">
        <v>70.0</v>
      </c>
      <c r="C74" s="32" t="s">
        <v>377</v>
      </c>
      <c r="D74" s="32" t="s">
        <v>184</v>
      </c>
      <c r="E74" s="32" t="s">
        <v>285</v>
      </c>
      <c r="F74" s="32" t="s">
        <v>352</v>
      </c>
      <c r="G74" s="32" t="s">
        <v>188</v>
      </c>
    </row>
    <row r="75" ht="16.5" customHeight="1">
      <c r="A75" s="32">
        <v>71.0</v>
      </c>
      <c r="C75" s="32" t="s">
        <v>378</v>
      </c>
      <c r="D75" s="32" t="s">
        <v>184</v>
      </c>
      <c r="E75" s="32" t="s">
        <v>192</v>
      </c>
      <c r="F75" s="32" t="s">
        <v>346</v>
      </c>
    </row>
    <row r="76" ht="16.5" customHeight="1">
      <c r="A76" s="32">
        <v>72.0</v>
      </c>
      <c r="C76" s="32" t="s">
        <v>379</v>
      </c>
      <c r="D76" s="32" t="s">
        <v>184</v>
      </c>
      <c r="E76" s="32" t="s">
        <v>192</v>
      </c>
      <c r="F76" s="32" t="s">
        <v>346</v>
      </c>
      <c r="G76" s="32" t="s">
        <v>300</v>
      </c>
      <c r="H76" s="32" t="s">
        <v>380</v>
      </c>
    </row>
    <row r="77" ht="16.5" customHeight="1">
      <c r="A77" s="32">
        <v>73.0</v>
      </c>
      <c r="C77" s="32" t="s">
        <v>381</v>
      </c>
      <c r="D77" s="32" t="s">
        <v>184</v>
      </c>
      <c r="E77" s="32" t="s">
        <v>285</v>
      </c>
      <c r="F77" s="32" t="s">
        <v>346</v>
      </c>
      <c r="G77" s="32" t="s">
        <v>347</v>
      </c>
      <c r="H77" s="32" t="s">
        <v>382</v>
      </c>
    </row>
    <row r="78" ht="16.5" customHeight="1">
      <c r="A78" s="32">
        <v>74.0</v>
      </c>
      <c r="C78" s="32" t="s">
        <v>383</v>
      </c>
      <c r="D78" s="32" t="s">
        <v>184</v>
      </c>
      <c r="E78" s="32" t="s">
        <v>254</v>
      </c>
      <c r="F78" s="32" t="s">
        <v>352</v>
      </c>
      <c r="G78" s="32" t="s">
        <v>256</v>
      </c>
      <c r="H78" s="32" t="s">
        <v>257</v>
      </c>
    </row>
    <row r="79" ht="16.5" customHeight="1">
      <c r="A79" s="32">
        <v>75.0</v>
      </c>
      <c r="C79" s="32" t="s">
        <v>384</v>
      </c>
      <c r="D79" s="32" t="s">
        <v>184</v>
      </c>
      <c r="E79" s="32" t="s">
        <v>192</v>
      </c>
      <c r="F79" s="32" t="s">
        <v>346</v>
      </c>
      <c r="G79" s="32" t="s">
        <v>300</v>
      </c>
      <c r="H79" s="32" t="s">
        <v>385</v>
      </c>
    </row>
    <row r="80" ht="16.5" customHeight="1">
      <c r="A80" s="32">
        <v>76.0</v>
      </c>
      <c r="C80" s="32" t="s">
        <v>386</v>
      </c>
      <c r="D80" s="32" t="s">
        <v>184</v>
      </c>
      <c r="E80" s="32" t="s">
        <v>192</v>
      </c>
      <c r="F80" s="32" t="s">
        <v>346</v>
      </c>
      <c r="G80" s="32" t="s">
        <v>300</v>
      </c>
      <c r="H80" s="32" t="s">
        <v>387</v>
      </c>
    </row>
    <row r="81" ht="16.5" customHeight="1">
      <c r="A81" s="32">
        <v>77.0</v>
      </c>
      <c r="C81" s="32" t="s">
        <v>388</v>
      </c>
      <c r="D81" s="32" t="s">
        <v>184</v>
      </c>
      <c r="E81" s="32" t="s">
        <v>219</v>
      </c>
      <c r="F81" s="32" t="s">
        <v>346</v>
      </c>
      <c r="G81" s="32" t="s">
        <v>347</v>
      </c>
      <c r="H81" s="32" t="s">
        <v>389</v>
      </c>
    </row>
    <row r="82" ht="16.5" customHeight="1">
      <c r="A82" s="32">
        <v>78.0</v>
      </c>
      <c r="C82" s="32" t="s">
        <v>390</v>
      </c>
      <c r="D82" s="32" t="s">
        <v>184</v>
      </c>
      <c r="E82" s="32" t="s">
        <v>219</v>
      </c>
      <c r="F82" s="32" t="s">
        <v>352</v>
      </c>
      <c r="G82" s="32" t="s">
        <v>223</v>
      </c>
    </row>
    <row r="83" ht="16.5" customHeight="1">
      <c r="A83" s="32">
        <v>79.0</v>
      </c>
      <c r="C83" s="32" t="s">
        <v>391</v>
      </c>
      <c r="D83" s="32" t="s">
        <v>184</v>
      </c>
      <c r="E83" s="32" t="s">
        <v>219</v>
      </c>
      <c r="F83" s="32" t="s">
        <v>346</v>
      </c>
      <c r="G83" s="32" t="s">
        <v>223</v>
      </c>
      <c r="H83" s="32" t="s">
        <v>392</v>
      </c>
    </row>
    <row r="84" ht="16.5" customHeight="1">
      <c r="A84" s="32">
        <v>80.0</v>
      </c>
      <c r="C84" s="32" t="s">
        <v>393</v>
      </c>
      <c r="D84" s="32" t="s">
        <v>184</v>
      </c>
      <c r="E84" s="32" t="s">
        <v>219</v>
      </c>
      <c r="F84" s="32" t="s">
        <v>346</v>
      </c>
      <c r="G84" s="32" t="s">
        <v>223</v>
      </c>
      <c r="H84" s="32" t="s">
        <v>394</v>
      </c>
    </row>
    <row r="85" ht="16.5" customHeight="1">
      <c r="A85" s="32">
        <v>81.0</v>
      </c>
      <c r="C85" s="32" t="s">
        <v>395</v>
      </c>
      <c r="D85" s="32" t="s">
        <v>184</v>
      </c>
      <c r="E85" s="32" t="s">
        <v>234</v>
      </c>
      <c r="F85" s="32" t="s">
        <v>396</v>
      </c>
      <c r="G85" s="32" t="s">
        <v>347</v>
      </c>
      <c r="H85" s="32" t="s">
        <v>382</v>
      </c>
    </row>
    <row r="86" ht="16.5" customHeight="1">
      <c r="A86" s="32">
        <v>82.0</v>
      </c>
      <c r="C86" s="32" t="s">
        <v>397</v>
      </c>
      <c r="D86" s="32" t="s">
        <v>184</v>
      </c>
      <c r="E86" s="32" t="s">
        <v>234</v>
      </c>
      <c r="F86" s="32" t="s">
        <v>346</v>
      </c>
      <c r="G86" s="32" t="s">
        <v>235</v>
      </c>
      <c r="H86" s="32" t="s">
        <v>243</v>
      </c>
    </row>
    <row r="87" ht="16.5" customHeight="1">
      <c r="A87" s="32">
        <v>83.0</v>
      </c>
      <c r="C87" s="32" t="s">
        <v>398</v>
      </c>
      <c r="D87" s="32" t="s">
        <v>184</v>
      </c>
      <c r="E87" s="32" t="s">
        <v>192</v>
      </c>
      <c r="F87" s="32" t="s">
        <v>399</v>
      </c>
      <c r="G87" s="32" t="s">
        <v>275</v>
      </c>
    </row>
    <row r="88" ht="16.5" customHeight="1">
      <c r="A88" s="32">
        <v>84.0</v>
      </c>
      <c r="C88" s="32" t="s">
        <v>400</v>
      </c>
      <c r="D88" s="32" t="s">
        <v>184</v>
      </c>
      <c r="E88" s="32" t="s">
        <v>185</v>
      </c>
      <c r="F88" s="32" t="s">
        <v>255</v>
      </c>
      <c r="G88" s="32" t="s">
        <v>401</v>
      </c>
      <c r="H88" s="32" t="s">
        <v>188</v>
      </c>
    </row>
    <row r="89" ht="16.5" customHeight="1">
      <c r="A89" s="32">
        <v>85.0</v>
      </c>
      <c r="C89" s="32" t="s">
        <v>402</v>
      </c>
      <c r="D89" s="32" t="s">
        <v>184</v>
      </c>
      <c r="E89" s="32" t="s">
        <v>185</v>
      </c>
      <c r="F89" s="32" t="s">
        <v>255</v>
      </c>
      <c r="G89" s="32" t="s">
        <v>401</v>
      </c>
    </row>
    <row r="90" ht="16.5" customHeight="1">
      <c r="A90" s="32">
        <v>86.0</v>
      </c>
      <c r="C90" s="32" t="s">
        <v>403</v>
      </c>
      <c r="D90" s="32" t="s">
        <v>184</v>
      </c>
      <c r="E90" s="32" t="s">
        <v>192</v>
      </c>
      <c r="F90" s="32" t="s">
        <v>255</v>
      </c>
      <c r="G90" s="32" t="s">
        <v>404</v>
      </c>
      <c r="H90" s="32" t="s">
        <v>405</v>
      </c>
    </row>
    <row r="91" ht="16.5" customHeight="1">
      <c r="A91" s="32">
        <v>87.0</v>
      </c>
      <c r="C91" s="32" t="s">
        <v>406</v>
      </c>
      <c r="D91" s="32" t="s">
        <v>184</v>
      </c>
      <c r="E91" s="32" t="s">
        <v>192</v>
      </c>
      <c r="F91" s="32" t="s">
        <v>255</v>
      </c>
      <c r="G91" s="32" t="s">
        <v>407</v>
      </c>
      <c r="H91" s="32" t="s">
        <v>408</v>
      </c>
    </row>
    <row r="92" ht="16.5" customHeight="1">
      <c r="A92" s="32">
        <v>88.0</v>
      </c>
      <c r="C92" s="32" t="s">
        <v>409</v>
      </c>
      <c r="D92" s="32" t="s">
        <v>184</v>
      </c>
      <c r="E92" s="32" t="s">
        <v>325</v>
      </c>
      <c r="F92" s="32" t="s">
        <v>255</v>
      </c>
      <c r="G92" s="32" t="s">
        <v>410</v>
      </c>
    </row>
    <row r="93" ht="16.5" customHeight="1">
      <c r="A93" s="32">
        <v>89.0</v>
      </c>
      <c r="C93" s="32" t="s">
        <v>411</v>
      </c>
      <c r="D93" s="32" t="s">
        <v>184</v>
      </c>
      <c r="E93" s="32" t="s">
        <v>254</v>
      </c>
      <c r="F93" s="32" t="s">
        <v>399</v>
      </c>
      <c r="G93" s="32" t="s">
        <v>256</v>
      </c>
      <c r="H93" s="32" t="s">
        <v>412</v>
      </c>
    </row>
    <row r="94" ht="16.5" customHeight="1">
      <c r="A94" s="32">
        <v>90.0</v>
      </c>
      <c r="C94" s="32" t="s">
        <v>413</v>
      </c>
      <c r="D94" s="32" t="s">
        <v>184</v>
      </c>
      <c r="E94" s="32" t="s">
        <v>219</v>
      </c>
      <c r="F94" s="32" t="s">
        <v>291</v>
      </c>
      <c r="G94" s="32" t="s">
        <v>241</v>
      </c>
      <c r="H94" s="32" t="s">
        <v>292</v>
      </c>
    </row>
    <row r="95" ht="16.5" customHeight="1">
      <c r="A95" s="32">
        <v>91.0</v>
      </c>
      <c r="C95" s="32" t="s">
        <v>414</v>
      </c>
      <c r="D95" s="32" t="s">
        <v>184</v>
      </c>
      <c r="E95" s="32" t="s">
        <v>234</v>
      </c>
      <c r="F95" s="32" t="s">
        <v>291</v>
      </c>
      <c r="G95" s="32" t="s">
        <v>415</v>
      </c>
      <c r="H95" s="32" t="s">
        <v>416</v>
      </c>
    </row>
    <row r="96" ht="16.5" customHeight="1">
      <c r="A96" s="32">
        <v>92.0</v>
      </c>
      <c r="C96" s="32" t="s">
        <v>417</v>
      </c>
      <c r="D96" s="32" t="s">
        <v>184</v>
      </c>
      <c r="E96" s="32" t="s">
        <v>192</v>
      </c>
      <c r="F96" s="32" t="s">
        <v>291</v>
      </c>
      <c r="G96" s="32" t="s">
        <v>300</v>
      </c>
      <c r="H96" s="32" t="s">
        <v>418</v>
      </c>
    </row>
    <row r="97" ht="16.5" customHeight="1">
      <c r="A97" s="32">
        <v>93.0</v>
      </c>
      <c r="C97" s="32" t="s">
        <v>419</v>
      </c>
      <c r="D97" s="32" t="s">
        <v>184</v>
      </c>
      <c r="E97" s="32" t="s">
        <v>234</v>
      </c>
      <c r="F97" s="32" t="s">
        <v>291</v>
      </c>
      <c r="G97" s="32" t="s">
        <v>347</v>
      </c>
      <c r="H97" s="32" t="s">
        <v>420</v>
      </c>
    </row>
    <row r="98" ht="16.5" customHeight="1">
      <c r="A98" s="32">
        <v>94.0</v>
      </c>
      <c r="C98" s="32" t="s">
        <v>421</v>
      </c>
      <c r="D98" s="32" t="s">
        <v>184</v>
      </c>
      <c r="E98" s="32" t="s">
        <v>192</v>
      </c>
      <c r="F98" s="32" t="s">
        <v>291</v>
      </c>
      <c r="G98" s="32" t="s">
        <v>329</v>
      </c>
      <c r="H98" s="32" t="s">
        <v>330</v>
      </c>
    </row>
    <row r="99" ht="16.5" customHeight="1">
      <c r="A99" s="32">
        <v>95.0</v>
      </c>
      <c r="C99" s="32" t="s">
        <v>422</v>
      </c>
      <c r="D99" s="32" t="s">
        <v>184</v>
      </c>
      <c r="E99" s="32" t="s">
        <v>219</v>
      </c>
      <c r="F99" s="32" t="s">
        <v>291</v>
      </c>
      <c r="G99" s="32" t="s">
        <v>241</v>
      </c>
      <c r="H99" s="32" t="s">
        <v>292</v>
      </c>
    </row>
    <row r="100" ht="16.5" customHeight="1">
      <c r="A100" s="32">
        <v>96.0</v>
      </c>
      <c r="C100" s="32" t="s">
        <v>423</v>
      </c>
      <c r="D100" s="32" t="s">
        <v>184</v>
      </c>
      <c r="E100" s="32" t="s">
        <v>254</v>
      </c>
      <c r="F100" s="32" t="s">
        <v>291</v>
      </c>
      <c r="G100" s="32" t="s">
        <v>424</v>
      </c>
      <c r="H100" s="32" t="s">
        <v>425</v>
      </c>
    </row>
    <row r="101" ht="16.5" customHeight="1">
      <c r="A101" s="32">
        <v>97.0</v>
      </c>
      <c r="C101" s="32" t="s">
        <v>426</v>
      </c>
      <c r="D101" s="32" t="s">
        <v>184</v>
      </c>
      <c r="E101" s="32" t="s">
        <v>192</v>
      </c>
      <c r="F101" s="32" t="s">
        <v>291</v>
      </c>
      <c r="G101" s="32" t="s">
        <v>329</v>
      </c>
      <c r="H101" s="32" t="s">
        <v>357</v>
      </c>
    </row>
    <row r="102" ht="16.5" customHeight="1">
      <c r="A102" s="32">
        <v>98.0</v>
      </c>
      <c r="C102" s="32" t="s">
        <v>427</v>
      </c>
      <c r="D102" s="32" t="s">
        <v>184</v>
      </c>
      <c r="E102" s="32" t="s">
        <v>192</v>
      </c>
      <c r="F102" s="32" t="s">
        <v>291</v>
      </c>
      <c r="G102" s="32" t="s">
        <v>329</v>
      </c>
      <c r="H102" s="32" t="s">
        <v>357</v>
      </c>
    </row>
    <row r="103" ht="16.5" customHeight="1">
      <c r="A103" s="32">
        <v>99.0</v>
      </c>
      <c r="C103" s="32" t="s">
        <v>428</v>
      </c>
      <c r="D103" s="32" t="s">
        <v>184</v>
      </c>
      <c r="E103" s="32" t="s">
        <v>192</v>
      </c>
      <c r="F103" s="32" t="s">
        <v>291</v>
      </c>
      <c r="G103" s="32" t="s">
        <v>223</v>
      </c>
      <c r="H103" s="32" t="s">
        <v>394</v>
      </c>
    </row>
    <row r="104" ht="16.5" customHeight="1">
      <c r="A104" s="32">
        <v>100.0</v>
      </c>
      <c r="C104" s="32" t="s">
        <v>429</v>
      </c>
      <c r="D104" s="32" t="s">
        <v>184</v>
      </c>
      <c r="E104" s="32" t="s">
        <v>219</v>
      </c>
      <c r="F104" s="32" t="s">
        <v>291</v>
      </c>
    </row>
    <row r="105" ht="16.5" customHeight="1">
      <c r="A105" s="32">
        <v>101.0</v>
      </c>
      <c r="C105" s="32" t="s">
        <v>430</v>
      </c>
      <c r="D105" s="32" t="s">
        <v>184</v>
      </c>
      <c r="E105" s="32" t="s">
        <v>285</v>
      </c>
      <c r="F105" s="32" t="s">
        <v>291</v>
      </c>
    </row>
    <row r="106" ht="16.5" customHeight="1">
      <c r="A106" s="32">
        <v>102.0</v>
      </c>
      <c r="C106" s="32" t="s">
        <v>431</v>
      </c>
      <c r="D106" s="32" t="s">
        <v>184</v>
      </c>
      <c r="E106" s="32" t="s">
        <v>192</v>
      </c>
      <c r="F106" s="32" t="s">
        <v>291</v>
      </c>
    </row>
    <row r="107" ht="16.5" customHeight="1">
      <c r="A107" s="32">
        <v>103.0</v>
      </c>
      <c r="C107" s="32" t="s">
        <v>432</v>
      </c>
      <c r="D107" s="32" t="s">
        <v>184</v>
      </c>
      <c r="E107" s="32" t="s">
        <v>192</v>
      </c>
      <c r="F107" s="32" t="s">
        <v>291</v>
      </c>
      <c r="G107" s="32" t="s">
        <v>329</v>
      </c>
      <c r="H107" s="32" t="s">
        <v>357</v>
      </c>
    </row>
    <row r="108" ht="16.5" customHeight="1">
      <c r="A108" s="32">
        <v>104.0</v>
      </c>
      <c r="C108" s="32" t="s">
        <v>433</v>
      </c>
      <c r="D108" s="32" t="s">
        <v>184</v>
      </c>
      <c r="E108" s="32" t="s">
        <v>192</v>
      </c>
      <c r="F108" s="32" t="s">
        <v>291</v>
      </c>
      <c r="G108" s="32" t="s">
        <v>300</v>
      </c>
      <c r="H108" s="32" t="s">
        <v>434</v>
      </c>
    </row>
    <row r="109" ht="16.5" customHeight="1">
      <c r="A109" s="32">
        <v>105.0</v>
      </c>
      <c r="C109" s="32" t="s">
        <v>435</v>
      </c>
      <c r="D109" s="32" t="s">
        <v>184</v>
      </c>
      <c r="E109" s="32" t="s">
        <v>192</v>
      </c>
      <c r="F109" s="32" t="s">
        <v>291</v>
      </c>
      <c r="G109" s="32" t="s">
        <v>300</v>
      </c>
      <c r="H109" s="32" t="s">
        <v>434</v>
      </c>
    </row>
    <row r="110" ht="16.5" customHeight="1">
      <c r="A110" s="32">
        <v>106.0</v>
      </c>
      <c r="C110" s="32" t="s">
        <v>436</v>
      </c>
      <c r="D110" s="32" t="s">
        <v>184</v>
      </c>
      <c r="E110" s="32" t="s">
        <v>254</v>
      </c>
      <c r="F110" s="32" t="s">
        <v>291</v>
      </c>
      <c r="G110" s="32" t="s">
        <v>271</v>
      </c>
      <c r="H110" s="32" t="s">
        <v>437</v>
      </c>
    </row>
    <row r="111" ht="16.5" customHeight="1">
      <c r="A111" s="32">
        <v>107.0</v>
      </c>
      <c r="C111" s="32" t="s">
        <v>438</v>
      </c>
      <c r="D111" s="32" t="s">
        <v>184</v>
      </c>
      <c r="E111" s="32" t="s">
        <v>254</v>
      </c>
      <c r="F111" s="32" t="s">
        <v>439</v>
      </c>
    </row>
    <row r="112" ht="16.5" customHeight="1">
      <c r="A112" s="32">
        <v>108.0</v>
      </c>
      <c r="C112" s="32" t="s">
        <v>440</v>
      </c>
      <c r="D112" s="32" t="s">
        <v>184</v>
      </c>
      <c r="E112" s="32" t="s">
        <v>192</v>
      </c>
      <c r="F112" s="32" t="s">
        <v>291</v>
      </c>
      <c r="G112" s="32" t="s">
        <v>275</v>
      </c>
    </row>
    <row r="113" ht="16.5" customHeight="1">
      <c r="A113" s="32">
        <v>109.0</v>
      </c>
      <c r="C113" s="32" t="s">
        <v>441</v>
      </c>
      <c r="D113" s="32" t="s">
        <v>184</v>
      </c>
      <c r="E113" s="32" t="s">
        <v>228</v>
      </c>
      <c r="F113" s="32" t="s">
        <v>291</v>
      </c>
      <c r="G113" s="32" t="s">
        <v>229</v>
      </c>
      <c r="H113" s="32" t="s">
        <v>442</v>
      </c>
    </row>
    <row r="114" ht="16.5" customHeight="1">
      <c r="A114" s="32">
        <v>110.0</v>
      </c>
      <c r="C114" s="32" t="s">
        <v>443</v>
      </c>
      <c r="D114" s="32" t="s">
        <v>184</v>
      </c>
      <c r="E114" s="32" t="s">
        <v>234</v>
      </c>
      <c r="F114" s="32" t="s">
        <v>291</v>
      </c>
      <c r="G114" s="32" t="s">
        <v>235</v>
      </c>
      <c r="H114" s="32" t="s">
        <v>243</v>
      </c>
    </row>
    <row r="115" ht="16.5" customHeight="1">
      <c r="A115" s="32">
        <v>111.0</v>
      </c>
      <c r="C115" s="32" t="s">
        <v>444</v>
      </c>
      <c r="D115" s="32" t="s">
        <v>184</v>
      </c>
      <c r="E115" s="32" t="s">
        <v>192</v>
      </c>
      <c r="F115" s="32" t="s">
        <v>291</v>
      </c>
      <c r="G115" s="32" t="s">
        <v>300</v>
      </c>
      <c r="H115" s="32" t="s">
        <v>445</v>
      </c>
    </row>
    <row r="116" ht="16.5" customHeight="1">
      <c r="A116" s="32">
        <v>112.0</v>
      </c>
      <c r="C116" s="32" t="s">
        <v>446</v>
      </c>
      <c r="D116" s="32" t="s">
        <v>184</v>
      </c>
      <c r="E116" s="32" t="s">
        <v>192</v>
      </c>
      <c r="F116" s="32" t="s">
        <v>291</v>
      </c>
      <c r="G116" s="32" t="s">
        <v>329</v>
      </c>
      <c r="H116" s="32" t="s">
        <v>447</v>
      </c>
    </row>
    <row r="117" ht="16.5" customHeight="1">
      <c r="A117" s="32">
        <v>113.0</v>
      </c>
      <c r="C117" s="32" t="s">
        <v>448</v>
      </c>
      <c r="D117" s="32" t="s">
        <v>184</v>
      </c>
      <c r="E117" s="32" t="s">
        <v>192</v>
      </c>
      <c r="F117" s="32" t="s">
        <v>291</v>
      </c>
      <c r="G117" s="32" t="s">
        <v>329</v>
      </c>
      <c r="H117" s="32" t="s">
        <v>447</v>
      </c>
    </row>
    <row r="118" ht="16.5" customHeight="1">
      <c r="A118" s="32">
        <v>114.0</v>
      </c>
      <c r="C118" s="32" t="s">
        <v>449</v>
      </c>
      <c r="D118" s="32" t="s">
        <v>184</v>
      </c>
      <c r="E118" s="32" t="s">
        <v>185</v>
      </c>
      <c r="F118" s="32" t="s">
        <v>291</v>
      </c>
      <c r="G118" s="32" t="s">
        <v>187</v>
      </c>
      <c r="H118" s="32" t="s">
        <v>188</v>
      </c>
    </row>
    <row r="119" ht="16.5" customHeight="1">
      <c r="A119" s="32">
        <v>115.0</v>
      </c>
      <c r="C119" s="32" t="s">
        <v>450</v>
      </c>
      <c r="D119" s="32" t="s">
        <v>184</v>
      </c>
      <c r="E119" s="32" t="s">
        <v>185</v>
      </c>
      <c r="F119" s="32" t="s">
        <v>291</v>
      </c>
      <c r="G119" s="32" t="s">
        <v>187</v>
      </c>
      <c r="H119" s="32" t="s">
        <v>188</v>
      </c>
    </row>
    <row r="120" ht="16.5" customHeight="1">
      <c r="A120" s="32">
        <v>116.0</v>
      </c>
      <c r="C120" s="32" t="s">
        <v>451</v>
      </c>
      <c r="D120" s="32" t="s">
        <v>184</v>
      </c>
      <c r="E120" s="32" t="s">
        <v>228</v>
      </c>
      <c r="F120" s="32" t="s">
        <v>291</v>
      </c>
      <c r="G120" s="32" t="s">
        <v>408</v>
      </c>
      <c r="H120" s="32" t="s">
        <v>452</v>
      </c>
    </row>
    <row r="121" ht="16.5" customHeight="1">
      <c r="A121" s="32">
        <v>117.0</v>
      </c>
      <c r="C121" s="32" t="s">
        <v>453</v>
      </c>
      <c r="D121" s="32" t="s">
        <v>184</v>
      </c>
      <c r="E121" s="32" t="s">
        <v>228</v>
      </c>
      <c r="F121" s="32" t="s">
        <v>291</v>
      </c>
      <c r="G121" s="32" t="s">
        <v>454</v>
      </c>
      <c r="H121" s="32" t="s">
        <v>455</v>
      </c>
    </row>
    <row r="122" ht="16.5" customHeight="1">
      <c r="A122" s="32">
        <v>118.0</v>
      </c>
      <c r="C122" s="32" t="s">
        <v>456</v>
      </c>
      <c r="D122" s="32" t="s">
        <v>184</v>
      </c>
      <c r="E122" s="32" t="s">
        <v>192</v>
      </c>
      <c r="F122" s="32" t="s">
        <v>291</v>
      </c>
      <c r="G122" s="32" t="s">
        <v>329</v>
      </c>
      <c r="H122" s="32" t="s">
        <v>457</v>
      </c>
    </row>
    <row r="123" ht="16.5" customHeight="1">
      <c r="A123" s="32">
        <v>119.0</v>
      </c>
      <c r="C123" s="32" t="s">
        <v>458</v>
      </c>
      <c r="D123" s="32" t="s">
        <v>184</v>
      </c>
      <c r="E123" s="32" t="s">
        <v>219</v>
      </c>
      <c r="F123" s="32" t="s">
        <v>291</v>
      </c>
    </row>
    <row r="124" ht="16.5" customHeight="1">
      <c r="A124" s="32">
        <v>120.0</v>
      </c>
      <c r="C124" s="32" t="s">
        <v>459</v>
      </c>
      <c r="D124" s="32" t="s">
        <v>184</v>
      </c>
      <c r="E124" s="32" t="s">
        <v>219</v>
      </c>
      <c r="F124" s="32" t="s">
        <v>291</v>
      </c>
      <c r="G124" s="32" t="s">
        <v>241</v>
      </c>
      <c r="H124" s="32" t="s">
        <v>292</v>
      </c>
    </row>
    <row r="125" ht="16.5" customHeight="1">
      <c r="A125" s="32">
        <v>121.0</v>
      </c>
      <c r="C125" s="32" t="s">
        <v>460</v>
      </c>
      <c r="D125" s="32" t="s">
        <v>184</v>
      </c>
      <c r="E125" s="32" t="s">
        <v>254</v>
      </c>
      <c r="F125" s="32" t="s">
        <v>291</v>
      </c>
      <c r="G125" s="32" t="s">
        <v>424</v>
      </c>
      <c r="H125" s="32" t="s">
        <v>461</v>
      </c>
    </row>
    <row r="126" ht="16.5" customHeight="1">
      <c r="A126" s="32">
        <v>122.0</v>
      </c>
      <c r="C126" s="32" t="s">
        <v>462</v>
      </c>
      <c r="D126" s="32" t="s">
        <v>184</v>
      </c>
      <c r="E126" s="32" t="s">
        <v>325</v>
      </c>
      <c r="F126" s="32" t="s">
        <v>291</v>
      </c>
      <c r="G126" s="32" t="s">
        <v>368</v>
      </c>
      <c r="H126" s="32" t="s">
        <v>463</v>
      </c>
    </row>
    <row r="127" ht="16.5" customHeight="1">
      <c r="A127" s="32">
        <v>123.0</v>
      </c>
      <c r="C127" s="32" t="s">
        <v>464</v>
      </c>
      <c r="D127" s="32" t="s">
        <v>184</v>
      </c>
      <c r="E127" s="32" t="s">
        <v>325</v>
      </c>
      <c r="F127" s="32" t="s">
        <v>291</v>
      </c>
      <c r="G127" s="32" t="s">
        <v>368</v>
      </c>
      <c r="H127" s="32" t="s">
        <v>463</v>
      </c>
    </row>
    <row r="128" ht="16.5" customHeight="1">
      <c r="A128" s="32">
        <v>124.0</v>
      </c>
      <c r="C128" s="32" t="s">
        <v>465</v>
      </c>
      <c r="D128" s="32" t="s">
        <v>184</v>
      </c>
      <c r="E128" s="32" t="s">
        <v>325</v>
      </c>
      <c r="F128" s="32" t="s">
        <v>291</v>
      </c>
    </row>
    <row r="129" ht="16.5" customHeight="1">
      <c r="A129" s="32">
        <v>125.0</v>
      </c>
      <c r="C129" s="32" t="s">
        <v>466</v>
      </c>
      <c r="D129" s="32" t="s">
        <v>184</v>
      </c>
      <c r="E129" s="32" t="s">
        <v>234</v>
      </c>
      <c r="F129" s="32" t="s">
        <v>291</v>
      </c>
      <c r="G129" s="32" t="s">
        <v>235</v>
      </c>
      <c r="H129" s="32" t="s">
        <v>236</v>
      </c>
    </row>
    <row r="130" ht="16.5" customHeight="1">
      <c r="A130" s="32">
        <v>126.0</v>
      </c>
      <c r="C130" s="32" t="s">
        <v>467</v>
      </c>
      <c r="D130" s="32" t="s">
        <v>184</v>
      </c>
      <c r="E130" s="32" t="s">
        <v>219</v>
      </c>
      <c r="F130" s="32" t="s">
        <v>291</v>
      </c>
      <c r="G130" s="32" t="s">
        <v>241</v>
      </c>
      <c r="H130" s="32" t="s">
        <v>292</v>
      </c>
    </row>
    <row r="131" ht="16.5" customHeight="1">
      <c r="A131" s="32">
        <v>127.0</v>
      </c>
      <c r="C131" s="32" t="s">
        <v>468</v>
      </c>
      <c r="D131" s="32" t="s">
        <v>184</v>
      </c>
      <c r="E131" s="32" t="s">
        <v>192</v>
      </c>
      <c r="F131" s="32" t="s">
        <v>291</v>
      </c>
      <c r="G131" s="32" t="s">
        <v>329</v>
      </c>
      <c r="H131" s="32" t="s">
        <v>357</v>
      </c>
    </row>
    <row r="132" ht="16.5" customHeight="1">
      <c r="A132" s="32">
        <v>128.0</v>
      </c>
      <c r="C132" s="32" t="s">
        <v>469</v>
      </c>
      <c r="D132" s="32" t="s">
        <v>184</v>
      </c>
      <c r="E132" s="32" t="s">
        <v>192</v>
      </c>
      <c r="F132" s="32" t="s">
        <v>291</v>
      </c>
      <c r="G132" s="32" t="s">
        <v>300</v>
      </c>
      <c r="H132" s="32" t="s">
        <v>470</v>
      </c>
    </row>
    <row r="133" ht="16.5" customHeight="1">
      <c r="A133" s="32">
        <v>129.0</v>
      </c>
      <c r="C133" s="32" t="s">
        <v>471</v>
      </c>
      <c r="D133" s="32" t="s">
        <v>184</v>
      </c>
      <c r="E133" s="32" t="s">
        <v>219</v>
      </c>
      <c r="F133" s="32" t="s">
        <v>291</v>
      </c>
      <c r="G133" s="32" t="s">
        <v>223</v>
      </c>
      <c r="H133" s="32" t="s">
        <v>472</v>
      </c>
    </row>
    <row r="134" ht="16.5" customHeight="1">
      <c r="A134" s="32">
        <v>130.0</v>
      </c>
      <c r="C134" s="32" t="s">
        <v>473</v>
      </c>
      <c r="D134" s="32" t="s">
        <v>184</v>
      </c>
      <c r="E134" s="32" t="s">
        <v>219</v>
      </c>
      <c r="F134" s="32" t="s">
        <v>291</v>
      </c>
      <c r="G134" s="32" t="s">
        <v>232</v>
      </c>
      <c r="H134" s="32" t="s">
        <v>233</v>
      </c>
    </row>
    <row r="135" ht="16.5" customHeight="1">
      <c r="A135" s="32">
        <v>131.0</v>
      </c>
      <c r="C135" s="32" t="s">
        <v>474</v>
      </c>
      <c r="D135" s="32" t="s">
        <v>184</v>
      </c>
      <c r="E135" s="32" t="s">
        <v>185</v>
      </c>
      <c r="F135" s="32" t="s">
        <v>291</v>
      </c>
      <c r="G135" s="32" t="s">
        <v>475</v>
      </c>
      <c r="H135" s="32" t="s">
        <v>476</v>
      </c>
    </row>
    <row r="136" ht="16.5" customHeight="1">
      <c r="A136" s="32">
        <v>132.0</v>
      </c>
      <c r="C136" s="32" t="s">
        <v>477</v>
      </c>
      <c r="D136" s="32" t="s">
        <v>184</v>
      </c>
      <c r="E136" s="32" t="s">
        <v>234</v>
      </c>
      <c r="F136" s="32" t="s">
        <v>291</v>
      </c>
      <c r="G136" s="32" t="s">
        <v>347</v>
      </c>
      <c r="H136" s="32" t="s">
        <v>382</v>
      </c>
    </row>
    <row r="137" ht="16.5" customHeight="1">
      <c r="A137" s="32">
        <v>133.0</v>
      </c>
      <c r="C137" s="32" t="s">
        <v>478</v>
      </c>
      <c r="D137" s="32" t="s">
        <v>184</v>
      </c>
      <c r="E137" s="32" t="s">
        <v>219</v>
      </c>
      <c r="F137" s="32" t="s">
        <v>291</v>
      </c>
      <c r="G137" s="32" t="s">
        <v>241</v>
      </c>
      <c r="H137" s="32" t="s">
        <v>292</v>
      </c>
    </row>
    <row r="138" ht="16.5" customHeight="1">
      <c r="A138" s="32">
        <v>134.0</v>
      </c>
      <c r="C138" s="32" t="s">
        <v>479</v>
      </c>
      <c r="D138" s="32" t="s">
        <v>184</v>
      </c>
      <c r="E138" s="32" t="s">
        <v>185</v>
      </c>
      <c r="F138" s="32" t="s">
        <v>291</v>
      </c>
      <c r="G138" s="32" t="s">
        <v>187</v>
      </c>
      <c r="H138" s="32" t="s">
        <v>480</v>
      </c>
    </row>
    <row r="139" ht="16.5" customHeight="1">
      <c r="A139" s="32">
        <v>135.0</v>
      </c>
      <c r="C139" s="32" t="s">
        <v>481</v>
      </c>
      <c r="D139" s="32" t="s">
        <v>184</v>
      </c>
      <c r="E139" s="32" t="s">
        <v>185</v>
      </c>
      <c r="F139" s="32" t="s">
        <v>291</v>
      </c>
      <c r="G139" s="32" t="s">
        <v>187</v>
      </c>
      <c r="H139" s="32" t="s">
        <v>482</v>
      </c>
    </row>
    <row r="140" ht="16.5" customHeight="1">
      <c r="A140" s="32">
        <v>136.0</v>
      </c>
      <c r="C140" s="32" t="s">
        <v>483</v>
      </c>
      <c r="D140" s="32" t="s">
        <v>184</v>
      </c>
      <c r="E140" s="35" t="s">
        <v>484</v>
      </c>
      <c r="F140" s="32" t="s">
        <v>291</v>
      </c>
    </row>
    <row r="141" ht="16.5" customHeight="1">
      <c r="A141" s="32">
        <v>137.0</v>
      </c>
      <c r="C141" s="32" t="s">
        <v>485</v>
      </c>
      <c r="D141" s="32" t="s">
        <v>184</v>
      </c>
      <c r="E141" s="35" t="s">
        <v>310</v>
      </c>
      <c r="F141" s="32" t="s">
        <v>291</v>
      </c>
      <c r="G141" s="32" t="s">
        <v>305</v>
      </c>
      <c r="H141" s="32" t="s">
        <v>319</v>
      </c>
    </row>
    <row r="142" ht="16.5" customHeight="1">
      <c r="A142" s="32">
        <v>138.0</v>
      </c>
      <c r="C142" s="32" t="s">
        <v>486</v>
      </c>
      <c r="D142" s="32" t="s">
        <v>184</v>
      </c>
      <c r="E142" s="32" t="s">
        <v>185</v>
      </c>
      <c r="F142" s="32" t="s">
        <v>291</v>
      </c>
      <c r="G142" s="32" t="s">
        <v>271</v>
      </c>
      <c r="H142" s="32" t="s">
        <v>487</v>
      </c>
    </row>
    <row r="143" ht="16.5" customHeight="1">
      <c r="A143" s="32">
        <v>139.0</v>
      </c>
      <c r="C143" s="32" t="s">
        <v>488</v>
      </c>
      <c r="D143" s="32" t="s">
        <v>184</v>
      </c>
      <c r="E143" s="32" t="s">
        <v>219</v>
      </c>
      <c r="F143" s="32" t="s">
        <v>291</v>
      </c>
    </row>
    <row r="144" ht="16.5" customHeight="1">
      <c r="A144" s="32">
        <v>140.0</v>
      </c>
      <c r="C144" s="32" t="s">
        <v>489</v>
      </c>
      <c r="D144" s="32" t="s">
        <v>184</v>
      </c>
      <c r="E144" s="32" t="s">
        <v>228</v>
      </c>
      <c r="F144" s="32" t="s">
        <v>291</v>
      </c>
      <c r="G144" s="32" t="s">
        <v>408</v>
      </c>
      <c r="H144" s="32" t="s">
        <v>490</v>
      </c>
    </row>
    <row r="145" ht="16.5" customHeight="1">
      <c r="A145" s="32">
        <v>141.0</v>
      </c>
      <c r="C145" s="32" t="s">
        <v>491</v>
      </c>
      <c r="D145" s="32" t="s">
        <v>184</v>
      </c>
      <c r="E145" s="32" t="s">
        <v>228</v>
      </c>
      <c r="F145" s="32" t="s">
        <v>291</v>
      </c>
      <c r="G145" s="32" t="s">
        <v>408</v>
      </c>
      <c r="H145" s="32" t="s">
        <v>490</v>
      </c>
    </row>
    <row r="146" ht="16.5" customHeight="1">
      <c r="A146" s="32">
        <v>142.0</v>
      </c>
      <c r="C146" s="32" t="s">
        <v>492</v>
      </c>
      <c r="D146" s="32" t="s">
        <v>184</v>
      </c>
      <c r="E146" s="32" t="s">
        <v>192</v>
      </c>
      <c r="F146" s="32" t="s">
        <v>291</v>
      </c>
      <c r="G146" s="32" t="s">
        <v>300</v>
      </c>
      <c r="H146" s="32" t="s">
        <v>493</v>
      </c>
    </row>
    <row r="147" ht="16.5" customHeight="1">
      <c r="A147" s="32">
        <v>143.0</v>
      </c>
      <c r="C147" s="32" t="s">
        <v>494</v>
      </c>
      <c r="D147" s="32" t="s">
        <v>184</v>
      </c>
      <c r="E147" s="32" t="s">
        <v>192</v>
      </c>
      <c r="F147" s="32" t="s">
        <v>291</v>
      </c>
      <c r="G147" s="32" t="s">
        <v>300</v>
      </c>
      <c r="H147" s="32" t="s">
        <v>434</v>
      </c>
    </row>
    <row r="148" ht="16.5" customHeight="1">
      <c r="A148" s="32">
        <v>144.0</v>
      </c>
      <c r="C148" s="32" t="s">
        <v>495</v>
      </c>
      <c r="D148" s="32" t="s">
        <v>184</v>
      </c>
      <c r="E148" s="32" t="s">
        <v>228</v>
      </c>
      <c r="F148" s="32" t="s">
        <v>291</v>
      </c>
      <c r="G148" s="32" t="s">
        <v>229</v>
      </c>
      <c r="H148" s="32" t="s">
        <v>496</v>
      </c>
    </row>
    <row r="149" ht="16.5" customHeight="1">
      <c r="A149" s="32">
        <v>145.0</v>
      </c>
      <c r="C149" s="32" t="s">
        <v>497</v>
      </c>
      <c r="D149" s="32" t="s">
        <v>184</v>
      </c>
      <c r="E149" s="32" t="s">
        <v>228</v>
      </c>
      <c r="F149" s="32" t="s">
        <v>291</v>
      </c>
      <c r="G149" s="32" t="s">
        <v>454</v>
      </c>
      <c r="H149" s="32" t="s">
        <v>455</v>
      </c>
    </row>
    <row r="150" ht="16.5" customHeight="1">
      <c r="A150" s="32">
        <v>146.0</v>
      </c>
      <c r="C150" s="32" t="s">
        <v>498</v>
      </c>
      <c r="D150" s="32" t="s">
        <v>184</v>
      </c>
      <c r="E150" s="35" t="s">
        <v>361</v>
      </c>
      <c r="F150" s="32" t="s">
        <v>291</v>
      </c>
    </row>
    <row r="151" ht="16.5" customHeight="1">
      <c r="A151" s="32">
        <v>147.0</v>
      </c>
      <c r="C151" s="32" t="s">
        <v>499</v>
      </c>
      <c r="D151" s="32" t="s">
        <v>184</v>
      </c>
      <c r="E151" s="32" t="s">
        <v>228</v>
      </c>
      <c r="F151" s="32" t="s">
        <v>291</v>
      </c>
      <c r="G151" s="32" t="s">
        <v>229</v>
      </c>
      <c r="H151" s="32" t="s">
        <v>244</v>
      </c>
    </row>
    <row r="152" ht="16.5" customHeight="1">
      <c r="A152" s="32">
        <v>148.0</v>
      </c>
      <c r="C152" s="32" t="s">
        <v>500</v>
      </c>
      <c r="D152" s="32" t="s">
        <v>184</v>
      </c>
      <c r="E152" s="32" t="s">
        <v>185</v>
      </c>
      <c r="F152" s="32" t="s">
        <v>291</v>
      </c>
    </row>
    <row r="153" ht="16.5" customHeight="1">
      <c r="A153" s="32">
        <v>149.0</v>
      </c>
      <c r="C153" s="32" t="s">
        <v>501</v>
      </c>
      <c r="D153" s="32" t="s">
        <v>184</v>
      </c>
      <c r="E153" s="32" t="s">
        <v>254</v>
      </c>
      <c r="F153" s="32" t="s">
        <v>291</v>
      </c>
      <c r="G153" s="32" t="s">
        <v>257</v>
      </c>
      <c r="H153" s="32" t="s">
        <v>502</v>
      </c>
    </row>
    <row r="154" ht="16.5" customHeight="1">
      <c r="A154" s="32">
        <v>150.0</v>
      </c>
      <c r="C154" s="32" t="s">
        <v>503</v>
      </c>
      <c r="D154" s="32" t="s">
        <v>184</v>
      </c>
      <c r="E154" s="32" t="s">
        <v>214</v>
      </c>
      <c r="F154" s="32" t="s">
        <v>291</v>
      </c>
      <c r="G154" s="32" t="s">
        <v>216</v>
      </c>
      <c r="H154" s="32" t="s">
        <v>217</v>
      </c>
    </row>
    <row r="155" ht="16.5" customHeight="1">
      <c r="A155" s="32">
        <v>151.0</v>
      </c>
      <c r="C155" s="32" t="s">
        <v>504</v>
      </c>
      <c r="D155" s="32" t="s">
        <v>184</v>
      </c>
      <c r="E155" s="32" t="s">
        <v>234</v>
      </c>
      <c r="F155" s="32" t="s">
        <v>291</v>
      </c>
      <c r="G155" s="32" t="s">
        <v>347</v>
      </c>
      <c r="H155" s="32" t="s">
        <v>505</v>
      </c>
    </row>
    <row r="156" ht="16.5" customHeight="1">
      <c r="A156" s="32">
        <v>152.0</v>
      </c>
      <c r="C156" s="32" t="s">
        <v>506</v>
      </c>
      <c r="D156" s="32" t="s">
        <v>184</v>
      </c>
      <c r="E156" s="32" t="s">
        <v>234</v>
      </c>
      <c r="F156" s="32" t="s">
        <v>291</v>
      </c>
      <c r="G156" s="32" t="s">
        <v>235</v>
      </c>
      <c r="H156" s="32" t="s">
        <v>236</v>
      </c>
    </row>
    <row r="157" ht="16.5" customHeight="1">
      <c r="A157" s="32">
        <v>153.0</v>
      </c>
      <c r="C157" s="32" t="s">
        <v>507</v>
      </c>
      <c r="D157" s="32" t="s">
        <v>184</v>
      </c>
      <c r="E157" s="32" t="s">
        <v>185</v>
      </c>
      <c r="F157" s="32" t="s">
        <v>291</v>
      </c>
      <c r="G157" s="32" t="s">
        <v>508</v>
      </c>
    </row>
    <row r="158" ht="16.5" customHeight="1">
      <c r="A158" s="32">
        <v>154.0</v>
      </c>
      <c r="C158" s="32" t="s">
        <v>509</v>
      </c>
      <c r="D158" s="32" t="s">
        <v>184</v>
      </c>
      <c r="E158" s="32" t="s">
        <v>185</v>
      </c>
      <c r="F158" s="32" t="s">
        <v>291</v>
      </c>
      <c r="G158" s="32" t="s">
        <v>475</v>
      </c>
      <c r="H158" s="32" t="s">
        <v>476</v>
      </c>
    </row>
    <row r="159" ht="16.5" customHeight="1">
      <c r="A159" s="32">
        <v>155.0</v>
      </c>
      <c r="C159" s="32" t="s">
        <v>510</v>
      </c>
      <c r="D159" s="32" t="s">
        <v>184</v>
      </c>
      <c r="E159" s="32" t="s">
        <v>185</v>
      </c>
      <c r="F159" s="32" t="s">
        <v>291</v>
      </c>
      <c r="G159" s="32" t="s">
        <v>511</v>
      </c>
      <c r="H159" s="32" t="s">
        <v>512</v>
      </c>
    </row>
    <row r="160" ht="16.5" customHeight="1">
      <c r="A160" s="32">
        <v>156.0</v>
      </c>
      <c r="C160" s="32" t="s">
        <v>513</v>
      </c>
      <c r="D160" s="32" t="s">
        <v>184</v>
      </c>
      <c r="E160" s="32" t="s">
        <v>185</v>
      </c>
      <c r="F160" s="32" t="s">
        <v>291</v>
      </c>
      <c r="G160" s="32" t="s">
        <v>514</v>
      </c>
      <c r="H160" s="32" t="s">
        <v>515</v>
      </c>
    </row>
    <row r="161" ht="16.5" customHeight="1">
      <c r="A161" s="32">
        <v>157.0</v>
      </c>
      <c r="C161" s="32" t="s">
        <v>516</v>
      </c>
      <c r="D161" s="32" t="s">
        <v>184</v>
      </c>
      <c r="E161" s="32" t="s">
        <v>185</v>
      </c>
      <c r="F161" s="32" t="s">
        <v>291</v>
      </c>
      <c r="G161" s="32" t="s">
        <v>187</v>
      </c>
      <c r="H161" s="32" t="s">
        <v>275</v>
      </c>
    </row>
    <row r="162" ht="16.5" customHeight="1">
      <c r="A162" s="32">
        <v>158.0</v>
      </c>
      <c r="C162" s="32" t="s">
        <v>517</v>
      </c>
      <c r="D162" s="32" t="s">
        <v>184</v>
      </c>
      <c r="E162" s="32" t="s">
        <v>185</v>
      </c>
      <c r="F162" s="32" t="s">
        <v>291</v>
      </c>
    </row>
    <row r="163" ht="16.5" customHeight="1">
      <c r="A163" s="32">
        <v>159.0</v>
      </c>
      <c r="C163" s="32" t="s">
        <v>518</v>
      </c>
      <c r="D163" s="32" t="s">
        <v>184</v>
      </c>
      <c r="E163" s="32" t="s">
        <v>185</v>
      </c>
      <c r="F163" s="32" t="s">
        <v>291</v>
      </c>
      <c r="G163" s="32" t="s">
        <v>187</v>
      </c>
      <c r="H163" s="32" t="s">
        <v>188</v>
      </c>
    </row>
    <row r="164" ht="16.5" customHeight="1">
      <c r="A164" s="32">
        <v>160.0</v>
      </c>
      <c r="C164" s="32" t="s">
        <v>519</v>
      </c>
      <c r="D164" s="32" t="s">
        <v>184</v>
      </c>
      <c r="E164" s="32" t="s">
        <v>219</v>
      </c>
      <c r="F164" s="32" t="s">
        <v>291</v>
      </c>
      <c r="G164" s="32" t="s">
        <v>241</v>
      </c>
      <c r="H164" s="32" t="s">
        <v>292</v>
      </c>
    </row>
    <row r="165" ht="16.5" customHeight="1">
      <c r="A165" s="32">
        <v>161.0</v>
      </c>
      <c r="C165" s="32" t="s">
        <v>520</v>
      </c>
      <c r="D165" s="32" t="s">
        <v>184</v>
      </c>
      <c r="E165" s="32" t="s">
        <v>254</v>
      </c>
      <c r="F165" s="32" t="s">
        <v>291</v>
      </c>
      <c r="G165" s="32" t="s">
        <v>257</v>
      </c>
    </row>
    <row r="166" ht="16.5" customHeight="1">
      <c r="A166" s="32">
        <v>162.0</v>
      </c>
      <c r="C166" s="32" t="s">
        <v>521</v>
      </c>
      <c r="D166" s="32" t="s">
        <v>184</v>
      </c>
      <c r="E166" s="35" t="s">
        <v>522</v>
      </c>
      <c r="F166" s="32" t="s">
        <v>523</v>
      </c>
      <c r="G166" s="32" t="s">
        <v>524</v>
      </c>
    </row>
    <row r="167" ht="16.5" customHeight="1">
      <c r="A167" s="32">
        <v>163.0</v>
      </c>
      <c r="C167" s="32" t="s">
        <v>525</v>
      </c>
      <c r="D167" s="32" t="s">
        <v>184</v>
      </c>
      <c r="E167" s="32" t="s">
        <v>192</v>
      </c>
      <c r="F167" s="32" t="s">
        <v>291</v>
      </c>
      <c r="G167" s="32" t="s">
        <v>267</v>
      </c>
    </row>
    <row r="168" ht="16.5" customHeight="1">
      <c r="A168" s="32">
        <v>164.0</v>
      </c>
      <c r="C168" s="32" t="s">
        <v>526</v>
      </c>
      <c r="D168" s="32" t="s">
        <v>184</v>
      </c>
      <c r="E168" s="32" t="s">
        <v>234</v>
      </c>
      <c r="F168" s="32" t="s">
        <v>291</v>
      </c>
    </row>
    <row r="169" ht="16.5" customHeight="1">
      <c r="A169" s="32">
        <v>165.0</v>
      </c>
      <c r="C169" s="32" t="s">
        <v>527</v>
      </c>
      <c r="D169" s="32" t="s">
        <v>184</v>
      </c>
      <c r="E169" s="35" t="s">
        <v>310</v>
      </c>
      <c r="F169" s="32" t="s">
        <v>291</v>
      </c>
    </row>
    <row r="170" ht="16.5" customHeight="1">
      <c r="A170" s="32">
        <v>166.0</v>
      </c>
      <c r="C170" s="32" t="s">
        <v>528</v>
      </c>
      <c r="D170" s="32" t="s">
        <v>184</v>
      </c>
      <c r="E170" s="32" t="s">
        <v>254</v>
      </c>
      <c r="F170" s="32" t="s">
        <v>291</v>
      </c>
      <c r="G170" s="32" t="s">
        <v>305</v>
      </c>
      <c r="H170" s="32" t="s">
        <v>529</v>
      </c>
    </row>
    <row r="171" ht="16.5" customHeight="1">
      <c r="A171" s="32">
        <v>167.0</v>
      </c>
      <c r="C171" s="32" t="s">
        <v>530</v>
      </c>
      <c r="D171" s="32" t="s">
        <v>184</v>
      </c>
      <c r="E171" s="32" t="s">
        <v>219</v>
      </c>
      <c r="F171" s="32" t="s">
        <v>291</v>
      </c>
      <c r="G171" s="32" t="s">
        <v>223</v>
      </c>
    </row>
    <row r="172" ht="16.5" customHeight="1">
      <c r="A172" s="32">
        <v>168.0</v>
      </c>
      <c r="C172" s="32" t="s">
        <v>531</v>
      </c>
      <c r="D172" s="32" t="s">
        <v>184</v>
      </c>
      <c r="E172" s="32" t="s">
        <v>254</v>
      </c>
      <c r="F172" s="32" t="s">
        <v>291</v>
      </c>
      <c r="G172" s="32" t="s">
        <v>256</v>
      </c>
      <c r="H172" s="32" t="s">
        <v>257</v>
      </c>
    </row>
    <row r="173" ht="16.5" customHeight="1">
      <c r="A173" s="32">
        <v>169.0</v>
      </c>
      <c r="C173" s="32" t="s">
        <v>532</v>
      </c>
      <c r="D173" s="32" t="s">
        <v>184</v>
      </c>
      <c r="E173" s="32" t="s">
        <v>254</v>
      </c>
      <c r="F173" s="32" t="s">
        <v>291</v>
      </c>
      <c r="G173" s="32" t="s">
        <v>256</v>
      </c>
      <c r="H173" s="32" t="s">
        <v>257</v>
      </c>
    </row>
    <row r="174" ht="16.5" customHeight="1">
      <c r="A174" s="32">
        <v>170.0</v>
      </c>
      <c r="C174" s="32" t="s">
        <v>533</v>
      </c>
      <c r="D174" s="32" t="s">
        <v>184</v>
      </c>
      <c r="E174" s="32" t="s">
        <v>254</v>
      </c>
      <c r="F174" s="32" t="s">
        <v>291</v>
      </c>
    </row>
    <row r="175" ht="16.5" customHeight="1">
      <c r="A175" s="32">
        <v>171.0</v>
      </c>
      <c r="C175" s="32" t="s">
        <v>534</v>
      </c>
      <c r="D175" s="32" t="s">
        <v>184</v>
      </c>
      <c r="E175" s="32" t="s">
        <v>192</v>
      </c>
      <c r="F175" s="32" t="s">
        <v>291</v>
      </c>
      <c r="G175" s="32" t="s">
        <v>300</v>
      </c>
      <c r="H175" s="32" t="s">
        <v>535</v>
      </c>
    </row>
    <row r="176" ht="16.5" customHeight="1">
      <c r="A176" s="32">
        <v>172.0</v>
      </c>
      <c r="C176" s="32" t="s">
        <v>536</v>
      </c>
      <c r="D176" s="32" t="s">
        <v>184</v>
      </c>
      <c r="E176" s="32" t="s">
        <v>192</v>
      </c>
      <c r="F176" s="32" t="s">
        <v>291</v>
      </c>
      <c r="G176" s="32" t="s">
        <v>300</v>
      </c>
      <c r="H176" s="32" t="s">
        <v>537</v>
      </c>
    </row>
    <row r="177" ht="16.5" customHeight="1">
      <c r="A177" s="32">
        <v>173.0</v>
      </c>
      <c r="C177" s="32" t="s">
        <v>538</v>
      </c>
      <c r="D177" s="32" t="s">
        <v>184</v>
      </c>
      <c r="E177" s="32" t="s">
        <v>192</v>
      </c>
      <c r="F177" s="32" t="s">
        <v>291</v>
      </c>
      <c r="G177" s="32" t="s">
        <v>300</v>
      </c>
      <c r="H177" s="32" t="s">
        <v>387</v>
      </c>
    </row>
    <row r="178" ht="16.5" customHeight="1">
      <c r="A178" s="32">
        <v>174.0</v>
      </c>
      <c r="C178" s="32" t="s">
        <v>539</v>
      </c>
      <c r="D178" s="32" t="s">
        <v>184</v>
      </c>
      <c r="E178" s="32" t="s">
        <v>219</v>
      </c>
      <c r="F178" s="32" t="s">
        <v>291</v>
      </c>
      <c r="G178" s="32" t="s">
        <v>241</v>
      </c>
      <c r="H178" s="32" t="s">
        <v>292</v>
      </c>
    </row>
    <row r="179" ht="16.5" customHeight="1">
      <c r="A179" s="32">
        <v>175.0</v>
      </c>
      <c r="C179" s="32" t="s">
        <v>540</v>
      </c>
      <c r="D179" s="32" t="s">
        <v>184</v>
      </c>
      <c r="E179" s="32" t="s">
        <v>192</v>
      </c>
      <c r="F179" s="32" t="s">
        <v>291</v>
      </c>
      <c r="G179" s="32" t="s">
        <v>300</v>
      </c>
      <c r="H179" s="32" t="s">
        <v>387</v>
      </c>
    </row>
    <row r="180" ht="16.5" customHeight="1">
      <c r="A180" s="32">
        <v>176.0</v>
      </c>
      <c r="C180" s="32" t="s">
        <v>541</v>
      </c>
      <c r="D180" s="32" t="s">
        <v>184</v>
      </c>
      <c r="E180" s="32" t="s">
        <v>185</v>
      </c>
      <c r="F180" s="32" t="s">
        <v>291</v>
      </c>
      <c r="G180" s="32" t="s">
        <v>187</v>
      </c>
    </row>
    <row r="181" ht="16.5" customHeight="1">
      <c r="A181" s="32">
        <v>177.0</v>
      </c>
      <c r="C181" s="32" t="s">
        <v>542</v>
      </c>
      <c r="D181" s="32" t="s">
        <v>184</v>
      </c>
      <c r="E181" s="32" t="s">
        <v>254</v>
      </c>
      <c r="F181" s="32" t="s">
        <v>291</v>
      </c>
      <c r="G181" s="32" t="s">
        <v>257</v>
      </c>
      <c r="H181" s="32" t="s">
        <v>256</v>
      </c>
    </row>
    <row r="182" ht="16.5" customHeight="1">
      <c r="A182" s="32">
        <v>178.0</v>
      </c>
      <c r="C182" s="32" t="s">
        <v>543</v>
      </c>
      <c r="D182" s="32" t="s">
        <v>184</v>
      </c>
      <c r="E182" s="32" t="s">
        <v>228</v>
      </c>
      <c r="F182" s="32" t="s">
        <v>291</v>
      </c>
      <c r="G182" s="32" t="s">
        <v>544</v>
      </c>
      <c r="H182" s="32" t="s">
        <v>545</v>
      </c>
    </row>
    <row r="183" ht="16.5" customHeight="1">
      <c r="A183" s="32">
        <v>179.0</v>
      </c>
      <c r="C183" s="32" t="s">
        <v>546</v>
      </c>
      <c r="D183" s="32" t="s">
        <v>184</v>
      </c>
      <c r="E183" s="32" t="s">
        <v>228</v>
      </c>
      <c r="F183" s="32" t="s">
        <v>291</v>
      </c>
      <c r="G183" s="32" t="s">
        <v>544</v>
      </c>
      <c r="H183" s="32" t="s">
        <v>545</v>
      </c>
    </row>
    <row r="184" ht="16.5" customHeight="1">
      <c r="A184" s="32">
        <v>180.0</v>
      </c>
      <c r="C184" s="32" t="s">
        <v>547</v>
      </c>
      <c r="D184" s="32" t="s">
        <v>184</v>
      </c>
      <c r="E184" s="32" t="s">
        <v>234</v>
      </c>
      <c r="F184" s="32" t="s">
        <v>291</v>
      </c>
      <c r="G184" s="32" t="s">
        <v>347</v>
      </c>
      <c r="H184" s="32" t="s">
        <v>382</v>
      </c>
    </row>
    <row r="185" ht="16.5" customHeight="1">
      <c r="A185" s="32">
        <v>181.0</v>
      </c>
      <c r="C185" s="32" t="s">
        <v>548</v>
      </c>
      <c r="D185" s="32" t="s">
        <v>184</v>
      </c>
      <c r="E185" s="32" t="s">
        <v>234</v>
      </c>
      <c r="F185" s="32" t="s">
        <v>291</v>
      </c>
      <c r="G185" s="32" t="s">
        <v>235</v>
      </c>
      <c r="H185" s="32" t="s">
        <v>236</v>
      </c>
    </row>
    <row r="186" ht="16.5" customHeight="1">
      <c r="A186" s="32">
        <v>182.0</v>
      </c>
      <c r="C186" s="32" t="s">
        <v>549</v>
      </c>
      <c r="D186" s="32" t="s">
        <v>184</v>
      </c>
      <c r="E186" s="32" t="s">
        <v>234</v>
      </c>
      <c r="F186" s="32" t="s">
        <v>291</v>
      </c>
      <c r="G186" s="32" t="s">
        <v>235</v>
      </c>
      <c r="H186" s="32" t="s">
        <v>243</v>
      </c>
    </row>
    <row r="187" ht="16.5" customHeight="1">
      <c r="A187" s="32">
        <v>183.0</v>
      </c>
      <c r="C187" s="32" t="s">
        <v>550</v>
      </c>
      <c r="D187" s="32" t="s">
        <v>184</v>
      </c>
      <c r="E187" s="32" t="s">
        <v>234</v>
      </c>
      <c r="F187" s="32" t="s">
        <v>291</v>
      </c>
      <c r="G187" s="32" t="s">
        <v>415</v>
      </c>
      <c r="H187" s="32" t="s">
        <v>236</v>
      </c>
    </row>
    <row r="188" ht="16.5" customHeight="1">
      <c r="A188" s="32">
        <v>184.0</v>
      </c>
      <c r="C188" s="32" t="s">
        <v>551</v>
      </c>
      <c r="D188" s="32" t="s">
        <v>184</v>
      </c>
      <c r="E188" s="32" t="s">
        <v>285</v>
      </c>
      <c r="F188" s="32" t="s">
        <v>291</v>
      </c>
      <c r="G188" s="32" t="s">
        <v>552</v>
      </c>
      <c r="H188" s="32" t="s">
        <v>553</v>
      </c>
    </row>
    <row r="189" ht="16.5" customHeight="1">
      <c r="A189" s="32">
        <v>185.0</v>
      </c>
      <c r="C189" s="32" t="s">
        <v>554</v>
      </c>
      <c r="D189" s="32" t="s">
        <v>184</v>
      </c>
      <c r="E189" s="32" t="s">
        <v>185</v>
      </c>
      <c r="F189" s="32" t="s">
        <v>291</v>
      </c>
      <c r="G189" s="32" t="s">
        <v>555</v>
      </c>
    </row>
    <row r="190" ht="16.5" customHeight="1">
      <c r="A190" s="32">
        <v>186.0</v>
      </c>
      <c r="C190" s="32" t="s">
        <v>556</v>
      </c>
      <c r="D190" s="32" t="s">
        <v>184</v>
      </c>
      <c r="E190" s="32" t="s">
        <v>185</v>
      </c>
      <c r="F190" s="32" t="s">
        <v>255</v>
      </c>
    </row>
    <row r="191" ht="16.5" customHeight="1">
      <c r="A191" s="32">
        <v>187.0</v>
      </c>
      <c r="C191" s="32" t="s">
        <v>557</v>
      </c>
      <c r="D191" s="32" t="s">
        <v>184</v>
      </c>
      <c r="E191" s="32" t="s">
        <v>185</v>
      </c>
      <c r="F191" s="32" t="s">
        <v>291</v>
      </c>
      <c r="G191" s="32" t="s">
        <v>508</v>
      </c>
    </row>
    <row r="192" ht="16.5" customHeight="1">
      <c r="A192" s="32">
        <v>188.0</v>
      </c>
      <c r="C192" s="32" t="s">
        <v>558</v>
      </c>
      <c r="D192" s="32" t="s">
        <v>184</v>
      </c>
      <c r="E192" s="32" t="s">
        <v>185</v>
      </c>
      <c r="F192" s="32" t="s">
        <v>291</v>
      </c>
    </row>
    <row r="193" ht="16.5" customHeight="1">
      <c r="A193" s="32">
        <v>189.0</v>
      </c>
      <c r="C193" s="32" t="s">
        <v>559</v>
      </c>
      <c r="D193" s="32" t="s">
        <v>184</v>
      </c>
      <c r="E193" s="32" t="s">
        <v>254</v>
      </c>
      <c r="F193" s="32" t="s">
        <v>291</v>
      </c>
      <c r="G193" s="32" t="s">
        <v>305</v>
      </c>
      <c r="H193" s="32" t="s">
        <v>371</v>
      </c>
    </row>
    <row r="194" ht="16.5" customHeight="1">
      <c r="A194" s="32">
        <v>190.0</v>
      </c>
      <c r="C194" s="32" t="s">
        <v>560</v>
      </c>
      <c r="D194" s="32" t="s">
        <v>184</v>
      </c>
      <c r="E194" s="32" t="s">
        <v>285</v>
      </c>
      <c r="F194" s="32" t="s">
        <v>291</v>
      </c>
      <c r="G194" s="32" t="s">
        <v>188</v>
      </c>
      <c r="H194" s="32" t="s">
        <v>561</v>
      </c>
    </row>
    <row r="195" ht="16.5" customHeight="1">
      <c r="A195" s="32">
        <v>191.0</v>
      </c>
      <c r="C195" s="32" t="s">
        <v>562</v>
      </c>
      <c r="D195" s="32" t="s">
        <v>184</v>
      </c>
      <c r="E195" s="32" t="s">
        <v>185</v>
      </c>
      <c r="F195" s="32" t="s">
        <v>291</v>
      </c>
      <c r="G195" s="32" t="s">
        <v>271</v>
      </c>
      <c r="H195" s="32" t="s">
        <v>563</v>
      </c>
    </row>
    <row r="196" ht="16.5" customHeight="1">
      <c r="A196" s="32">
        <v>192.0</v>
      </c>
      <c r="C196" s="32" t="s">
        <v>564</v>
      </c>
      <c r="D196" s="32" t="s">
        <v>184</v>
      </c>
      <c r="E196" s="32" t="s">
        <v>219</v>
      </c>
      <c r="F196" s="32" t="s">
        <v>291</v>
      </c>
    </row>
    <row r="197" ht="16.5" customHeight="1">
      <c r="A197" s="32">
        <v>193.0</v>
      </c>
      <c r="C197" s="32" t="s">
        <v>565</v>
      </c>
      <c r="D197" s="32" t="s">
        <v>184</v>
      </c>
      <c r="E197" s="32" t="s">
        <v>185</v>
      </c>
      <c r="F197" s="32" t="s">
        <v>291</v>
      </c>
      <c r="G197" s="32" t="s">
        <v>271</v>
      </c>
      <c r="H197" s="32" t="s">
        <v>566</v>
      </c>
    </row>
    <row r="198" ht="16.5" customHeight="1">
      <c r="A198" s="32">
        <v>194.0</v>
      </c>
      <c r="C198" s="32" t="s">
        <v>567</v>
      </c>
      <c r="D198" s="32" t="s">
        <v>184</v>
      </c>
      <c r="E198" s="32" t="s">
        <v>234</v>
      </c>
      <c r="F198" s="32" t="s">
        <v>291</v>
      </c>
      <c r="G198" s="32" t="s">
        <v>347</v>
      </c>
      <c r="H198" s="32" t="s">
        <v>568</v>
      </c>
    </row>
    <row r="199" ht="16.5" customHeight="1">
      <c r="A199" s="32">
        <v>195.0</v>
      </c>
      <c r="C199" s="32" t="s">
        <v>569</v>
      </c>
      <c r="D199" s="32" t="s">
        <v>184</v>
      </c>
      <c r="E199" s="32" t="s">
        <v>192</v>
      </c>
      <c r="F199" s="32" t="s">
        <v>291</v>
      </c>
      <c r="G199" s="32" t="s">
        <v>570</v>
      </c>
      <c r="H199" s="32" t="s">
        <v>447</v>
      </c>
    </row>
    <row r="200" ht="16.5" customHeight="1">
      <c r="A200" s="32">
        <v>196.0</v>
      </c>
      <c r="C200" s="32" t="s">
        <v>571</v>
      </c>
      <c r="D200" s="32" t="s">
        <v>184</v>
      </c>
      <c r="E200" s="32" t="s">
        <v>192</v>
      </c>
      <c r="F200" s="32" t="s">
        <v>291</v>
      </c>
      <c r="G200" s="32" t="s">
        <v>570</v>
      </c>
      <c r="H200" s="32" t="s">
        <v>447</v>
      </c>
    </row>
    <row r="201" ht="16.5" customHeight="1">
      <c r="A201" s="32">
        <v>197.0</v>
      </c>
      <c r="C201" s="32" t="s">
        <v>572</v>
      </c>
      <c r="D201" s="32" t="s">
        <v>184</v>
      </c>
      <c r="E201" s="32" t="s">
        <v>219</v>
      </c>
      <c r="F201" s="32" t="s">
        <v>291</v>
      </c>
      <c r="G201" s="32" t="s">
        <v>232</v>
      </c>
      <c r="H201" s="32" t="s">
        <v>233</v>
      </c>
    </row>
    <row r="202" ht="16.5" customHeight="1">
      <c r="A202" s="32">
        <v>198.0</v>
      </c>
      <c r="C202" s="32" t="s">
        <v>573</v>
      </c>
      <c r="D202" s="32" t="s">
        <v>184</v>
      </c>
      <c r="E202" s="32" t="s">
        <v>185</v>
      </c>
      <c r="F202" s="32" t="s">
        <v>291</v>
      </c>
      <c r="G202" s="32" t="s">
        <v>187</v>
      </c>
      <c r="H202" s="32" t="s">
        <v>480</v>
      </c>
    </row>
    <row r="203" ht="16.5" customHeight="1">
      <c r="A203" s="32">
        <v>199.0</v>
      </c>
      <c r="C203" s="32" t="s">
        <v>574</v>
      </c>
      <c r="D203" s="32" t="s">
        <v>184</v>
      </c>
      <c r="E203" s="32" t="s">
        <v>192</v>
      </c>
      <c r="F203" s="32" t="s">
        <v>291</v>
      </c>
      <c r="G203" s="32" t="s">
        <v>329</v>
      </c>
      <c r="H203" s="32" t="s">
        <v>457</v>
      </c>
    </row>
    <row r="204" ht="16.5" customHeight="1">
      <c r="A204" s="32">
        <v>200.0</v>
      </c>
      <c r="C204" s="32" t="s">
        <v>575</v>
      </c>
      <c r="D204" s="32" t="s">
        <v>184</v>
      </c>
      <c r="E204" s="32" t="s">
        <v>192</v>
      </c>
      <c r="F204" s="32" t="s">
        <v>291</v>
      </c>
      <c r="G204" s="32" t="s">
        <v>329</v>
      </c>
      <c r="H204" s="32" t="s">
        <v>447</v>
      </c>
    </row>
    <row r="205" ht="16.5" customHeight="1">
      <c r="A205" s="32">
        <v>201.0</v>
      </c>
      <c r="C205" s="32" t="s">
        <v>576</v>
      </c>
      <c r="D205" s="32" t="s">
        <v>184</v>
      </c>
      <c r="E205" s="32" t="s">
        <v>234</v>
      </c>
      <c r="F205" s="32" t="s">
        <v>291</v>
      </c>
      <c r="G205" s="32" t="s">
        <v>347</v>
      </c>
      <c r="H205" s="32" t="s">
        <v>577</v>
      </c>
    </row>
    <row r="206" ht="16.5" customHeight="1">
      <c r="A206" s="32">
        <v>202.0</v>
      </c>
      <c r="C206" s="32" t="s">
        <v>578</v>
      </c>
      <c r="D206" s="32" t="s">
        <v>184</v>
      </c>
      <c r="E206" s="32" t="s">
        <v>192</v>
      </c>
      <c r="F206" s="32" t="s">
        <v>291</v>
      </c>
      <c r="G206" s="32" t="s">
        <v>329</v>
      </c>
      <c r="H206" s="32" t="s">
        <v>579</v>
      </c>
    </row>
    <row r="207" ht="16.5" customHeight="1">
      <c r="A207" s="32">
        <v>203.0</v>
      </c>
      <c r="C207" s="32" t="s">
        <v>580</v>
      </c>
      <c r="D207" s="32" t="s">
        <v>184</v>
      </c>
      <c r="E207" s="35" t="s">
        <v>361</v>
      </c>
      <c r="F207" s="32" t="s">
        <v>291</v>
      </c>
      <c r="G207" s="32" t="s">
        <v>362</v>
      </c>
      <c r="H207" s="32" t="s">
        <v>447</v>
      </c>
    </row>
    <row r="208" ht="16.5" customHeight="1">
      <c r="A208" s="32">
        <v>204.0</v>
      </c>
      <c r="C208" s="32" t="s">
        <v>581</v>
      </c>
      <c r="D208" s="32" t="s">
        <v>184</v>
      </c>
      <c r="E208" s="32" t="s">
        <v>254</v>
      </c>
      <c r="F208" s="32" t="s">
        <v>291</v>
      </c>
      <c r="G208" s="32" t="s">
        <v>257</v>
      </c>
      <c r="H208" s="32" t="s">
        <v>271</v>
      </c>
    </row>
    <row r="209" ht="16.5" customHeight="1">
      <c r="A209" s="32">
        <v>205.0</v>
      </c>
      <c r="C209" s="32" t="s">
        <v>582</v>
      </c>
      <c r="D209" s="32" t="s">
        <v>184</v>
      </c>
      <c r="E209" s="32" t="s">
        <v>219</v>
      </c>
      <c r="F209" s="32" t="s">
        <v>291</v>
      </c>
      <c r="G209" s="32" t="s">
        <v>223</v>
      </c>
    </row>
    <row r="210" ht="16.5" customHeight="1">
      <c r="A210" s="32">
        <v>206.0</v>
      </c>
      <c r="C210" s="32" t="s">
        <v>583</v>
      </c>
      <c r="D210" s="32" t="s">
        <v>184</v>
      </c>
      <c r="E210" s="32" t="s">
        <v>219</v>
      </c>
      <c r="F210" s="32" t="s">
        <v>291</v>
      </c>
      <c r="G210" s="32" t="s">
        <v>223</v>
      </c>
    </row>
    <row r="211" ht="16.5" customHeight="1">
      <c r="A211" s="32">
        <v>207.0</v>
      </c>
      <c r="C211" s="32" t="s">
        <v>584</v>
      </c>
      <c r="D211" s="32" t="s">
        <v>184</v>
      </c>
      <c r="E211" s="32" t="s">
        <v>219</v>
      </c>
      <c r="F211" s="32" t="s">
        <v>291</v>
      </c>
      <c r="G211" s="32" t="s">
        <v>223</v>
      </c>
    </row>
    <row r="212" ht="16.5" customHeight="1">
      <c r="A212" s="32">
        <v>208.0</v>
      </c>
      <c r="C212" s="32" t="s">
        <v>585</v>
      </c>
      <c r="D212" s="32" t="s">
        <v>184</v>
      </c>
      <c r="E212" s="32" t="s">
        <v>219</v>
      </c>
      <c r="F212" s="32" t="s">
        <v>291</v>
      </c>
      <c r="G212" s="32" t="s">
        <v>223</v>
      </c>
    </row>
    <row r="213" ht="16.5" customHeight="1">
      <c r="A213" s="32">
        <v>209.0</v>
      </c>
      <c r="C213" s="32" t="s">
        <v>586</v>
      </c>
      <c r="D213" s="32" t="s">
        <v>184</v>
      </c>
      <c r="E213" s="32" t="s">
        <v>219</v>
      </c>
      <c r="F213" s="32" t="s">
        <v>291</v>
      </c>
      <c r="G213" s="32" t="s">
        <v>223</v>
      </c>
    </row>
    <row r="214" ht="16.5" customHeight="1">
      <c r="A214" s="32">
        <v>210.0</v>
      </c>
      <c r="C214" s="32" t="s">
        <v>587</v>
      </c>
      <c r="D214" s="32" t="s">
        <v>184</v>
      </c>
      <c r="E214" s="32" t="s">
        <v>219</v>
      </c>
      <c r="F214" s="32" t="s">
        <v>291</v>
      </c>
      <c r="G214" s="32" t="s">
        <v>223</v>
      </c>
    </row>
    <row r="215" ht="16.5" customHeight="1">
      <c r="A215" s="32">
        <v>211.0</v>
      </c>
      <c r="C215" s="32" t="s">
        <v>588</v>
      </c>
      <c r="D215" s="32" t="s">
        <v>184</v>
      </c>
      <c r="E215" s="32" t="s">
        <v>228</v>
      </c>
      <c r="F215" s="32" t="s">
        <v>291</v>
      </c>
    </row>
    <row r="216" ht="16.5" customHeight="1">
      <c r="A216" s="32">
        <v>212.0</v>
      </c>
      <c r="C216" s="32" t="s">
        <v>589</v>
      </c>
      <c r="D216" s="32" t="s">
        <v>184</v>
      </c>
      <c r="E216" s="32" t="s">
        <v>185</v>
      </c>
      <c r="F216" s="32" t="s">
        <v>291</v>
      </c>
      <c r="G216" s="32" t="s">
        <v>187</v>
      </c>
      <c r="H216" s="32" t="s">
        <v>590</v>
      </c>
    </row>
    <row r="217" ht="16.5" customHeight="1">
      <c r="A217" s="32">
        <v>213.0</v>
      </c>
      <c r="C217" s="32" t="s">
        <v>591</v>
      </c>
      <c r="D217" s="32" t="s">
        <v>184</v>
      </c>
      <c r="E217" s="32" t="s">
        <v>185</v>
      </c>
      <c r="F217" s="32" t="s">
        <v>291</v>
      </c>
      <c r="G217" s="32" t="s">
        <v>187</v>
      </c>
      <c r="H217" s="32" t="s">
        <v>188</v>
      </c>
    </row>
    <row r="218" ht="16.5" customHeight="1">
      <c r="A218" s="32">
        <v>214.0</v>
      </c>
      <c r="C218" s="32" t="s">
        <v>592</v>
      </c>
      <c r="D218" s="32" t="s">
        <v>184</v>
      </c>
      <c r="E218" s="32" t="s">
        <v>254</v>
      </c>
      <c r="F218" s="32" t="s">
        <v>291</v>
      </c>
      <c r="G218" s="32" t="s">
        <v>305</v>
      </c>
      <c r="H218" s="32" t="s">
        <v>593</v>
      </c>
    </row>
    <row r="219" ht="16.5" customHeight="1">
      <c r="A219" s="32">
        <v>215.0</v>
      </c>
      <c r="C219" s="32" t="s">
        <v>594</v>
      </c>
      <c r="D219" s="32" t="s">
        <v>184</v>
      </c>
      <c r="E219" s="32" t="s">
        <v>234</v>
      </c>
      <c r="F219" s="32" t="s">
        <v>291</v>
      </c>
      <c r="G219" s="32" t="s">
        <v>347</v>
      </c>
      <c r="H219" s="32" t="s">
        <v>382</v>
      </c>
    </row>
    <row r="220" ht="16.5" customHeight="1">
      <c r="A220" s="32">
        <v>216.0</v>
      </c>
      <c r="C220" s="32" t="s">
        <v>595</v>
      </c>
      <c r="D220" s="32" t="s">
        <v>184</v>
      </c>
      <c r="E220" s="32" t="s">
        <v>219</v>
      </c>
      <c r="F220" s="32" t="s">
        <v>291</v>
      </c>
      <c r="G220" s="32" t="s">
        <v>223</v>
      </c>
    </row>
    <row r="221" ht="16.5" customHeight="1">
      <c r="A221" s="32">
        <v>217.0</v>
      </c>
      <c r="C221" s="32" t="s">
        <v>596</v>
      </c>
      <c r="D221" s="32" t="s">
        <v>184</v>
      </c>
      <c r="E221" s="32" t="s">
        <v>219</v>
      </c>
      <c r="F221" s="32" t="s">
        <v>291</v>
      </c>
      <c r="G221" s="32" t="s">
        <v>223</v>
      </c>
    </row>
    <row r="222" ht="16.5" customHeight="1">
      <c r="A222" s="32">
        <v>218.0</v>
      </c>
      <c r="C222" s="32" t="s">
        <v>597</v>
      </c>
      <c r="D222" s="32" t="s">
        <v>184</v>
      </c>
      <c r="E222" s="32" t="s">
        <v>228</v>
      </c>
      <c r="F222" s="32" t="s">
        <v>291</v>
      </c>
      <c r="G222" s="32" t="s">
        <v>408</v>
      </c>
      <c r="H222" s="32" t="s">
        <v>490</v>
      </c>
    </row>
    <row r="223" ht="16.5" customHeight="1">
      <c r="A223" s="32">
        <v>219.0</v>
      </c>
      <c r="C223" s="32" t="s">
        <v>598</v>
      </c>
      <c r="D223" s="32" t="s">
        <v>184</v>
      </c>
      <c r="E223" s="32" t="s">
        <v>192</v>
      </c>
      <c r="F223" s="32" t="s">
        <v>291</v>
      </c>
    </row>
    <row r="224" ht="16.5" customHeight="1">
      <c r="A224" s="32">
        <v>220.0</v>
      </c>
      <c r="C224" s="32" t="s">
        <v>599</v>
      </c>
      <c r="D224" s="32" t="s">
        <v>184</v>
      </c>
      <c r="E224" s="32" t="s">
        <v>254</v>
      </c>
      <c r="F224" s="32" t="s">
        <v>291</v>
      </c>
      <c r="G224" s="32" t="s">
        <v>305</v>
      </c>
      <c r="H224" s="32" t="s">
        <v>600</v>
      </c>
    </row>
    <row r="225" ht="16.5" customHeight="1">
      <c r="A225" s="32">
        <v>221.0</v>
      </c>
      <c r="C225" s="32" t="s">
        <v>601</v>
      </c>
      <c r="D225" s="32" t="s">
        <v>184</v>
      </c>
      <c r="E225" s="32" t="s">
        <v>214</v>
      </c>
      <c r="F225" s="32" t="s">
        <v>291</v>
      </c>
      <c r="G225" s="32" t="s">
        <v>216</v>
      </c>
      <c r="H225" s="32" t="s">
        <v>217</v>
      </c>
    </row>
    <row r="226" ht="16.5" customHeight="1">
      <c r="A226" s="32">
        <v>222.0</v>
      </c>
      <c r="C226" s="32" t="s">
        <v>602</v>
      </c>
      <c r="D226" s="32" t="s">
        <v>184</v>
      </c>
      <c r="E226" s="32" t="s">
        <v>228</v>
      </c>
      <c r="F226" s="32" t="s">
        <v>291</v>
      </c>
      <c r="G226" s="32" t="s">
        <v>408</v>
      </c>
      <c r="H226" s="32" t="s">
        <v>452</v>
      </c>
    </row>
    <row r="227" ht="16.5" customHeight="1">
      <c r="A227" s="32">
        <v>223.0</v>
      </c>
      <c r="C227" s="32" t="s">
        <v>603</v>
      </c>
      <c r="D227" s="32" t="s">
        <v>184</v>
      </c>
      <c r="E227" s="32" t="s">
        <v>214</v>
      </c>
      <c r="F227" s="32" t="s">
        <v>291</v>
      </c>
      <c r="G227" s="32" t="s">
        <v>604</v>
      </c>
    </row>
    <row r="228" ht="16.5" customHeight="1">
      <c r="A228" s="32">
        <v>224.0</v>
      </c>
      <c r="C228" s="32" t="s">
        <v>605</v>
      </c>
      <c r="D228" s="32" t="s">
        <v>184</v>
      </c>
      <c r="E228" s="32" t="s">
        <v>185</v>
      </c>
      <c r="F228" s="32" t="s">
        <v>291</v>
      </c>
      <c r="G228" s="32" t="s">
        <v>555</v>
      </c>
    </row>
    <row r="229" ht="16.5" customHeight="1">
      <c r="A229" s="32">
        <v>225.0</v>
      </c>
      <c r="C229" s="32" t="s">
        <v>606</v>
      </c>
      <c r="D229" s="32" t="s">
        <v>184</v>
      </c>
      <c r="E229" s="32" t="s">
        <v>185</v>
      </c>
      <c r="F229" s="32" t="s">
        <v>291</v>
      </c>
      <c r="G229" s="32" t="s">
        <v>508</v>
      </c>
    </row>
    <row r="230" ht="16.5" customHeight="1">
      <c r="A230" s="32">
        <v>226.0</v>
      </c>
      <c r="C230" s="32" t="s">
        <v>607</v>
      </c>
      <c r="D230" s="32" t="s">
        <v>184</v>
      </c>
      <c r="E230" s="32" t="s">
        <v>285</v>
      </c>
      <c r="F230" s="32" t="s">
        <v>291</v>
      </c>
      <c r="G230" s="32" t="s">
        <v>552</v>
      </c>
    </row>
    <row r="231" ht="16.5" customHeight="1">
      <c r="A231" s="32">
        <v>227.0</v>
      </c>
      <c r="C231" s="32" t="s">
        <v>608</v>
      </c>
      <c r="D231" s="32" t="s">
        <v>184</v>
      </c>
      <c r="E231" s="32" t="s">
        <v>285</v>
      </c>
      <c r="F231" s="32" t="s">
        <v>291</v>
      </c>
      <c r="G231" s="32" t="s">
        <v>552</v>
      </c>
    </row>
    <row r="232" ht="16.5" customHeight="1">
      <c r="A232" s="32">
        <v>228.0</v>
      </c>
      <c r="C232" s="32" t="s">
        <v>609</v>
      </c>
      <c r="D232" s="32" t="s">
        <v>184</v>
      </c>
      <c r="E232" s="32" t="s">
        <v>192</v>
      </c>
      <c r="F232" s="32" t="s">
        <v>291</v>
      </c>
      <c r="G232" s="32" t="s">
        <v>329</v>
      </c>
      <c r="H232" s="32" t="s">
        <v>447</v>
      </c>
    </row>
    <row r="233" ht="16.5" customHeight="1">
      <c r="A233" s="32">
        <v>229.0</v>
      </c>
      <c r="C233" s="32" t="s">
        <v>610</v>
      </c>
      <c r="D233" s="32" t="s">
        <v>184</v>
      </c>
      <c r="E233" s="32" t="s">
        <v>192</v>
      </c>
      <c r="F233" s="32" t="s">
        <v>291</v>
      </c>
      <c r="G233" s="32" t="s">
        <v>329</v>
      </c>
      <c r="H233" s="32" t="s">
        <v>447</v>
      </c>
    </row>
    <row r="234" ht="16.5" customHeight="1">
      <c r="A234" s="32">
        <v>230.0</v>
      </c>
      <c r="C234" s="32" t="s">
        <v>611</v>
      </c>
      <c r="D234" s="32" t="s">
        <v>184</v>
      </c>
      <c r="E234" s="32" t="s">
        <v>192</v>
      </c>
      <c r="F234" s="32" t="s">
        <v>291</v>
      </c>
      <c r="G234" s="32" t="s">
        <v>329</v>
      </c>
      <c r="H234" s="32" t="s">
        <v>447</v>
      </c>
    </row>
    <row r="235" ht="16.5" customHeight="1">
      <c r="A235" s="32">
        <v>231.0</v>
      </c>
      <c r="C235" s="32" t="s">
        <v>612</v>
      </c>
      <c r="D235" s="32" t="s">
        <v>184</v>
      </c>
      <c r="E235" s="32" t="s">
        <v>254</v>
      </c>
      <c r="F235" s="32" t="s">
        <v>291</v>
      </c>
      <c r="G235" s="32" t="s">
        <v>257</v>
      </c>
      <c r="H235" s="32" t="s">
        <v>271</v>
      </c>
    </row>
    <row r="236" ht="16.5" customHeight="1">
      <c r="A236" s="32">
        <v>232.0</v>
      </c>
      <c r="C236" s="32" t="s">
        <v>613</v>
      </c>
      <c r="D236" s="32" t="s">
        <v>184</v>
      </c>
      <c r="E236" s="32" t="s">
        <v>254</v>
      </c>
      <c r="F236" s="32" t="s">
        <v>291</v>
      </c>
    </row>
    <row r="237" ht="16.5" customHeight="1">
      <c r="A237" s="32">
        <v>233.0</v>
      </c>
      <c r="C237" s="32" t="s">
        <v>614</v>
      </c>
      <c r="D237" s="32" t="s">
        <v>184</v>
      </c>
      <c r="E237" s="32" t="s">
        <v>192</v>
      </c>
      <c r="F237" s="32" t="s">
        <v>291</v>
      </c>
      <c r="G237" s="32" t="s">
        <v>329</v>
      </c>
      <c r="H237" s="32" t="s">
        <v>357</v>
      </c>
    </row>
    <row r="238" ht="16.5" customHeight="1">
      <c r="A238" s="32">
        <v>234.0</v>
      </c>
      <c r="C238" s="32" t="s">
        <v>615</v>
      </c>
      <c r="D238" s="32" t="s">
        <v>184</v>
      </c>
      <c r="E238" s="32" t="s">
        <v>192</v>
      </c>
      <c r="F238" s="32" t="s">
        <v>291</v>
      </c>
      <c r="G238" s="32" t="s">
        <v>329</v>
      </c>
      <c r="H238" s="32" t="s">
        <v>447</v>
      </c>
    </row>
    <row r="239" ht="16.5" customHeight="1">
      <c r="A239" s="32">
        <v>235.0</v>
      </c>
      <c r="C239" s="32" t="s">
        <v>616</v>
      </c>
      <c r="D239" s="32" t="s">
        <v>184</v>
      </c>
      <c r="E239" s="32" t="s">
        <v>228</v>
      </c>
      <c r="F239" s="32" t="s">
        <v>291</v>
      </c>
      <c r="G239" s="32" t="s">
        <v>229</v>
      </c>
      <c r="H239" s="32" t="s">
        <v>230</v>
      </c>
    </row>
    <row r="240" ht="16.5" customHeight="1">
      <c r="A240" s="32">
        <v>236.0</v>
      </c>
      <c r="C240" s="32" t="s">
        <v>617</v>
      </c>
      <c r="D240" s="32" t="s">
        <v>184</v>
      </c>
      <c r="E240" s="32" t="s">
        <v>192</v>
      </c>
      <c r="F240" s="32" t="s">
        <v>291</v>
      </c>
      <c r="G240" s="32" t="s">
        <v>238</v>
      </c>
      <c r="H240" s="32" t="s">
        <v>618</v>
      </c>
    </row>
    <row r="241" ht="16.5" customHeight="1">
      <c r="A241" s="32">
        <v>237.0</v>
      </c>
      <c r="C241" s="32" t="s">
        <v>619</v>
      </c>
      <c r="D241" s="32" t="s">
        <v>184</v>
      </c>
      <c r="E241" s="32" t="s">
        <v>254</v>
      </c>
      <c r="F241" s="32" t="s">
        <v>291</v>
      </c>
      <c r="G241" s="32" t="s">
        <v>257</v>
      </c>
      <c r="H241" s="32" t="s">
        <v>271</v>
      </c>
    </row>
    <row r="242" ht="16.5" customHeight="1">
      <c r="A242" s="32">
        <v>238.0</v>
      </c>
      <c r="C242" s="32" t="s">
        <v>620</v>
      </c>
      <c r="D242" s="32" t="s">
        <v>184</v>
      </c>
      <c r="E242" s="32" t="s">
        <v>254</v>
      </c>
      <c r="F242" s="32" t="s">
        <v>291</v>
      </c>
      <c r="G242" s="32" t="s">
        <v>257</v>
      </c>
    </row>
    <row r="243" ht="16.5" customHeight="1">
      <c r="A243" s="32">
        <v>239.0</v>
      </c>
      <c r="C243" s="32" t="s">
        <v>621</v>
      </c>
      <c r="D243" s="32" t="s">
        <v>184</v>
      </c>
      <c r="E243" s="32" t="s">
        <v>254</v>
      </c>
      <c r="F243" s="32" t="s">
        <v>291</v>
      </c>
      <c r="G243" s="32" t="s">
        <v>257</v>
      </c>
      <c r="H243" s="32" t="s">
        <v>271</v>
      </c>
    </row>
    <row r="244" ht="16.5" customHeight="1">
      <c r="A244" s="32">
        <v>240.0</v>
      </c>
      <c r="C244" s="32" t="s">
        <v>622</v>
      </c>
      <c r="D244" s="32" t="s">
        <v>184</v>
      </c>
      <c r="E244" s="32" t="s">
        <v>192</v>
      </c>
      <c r="F244" s="32" t="s">
        <v>291</v>
      </c>
    </row>
    <row r="245" ht="16.5" customHeight="1">
      <c r="A245" s="32">
        <v>241.0</v>
      </c>
      <c r="C245" s="32" t="s">
        <v>623</v>
      </c>
      <c r="D245" s="32" t="s">
        <v>184</v>
      </c>
      <c r="E245" s="32" t="s">
        <v>185</v>
      </c>
      <c r="F245" s="32" t="s">
        <v>291</v>
      </c>
    </row>
    <row r="246" ht="16.5" customHeight="1">
      <c r="A246" s="32">
        <v>242.0</v>
      </c>
      <c r="C246" s="32" t="s">
        <v>624</v>
      </c>
      <c r="D246" s="32" t="s">
        <v>184</v>
      </c>
      <c r="E246" s="32" t="s">
        <v>219</v>
      </c>
      <c r="F246" s="32" t="s">
        <v>291</v>
      </c>
      <c r="G246" s="32" t="s">
        <v>223</v>
      </c>
    </row>
    <row r="247" ht="16.5" customHeight="1">
      <c r="A247" s="32">
        <v>243.0</v>
      </c>
      <c r="C247" s="32" t="s">
        <v>625</v>
      </c>
      <c r="D247" s="32" t="s">
        <v>184</v>
      </c>
      <c r="E247" s="32" t="s">
        <v>228</v>
      </c>
      <c r="F247" s="32" t="s">
        <v>291</v>
      </c>
      <c r="G247" s="32" t="s">
        <v>229</v>
      </c>
      <c r="H247" s="32" t="s">
        <v>626</v>
      </c>
    </row>
    <row r="248" ht="16.5" customHeight="1">
      <c r="A248" s="32">
        <v>244.0</v>
      </c>
      <c r="C248" s="32" t="s">
        <v>627</v>
      </c>
      <c r="D248" s="32" t="s">
        <v>184</v>
      </c>
      <c r="E248" s="32" t="s">
        <v>228</v>
      </c>
      <c r="F248" s="32" t="s">
        <v>291</v>
      </c>
      <c r="G248" s="32" t="s">
        <v>229</v>
      </c>
      <c r="H248" s="32" t="s">
        <v>626</v>
      </c>
    </row>
    <row r="249" ht="16.5" customHeight="1">
      <c r="A249" s="32">
        <v>245.0</v>
      </c>
      <c r="C249" s="32" t="s">
        <v>628</v>
      </c>
      <c r="D249" s="32" t="s">
        <v>184</v>
      </c>
      <c r="E249" s="32" t="s">
        <v>325</v>
      </c>
      <c r="F249" s="32" t="s">
        <v>291</v>
      </c>
      <c r="G249" s="32" t="s">
        <v>368</v>
      </c>
      <c r="H249" s="32" t="s">
        <v>463</v>
      </c>
    </row>
    <row r="250" ht="16.5" customHeight="1">
      <c r="A250" s="32">
        <v>246.0</v>
      </c>
      <c r="C250" s="32" t="s">
        <v>629</v>
      </c>
      <c r="D250" s="32" t="s">
        <v>184</v>
      </c>
      <c r="E250" s="32" t="s">
        <v>325</v>
      </c>
      <c r="F250" s="32" t="s">
        <v>291</v>
      </c>
      <c r="G250" s="32" t="s">
        <v>630</v>
      </c>
    </row>
    <row r="251" ht="16.5" customHeight="1">
      <c r="A251" s="32">
        <v>247.0</v>
      </c>
      <c r="C251" s="32" t="s">
        <v>631</v>
      </c>
      <c r="D251" s="32" t="s">
        <v>184</v>
      </c>
      <c r="E251" s="32" t="s">
        <v>185</v>
      </c>
      <c r="F251" s="32" t="s">
        <v>291</v>
      </c>
      <c r="G251" s="32" t="s">
        <v>187</v>
      </c>
      <c r="H251" s="32" t="s">
        <v>480</v>
      </c>
    </row>
    <row r="252" ht="16.5" customHeight="1">
      <c r="A252" s="32">
        <v>248.0</v>
      </c>
      <c r="C252" s="32" t="s">
        <v>632</v>
      </c>
      <c r="D252" s="32" t="s">
        <v>184</v>
      </c>
      <c r="E252" s="32" t="s">
        <v>185</v>
      </c>
      <c r="F252" s="32" t="s">
        <v>291</v>
      </c>
      <c r="G252" s="32" t="s">
        <v>187</v>
      </c>
      <c r="H252" s="32" t="s">
        <v>188</v>
      </c>
    </row>
    <row r="253" ht="16.5" customHeight="1">
      <c r="A253" s="32">
        <v>249.0</v>
      </c>
      <c r="C253" s="32" t="s">
        <v>633</v>
      </c>
      <c r="D253" s="32" t="s">
        <v>184</v>
      </c>
      <c r="E253" s="35" t="s">
        <v>484</v>
      </c>
      <c r="F253" s="32" t="s">
        <v>291</v>
      </c>
    </row>
    <row r="254" ht="16.5" customHeight="1">
      <c r="A254" s="32">
        <v>250.0</v>
      </c>
      <c r="C254" s="32" t="s">
        <v>634</v>
      </c>
      <c r="D254" s="32" t="s">
        <v>184</v>
      </c>
      <c r="E254" s="32" t="s">
        <v>192</v>
      </c>
      <c r="F254" s="32" t="s">
        <v>291</v>
      </c>
    </row>
    <row r="255" ht="16.5" customHeight="1">
      <c r="A255" s="32">
        <v>251.0</v>
      </c>
      <c r="C255" s="32" t="s">
        <v>635</v>
      </c>
      <c r="D255" s="32" t="s">
        <v>184</v>
      </c>
      <c r="E255" s="32" t="s">
        <v>219</v>
      </c>
      <c r="F255" s="32" t="s">
        <v>291</v>
      </c>
    </row>
    <row r="256" ht="16.5" customHeight="1">
      <c r="A256" s="32">
        <v>252.0</v>
      </c>
      <c r="C256" s="32" t="s">
        <v>636</v>
      </c>
      <c r="D256" s="32" t="s">
        <v>184</v>
      </c>
      <c r="E256" s="32" t="s">
        <v>285</v>
      </c>
      <c r="F256" s="32" t="s">
        <v>291</v>
      </c>
      <c r="G256" s="32" t="s">
        <v>189</v>
      </c>
      <c r="H256" s="32" t="s">
        <v>190</v>
      </c>
    </row>
    <row r="257" ht="16.5" customHeight="1">
      <c r="A257" s="32">
        <v>253.0</v>
      </c>
      <c r="C257" s="32" t="s">
        <v>637</v>
      </c>
      <c r="D257" s="32" t="s">
        <v>184</v>
      </c>
      <c r="E257" s="35" t="s">
        <v>522</v>
      </c>
      <c r="F257" s="32" t="s">
        <v>291</v>
      </c>
    </row>
    <row r="258" ht="16.5" customHeight="1">
      <c r="A258" s="32">
        <v>254.0</v>
      </c>
      <c r="C258" s="32" t="s">
        <v>638</v>
      </c>
      <c r="D258" s="32" t="s">
        <v>184</v>
      </c>
      <c r="E258" s="32" t="s">
        <v>185</v>
      </c>
      <c r="F258" s="32" t="s">
        <v>291</v>
      </c>
      <c r="G258" s="32" t="s">
        <v>187</v>
      </c>
      <c r="H258" s="32" t="s">
        <v>480</v>
      </c>
    </row>
    <row r="259" ht="16.5" customHeight="1">
      <c r="A259" s="32">
        <v>255.0</v>
      </c>
      <c r="C259" s="32" t="s">
        <v>639</v>
      </c>
      <c r="D259" s="32" t="s">
        <v>184</v>
      </c>
      <c r="E259" s="32" t="s">
        <v>192</v>
      </c>
      <c r="F259" s="32" t="s">
        <v>291</v>
      </c>
      <c r="G259" s="32" t="s">
        <v>640</v>
      </c>
      <c r="H259" s="32" t="s">
        <v>641</v>
      </c>
    </row>
    <row r="260" ht="16.5" customHeight="1">
      <c r="A260" s="32">
        <v>256.0</v>
      </c>
      <c r="C260" s="32" t="s">
        <v>642</v>
      </c>
      <c r="D260" s="32" t="s">
        <v>184</v>
      </c>
      <c r="E260" s="32" t="s">
        <v>254</v>
      </c>
      <c r="F260" s="32" t="s">
        <v>291</v>
      </c>
      <c r="G260" s="32" t="s">
        <v>524</v>
      </c>
      <c r="H260" s="32" t="s">
        <v>190</v>
      </c>
    </row>
    <row r="261" ht="16.5" customHeight="1">
      <c r="A261" s="32">
        <v>257.0</v>
      </c>
      <c r="C261" s="32" t="s">
        <v>643</v>
      </c>
      <c r="D261" s="32" t="s">
        <v>184</v>
      </c>
      <c r="E261" s="35" t="s">
        <v>522</v>
      </c>
      <c r="F261" s="32" t="s">
        <v>291</v>
      </c>
    </row>
    <row r="262" ht="16.5" customHeight="1">
      <c r="A262" s="32">
        <v>258.0</v>
      </c>
      <c r="C262" s="32" t="s">
        <v>644</v>
      </c>
      <c r="D262" s="32" t="s">
        <v>184</v>
      </c>
      <c r="E262" s="35" t="s">
        <v>645</v>
      </c>
      <c r="F262" s="32" t="s">
        <v>291</v>
      </c>
    </row>
    <row r="263" ht="16.5" customHeight="1">
      <c r="A263" s="32">
        <v>259.0</v>
      </c>
      <c r="C263" s="32" t="s">
        <v>646</v>
      </c>
      <c r="D263" s="32" t="s">
        <v>184</v>
      </c>
      <c r="E263" s="32" t="s">
        <v>219</v>
      </c>
      <c r="F263" s="32" t="s">
        <v>291</v>
      </c>
      <c r="G263" s="32" t="s">
        <v>241</v>
      </c>
      <c r="H263" s="32" t="s">
        <v>292</v>
      </c>
    </row>
    <row r="264" ht="16.5" customHeight="1">
      <c r="A264" s="32">
        <v>260.0</v>
      </c>
      <c r="C264" s="32" t="s">
        <v>647</v>
      </c>
      <c r="D264" s="32" t="s">
        <v>184</v>
      </c>
      <c r="E264" s="32" t="s">
        <v>234</v>
      </c>
      <c r="F264" s="32" t="s">
        <v>291</v>
      </c>
      <c r="G264" s="32" t="s">
        <v>347</v>
      </c>
      <c r="H264" s="32" t="s">
        <v>382</v>
      </c>
    </row>
    <row r="265" ht="16.5" customHeight="1">
      <c r="A265" s="32">
        <v>261.0</v>
      </c>
      <c r="C265" s="32" t="s">
        <v>648</v>
      </c>
      <c r="D265" s="32" t="s">
        <v>184</v>
      </c>
      <c r="E265" s="32" t="s">
        <v>234</v>
      </c>
      <c r="F265" s="32" t="s">
        <v>291</v>
      </c>
      <c r="G265" s="32" t="s">
        <v>347</v>
      </c>
      <c r="H265" s="32" t="s">
        <v>382</v>
      </c>
    </row>
    <row r="266" ht="16.5" customHeight="1">
      <c r="A266" s="32">
        <v>262.0</v>
      </c>
      <c r="C266" s="32" t="s">
        <v>649</v>
      </c>
      <c r="D266" s="32" t="s">
        <v>184</v>
      </c>
      <c r="E266" s="32" t="s">
        <v>234</v>
      </c>
      <c r="F266" s="32" t="s">
        <v>291</v>
      </c>
      <c r="G266" s="32" t="s">
        <v>347</v>
      </c>
      <c r="H266" s="32" t="s">
        <v>382</v>
      </c>
    </row>
    <row r="267" ht="16.5" customHeight="1">
      <c r="A267" s="32">
        <v>263.0</v>
      </c>
      <c r="C267" s="32" t="s">
        <v>650</v>
      </c>
      <c r="D267" s="32" t="s">
        <v>184</v>
      </c>
      <c r="E267" s="32" t="s">
        <v>234</v>
      </c>
      <c r="F267" s="32" t="s">
        <v>291</v>
      </c>
      <c r="G267" s="32" t="s">
        <v>235</v>
      </c>
      <c r="H267" s="32" t="s">
        <v>243</v>
      </c>
    </row>
    <row r="268" ht="16.5" customHeight="1">
      <c r="A268" s="32">
        <v>264.0</v>
      </c>
      <c r="C268" s="32" t="s">
        <v>651</v>
      </c>
      <c r="D268" s="32" t="s">
        <v>184</v>
      </c>
      <c r="E268" s="32" t="s">
        <v>254</v>
      </c>
      <c r="F268" s="32" t="s">
        <v>291</v>
      </c>
      <c r="G268" s="32" t="s">
        <v>256</v>
      </c>
      <c r="H268" s="32" t="s">
        <v>257</v>
      </c>
    </row>
    <row r="269" ht="16.5" customHeight="1">
      <c r="A269" s="32">
        <v>265.0</v>
      </c>
      <c r="C269" s="32" t="s">
        <v>652</v>
      </c>
      <c r="D269" s="32" t="s">
        <v>184</v>
      </c>
      <c r="E269" s="32" t="s">
        <v>254</v>
      </c>
      <c r="F269" s="32" t="s">
        <v>291</v>
      </c>
      <c r="G269" s="32" t="s">
        <v>256</v>
      </c>
      <c r="H269" s="32" t="s">
        <v>257</v>
      </c>
    </row>
    <row r="270" ht="16.5" customHeight="1">
      <c r="A270" s="32">
        <v>266.0</v>
      </c>
      <c r="C270" s="32" t="s">
        <v>653</v>
      </c>
      <c r="D270" s="32" t="s">
        <v>184</v>
      </c>
      <c r="E270" s="32" t="s">
        <v>192</v>
      </c>
      <c r="F270" s="32" t="s">
        <v>291</v>
      </c>
      <c r="G270" s="32" t="s">
        <v>654</v>
      </c>
    </row>
    <row r="271" ht="16.5" customHeight="1">
      <c r="A271" s="32">
        <v>267.0</v>
      </c>
      <c r="C271" s="32" t="s">
        <v>655</v>
      </c>
      <c r="D271" s="32" t="s">
        <v>184</v>
      </c>
      <c r="E271" s="32" t="s">
        <v>219</v>
      </c>
      <c r="F271" s="32" t="s">
        <v>291</v>
      </c>
      <c r="G271" s="32" t="s">
        <v>216</v>
      </c>
      <c r="H271" s="32" t="s">
        <v>217</v>
      </c>
    </row>
    <row r="272" ht="16.5" customHeight="1">
      <c r="A272" s="32">
        <v>268.0</v>
      </c>
      <c r="C272" s="32" t="s">
        <v>656</v>
      </c>
      <c r="D272" s="32" t="s">
        <v>184</v>
      </c>
      <c r="E272" s="32" t="s">
        <v>185</v>
      </c>
      <c r="F272" s="32" t="s">
        <v>291</v>
      </c>
      <c r="G272" s="32" t="s">
        <v>187</v>
      </c>
      <c r="H272" s="32" t="s">
        <v>188</v>
      </c>
    </row>
    <row r="273" ht="16.5" customHeight="1">
      <c r="A273" s="32">
        <v>269.0</v>
      </c>
      <c r="C273" s="32" t="s">
        <v>657</v>
      </c>
      <c r="D273" s="32" t="s">
        <v>184</v>
      </c>
      <c r="E273" s="32" t="s">
        <v>185</v>
      </c>
      <c r="F273" s="32" t="s">
        <v>291</v>
      </c>
      <c r="G273" s="32" t="s">
        <v>187</v>
      </c>
      <c r="H273" s="32" t="s">
        <v>188</v>
      </c>
    </row>
    <row r="274" ht="16.5" customHeight="1">
      <c r="A274" s="32">
        <v>270.0</v>
      </c>
      <c r="C274" s="32" t="s">
        <v>658</v>
      </c>
      <c r="D274" s="32" t="s">
        <v>184</v>
      </c>
      <c r="E274" s="32" t="s">
        <v>234</v>
      </c>
      <c r="F274" s="32" t="s">
        <v>291</v>
      </c>
      <c r="G274" s="32" t="s">
        <v>415</v>
      </c>
      <c r="H274" s="32" t="s">
        <v>659</v>
      </c>
    </row>
    <row r="275" ht="16.5" customHeight="1">
      <c r="A275" s="32">
        <v>271.0</v>
      </c>
      <c r="C275" s="32" t="s">
        <v>660</v>
      </c>
      <c r="D275" s="32" t="s">
        <v>184</v>
      </c>
      <c r="E275" s="32" t="s">
        <v>192</v>
      </c>
      <c r="F275" s="32" t="s">
        <v>291</v>
      </c>
      <c r="G275" s="32" t="s">
        <v>661</v>
      </c>
      <c r="H275" s="32" t="s">
        <v>662</v>
      </c>
    </row>
    <row r="276" ht="16.5" customHeight="1">
      <c r="A276" s="32">
        <v>272.0</v>
      </c>
      <c r="C276" s="32" t="s">
        <v>663</v>
      </c>
      <c r="D276" s="32" t="s">
        <v>184</v>
      </c>
      <c r="E276" s="32" t="s">
        <v>285</v>
      </c>
      <c r="F276" s="32" t="s">
        <v>291</v>
      </c>
      <c r="G276" s="32" t="s">
        <v>188</v>
      </c>
      <c r="H276" s="32" t="s">
        <v>368</v>
      </c>
    </row>
    <row r="277" ht="16.5" customHeight="1">
      <c r="A277" s="32">
        <v>273.0</v>
      </c>
      <c r="C277" s="32" t="s">
        <v>664</v>
      </c>
      <c r="D277" s="32" t="s">
        <v>184</v>
      </c>
      <c r="E277" s="32" t="s">
        <v>285</v>
      </c>
      <c r="F277" s="32" t="s">
        <v>291</v>
      </c>
      <c r="G277" s="32" t="s">
        <v>188</v>
      </c>
      <c r="H277" s="32" t="s">
        <v>665</v>
      </c>
    </row>
    <row r="278" ht="16.5" customHeight="1">
      <c r="A278" s="32">
        <v>274.0</v>
      </c>
      <c r="C278" s="32" t="s">
        <v>666</v>
      </c>
      <c r="D278" s="32" t="s">
        <v>184</v>
      </c>
      <c r="E278" s="32" t="s">
        <v>285</v>
      </c>
      <c r="F278" s="32" t="s">
        <v>291</v>
      </c>
      <c r="G278" s="32" t="s">
        <v>552</v>
      </c>
      <c r="H278" s="32" t="s">
        <v>476</v>
      </c>
    </row>
    <row r="279" ht="16.5" customHeight="1">
      <c r="A279" s="32">
        <v>275.0</v>
      </c>
      <c r="C279" s="32" t="s">
        <v>667</v>
      </c>
      <c r="D279" s="32" t="s">
        <v>184</v>
      </c>
      <c r="E279" s="32" t="s">
        <v>185</v>
      </c>
      <c r="F279" s="32" t="s">
        <v>291</v>
      </c>
      <c r="G279" s="32" t="s">
        <v>271</v>
      </c>
      <c r="H279" s="32" t="s">
        <v>668</v>
      </c>
    </row>
    <row r="280" ht="16.5" customHeight="1">
      <c r="A280" s="32">
        <v>276.0</v>
      </c>
      <c r="C280" s="32" t="s">
        <v>669</v>
      </c>
      <c r="D280" s="32" t="s">
        <v>184</v>
      </c>
      <c r="E280" s="32" t="s">
        <v>228</v>
      </c>
      <c r="F280" s="32" t="s">
        <v>291</v>
      </c>
      <c r="G280" s="32" t="s">
        <v>408</v>
      </c>
      <c r="H280" s="32" t="s">
        <v>490</v>
      </c>
    </row>
    <row r="281" ht="16.5" customHeight="1">
      <c r="A281" s="32">
        <v>277.0</v>
      </c>
      <c r="C281" s="32" t="s">
        <v>670</v>
      </c>
      <c r="D281" s="32" t="s">
        <v>184</v>
      </c>
      <c r="E281" s="32" t="s">
        <v>228</v>
      </c>
      <c r="F281" s="32" t="s">
        <v>291</v>
      </c>
      <c r="G281" s="32" t="s">
        <v>408</v>
      </c>
      <c r="H281" s="32" t="s">
        <v>671</v>
      </c>
    </row>
    <row r="282" ht="16.5" customHeight="1">
      <c r="A282" s="32">
        <v>278.0</v>
      </c>
      <c r="C282" s="32" t="s">
        <v>672</v>
      </c>
      <c r="D282" s="32" t="s">
        <v>184</v>
      </c>
      <c r="E282" s="32" t="s">
        <v>192</v>
      </c>
      <c r="F282" s="32" t="s">
        <v>291</v>
      </c>
    </row>
    <row r="283" ht="16.5" customHeight="1">
      <c r="A283" s="32">
        <v>279.0</v>
      </c>
      <c r="C283" s="32" t="s">
        <v>673</v>
      </c>
      <c r="D283" s="32" t="s">
        <v>184</v>
      </c>
      <c r="E283" s="32" t="s">
        <v>192</v>
      </c>
      <c r="F283" s="32" t="s">
        <v>291</v>
      </c>
      <c r="G283" s="32" t="s">
        <v>570</v>
      </c>
      <c r="H283" s="32" t="s">
        <v>447</v>
      </c>
    </row>
    <row r="284" ht="16.5" customHeight="1">
      <c r="A284" s="32">
        <v>280.0</v>
      </c>
      <c r="C284" s="32" t="s">
        <v>674</v>
      </c>
      <c r="D284" s="32" t="s">
        <v>184</v>
      </c>
      <c r="E284" s="32" t="s">
        <v>192</v>
      </c>
      <c r="F284" s="32" t="s">
        <v>291</v>
      </c>
    </row>
    <row r="285" ht="16.5" customHeight="1">
      <c r="A285" s="32">
        <v>281.0</v>
      </c>
      <c r="C285" s="32" t="s">
        <v>675</v>
      </c>
      <c r="D285" s="32" t="s">
        <v>184</v>
      </c>
      <c r="E285" s="32" t="s">
        <v>185</v>
      </c>
      <c r="F285" s="32" t="s">
        <v>291</v>
      </c>
      <c r="G285" s="32" t="s">
        <v>271</v>
      </c>
      <c r="H285" s="32" t="s">
        <v>676</v>
      </c>
    </row>
    <row r="286" ht="16.5" customHeight="1">
      <c r="A286" s="32">
        <v>282.0</v>
      </c>
      <c r="C286" s="32" t="s">
        <v>677</v>
      </c>
      <c r="D286" s="32" t="s">
        <v>184</v>
      </c>
      <c r="E286" s="32" t="s">
        <v>254</v>
      </c>
      <c r="F286" s="32" t="s">
        <v>291</v>
      </c>
      <c r="G286" s="32" t="s">
        <v>257</v>
      </c>
      <c r="H286" s="32" t="s">
        <v>256</v>
      </c>
    </row>
    <row r="287" ht="16.5" customHeight="1">
      <c r="A287" s="32">
        <v>283.0</v>
      </c>
      <c r="C287" s="32" t="s">
        <v>678</v>
      </c>
      <c r="D287" s="32" t="s">
        <v>184</v>
      </c>
      <c r="E287" s="32" t="s">
        <v>185</v>
      </c>
      <c r="F287" s="32" t="s">
        <v>291</v>
      </c>
      <c r="G287" s="32" t="s">
        <v>187</v>
      </c>
      <c r="H287" s="32" t="s">
        <v>679</v>
      </c>
    </row>
    <row r="288" ht="16.5" customHeight="1">
      <c r="A288" s="32">
        <v>284.0</v>
      </c>
      <c r="C288" s="32" t="s">
        <v>680</v>
      </c>
      <c r="D288" s="32" t="s">
        <v>184</v>
      </c>
      <c r="E288" s="32" t="s">
        <v>185</v>
      </c>
      <c r="F288" s="32" t="s">
        <v>291</v>
      </c>
      <c r="G288" s="32" t="s">
        <v>187</v>
      </c>
      <c r="H288" s="32" t="s">
        <v>590</v>
      </c>
    </row>
    <row r="289" ht="16.5" customHeight="1">
      <c r="A289" s="32">
        <v>285.0</v>
      </c>
      <c r="C289" s="32" t="s">
        <v>681</v>
      </c>
      <c r="D289" s="32" t="s">
        <v>184</v>
      </c>
      <c r="E289" s="32" t="s">
        <v>192</v>
      </c>
      <c r="F289" s="32" t="s">
        <v>291</v>
      </c>
      <c r="G289" s="32" t="s">
        <v>329</v>
      </c>
      <c r="H289" s="32" t="s">
        <v>447</v>
      </c>
    </row>
    <row r="290" ht="16.5" customHeight="1">
      <c r="A290" s="32">
        <v>286.0</v>
      </c>
      <c r="C290" s="32" t="s">
        <v>682</v>
      </c>
      <c r="D290" s="32" t="s">
        <v>184</v>
      </c>
      <c r="E290" s="32" t="s">
        <v>185</v>
      </c>
      <c r="F290" s="32" t="s">
        <v>291</v>
      </c>
      <c r="G290" s="32" t="s">
        <v>187</v>
      </c>
      <c r="H290" s="32" t="s">
        <v>683</v>
      </c>
    </row>
    <row r="291" ht="16.5" customHeight="1">
      <c r="A291" s="32">
        <v>287.0</v>
      </c>
      <c r="C291" s="32" t="s">
        <v>684</v>
      </c>
      <c r="D291" s="32" t="s">
        <v>184</v>
      </c>
      <c r="E291" s="32" t="s">
        <v>192</v>
      </c>
      <c r="F291" s="32" t="s">
        <v>291</v>
      </c>
      <c r="G291" s="32" t="s">
        <v>275</v>
      </c>
      <c r="H291" s="32" t="s">
        <v>685</v>
      </c>
    </row>
    <row r="292" ht="16.5" customHeight="1">
      <c r="A292" s="32">
        <v>288.0</v>
      </c>
      <c r="C292" s="32" t="s">
        <v>686</v>
      </c>
      <c r="D292" s="32" t="s">
        <v>184</v>
      </c>
      <c r="E292" s="32" t="s">
        <v>192</v>
      </c>
      <c r="F292" s="32" t="s">
        <v>291</v>
      </c>
      <c r="G292" s="32" t="s">
        <v>300</v>
      </c>
      <c r="H292" s="32" t="s">
        <v>687</v>
      </c>
    </row>
    <row r="293" ht="16.5" customHeight="1">
      <c r="A293" s="32">
        <v>289.0</v>
      </c>
      <c r="C293" s="32" t="s">
        <v>688</v>
      </c>
      <c r="D293" s="32" t="s">
        <v>184</v>
      </c>
      <c r="E293" s="32" t="s">
        <v>192</v>
      </c>
      <c r="F293" s="32" t="s">
        <v>291</v>
      </c>
      <c r="G293" s="32" t="s">
        <v>329</v>
      </c>
      <c r="H293" s="32" t="s">
        <v>457</v>
      </c>
    </row>
    <row r="294" ht="16.5" customHeight="1">
      <c r="A294" s="32">
        <v>290.0</v>
      </c>
      <c r="C294" s="32" t="s">
        <v>689</v>
      </c>
      <c r="D294" s="32" t="s">
        <v>184</v>
      </c>
      <c r="E294" s="32" t="s">
        <v>192</v>
      </c>
      <c r="F294" s="32" t="s">
        <v>291</v>
      </c>
      <c r="G294" s="32" t="s">
        <v>329</v>
      </c>
      <c r="H294" s="32" t="s">
        <v>457</v>
      </c>
    </row>
    <row r="295" ht="16.5" customHeight="1">
      <c r="A295" s="32">
        <v>291.0</v>
      </c>
      <c r="C295" s="32" t="s">
        <v>690</v>
      </c>
      <c r="D295" s="32" t="s">
        <v>184</v>
      </c>
      <c r="E295" s="35" t="s">
        <v>691</v>
      </c>
      <c r="F295" s="32" t="s">
        <v>291</v>
      </c>
    </row>
    <row r="296" ht="16.5" customHeight="1">
      <c r="A296" s="32">
        <v>292.0</v>
      </c>
      <c r="C296" s="32" t="s">
        <v>692</v>
      </c>
      <c r="D296" s="32" t="s">
        <v>184</v>
      </c>
      <c r="E296" s="35" t="s">
        <v>691</v>
      </c>
      <c r="F296" s="32" t="s">
        <v>291</v>
      </c>
    </row>
    <row r="297" ht="16.5" customHeight="1">
      <c r="A297" s="32">
        <v>293.0</v>
      </c>
      <c r="C297" s="32" t="s">
        <v>693</v>
      </c>
      <c r="D297" s="32" t="s">
        <v>184</v>
      </c>
      <c r="E297" s="32" t="s">
        <v>219</v>
      </c>
      <c r="F297" s="32" t="s">
        <v>291</v>
      </c>
      <c r="G297" s="32" t="s">
        <v>223</v>
      </c>
    </row>
    <row r="298" ht="16.5" customHeight="1">
      <c r="A298" s="32">
        <v>294.0</v>
      </c>
      <c r="C298" s="32" t="s">
        <v>694</v>
      </c>
      <c r="D298" s="32" t="s">
        <v>184</v>
      </c>
      <c r="E298" s="32" t="s">
        <v>254</v>
      </c>
      <c r="F298" s="32" t="s">
        <v>291</v>
      </c>
      <c r="G298" s="32" t="s">
        <v>257</v>
      </c>
      <c r="H298" s="32" t="s">
        <v>695</v>
      </c>
    </row>
    <row r="299" ht="16.5" customHeight="1">
      <c r="A299" s="32">
        <v>295.0</v>
      </c>
      <c r="C299" s="32" t="s">
        <v>696</v>
      </c>
      <c r="D299" s="32" t="s">
        <v>184</v>
      </c>
      <c r="E299" s="32" t="s">
        <v>254</v>
      </c>
      <c r="F299" s="32" t="s">
        <v>291</v>
      </c>
      <c r="G299" s="32" t="s">
        <v>257</v>
      </c>
      <c r="H299" s="32" t="s">
        <v>697</v>
      </c>
    </row>
    <row r="300" ht="16.5" customHeight="1">
      <c r="A300" s="32">
        <v>296.0</v>
      </c>
      <c r="C300" s="32" t="s">
        <v>698</v>
      </c>
      <c r="D300" s="32" t="s">
        <v>184</v>
      </c>
      <c r="E300" s="32" t="s">
        <v>254</v>
      </c>
      <c r="F300" s="32" t="s">
        <v>291</v>
      </c>
      <c r="G300" s="32" t="s">
        <v>257</v>
      </c>
      <c r="H300" s="32" t="s">
        <v>695</v>
      </c>
    </row>
    <row r="301" ht="16.5" customHeight="1">
      <c r="A301" s="32">
        <v>297.0</v>
      </c>
      <c r="C301" s="32" t="s">
        <v>699</v>
      </c>
      <c r="D301" s="32" t="s">
        <v>184</v>
      </c>
      <c r="E301" s="32" t="s">
        <v>254</v>
      </c>
      <c r="F301" s="32" t="s">
        <v>291</v>
      </c>
      <c r="G301" s="32" t="s">
        <v>257</v>
      </c>
      <c r="H301" s="32" t="s">
        <v>700</v>
      </c>
    </row>
    <row r="302" ht="16.5" customHeight="1">
      <c r="A302" s="32">
        <v>298.0</v>
      </c>
      <c r="C302" s="32" t="s">
        <v>701</v>
      </c>
      <c r="D302" s="32" t="s">
        <v>184</v>
      </c>
      <c r="E302" s="32" t="s">
        <v>254</v>
      </c>
      <c r="F302" s="32" t="s">
        <v>291</v>
      </c>
      <c r="G302" s="32" t="s">
        <v>257</v>
      </c>
      <c r="H302" s="32" t="s">
        <v>702</v>
      </c>
    </row>
    <row r="303" ht="16.5" customHeight="1">
      <c r="A303" s="32">
        <v>299.0</v>
      </c>
      <c r="C303" s="32" t="s">
        <v>703</v>
      </c>
      <c r="D303" s="32" t="s">
        <v>184</v>
      </c>
      <c r="E303" s="32" t="s">
        <v>228</v>
      </c>
      <c r="F303" s="32" t="s">
        <v>291</v>
      </c>
      <c r="G303" s="32" t="s">
        <v>229</v>
      </c>
      <c r="H303" s="32" t="s">
        <v>704</v>
      </c>
    </row>
    <row r="304" ht="16.5" customHeight="1">
      <c r="A304" s="32">
        <v>300.0</v>
      </c>
      <c r="C304" s="32" t="s">
        <v>705</v>
      </c>
      <c r="D304" s="32" t="s">
        <v>184</v>
      </c>
      <c r="E304" s="32" t="s">
        <v>325</v>
      </c>
      <c r="F304" s="32" t="s">
        <v>291</v>
      </c>
      <c r="G304" s="32" t="s">
        <v>368</v>
      </c>
      <c r="H304" s="32" t="s">
        <v>463</v>
      </c>
    </row>
    <row r="305" ht="16.5" customHeight="1">
      <c r="A305" s="32">
        <v>301.0</v>
      </c>
      <c r="C305" s="32" t="s">
        <v>706</v>
      </c>
      <c r="D305" s="32" t="s">
        <v>184</v>
      </c>
      <c r="E305" s="32" t="s">
        <v>325</v>
      </c>
      <c r="F305" s="32" t="s">
        <v>291</v>
      </c>
      <c r="G305" s="32" t="s">
        <v>368</v>
      </c>
      <c r="H305" s="32" t="s">
        <v>463</v>
      </c>
    </row>
    <row r="306" ht="16.5" customHeight="1">
      <c r="A306" s="32">
        <v>302.0</v>
      </c>
      <c r="C306" s="32" t="s">
        <v>707</v>
      </c>
      <c r="D306" s="32" t="s">
        <v>184</v>
      </c>
      <c r="E306" s="32" t="s">
        <v>192</v>
      </c>
      <c r="F306" s="32" t="s">
        <v>291</v>
      </c>
      <c r="G306" s="32" t="s">
        <v>300</v>
      </c>
      <c r="H306" s="32" t="s">
        <v>708</v>
      </c>
    </row>
    <row r="307" ht="16.5" customHeight="1">
      <c r="A307" s="32">
        <v>303.0</v>
      </c>
      <c r="C307" s="32" t="s">
        <v>709</v>
      </c>
      <c r="D307" s="32" t="s">
        <v>184</v>
      </c>
      <c r="E307" s="35" t="s">
        <v>310</v>
      </c>
      <c r="F307" s="32" t="s">
        <v>291</v>
      </c>
    </row>
    <row r="308" ht="16.5" customHeight="1">
      <c r="A308" s="32">
        <v>304.0</v>
      </c>
      <c r="C308" s="32" t="s">
        <v>710</v>
      </c>
      <c r="D308" s="32" t="s">
        <v>184</v>
      </c>
      <c r="E308" s="32" t="s">
        <v>254</v>
      </c>
      <c r="F308" s="32" t="s">
        <v>291</v>
      </c>
    </row>
    <row r="309" ht="16.5" customHeight="1">
      <c r="A309" s="32">
        <v>305.0</v>
      </c>
      <c r="C309" s="32" t="s">
        <v>711</v>
      </c>
      <c r="D309" s="32" t="s">
        <v>184</v>
      </c>
      <c r="E309" s="32" t="s">
        <v>254</v>
      </c>
      <c r="F309" s="32" t="s">
        <v>291</v>
      </c>
      <c r="G309" s="32" t="s">
        <v>256</v>
      </c>
      <c r="H309" s="32" t="s">
        <v>257</v>
      </c>
    </row>
    <row r="310" ht="16.5" customHeight="1">
      <c r="A310" s="32">
        <v>306.0</v>
      </c>
      <c r="C310" s="32" t="s">
        <v>712</v>
      </c>
      <c r="D310" s="32" t="s">
        <v>184</v>
      </c>
      <c r="E310" s="32" t="s">
        <v>228</v>
      </c>
      <c r="F310" s="32" t="s">
        <v>291</v>
      </c>
      <c r="G310" s="32" t="s">
        <v>544</v>
      </c>
      <c r="H310" s="32" t="s">
        <v>713</v>
      </c>
    </row>
    <row r="311" ht="16.5" customHeight="1">
      <c r="A311" s="32">
        <v>307.0</v>
      </c>
      <c r="C311" s="32" t="s">
        <v>714</v>
      </c>
      <c r="D311" s="32" t="s">
        <v>184</v>
      </c>
      <c r="E311" s="32" t="s">
        <v>228</v>
      </c>
      <c r="F311" s="32" t="s">
        <v>291</v>
      </c>
      <c r="G311" s="32" t="s">
        <v>544</v>
      </c>
      <c r="H311" s="32" t="s">
        <v>715</v>
      </c>
    </row>
    <row r="312" ht="16.5" customHeight="1">
      <c r="A312" s="32">
        <v>308.0</v>
      </c>
      <c r="C312" s="32" t="s">
        <v>716</v>
      </c>
      <c r="D312" s="32" t="s">
        <v>184</v>
      </c>
      <c r="E312" s="32" t="s">
        <v>192</v>
      </c>
      <c r="F312" s="32" t="s">
        <v>291</v>
      </c>
      <c r="G312" s="32" t="s">
        <v>661</v>
      </c>
    </row>
    <row r="313" ht="16.5" customHeight="1">
      <c r="A313" s="32">
        <v>309.0</v>
      </c>
      <c r="C313" s="32" t="s">
        <v>717</v>
      </c>
      <c r="D313" s="32" t="s">
        <v>184</v>
      </c>
      <c r="E313" s="32" t="s">
        <v>254</v>
      </c>
      <c r="F313" s="32" t="s">
        <v>291</v>
      </c>
      <c r="G313" s="32" t="s">
        <v>305</v>
      </c>
      <c r="H313" s="32" t="s">
        <v>317</v>
      </c>
    </row>
    <row r="314" ht="16.5" customHeight="1">
      <c r="A314" s="32">
        <v>310.0</v>
      </c>
      <c r="C314" s="32" t="s">
        <v>718</v>
      </c>
      <c r="D314" s="32" t="s">
        <v>184</v>
      </c>
      <c r="E314" s="32" t="s">
        <v>254</v>
      </c>
      <c r="F314" s="32" t="s">
        <v>291</v>
      </c>
      <c r="G314" s="32" t="s">
        <v>257</v>
      </c>
    </row>
    <row r="315" ht="16.5" customHeight="1">
      <c r="A315" s="32">
        <v>311.0</v>
      </c>
      <c r="C315" s="32" t="s">
        <v>719</v>
      </c>
      <c r="D315" s="32" t="s">
        <v>184</v>
      </c>
      <c r="E315" s="32" t="s">
        <v>214</v>
      </c>
      <c r="F315" s="32" t="s">
        <v>291</v>
      </c>
      <c r="G315" s="32" t="s">
        <v>720</v>
      </c>
    </row>
    <row r="316" ht="16.5" customHeight="1">
      <c r="A316" s="32">
        <v>312.0</v>
      </c>
      <c r="C316" s="32" t="s">
        <v>721</v>
      </c>
      <c r="D316" s="32" t="s">
        <v>184</v>
      </c>
      <c r="E316" s="32" t="s">
        <v>228</v>
      </c>
      <c r="F316" s="32" t="s">
        <v>291</v>
      </c>
      <c r="G316" s="32" t="s">
        <v>544</v>
      </c>
      <c r="H316" s="32" t="s">
        <v>722</v>
      </c>
    </row>
    <row r="317" ht="16.5" customHeight="1">
      <c r="A317" s="32">
        <v>313.0</v>
      </c>
      <c r="C317" s="32" t="s">
        <v>723</v>
      </c>
      <c r="D317" s="32" t="s">
        <v>184</v>
      </c>
      <c r="E317" s="32" t="s">
        <v>285</v>
      </c>
      <c r="F317" s="32" t="s">
        <v>291</v>
      </c>
      <c r="G317" s="32" t="s">
        <v>188</v>
      </c>
      <c r="H317" s="32" t="s">
        <v>187</v>
      </c>
    </row>
    <row r="318" ht="16.5" customHeight="1">
      <c r="A318" s="32">
        <v>314.0</v>
      </c>
      <c r="C318" s="32" t="s">
        <v>724</v>
      </c>
      <c r="D318" s="32" t="s">
        <v>184</v>
      </c>
      <c r="E318" s="32" t="s">
        <v>285</v>
      </c>
      <c r="F318" s="32" t="s">
        <v>291</v>
      </c>
    </row>
    <row r="319" ht="16.5" customHeight="1">
      <c r="A319" s="32">
        <v>315.0</v>
      </c>
      <c r="C319" s="32" t="s">
        <v>725</v>
      </c>
      <c r="D319" s="32" t="s">
        <v>184</v>
      </c>
      <c r="E319" s="32" t="s">
        <v>254</v>
      </c>
      <c r="F319" s="32" t="s">
        <v>291</v>
      </c>
    </row>
    <row r="320" ht="16.5" customHeight="1">
      <c r="A320" s="32">
        <v>316.0</v>
      </c>
      <c r="C320" s="32" t="s">
        <v>726</v>
      </c>
      <c r="D320" s="32" t="s">
        <v>184</v>
      </c>
      <c r="E320" s="32" t="s">
        <v>254</v>
      </c>
      <c r="F320" s="32" t="s">
        <v>727</v>
      </c>
      <c r="G320" s="32" t="s">
        <v>728</v>
      </c>
      <c r="H320" s="32" t="s">
        <v>729</v>
      </c>
    </row>
    <row r="321" ht="16.5" customHeight="1">
      <c r="A321" s="32">
        <v>317.0</v>
      </c>
      <c r="C321" s="32" t="s">
        <v>730</v>
      </c>
      <c r="D321" s="32" t="s">
        <v>184</v>
      </c>
      <c r="E321" s="32" t="s">
        <v>228</v>
      </c>
      <c r="F321" s="32" t="s">
        <v>727</v>
      </c>
      <c r="G321" s="32" t="s">
        <v>408</v>
      </c>
      <c r="H321" s="32" t="s">
        <v>731</v>
      </c>
    </row>
    <row r="322" ht="16.5" customHeight="1">
      <c r="A322" s="32">
        <v>318.0</v>
      </c>
      <c r="C322" s="32" t="s">
        <v>732</v>
      </c>
      <c r="D322" s="32" t="s">
        <v>184</v>
      </c>
      <c r="E322" s="32" t="s">
        <v>192</v>
      </c>
      <c r="F322" s="32" t="s">
        <v>727</v>
      </c>
      <c r="G322" s="32" t="s">
        <v>329</v>
      </c>
      <c r="H322" s="32" t="s">
        <v>447</v>
      </c>
    </row>
    <row r="323" ht="16.5" customHeight="1">
      <c r="A323" s="32">
        <v>319.0</v>
      </c>
      <c r="C323" s="32" t="s">
        <v>733</v>
      </c>
      <c r="D323" s="32" t="s">
        <v>184</v>
      </c>
      <c r="E323" s="32" t="s">
        <v>254</v>
      </c>
      <c r="F323" s="32" t="s">
        <v>727</v>
      </c>
      <c r="G323" s="32" t="s">
        <v>257</v>
      </c>
      <c r="H323" s="32" t="s">
        <v>734</v>
      </c>
    </row>
    <row r="324" ht="16.5" customHeight="1">
      <c r="A324" s="32">
        <v>320.0</v>
      </c>
      <c r="C324" s="32" t="s">
        <v>735</v>
      </c>
      <c r="D324" s="32" t="s">
        <v>184</v>
      </c>
      <c r="E324" s="32" t="s">
        <v>234</v>
      </c>
      <c r="F324" s="32" t="s">
        <v>727</v>
      </c>
      <c r="G324" s="32" t="s">
        <v>415</v>
      </c>
      <c r="H324" s="32" t="s">
        <v>243</v>
      </c>
    </row>
    <row r="325" ht="16.5" customHeight="1">
      <c r="A325" s="32">
        <v>321.0</v>
      </c>
      <c r="C325" s="32" t="s">
        <v>736</v>
      </c>
      <c r="D325" s="32" t="s">
        <v>184</v>
      </c>
      <c r="E325" s="32" t="s">
        <v>185</v>
      </c>
      <c r="F325" s="32" t="s">
        <v>727</v>
      </c>
      <c r="G325" s="32" t="s">
        <v>187</v>
      </c>
      <c r="H325" s="32" t="s">
        <v>188</v>
      </c>
    </row>
    <row r="326" ht="16.5" customHeight="1">
      <c r="A326" s="32">
        <v>322.0</v>
      </c>
      <c r="C326" s="32" t="s">
        <v>737</v>
      </c>
      <c r="D326" s="32" t="s">
        <v>184</v>
      </c>
      <c r="E326" s="32" t="s">
        <v>285</v>
      </c>
      <c r="F326" s="32" t="s">
        <v>727</v>
      </c>
      <c r="G326" s="32" t="s">
        <v>189</v>
      </c>
      <c r="H326" s="32" t="s">
        <v>305</v>
      </c>
    </row>
    <row r="327" ht="16.5" customHeight="1">
      <c r="A327" s="32">
        <v>323.0</v>
      </c>
      <c r="C327" s="32" t="s">
        <v>738</v>
      </c>
      <c r="D327" s="32" t="s">
        <v>184</v>
      </c>
      <c r="E327" s="32" t="s">
        <v>219</v>
      </c>
      <c r="F327" s="32" t="s">
        <v>727</v>
      </c>
      <c r="G327" s="32" t="s">
        <v>223</v>
      </c>
    </row>
    <row r="328" ht="16.5" customHeight="1">
      <c r="A328" s="32">
        <v>324.0</v>
      </c>
      <c r="C328" s="32" t="s">
        <v>739</v>
      </c>
      <c r="D328" s="32" t="s">
        <v>184</v>
      </c>
      <c r="E328" s="35" t="s">
        <v>740</v>
      </c>
      <c r="F328" s="32" t="s">
        <v>727</v>
      </c>
      <c r="G328" s="32" t="s">
        <v>741</v>
      </c>
      <c r="H328" s="32" t="s">
        <v>626</v>
      </c>
    </row>
    <row r="329" ht="16.5" customHeight="1">
      <c r="A329" s="32">
        <v>325.0</v>
      </c>
      <c r="C329" s="32" t="s">
        <v>742</v>
      </c>
      <c r="D329" s="32" t="s">
        <v>184</v>
      </c>
      <c r="E329" s="32" t="s">
        <v>185</v>
      </c>
      <c r="F329" s="32" t="s">
        <v>727</v>
      </c>
      <c r="G329" s="32" t="s">
        <v>267</v>
      </c>
      <c r="H329" s="32" t="s">
        <v>188</v>
      </c>
    </row>
    <row r="330" ht="16.5" customHeight="1">
      <c r="A330" s="32">
        <v>326.0</v>
      </c>
      <c r="C330" s="32" t="s">
        <v>743</v>
      </c>
      <c r="D330" s="32" t="s">
        <v>184</v>
      </c>
      <c r="E330" s="32" t="s">
        <v>228</v>
      </c>
      <c r="F330" s="32" t="s">
        <v>727</v>
      </c>
      <c r="G330" s="32" t="s">
        <v>408</v>
      </c>
      <c r="H330" s="32" t="s">
        <v>731</v>
      </c>
    </row>
    <row r="331" ht="16.5" customHeight="1">
      <c r="A331" s="32">
        <v>327.0</v>
      </c>
      <c r="C331" s="32" t="s">
        <v>744</v>
      </c>
      <c r="D331" s="32" t="s">
        <v>184</v>
      </c>
      <c r="E331" s="32" t="s">
        <v>285</v>
      </c>
      <c r="F331" s="32" t="s">
        <v>727</v>
      </c>
      <c r="G331" s="32" t="s">
        <v>189</v>
      </c>
      <c r="H331" s="32" t="s">
        <v>190</v>
      </c>
    </row>
    <row r="332" ht="16.5" customHeight="1">
      <c r="A332" s="32">
        <v>328.0</v>
      </c>
      <c r="C332" s="32" t="s">
        <v>745</v>
      </c>
      <c r="D332" s="32" t="s">
        <v>184</v>
      </c>
      <c r="E332" s="32" t="s">
        <v>285</v>
      </c>
      <c r="F332" s="32" t="s">
        <v>727</v>
      </c>
      <c r="G332" s="32" t="s">
        <v>189</v>
      </c>
      <c r="H332" s="32" t="s">
        <v>190</v>
      </c>
    </row>
    <row r="333" ht="16.5" customHeight="1">
      <c r="A333" s="32">
        <v>329.0</v>
      </c>
      <c r="C333" s="32" t="s">
        <v>746</v>
      </c>
      <c r="D333" s="32" t="s">
        <v>184</v>
      </c>
      <c r="E333" s="32" t="s">
        <v>228</v>
      </c>
      <c r="F333" s="32" t="s">
        <v>727</v>
      </c>
      <c r="G333" s="32" t="s">
        <v>229</v>
      </c>
      <c r="H333" s="32" t="s">
        <v>230</v>
      </c>
    </row>
    <row r="334" ht="16.5" customHeight="1">
      <c r="A334" s="32">
        <v>330.0</v>
      </c>
      <c r="C334" s="32" t="s">
        <v>747</v>
      </c>
      <c r="D334" s="32" t="s">
        <v>184</v>
      </c>
      <c r="E334" s="32" t="s">
        <v>254</v>
      </c>
      <c r="F334" s="32" t="s">
        <v>727</v>
      </c>
      <c r="G334" s="32" t="s">
        <v>257</v>
      </c>
    </row>
    <row r="335" ht="16.5" customHeight="1">
      <c r="A335" s="32">
        <v>331.0</v>
      </c>
      <c r="C335" s="32" t="s">
        <v>748</v>
      </c>
      <c r="D335" s="32" t="s">
        <v>184</v>
      </c>
      <c r="E335" s="32" t="s">
        <v>228</v>
      </c>
      <c r="F335" s="32" t="s">
        <v>727</v>
      </c>
      <c r="G335" s="32" t="s">
        <v>544</v>
      </c>
      <c r="H335" s="32" t="s">
        <v>713</v>
      </c>
    </row>
    <row r="336" ht="16.5" customHeight="1">
      <c r="A336" s="32">
        <v>332.0</v>
      </c>
      <c r="C336" s="32" t="s">
        <v>749</v>
      </c>
      <c r="D336" s="32" t="s">
        <v>184</v>
      </c>
      <c r="E336" s="32" t="s">
        <v>219</v>
      </c>
      <c r="F336" s="32" t="s">
        <v>727</v>
      </c>
      <c r="G336" s="32" t="s">
        <v>223</v>
      </c>
    </row>
    <row r="337" ht="16.5" customHeight="1">
      <c r="A337" s="32">
        <v>333.0</v>
      </c>
      <c r="C337" s="32" t="s">
        <v>750</v>
      </c>
      <c r="D337" s="32" t="s">
        <v>184</v>
      </c>
      <c r="E337" s="32" t="s">
        <v>185</v>
      </c>
      <c r="F337" s="32" t="s">
        <v>727</v>
      </c>
      <c r="G337" s="32" t="s">
        <v>751</v>
      </c>
      <c r="H337" s="32" t="s">
        <v>752</v>
      </c>
    </row>
    <row r="338" ht="16.5" customHeight="1">
      <c r="A338" s="32">
        <v>334.0</v>
      </c>
      <c r="C338" s="32" t="s">
        <v>753</v>
      </c>
      <c r="D338" s="32" t="s">
        <v>184</v>
      </c>
      <c r="E338" s="32" t="s">
        <v>219</v>
      </c>
      <c r="F338" s="32" t="s">
        <v>255</v>
      </c>
    </row>
    <row r="339" ht="16.5" customHeight="1">
      <c r="A339" s="32">
        <v>335.0</v>
      </c>
      <c r="C339" s="32" t="s">
        <v>754</v>
      </c>
      <c r="D339" s="32" t="s">
        <v>184</v>
      </c>
      <c r="E339" s="32" t="s">
        <v>219</v>
      </c>
      <c r="F339" s="32" t="s">
        <v>255</v>
      </c>
    </row>
    <row r="340" ht="16.5" customHeight="1">
      <c r="A340" s="32">
        <v>336.0</v>
      </c>
      <c r="C340" s="32" t="s">
        <v>755</v>
      </c>
      <c r="D340" s="32" t="s">
        <v>184</v>
      </c>
      <c r="E340" s="32" t="s">
        <v>219</v>
      </c>
      <c r="F340" s="32" t="s">
        <v>186</v>
      </c>
      <c r="G340" s="32" t="s">
        <v>241</v>
      </c>
      <c r="H340" s="32" t="s">
        <v>292</v>
      </c>
    </row>
    <row r="341" ht="16.5" customHeight="1">
      <c r="A341" s="32">
        <v>337.0</v>
      </c>
      <c r="C341" s="32" t="s">
        <v>756</v>
      </c>
      <c r="D341" s="32" t="s">
        <v>184</v>
      </c>
      <c r="E341" s="32" t="s">
        <v>285</v>
      </c>
      <c r="F341" s="32" t="s">
        <v>186</v>
      </c>
    </row>
    <row r="342" ht="16.5" customHeight="1">
      <c r="A342" s="32">
        <v>338.0</v>
      </c>
      <c r="C342" s="32" t="s">
        <v>237</v>
      </c>
      <c r="D342" s="32" t="s">
        <v>184</v>
      </c>
      <c r="E342" s="32" t="s">
        <v>192</v>
      </c>
      <c r="F342" s="32" t="s">
        <v>186</v>
      </c>
      <c r="G342" s="32" t="s">
        <v>238</v>
      </c>
      <c r="H342" s="32" t="s">
        <v>239</v>
      </c>
    </row>
    <row r="343" ht="16.5" customHeight="1">
      <c r="A343" s="32">
        <v>339.0</v>
      </c>
      <c r="C343" s="32" t="s">
        <v>757</v>
      </c>
      <c r="D343" s="32" t="s">
        <v>184</v>
      </c>
      <c r="E343" s="32" t="s">
        <v>185</v>
      </c>
      <c r="F343" s="32" t="s">
        <v>186</v>
      </c>
    </row>
    <row r="344" ht="16.5" customHeight="1">
      <c r="A344" s="32">
        <v>340.0</v>
      </c>
      <c r="C344" s="32" t="s">
        <v>758</v>
      </c>
      <c r="D344" s="32" t="s">
        <v>184</v>
      </c>
      <c r="E344" s="32" t="s">
        <v>285</v>
      </c>
      <c r="F344" s="32" t="s">
        <v>186</v>
      </c>
    </row>
    <row r="345" ht="16.5" customHeight="1">
      <c r="A345" s="32">
        <v>341.0</v>
      </c>
      <c r="C345" s="32" t="s">
        <v>759</v>
      </c>
      <c r="D345" s="32" t="s">
        <v>184</v>
      </c>
      <c r="E345" s="32" t="s">
        <v>185</v>
      </c>
      <c r="F345" s="32" t="s">
        <v>186</v>
      </c>
    </row>
    <row r="346" ht="16.5" customHeight="1">
      <c r="A346" s="32">
        <v>342.0</v>
      </c>
      <c r="C346" s="32" t="s">
        <v>760</v>
      </c>
      <c r="D346" s="32" t="s">
        <v>184</v>
      </c>
      <c r="E346" s="35" t="s">
        <v>294</v>
      </c>
      <c r="F346" s="32" t="s">
        <v>186</v>
      </c>
      <c r="G346" s="32" t="s">
        <v>189</v>
      </c>
      <c r="H346" s="32" t="s">
        <v>190</v>
      </c>
    </row>
    <row r="347" ht="16.5" customHeight="1">
      <c r="A347" s="32">
        <v>343.0</v>
      </c>
      <c r="C347" s="32" t="s">
        <v>761</v>
      </c>
      <c r="D347" s="32" t="s">
        <v>184</v>
      </c>
      <c r="E347" s="32" t="s">
        <v>185</v>
      </c>
      <c r="F347" s="32" t="s">
        <v>186</v>
      </c>
    </row>
    <row r="348" ht="16.5" customHeight="1">
      <c r="A348" s="32">
        <v>344.0</v>
      </c>
      <c r="C348" s="32" t="s">
        <v>240</v>
      </c>
      <c r="D348" s="32" t="s">
        <v>184</v>
      </c>
      <c r="E348" s="32" t="s">
        <v>214</v>
      </c>
      <c r="F348" s="32" t="s">
        <v>186</v>
      </c>
    </row>
    <row r="349" ht="16.5" customHeight="1">
      <c r="A349" s="32">
        <v>345.0</v>
      </c>
      <c r="C349" s="32" t="s">
        <v>762</v>
      </c>
      <c r="D349" s="32" t="s">
        <v>184</v>
      </c>
      <c r="E349" s="32" t="s">
        <v>185</v>
      </c>
      <c r="F349" s="32" t="s">
        <v>186</v>
      </c>
    </row>
    <row r="350" ht="16.5" customHeight="1">
      <c r="A350" s="32">
        <v>346.0</v>
      </c>
      <c r="C350" s="32" t="s">
        <v>763</v>
      </c>
      <c r="D350" s="32" t="s">
        <v>184</v>
      </c>
      <c r="E350" s="32" t="s">
        <v>764</v>
      </c>
      <c r="F350" s="32" t="s">
        <v>186</v>
      </c>
      <c r="G350" s="32" t="s">
        <v>229</v>
      </c>
      <c r="H350" s="32" t="s">
        <v>230</v>
      </c>
    </row>
    <row r="351" ht="16.5" customHeight="1">
      <c r="A351" s="32">
        <v>347.0</v>
      </c>
      <c r="C351" s="32" t="s">
        <v>765</v>
      </c>
      <c r="D351" s="32" t="s">
        <v>184</v>
      </c>
      <c r="E351" s="32" t="s">
        <v>192</v>
      </c>
      <c r="F351" s="32" t="s">
        <v>186</v>
      </c>
      <c r="G351" s="32" t="s">
        <v>238</v>
      </c>
      <c r="H351" s="32" t="s">
        <v>239</v>
      </c>
    </row>
    <row r="352" ht="16.5" customHeight="1">
      <c r="A352" s="32">
        <v>348.0</v>
      </c>
      <c r="C352" s="32" t="s">
        <v>766</v>
      </c>
      <c r="D352" s="32" t="s">
        <v>184</v>
      </c>
      <c r="E352" s="32" t="s">
        <v>285</v>
      </c>
      <c r="F352" s="32" t="s">
        <v>186</v>
      </c>
      <c r="G352" s="32" t="s">
        <v>552</v>
      </c>
      <c r="H352" s="32" t="s">
        <v>190</v>
      </c>
    </row>
    <row r="353" ht="16.5" customHeight="1">
      <c r="A353" s="32">
        <v>349.0</v>
      </c>
      <c r="C353" s="32" t="s">
        <v>767</v>
      </c>
      <c r="D353" s="32" t="s">
        <v>184</v>
      </c>
      <c r="E353" s="35" t="s">
        <v>294</v>
      </c>
      <c r="F353" s="32" t="s">
        <v>186</v>
      </c>
    </row>
    <row r="354" ht="16.5" customHeight="1">
      <c r="A354" s="32">
        <v>350.0</v>
      </c>
      <c r="C354" s="32" t="s">
        <v>768</v>
      </c>
      <c r="D354" s="32" t="s">
        <v>184</v>
      </c>
      <c r="E354" s="32" t="s">
        <v>234</v>
      </c>
      <c r="F354" s="32" t="s">
        <v>186</v>
      </c>
      <c r="G354" s="32" t="s">
        <v>347</v>
      </c>
      <c r="H354" s="32" t="s">
        <v>382</v>
      </c>
    </row>
    <row r="355" ht="16.5" customHeight="1">
      <c r="A355" s="32">
        <v>351.0</v>
      </c>
      <c r="C355" s="32" t="s">
        <v>769</v>
      </c>
      <c r="D355" s="32" t="s">
        <v>184</v>
      </c>
      <c r="E355" s="32" t="s">
        <v>234</v>
      </c>
      <c r="F355" s="32" t="s">
        <v>186</v>
      </c>
      <c r="G355" s="32" t="s">
        <v>235</v>
      </c>
      <c r="H355" s="32" t="s">
        <v>243</v>
      </c>
    </row>
    <row r="356" ht="16.5" customHeight="1">
      <c r="A356" s="32">
        <v>352.0</v>
      </c>
      <c r="C356" s="32" t="s">
        <v>770</v>
      </c>
      <c r="D356" s="32" t="s">
        <v>184</v>
      </c>
      <c r="E356" s="32" t="s">
        <v>234</v>
      </c>
      <c r="F356" s="32" t="s">
        <v>186</v>
      </c>
      <c r="G356" s="32" t="s">
        <v>235</v>
      </c>
      <c r="H356" s="32" t="s">
        <v>243</v>
      </c>
    </row>
    <row r="357" ht="16.5" customHeight="1">
      <c r="A357" s="32">
        <v>353.0</v>
      </c>
      <c r="C357" s="32" t="s">
        <v>771</v>
      </c>
      <c r="D357" s="32" t="s">
        <v>184</v>
      </c>
      <c r="E357" s="32" t="s">
        <v>234</v>
      </c>
      <c r="F357" s="32" t="s">
        <v>186</v>
      </c>
      <c r="G357" s="32" t="s">
        <v>235</v>
      </c>
      <c r="H357" s="32" t="s">
        <v>243</v>
      </c>
    </row>
    <row r="358" ht="16.5" customHeight="1">
      <c r="A358" s="32">
        <v>354.0</v>
      </c>
      <c r="C358" s="32" t="s">
        <v>772</v>
      </c>
      <c r="D358" s="32" t="s">
        <v>184</v>
      </c>
      <c r="E358" s="32" t="s">
        <v>234</v>
      </c>
      <c r="F358" s="32" t="s">
        <v>186</v>
      </c>
    </row>
    <row r="359" ht="16.5" customHeight="1">
      <c r="A359" s="32">
        <v>355.0</v>
      </c>
      <c r="C359" s="32" t="s">
        <v>773</v>
      </c>
      <c r="D359" s="32" t="s">
        <v>184</v>
      </c>
      <c r="E359" s="32" t="s">
        <v>234</v>
      </c>
      <c r="F359" s="32" t="s">
        <v>186</v>
      </c>
    </row>
    <row r="360" ht="16.5" customHeight="1">
      <c r="A360" s="32">
        <v>356.0</v>
      </c>
      <c r="C360" s="32" t="s">
        <v>774</v>
      </c>
      <c r="D360" s="32" t="s">
        <v>184</v>
      </c>
      <c r="E360" s="32" t="s">
        <v>234</v>
      </c>
      <c r="F360" s="32" t="s">
        <v>186</v>
      </c>
    </row>
    <row r="361" ht="16.5" customHeight="1">
      <c r="A361" s="32">
        <v>357.0</v>
      </c>
      <c r="C361" s="32" t="s">
        <v>775</v>
      </c>
      <c r="D361" s="32" t="s">
        <v>184</v>
      </c>
      <c r="E361" s="32" t="s">
        <v>234</v>
      </c>
      <c r="F361" s="32" t="s">
        <v>186</v>
      </c>
    </row>
    <row r="362" ht="16.5" customHeight="1">
      <c r="A362" s="32">
        <v>358.0</v>
      </c>
      <c r="C362" s="32" t="s">
        <v>776</v>
      </c>
      <c r="D362" s="32" t="s">
        <v>184</v>
      </c>
      <c r="E362" s="32" t="s">
        <v>234</v>
      </c>
      <c r="F362" s="32" t="s">
        <v>186</v>
      </c>
    </row>
    <row r="363" ht="16.5" customHeight="1">
      <c r="A363" s="32">
        <v>359.0</v>
      </c>
      <c r="C363" s="32" t="s">
        <v>777</v>
      </c>
      <c r="D363" s="32" t="s">
        <v>184</v>
      </c>
      <c r="E363" s="32" t="s">
        <v>185</v>
      </c>
      <c r="F363" s="32" t="s">
        <v>186</v>
      </c>
      <c r="G363" s="32" t="s">
        <v>552</v>
      </c>
      <c r="H363" s="32" t="s">
        <v>190</v>
      </c>
    </row>
    <row r="364" ht="16.5" customHeight="1">
      <c r="A364" s="32">
        <v>360.0</v>
      </c>
      <c r="C364" s="32" t="s">
        <v>778</v>
      </c>
      <c r="D364" s="32" t="s">
        <v>184</v>
      </c>
      <c r="E364" s="35" t="s">
        <v>294</v>
      </c>
      <c r="F364" s="32" t="s">
        <v>186</v>
      </c>
      <c r="G364" s="32" t="s">
        <v>189</v>
      </c>
      <c r="H364" s="32" t="s">
        <v>190</v>
      </c>
    </row>
    <row r="365" ht="16.5" customHeight="1">
      <c r="A365" s="32">
        <v>361.0</v>
      </c>
      <c r="C365" s="32" t="s">
        <v>779</v>
      </c>
      <c r="D365" s="32" t="s">
        <v>184</v>
      </c>
      <c r="E365" s="32" t="s">
        <v>285</v>
      </c>
      <c r="F365" s="32" t="s">
        <v>186</v>
      </c>
    </row>
    <row r="366" ht="16.5" customHeight="1">
      <c r="A366" s="32">
        <v>362.0</v>
      </c>
      <c r="C366" s="32" t="s">
        <v>780</v>
      </c>
      <c r="D366" s="32" t="s">
        <v>184</v>
      </c>
      <c r="E366" s="32" t="s">
        <v>192</v>
      </c>
      <c r="F366" s="32" t="s">
        <v>186</v>
      </c>
      <c r="G366" s="32" t="s">
        <v>300</v>
      </c>
      <c r="H366" s="32" t="s">
        <v>781</v>
      </c>
    </row>
    <row r="367" ht="16.5" customHeight="1">
      <c r="A367" s="32">
        <v>363.0</v>
      </c>
      <c r="C367" s="32" t="s">
        <v>782</v>
      </c>
      <c r="D367" s="32" t="s">
        <v>184</v>
      </c>
      <c r="E367" s="32" t="s">
        <v>192</v>
      </c>
      <c r="F367" s="32" t="s">
        <v>186</v>
      </c>
      <c r="G367" s="32" t="s">
        <v>570</v>
      </c>
      <c r="H367" s="32" t="s">
        <v>447</v>
      </c>
    </row>
    <row r="368" ht="16.5" customHeight="1">
      <c r="A368" s="32">
        <v>364.0</v>
      </c>
      <c r="C368" s="32" t="s">
        <v>783</v>
      </c>
      <c r="D368" s="32" t="s">
        <v>184</v>
      </c>
      <c r="E368" s="32" t="s">
        <v>192</v>
      </c>
      <c r="F368" s="32" t="s">
        <v>186</v>
      </c>
      <c r="G368" s="32" t="s">
        <v>570</v>
      </c>
      <c r="H368" s="32" t="s">
        <v>447</v>
      </c>
    </row>
    <row r="369" ht="16.5" customHeight="1">
      <c r="A369" s="32">
        <v>365.0</v>
      </c>
      <c r="C369" s="32" t="s">
        <v>784</v>
      </c>
      <c r="D369" s="32" t="s">
        <v>184</v>
      </c>
      <c r="E369" s="32" t="s">
        <v>192</v>
      </c>
      <c r="F369" s="32" t="s">
        <v>186</v>
      </c>
      <c r="G369" s="32" t="s">
        <v>329</v>
      </c>
      <c r="H369" s="32" t="s">
        <v>447</v>
      </c>
    </row>
    <row r="370" ht="16.5" customHeight="1">
      <c r="A370" s="32">
        <v>366.0</v>
      </c>
      <c r="C370" s="32" t="s">
        <v>785</v>
      </c>
      <c r="D370" s="32" t="s">
        <v>184</v>
      </c>
      <c r="E370" s="32" t="s">
        <v>192</v>
      </c>
      <c r="F370" s="32" t="s">
        <v>186</v>
      </c>
      <c r="G370" s="32" t="s">
        <v>329</v>
      </c>
      <c r="H370" s="32" t="s">
        <v>447</v>
      </c>
    </row>
    <row r="371" ht="16.5" customHeight="1">
      <c r="A371" s="32">
        <v>367.0</v>
      </c>
      <c r="C371" s="32" t="s">
        <v>786</v>
      </c>
      <c r="D371" s="32" t="s">
        <v>184</v>
      </c>
      <c r="E371" s="32" t="s">
        <v>192</v>
      </c>
      <c r="F371" s="32" t="s">
        <v>186</v>
      </c>
      <c r="G371" s="32" t="s">
        <v>329</v>
      </c>
      <c r="H371" s="32" t="s">
        <v>447</v>
      </c>
    </row>
    <row r="372" ht="16.5" customHeight="1">
      <c r="A372" s="32">
        <v>368.0</v>
      </c>
      <c r="C372" s="32" t="s">
        <v>787</v>
      </c>
      <c r="D372" s="32" t="s">
        <v>184</v>
      </c>
      <c r="E372" s="32" t="s">
        <v>219</v>
      </c>
      <c r="F372" s="32" t="s">
        <v>186</v>
      </c>
      <c r="G372" s="32" t="s">
        <v>241</v>
      </c>
      <c r="H372" s="32" t="s">
        <v>292</v>
      </c>
    </row>
    <row r="373" ht="16.5" customHeight="1">
      <c r="A373" s="32">
        <v>369.0</v>
      </c>
      <c r="C373" s="32" t="s">
        <v>788</v>
      </c>
      <c r="D373" s="32" t="s">
        <v>184</v>
      </c>
      <c r="E373" s="32" t="s">
        <v>185</v>
      </c>
      <c r="F373" s="32" t="s">
        <v>186</v>
      </c>
      <c r="G373" s="32" t="s">
        <v>189</v>
      </c>
      <c r="H373" s="32" t="s">
        <v>190</v>
      </c>
    </row>
    <row r="374" ht="16.5" customHeight="1">
      <c r="A374" s="32">
        <v>370.0</v>
      </c>
      <c r="C374" s="32" t="s">
        <v>789</v>
      </c>
      <c r="D374" s="32" t="s">
        <v>184</v>
      </c>
      <c r="E374" s="32" t="s">
        <v>234</v>
      </c>
      <c r="F374" s="35" t="s">
        <v>790</v>
      </c>
      <c r="G374" s="32" t="s">
        <v>235</v>
      </c>
      <c r="H374" s="32" t="s">
        <v>243</v>
      </c>
    </row>
    <row r="375" ht="16.5" customHeight="1">
      <c r="A375" s="32">
        <v>371.0</v>
      </c>
      <c r="C375" s="32" t="s">
        <v>791</v>
      </c>
      <c r="D375" s="32" t="s">
        <v>184</v>
      </c>
      <c r="E375" s="32" t="s">
        <v>764</v>
      </c>
      <c r="F375" s="32" t="s">
        <v>186</v>
      </c>
    </row>
    <row r="376" ht="16.5" customHeight="1">
      <c r="A376" s="32">
        <v>372.0</v>
      </c>
      <c r="C376" s="32" t="s">
        <v>792</v>
      </c>
      <c r="D376" s="32" t="s">
        <v>184</v>
      </c>
      <c r="E376" s="32" t="s">
        <v>228</v>
      </c>
      <c r="F376" s="32" t="s">
        <v>186</v>
      </c>
      <c r="G376" s="32" t="s">
        <v>793</v>
      </c>
    </row>
    <row r="377" ht="16.5" customHeight="1">
      <c r="A377" s="32">
        <v>373.0</v>
      </c>
      <c r="C377" s="32" t="s">
        <v>794</v>
      </c>
      <c r="D377" s="32" t="s">
        <v>184</v>
      </c>
      <c r="E377" s="35" t="s">
        <v>691</v>
      </c>
      <c r="F377" s="32" t="s">
        <v>186</v>
      </c>
      <c r="G377" s="32" t="s">
        <v>795</v>
      </c>
    </row>
    <row r="378" ht="16.5" customHeight="1">
      <c r="A378" s="32">
        <v>374.0</v>
      </c>
      <c r="C378" s="32" t="s">
        <v>796</v>
      </c>
      <c r="D378" s="32" t="s">
        <v>184</v>
      </c>
      <c r="E378" s="32" t="s">
        <v>285</v>
      </c>
      <c r="F378" s="32" t="s">
        <v>186</v>
      </c>
    </row>
    <row r="379" ht="16.5" customHeight="1">
      <c r="A379" s="32">
        <v>375.0</v>
      </c>
      <c r="C379" s="32" t="s">
        <v>797</v>
      </c>
      <c r="D379" s="32" t="s">
        <v>184</v>
      </c>
      <c r="E379" s="32" t="s">
        <v>764</v>
      </c>
      <c r="F379" s="32" t="s">
        <v>186</v>
      </c>
    </row>
    <row r="380" ht="16.5" customHeight="1">
      <c r="A380" s="32">
        <v>376.0</v>
      </c>
      <c r="C380" s="32" t="s">
        <v>798</v>
      </c>
      <c r="D380" s="32" t="s">
        <v>184</v>
      </c>
      <c r="E380" s="32" t="s">
        <v>764</v>
      </c>
      <c r="F380" s="32" t="s">
        <v>186</v>
      </c>
      <c r="G380" s="32" t="s">
        <v>799</v>
      </c>
      <c r="H380" s="32" t="s">
        <v>800</v>
      </c>
    </row>
    <row r="381" ht="16.5" customHeight="1">
      <c r="A381" s="32">
        <v>377.0</v>
      </c>
      <c r="C381" s="32" t="s">
        <v>801</v>
      </c>
      <c r="D381" s="32" t="s">
        <v>184</v>
      </c>
      <c r="E381" s="32" t="s">
        <v>764</v>
      </c>
      <c r="F381" s="32" t="s">
        <v>186</v>
      </c>
    </row>
    <row r="382" ht="16.5" customHeight="1">
      <c r="A382" s="32">
        <v>378.0</v>
      </c>
      <c r="C382" s="32" t="s">
        <v>802</v>
      </c>
      <c r="D382" s="32" t="s">
        <v>184</v>
      </c>
      <c r="E382" s="32" t="s">
        <v>285</v>
      </c>
      <c r="F382" s="32" t="s">
        <v>186</v>
      </c>
      <c r="G382" s="32" t="s">
        <v>189</v>
      </c>
      <c r="H382" s="32" t="s">
        <v>190</v>
      </c>
    </row>
    <row r="383" ht="16.5" customHeight="1">
      <c r="A383" s="32">
        <v>379.0</v>
      </c>
      <c r="C383" s="32" t="s">
        <v>803</v>
      </c>
      <c r="D383" s="32" t="s">
        <v>184</v>
      </c>
      <c r="E383" s="32" t="s">
        <v>219</v>
      </c>
      <c r="F383" s="32" t="s">
        <v>186</v>
      </c>
      <c r="G383" s="32" t="s">
        <v>223</v>
      </c>
      <c r="H383" s="32" t="s">
        <v>804</v>
      </c>
    </row>
    <row r="384" ht="16.5" customHeight="1">
      <c r="A384" s="32">
        <v>380.0</v>
      </c>
      <c r="C384" s="32" t="s">
        <v>805</v>
      </c>
      <c r="D384" s="32" t="s">
        <v>184</v>
      </c>
      <c r="E384" s="32" t="s">
        <v>219</v>
      </c>
      <c r="F384" s="32" t="s">
        <v>186</v>
      </c>
      <c r="G384" s="32" t="s">
        <v>223</v>
      </c>
      <c r="H384" s="32" t="s">
        <v>472</v>
      </c>
    </row>
    <row r="385" ht="16.5" customHeight="1">
      <c r="A385" s="32">
        <v>381.0</v>
      </c>
      <c r="C385" s="32" t="s">
        <v>806</v>
      </c>
      <c r="D385" s="32" t="s">
        <v>184</v>
      </c>
      <c r="E385" s="35" t="s">
        <v>691</v>
      </c>
      <c r="F385" s="32" t="s">
        <v>186</v>
      </c>
    </row>
    <row r="386" ht="16.5" customHeight="1">
      <c r="A386" s="32">
        <v>382.0</v>
      </c>
      <c r="C386" s="32" t="s">
        <v>13</v>
      </c>
      <c r="D386" s="32" t="s">
        <v>184</v>
      </c>
      <c r="E386" s="32" t="s">
        <v>219</v>
      </c>
      <c r="F386" s="32" t="s">
        <v>186</v>
      </c>
      <c r="G386" s="32" t="s">
        <v>241</v>
      </c>
      <c r="H386" s="32" t="s">
        <v>292</v>
      </c>
    </row>
    <row r="387" ht="16.5" customHeight="1">
      <c r="A387" s="32">
        <v>383.0</v>
      </c>
      <c r="C387" s="32" t="s">
        <v>807</v>
      </c>
      <c r="D387" s="32" t="s">
        <v>184</v>
      </c>
      <c r="E387" s="32" t="s">
        <v>219</v>
      </c>
      <c r="F387" s="32" t="s">
        <v>186</v>
      </c>
      <c r="G387" s="32" t="s">
        <v>217</v>
      </c>
      <c r="H387" s="32" t="s">
        <v>216</v>
      </c>
    </row>
    <row r="388" ht="16.5" customHeight="1">
      <c r="A388" s="32">
        <v>384.0</v>
      </c>
      <c r="C388" s="32" t="s">
        <v>808</v>
      </c>
      <c r="D388" s="32" t="s">
        <v>184</v>
      </c>
      <c r="E388" s="32" t="s">
        <v>219</v>
      </c>
      <c r="F388" s="32" t="s">
        <v>186</v>
      </c>
    </row>
    <row r="389" ht="16.5" customHeight="1">
      <c r="A389" s="32">
        <v>385.0</v>
      </c>
      <c r="C389" s="32" t="s">
        <v>809</v>
      </c>
      <c r="D389" s="32" t="s">
        <v>184</v>
      </c>
      <c r="E389" s="35" t="s">
        <v>294</v>
      </c>
      <c r="F389" s="32" t="s">
        <v>186</v>
      </c>
      <c r="G389" s="32" t="s">
        <v>295</v>
      </c>
      <c r="H389" s="32" t="s">
        <v>810</v>
      </c>
    </row>
    <row r="390" ht="16.5" customHeight="1">
      <c r="A390" s="32">
        <v>386.0</v>
      </c>
      <c r="C390" s="32" t="s">
        <v>811</v>
      </c>
      <c r="D390" s="32" t="s">
        <v>184</v>
      </c>
      <c r="E390" s="32" t="s">
        <v>185</v>
      </c>
      <c r="F390" s="32" t="s">
        <v>186</v>
      </c>
      <c r="G390" s="32" t="s">
        <v>187</v>
      </c>
      <c r="H390" s="32" t="s">
        <v>482</v>
      </c>
    </row>
    <row r="391" ht="16.5" customHeight="1">
      <c r="A391" s="32">
        <v>387.0</v>
      </c>
      <c r="C391" s="32" t="s">
        <v>812</v>
      </c>
      <c r="D391" s="32" t="s">
        <v>184</v>
      </c>
      <c r="E391" s="35" t="s">
        <v>294</v>
      </c>
      <c r="F391" s="32" t="s">
        <v>186</v>
      </c>
      <c r="G391" s="32" t="s">
        <v>187</v>
      </c>
      <c r="H391" s="32" t="s">
        <v>482</v>
      </c>
    </row>
    <row r="392" ht="16.5" customHeight="1">
      <c r="A392" s="32">
        <v>388.0</v>
      </c>
      <c r="C392" s="32" t="s">
        <v>813</v>
      </c>
      <c r="D392" s="32" t="s">
        <v>184</v>
      </c>
      <c r="E392" s="32" t="s">
        <v>185</v>
      </c>
      <c r="F392" s="32" t="s">
        <v>186</v>
      </c>
    </row>
    <row r="393" ht="16.5" customHeight="1">
      <c r="A393" s="32">
        <v>389.0</v>
      </c>
      <c r="C393" s="32" t="s">
        <v>814</v>
      </c>
      <c r="D393" s="32" t="s">
        <v>184</v>
      </c>
      <c r="E393" s="32" t="s">
        <v>185</v>
      </c>
      <c r="F393" s="32" t="s">
        <v>186</v>
      </c>
    </row>
    <row r="394" ht="16.5" customHeight="1">
      <c r="A394" s="32">
        <v>390.0</v>
      </c>
      <c r="C394" s="32" t="s">
        <v>815</v>
      </c>
      <c r="D394" s="32" t="s">
        <v>184</v>
      </c>
      <c r="E394" s="32" t="s">
        <v>192</v>
      </c>
      <c r="F394" s="32" t="s">
        <v>186</v>
      </c>
    </row>
    <row r="395" ht="16.5" customHeight="1">
      <c r="A395" s="32">
        <v>391.0</v>
      </c>
      <c r="C395" s="32" t="s">
        <v>816</v>
      </c>
      <c r="D395" s="32" t="s">
        <v>184</v>
      </c>
      <c r="E395" s="32" t="s">
        <v>285</v>
      </c>
      <c r="F395" s="32" t="s">
        <v>186</v>
      </c>
    </row>
    <row r="396" ht="16.5" customHeight="1">
      <c r="A396" s="32">
        <v>392.0</v>
      </c>
      <c r="C396" s="32" t="s">
        <v>817</v>
      </c>
      <c r="D396" s="32" t="s">
        <v>184</v>
      </c>
      <c r="E396" s="32" t="s">
        <v>234</v>
      </c>
      <c r="F396" s="32" t="s">
        <v>186</v>
      </c>
      <c r="G396" s="32" t="s">
        <v>347</v>
      </c>
      <c r="H396" s="32" t="s">
        <v>382</v>
      </c>
    </row>
    <row r="397" ht="16.5" customHeight="1">
      <c r="A397" s="32">
        <v>393.0</v>
      </c>
      <c r="C397" s="32" t="s">
        <v>818</v>
      </c>
      <c r="D397" s="32" t="s">
        <v>184</v>
      </c>
      <c r="E397" s="32" t="s">
        <v>234</v>
      </c>
      <c r="F397" s="32" t="s">
        <v>186</v>
      </c>
      <c r="G397" s="32" t="s">
        <v>347</v>
      </c>
      <c r="H397" s="32" t="s">
        <v>382</v>
      </c>
    </row>
    <row r="398" ht="16.5" customHeight="1">
      <c r="A398" s="32">
        <v>394.0</v>
      </c>
      <c r="C398" s="32" t="s">
        <v>819</v>
      </c>
      <c r="D398" s="32" t="s">
        <v>184</v>
      </c>
      <c r="E398" s="32" t="s">
        <v>192</v>
      </c>
      <c r="F398" s="32" t="s">
        <v>186</v>
      </c>
      <c r="G398" s="32" t="s">
        <v>300</v>
      </c>
      <c r="H398" s="32" t="s">
        <v>820</v>
      </c>
    </row>
    <row r="399" ht="16.5" customHeight="1">
      <c r="A399" s="32">
        <v>395.0</v>
      </c>
      <c r="C399" s="32" t="s">
        <v>821</v>
      </c>
      <c r="D399" s="32" t="s">
        <v>184</v>
      </c>
      <c r="E399" s="32" t="s">
        <v>219</v>
      </c>
      <c r="F399" s="32" t="s">
        <v>186</v>
      </c>
      <c r="G399" s="32" t="s">
        <v>223</v>
      </c>
    </row>
    <row r="400" ht="16.5" customHeight="1">
      <c r="A400" s="32">
        <v>396.0</v>
      </c>
      <c r="C400" s="32" t="s">
        <v>822</v>
      </c>
      <c r="D400" s="32" t="s">
        <v>184</v>
      </c>
      <c r="E400" s="32" t="s">
        <v>219</v>
      </c>
      <c r="F400" s="32" t="s">
        <v>186</v>
      </c>
    </row>
    <row r="401" ht="16.5" customHeight="1">
      <c r="A401" s="32">
        <v>397.0</v>
      </c>
      <c r="C401" s="32" t="s">
        <v>823</v>
      </c>
      <c r="D401" s="32" t="s">
        <v>184</v>
      </c>
      <c r="E401" s="32" t="s">
        <v>234</v>
      </c>
      <c r="F401" s="32" t="s">
        <v>186</v>
      </c>
      <c r="G401" s="32" t="s">
        <v>347</v>
      </c>
      <c r="H401" s="32" t="s">
        <v>824</v>
      </c>
    </row>
    <row r="402" ht="16.5" customHeight="1">
      <c r="A402" s="32">
        <v>398.0</v>
      </c>
      <c r="C402" s="32" t="s">
        <v>825</v>
      </c>
      <c r="D402" s="32" t="s">
        <v>184</v>
      </c>
      <c r="E402" s="32" t="s">
        <v>234</v>
      </c>
      <c r="F402" s="32" t="s">
        <v>186</v>
      </c>
      <c r="G402" s="32" t="s">
        <v>347</v>
      </c>
      <c r="H402" s="32" t="s">
        <v>382</v>
      </c>
    </row>
    <row r="403" ht="16.5" customHeight="1">
      <c r="A403" s="32">
        <v>399.0</v>
      </c>
      <c r="C403" s="32" t="s">
        <v>826</v>
      </c>
      <c r="D403" s="32" t="s">
        <v>184</v>
      </c>
      <c r="E403" s="32" t="s">
        <v>192</v>
      </c>
      <c r="F403" s="32" t="s">
        <v>186</v>
      </c>
      <c r="G403" s="32" t="s">
        <v>300</v>
      </c>
      <c r="H403" s="32" t="s">
        <v>827</v>
      </c>
    </row>
    <row r="404" ht="16.5" customHeight="1">
      <c r="A404" s="32">
        <v>400.0</v>
      </c>
      <c r="C404" s="32" t="s">
        <v>145</v>
      </c>
      <c r="D404" s="32" t="s">
        <v>184</v>
      </c>
      <c r="E404" s="32" t="s">
        <v>219</v>
      </c>
      <c r="F404" s="32" t="s">
        <v>186</v>
      </c>
      <c r="G404" s="32" t="s">
        <v>241</v>
      </c>
      <c r="H404" s="32" t="s">
        <v>242</v>
      </c>
    </row>
    <row r="405" ht="16.5" customHeight="1">
      <c r="A405" s="32">
        <v>401.0</v>
      </c>
      <c r="C405" s="32" t="s">
        <v>828</v>
      </c>
      <c r="D405" s="32" t="s">
        <v>184</v>
      </c>
      <c r="E405" s="35" t="s">
        <v>829</v>
      </c>
      <c r="F405" s="32" t="s">
        <v>186</v>
      </c>
      <c r="G405" s="32" t="s">
        <v>236</v>
      </c>
      <c r="H405" s="32" t="s">
        <v>292</v>
      </c>
    </row>
    <row r="406" ht="16.5" customHeight="1">
      <c r="A406" s="32">
        <v>402.0</v>
      </c>
      <c r="C406" s="32" t="s">
        <v>830</v>
      </c>
      <c r="D406" s="32" t="s">
        <v>184</v>
      </c>
      <c r="E406" s="32" t="s">
        <v>285</v>
      </c>
      <c r="F406" s="32" t="s">
        <v>186</v>
      </c>
    </row>
    <row r="407" ht="16.5" customHeight="1">
      <c r="A407" s="32">
        <v>403.0</v>
      </c>
      <c r="C407" s="32" t="s">
        <v>831</v>
      </c>
      <c r="D407" s="32" t="s">
        <v>184</v>
      </c>
      <c r="E407" s="32" t="s">
        <v>285</v>
      </c>
      <c r="F407" s="32" t="s">
        <v>186</v>
      </c>
    </row>
    <row r="408" ht="16.5" customHeight="1">
      <c r="A408" s="32">
        <v>404.0</v>
      </c>
      <c r="C408" s="32" t="s">
        <v>832</v>
      </c>
      <c r="D408" s="32" t="s">
        <v>184</v>
      </c>
      <c r="E408" s="32" t="s">
        <v>325</v>
      </c>
      <c r="F408" s="32" t="s">
        <v>186</v>
      </c>
      <c r="G408" s="32" t="s">
        <v>368</v>
      </c>
      <c r="H408" s="32" t="s">
        <v>463</v>
      </c>
    </row>
    <row r="409" ht="16.5" customHeight="1">
      <c r="A409" s="32">
        <v>405.0</v>
      </c>
      <c r="C409" s="32" t="s">
        <v>181</v>
      </c>
      <c r="D409" s="32" t="s">
        <v>184</v>
      </c>
      <c r="E409" s="32" t="s">
        <v>234</v>
      </c>
      <c r="F409" s="32" t="s">
        <v>186</v>
      </c>
      <c r="G409" s="32" t="s">
        <v>235</v>
      </c>
      <c r="H409" s="32" t="s">
        <v>243</v>
      </c>
    </row>
    <row r="410" ht="16.5" customHeight="1">
      <c r="A410" s="32">
        <v>406.0</v>
      </c>
      <c r="C410" s="32" t="s">
        <v>833</v>
      </c>
      <c r="D410" s="32" t="s">
        <v>184</v>
      </c>
      <c r="E410" s="32" t="s">
        <v>285</v>
      </c>
      <c r="F410" s="32" t="s">
        <v>186</v>
      </c>
      <c r="G410" s="32" t="s">
        <v>189</v>
      </c>
      <c r="H410" s="32" t="s">
        <v>190</v>
      </c>
    </row>
    <row r="411" ht="16.5" customHeight="1">
      <c r="A411" s="32">
        <v>407.0</v>
      </c>
      <c r="C411" s="32" t="s">
        <v>834</v>
      </c>
      <c r="D411" s="32" t="s">
        <v>184</v>
      </c>
      <c r="E411" s="32" t="s">
        <v>285</v>
      </c>
      <c r="F411" s="32" t="s">
        <v>186</v>
      </c>
      <c r="G411" s="32" t="s">
        <v>189</v>
      </c>
      <c r="H411" s="32" t="s">
        <v>190</v>
      </c>
    </row>
    <row r="412" ht="16.5" customHeight="1">
      <c r="A412" s="32">
        <v>408.0</v>
      </c>
      <c r="C412" s="32" t="s">
        <v>835</v>
      </c>
      <c r="D412" s="32" t="s">
        <v>184</v>
      </c>
      <c r="E412" s="32" t="s">
        <v>285</v>
      </c>
      <c r="F412" s="32" t="s">
        <v>186</v>
      </c>
    </row>
    <row r="413" ht="16.5" customHeight="1">
      <c r="A413" s="32">
        <v>409.0</v>
      </c>
      <c r="C413" s="32" t="s">
        <v>836</v>
      </c>
      <c r="D413" s="32" t="s">
        <v>184</v>
      </c>
      <c r="E413" s="32" t="s">
        <v>285</v>
      </c>
      <c r="F413" s="32" t="s">
        <v>186</v>
      </c>
    </row>
    <row r="414" ht="16.5" customHeight="1">
      <c r="A414" s="32">
        <v>410.0</v>
      </c>
      <c r="C414" s="32" t="s">
        <v>836</v>
      </c>
      <c r="D414" s="32" t="s">
        <v>184</v>
      </c>
      <c r="E414" s="32" t="s">
        <v>285</v>
      </c>
      <c r="F414" s="32" t="s">
        <v>186</v>
      </c>
      <c r="G414" s="32" t="s">
        <v>189</v>
      </c>
      <c r="H414" s="32" t="s">
        <v>190</v>
      </c>
    </row>
    <row r="415" ht="16.5" customHeight="1">
      <c r="A415" s="32">
        <v>411.0</v>
      </c>
      <c r="C415" s="32" t="s">
        <v>837</v>
      </c>
      <c r="D415" s="32" t="s">
        <v>184</v>
      </c>
      <c r="E415" s="32" t="s">
        <v>285</v>
      </c>
      <c r="F415" s="32" t="s">
        <v>186</v>
      </c>
    </row>
    <row r="416" ht="16.5" customHeight="1">
      <c r="A416" s="32">
        <v>412.0</v>
      </c>
      <c r="C416" s="32" t="s">
        <v>838</v>
      </c>
      <c r="D416" s="32" t="s">
        <v>184</v>
      </c>
      <c r="E416" s="32" t="s">
        <v>285</v>
      </c>
      <c r="F416" s="32" t="s">
        <v>186</v>
      </c>
    </row>
    <row r="417" ht="16.5" customHeight="1">
      <c r="A417" s="32">
        <v>413.0</v>
      </c>
      <c r="C417" s="32" t="s">
        <v>166</v>
      </c>
      <c r="D417" s="32" t="s">
        <v>184</v>
      </c>
      <c r="E417" s="32" t="s">
        <v>228</v>
      </c>
      <c r="F417" s="32" t="s">
        <v>186</v>
      </c>
      <c r="G417" s="32" t="s">
        <v>229</v>
      </c>
      <c r="H417" s="32" t="s">
        <v>244</v>
      </c>
    </row>
    <row r="418" ht="16.5" customHeight="1">
      <c r="A418" s="32">
        <v>414.0</v>
      </c>
      <c r="C418" s="32" t="s">
        <v>839</v>
      </c>
      <c r="D418" s="32" t="s">
        <v>184</v>
      </c>
      <c r="E418" s="32" t="s">
        <v>228</v>
      </c>
      <c r="F418" s="32" t="s">
        <v>186</v>
      </c>
      <c r="G418" s="32" t="s">
        <v>229</v>
      </c>
      <c r="H418" s="32" t="s">
        <v>244</v>
      </c>
    </row>
    <row r="419" ht="16.5" customHeight="1">
      <c r="A419" s="32">
        <v>415.0</v>
      </c>
      <c r="C419" s="32" t="s">
        <v>840</v>
      </c>
      <c r="D419" s="32" t="s">
        <v>184</v>
      </c>
      <c r="E419" s="32" t="s">
        <v>234</v>
      </c>
      <c r="F419" s="32" t="s">
        <v>186</v>
      </c>
      <c r="G419" s="32" t="s">
        <v>235</v>
      </c>
      <c r="H419" s="32" t="s">
        <v>841</v>
      </c>
    </row>
    <row r="420" ht="16.5" customHeight="1">
      <c r="A420" s="32">
        <v>416.0</v>
      </c>
      <c r="C420" s="32" t="s">
        <v>842</v>
      </c>
      <c r="D420" s="32" t="s">
        <v>184</v>
      </c>
      <c r="E420" s="32" t="s">
        <v>185</v>
      </c>
      <c r="F420" s="32" t="s">
        <v>186</v>
      </c>
      <c r="G420" s="32" t="s">
        <v>189</v>
      </c>
      <c r="H420" s="32" t="s">
        <v>190</v>
      </c>
    </row>
    <row r="421" ht="16.5" customHeight="1">
      <c r="A421" s="32">
        <v>417.0</v>
      </c>
      <c r="C421" s="32" t="s">
        <v>843</v>
      </c>
      <c r="D421" s="32" t="s">
        <v>184</v>
      </c>
      <c r="E421" s="35" t="s">
        <v>294</v>
      </c>
      <c r="F421" s="32" t="s">
        <v>186</v>
      </c>
      <c r="G421" s="32" t="s">
        <v>189</v>
      </c>
      <c r="H421" s="32" t="s">
        <v>190</v>
      </c>
    </row>
    <row r="422" ht="16.5" customHeight="1">
      <c r="A422" s="32">
        <v>418.0</v>
      </c>
      <c r="C422" s="32" t="s">
        <v>844</v>
      </c>
      <c r="D422" s="32" t="s">
        <v>184</v>
      </c>
      <c r="E422" s="32" t="s">
        <v>285</v>
      </c>
      <c r="F422" s="32" t="s">
        <v>186</v>
      </c>
      <c r="G422" s="32" t="s">
        <v>189</v>
      </c>
      <c r="H422" s="32" t="s">
        <v>314</v>
      </c>
    </row>
    <row r="423" ht="16.5" customHeight="1">
      <c r="A423" s="32">
        <v>419.0</v>
      </c>
      <c r="C423" s="32" t="s">
        <v>845</v>
      </c>
      <c r="D423" s="32" t="s">
        <v>184</v>
      </c>
      <c r="E423" s="32" t="s">
        <v>285</v>
      </c>
      <c r="F423" s="32" t="s">
        <v>186</v>
      </c>
      <c r="G423" s="32" t="s">
        <v>189</v>
      </c>
      <c r="H423" s="32" t="s">
        <v>190</v>
      </c>
    </row>
    <row r="424" ht="16.5" customHeight="1">
      <c r="A424" s="32">
        <v>420.0</v>
      </c>
      <c r="C424" s="32" t="s">
        <v>846</v>
      </c>
      <c r="D424" s="32" t="s">
        <v>184</v>
      </c>
      <c r="E424" s="32" t="s">
        <v>764</v>
      </c>
      <c r="F424" s="32" t="s">
        <v>186</v>
      </c>
    </row>
    <row r="425" ht="16.5" customHeight="1">
      <c r="A425" s="32">
        <v>421.0</v>
      </c>
      <c r="C425" s="32" t="s">
        <v>847</v>
      </c>
      <c r="D425" s="32" t="s">
        <v>184</v>
      </c>
      <c r="E425" s="32" t="s">
        <v>285</v>
      </c>
      <c r="F425" s="32" t="s">
        <v>186</v>
      </c>
      <c r="G425" s="32" t="s">
        <v>189</v>
      </c>
      <c r="H425" s="32" t="s">
        <v>190</v>
      </c>
    </row>
    <row r="426" ht="16.5" customHeight="1">
      <c r="A426" s="32">
        <v>422.0</v>
      </c>
      <c r="C426" s="32" t="s">
        <v>848</v>
      </c>
      <c r="D426" s="32" t="s">
        <v>184</v>
      </c>
      <c r="E426" s="32" t="s">
        <v>285</v>
      </c>
      <c r="F426" s="32" t="s">
        <v>186</v>
      </c>
      <c r="G426" s="32" t="s">
        <v>189</v>
      </c>
      <c r="H426" s="32" t="s">
        <v>190</v>
      </c>
    </row>
    <row r="427" ht="16.5" customHeight="1">
      <c r="A427" s="32">
        <v>423.0</v>
      </c>
      <c r="C427" s="32" t="s">
        <v>849</v>
      </c>
      <c r="D427" s="32" t="s">
        <v>184</v>
      </c>
      <c r="E427" s="32" t="s">
        <v>285</v>
      </c>
      <c r="F427" s="32" t="s">
        <v>186</v>
      </c>
      <c r="G427" s="32" t="s">
        <v>189</v>
      </c>
      <c r="H427" s="32" t="s">
        <v>190</v>
      </c>
    </row>
    <row r="428" ht="16.5" customHeight="1">
      <c r="A428" s="32">
        <v>424.0</v>
      </c>
      <c r="C428" s="32" t="s">
        <v>850</v>
      </c>
      <c r="D428" s="32" t="s">
        <v>184</v>
      </c>
      <c r="E428" s="32" t="s">
        <v>285</v>
      </c>
      <c r="F428" s="32" t="s">
        <v>186</v>
      </c>
      <c r="G428" s="32" t="s">
        <v>189</v>
      </c>
      <c r="H428" s="32" t="s">
        <v>190</v>
      </c>
    </row>
    <row r="429" ht="16.5" customHeight="1">
      <c r="A429" s="32">
        <v>425.0</v>
      </c>
      <c r="C429" s="32" t="s">
        <v>851</v>
      </c>
      <c r="D429" s="32" t="s">
        <v>184</v>
      </c>
      <c r="E429" s="32" t="s">
        <v>285</v>
      </c>
      <c r="F429" s="32" t="s">
        <v>186</v>
      </c>
      <c r="G429" s="32" t="s">
        <v>189</v>
      </c>
      <c r="H429" s="32" t="s">
        <v>190</v>
      </c>
    </row>
    <row r="430" ht="16.5" customHeight="1">
      <c r="A430" s="32">
        <v>426.0</v>
      </c>
      <c r="C430" s="32" t="s">
        <v>172</v>
      </c>
      <c r="D430" s="32" t="s">
        <v>184</v>
      </c>
      <c r="E430" s="32" t="s">
        <v>185</v>
      </c>
      <c r="F430" s="32" t="s">
        <v>186</v>
      </c>
      <c r="G430" s="32" t="s">
        <v>187</v>
      </c>
      <c r="H430" s="32" t="s">
        <v>188</v>
      </c>
    </row>
    <row r="431" ht="16.5" customHeight="1">
      <c r="A431" s="32">
        <v>427.0</v>
      </c>
      <c r="C431" s="32" t="s">
        <v>852</v>
      </c>
      <c r="D431" s="32" t="s">
        <v>184</v>
      </c>
      <c r="E431" s="32" t="s">
        <v>185</v>
      </c>
      <c r="F431" s="32" t="s">
        <v>186</v>
      </c>
    </row>
    <row r="432" ht="16.5" customHeight="1">
      <c r="A432" s="32">
        <v>428.0</v>
      </c>
      <c r="C432" s="32" t="s">
        <v>853</v>
      </c>
      <c r="D432" s="32" t="s">
        <v>184</v>
      </c>
      <c r="E432" s="32" t="s">
        <v>185</v>
      </c>
      <c r="F432" s="32" t="s">
        <v>186</v>
      </c>
      <c r="G432" s="32" t="s">
        <v>187</v>
      </c>
      <c r="H432" s="32" t="s">
        <v>854</v>
      </c>
    </row>
    <row r="433" ht="16.5" customHeight="1">
      <c r="A433" s="32">
        <v>429.0</v>
      </c>
      <c r="C433" s="32" t="s">
        <v>855</v>
      </c>
      <c r="D433" s="32" t="s">
        <v>184</v>
      </c>
      <c r="E433" s="32" t="s">
        <v>185</v>
      </c>
      <c r="F433" s="32" t="s">
        <v>186</v>
      </c>
      <c r="G433" s="32" t="s">
        <v>187</v>
      </c>
      <c r="H433" s="32" t="s">
        <v>188</v>
      </c>
    </row>
    <row r="434" ht="16.5" customHeight="1">
      <c r="A434" s="32">
        <v>430.0</v>
      </c>
      <c r="C434" s="32" t="s">
        <v>856</v>
      </c>
      <c r="D434" s="32" t="s">
        <v>184</v>
      </c>
      <c r="E434" s="32" t="s">
        <v>285</v>
      </c>
      <c r="F434" s="32" t="s">
        <v>186</v>
      </c>
      <c r="G434" s="32" t="s">
        <v>188</v>
      </c>
      <c r="H434" s="32" t="s">
        <v>857</v>
      </c>
    </row>
    <row r="435" ht="16.5" customHeight="1">
      <c r="A435" s="32">
        <v>431.0</v>
      </c>
      <c r="C435" s="32" t="s">
        <v>858</v>
      </c>
      <c r="D435" s="32" t="s">
        <v>184</v>
      </c>
      <c r="E435" s="32" t="s">
        <v>185</v>
      </c>
      <c r="F435" s="32" t="s">
        <v>186</v>
      </c>
      <c r="G435" s="32" t="s">
        <v>188</v>
      </c>
      <c r="H435" s="32" t="s">
        <v>857</v>
      </c>
    </row>
    <row r="436" ht="16.5" customHeight="1">
      <c r="A436" s="32">
        <v>432.0</v>
      </c>
      <c r="C436" s="32" t="s">
        <v>859</v>
      </c>
      <c r="D436" s="32" t="s">
        <v>184</v>
      </c>
      <c r="E436" s="32" t="s">
        <v>234</v>
      </c>
      <c r="F436" s="32" t="s">
        <v>186</v>
      </c>
      <c r="G436" s="32" t="s">
        <v>347</v>
      </c>
      <c r="H436" s="32" t="s">
        <v>382</v>
      </c>
    </row>
    <row r="437" ht="16.5" customHeight="1">
      <c r="A437" s="32">
        <v>433.0</v>
      </c>
      <c r="C437" s="32" t="s">
        <v>175</v>
      </c>
      <c r="D437" s="32" t="s">
        <v>184</v>
      </c>
      <c r="E437" s="32" t="s">
        <v>185</v>
      </c>
      <c r="F437" s="32" t="s">
        <v>186</v>
      </c>
      <c r="G437" s="32" t="s">
        <v>189</v>
      </c>
      <c r="H437" s="32" t="s">
        <v>190</v>
      </c>
    </row>
    <row r="438" ht="16.5" customHeight="1">
      <c r="A438" s="32">
        <v>434.0</v>
      </c>
      <c r="C438" s="32" t="s">
        <v>860</v>
      </c>
      <c r="D438" s="32" t="s">
        <v>184</v>
      </c>
      <c r="E438" s="35" t="s">
        <v>294</v>
      </c>
      <c r="F438" s="32" t="s">
        <v>186</v>
      </c>
    </row>
    <row r="439" ht="16.5" customHeight="1">
      <c r="A439" s="32">
        <v>435.0</v>
      </c>
      <c r="C439" s="32" t="s">
        <v>861</v>
      </c>
      <c r="D439" s="32" t="s">
        <v>184</v>
      </c>
      <c r="E439" s="32" t="s">
        <v>764</v>
      </c>
      <c r="F439" s="32" t="s">
        <v>186</v>
      </c>
    </row>
    <row r="440" ht="16.5" customHeight="1">
      <c r="A440" s="32">
        <v>436.0</v>
      </c>
      <c r="C440" s="32" t="s">
        <v>862</v>
      </c>
      <c r="D440" s="32" t="s">
        <v>184</v>
      </c>
      <c r="E440" s="32" t="s">
        <v>764</v>
      </c>
      <c r="F440" s="32" t="s">
        <v>186</v>
      </c>
    </row>
    <row r="441" ht="16.5" customHeight="1">
      <c r="A441" s="32">
        <v>437.0</v>
      </c>
      <c r="C441" s="32" t="s">
        <v>863</v>
      </c>
      <c r="D441" s="32" t="s">
        <v>184</v>
      </c>
      <c r="E441" s="32" t="s">
        <v>764</v>
      </c>
      <c r="F441" s="32" t="s">
        <v>186</v>
      </c>
    </row>
    <row r="442" ht="16.5" customHeight="1">
      <c r="A442" s="32">
        <v>438.0</v>
      </c>
      <c r="C442" s="32" t="s">
        <v>864</v>
      </c>
      <c r="D442" s="32" t="s">
        <v>184</v>
      </c>
      <c r="E442" s="32" t="s">
        <v>764</v>
      </c>
      <c r="F442" s="32" t="s">
        <v>186</v>
      </c>
    </row>
    <row r="443" ht="16.5" customHeight="1">
      <c r="A443" s="32">
        <v>439.0</v>
      </c>
      <c r="C443" s="32" t="s">
        <v>865</v>
      </c>
      <c r="D443" s="32" t="s">
        <v>184</v>
      </c>
      <c r="E443" s="32" t="s">
        <v>764</v>
      </c>
      <c r="F443" s="32" t="s">
        <v>186</v>
      </c>
      <c r="G443" s="32" t="s">
        <v>866</v>
      </c>
    </row>
    <row r="444" ht="16.5" customHeight="1">
      <c r="A444" s="32">
        <v>440.0</v>
      </c>
      <c r="C444" s="32" t="s">
        <v>867</v>
      </c>
      <c r="D444" s="32" t="s">
        <v>184</v>
      </c>
      <c r="E444" s="32" t="s">
        <v>764</v>
      </c>
      <c r="F444" s="32" t="s">
        <v>186</v>
      </c>
    </row>
    <row r="445" ht="16.5" customHeight="1">
      <c r="A445" s="32">
        <v>441.0</v>
      </c>
      <c r="C445" s="32" t="s">
        <v>868</v>
      </c>
      <c r="D445" s="32" t="s">
        <v>184</v>
      </c>
      <c r="E445" s="32" t="s">
        <v>764</v>
      </c>
      <c r="F445" s="32" t="s">
        <v>186</v>
      </c>
    </row>
    <row r="446" ht="16.5" customHeight="1">
      <c r="A446" s="32">
        <v>442.0</v>
      </c>
      <c r="C446" s="32" t="s">
        <v>869</v>
      </c>
      <c r="D446" s="32" t="s">
        <v>184</v>
      </c>
      <c r="E446" s="32" t="s">
        <v>285</v>
      </c>
      <c r="F446" s="32" t="s">
        <v>186</v>
      </c>
      <c r="G446" s="32" t="s">
        <v>189</v>
      </c>
      <c r="H446" s="32" t="s">
        <v>190</v>
      </c>
    </row>
    <row r="447" ht="16.5" customHeight="1">
      <c r="A447" s="32">
        <v>443.0</v>
      </c>
      <c r="C447" s="32" t="s">
        <v>870</v>
      </c>
      <c r="D447" s="32" t="s">
        <v>184</v>
      </c>
      <c r="E447" s="32" t="s">
        <v>185</v>
      </c>
      <c r="F447" s="32" t="s">
        <v>186</v>
      </c>
      <c r="G447" s="32" t="s">
        <v>187</v>
      </c>
      <c r="H447" s="32" t="s">
        <v>854</v>
      </c>
    </row>
    <row r="448" ht="16.5" customHeight="1">
      <c r="A448" s="32">
        <v>444.0</v>
      </c>
      <c r="C448" s="32" t="s">
        <v>871</v>
      </c>
      <c r="D448" s="32" t="s">
        <v>184</v>
      </c>
      <c r="E448" s="32" t="s">
        <v>185</v>
      </c>
      <c r="F448" s="32" t="s">
        <v>186</v>
      </c>
      <c r="G448" s="32" t="s">
        <v>187</v>
      </c>
      <c r="H448" s="32" t="s">
        <v>188</v>
      </c>
    </row>
    <row r="449" ht="16.5" customHeight="1">
      <c r="A449" s="32">
        <v>445.0</v>
      </c>
      <c r="C449" s="32" t="s">
        <v>872</v>
      </c>
      <c r="D449" s="32" t="s">
        <v>184</v>
      </c>
      <c r="E449" s="32" t="s">
        <v>185</v>
      </c>
      <c r="F449" s="32" t="s">
        <v>186</v>
      </c>
    </row>
    <row r="450" ht="16.5" customHeight="1">
      <c r="A450" s="32">
        <v>446.0</v>
      </c>
      <c r="C450" s="32" t="s">
        <v>873</v>
      </c>
      <c r="D450" s="32" t="s">
        <v>184</v>
      </c>
      <c r="E450" s="32" t="s">
        <v>234</v>
      </c>
      <c r="F450" s="32" t="s">
        <v>186</v>
      </c>
      <c r="G450" s="32" t="s">
        <v>415</v>
      </c>
      <c r="H450" s="32" t="s">
        <v>243</v>
      </c>
    </row>
    <row r="451" ht="16.5" customHeight="1">
      <c r="A451" s="32">
        <v>447.0</v>
      </c>
      <c r="C451" s="32" t="s">
        <v>874</v>
      </c>
      <c r="D451" s="32" t="s">
        <v>184</v>
      </c>
      <c r="E451" s="32" t="s">
        <v>234</v>
      </c>
      <c r="F451" s="32" t="s">
        <v>186</v>
      </c>
      <c r="G451" s="32" t="s">
        <v>415</v>
      </c>
      <c r="H451" s="32" t="s">
        <v>243</v>
      </c>
    </row>
    <row r="452" ht="16.5" customHeight="1">
      <c r="A452" s="32">
        <v>448.0</v>
      </c>
      <c r="C452" s="32" t="s">
        <v>875</v>
      </c>
      <c r="D452" s="32" t="s">
        <v>184</v>
      </c>
      <c r="E452" s="32" t="s">
        <v>219</v>
      </c>
      <c r="F452" s="32" t="s">
        <v>186</v>
      </c>
      <c r="G452" s="32" t="s">
        <v>223</v>
      </c>
      <c r="H452" s="32" t="s">
        <v>472</v>
      </c>
    </row>
    <row r="453" ht="16.5" customHeight="1">
      <c r="A453" s="32">
        <v>449.0</v>
      </c>
      <c r="C453" s="32" t="s">
        <v>876</v>
      </c>
      <c r="D453" s="32" t="s">
        <v>184</v>
      </c>
      <c r="E453" s="32" t="s">
        <v>234</v>
      </c>
      <c r="F453" s="32" t="s">
        <v>186</v>
      </c>
    </row>
    <row r="454" ht="16.5" customHeight="1">
      <c r="A454" s="32">
        <v>450.0</v>
      </c>
      <c r="C454" s="32" t="s">
        <v>877</v>
      </c>
      <c r="D454" s="32" t="s">
        <v>184</v>
      </c>
      <c r="E454" s="32" t="s">
        <v>228</v>
      </c>
      <c r="F454" s="32" t="s">
        <v>186</v>
      </c>
      <c r="G454" s="32" t="s">
        <v>229</v>
      </c>
      <c r="H454" s="32" t="s">
        <v>878</v>
      </c>
    </row>
    <row r="455" ht="16.5" customHeight="1">
      <c r="A455" s="32">
        <v>451.0</v>
      </c>
      <c r="C455" s="32" t="s">
        <v>879</v>
      </c>
      <c r="D455" s="32" t="s">
        <v>184</v>
      </c>
      <c r="E455" s="32" t="s">
        <v>192</v>
      </c>
      <c r="F455" s="32" t="s">
        <v>186</v>
      </c>
    </row>
    <row r="456" ht="16.5" customHeight="1">
      <c r="A456" s="32">
        <v>452.0</v>
      </c>
      <c r="C456" s="32" t="s">
        <v>880</v>
      </c>
      <c r="D456" s="32" t="s">
        <v>184</v>
      </c>
      <c r="E456" s="32" t="s">
        <v>214</v>
      </c>
      <c r="F456" s="32" t="s">
        <v>186</v>
      </c>
      <c r="G456" s="32" t="s">
        <v>216</v>
      </c>
      <c r="H456" s="32" t="s">
        <v>217</v>
      </c>
    </row>
    <row r="457" ht="16.5" customHeight="1">
      <c r="A457" s="32">
        <v>453.0</v>
      </c>
      <c r="C457" s="32" t="s">
        <v>881</v>
      </c>
      <c r="D457" s="32" t="s">
        <v>184</v>
      </c>
      <c r="E457" s="32" t="s">
        <v>219</v>
      </c>
      <c r="F457" s="32" t="s">
        <v>186</v>
      </c>
      <c r="G457" s="32" t="s">
        <v>223</v>
      </c>
      <c r="H457" s="32" t="s">
        <v>882</v>
      </c>
    </row>
    <row r="458" ht="16.5" customHeight="1">
      <c r="A458" s="32">
        <v>454.0</v>
      </c>
      <c r="C458" s="32" t="s">
        <v>191</v>
      </c>
      <c r="D458" s="32" t="s">
        <v>184</v>
      </c>
      <c r="E458" s="32" t="s">
        <v>192</v>
      </c>
      <c r="F458" s="32" t="s">
        <v>186</v>
      </c>
      <c r="G458" s="32" t="s">
        <v>193</v>
      </c>
      <c r="H458" s="32" t="s">
        <v>194</v>
      </c>
    </row>
    <row r="459" ht="16.5" customHeight="1">
      <c r="A459" s="32">
        <v>455.0</v>
      </c>
      <c r="C459" s="32" t="s">
        <v>883</v>
      </c>
      <c r="D459" s="32" t="s">
        <v>184</v>
      </c>
      <c r="E459" s="32" t="s">
        <v>192</v>
      </c>
      <c r="F459" s="32" t="s">
        <v>186</v>
      </c>
    </row>
    <row r="460" ht="16.5" customHeight="1">
      <c r="A460" s="32">
        <v>456.0</v>
      </c>
      <c r="C460" s="32" t="s">
        <v>884</v>
      </c>
      <c r="D460" s="32" t="s">
        <v>184</v>
      </c>
      <c r="E460" s="32" t="s">
        <v>234</v>
      </c>
      <c r="F460" s="32" t="s">
        <v>186</v>
      </c>
      <c r="G460" s="32" t="s">
        <v>885</v>
      </c>
      <c r="H460" s="32" t="s">
        <v>415</v>
      </c>
    </row>
    <row r="461" ht="16.5" customHeight="1">
      <c r="A461" s="32">
        <v>457.0</v>
      </c>
      <c r="C461" s="32" t="s">
        <v>886</v>
      </c>
      <c r="D461" s="32" t="s">
        <v>184</v>
      </c>
      <c r="E461" s="32" t="s">
        <v>219</v>
      </c>
      <c r="F461" s="32" t="s">
        <v>186</v>
      </c>
      <c r="G461" s="32" t="s">
        <v>223</v>
      </c>
    </row>
    <row r="462" ht="16.5" customHeight="1">
      <c r="A462" s="32">
        <v>458.0</v>
      </c>
      <c r="C462" s="32" t="s">
        <v>887</v>
      </c>
      <c r="D462" s="32" t="s">
        <v>184</v>
      </c>
      <c r="E462" s="32" t="s">
        <v>234</v>
      </c>
      <c r="F462" s="32" t="s">
        <v>186</v>
      </c>
      <c r="G462" s="32" t="s">
        <v>415</v>
      </c>
      <c r="H462" s="32" t="s">
        <v>888</v>
      </c>
    </row>
    <row r="463" ht="16.5" customHeight="1">
      <c r="A463" s="32">
        <v>459.0</v>
      </c>
      <c r="C463" s="32" t="s">
        <v>889</v>
      </c>
      <c r="D463" s="32" t="s">
        <v>184</v>
      </c>
      <c r="E463" s="32" t="s">
        <v>214</v>
      </c>
      <c r="F463" s="32" t="s">
        <v>186</v>
      </c>
      <c r="G463" s="32" t="s">
        <v>720</v>
      </c>
    </row>
    <row r="464" ht="16.5" customHeight="1">
      <c r="A464" s="32">
        <v>460.0</v>
      </c>
      <c r="C464" s="32" t="s">
        <v>890</v>
      </c>
      <c r="D464" s="32" t="s">
        <v>184</v>
      </c>
      <c r="E464" s="32" t="s">
        <v>185</v>
      </c>
      <c r="F464" s="32" t="s">
        <v>186</v>
      </c>
      <c r="G464" s="32" t="s">
        <v>891</v>
      </c>
      <c r="H464" s="32" t="s">
        <v>892</v>
      </c>
    </row>
    <row r="465" ht="16.5" customHeight="1">
      <c r="A465" s="32">
        <v>461.0</v>
      </c>
      <c r="C465" s="32" t="s">
        <v>893</v>
      </c>
      <c r="D465" s="32" t="s">
        <v>184</v>
      </c>
      <c r="E465" s="32" t="s">
        <v>285</v>
      </c>
      <c r="F465" s="32" t="s">
        <v>186</v>
      </c>
      <c r="G465" s="32" t="s">
        <v>189</v>
      </c>
      <c r="H465" s="32" t="s">
        <v>190</v>
      </c>
    </row>
    <row r="466" ht="16.5" customHeight="1">
      <c r="A466" s="32">
        <v>462.0</v>
      </c>
      <c r="C466" s="32" t="s">
        <v>894</v>
      </c>
      <c r="D466" s="32" t="s">
        <v>184</v>
      </c>
      <c r="E466" s="32" t="s">
        <v>285</v>
      </c>
      <c r="F466" s="32" t="s">
        <v>186</v>
      </c>
    </row>
    <row r="467" ht="16.5" customHeight="1">
      <c r="A467" s="32">
        <v>463.0</v>
      </c>
      <c r="C467" s="32" t="s">
        <v>895</v>
      </c>
      <c r="D467" s="32" t="s">
        <v>184</v>
      </c>
      <c r="E467" s="32" t="s">
        <v>219</v>
      </c>
      <c r="F467" s="32" t="s">
        <v>186</v>
      </c>
      <c r="G467" s="32" t="s">
        <v>223</v>
      </c>
      <c r="H467" s="32" t="s">
        <v>896</v>
      </c>
    </row>
    <row r="468" ht="16.5" customHeight="1">
      <c r="A468" s="32">
        <v>464.0</v>
      </c>
      <c r="C468" s="32" t="s">
        <v>897</v>
      </c>
      <c r="D468" s="32" t="s">
        <v>184</v>
      </c>
      <c r="E468" s="32" t="s">
        <v>219</v>
      </c>
      <c r="F468" s="32" t="s">
        <v>186</v>
      </c>
    </row>
    <row r="469" ht="16.5" customHeight="1">
      <c r="A469" s="32">
        <v>465.0</v>
      </c>
      <c r="C469" s="32" t="s">
        <v>898</v>
      </c>
      <c r="D469" s="32" t="s">
        <v>184</v>
      </c>
      <c r="E469" s="32" t="s">
        <v>185</v>
      </c>
      <c r="F469" s="32" t="s">
        <v>186</v>
      </c>
      <c r="G469" s="32" t="s">
        <v>187</v>
      </c>
      <c r="H469" s="32" t="s">
        <v>854</v>
      </c>
    </row>
    <row r="470" ht="16.5" customHeight="1">
      <c r="A470" s="32">
        <v>466.0</v>
      </c>
      <c r="C470" s="32" t="s">
        <v>899</v>
      </c>
      <c r="D470" s="32" t="s">
        <v>184</v>
      </c>
      <c r="E470" s="32" t="s">
        <v>285</v>
      </c>
      <c r="F470" s="32" t="s">
        <v>186</v>
      </c>
    </row>
    <row r="471" ht="16.5" customHeight="1">
      <c r="A471" s="32">
        <v>467.0</v>
      </c>
      <c r="C471" s="32" t="s">
        <v>900</v>
      </c>
      <c r="D471" s="32" t="s">
        <v>184</v>
      </c>
      <c r="E471" s="32" t="s">
        <v>185</v>
      </c>
      <c r="F471" s="32" t="s">
        <v>186</v>
      </c>
      <c r="G471" s="32" t="s">
        <v>189</v>
      </c>
      <c r="H471" s="32" t="s">
        <v>190</v>
      </c>
    </row>
    <row r="472" ht="16.5" customHeight="1">
      <c r="A472" s="32">
        <v>468.0</v>
      </c>
      <c r="C472" s="32" t="s">
        <v>901</v>
      </c>
      <c r="D472" s="32" t="s">
        <v>184</v>
      </c>
      <c r="E472" s="35" t="s">
        <v>294</v>
      </c>
      <c r="F472" s="32" t="s">
        <v>186</v>
      </c>
      <c r="G472" s="32" t="s">
        <v>189</v>
      </c>
      <c r="H472" s="32" t="s">
        <v>902</v>
      </c>
    </row>
    <row r="473" ht="16.5" customHeight="1">
      <c r="A473" s="32">
        <v>469.0</v>
      </c>
      <c r="C473" s="32" t="s">
        <v>903</v>
      </c>
      <c r="D473" s="32" t="s">
        <v>184</v>
      </c>
      <c r="E473" s="32" t="s">
        <v>254</v>
      </c>
      <c r="F473" s="32" t="s">
        <v>186</v>
      </c>
    </row>
    <row r="474" ht="16.5" customHeight="1">
      <c r="A474" s="32">
        <v>470.0</v>
      </c>
      <c r="C474" s="32" t="s">
        <v>904</v>
      </c>
      <c r="D474" s="32" t="s">
        <v>184</v>
      </c>
      <c r="E474" s="32" t="s">
        <v>285</v>
      </c>
      <c r="F474" s="32" t="s">
        <v>186</v>
      </c>
      <c r="G474" s="32" t="s">
        <v>189</v>
      </c>
      <c r="H474" s="32" t="s">
        <v>190</v>
      </c>
    </row>
    <row r="475" ht="16.5" customHeight="1">
      <c r="A475" s="32">
        <v>471.0</v>
      </c>
      <c r="C475" s="32" t="s">
        <v>905</v>
      </c>
      <c r="D475" s="32" t="s">
        <v>184</v>
      </c>
      <c r="E475" s="32" t="s">
        <v>285</v>
      </c>
      <c r="F475" s="32" t="s">
        <v>186</v>
      </c>
    </row>
    <row r="476" ht="16.5" customHeight="1">
      <c r="A476" s="32">
        <v>472.0</v>
      </c>
      <c r="C476" s="32" t="s">
        <v>906</v>
      </c>
      <c r="D476" s="32" t="s">
        <v>184</v>
      </c>
      <c r="E476" s="32" t="s">
        <v>285</v>
      </c>
      <c r="F476" s="32" t="s">
        <v>186</v>
      </c>
      <c r="G476" s="32" t="s">
        <v>189</v>
      </c>
      <c r="H476" s="32" t="s">
        <v>190</v>
      </c>
    </row>
    <row r="477" ht="16.5" customHeight="1">
      <c r="A477" s="32">
        <v>473.0</v>
      </c>
      <c r="C477" s="32" t="s">
        <v>907</v>
      </c>
      <c r="D477" s="32" t="s">
        <v>184</v>
      </c>
      <c r="E477" s="35" t="s">
        <v>294</v>
      </c>
      <c r="F477" s="32" t="s">
        <v>186</v>
      </c>
      <c r="G477" s="32" t="s">
        <v>189</v>
      </c>
      <c r="H477" s="32" t="s">
        <v>190</v>
      </c>
    </row>
    <row r="478" ht="16.5" customHeight="1">
      <c r="A478" s="32">
        <v>474.0</v>
      </c>
      <c r="C478" s="32" t="s">
        <v>218</v>
      </c>
      <c r="D478" s="32" t="s">
        <v>184</v>
      </c>
      <c r="E478" s="32" t="s">
        <v>219</v>
      </c>
      <c r="F478" s="32" t="s">
        <v>186</v>
      </c>
    </row>
    <row r="479" ht="16.5" customHeight="1">
      <c r="A479" s="32">
        <v>475.0</v>
      </c>
      <c r="C479" s="32" t="s">
        <v>908</v>
      </c>
      <c r="D479" s="32" t="s">
        <v>184</v>
      </c>
      <c r="E479" s="32" t="s">
        <v>219</v>
      </c>
      <c r="F479" s="32" t="s">
        <v>186</v>
      </c>
    </row>
    <row r="480" ht="16.5" customHeight="1">
      <c r="A480" s="32">
        <v>476.0</v>
      </c>
      <c r="C480" s="32" t="s">
        <v>909</v>
      </c>
      <c r="D480" s="32" t="s">
        <v>184</v>
      </c>
      <c r="E480" s="32" t="s">
        <v>192</v>
      </c>
      <c r="F480" s="32" t="s">
        <v>186</v>
      </c>
      <c r="G480" s="32" t="s">
        <v>329</v>
      </c>
      <c r="H480" s="32" t="s">
        <v>447</v>
      </c>
    </row>
    <row r="481" ht="16.5" customHeight="1">
      <c r="A481" s="32">
        <v>477.0</v>
      </c>
      <c r="C481" s="32" t="s">
        <v>910</v>
      </c>
      <c r="D481" s="32" t="s">
        <v>184</v>
      </c>
      <c r="E481" s="32" t="s">
        <v>219</v>
      </c>
      <c r="F481" s="32" t="s">
        <v>186</v>
      </c>
      <c r="G481" s="32" t="s">
        <v>223</v>
      </c>
      <c r="H481" s="32" t="s">
        <v>896</v>
      </c>
    </row>
    <row r="482" ht="16.5" customHeight="1">
      <c r="A482" s="32">
        <v>478.0</v>
      </c>
      <c r="C482" s="32" t="s">
        <v>911</v>
      </c>
      <c r="D482" s="32" t="s">
        <v>184</v>
      </c>
      <c r="E482" s="32" t="s">
        <v>219</v>
      </c>
      <c r="F482" s="32" t="s">
        <v>186</v>
      </c>
      <c r="G482" s="32" t="s">
        <v>223</v>
      </c>
    </row>
    <row r="483" ht="16.5" customHeight="1">
      <c r="A483" s="32">
        <v>479.0</v>
      </c>
      <c r="C483" s="32" t="s">
        <v>912</v>
      </c>
      <c r="D483" s="32" t="s">
        <v>184</v>
      </c>
      <c r="E483" s="32" t="s">
        <v>192</v>
      </c>
      <c r="F483" s="32" t="s">
        <v>186</v>
      </c>
      <c r="G483" s="32" t="s">
        <v>329</v>
      </c>
      <c r="H483" s="32" t="s">
        <v>357</v>
      </c>
    </row>
    <row r="484" ht="16.5" customHeight="1">
      <c r="A484" s="32">
        <v>480.0</v>
      </c>
      <c r="C484" s="32" t="s">
        <v>913</v>
      </c>
      <c r="D484" s="32" t="s">
        <v>184</v>
      </c>
      <c r="E484" s="32" t="s">
        <v>219</v>
      </c>
      <c r="F484" s="32" t="s">
        <v>186</v>
      </c>
      <c r="G484" s="32" t="s">
        <v>223</v>
      </c>
    </row>
    <row r="485" ht="16.5" customHeight="1">
      <c r="A485" s="32">
        <v>481.0</v>
      </c>
      <c r="C485" s="32" t="s">
        <v>914</v>
      </c>
      <c r="D485" s="32" t="s">
        <v>184</v>
      </c>
      <c r="E485" s="32" t="s">
        <v>185</v>
      </c>
      <c r="F485" s="32" t="s">
        <v>186</v>
      </c>
      <c r="G485" s="32" t="s">
        <v>187</v>
      </c>
      <c r="H485" s="32" t="s">
        <v>665</v>
      </c>
    </row>
    <row r="486" ht="16.5" customHeight="1">
      <c r="A486" s="32">
        <v>482.0</v>
      </c>
      <c r="C486" s="32" t="s">
        <v>915</v>
      </c>
      <c r="D486" s="32" t="s">
        <v>184</v>
      </c>
      <c r="E486" s="32" t="s">
        <v>219</v>
      </c>
      <c r="F486" s="32" t="s">
        <v>186</v>
      </c>
      <c r="G486" s="32" t="s">
        <v>232</v>
      </c>
      <c r="H486" s="32" t="s">
        <v>233</v>
      </c>
    </row>
    <row r="487" ht="16.5" customHeight="1">
      <c r="A487" s="32">
        <v>483.0</v>
      </c>
      <c r="C487" s="32" t="s">
        <v>916</v>
      </c>
      <c r="D487" s="32" t="s">
        <v>184</v>
      </c>
      <c r="E487" s="32" t="s">
        <v>192</v>
      </c>
      <c r="F487" s="32" t="s">
        <v>186</v>
      </c>
      <c r="G487" s="32" t="s">
        <v>329</v>
      </c>
      <c r="H487" s="32" t="s">
        <v>447</v>
      </c>
    </row>
    <row r="488" ht="16.5" customHeight="1">
      <c r="A488" s="32">
        <v>484.0</v>
      </c>
      <c r="C488" s="32" t="s">
        <v>917</v>
      </c>
      <c r="D488" s="32" t="s">
        <v>184</v>
      </c>
      <c r="E488" s="32" t="s">
        <v>219</v>
      </c>
      <c r="F488" s="32" t="s">
        <v>186</v>
      </c>
      <c r="G488" s="32" t="s">
        <v>223</v>
      </c>
    </row>
    <row r="489" ht="16.5" customHeight="1">
      <c r="A489" s="32">
        <v>485.0</v>
      </c>
      <c r="C489" s="32" t="s">
        <v>918</v>
      </c>
      <c r="D489" s="32" t="s">
        <v>184</v>
      </c>
      <c r="E489" s="32" t="s">
        <v>219</v>
      </c>
      <c r="F489" s="32" t="s">
        <v>186</v>
      </c>
      <c r="G489" s="32" t="s">
        <v>223</v>
      </c>
    </row>
    <row r="490" ht="16.5" customHeight="1">
      <c r="A490" s="32">
        <v>486.0</v>
      </c>
      <c r="C490" s="32" t="s">
        <v>919</v>
      </c>
      <c r="D490" s="32" t="s">
        <v>184</v>
      </c>
      <c r="E490" s="32" t="s">
        <v>219</v>
      </c>
      <c r="F490" s="32" t="s">
        <v>186</v>
      </c>
      <c r="G490" s="32" t="s">
        <v>223</v>
      </c>
      <c r="H490" s="32" t="s">
        <v>472</v>
      </c>
    </row>
    <row r="491" ht="16.5" customHeight="1">
      <c r="A491" s="32">
        <v>487.0</v>
      </c>
      <c r="C491" s="32" t="s">
        <v>920</v>
      </c>
      <c r="D491" s="32" t="s">
        <v>184</v>
      </c>
      <c r="E491" s="32" t="s">
        <v>228</v>
      </c>
      <c r="F491" s="32" t="s">
        <v>186</v>
      </c>
      <c r="G491" s="32" t="s">
        <v>229</v>
      </c>
      <c r="H491" s="32" t="s">
        <v>626</v>
      </c>
    </row>
    <row r="492" ht="16.5" customHeight="1">
      <c r="A492" s="32">
        <v>488.0</v>
      </c>
      <c r="C492" s="32" t="s">
        <v>921</v>
      </c>
      <c r="D492" s="32" t="s">
        <v>184</v>
      </c>
      <c r="E492" s="32" t="s">
        <v>764</v>
      </c>
      <c r="F492" s="32" t="s">
        <v>186</v>
      </c>
    </row>
    <row r="493" ht="16.5" customHeight="1">
      <c r="A493" s="32">
        <v>489.0</v>
      </c>
      <c r="C493" s="32" t="s">
        <v>922</v>
      </c>
      <c r="D493" s="32" t="s">
        <v>184</v>
      </c>
      <c r="E493" s="32" t="s">
        <v>192</v>
      </c>
      <c r="F493" s="32" t="s">
        <v>186</v>
      </c>
      <c r="G493" s="32" t="s">
        <v>570</v>
      </c>
      <c r="H493" s="32" t="s">
        <v>447</v>
      </c>
    </row>
    <row r="494" ht="16.5" customHeight="1">
      <c r="A494" s="32">
        <v>490.0</v>
      </c>
      <c r="C494" s="32" t="s">
        <v>923</v>
      </c>
      <c r="D494" s="32" t="s">
        <v>184</v>
      </c>
      <c r="E494" s="32" t="s">
        <v>285</v>
      </c>
      <c r="F494" s="32" t="s">
        <v>186</v>
      </c>
      <c r="G494" s="32" t="s">
        <v>189</v>
      </c>
      <c r="H494" s="32" t="s">
        <v>190</v>
      </c>
    </row>
    <row r="495" ht="16.5" customHeight="1">
      <c r="A495" s="32">
        <v>491.0</v>
      </c>
      <c r="C495" s="32" t="s">
        <v>924</v>
      </c>
      <c r="D495" s="32" t="s">
        <v>184</v>
      </c>
      <c r="E495" s="32" t="s">
        <v>285</v>
      </c>
      <c r="F495" s="32" t="s">
        <v>186</v>
      </c>
      <c r="G495" s="32" t="s">
        <v>189</v>
      </c>
      <c r="H495" s="32" t="s">
        <v>190</v>
      </c>
    </row>
    <row r="496" ht="16.5" customHeight="1">
      <c r="A496" s="32">
        <v>492.0</v>
      </c>
      <c r="C496" s="32" t="s">
        <v>925</v>
      </c>
      <c r="D496" s="32" t="s">
        <v>184</v>
      </c>
      <c r="E496" s="32" t="s">
        <v>285</v>
      </c>
      <c r="F496" s="32" t="s">
        <v>186</v>
      </c>
      <c r="G496" s="32" t="s">
        <v>552</v>
      </c>
      <c r="H496" s="32" t="s">
        <v>553</v>
      </c>
    </row>
    <row r="497" ht="16.5" customHeight="1">
      <c r="A497" s="32">
        <v>493.0</v>
      </c>
      <c r="C497" s="32" t="s">
        <v>926</v>
      </c>
      <c r="D497" s="32" t="s">
        <v>184</v>
      </c>
      <c r="E497" s="32" t="s">
        <v>285</v>
      </c>
      <c r="F497" s="32" t="s">
        <v>186</v>
      </c>
    </row>
    <row r="498" ht="16.5" customHeight="1">
      <c r="A498" s="32">
        <v>494.0</v>
      </c>
      <c r="C498" s="32" t="s">
        <v>927</v>
      </c>
      <c r="D498" s="32" t="s">
        <v>184</v>
      </c>
      <c r="E498" s="32" t="s">
        <v>192</v>
      </c>
      <c r="F498" s="32" t="s">
        <v>186</v>
      </c>
      <c r="G498" s="32" t="s">
        <v>329</v>
      </c>
      <c r="H498" s="32" t="s">
        <v>330</v>
      </c>
    </row>
    <row r="499" ht="16.5" customHeight="1">
      <c r="A499" s="32">
        <v>495.0</v>
      </c>
      <c r="C499" s="32" t="s">
        <v>928</v>
      </c>
      <c r="D499" s="32" t="s">
        <v>184</v>
      </c>
      <c r="E499" s="32" t="s">
        <v>219</v>
      </c>
      <c r="F499" s="32" t="s">
        <v>186</v>
      </c>
      <c r="G499" s="32" t="s">
        <v>223</v>
      </c>
      <c r="H499" s="32" t="s">
        <v>408</v>
      </c>
    </row>
    <row r="500" ht="16.5" customHeight="1">
      <c r="A500" s="32">
        <v>496.0</v>
      </c>
      <c r="C500" s="32" t="s">
        <v>929</v>
      </c>
      <c r="D500" s="32" t="s">
        <v>184</v>
      </c>
      <c r="E500" s="32" t="s">
        <v>285</v>
      </c>
      <c r="F500" s="32" t="s">
        <v>186</v>
      </c>
      <c r="G500" s="32" t="s">
        <v>189</v>
      </c>
      <c r="H500" s="32" t="s">
        <v>190</v>
      </c>
    </row>
    <row r="501" ht="16.5" customHeight="1">
      <c r="A501" s="32">
        <v>497.0</v>
      </c>
      <c r="C501" s="32" t="s">
        <v>930</v>
      </c>
      <c r="D501" s="32" t="s">
        <v>184</v>
      </c>
      <c r="E501" s="32" t="s">
        <v>228</v>
      </c>
      <c r="F501" s="32" t="s">
        <v>186</v>
      </c>
    </row>
    <row r="502" ht="16.5" customHeight="1">
      <c r="A502" s="32">
        <v>498.0</v>
      </c>
      <c r="C502" s="32" t="s">
        <v>931</v>
      </c>
      <c r="D502" s="32" t="s">
        <v>184</v>
      </c>
      <c r="E502" s="32" t="s">
        <v>185</v>
      </c>
      <c r="F502" s="32" t="s">
        <v>186</v>
      </c>
      <c r="G502" s="32" t="s">
        <v>187</v>
      </c>
      <c r="H502" s="32" t="s">
        <v>854</v>
      </c>
    </row>
    <row r="503" ht="16.5" customHeight="1">
      <c r="A503" s="32">
        <v>499.0</v>
      </c>
      <c r="C503" s="32" t="s">
        <v>932</v>
      </c>
      <c r="D503" s="32" t="s">
        <v>184</v>
      </c>
      <c r="E503" s="32" t="s">
        <v>285</v>
      </c>
      <c r="F503" s="32" t="s">
        <v>186</v>
      </c>
      <c r="G503" s="32" t="s">
        <v>552</v>
      </c>
      <c r="H503" s="32" t="s">
        <v>553</v>
      </c>
    </row>
    <row r="504" ht="16.5" customHeight="1">
      <c r="A504" s="32">
        <v>500.0</v>
      </c>
      <c r="C504" s="32" t="s">
        <v>933</v>
      </c>
      <c r="D504" s="32" t="s">
        <v>184</v>
      </c>
      <c r="E504" s="32" t="s">
        <v>285</v>
      </c>
      <c r="F504" s="32" t="s">
        <v>186</v>
      </c>
    </row>
    <row r="505" ht="16.5" customHeight="1">
      <c r="A505" s="32">
        <v>501.0</v>
      </c>
      <c r="C505" s="32" t="s">
        <v>934</v>
      </c>
      <c r="D505" s="32" t="s">
        <v>184</v>
      </c>
      <c r="E505" s="32" t="s">
        <v>285</v>
      </c>
      <c r="F505" s="32" t="s">
        <v>186</v>
      </c>
      <c r="G505" s="32" t="s">
        <v>189</v>
      </c>
      <c r="H505" s="32" t="s">
        <v>190</v>
      </c>
    </row>
    <row r="506" ht="16.5" customHeight="1">
      <c r="A506" s="32">
        <v>502.0</v>
      </c>
      <c r="C506" s="32" t="s">
        <v>935</v>
      </c>
      <c r="D506" s="32" t="s">
        <v>184</v>
      </c>
      <c r="E506" s="32" t="s">
        <v>192</v>
      </c>
      <c r="F506" s="32" t="s">
        <v>186</v>
      </c>
      <c r="G506" s="32" t="s">
        <v>238</v>
      </c>
      <c r="H506" s="32" t="s">
        <v>618</v>
      </c>
    </row>
    <row r="507" ht="16.5" customHeight="1">
      <c r="A507" s="32">
        <v>503.0</v>
      </c>
      <c r="C507" s="32" t="s">
        <v>936</v>
      </c>
      <c r="D507" s="32" t="s">
        <v>184</v>
      </c>
      <c r="E507" s="32" t="s">
        <v>285</v>
      </c>
      <c r="F507" s="32" t="s">
        <v>186</v>
      </c>
      <c r="G507" s="32" t="s">
        <v>552</v>
      </c>
      <c r="H507" s="32" t="s">
        <v>553</v>
      </c>
    </row>
    <row r="508" ht="16.5" customHeight="1">
      <c r="A508" s="32">
        <v>504.0</v>
      </c>
      <c r="C508" s="32" t="s">
        <v>937</v>
      </c>
      <c r="D508" s="32" t="s">
        <v>184</v>
      </c>
      <c r="E508" s="32" t="s">
        <v>214</v>
      </c>
      <c r="F508" s="32" t="s">
        <v>186</v>
      </c>
      <c r="G508" s="32" t="s">
        <v>604</v>
      </c>
    </row>
    <row r="509" ht="16.5" customHeight="1">
      <c r="A509" s="32">
        <v>505.0</v>
      </c>
      <c r="C509" s="32" t="s">
        <v>938</v>
      </c>
      <c r="D509" s="32" t="s">
        <v>184</v>
      </c>
      <c r="E509" s="32" t="s">
        <v>214</v>
      </c>
      <c r="F509" s="32" t="s">
        <v>186</v>
      </c>
    </row>
    <row r="510" ht="16.5" customHeight="1">
      <c r="A510" s="32">
        <v>506.0</v>
      </c>
      <c r="C510" s="32" t="s">
        <v>939</v>
      </c>
      <c r="D510" s="32" t="s">
        <v>184</v>
      </c>
      <c r="E510" s="32" t="s">
        <v>214</v>
      </c>
      <c r="F510" s="32" t="s">
        <v>186</v>
      </c>
      <c r="G510" s="32" t="s">
        <v>720</v>
      </c>
    </row>
    <row r="511" ht="16.5" customHeight="1">
      <c r="A511" s="32">
        <v>507.0</v>
      </c>
      <c r="C511" s="32" t="s">
        <v>940</v>
      </c>
      <c r="D511" s="32" t="s">
        <v>184</v>
      </c>
      <c r="E511" s="32" t="s">
        <v>214</v>
      </c>
      <c r="F511" s="32" t="s">
        <v>186</v>
      </c>
    </row>
    <row r="512" ht="16.5" customHeight="1">
      <c r="A512" s="32">
        <v>508.0</v>
      </c>
      <c r="C512" s="32" t="s">
        <v>941</v>
      </c>
      <c r="D512" s="32" t="s">
        <v>184</v>
      </c>
      <c r="E512" s="32" t="s">
        <v>234</v>
      </c>
      <c r="F512" s="32" t="s">
        <v>186</v>
      </c>
      <c r="G512" s="32" t="s">
        <v>347</v>
      </c>
      <c r="H512" s="32" t="s">
        <v>382</v>
      </c>
    </row>
    <row r="513" ht="16.5" customHeight="1">
      <c r="A513" s="32">
        <v>509.0</v>
      </c>
      <c r="C513" s="32" t="s">
        <v>942</v>
      </c>
      <c r="D513" s="32" t="s">
        <v>184</v>
      </c>
      <c r="E513" s="32" t="s">
        <v>185</v>
      </c>
      <c r="F513" s="32" t="s">
        <v>186</v>
      </c>
    </row>
    <row r="514" ht="16.5" customHeight="1">
      <c r="A514" s="32">
        <v>510.0</v>
      </c>
      <c r="C514" s="32" t="s">
        <v>943</v>
      </c>
      <c r="D514" s="32" t="s">
        <v>184</v>
      </c>
      <c r="E514" s="32" t="s">
        <v>234</v>
      </c>
      <c r="F514" s="32" t="s">
        <v>186</v>
      </c>
      <c r="G514" s="32" t="s">
        <v>347</v>
      </c>
      <c r="H514" s="32" t="s">
        <v>382</v>
      </c>
    </row>
    <row r="515" ht="16.5" customHeight="1">
      <c r="A515" s="32">
        <v>511.0</v>
      </c>
      <c r="C515" s="32" t="s">
        <v>944</v>
      </c>
      <c r="D515" s="32" t="s">
        <v>184</v>
      </c>
      <c r="E515" s="32" t="s">
        <v>234</v>
      </c>
      <c r="F515" s="32" t="s">
        <v>186</v>
      </c>
      <c r="G515" s="32" t="s">
        <v>415</v>
      </c>
      <c r="H515" s="32" t="s">
        <v>243</v>
      </c>
    </row>
    <row r="516" ht="16.5" customHeight="1">
      <c r="A516" s="32">
        <v>512.0</v>
      </c>
      <c r="C516" s="32" t="s">
        <v>945</v>
      </c>
      <c r="D516" s="32" t="s">
        <v>184</v>
      </c>
      <c r="E516" s="32" t="s">
        <v>185</v>
      </c>
      <c r="F516" s="32" t="s">
        <v>186</v>
      </c>
    </row>
    <row r="517" ht="16.5" customHeight="1">
      <c r="A517" s="32">
        <v>513.0</v>
      </c>
      <c r="C517" s="32" t="s">
        <v>946</v>
      </c>
      <c r="D517" s="32" t="s">
        <v>184</v>
      </c>
      <c r="E517" s="32" t="s">
        <v>192</v>
      </c>
      <c r="F517" s="32" t="s">
        <v>186</v>
      </c>
      <c r="G517" s="32" t="s">
        <v>329</v>
      </c>
      <c r="H517" s="32" t="s">
        <v>447</v>
      </c>
    </row>
    <row r="518" ht="16.5" customHeight="1">
      <c r="A518" s="32">
        <v>514.0</v>
      </c>
      <c r="C518" s="32" t="s">
        <v>947</v>
      </c>
      <c r="D518" s="32" t="s">
        <v>184</v>
      </c>
      <c r="E518" s="32" t="s">
        <v>234</v>
      </c>
      <c r="F518" s="32" t="s">
        <v>186</v>
      </c>
    </row>
    <row r="519" ht="16.5" customHeight="1">
      <c r="A519" s="32">
        <v>515.0</v>
      </c>
      <c r="C519" s="32" t="s">
        <v>948</v>
      </c>
      <c r="D519" s="32" t="s">
        <v>184</v>
      </c>
      <c r="E519" s="32" t="s">
        <v>219</v>
      </c>
      <c r="F519" s="32" t="s">
        <v>186</v>
      </c>
    </row>
    <row r="520" ht="16.5" customHeight="1">
      <c r="A520" s="32">
        <v>516.0</v>
      </c>
      <c r="C520" s="32" t="s">
        <v>949</v>
      </c>
      <c r="D520" s="32" t="s">
        <v>184</v>
      </c>
      <c r="E520" s="32" t="s">
        <v>285</v>
      </c>
      <c r="F520" s="32" t="s">
        <v>186</v>
      </c>
    </row>
    <row r="521" ht="16.5" customHeight="1">
      <c r="A521" s="32">
        <v>517.0</v>
      </c>
      <c r="C521" s="32" t="s">
        <v>950</v>
      </c>
      <c r="D521" s="32" t="s">
        <v>184</v>
      </c>
      <c r="E521" s="32" t="s">
        <v>285</v>
      </c>
      <c r="F521" s="32" t="s">
        <v>186</v>
      </c>
    </row>
    <row r="522" ht="16.5" customHeight="1">
      <c r="A522" s="32">
        <v>518.0</v>
      </c>
      <c r="C522" s="32" t="s">
        <v>951</v>
      </c>
      <c r="D522" s="32" t="s">
        <v>184</v>
      </c>
      <c r="E522" s="32" t="s">
        <v>219</v>
      </c>
      <c r="F522" s="32" t="s">
        <v>186</v>
      </c>
    </row>
    <row r="523" ht="16.5" customHeight="1">
      <c r="A523" s="32">
        <v>519.0</v>
      </c>
      <c r="C523" s="32" t="s">
        <v>952</v>
      </c>
      <c r="D523" s="32" t="s">
        <v>184</v>
      </c>
      <c r="E523" s="32" t="s">
        <v>285</v>
      </c>
      <c r="F523" s="32" t="s">
        <v>186</v>
      </c>
    </row>
    <row r="524" ht="16.5" customHeight="1">
      <c r="A524" s="32">
        <v>520.0</v>
      </c>
      <c r="C524" s="32" t="s">
        <v>953</v>
      </c>
      <c r="D524" s="32" t="s">
        <v>184</v>
      </c>
      <c r="E524" s="32" t="s">
        <v>764</v>
      </c>
      <c r="F524" s="32" t="s">
        <v>186</v>
      </c>
      <c r="G524" s="32" t="s">
        <v>954</v>
      </c>
    </row>
    <row r="525" ht="16.5" customHeight="1">
      <c r="A525" s="32">
        <v>521.0</v>
      </c>
      <c r="C525" s="32" t="s">
        <v>955</v>
      </c>
      <c r="D525" s="32" t="s">
        <v>184</v>
      </c>
      <c r="E525" s="32" t="s">
        <v>764</v>
      </c>
      <c r="F525" s="32" t="s">
        <v>186</v>
      </c>
      <c r="G525" s="32" t="s">
        <v>956</v>
      </c>
    </row>
    <row r="526" ht="16.5" customHeight="1">
      <c r="A526" s="32">
        <v>522.0</v>
      </c>
      <c r="C526" s="32" t="s">
        <v>957</v>
      </c>
      <c r="D526" s="32" t="s">
        <v>184</v>
      </c>
      <c r="E526" s="35" t="s">
        <v>691</v>
      </c>
      <c r="F526" s="32" t="s">
        <v>186</v>
      </c>
    </row>
    <row r="527" ht="16.5" customHeight="1">
      <c r="A527" s="32">
        <v>523.0</v>
      </c>
      <c r="C527" s="32" t="s">
        <v>958</v>
      </c>
      <c r="D527" s="32" t="s">
        <v>184</v>
      </c>
      <c r="E527" s="32" t="s">
        <v>192</v>
      </c>
      <c r="F527" s="32" t="s">
        <v>186</v>
      </c>
    </row>
    <row r="528" ht="16.5" customHeight="1">
      <c r="A528" s="32">
        <v>524.0</v>
      </c>
      <c r="C528" s="32" t="s">
        <v>959</v>
      </c>
      <c r="D528" s="32" t="s">
        <v>184</v>
      </c>
      <c r="E528" s="32" t="s">
        <v>764</v>
      </c>
      <c r="F528" s="32" t="s">
        <v>186</v>
      </c>
      <c r="G528" s="32" t="s">
        <v>954</v>
      </c>
    </row>
    <row r="529" ht="16.5" customHeight="1">
      <c r="A529" s="32">
        <v>525.0</v>
      </c>
      <c r="C529" s="32" t="s">
        <v>960</v>
      </c>
      <c r="D529" s="32" t="s">
        <v>184</v>
      </c>
      <c r="E529" s="32" t="s">
        <v>764</v>
      </c>
      <c r="F529" s="32" t="s">
        <v>186</v>
      </c>
      <c r="G529" s="32" t="s">
        <v>961</v>
      </c>
    </row>
    <row r="530" ht="16.5" customHeight="1">
      <c r="A530" s="32">
        <v>526.0</v>
      </c>
      <c r="C530" s="32" t="s">
        <v>962</v>
      </c>
      <c r="D530" s="32" t="s">
        <v>184</v>
      </c>
      <c r="E530" s="32" t="s">
        <v>219</v>
      </c>
      <c r="F530" s="32" t="s">
        <v>186</v>
      </c>
      <c r="G530" s="32" t="s">
        <v>232</v>
      </c>
      <c r="H530" s="32" t="s">
        <v>233</v>
      </c>
    </row>
    <row r="531" ht="16.5" customHeight="1">
      <c r="A531" s="32">
        <v>527.0</v>
      </c>
      <c r="C531" s="32" t="s">
        <v>963</v>
      </c>
      <c r="D531" s="32" t="s">
        <v>184</v>
      </c>
      <c r="E531" s="32" t="s">
        <v>219</v>
      </c>
      <c r="F531" s="32" t="s">
        <v>186</v>
      </c>
      <c r="G531" s="32" t="s">
        <v>232</v>
      </c>
      <c r="H531" s="32" t="s">
        <v>233</v>
      </c>
    </row>
    <row r="532" ht="16.5" customHeight="1">
      <c r="A532" s="32">
        <v>528.0</v>
      </c>
      <c r="C532" s="32" t="s">
        <v>964</v>
      </c>
      <c r="D532" s="32" t="s">
        <v>184</v>
      </c>
      <c r="E532" s="32" t="s">
        <v>254</v>
      </c>
      <c r="F532" s="32" t="s">
        <v>186</v>
      </c>
      <c r="G532" s="32" t="s">
        <v>965</v>
      </c>
      <c r="H532" s="32" t="s">
        <v>966</v>
      </c>
    </row>
    <row r="533" ht="16.5" customHeight="1">
      <c r="A533" s="32">
        <v>529.0</v>
      </c>
      <c r="C533" s="32" t="s">
        <v>967</v>
      </c>
      <c r="D533" s="32" t="s">
        <v>184</v>
      </c>
      <c r="E533" s="32" t="s">
        <v>219</v>
      </c>
      <c r="F533" s="32" t="s">
        <v>186</v>
      </c>
      <c r="G533" s="32" t="s">
        <v>232</v>
      </c>
      <c r="H533" s="32" t="s">
        <v>233</v>
      </c>
    </row>
    <row r="534" ht="16.5" customHeight="1">
      <c r="A534" s="32">
        <v>530.0</v>
      </c>
      <c r="C534" s="32" t="s">
        <v>968</v>
      </c>
      <c r="D534" s="32" t="s">
        <v>184</v>
      </c>
      <c r="E534" s="32" t="s">
        <v>219</v>
      </c>
      <c r="F534" s="32" t="s">
        <v>186</v>
      </c>
      <c r="G534" s="32" t="s">
        <v>241</v>
      </c>
      <c r="H534" s="32" t="s">
        <v>292</v>
      </c>
    </row>
    <row r="535" ht="16.5" customHeight="1">
      <c r="A535" s="32">
        <v>531.0</v>
      </c>
      <c r="C535" s="32" t="s">
        <v>969</v>
      </c>
      <c r="D535" s="32" t="s">
        <v>184</v>
      </c>
      <c r="E535" s="32" t="s">
        <v>192</v>
      </c>
      <c r="F535" s="32" t="s">
        <v>186</v>
      </c>
      <c r="G535" s="32" t="s">
        <v>300</v>
      </c>
      <c r="H535" s="32" t="s">
        <v>970</v>
      </c>
    </row>
    <row r="536" ht="16.5" customHeight="1">
      <c r="A536" s="32">
        <v>532.0</v>
      </c>
      <c r="C536" s="32" t="s">
        <v>969</v>
      </c>
      <c r="D536" s="32" t="s">
        <v>184</v>
      </c>
      <c r="E536" s="32" t="s">
        <v>192</v>
      </c>
      <c r="F536" s="32" t="s">
        <v>186</v>
      </c>
    </row>
    <row r="537" ht="16.5" customHeight="1">
      <c r="A537" s="32">
        <v>533.0</v>
      </c>
      <c r="C537" s="32" t="s">
        <v>971</v>
      </c>
      <c r="D537" s="32" t="s">
        <v>184</v>
      </c>
      <c r="E537" s="32" t="s">
        <v>192</v>
      </c>
      <c r="F537" s="32" t="s">
        <v>186</v>
      </c>
      <c r="G537" s="32" t="s">
        <v>300</v>
      </c>
      <c r="H537" s="32" t="s">
        <v>972</v>
      </c>
    </row>
    <row r="538" ht="16.5" customHeight="1">
      <c r="A538" s="32">
        <v>534.0</v>
      </c>
      <c r="C538" s="32" t="s">
        <v>973</v>
      </c>
      <c r="D538" s="32" t="s">
        <v>184</v>
      </c>
      <c r="E538" s="32" t="s">
        <v>285</v>
      </c>
      <c r="F538" s="32" t="s">
        <v>186</v>
      </c>
      <c r="G538" s="32" t="s">
        <v>189</v>
      </c>
      <c r="H538" s="32" t="s">
        <v>190</v>
      </c>
    </row>
    <row r="539" ht="16.5" customHeight="1">
      <c r="A539" s="32">
        <v>535.0</v>
      </c>
      <c r="C539" s="32" t="s">
        <v>974</v>
      </c>
      <c r="D539" s="32" t="s">
        <v>184</v>
      </c>
      <c r="E539" s="32" t="s">
        <v>185</v>
      </c>
      <c r="F539" s="32" t="s">
        <v>186</v>
      </c>
      <c r="G539" s="32" t="s">
        <v>267</v>
      </c>
      <c r="H539" s="32" t="s">
        <v>975</v>
      </c>
    </row>
    <row r="540" ht="16.5" customHeight="1">
      <c r="A540" s="32">
        <v>536.0</v>
      </c>
      <c r="C540" s="32" t="s">
        <v>976</v>
      </c>
      <c r="D540" s="32" t="s">
        <v>184</v>
      </c>
      <c r="E540" s="32" t="s">
        <v>228</v>
      </c>
      <c r="F540" s="32" t="s">
        <v>186</v>
      </c>
      <c r="G540" s="32" t="s">
        <v>408</v>
      </c>
      <c r="H540" s="32" t="s">
        <v>977</v>
      </c>
    </row>
    <row r="541" ht="16.5" customHeight="1">
      <c r="A541" s="32">
        <v>537.0</v>
      </c>
      <c r="C541" s="32" t="s">
        <v>978</v>
      </c>
      <c r="D541" s="32" t="s">
        <v>184</v>
      </c>
      <c r="E541" s="32" t="s">
        <v>228</v>
      </c>
      <c r="F541" s="32" t="s">
        <v>186</v>
      </c>
      <c r="G541" s="32" t="s">
        <v>408</v>
      </c>
      <c r="H541" s="32" t="s">
        <v>452</v>
      </c>
    </row>
    <row r="542" ht="16.5" customHeight="1">
      <c r="A542" s="32">
        <v>538.0</v>
      </c>
      <c r="C542" s="32" t="s">
        <v>979</v>
      </c>
      <c r="D542" s="32" t="s">
        <v>184</v>
      </c>
      <c r="E542" s="32" t="s">
        <v>228</v>
      </c>
      <c r="F542" s="32" t="s">
        <v>186</v>
      </c>
      <c r="G542" s="32" t="s">
        <v>408</v>
      </c>
      <c r="H542" s="32" t="s">
        <v>980</v>
      </c>
    </row>
    <row r="543" ht="16.5" customHeight="1">
      <c r="A543" s="32">
        <v>539.0</v>
      </c>
      <c r="C543" s="32" t="s">
        <v>97</v>
      </c>
      <c r="D543" s="32" t="s">
        <v>184</v>
      </c>
      <c r="E543" s="32" t="s">
        <v>285</v>
      </c>
      <c r="F543" s="32" t="s">
        <v>186</v>
      </c>
      <c r="G543" s="32" t="s">
        <v>189</v>
      </c>
      <c r="H543" s="32" t="s">
        <v>190</v>
      </c>
    </row>
    <row r="544" ht="16.5" customHeight="1">
      <c r="A544" s="32">
        <v>540.0</v>
      </c>
      <c r="C544" s="32" t="s">
        <v>981</v>
      </c>
      <c r="D544" s="32" t="s">
        <v>184</v>
      </c>
      <c r="E544" s="35" t="s">
        <v>294</v>
      </c>
      <c r="F544" s="32" t="s">
        <v>186</v>
      </c>
      <c r="G544" s="32" t="s">
        <v>189</v>
      </c>
      <c r="H544" s="32" t="s">
        <v>190</v>
      </c>
    </row>
    <row r="545" ht="16.5" customHeight="1">
      <c r="A545" s="32">
        <v>541.0</v>
      </c>
      <c r="C545" s="32" t="s">
        <v>982</v>
      </c>
      <c r="D545" s="32" t="s">
        <v>184</v>
      </c>
      <c r="E545" s="32" t="s">
        <v>285</v>
      </c>
      <c r="F545" s="32" t="s">
        <v>186</v>
      </c>
      <c r="G545" s="32" t="s">
        <v>189</v>
      </c>
      <c r="H545" s="32" t="s">
        <v>190</v>
      </c>
    </row>
    <row r="546" ht="16.5" customHeight="1">
      <c r="A546" s="32">
        <v>542.0</v>
      </c>
      <c r="C546" s="32" t="s">
        <v>983</v>
      </c>
      <c r="D546" s="32" t="s">
        <v>184</v>
      </c>
      <c r="E546" s="32" t="s">
        <v>185</v>
      </c>
      <c r="F546" s="32" t="s">
        <v>186</v>
      </c>
    </row>
    <row r="547" ht="16.5" customHeight="1">
      <c r="A547" s="32">
        <v>543.0</v>
      </c>
      <c r="C547" s="32" t="s">
        <v>984</v>
      </c>
      <c r="D547" s="32" t="s">
        <v>184</v>
      </c>
      <c r="E547" s="32" t="s">
        <v>185</v>
      </c>
      <c r="F547" s="32" t="s">
        <v>186</v>
      </c>
    </row>
    <row r="548" ht="16.5" customHeight="1">
      <c r="A548" s="32">
        <v>544.0</v>
      </c>
      <c r="C548" s="32" t="s">
        <v>985</v>
      </c>
      <c r="D548" s="32" t="s">
        <v>184</v>
      </c>
      <c r="E548" s="32" t="s">
        <v>214</v>
      </c>
      <c r="F548" s="32" t="s">
        <v>186</v>
      </c>
      <c r="G548" s="32" t="s">
        <v>604</v>
      </c>
    </row>
    <row r="549" ht="16.5" customHeight="1">
      <c r="A549" s="32">
        <v>545.0</v>
      </c>
      <c r="C549" s="32" t="s">
        <v>986</v>
      </c>
      <c r="D549" s="32" t="s">
        <v>184</v>
      </c>
      <c r="E549" s="32" t="s">
        <v>214</v>
      </c>
      <c r="F549" s="32" t="s">
        <v>186</v>
      </c>
    </row>
    <row r="550" ht="16.5" customHeight="1">
      <c r="A550" s="32">
        <v>546.0</v>
      </c>
      <c r="C550" s="32" t="s">
        <v>987</v>
      </c>
      <c r="D550" s="32" t="s">
        <v>184</v>
      </c>
      <c r="E550" s="32" t="s">
        <v>219</v>
      </c>
      <c r="F550" s="32" t="s">
        <v>291</v>
      </c>
      <c r="G550" s="32" t="s">
        <v>223</v>
      </c>
      <c r="H550" s="32" t="s">
        <v>472</v>
      </c>
    </row>
    <row r="551" ht="16.5" customHeight="1">
      <c r="A551" s="32">
        <v>547.0</v>
      </c>
      <c r="C551" s="32" t="s">
        <v>988</v>
      </c>
      <c r="D551" s="32" t="s">
        <v>184</v>
      </c>
      <c r="E551" s="32" t="s">
        <v>219</v>
      </c>
      <c r="F551" s="32" t="s">
        <v>186</v>
      </c>
      <c r="G551" s="32" t="s">
        <v>223</v>
      </c>
      <c r="H551" s="32" t="s">
        <v>472</v>
      </c>
    </row>
    <row r="552" ht="16.5" customHeight="1">
      <c r="A552" s="32">
        <v>548.0</v>
      </c>
      <c r="C552" s="32" t="s">
        <v>989</v>
      </c>
      <c r="D552" s="32" t="s">
        <v>184</v>
      </c>
      <c r="E552" s="32" t="s">
        <v>214</v>
      </c>
      <c r="F552" s="32" t="s">
        <v>186</v>
      </c>
      <c r="G552" s="32" t="s">
        <v>216</v>
      </c>
      <c r="H552" s="32" t="s">
        <v>217</v>
      </c>
    </row>
    <row r="553" ht="16.5" customHeight="1">
      <c r="A553" s="32">
        <v>549.0</v>
      </c>
      <c r="C553" s="32" t="s">
        <v>990</v>
      </c>
      <c r="D553" s="32" t="s">
        <v>184</v>
      </c>
      <c r="E553" s="32" t="s">
        <v>214</v>
      </c>
      <c r="F553" s="32" t="s">
        <v>186</v>
      </c>
      <c r="G553" s="32" t="s">
        <v>216</v>
      </c>
      <c r="H553" s="32" t="s">
        <v>217</v>
      </c>
    </row>
    <row r="554" ht="16.5" customHeight="1">
      <c r="A554" s="32">
        <v>550.0</v>
      </c>
      <c r="C554" s="32" t="s">
        <v>991</v>
      </c>
      <c r="D554" s="32" t="s">
        <v>184</v>
      </c>
      <c r="E554" s="32" t="s">
        <v>234</v>
      </c>
      <c r="F554" s="32" t="s">
        <v>186</v>
      </c>
      <c r="G554" s="32" t="s">
        <v>347</v>
      </c>
      <c r="H554" s="32" t="s">
        <v>382</v>
      </c>
    </row>
    <row r="555" ht="16.5" customHeight="1">
      <c r="A555" s="32">
        <v>551.0</v>
      </c>
      <c r="C555" s="32" t="s">
        <v>992</v>
      </c>
      <c r="D555" s="32" t="s">
        <v>184</v>
      </c>
      <c r="E555" s="32" t="s">
        <v>192</v>
      </c>
      <c r="F555" s="32" t="s">
        <v>186</v>
      </c>
      <c r="G555" s="32" t="s">
        <v>329</v>
      </c>
      <c r="H555" s="32" t="s">
        <v>330</v>
      </c>
    </row>
    <row r="556" ht="16.5" customHeight="1">
      <c r="A556" s="32">
        <v>552.0</v>
      </c>
      <c r="C556" s="32" t="s">
        <v>993</v>
      </c>
      <c r="D556" s="32" t="s">
        <v>184</v>
      </c>
      <c r="E556" s="32" t="s">
        <v>192</v>
      </c>
      <c r="F556" s="32" t="s">
        <v>186</v>
      </c>
      <c r="G556" s="32" t="s">
        <v>329</v>
      </c>
      <c r="H556" s="32" t="s">
        <v>457</v>
      </c>
    </row>
    <row r="557" ht="16.5" customHeight="1">
      <c r="A557" s="32">
        <v>553.0</v>
      </c>
      <c r="C557" s="32" t="s">
        <v>823</v>
      </c>
      <c r="D557" s="32" t="s">
        <v>184</v>
      </c>
      <c r="E557" s="32" t="s">
        <v>234</v>
      </c>
      <c r="F557" s="32" t="s">
        <v>186</v>
      </c>
      <c r="G557" s="32" t="s">
        <v>347</v>
      </c>
      <c r="H557" s="32" t="s">
        <v>382</v>
      </c>
    </row>
    <row r="558" ht="16.5" customHeight="1">
      <c r="A558" s="32">
        <v>554.0</v>
      </c>
      <c r="C558" s="32" t="s">
        <v>823</v>
      </c>
      <c r="D558" s="32" t="s">
        <v>184</v>
      </c>
      <c r="E558" s="32" t="s">
        <v>234</v>
      </c>
      <c r="F558" s="32" t="s">
        <v>186</v>
      </c>
      <c r="G558" s="32" t="s">
        <v>415</v>
      </c>
      <c r="H558" s="32" t="s">
        <v>243</v>
      </c>
    </row>
    <row r="559" ht="16.5" customHeight="1">
      <c r="A559" s="32">
        <v>555.0</v>
      </c>
      <c r="C559" s="32" t="s">
        <v>994</v>
      </c>
      <c r="D559" s="32" t="s">
        <v>184</v>
      </c>
      <c r="E559" s="32" t="s">
        <v>192</v>
      </c>
      <c r="F559" s="32" t="s">
        <v>186</v>
      </c>
      <c r="G559" s="32" t="s">
        <v>329</v>
      </c>
      <c r="H559" s="32" t="s">
        <v>447</v>
      </c>
    </row>
    <row r="560" ht="16.5" customHeight="1">
      <c r="A560" s="32">
        <v>556.0</v>
      </c>
      <c r="C560" s="32" t="s">
        <v>995</v>
      </c>
      <c r="D560" s="32" t="s">
        <v>184</v>
      </c>
      <c r="E560" s="32" t="s">
        <v>192</v>
      </c>
      <c r="F560" s="32" t="s">
        <v>186</v>
      </c>
    </row>
    <row r="561" ht="16.5" customHeight="1">
      <c r="A561" s="32">
        <v>557.0</v>
      </c>
      <c r="C561" s="32" t="s">
        <v>996</v>
      </c>
      <c r="D561" s="32" t="s">
        <v>184</v>
      </c>
      <c r="E561" s="32" t="s">
        <v>219</v>
      </c>
      <c r="F561" s="32" t="s">
        <v>186</v>
      </c>
    </row>
    <row r="562" ht="16.5" customHeight="1">
      <c r="A562" s="32">
        <v>558.0</v>
      </c>
      <c r="C562" s="32" t="s">
        <v>997</v>
      </c>
      <c r="D562" s="32" t="s">
        <v>184</v>
      </c>
      <c r="E562" s="32" t="s">
        <v>214</v>
      </c>
      <c r="F562" s="32" t="s">
        <v>186</v>
      </c>
      <c r="G562" s="32" t="s">
        <v>216</v>
      </c>
      <c r="H562" s="32" t="s">
        <v>217</v>
      </c>
    </row>
    <row r="563" ht="16.5" customHeight="1">
      <c r="A563" s="32">
        <v>559.0</v>
      </c>
      <c r="C563" s="32" t="s">
        <v>998</v>
      </c>
      <c r="D563" s="32" t="s">
        <v>184</v>
      </c>
      <c r="E563" s="32" t="s">
        <v>214</v>
      </c>
      <c r="F563" s="32" t="s">
        <v>186</v>
      </c>
    </row>
    <row r="564" ht="16.5" customHeight="1">
      <c r="A564" s="32">
        <v>560.0</v>
      </c>
      <c r="C564" s="32" t="s">
        <v>125</v>
      </c>
      <c r="D564" s="32" t="s">
        <v>184</v>
      </c>
      <c r="E564" s="32" t="s">
        <v>214</v>
      </c>
      <c r="F564" s="32" t="s">
        <v>186</v>
      </c>
      <c r="G564" s="32" t="s">
        <v>604</v>
      </c>
    </row>
    <row r="565" ht="16.5" customHeight="1">
      <c r="A565" s="32">
        <v>561.0</v>
      </c>
      <c r="C565" s="32" t="s">
        <v>999</v>
      </c>
      <c r="D565" s="32" t="s">
        <v>184</v>
      </c>
      <c r="E565" s="32" t="s">
        <v>214</v>
      </c>
      <c r="F565" s="32" t="s">
        <v>186</v>
      </c>
      <c r="G565" s="32" t="s">
        <v>604</v>
      </c>
    </row>
    <row r="566" ht="16.5" customHeight="1">
      <c r="A566" s="32">
        <v>562.0</v>
      </c>
      <c r="C566" s="32" t="s">
        <v>1000</v>
      </c>
      <c r="D566" s="32" t="s">
        <v>184</v>
      </c>
      <c r="E566" s="32" t="s">
        <v>219</v>
      </c>
      <c r="F566" s="32" t="s">
        <v>186</v>
      </c>
      <c r="G566" s="32" t="s">
        <v>223</v>
      </c>
      <c r="H566" s="32" t="s">
        <v>472</v>
      </c>
    </row>
    <row r="567" ht="16.5" customHeight="1">
      <c r="A567" s="32">
        <v>563.0</v>
      </c>
      <c r="C567" s="32" t="s">
        <v>1001</v>
      </c>
      <c r="D567" s="32" t="s">
        <v>184</v>
      </c>
      <c r="E567" s="32" t="s">
        <v>185</v>
      </c>
      <c r="F567" s="32" t="s">
        <v>186</v>
      </c>
      <c r="G567" s="32" t="s">
        <v>305</v>
      </c>
      <c r="H567" s="32" t="s">
        <v>1002</v>
      </c>
    </row>
    <row r="568" ht="16.5" customHeight="1">
      <c r="A568" s="32">
        <v>564.0</v>
      </c>
      <c r="C568" s="32" t="s">
        <v>1003</v>
      </c>
      <c r="D568" s="32" t="s">
        <v>184</v>
      </c>
      <c r="E568" s="32" t="s">
        <v>254</v>
      </c>
      <c r="F568" s="32" t="s">
        <v>186</v>
      </c>
    </row>
    <row r="569" ht="16.5" customHeight="1">
      <c r="A569" s="32">
        <v>565.0</v>
      </c>
      <c r="C569" s="32" t="s">
        <v>1004</v>
      </c>
      <c r="D569" s="32" t="s">
        <v>184</v>
      </c>
      <c r="E569" s="32" t="s">
        <v>254</v>
      </c>
      <c r="F569" s="32" t="s">
        <v>186</v>
      </c>
      <c r="G569" s="32" t="s">
        <v>305</v>
      </c>
      <c r="H569" s="32" t="s">
        <v>1005</v>
      </c>
    </row>
    <row r="570" ht="16.5" customHeight="1">
      <c r="A570" s="32">
        <v>566.0</v>
      </c>
      <c r="C570" s="32" t="s">
        <v>1006</v>
      </c>
      <c r="D570" s="32" t="s">
        <v>184</v>
      </c>
      <c r="E570" s="32" t="s">
        <v>185</v>
      </c>
      <c r="F570" s="32" t="s">
        <v>186</v>
      </c>
      <c r="G570" s="32" t="s">
        <v>267</v>
      </c>
      <c r="H570" s="32" t="s">
        <v>975</v>
      </c>
    </row>
    <row r="571" ht="16.5" customHeight="1">
      <c r="A571" s="32">
        <v>567.0</v>
      </c>
      <c r="C571" s="32" t="s">
        <v>1007</v>
      </c>
      <c r="D571" s="32" t="s">
        <v>184</v>
      </c>
      <c r="E571" s="35" t="s">
        <v>294</v>
      </c>
      <c r="F571" s="32" t="s">
        <v>186</v>
      </c>
      <c r="G571" s="32" t="s">
        <v>267</v>
      </c>
      <c r="H571" s="32" t="s">
        <v>975</v>
      </c>
    </row>
    <row r="572" ht="16.5" customHeight="1">
      <c r="A572" s="32">
        <v>568.0</v>
      </c>
      <c r="C572" s="32" t="s">
        <v>1008</v>
      </c>
      <c r="D572" s="32" t="s">
        <v>184</v>
      </c>
      <c r="E572" s="32" t="s">
        <v>185</v>
      </c>
      <c r="F572" s="32" t="s">
        <v>186</v>
      </c>
    </row>
    <row r="573" ht="16.5" customHeight="1">
      <c r="A573" s="32">
        <v>569.0</v>
      </c>
      <c r="C573" s="32" t="s">
        <v>1009</v>
      </c>
      <c r="D573" s="32" t="s">
        <v>184</v>
      </c>
      <c r="E573" s="32" t="s">
        <v>228</v>
      </c>
      <c r="F573" s="32" t="s">
        <v>186</v>
      </c>
      <c r="G573" s="32" t="s">
        <v>229</v>
      </c>
      <c r="H573" s="32" t="s">
        <v>230</v>
      </c>
    </row>
    <row r="574" ht="16.5" customHeight="1">
      <c r="A574" s="32">
        <v>570.0</v>
      </c>
      <c r="C574" s="32" t="s">
        <v>1010</v>
      </c>
      <c r="D574" s="32" t="s">
        <v>184</v>
      </c>
      <c r="E574" s="32" t="s">
        <v>228</v>
      </c>
      <c r="F574" s="32" t="s">
        <v>186</v>
      </c>
      <c r="G574" s="32" t="s">
        <v>229</v>
      </c>
      <c r="H574" s="32" t="s">
        <v>230</v>
      </c>
    </row>
    <row r="575" ht="16.5" customHeight="1">
      <c r="A575" s="32">
        <v>571.0</v>
      </c>
      <c r="C575" s="32" t="s">
        <v>1011</v>
      </c>
      <c r="D575" s="32" t="s">
        <v>184</v>
      </c>
      <c r="E575" s="32" t="s">
        <v>228</v>
      </c>
      <c r="F575" s="32" t="s">
        <v>186</v>
      </c>
      <c r="G575" s="32" t="s">
        <v>229</v>
      </c>
      <c r="H575" s="32" t="s">
        <v>230</v>
      </c>
    </row>
    <row r="576" ht="16.5" customHeight="1">
      <c r="A576" s="32">
        <v>572.0</v>
      </c>
      <c r="C576" s="32" t="s">
        <v>1012</v>
      </c>
      <c r="D576" s="32" t="s">
        <v>184</v>
      </c>
      <c r="E576" s="32" t="s">
        <v>325</v>
      </c>
      <c r="F576" s="32" t="s">
        <v>186</v>
      </c>
      <c r="G576" s="32" t="s">
        <v>368</v>
      </c>
      <c r="H576" s="32" t="s">
        <v>463</v>
      </c>
    </row>
    <row r="577" ht="16.5" customHeight="1">
      <c r="A577" s="32">
        <v>573.0</v>
      </c>
      <c r="C577" s="32" t="s">
        <v>1012</v>
      </c>
      <c r="D577" s="32" t="s">
        <v>184</v>
      </c>
      <c r="E577" s="32" t="s">
        <v>325</v>
      </c>
      <c r="F577" s="32" t="s">
        <v>186</v>
      </c>
      <c r="G577" s="32" t="s">
        <v>368</v>
      </c>
      <c r="H577" s="32" t="s">
        <v>463</v>
      </c>
    </row>
    <row r="578" ht="16.5" customHeight="1">
      <c r="A578" s="32">
        <v>574.0</v>
      </c>
      <c r="C578" s="32" t="s">
        <v>1013</v>
      </c>
      <c r="D578" s="32" t="s">
        <v>184</v>
      </c>
      <c r="E578" s="32" t="s">
        <v>325</v>
      </c>
      <c r="F578" s="32" t="s">
        <v>186</v>
      </c>
    </row>
    <row r="579" ht="16.5" customHeight="1">
      <c r="A579" s="32">
        <v>575.0</v>
      </c>
      <c r="C579" s="32" t="s">
        <v>1014</v>
      </c>
      <c r="D579" s="32" t="s">
        <v>184</v>
      </c>
      <c r="E579" s="32" t="s">
        <v>219</v>
      </c>
      <c r="F579" s="32" t="s">
        <v>186</v>
      </c>
    </row>
    <row r="580" ht="16.5" customHeight="1">
      <c r="A580" s="32">
        <v>576.0</v>
      </c>
      <c r="C580" s="32" t="s">
        <v>1015</v>
      </c>
      <c r="D580" s="32" t="s">
        <v>184</v>
      </c>
      <c r="E580" s="32" t="s">
        <v>219</v>
      </c>
      <c r="F580" s="32" t="s">
        <v>186</v>
      </c>
      <c r="G580" s="32" t="s">
        <v>232</v>
      </c>
      <c r="H580" s="32" t="s">
        <v>233</v>
      </c>
    </row>
    <row r="581" ht="16.5" customHeight="1">
      <c r="A581" s="32">
        <v>577.0</v>
      </c>
      <c r="C581" s="32" t="s">
        <v>1016</v>
      </c>
      <c r="D581" s="32" t="s">
        <v>184</v>
      </c>
      <c r="E581" s="32" t="s">
        <v>228</v>
      </c>
      <c r="F581" s="32" t="s">
        <v>186</v>
      </c>
      <c r="G581" s="32" t="s">
        <v>229</v>
      </c>
      <c r="H581" s="32" t="s">
        <v>244</v>
      </c>
    </row>
    <row r="582" ht="16.5" customHeight="1">
      <c r="A582" s="32">
        <v>578.0</v>
      </c>
      <c r="C582" s="32" t="s">
        <v>1017</v>
      </c>
      <c r="D582" s="32" t="s">
        <v>184</v>
      </c>
      <c r="E582" s="32" t="s">
        <v>185</v>
      </c>
      <c r="F582" s="32" t="s">
        <v>186</v>
      </c>
      <c r="G582" s="32" t="s">
        <v>187</v>
      </c>
      <c r="H582" s="32" t="s">
        <v>188</v>
      </c>
    </row>
    <row r="583" ht="16.5" customHeight="1">
      <c r="A583" s="32">
        <v>579.0</v>
      </c>
      <c r="C583" s="32" t="s">
        <v>1018</v>
      </c>
      <c r="D583" s="32" t="s">
        <v>184</v>
      </c>
      <c r="E583" s="32" t="s">
        <v>185</v>
      </c>
      <c r="F583" s="32" t="s">
        <v>186</v>
      </c>
    </row>
    <row r="584" ht="16.5" customHeight="1">
      <c r="A584" s="32">
        <v>580.0</v>
      </c>
      <c r="C584" s="32" t="s">
        <v>1019</v>
      </c>
      <c r="D584" s="32" t="s">
        <v>184</v>
      </c>
      <c r="E584" s="32" t="s">
        <v>228</v>
      </c>
      <c r="F584" s="32" t="s">
        <v>186</v>
      </c>
    </row>
    <row r="585" ht="16.5" customHeight="1">
      <c r="A585" s="32">
        <v>581.0</v>
      </c>
      <c r="C585" s="32" t="s">
        <v>1020</v>
      </c>
      <c r="D585" s="32" t="s">
        <v>184</v>
      </c>
      <c r="E585" s="32" t="s">
        <v>228</v>
      </c>
      <c r="F585" s="32" t="s">
        <v>186</v>
      </c>
      <c r="G585" s="32" t="s">
        <v>229</v>
      </c>
      <c r="H585" s="32" t="s">
        <v>626</v>
      </c>
    </row>
    <row r="586" ht="16.5" customHeight="1">
      <c r="A586" s="32">
        <v>582.0</v>
      </c>
      <c r="C586" s="32" t="s">
        <v>1021</v>
      </c>
      <c r="D586" s="32" t="s">
        <v>184</v>
      </c>
      <c r="E586" s="32" t="s">
        <v>228</v>
      </c>
      <c r="F586" s="32" t="s">
        <v>186</v>
      </c>
      <c r="G586" s="32" t="s">
        <v>229</v>
      </c>
      <c r="H586" s="32" t="s">
        <v>230</v>
      </c>
    </row>
    <row r="587" ht="16.5" customHeight="1">
      <c r="A587" s="32">
        <v>583.0</v>
      </c>
      <c r="C587" s="32" t="s">
        <v>1022</v>
      </c>
      <c r="D587" s="32" t="s">
        <v>184</v>
      </c>
      <c r="E587" s="32" t="s">
        <v>228</v>
      </c>
      <c r="F587" s="32" t="s">
        <v>186</v>
      </c>
      <c r="G587" s="32" t="s">
        <v>229</v>
      </c>
      <c r="H587" s="32" t="s">
        <v>230</v>
      </c>
    </row>
    <row r="588" ht="16.5" customHeight="1">
      <c r="A588" s="32">
        <v>584.0</v>
      </c>
      <c r="C588" s="32" t="s">
        <v>1023</v>
      </c>
      <c r="D588" s="32" t="s">
        <v>184</v>
      </c>
      <c r="E588" s="32" t="s">
        <v>219</v>
      </c>
      <c r="F588" s="32" t="s">
        <v>186</v>
      </c>
      <c r="G588" s="32" t="s">
        <v>223</v>
      </c>
    </row>
    <row r="589" ht="16.5" customHeight="1">
      <c r="A589" s="32">
        <v>585.0</v>
      </c>
      <c r="C589" s="32" t="s">
        <v>1024</v>
      </c>
      <c r="D589" s="32" t="s">
        <v>184</v>
      </c>
      <c r="E589" s="32" t="s">
        <v>219</v>
      </c>
      <c r="F589" s="32" t="s">
        <v>186</v>
      </c>
      <c r="G589" s="32" t="s">
        <v>223</v>
      </c>
    </row>
    <row r="590" ht="16.5" customHeight="1">
      <c r="A590" s="32">
        <v>586.0</v>
      </c>
      <c r="C590" s="32" t="s">
        <v>1025</v>
      </c>
      <c r="D590" s="32" t="s">
        <v>184</v>
      </c>
      <c r="E590" s="32" t="s">
        <v>192</v>
      </c>
      <c r="F590" s="32" t="s">
        <v>186</v>
      </c>
      <c r="G590" s="32" t="s">
        <v>238</v>
      </c>
      <c r="H590" s="32" t="s">
        <v>239</v>
      </c>
    </row>
    <row r="591" ht="16.5" customHeight="1">
      <c r="A591" s="32">
        <v>587.0</v>
      </c>
      <c r="C591" s="32" t="s">
        <v>1026</v>
      </c>
      <c r="D591" s="32" t="s">
        <v>184</v>
      </c>
      <c r="E591" s="32" t="s">
        <v>254</v>
      </c>
      <c r="F591" s="32" t="s">
        <v>186</v>
      </c>
      <c r="G591" s="32" t="s">
        <v>257</v>
      </c>
      <c r="H591" s="32" t="s">
        <v>271</v>
      </c>
    </row>
    <row r="592" ht="16.5" customHeight="1">
      <c r="A592" s="32">
        <v>588.0</v>
      </c>
      <c r="C592" s="32" t="s">
        <v>1027</v>
      </c>
      <c r="D592" s="32" t="s">
        <v>184</v>
      </c>
      <c r="E592" s="32" t="s">
        <v>254</v>
      </c>
      <c r="F592" s="32" t="s">
        <v>186</v>
      </c>
      <c r="G592" s="32" t="s">
        <v>257</v>
      </c>
      <c r="H592" s="32" t="s">
        <v>271</v>
      </c>
    </row>
    <row r="593" ht="16.5" customHeight="1">
      <c r="A593" s="32">
        <v>589.0</v>
      </c>
      <c r="C593" s="32" t="s">
        <v>1028</v>
      </c>
      <c r="D593" s="32" t="s">
        <v>184</v>
      </c>
      <c r="E593" s="32" t="s">
        <v>228</v>
      </c>
      <c r="F593" s="32" t="s">
        <v>186</v>
      </c>
      <c r="G593" s="32" t="s">
        <v>544</v>
      </c>
      <c r="H593" s="32" t="s">
        <v>713</v>
      </c>
    </row>
    <row r="594" ht="16.5" customHeight="1">
      <c r="A594" s="32">
        <v>590.0</v>
      </c>
      <c r="C594" s="32" t="s">
        <v>1029</v>
      </c>
      <c r="D594" s="32" t="s">
        <v>184</v>
      </c>
      <c r="E594" s="32" t="s">
        <v>228</v>
      </c>
      <c r="F594" s="32" t="s">
        <v>186</v>
      </c>
      <c r="G594" s="32" t="s">
        <v>544</v>
      </c>
      <c r="H594" s="32" t="s">
        <v>715</v>
      </c>
    </row>
    <row r="595" ht="16.5" customHeight="1">
      <c r="A595" s="32">
        <v>591.0</v>
      </c>
      <c r="C595" s="32" t="s">
        <v>1030</v>
      </c>
      <c r="D595" s="32" t="s">
        <v>184</v>
      </c>
      <c r="E595" s="32" t="s">
        <v>192</v>
      </c>
      <c r="F595" s="32" t="s">
        <v>186</v>
      </c>
      <c r="G595" s="32" t="s">
        <v>238</v>
      </c>
      <c r="H595" s="32" t="s">
        <v>618</v>
      </c>
    </row>
    <row r="596" ht="16.5" customHeight="1">
      <c r="A596" s="32">
        <v>592.0</v>
      </c>
      <c r="C596" s="32" t="s">
        <v>1031</v>
      </c>
      <c r="D596" s="32" t="s">
        <v>184</v>
      </c>
      <c r="E596" s="32" t="s">
        <v>192</v>
      </c>
      <c r="F596" s="32" t="s">
        <v>186</v>
      </c>
      <c r="G596" s="32" t="s">
        <v>238</v>
      </c>
      <c r="H596" s="32" t="s">
        <v>618</v>
      </c>
    </row>
    <row r="597" ht="16.5" customHeight="1">
      <c r="A597" s="32">
        <v>593.0</v>
      </c>
      <c r="C597" s="32" t="s">
        <v>1032</v>
      </c>
      <c r="D597" s="32" t="s">
        <v>184</v>
      </c>
      <c r="E597" s="32" t="s">
        <v>254</v>
      </c>
      <c r="F597" s="32" t="s">
        <v>186</v>
      </c>
      <c r="G597" s="32" t="s">
        <v>257</v>
      </c>
      <c r="H597" s="32" t="s">
        <v>271</v>
      </c>
    </row>
    <row r="598" ht="16.5" customHeight="1">
      <c r="A598" s="32">
        <v>594.0</v>
      </c>
      <c r="C598" s="32" t="s">
        <v>1033</v>
      </c>
      <c r="D598" s="32" t="s">
        <v>184</v>
      </c>
      <c r="E598" s="32" t="s">
        <v>285</v>
      </c>
      <c r="F598" s="32" t="s">
        <v>186</v>
      </c>
      <c r="G598" s="32" t="s">
        <v>189</v>
      </c>
      <c r="H598" s="32" t="s">
        <v>1034</v>
      </c>
    </row>
    <row r="599" ht="16.5" customHeight="1">
      <c r="A599" s="32">
        <v>595.0</v>
      </c>
      <c r="C599" s="32" t="s">
        <v>1035</v>
      </c>
      <c r="D599" s="32" t="s">
        <v>184</v>
      </c>
      <c r="E599" s="32" t="s">
        <v>285</v>
      </c>
      <c r="F599" s="32" t="s">
        <v>186</v>
      </c>
      <c r="G599" s="32" t="s">
        <v>189</v>
      </c>
      <c r="H599" s="32" t="s">
        <v>190</v>
      </c>
    </row>
    <row r="600" ht="16.5" customHeight="1">
      <c r="A600" s="32">
        <v>596.0</v>
      </c>
      <c r="C600" s="32" t="s">
        <v>1036</v>
      </c>
      <c r="D600" s="32" t="s">
        <v>184</v>
      </c>
      <c r="E600" s="32" t="s">
        <v>185</v>
      </c>
      <c r="F600" s="32" t="s">
        <v>186</v>
      </c>
      <c r="G600" s="32" t="s">
        <v>187</v>
      </c>
      <c r="H600" s="32" t="s">
        <v>482</v>
      </c>
    </row>
    <row r="601" ht="16.5" customHeight="1">
      <c r="A601" s="32">
        <v>597.0</v>
      </c>
      <c r="C601" s="32" t="s">
        <v>1037</v>
      </c>
      <c r="D601" s="32" t="s">
        <v>184</v>
      </c>
      <c r="E601" s="32" t="s">
        <v>185</v>
      </c>
      <c r="F601" s="32" t="s">
        <v>186</v>
      </c>
    </row>
    <row r="602" ht="16.5" customHeight="1">
      <c r="A602" s="32">
        <v>598.0</v>
      </c>
      <c r="C602" s="32" t="s">
        <v>1038</v>
      </c>
      <c r="D602" s="32" t="s">
        <v>184</v>
      </c>
      <c r="E602" s="32" t="s">
        <v>285</v>
      </c>
      <c r="F602" s="32" t="s">
        <v>186</v>
      </c>
    </row>
    <row r="603" ht="16.5" customHeight="1">
      <c r="A603" s="32">
        <v>599.0</v>
      </c>
      <c r="C603" s="32" t="s">
        <v>1039</v>
      </c>
      <c r="D603" s="32" t="s">
        <v>184</v>
      </c>
      <c r="E603" s="32" t="s">
        <v>185</v>
      </c>
      <c r="F603" s="32" t="s">
        <v>186</v>
      </c>
      <c r="G603" s="32" t="s">
        <v>189</v>
      </c>
      <c r="H603" s="32" t="s">
        <v>190</v>
      </c>
    </row>
    <row r="604" ht="16.5" customHeight="1">
      <c r="A604" s="32">
        <v>600.0</v>
      </c>
      <c r="C604" s="32" t="s">
        <v>1040</v>
      </c>
      <c r="D604" s="32" t="s">
        <v>184</v>
      </c>
      <c r="E604" s="35" t="s">
        <v>294</v>
      </c>
      <c r="F604" s="32" t="s">
        <v>186</v>
      </c>
      <c r="G604" s="32" t="s">
        <v>189</v>
      </c>
      <c r="H604" s="32" t="s">
        <v>190</v>
      </c>
    </row>
    <row r="605" ht="16.5" customHeight="1">
      <c r="A605" s="32">
        <v>601.0</v>
      </c>
      <c r="C605" s="32" t="s">
        <v>1041</v>
      </c>
      <c r="D605" s="32" t="s">
        <v>184</v>
      </c>
      <c r="E605" s="32" t="s">
        <v>285</v>
      </c>
      <c r="F605" s="32" t="s">
        <v>186</v>
      </c>
    </row>
    <row r="606" ht="16.5" customHeight="1">
      <c r="A606" s="32">
        <v>602.0</v>
      </c>
      <c r="C606" s="32" t="s">
        <v>1042</v>
      </c>
      <c r="D606" s="32" t="s">
        <v>184</v>
      </c>
      <c r="E606" s="32" t="s">
        <v>254</v>
      </c>
      <c r="F606" s="32" t="s">
        <v>186</v>
      </c>
    </row>
    <row r="607" ht="16.5" customHeight="1">
      <c r="A607" s="32">
        <v>603.0</v>
      </c>
      <c r="C607" s="32" t="s">
        <v>1043</v>
      </c>
      <c r="D607" s="32" t="s">
        <v>184</v>
      </c>
      <c r="E607" s="32" t="s">
        <v>254</v>
      </c>
      <c r="F607" s="32" t="s">
        <v>186</v>
      </c>
    </row>
    <row r="608" ht="16.5" customHeight="1">
      <c r="A608" s="32">
        <v>604.0</v>
      </c>
      <c r="C608" s="32" t="s">
        <v>1044</v>
      </c>
      <c r="D608" s="32" t="s">
        <v>184</v>
      </c>
      <c r="E608" s="32" t="s">
        <v>254</v>
      </c>
      <c r="F608" s="32" t="s">
        <v>186</v>
      </c>
    </row>
    <row r="609" ht="16.5" customHeight="1">
      <c r="A609" s="32">
        <v>605.0</v>
      </c>
      <c r="C609" s="32" t="s">
        <v>1045</v>
      </c>
      <c r="D609" s="32" t="s">
        <v>184</v>
      </c>
      <c r="E609" s="32" t="s">
        <v>228</v>
      </c>
      <c r="F609" s="32" t="s">
        <v>186</v>
      </c>
      <c r="G609" s="32" t="s">
        <v>408</v>
      </c>
      <c r="H609" s="32" t="s">
        <v>1046</v>
      </c>
    </row>
    <row r="610" ht="16.5" customHeight="1">
      <c r="A610" s="32">
        <v>606.0</v>
      </c>
      <c r="C610" s="32" t="s">
        <v>1047</v>
      </c>
      <c r="D610" s="32" t="s">
        <v>184</v>
      </c>
      <c r="E610" s="32" t="s">
        <v>228</v>
      </c>
      <c r="F610" s="32" t="s">
        <v>186</v>
      </c>
    </row>
    <row r="611" ht="16.5" customHeight="1">
      <c r="A611" s="32">
        <v>607.0</v>
      </c>
      <c r="C611" s="32" t="s">
        <v>1048</v>
      </c>
      <c r="D611" s="32" t="s">
        <v>184</v>
      </c>
      <c r="E611" s="32" t="s">
        <v>764</v>
      </c>
      <c r="F611" s="32" t="s">
        <v>186</v>
      </c>
      <c r="G611" s="32" t="s">
        <v>1049</v>
      </c>
    </row>
    <row r="612" ht="16.5" customHeight="1">
      <c r="A612" s="32">
        <v>608.0</v>
      </c>
      <c r="C612" s="32" t="s">
        <v>1050</v>
      </c>
      <c r="D612" s="32" t="s">
        <v>184</v>
      </c>
      <c r="E612" s="32" t="s">
        <v>764</v>
      </c>
      <c r="F612" s="32" t="s">
        <v>186</v>
      </c>
      <c r="G612" s="32" t="s">
        <v>1051</v>
      </c>
    </row>
    <row r="613" ht="16.5" customHeight="1">
      <c r="A613" s="32">
        <v>609.0</v>
      </c>
      <c r="C613" s="32" t="s">
        <v>1052</v>
      </c>
      <c r="D613" s="32" t="s">
        <v>184</v>
      </c>
      <c r="E613" s="32" t="s">
        <v>285</v>
      </c>
      <c r="F613" s="32" t="s">
        <v>186</v>
      </c>
      <c r="G613" s="32" t="s">
        <v>1053</v>
      </c>
    </row>
    <row r="614" ht="16.5" customHeight="1">
      <c r="A614" s="32">
        <v>610.0</v>
      </c>
      <c r="C614" s="32" t="s">
        <v>1054</v>
      </c>
      <c r="D614" s="32" t="s">
        <v>184</v>
      </c>
      <c r="E614" s="32" t="s">
        <v>764</v>
      </c>
      <c r="F614" s="32" t="s">
        <v>186</v>
      </c>
      <c r="G614" s="32" t="s">
        <v>1055</v>
      </c>
    </row>
    <row r="615" ht="16.5" customHeight="1">
      <c r="A615" s="32">
        <v>611.0</v>
      </c>
      <c r="C615" s="32" t="s">
        <v>1056</v>
      </c>
      <c r="D615" s="32" t="s">
        <v>184</v>
      </c>
      <c r="E615" s="32" t="s">
        <v>285</v>
      </c>
      <c r="F615" s="32" t="s">
        <v>186</v>
      </c>
      <c r="G615" s="32" t="s">
        <v>189</v>
      </c>
      <c r="H615" s="32" t="s">
        <v>190</v>
      </c>
    </row>
    <row r="616" ht="16.5" customHeight="1">
      <c r="A616" s="32">
        <v>612.0</v>
      </c>
      <c r="C616" s="32" t="s">
        <v>1057</v>
      </c>
      <c r="D616" s="32" t="s">
        <v>184</v>
      </c>
      <c r="E616" s="32" t="s">
        <v>219</v>
      </c>
      <c r="F616" s="32" t="s">
        <v>186</v>
      </c>
    </row>
    <row r="617" ht="16.5" customHeight="1">
      <c r="A617" s="32">
        <v>613.0</v>
      </c>
      <c r="C617" s="32" t="s">
        <v>1058</v>
      </c>
      <c r="D617" s="32" t="s">
        <v>184</v>
      </c>
      <c r="E617" s="32" t="s">
        <v>764</v>
      </c>
      <c r="F617" s="32" t="s">
        <v>186</v>
      </c>
      <c r="G617" s="32" t="s">
        <v>1059</v>
      </c>
    </row>
    <row r="618" ht="16.5" customHeight="1">
      <c r="A618" s="32">
        <v>614.0</v>
      </c>
      <c r="C618" s="32" t="s">
        <v>1060</v>
      </c>
      <c r="D618" s="32" t="s">
        <v>184</v>
      </c>
      <c r="E618" s="32" t="s">
        <v>764</v>
      </c>
      <c r="F618" s="32" t="s">
        <v>186</v>
      </c>
      <c r="G618" s="32" t="s">
        <v>1061</v>
      </c>
    </row>
    <row r="619" ht="16.5" customHeight="1">
      <c r="A619" s="32">
        <v>615.0</v>
      </c>
      <c r="C619" s="32" t="s">
        <v>1062</v>
      </c>
      <c r="D619" s="32" t="s">
        <v>184</v>
      </c>
      <c r="E619" s="35" t="s">
        <v>294</v>
      </c>
      <c r="F619" s="32" t="s">
        <v>186</v>
      </c>
      <c r="G619" s="32" t="s">
        <v>189</v>
      </c>
      <c r="H619" s="32" t="s">
        <v>190</v>
      </c>
    </row>
    <row r="620" ht="16.5" customHeight="1">
      <c r="A620" s="32">
        <v>616.0</v>
      </c>
      <c r="C620" s="32" t="s">
        <v>1063</v>
      </c>
      <c r="D620" s="32" t="s">
        <v>184</v>
      </c>
      <c r="E620" s="35" t="s">
        <v>294</v>
      </c>
      <c r="F620" s="32" t="s">
        <v>186</v>
      </c>
      <c r="G620" s="32" t="s">
        <v>189</v>
      </c>
      <c r="H620" s="32" t="s">
        <v>190</v>
      </c>
    </row>
    <row r="621" ht="16.5" customHeight="1">
      <c r="A621" s="32">
        <v>617.0</v>
      </c>
      <c r="C621" s="32" t="s">
        <v>1064</v>
      </c>
      <c r="D621" s="32" t="s">
        <v>184</v>
      </c>
      <c r="E621" s="32" t="s">
        <v>185</v>
      </c>
      <c r="F621" s="32" t="s">
        <v>186</v>
      </c>
      <c r="G621" s="32" t="s">
        <v>189</v>
      </c>
      <c r="H621" s="32" t="s">
        <v>190</v>
      </c>
    </row>
    <row r="622" ht="16.5" customHeight="1">
      <c r="A622" s="32">
        <v>618.0</v>
      </c>
      <c r="C622" s="32" t="s">
        <v>1065</v>
      </c>
      <c r="D622" s="32" t="s">
        <v>184</v>
      </c>
      <c r="E622" s="32" t="s">
        <v>185</v>
      </c>
      <c r="F622" s="32" t="s">
        <v>186</v>
      </c>
    </row>
    <row r="623" ht="16.5" customHeight="1">
      <c r="A623" s="32">
        <v>619.0</v>
      </c>
      <c r="C623" s="32" t="s">
        <v>1066</v>
      </c>
      <c r="D623" s="32" t="s">
        <v>184</v>
      </c>
      <c r="E623" s="35" t="s">
        <v>294</v>
      </c>
      <c r="F623" s="32" t="s">
        <v>186</v>
      </c>
      <c r="G623" s="32" t="s">
        <v>189</v>
      </c>
      <c r="H623" s="32" t="s">
        <v>190</v>
      </c>
    </row>
    <row r="624" ht="16.5" customHeight="1">
      <c r="A624" s="32">
        <v>620.0</v>
      </c>
      <c r="C624" s="32" t="s">
        <v>1067</v>
      </c>
      <c r="D624" s="32" t="s">
        <v>184</v>
      </c>
      <c r="E624" s="32" t="s">
        <v>285</v>
      </c>
      <c r="F624" s="32" t="s">
        <v>186</v>
      </c>
      <c r="G624" s="32" t="s">
        <v>552</v>
      </c>
      <c r="H624" s="32" t="s">
        <v>683</v>
      </c>
    </row>
    <row r="625" ht="16.5" customHeight="1">
      <c r="A625" s="32">
        <v>621.0</v>
      </c>
      <c r="C625" s="32" t="s">
        <v>1068</v>
      </c>
      <c r="D625" s="32" t="s">
        <v>184</v>
      </c>
      <c r="E625" s="32" t="s">
        <v>285</v>
      </c>
      <c r="F625" s="32" t="s">
        <v>186</v>
      </c>
      <c r="G625" s="32" t="s">
        <v>189</v>
      </c>
      <c r="H625" s="32" t="s">
        <v>190</v>
      </c>
    </row>
    <row r="626" ht="16.5" customHeight="1">
      <c r="A626" s="32">
        <v>622.0</v>
      </c>
      <c r="C626" s="32" t="s">
        <v>1069</v>
      </c>
      <c r="D626" s="32" t="s">
        <v>184</v>
      </c>
      <c r="E626" s="35" t="s">
        <v>294</v>
      </c>
      <c r="F626" s="32" t="s">
        <v>186</v>
      </c>
    </row>
    <row r="627" ht="16.5" customHeight="1">
      <c r="A627" s="32">
        <v>623.0</v>
      </c>
      <c r="C627" s="32" t="s">
        <v>1070</v>
      </c>
      <c r="D627" s="32" t="s">
        <v>184</v>
      </c>
      <c r="E627" s="32" t="s">
        <v>285</v>
      </c>
      <c r="F627" s="32" t="s">
        <v>186</v>
      </c>
    </row>
    <row r="628" ht="16.5" customHeight="1">
      <c r="A628" s="32">
        <v>624.0</v>
      </c>
      <c r="C628" s="32" t="s">
        <v>1071</v>
      </c>
      <c r="D628" s="32" t="s">
        <v>184</v>
      </c>
      <c r="E628" s="35" t="s">
        <v>294</v>
      </c>
      <c r="F628" s="32" t="s">
        <v>186</v>
      </c>
    </row>
    <row r="629" ht="16.5" customHeight="1">
      <c r="A629" s="32">
        <v>625.0</v>
      </c>
      <c r="C629" s="32" t="s">
        <v>1072</v>
      </c>
      <c r="D629" s="32" t="s">
        <v>184</v>
      </c>
      <c r="E629" s="32" t="s">
        <v>285</v>
      </c>
      <c r="F629" s="32" t="s">
        <v>186</v>
      </c>
      <c r="G629" s="32" t="s">
        <v>189</v>
      </c>
      <c r="H629" s="32" t="s">
        <v>190</v>
      </c>
    </row>
    <row r="630" ht="16.5" customHeight="1">
      <c r="A630" s="32">
        <v>626.0</v>
      </c>
      <c r="C630" s="32" t="s">
        <v>1073</v>
      </c>
      <c r="D630" s="32" t="s">
        <v>184</v>
      </c>
      <c r="E630" s="32" t="s">
        <v>285</v>
      </c>
      <c r="F630" s="32" t="s">
        <v>186</v>
      </c>
    </row>
    <row r="631" ht="16.5" customHeight="1">
      <c r="A631" s="32">
        <v>627.0</v>
      </c>
      <c r="C631" s="32" t="s">
        <v>1074</v>
      </c>
      <c r="D631" s="32" t="s">
        <v>184</v>
      </c>
      <c r="E631" s="32" t="s">
        <v>285</v>
      </c>
      <c r="F631" s="32" t="s">
        <v>186</v>
      </c>
    </row>
    <row r="632" ht="16.5" customHeight="1">
      <c r="A632" s="32">
        <v>628.0</v>
      </c>
      <c r="C632" s="32" t="s">
        <v>1075</v>
      </c>
      <c r="D632" s="32" t="s">
        <v>184</v>
      </c>
      <c r="E632" s="32" t="s">
        <v>285</v>
      </c>
      <c r="F632" s="32" t="s">
        <v>186</v>
      </c>
    </row>
    <row r="633" ht="16.5" customHeight="1">
      <c r="A633" s="32">
        <v>629.0</v>
      </c>
      <c r="C633" s="32" t="s">
        <v>1076</v>
      </c>
      <c r="D633" s="32" t="s">
        <v>184</v>
      </c>
      <c r="E633" s="32" t="s">
        <v>219</v>
      </c>
      <c r="F633" s="32" t="s">
        <v>186</v>
      </c>
    </row>
    <row r="634" ht="16.5" customHeight="1">
      <c r="A634" s="32">
        <v>630.0</v>
      </c>
      <c r="C634" s="32" t="s">
        <v>1077</v>
      </c>
      <c r="D634" s="32" t="s">
        <v>184</v>
      </c>
      <c r="E634" s="32" t="s">
        <v>185</v>
      </c>
      <c r="F634" s="32" t="s">
        <v>186</v>
      </c>
    </row>
    <row r="635" ht="16.5" customHeight="1">
      <c r="A635" s="32">
        <v>631.0</v>
      </c>
      <c r="C635" s="32" t="s">
        <v>1078</v>
      </c>
      <c r="D635" s="32" t="s">
        <v>184</v>
      </c>
      <c r="E635" s="32" t="s">
        <v>254</v>
      </c>
      <c r="F635" s="32" t="s">
        <v>186</v>
      </c>
      <c r="G635" s="32" t="s">
        <v>305</v>
      </c>
      <c r="H635" s="32" t="s">
        <v>1079</v>
      </c>
    </row>
    <row r="636" ht="16.5" customHeight="1">
      <c r="A636" s="32">
        <v>632.0</v>
      </c>
      <c r="C636" s="32" t="s">
        <v>1080</v>
      </c>
      <c r="D636" s="32" t="s">
        <v>184</v>
      </c>
      <c r="E636" s="32" t="s">
        <v>254</v>
      </c>
      <c r="F636" s="32" t="s">
        <v>186</v>
      </c>
    </row>
    <row r="637" ht="16.5" customHeight="1">
      <c r="A637" s="32">
        <v>633.0</v>
      </c>
      <c r="C637" s="32" t="s">
        <v>1081</v>
      </c>
      <c r="D637" s="32" t="s">
        <v>184</v>
      </c>
      <c r="E637" s="32" t="s">
        <v>214</v>
      </c>
      <c r="F637" s="32" t="s">
        <v>186</v>
      </c>
      <c r="G637" s="32" t="s">
        <v>720</v>
      </c>
    </row>
    <row r="638" ht="16.5" customHeight="1">
      <c r="A638" s="32">
        <v>634.0</v>
      </c>
      <c r="C638" s="32" t="s">
        <v>1082</v>
      </c>
      <c r="D638" s="32" t="s">
        <v>184</v>
      </c>
      <c r="E638" s="32" t="s">
        <v>214</v>
      </c>
      <c r="F638" s="32" t="s">
        <v>186</v>
      </c>
      <c r="G638" s="32" t="s">
        <v>720</v>
      </c>
    </row>
    <row r="639" ht="16.5" customHeight="1">
      <c r="A639" s="32">
        <v>635.0</v>
      </c>
      <c r="C639" s="32" t="s">
        <v>1083</v>
      </c>
      <c r="D639" s="32" t="s">
        <v>184</v>
      </c>
      <c r="E639" s="32" t="s">
        <v>228</v>
      </c>
      <c r="F639" s="32" t="s">
        <v>186</v>
      </c>
      <c r="G639" s="32" t="s">
        <v>229</v>
      </c>
      <c r="H639" s="32" t="s">
        <v>230</v>
      </c>
    </row>
    <row r="640" ht="16.5" customHeight="1">
      <c r="A640" s="32">
        <v>636.0</v>
      </c>
      <c r="C640" s="32" t="s">
        <v>1084</v>
      </c>
      <c r="D640" s="32" t="s">
        <v>184</v>
      </c>
      <c r="E640" s="32" t="s">
        <v>325</v>
      </c>
      <c r="F640" s="32" t="s">
        <v>186</v>
      </c>
      <c r="G640" s="32" t="s">
        <v>368</v>
      </c>
      <c r="H640" s="32" t="s">
        <v>463</v>
      </c>
    </row>
    <row r="641" ht="16.5" customHeight="1">
      <c r="A641" s="32">
        <v>637.0</v>
      </c>
      <c r="C641" s="32" t="s">
        <v>1085</v>
      </c>
      <c r="D641" s="32" t="s">
        <v>184</v>
      </c>
      <c r="E641" s="32" t="s">
        <v>325</v>
      </c>
      <c r="F641" s="32" t="s">
        <v>186</v>
      </c>
    </row>
    <row r="642" ht="16.5" customHeight="1">
      <c r="A642" s="32">
        <v>638.0</v>
      </c>
      <c r="C642" s="32" t="s">
        <v>1086</v>
      </c>
      <c r="D642" s="32" t="s">
        <v>184</v>
      </c>
      <c r="E642" s="32" t="s">
        <v>219</v>
      </c>
      <c r="F642" s="32" t="s">
        <v>186</v>
      </c>
      <c r="G642" s="32" t="s">
        <v>241</v>
      </c>
      <c r="H642" s="32" t="s">
        <v>292</v>
      </c>
    </row>
    <row r="643" ht="16.5" customHeight="1">
      <c r="A643" s="32">
        <v>639.0</v>
      </c>
      <c r="C643" s="32" t="s">
        <v>1087</v>
      </c>
      <c r="D643" s="32" t="s">
        <v>184</v>
      </c>
      <c r="E643" s="32" t="s">
        <v>219</v>
      </c>
      <c r="F643" s="32" t="s">
        <v>186</v>
      </c>
    </row>
    <row r="644" ht="16.5" customHeight="1">
      <c r="A644" s="32">
        <v>640.0</v>
      </c>
      <c r="C644" s="32" t="s">
        <v>1088</v>
      </c>
      <c r="D644" s="32" t="s">
        <v>184</v>
      </c>
      <c r="E644" s="32" t="s">
        <v>228</v>
      </c>
      <c r="F644" s="32" t="s">
        <v>186</v>
      </c>
      <c r="G644" s="32" t="s">
        <v>243</v>
      </c>
      <c r="H644" s="32" t="s">
        <v>244</v>
      </c>
    </row>
    <row r="645" ht="16.5" customHeight="1">
      <c r="A645" s="32">
        <v>641.0</v>
      </c>
      <c r="C645" s="32" t="s">
        <v>1089</v>
      </c>
      <c r="D645" s="32" t="s">
        <v>184</v>
      </c>
      <c r="E645" s="32" t="s">
        <v>228</v>
      </c>
      <c r="F645" s="32" t="s">
        <v>186</v>
      </c>
    </row>
    <row r="646" ht="16.5" customHeight="1">
      <c r="A646" s="32">
        <v>642.0</v>
      </c>
      <c r="C646" s="32" t="s">
        <v>1090</v>
      </c>
      <c r="D646" s="32" t="s">
        <v>184</v>
      </c>
      <c r="E646" s="32" t="s">
        <v>219</v>
      </c>
      <c r="F646" s="32" t="s">
        <v>186</v>
      </c>
      <c r="G646" s="32" t="s">
        <v>232</v>
      </c>
      <c r="H646" s="32" t="s">
        <v>233</v>
      </c>
    </row>
    <row r="647" ht="16.5" customHeight="1">
      <c r="A647" s="32">
        <v>643.0</v>
      </c>
      <c r="C647" s="32" t="s">
        <v>1091</v>
      </c>
      <c r="D647" s="32" t="s">
        <v>184</v>
      </c>
      <c r="E647" s="32" t="s">
        <v>228</v>
      </c>
      <c r="F647" s="32" t="s">
        <v>186</v>
      </c>
      <c r="G647" s="32" t="s">
        <v>229</v>
      </c>
      <c r="H647" s="32" t="s">
        <v>626</v>
      </c>
    </row>
    <row r="648" ht="16.5" customHeight="1">
      <c r="A648" s="32">
        <v>644.0</v>
      </c>
      <c r="C648" s="32" t="s">
        <v>1092</v>
      </c>
      <c r="D648" s="32" t="s">
        <v>184</v>
      </c>
      <c r="E648" s="32" t="s">
        <v>228</v>
      </c>
      <c r="F648" s="32" t="s">
        <v>186</v>
      </c>
    </row>
    <row r="649" ht="16.5" customHeight="1">
      <c r="A649" s="32">
        <v>645.0</v>
      </c>
      <c r="C649" s="32" t="s">
        <v>1093</v>
      </c>
      <c r="D649" s="32" t="s">
        <v>184</v>
      </c>
      <c r="E649" s="32" t="s">
        <v>325</v>
      </c>
      <c r="F649" s="32" t="s">
        <v>186</v>
      </c>
      <c r="G649" s="32" t="s">
        <v>368</v>
      </c>
      <c r="H649" s="32" t="s">
        <v>463</v>
      </c>
    </row>
    <row r="650" ht="16.5" customHeight="1">
      <c r="A650" s="32">
        <v>646.0</v>
      </c>
      <c r="C650" s="32" t="s">
        <v>1094</v>
      </c>
      <c r="D650" s="32" t="s">
        <v>184</v>
      </c>
      <c r="E650" s="32" t="s">
        <v>228</v>
      </c>
      <c r="F650" s="32" t="s">
        <v>186</v>
      </c>
      <c r="G650" s="32" t="s">
        <v>229</v>
      </c>
      <c r="H650" s="32" t="s">
        <v>626</v>
      </c>
    </row>
    <row r="651" ht="16.5" customHeight="1">
      <c r="A651" s="32">
        <v>647.0</v>
      </c>
      <c r="C651" s="32" t="s">
        <v>1095</v>
      </c>
      <c r="D651" s="32" t="s">
        <v>184</v>
      </c>
      <c r="E651" s="32" t="s">
        <v>228</v>
      </c>
      <c r="F651" s="32" t="s">
        <v>186</v>
      </c>
      <c r="G651" s="32" t="s">
        <v>229</v>
      </c>
      <c r="H651" s="32" t="s">
        <v>626</v>
      </c>
    </row>
    <row r="652" ht="16.5" customHeight="1">
      <c r="A652" s="32">
        <v>648.0</v>
      </c>
      <c r="C652" s="32" t="s">
        <v>1096</v>
      </c>
      <c r="D652" s="32" t="s">
        <v>184</v>
      </c>
      <c r="E652" s="32" t="s">
        <v>219</v>
      </c>
      <c r="F652" s="32" t="s">
        <v>186</v>
      </c>
      <c r="G652" s="32" t="s">
        <v>223</v>
      </c>
    </row>
    <row r="653" ht="16.5" customHeight="1">
      <c r="A653" s="32">
        <v>649.0</v>
      </c>
      <c r="C653" s="32" t="s">
        <v>1097</v>
      </c>
      <c r="D653" s="32" t="s">
        <v>184</v>
      </c>
      <c r="E653" s="32" t="s">
        <v>219</v>
      </c>
      <c r="F653" s="32" t="s">
        <v>186</v>
      </c>
      <c r="G653" s="32" t="s">
        <v>223</v>
      </c>
    </row>
    <row r="654" ht="16.5" customHeight="1">
      <c r="A654" s="32">
        <v>650.0</v>
      </c>
      <c r="C654" s="32" t="s">
        <v>1098</v>
      </c>
      <c r="D654" s="32" t="s">
        <v>184</v>
      </c>
      <c r="E654" s="32" t="s">
        <v>214</v>
      </c>
      <c r="F654" s="32" t="s">
        <v>186</v>
      </c>
      <c r="G654" s="32" t="s">
        <v>216</v>
      </c>
      <c r="H654" s="32" t="s">
        <v>217</v>
      </c>
    </row>
    <row r="655" ht="16.5" customHeight="1">
      <c r="A655" s="32">
        <v>651.0</v>
      </c>
      <c r="C655" s="32" t="s">
        <v>1099</v>
      </c>
      <c r="D655" s="32" t="s">
        <v>184</v>
      </c>
      <c r="E655" s="32" t="s">
        <v>325</v>
      </c>
      <c r="F655" s="32" t="s">
        <v>186</v>
      </c>
      <c r="G655" s="32" t="s">
        <v>1100</v>
      </c>
      <c r="H655" s="32" t="s">
        <v>463</v>
      </c>
    </row>
    <row r="656" ht="16.5" customHeight="1">
      <c r="A656" s="32">
        <v>652.0</v>
      </c>
      <c r="C656" s="32" t="s">
        <v>1101</v>
      </c>
      <c r="D656" s="32" t="s">
        <v>184</v>
      </c>
      <c r="E656" s="32" t="s">
        <v>228</v>
      </c>
      <c r="F656" s="32" t="s">
        <v>186</v>
      </c>
    </row>
    <row r="657" ht="16.5" customHeight="1">
      <c r="A657" s="32">
        <v>653.0</v>
      </c>
      <c r="C657" s="32" t="s">
        <v>1102</v>
      </c>
      <c r="D657" s="32" t="s">
        <v>184</v>
      </c>
      <c r="E657" s="32" t="s">
        <v>228</v>
      </c>
      <c r="F657" s="32" t="s">
        <v>186</v>
      </c>
      <c r="G657" s="32" t="s">
        <v>229</v>
      </c>
      <c r="H657" s="32" t="s">
        <v>230</v>
      </c>
    </row>
    <row r="658" ht="16.5" customHeight="1">
      <c r="A658" s="32">
        <v>654.0</v>
      </c>
      <c r="C658" s="32" t="s">
        <v>1103</v>
      </c>
      <c r="D658" s="32" t="s">
        <v>184</v>
      </c>
      <c r="E658" s="32" t="s">
        <v>192</v>
      </c>
      <c r="F658" s="32" t="s">
        <v>186</v>
      </c>
    </row>
    <row r="659" ht="16.5" customHeight="1">
      <c r="A659" s="32">
        <v>655.0</v>
      </c>
      <c r="C659" s="32" t="s">
        <v>1104</v>
      </c>
      <c r="D659" s="32" t="s">
        <v>184</v>
      </c>
      <c r="E659" s="32" t="s">
        <v>254</v>
      </c>
      <c r="F659" s="32" t="s">
        <v>186</v>
      </c>
      <c r="G659" s="32" t="s">
        <v>257</v>
      </c>
      <c r="H659" s="32" t="s">
        <v>271</v>
      </c>
    </row>
    <row r="660" ht="16.5" customHeight="1">
      <c r="A660" s="32">
        <v>656.0</v>
      </c>
      <c r="C660" s="32" t="s">
        <v>1105</v>
      </c>
      <c r="D660" s="32" t="s">
        <v>184</v>
      </c>
      <c r="E660" s="32" t="s">
        <v>254</v>
      </c>
      <c r="F660" s="32" t="s">
        <v>186</v>
      </c>
      <c r="G660" s="32" t="s">
        <v>257</v>
      </c>
      <c r="H660" s="32" t="s">
        <v>271</v>
      </c>
    </row>
    <row r="661" ht="16.5" customHeight="1">
      <c r="A661" s="32">
        <v>657.0</v>
      </c>
      <c r="C661" s="32" t="s">
        <v>1106</v>
      </c>
      <c r="D661" s="32" t="s">
        <v>184</v>
      </c>
      <c r="E661" s="32" t="s">
        <v>219</v>
      </c>
      <c r="F661" s="32" t="s">
        <v>186</v>
      </c>
      <c r="G661" s="32" t="s">
        <v>241</v>
      </c>
      <c r="H661" s="32" t="s">
        <v>232</v>
      </c>
    </row>
    <row r="662" ht="16.5" customHeight="1">
      <c r="A662" s="32">
        <v>658.0</v>
      </c>
      <c r="C662" s="32" t="s">
        <v>1107</v>
      </c>
      <c r="D662" s="32" t="s">
        <v>184</v>
      </c>
      <c r="E662" s="32" t="s">
        <v>228</v>
      </c>
      <c r="F662" s="32" t="s">
        <v>186</v>
      </c>
      <c r="G662" s="32" t="s">
        <v>229</v>
      </c>
      <c r="H662" s="32" t="s">
        <v>230</v>
      </c>
    </row>
    <row r="663" ht="16.5" customHeight="1">
      <c r="A663" s="32">
        <v>659.0</v>
      </c>
      <c r="C663" s="32" t="s">
        <v>1108</v>
      </c>
      <c r="D663" s="32" t="s">
        <v>184</v>
      </c>
      <c r="E663" s="32" t="s">
        <v>228</v>
      </c>
      <c r="F663" s="32" t="s">
        <v>186</v>
      </c>
    </row>
    <row r="664" ht="16.5" customHeight="1">
      <c r="A664" s="32">
        <v>660.0</v>
      </c>
      <c r="C664" s="32" t="s">
        <v>1109</v>
      </c>
      <c r="D664" s="32" t="s">
        <v>184</v>
      </c>
      <c r="E664" s="32" t="s">
        <v>219</v>
      </c>
      <c r="F664" s="32" t="s">
        <v>186</v>
      </c>
      <c r="G664" s="32" t="s">
        <v>217</v>
      </c>
      <c r="H664" s="32" t="s">
        <v>216</v>
      </c>
    </row>
    <row r="665" ht="16.5" customHeight="1">
      <c r="A665" s="32">
        <v>661.0</v>
      </c>
      <c r="C665" s="32" t="s">
        <v>1110</v>
      </c>
      <c r="D665" s="32" t="s">
        <v>184</v>
      </c>
      <c r="E665" s="35" t="s">
        <v>294</v>
      </c>
      <c r="F665" s="32" t="s">
        <v>186</v>
      </c>
    </row>
    <row r="666" ht="16.5" customHeight="1">
      <c r="A666" s="32">
        <v>662.0</v>
      </c>
      <c r="C666" s="32" t="s">
        <v>1111</v>
      </c>
      <c r="D666" s="32" t="s">
        <v>184</v>
      </c>
      <c r="E666" s="32" t="s">
        <v>285</v>
      </c>
      <c r="F666" s="32" t="s">
        <v>186</v>
      </c>
      <c r="G666" s="32" t="s">
        <v>189</v>
      </c>
      <c r="H666" s="32" t="s">
        <v>190</v>
      </c>
    </row>
    <row r="667" ht="16.5" customHeight="1">
      <c r="A667" s="32">
        <v>663.0</v>
      </c>
      <c r="C667" s="32" t="s">
        <v>1112</v>
      </c>
      <c r="D667" s="32" t="s">
        <v>184</v>
      </c>
      <c r="E667" s="32" t="s">
        <v>185</v>
      </c>
      <c r="F667" s="32" t="s">
        <v>186</v>
      </c>
    </row>
    <row r="668" ht="16.5" customHeight="1">
      <c r="A668" s="32">
        <v>664.0</v>
      </c>
      <c r="C668" s="32" t="s">
        <v>1113</v>
      </c>
      <c r="D668" s="32" t="s">
        <v>184</v>
      </c>
      <c r="E668" s="32" t="s">
        <v>285</v>
      </c>
      <c r="F668" s="32" t="s">
        <v>186</v>
      </c>
      <c r="G668" s="32" t="s">
        <v>1114</v>
      </c>
      <c r="H668" s="32" t="s">
        <v>1115</v>
      </c>
    </row>
    <row r="669" ht="16.5" customHeight="1">
      <c r="A669" s="32">
        <v>665.0</v>
      </c>
      <c r="C669" s="32" t="s">
        <v>1116</v>
      </c>
      <c r="D669" s="32" t="s">
        <v>184</v>
      </c>
      <c r="E669" s="32" t="s">
        <v>185</v>
      </c>
      <c r="F669" s="32" t="s">
        <v>186</v>
      </c>
      <c r="G669" s="32" t="s">
        <v>267</v>
      </c>
      <c r="H669" s="32" t="s">
        <v>188</v>
      </c>
    </row>
    <row r="670" ht="16.5" customHeight="1">
      <c r="A670" s="32">
        <v>666.0</v>
      </c>
      <c r="C670" s="32" t="s">
        <v>1117</v>
      </c>
      <c r="D670" s="32" t="s">
        <v>184</v>
      </c>
      <c r="E670" s="32" t="s">
        <v>285</v>
      </c>
      <c r="F670" s="32" t="s">
        <v>186</v>
      </c>
      <c r="G670" s="32" t="s">
        <v>227</v>
      </c>
      <c r="H670" s="32" t="s">
        <v>857</v>
      </c>
    </row>
    <row r="671" ht="16.5" customHeight="1">
      <c r="A671" s="32">
        <v>667.0</v>
      </c>
      <c r="C671" s="32" t="s">
        <v>1118</v>
      </c>
      <c r="D671" s="32" t="s">
        <v>184</v>
      </c>
      <c r="E671" s="32" t="s">
        <v>185</v>
      </c>
      <c r="F671" s="32" t="s">
        <v>186</v>
      </c>
      <c r="G671" s="32" t="s">
        <v>267</v>
      </c>
      <c r="H671" s="32" t="s">
        <v>188</v>
      </c>
    </row>
    <row r="672" ht="16.5" customHeight="1">
      <c r="A672" s="32">
        <v>668.0</v>
      </c>
      <c r="C672" s="32" t="s">
        <v>1119</v>
      </c>
      <c r="D672" s="32" t="s">
        <v>184</v>
      </c>
      <c r="E672" s="32" t="s">
        <v>285</v>
      </c>
      <c r="F672" s="32" t="s">
        <v>186</v>
      </c>
    </row>
    <row r="673" ht="16.5" customHeight="1">
      <c r="A673" s="32">
        <v>669.0</v>
      </c>
      <c r="C673" s="32" t="s">
        <v>1120</v>
      </c>
      <c r="D673" s="32" t="s">
        <v>184</v>
      </c>
      <c r="E673" s="32" t="s">
        <v>185</v>
      </c>
      <c r="F673" s="32" t="s">
        <v>186</v>
      </c>
      <c r="G673" s="32" t="s">
        <v>189</v>
      </c>
      <c r="H673" s="32" t="s">
        <v>1121</v>
      </c>
    </row>
    <row r="674" ht="16.5" customHeight="1">
      <c r="A674" s="32">
        <v>670.0</v>
      </c>
      <c r="C674" s="32" t="s">
        <v>1122</v>
      </c>
      <c r="D674" s="32" t="s">
        <v>184</v>
      </c>
      <c r="E674" s="35" t="s">
        <v>294</v>
      </c>
      <c r="F674" s="32" t="s">
        <v>186</v>
      </c>
      <c r="G674" s="32" t="s">
        <v>189</v>
      </c>
      <c r="H674" s="32" t="s">
        <v>1121</v>
      </c>
    </row>
    <row r="675" ht="16.5" customHeight="1">
      <c r="A675" s="32">
        <v>671.0</v>
      </c>
      <c r="C675" s="32" t="s">
        <v>1123</v>
      </c>
      <c r="D675" s="32" t="s">
        <v>184</v>
      </c>
      <c r="E675" s="32" t="s">
        <v>185</v>
      </c>
      <c r="F675" s="32" t="s">
        <v>186</v>
      </c>
    </row>
    <row r="676" ht="16.5" customHeight="1">
      <c r="A676" s="32">
        <v>672.0</v>
      </c>
      <c r="C676" s="32" t="s">
        <v>1124</v>
      </c>
      <c r="D676" s="32" t="s">
        <v>184</v>
      </c>
      <c r="E676" s="32" t="s">
        <v>185</v>
      </c>
      <c r="F676" s="32" t="s">
        <v>186</v>
      </c>
    </row>
    <row r="677" ht="16.5" customHeight="1">
      <c r="A677" s="32">
        <v>673.0</v>
      </c>
      <c r="C677" s="32" t="s">
        <v>1125</v>
      </c>
      <c r="D677" s="32" t="s">
        <v>184</v>
      </c>
      <c r="E677" s="32" t="s">
        <v>185</v>
      </c>
      <c r="F677" s="32" t="s">
        <v>186</v>
      </c>
      <c r="G677" s="32" t="s">
        <v>267</v>
      </c>
      <c r="H677" s="32" t="s">
        <v>975</v>
      </c>
    </row>
    <row r="678" ht="16.5" customHeight="1">
      <c r="A678" s="32">
        <v>674.0</v>
      </c>
      <c r="C678" s="32" t="s">
        <v>1126</v>
      </c>
      <c r="D678" s="32" t="s">
        <v>184</v>
      </c>
      <c r="E678" s="32" t="s">
        <v>285</v>
      </c>
      <c r="F678" s="32" t="s">
        <v>186</v>
      </c>
      <c r="G678" s="32" t="s">
        <v>189</v>
      </c>
      <c r="H678" s="32" t="s">
        <v>1127</v>
      </c>
    </row>
    <row r="679" ht="16.5" customHeight="1">
      <c r="A679" s="32">
        <v>675.0</v>
      </c>
      <c r="C679" s="32" t="s">
        <v>1128</v>
      </c>
      <c r="D679" s="32" t="s">
        <v>184</v>
      </c>
      <c r="E679" s="35" t="s">
        <v>1129</v>
      </c>
      <c r="F679" s="32" t="s">
        <v>186</v>
      </c>
      <c r="G679" s="32" t="s">
        <v>793</v>
      </c>
      <c r="H679" s="32" t="s">
        <v>1130</v>
      </c>
    </row>
    <row r="680" ht="16.5" customHeight="1">
      <c r="A680" s="32">
        <v>676.0</v>
      </c>
      <c r="C680" s="32" t="s">
        <v>50</v>
      </c>
      <c r="D680" s="32" t="s">
        <v>184</v>
      </c>
      <c r="E680" s="32" t="s">
        <v>228</v>
      </c>
      <c r="F680" s="32" t="s">
        <v>186</v>
      </c>
      <c r="G680" s="32" t="s">
        <v>544</v>
      </c>
      <c r="H680" s="32" t="s">
        <v>713</v>
      </c>
    </row>
    <row r="681" ht="16.5" customHeight="1">
      <c r="A681" s="32">
        <v>677.0</v>
      </c>
      <c r="C681" s="32" t="s">
        <v>1131</v>
      </c>
      <c r="D681" s="32" t="s">
        <v>184</v>
      </c>
      <c r="E681" s="32" t="s">
        <v>228</v>
      </c>
      <c r="F681" s="32" t="s">
        <v>186</v>
      </c>
    </row>
    <row r="682" ht="16.5" customHeight="1">
      <c r="A682" s="32">
        <v>678.0</v>
      </c>
      <c r="C682" s="32" t="s">
        <v>1132</v>
      </c>
      <c r="D682" s="32" t="s">
        <v>184</v>
      </c>
      <c r="E682" s="32" t="s">
        <v>228</v>
      </c>
      <c r="F682" s="32" t="s">
        <v>186</v>
      </c>
      <c r="G682" s="32" t="s">
        <v>544</v>
      </c>
      <c r="H682" s="32" t="s">
        <v>1133</v>
      </c>
    </row>
    <row r="683" ht="16.5" customHeight="1">
      <c r="A683" s="32">
        <v>679.0</v>
      </c>
      <c r="C683" s="32" t="s">
        <v>1134</v>
      </c>
      <c r="D683" s="32" t="s">
        <v>184</v>
      </c>
      <c r="E683" s="32" t="s">
        <v>228</v>
      </c>
      <c r="F683" s="32" t="s">
        <v>186</v>
      </c>
      <c r="G683" s="32" t="s">
        <v>544</v>
      </c>
      <c r="H683" s="32" t="s">
        <v>713</v>
      </c>
    </row>
    <row r="684" ht="16.5" customHeight="1">
      <c r="A684" s="32">
        <v>680.0</v>
      </c>
      <c r="C684" s="32" t="s">
        <v>1135</v>
      </c>
      <c r="D684" s="32" t="s">
        <v>184</v>
      </c>
      <c r="E684" s="32" t="s">
        <v>234</v>
      </c>
      <c r="F684" s="32" t="s">
        <v>186</v>
      </c>
      <c r="G684" s="32" t="s">
        <v>235</v>
      </c>
      <c r="H684" s="32" t="s">
        <v>243</v>
      </c>
    </row>
    <row r="685" ht="16.5" customHeight="1">
      <c r="A685" s="32">
        <v>681.0</v>
      </c>
      <c r="C685" s="32" t="s">
        <v>1136</v>
      </c>
      <c r="D685" s="32" t="s">
        <v>184</v>
      </c>
      <c r="E685" s="32" t="s">
        <v>185</v>
      </c>
      <c r="F685" s="32" t="s">
        <v>186</v>
      </c>
    </row>
    <row r="686" ht="16.5" customHeight="1">
      <c r="A686" s="32">
        <v>682.0</v>
      </c>
      <c r="C686" s="32" t="s">
        <v>1137</v>
      </c>
      <c r="D686" s="32" t="s">
        <v>184</v>
      </c>
      <c r="E686" s="32" t="s">
        <v>185</v>
      </c>
      <c r="F686" s="32" t="s">
        <v>186</v>
      </c>
      <c r="G686" s="32" t="s">
        <v>189</v>
      </c>
      <c r="H686" s="32" t="s">
        <v>314</v>
      </c>
    </row>
    <row r="687" ht="16.5" customHeight="1">
      <c r="A687" s="32">
        <v>683.0</v>
      </c>
      <c r="C687" s="32" t="s">
        <v>1138</v>
      </c>
      <c r="D687" s="32" t="s">
        <v>184</v>
      </c>
      <c r="E687" s="32" t="s">
        <v>285</v>
      </c>
      <c r="F687" s="32" t="s">
        <v>186</v>
      </c>
      <c r="G687" s="32" t="s">
        <v>189</v>
      </c>
      <c r="H687" s="32" t="s">
        <v>314</v>
      </c>
    </row>
    <row r="688" ht="16.5" customHeight="1">
      <c r="A688" s="32">
        <v>684.0</v>
      </c>
      <c r="C688" s="32" t="s">
        <v>1139</v>
      </c>
      <c r="D688" s="32" t="s">
        <v>184</v>
      </c>
      <c r="E688" s="35" t="s">
        <v>691</v>
      </c>
      <c r="F688" s="32" t="s">
        <v>186</v>
      </c>
      <c r="G688" s="32" t="s">
        <v>793</v>
      </c>
      <c r="H688" s="32" t="s">
        <v>1140</v>
      </c>
    </row>
    <row r="689" ht="16.5" customHeight="1">
      <c r="A689" s="32">
        <v>685.0</v>
      </c>
      <c r="C689" s="32" t="s">
        <v>1141</v>
      </c>
      <c r="D689" s="32" t="s">
        <v>184</v>
      </c>
      <c r="E689" s="32" t="s">
        <v>234</v>
      </c>
      <c r="F689" s="32" t="s">
        <v>186</v>
      </c>
      <c r="G689" s="32" t="s">
        <v>347</v>
      </c>
      <c r="H689" s="32" t="s">
        <v>382</v>
      </c>
    </row>
    <row r="690" ht="16.5" customHeight="1">
      <c r="A690" s="32">
        <v>686.0</v>
      </c>
      <c r="C690" s="32" t="s">
        <v>1142</v>
      </c>
      <c r="D690" s="32" t="s">
        <v>184</v>
      </c>
      <c r="E690" s="32" t="s">
        <v>228</v>
      </c>
      <c r="F690" s="32" t="s">
        <v>186</v>
      </c>
      <c r="G690" s="32" t="s">
        <v>544</v>
      </c>
      <c r="H690" s="32" t="s">
        <v>1143</v>
      </c>
    </row>
    <row r="691" ht="16.5" customHeight="1">
      <c r="A691" s="32">
        <v>687.0</v>
      </c>
      <c r="C691" s="32" t="s">
        <v>1144</v>
      </c>
      <c r="D691" s="32" t="s">
        <v>184</v>
      </c>
      <c r="E691" s="32" t="s">
        <v>192</v>
      </c>
      <c r="F691" s="32" t="s">
        <v>186</v>
      </c>
    </row>
    <row r="692" ht="16.5" customHeight="1">
      <c r="A692" s="32">
        <v>688.0</v>
      </c>
      <c r="C692" s="32" t="s">
        <v>823</v>
      </c>
      <c r="D692" s="32" t="s">
        <v>184</v>
      </c>
      <c r="E692" s="32" t="s">
        <v>234</v>
      </c>
      <c r="F692" s="32" t="s">
        <v>186</v>
      </c>
      <c r="G692" s="32" t="s">
        <v>347</v>
      </c>
      <c r="H692" s="32" t="s">
        <v>382</v>
      </c>
    </row>
    <row r="693" ht="16.5" customHeight="1">
      <c r="A693" s="32">
        <v>689.0</v>
      </c>
      <c r="C693" s="32" t="s">
        <v>1145</v>
      </c>
      <c r="D693" s="32" t="s">
        <v>184</v>
      </c>
      <c r="E693" s="32" t="s">
        <v>192</v>
      </c>
      <c r="F693" s="32" t="s">
        <v>186</v>
      </c>
      <c r="G693" s="32" t="s">
        <v>238</v>
      </c>
      <c r="H693" s="32" t="s">
        <v>239</v>
      </c>
    </row>
    <row r="694" ht="16.5" customHeight="1">
      <c r="A694" s="32">
        <v>690.0</v>
      </c>
      <c r="C694" s="32" t="s">
        <v>1146</v>
      </c>
      <c r="D694" s="32" t="s">
        <v>184</v>
      </c>
      <c r="E694" s="32" t="s">
        <v>285</v>
      </c>
      <c r="F694" s="32" t="s">
        <v>186</v>
      </c>
      <c r="G694" s="32" t="s">
        <v>552</v>
      </c>
      <c r="H694" s="32" t="s">
        <v>553</v>
      </c>
    </row>
    <row r="695" ht="16.5" customHeight="1">
      <c r="A695" s="32">
        <v>691.0</v>
      </c>
      <c r="C695" s="32" t="s">
        <v>1147</v>
      </c>
      <c r="D695" s="32" t="s">
        <v>184</v>
      </c>
      <c r="E695" s="35" t="s">
        <v>294</v>
      </c>
      <c r="F695" s="32" t="s">
        <v>186</v>
      </c>
    </row>
    <row r="696" ht="16.5" customHeight="1">
      <c r="A696" s="32">
        <v>692.0</v>
      </c>
      <c r="C696" s="32" t="s">
        <v>1148</v>
      </c>
      <c r="D696" s="32" t="s">
        <v>184</v>
      </c>
      <c r="E696" s="32" t="s">
        <v>185</v>
      </c>
      <c r="F696" s="32" t="s">
        <v>186</v>
      </c>
    </row>
    <row r="697" ht="16.5" customHeight="1">
      <c r="A697" s="32">
        <v>693.0</v>
      </c>
      <c r="C697" s="32" t="s">
        <v>1149</v>
      </c>
      <c r="D697" s="32" t="s">
        <v>184</v>
      </c>
      <c r="E697" s="32" t="s">
        <v>219</v>
      </c>
      <c r="F697" s="32" t="s">
        <v>186</v>
      </c>
      <c r="G697" s="32" t="s">
        <v>241</v>
      </c>
      <c r="H697" s="32" t="s">
        <v>242</v>
      </c>
    </row>
    <row r="698" ht="16.5" customHeight="1">
      <c r="A698" s="32">
        <v>694.0</v>
      </c>
      <c r="C698" s="32" t="s">
        <v>1150</v>
      </c>
      <c r="D698" s="32" t="s">
        <v>184</v>
      </c>
      <c r="E698" s="32" t="s">
        <v>228</v>
      </c>
      <c r="F698" s="32" t="s">
        <v>186</v>
      </c>
      <c r="G698" s="32" t="s">
        <v>544</v>
      </c>
      <c r="H698" s="32" t="s">
        <v>1151</v>
      </c>
    </row>
    <row r="699" ht="16.5" customHeight="1">
      <c r="A699" s="32">
        <v>695.0</v>
      </c>
      <c r="C699" s="32" t="s">
        <v>1152</v>
      </c>
      <c r="D699" s="32" t="s">
        <v>184</v>
      </c>
      <c r="E699" s="32" t="s">
        <v>214</v>
      </c>
      <c r="F699" s="32" t="s">
        <v>186</v>
      </c>
      <c r="G699" s="32" t="s">
        <v>720</v>
      </c>
    </row>
    <row r="700" ht="16.5" customHeight="1">
      <c r="A700" s="32">
        <v>696.0</v>
      </c>
      <c r="C700" s="32" t="s">
        <v>1153</v>
      </c>
      <c r="D700" s="32" t="s">
        <v>184</v>
      </c>
      <c r="E700" s="32" t="s">
        <v>214</v>
      </c>
      <c r="F700" s="32" t="s">
        <v>186</v>
      </c>
      <c r="G700" s="32" t="s">
        <v>720</v>
      </c>
    </row>
    <row r="701" ht="16.5" customHeight="1">
      <c r="A701" s="32">
        <v>697.0</v>
      </c>
      <c r="C701" s="32" t="s">
        <v>1154</v>
      </c>
      <c r="D701" s="32" t="s">
        <v>184</v>
      </c>
      <c r="E701" s="32" t="s">
        <v>214</v>
      </c>
      <c r="F701" s="32" t="s">
        <v>186</v>
      </c>
      <c r="G701" s="32" t="s">
        <v>720</v>
      </c>
    </row>
    <row r="702" ht="16.5" customHeight="1">
      <c r="A702" s="32">
        <v>698.0</v>
      </c>
      <c r="C702" s="32" t="s">
        <v>1155</v>
      </c>
      <c r="D702" s="32" t="s">
        <v>184</v>
      </c>
      <c r="E702" s="32" t="s">
        <v>228</v>
      </c>
      <c r="F702" s="32" t="s">
        <v>186</v>
      </c>
    </row>
    <row r="703" ht="16.5" customHeight="1">
      <c r="A703" s="32">
        <v>699.0</v>
      </c>
      <c r="C703" s="32" t="s">
        <v>1156</v>
      </c>
      <c r="D703" s="32" t="s">
        <v>184</v>
      </c>
      <c r="E703" s="32" t="s">
        <v>285</v>
      </c>
      <c r="F703" s="32" t="s">
        <v>186</v>
      </c>
    </row>
    <row r="704" ht="16.5" customHeight="1">
      <c r="A704" s="32">
        <v>700.0</v>
      </c>
      <c r="C704" s="32" t="s">
        <v>1157</v>
      </c>
      <c r="D704" s="32" t="s">
        <v>184</v>
      </c>
      <c r="E704" s="32" t="s">
        <v>185</v>
      </c>
      <c r="F704" s="32" t="s">
        <v>186</v>
      </c>
    </row>
    <row r="705" ht="16.5" customHeight="1">
      <c r="A705" s="32">
        <v>701.0</v>
      </c>
      <c r="C705" s="32" t="s">
        <v>1158</v>
      </c>
      <c r="D705" s="32" t="s">
        <v>184</v>
      </c>
      <c r="E705" s="32" t="s">
        <v>185</v>
      </c>
      <c r="F705" s="32" t="s">
        <v>186</v>
      </c>
      <c r="G705" s="32" t="s">
        <v>189</v>
      </c>
      <c r="H705" s="32" t="s">
        <v>190</v>
      </c>
    </row>
    <row r="706" ht="16.5" customHeight="1">
      <c r="A706" s="32">
        <v>702.0</v>
      </c>
      <c r="C706" s="32" t="s">
        <v>1159</v>
      </c>
      <c r="D706" s="32" t="s">
        <v>184</v>
      </c>
      <c r="E706" s="32" t="s">
        <v>228</v>
      </c>
      <c r="F706" s="32" t="s">
        <v>1160</v>
      </c>
      <c r="G706" s="32" t="s">
        <v>408</v>
      </c>
      <c r="H706" s="32" t="s">
        <v>490</v>
      </c>
    </row>
    <row r="707" ht="16.5" customHeight="1">
      <c r="A707" s="32">
        <v>703.0</v>
      </c>
      <c r="C707" s="32" t="s">
        <v>1161</v>
      </c>
      <c r="D707" s="32" t="s">
        <v>184</v>
      </c>
      <c r="E707" s="32" t="s">
        <v>1162</v>
      </c>
      <c r="F707" s="32" t="s">
        <v>1163</v>
      </c>
    </row>
    <row r="708" ht="16.5" customHeight="1">
      <c r="A708" s="32">
        <v>704.0</v>
      </c>
      <c r="C708" s="32" t="s">
        <v>1164</v>
      </c>
      <c r="D708" s="32" t="s">
        <v>184</v>
      </c>
      <c r="E708" s="35" t="s">
        <v>1165</v>
      </c>
      <c r="F708" s="32" t="s">
        <v>1163</v>
      </c>
    </row>
    <row r="709" ht="16.5" customHeight="1">
      <c r="A709" s="32">
        <v>705.0</v>
      </c>
      <c r="C709" s="32" t="s">
        <v>1166</v>
      </c>
      <c r="D709" s="32" t="s">
        <v>184</v>
      </c>
      <c r="E709" s="35" t="s">
        <v>1165</v>
      </c>
      <c r="F709" s="32" t="s">
        <v>1163</v>
      </c>
    </row>
    <row r="710" ht="16.5" customHeight="1">
      <c r="A710" s="32">
        <v>706.0</v>
      </c>
      <c r="C710" s="32" t="s">
        <v>1167</v>
      </c>
      <c r="D710" s="32" t="s">
        <v>184</v>
      </c>
      <c r="E710" s="35" t="s">
        <v>1168</v>
      </c>
      <c r="F710" s="32" t="s">
        <v>1163</v>
      </c>
    </row>
    <row r="711" ht="16.5" customHeight="1">
      <c r="A711" s="32">
        <v>707.0</v>
      </c>
      <c r="C711" s="32" t="s">
        <v>1169</v>
      </c>
      <c r="D711" s="32" t="s">
        <v>184</v>
      </c>
      <c r="E711" s="35" t="s">
        <v>1170</v>
      </c>
      <c r="F711" s="32" t="s">
        <v>1163</v>
      </c>
    </row>
    <row r="712" ht="16.5" customHeight="1">
      <c r="A712" s="32">
        <v>708.0</v>
      </c>
      <c r="C712" s="32" t="s">
        <v>1171</v>
      </c>
      <c r="D712" s="32" t="s">
        <v>184</v>
      </c>
      <c r="E712" s="35" t="s">
        <v>1172</v>
      </c>
      <c r="F712" s="32" t="s">
        <v>1163</v>
      </c>
    </row>
    <row r="713" ht="16.5" customHeight="1">
      <c r="A713" s="32">
        <v>709.0</v>
      </c>
      <c r="C713" s="32" t="s">
        <v>1173</v>
      </c>
      <c r="D713" s="32" t="s">
        <v>184</v>
      </c>
      <c r="E713" s="35" t="s">
        <v>1174</v>
      </c>
      <c r="F713" s="32" t="s">
        <v>1163</v>
      </c>
    </row>
    <row r="714" ht="16.5" customHeight="1">
      <c r="A714" s="32">
        <v>710.0</v>
      </c>
      <c r="C714" s="32" t="s">
        <v>1175</v>
      </c>
      <c r="D714" s="32" t="s">
        <v>184</v>
      </c>
      <c r="E714" s="35" t="s">
        <v>1172</v>
      </c>
      <c r="F714" s="32" t="s">
        <v>1163</v>
      </c>
    </row>
    <row r="715" ht="16.5" customHeight="1">
      <c r="A715" s="32">
        <v>711.0</v>
      </c>
      <c r="C715" s="32" t="s">
        <v>1176</v>
      </c>
      <c r="D715" s="32" t="s">
        <v>184</v>
      </c>
      <c r="E715" s="35" t="s">
        <v>1177</v>
      </c>
      <c r="F715" s="32" t="s">
        <v>1163</v>
      </c>
    </row>
    <row r="716" ht="16.5" customHeight="1">
      <c r="A716" s="32">
        <v>712.0</v>
      </c>
      <c r="C716" s="32" t="s">
        <v>1178</v>
      </c>
      <c r="D716" s="32" t="s">
        <v>184</v>
      </c>
      <c r="E716" s="32" t="s">
        <v>254</v>
      </c>
      <c r="F716" s="32" t="s">
        <v>1163</v>
      </c>
    </row>
    <row r="717" ht="16.5" customHeight="1">
      <c r="A717" s="32">
        <v>713.0</v>
      </c>
      <c r="C717" s="32" t="s">
        <v>1179</v>
      </c>
      <c r="D717" s="32" t="s">
        <v>184</v>
      </c>
      <c r="E717" s="35" t="s">
        <v>1177</v>
      </c>
      <c r="F717" s="32" t="s">
        <v>1163</v>
      </c>
    </row>
    <row r="718" ht="16.5" customHeight="1">
      <c r="A718" s="32">
        <v>714.0</v>
      </c>
      <c r="C718" s="32" t="s">
        <v>1180</v>
      </c>
      <c r="D718" s="32" t="s">
        <v>184</v>
      </c>
      <c r="E718" s="32" t="s">
        <v>219</v>
      </c>
      <c r="F718" s="32" t="s">
        <v>255</v>
      </c>
      <c r="G718" s="32" t="s">
        <v>223</v>
      </c>
      <c r="H718" s="32" t="s">
        <v>1181</v>
      </c>
    </row>
    <row r="719" ht="16.5" customHeight="1">
      <c r="A719" s="32">
        <v>715.0</v>
      </c>
      <c r="C719" s="32" t="s">
        <v>1182</v>
      </c>
      <c r="D719" s="32" t="s">
        <v>184</v>
      </c>
      <c r="E719" s="32" t="s">
        <v>219</v>
      </c>
      <c r="F719" s="32" t="s">
        <v>255</v>
      </c>
      <c r="G719" s="32" t="s">
        <v>223</v>
      </c>
      <c r="H719" s="32" t="s">
        <v>1183</v>
      </c>
    </row>
    <row r="720" ht="16.5" customHeight="1">
      <c r="A720" s="32">
        <v>716.0</v>
      </c>
      <c r="C720" s="32" t="s">
        <v>1184</v>
      </c>
      <c r="D720" s="32" t="s">
        <v>184</v>
      </c>
      <c r="E720" s="32" t="s">
        <v>219</v>
      </c>
      <c r="F720" s="32" t="s">
        <v>255</v>
      </c>
    </row>
    <row r="721" ht="16.5" customHeight="1">
      <c r="A721" s="32">
        <v>717.0</v>
      </c>
      <c r="C721" s="32" t="s">
        <v>1185</v>
      </c>
      <c r="D721" s="32" t="s">
        <v>184</v>
      </c>
      <c r="E721" s="32" t="s">
        <v>219</v>
      </c>
      <c r="F721" s="32" t="s">
        <v>255</v>
      </c>
      <c r="G721" s="32" t="s">
        <v>223</v>
      </c>
      <c r="H721" s="32" t="s">
        <v>394</v>
      </c>
    </row>
    <row r="722" ht="16.5" customHeight="1">
      <c r="A722" s="32">
        <v>718.0</v>
      </c>
      <c r="C722" s="32" t="s">
        <v>1186</v>
      </c>
      <c r="D722" s="32" t="s">
        <v>184</v>
      </c>
      <c r="E722" s="32" t="s">
        <v>219</v>
      </c>
      <c r="F722" s="32" t="s">
        <v>255</v>
      </c>
      <c r="G722" s="32" t="s">
        <v>223</v>
      </c>
      <c r="H722" s="32" t="s">
        <v>394</v>
      </c>
    </row>
    <row r="723" ht="16.5" customHeight="1">
      <c r="A723" s="32">
        <v>719.0</v>
      </c>
      <c r="C723" s="32" t="s">
        <v>1187</v>
      </c>
      <c r="D723" s="32" t="s">
        <v>184</v>
      </c>
      <c r="E723" s="32" t="s">
        <v>219</v>
      </c>
      <c r="F723" s="32" t="s">
        <v>255</v>
      </c>
      <c r="G723" s="32" t="s">
        <v>223</v>
      </c>
      <c r="H723" s="32" t="s">
        <v>1188</v>
      </c>
    </row>
    <row r="724" ht="16.5" customHeight="1">
      <c r="A724" s="32">
        <v>720.0</v>
      </c>
      <c r="C724" s="32" t="s">
        <v>1189</v>
      </c>
      <c r="D724" s="32" t="s">
        <v>184</v>
      </c>
      <c r="E724" s="32" t="s">
        <v>219</v>
      </c>
      <c r="F724" s="32" t="s">
        <v>255</v>
      </c>
      <c r="G724" s="32" t="s">
        <v>223</v>
      </c>
      <c r="H724" s="32" t="s">
        <v>1190</v>
      </c>
    </row>
    <row r="725" ht="16.5" customHeight="1">
      <c r="A725" s="32">
        <v>721.0</v>
      </c>
      <c r="C725" s="32" t="s">
        <v>1191</v>
      </c>
      <c r="D725" s="32" t="s">
        <v>184</v>
      </c>
      <c r="E725" s="32" t="s">
        <v>219</v>
      </c>
      <c r="F725" s="32" t="s">
        <v>255</v>
      </c>
      <c r="G725" s="32" t="s">
        <v>223</v>
      </c>
      <c r="H725" s="32" t="s">
        <v>1188</v>
      </c>
    </row>
    <row r="726" ht="16.5" customHeight="1">
      <c r="A726" s="32">
        <v>722.0</v>
      </c>
      <c r="C726" s="32" t="s">
        <v>1192</v>
      </c>
      <c r="D726" s="32" t="s">
        <v>184</v>
      </c>
      <c r="E726" s="35" t="s">
        <v>294</v>
      </c>
      <c r="F726" s="32" t="s">
        <v>255</v>
      </c>
    </row>
    <row r="727" ht="16.5" customHeight="1">
      <c r="A727" s="32">
        <v>723.0</v>
      </c>
      <c r="C727" s="32" t="s">
        <v>1193</v>
      </c>
      <c r="D727" s="32" t="s">
        <v>184</v>
      </c>
      <c r="E727" s="32" t="s">
        <v>185</v>
      </c>
      <c r="F727" s="32" t="s">
        <v>255</v>
      </c>
      <c r="G727" s="32" t="s">
        <v>187</v>
      </c>
      <c r="H727" s="32" t="s">
        <v>188</v>
      </c>
    </row>
    <row r="728" ht="16.5" customHeight="1">
      <c r="A728" s="32">
        <v>724.0</v>
      </c>
      <c r="C728" s="32" t="s">
        <v>1194</v>
      </c>
      <c r="D728" s="32" t="s">
        <v>184</v>
      </c>
      <c r="E728" s="32" t="s">
        <v>192</v>
      </c>
      <c r="F728" s="32" t="s">
        <v>255</v>
      </c>
      <c r="G728" s="32" t="s">
        <v>300</v>
      </c>
      <c r="H728" s="32" t="s">
        <v>387</v>
      </c>
    </row>
    <row r="729" ht="16.5" customHeight="1">
      <c r="A729" s="32">
        <v>725.0</v>
      </c>
      <c r="C729" s="32" t="s">
        <v>1195</v>
      </c>
      <c r="D729" s="32" t="s">
        <v>184</v>
      </c>
      <c r="E729" s="32" t="s">
        <v>192</v>
      </c>
      <c r="F729" s="32" t="s">
        <v>255</v>
      </c>
      <c r="G729" s="32" t="s">
        <v>300</v>
      </c>
      <c r="H729" s="32" t="s">
        <v>387</v>
      </c>
    </row>
    <row r="730" ht="16.5" customHeight="1">
      <c r="A730" s="32">
        <v>726.0</v>
      </c>
      <c r="C730" s="32" t="s">
        <v>1196</v>
      </c>
      <c r="D730" s="32" t="s">
        <v>184</v>
      </c>
      <c r="E730" s="35" t="s">
        <v>310</v>
      </c>
      <c r="F730" s="32" t="s">
        <v>255</v>
      </c>
      <c r="G730" s="32" t="s">
        <v>1197</v>
      </c>
      <c r="H730" s="32" t="s">
        <v>1198</v>
      </c>
    </row>
    <row r="731" ht="16.5" customHeight="1">
      <c r="A731" s="32">
        <v>727.0</v>
      </c>
      <c r="C731" s="32" t="s">
        <v>1199</v>
      </c>
      <c r="D731" s="32" t="s">
        <v>184</v>
      </c>
      <c r="E731" s="32" t="s">
        <v>192</v>
      </c>
      <c r="F731" s="32" t="s">
        <v>255</v>
      </c>
    </row>
    <row r="732" ht="16.5" customHeight="1">
      <c r="A732" s="32">
        <v>728.0</v>
      </c>
      <c r="C732" s="32" t="s">
        <v>1200</v>
      </c>
      <c r="D732" s="32" t="s">
        <v>184</v>
      </c>
      <c r="E732" s="32" t="s">
        <v>185</v>
      </c>
      <c r="F732" s="32" t="s">
        <v>255</v>
      </c>
      <c r="G732" s="32" t="s">
        <v>1201</v>
      </c>
      <c r="H732" s="32" t="s">
        <v>1202</v>
      </c>
    </row>
    <row r="733" ht="16.5" customHeight="1">
      <c r="A733" s="32">
        <v>729.0</v>
      </c>
      <c r="C733" s="32" t="s">
        <v>1203</v>
      </c>
      <c r="D733" s="32" t="s">
        <v>184</v>
      </c>
      <c r="E733" s="32" t="s">
        <v>185</v>
      </c>
      <c r="F733" s="32" t="s">
        <v>255</v>
      </c>
      <c r="G733" s="32" t="s">
        <v>1201</v>
      </c>
      <c r="H733" s="32" t="s">
        <v>1204</v>
      </c>
    </row>
    <row r="734" ht="16.5" customHeight="1">
      <c r="A734" s="32">
        <v>730.0</v>
      </c>
      <c r="C734" s="32" t="s">
        <v>1205</v>
      </c>
      <c r="D734" s="32" t="s">
        <v>184</v>
      </c>
      <c r="E734" s="32" t="s">
        <v>185</v>
      </c>
      <c r="F734" s="32" t="s">
        <v>255</v>
      </c>
      <c r="G734" s="32" t="s">
        <v>475</v>
      </c>
      <c r="H734" s="32" t="s">
        <v>1206</v>
      </c>
    </row>
    <row r="735" ht="16.5" customHeight="1">
      <c r="A735" s="32">
        <v>731.0</v>
      </c>
      <c r="C735" s="32" t="s">
        <v>1207</v>
      </c>
      <c r="D735" s="32" t="s">
        <v>184</v>
      </c>
      <c r="E735" s="32" t="s">
        <v>185</v>
      </c>
      <c r="F735" s="32" t="s">
        <v>255</v>
      </c>
    </row>
    <row r="736" ht="16.5" customHeight="1">
      <c r="A736" s="32">
        <v>732.0</v>
      </c>
      <c r="C736" s="32" t="s">
        <v>1208</v>
      </c>
      <c r="D736" s="32" t="s">
        <v>184</v>
      </c>
      <c r="E736" s="32" t="s">
        <v>185</v>
      </c>
      <c r="F736" s="32" t="s">
        <v>255</v>
      </c>
      <c r="G736" s="32" t="s">
        <v>187</v>
      </c>
    </row>
    <row r="737" ht="16.5" customHeight="1">
      <c r="A737" s="32">
        <v>733.0</v>
      </c>
      <c r="C737" s="32" t="s">
        <v>1209</v>
      </c>
      <c r="D737" s="32" t="s">
        <v>184</v>
      </c>
      <c r="E737" s="32" t="s">
        <v>185</v>
      </c>
      <c r="F737" s="32" t="s">
        <v>255</v>
      </c>
      <c r="G737" s="32" t="s">
        <v>187</v>
      </c>
    </row>
    <row r="738" ht="16.5" customHeight="1">
      <c r="A738" s="32">
        <v>734.0</v>
      </c>
      <c r="C738" s="32" t="s">
        <v>1210</v>
      </c>
      <c r="D738" s="32" t="s">
        <v>184</v>
      </c>
      <c r="E738" s="32" t="s">
        <v>185</v>
      </c>
      <c r="F738" s="32" t="s">
        <v>255</v>
      </c>
      <c r="G738" s="32" t="s">
        <v>475</v>
      </c>
      <c r="H738" s="32" t="s">
        <v>476</v>
      </c>
    </row>
    <row r="739" ht="16.5" customHeight="1">
      <c r="A739" s="32">
        <v>735.0</v>
      </c>
      <c r="C739" s="32" t="s">
        <v>1211</v>
      </c>
      <c r="D739" s="32" t="s">
        <v>184</v>
      </c>
      <c r="E739" s="32" t="s">
        <v>185</v>
      </c>
      <c r="F739" s="32" t="s">
        <v>255</v>
      </c>
      <c r="G739" s="32" t="s">
        <v>475</v>
      </c>
      <c r="H739" s="32" t="s">
        <v>476</v>
      </c>
    </row>
    <row r="740" ht="16.5" customHeight="1">
      <c r="A740" s="32">
        <v>736.0</v>
      </c>
      <c r="C740" s="32" t="s">
        <v>1212</v>
      </c>
      <c r="D740" s="32" t="s">
        <v>184</v>
      </c>
      <c r="E740" s="32" t="s">
        <v>185</v>
      </c>
      <c r="F740" s="32" t="s">
        <v>255</v>
      </c>
      <c r="G740" s="32" t="s">
        <v>1213</v>
      </c>
      <c r="H740" s="32" t="s">
        <v>1214</v>
      </c>
    </row>
    <row r="741" ht="16.5" customHeight="1">
      <c r="A741" s="32">
        <v>737.0</v>
      </c>
      <c r="C741" s="32" t="s">
        <v>1215</v>
      </c>
      <c r="D741" s="32" t="s">
        <v>184</v>
      </c>
      <c r="E741" s="32" t="s">
        <v>254</v>
      </c>
      <c r="F741" s="32" t="s">
        <v>255</v>
      </c>
      <c r="G741" s="32" t="s">
        <v>257</v>
      </c>
    </row>
    <row r="742" ht="16.5" customHeight="1">
      <c r="A742" s="32">
        <v>738.0</v>
      </c>
      <c r="C742" s="32" t="s">
        <v>1216</v>
      </c>
      <c r="D742" s="32" t="s">
        <v>184</v>
      </c>
      <c r="E742" s="32" t="s">
        <v>254</v>
      </c>
      <c r="F742" s="32" t="s">
        <v>399</v>
      </c>
      <c r="G742" s="32" t="s">
        <v>257</v>
      </c>
    </row>
    <row r="743" ht="16.5" customHeight="1">
      <c r="A743" s="32">
        <v>739.0</v>
      </c>
      <c r="C743" s="32" t="s">
        <v>1217</v>
      </c>
      <c r="D743" s="32" t="s">
        <v>184</v>
      </c>
      <c r="E743" s="32" t="s">
        <v>254</v>
      </c>
      <c r="F743" s="32" t="s">
        <v>255</v>
      </c>
      <c r="G743" s="32" t="s">
        <v>257</v>
      </c>
    </row>
    <row r="744" ht="16.5" customHeight="1">
      <c r="A744" s="32">
        <v>740.0</v>
      </c>
      <c r="C744" s="32" t="s">
        <v>1218</v>
      </c>
      <c r="D744" s="32" t="s">
        <v>184</v>
      </c>
      <c r="E744" s="32" t="s">
        <v>192</v>
      </c>
      <c r="F744" s="32" t="s">
        <v>222</v>
      </c>
    </row>
    <row r="745" ht="16.5" customHeight="1">
      <c r="A745" s="32">
        <v>741.0</v>
      </c>
      <c r="C745" s="32" t="s">
        <v>1219</v>
      </c>
      <c r="D745" s="32" t="s">
        <v>184</v>
      </c>
      <c r="E745" s="32" t="s">
        <v>192</v>
      </c>
      <c r="F745" s="32" t="s">
        <v>255</v>
      </c>
      <c r="G745" s="32" t="s">
        <v>570</v>
      </c>
      <c r="H745" s="32" t="s">
        <v>447</v>
      </c>
    </row>
    <row r="746" ht="16.5" customHeight="1">
      <c r="A746" s="32">
        <v>742.0</v>
      </c>
      <c r="C746" s="32" t="s">
        <v>1220</v>
      </c>
      <c r="D746" s="32" t="s">
        <v>184</v>
      </c>
      <c r="E746" s="32" t="s">
        <v>219</v>
      </c>
      <c r="F746" s="32" t="s">
        <v>222</v>
      </c>
    </row>
    <row r="747" ht="16.5" customHeight="1">
      <c r="A747" s="32">
        <v>743.0</v>
      </c>
      <c r="C747" s="32" t="s">
        <v>1221</v>
      </c>
      <c r="D747" s="32" t="s">
        <v>184</v>
      </c>
      <c r="E747" s="32" t="s">
        <v>219</v>
      </c>
      <c r="F747" s="32" t="s">
        <v>255</v>
      </c>
      <c r="G747" s="32" t="s">
        <v>241</v>
      </c>
      <c r="H747" s="32" t="s">
        <v>292</v>
      </c>
    </row>
    <row r="748" ht="16.5" customHeight="1">
      <c r="A748" s="32">
        <v>744.0</v>
      </c>
      <c r="C748" s="32" t="s">
        <v>1222</v>
      </c>
      <c r="D748" s="32" t="s">
        <v>184</v>
      </c>
      <c r="E748" s="32" t="s">
        <v>219</v>
      </c>
      <c r="F748" s="32" t="s">
        <v>255</v>
      </c>
      <c r="G748" s="32" t="s">
        <v>241</v>
      </c>
      <c r="H748" s="32" t="s">
        <v>292</v>
      </c>
    </row>
    <row r="749" ht="16.5" customHeight="1">
      <c r="A749" s="32">
        <v>745.0</v>
      </c>
      <c r="C749" s="32" t="s">
        <v>1223</v>
      </c>
      <c r="D749" s="32" t="s">
        <v>184</v>
      </c>
      <c r="E749" s="32" t="s">
        <v>254</v>
      </c>
      <c r="F749" s="32" t="s">
        <v>255</v>
      </c>
      <c r="G749" s="32" t="s">
        <v>275</v>
      </c>
      <c r="H749" s="32" t="s">
        <v>1224</v>
      </c>
    </row>
    <row r="750" ht="16.5" customHeight="1">
      <c r="A750" s="32">
        <v>746.0</v>
      </c>
      <c r="C750" s="32" t="s">
        <v>1225</v>
      </c>
      <c r="D750" s="32" t="s">
        <v>184</v>
      </c>
      <c r="E750" s="32" t="s">
        <v>185</v>
      </c>
      <c r="F750" s="32" t="s">
        <v>255</v>
      </c>
    </row>
    <row r="751" ht="16.5" customHeight="1">
      <c r="A751" s="32">
        <v>747.0</v>
      </c>
      <c r="C751" s="32" t="s">
        <v>1226</v>
      </c>
      <c r="D751" s="32" t="s">
        <v>184</v>
      </c>
      <c r="E751" s="32" t="s">
        <v>192</v>
      </c>
      <c r="F751" s="32" t="s">
        <v>255</v>
      </c>
      <c r="G751" s="32" t="s">
        <v>267</v>
      </c>
      <c r="H751" s="32" t="s">
        <v>1227</v>
      </c>
    </row>
    <row r="752" ht="16.5" customHeight="1">
      <c r="A752" s="32">
        <v>748.0</v>
      </c>
      <c r="C752" s="32" t="s">
        <v>1228</v>
      </c>
      <c r="D752" s="32" t="s">
        <v>184</v>
      </c>
      <c r="E752" s="32" t="s">
        <v>234</v>
      </c>
      <c r="F752" s="32" t="s">
        <v>255</v>
      </c>
    </row>
    <row r="753" ht="16.5" customHeight="1">
      <c r="A753" s="32">
        <v>749.0</v>
      </c>
      <c r="C753" s="32" t="s">
        <v>1229</v>
      </c>
      <c r="D753" s="32" t="s">
        <v>184</v>
      </c>
      <c r="E753" s="32" t="s">
        <v>228</v>
      </c>
      <c r="F753" s="32" t="s">
        <v>255</v>
      </c>
      <c r="G753" s="32" t="s">
        <v>1230</v>
      </c>
      <c r="H753" s="32" t="s">
        <v>1231</v>
      </c>
    </row>
    <row r="754" ht="16.5" customHeight="1">
      <c r="A754" s="32">
        <v>750.0</v>
      </c>
      <c r="C754" s="32" t="s">
        <v>1232</v>
      </c>
      <c r="D754" s="32" t="s">
        <v>184</v>
      </c>
      <c r="E754" s="32" t="s">
        <v>228</v>
      </c>
      <c r="F754" s="32" t="s">
        <v>255</v>
      </c>
      <c r="G754" s="32" t="s">
        <v>223</v>
      </c>
      <c r="H754" s="32" t="s">
        <v>472</v>
      </c>
    </row>
    <row r="755" ht="16.5" customHeight="1">
      <c r="A755" s="32">
        <v>751.0</v>
      </c>
      <c r="C755" s="32" t="s">
        <v>1233</v>
      </c>
      <c r="D755" s="32" t="s">
        <v>184</v>
      </c>
      <c r="E755" s="32" t="s">
        <v>185</v>
      </c>
      <c r="F755" s="32" t="s">
        <v>255</v>
      </c>
    </row>
    <row r="756" ht="16.5" customHeight="1">
      <c r="A756" s="32">
        <v>752.0</v>
      </c>
      <c r="C756" s="32" t="s">
        <v>1234</v>
      </c>
      <c r="D756" s="32" t="s">
        <v>184</v>
      </c>
      <c r="E756" s="32" t="s">
        <v>228</v>
      </c>
      <c r="F756" s="32" t="s">
        <v>255</v>
      </c>
    </row>
    <row r="757" ht="16.5" customHeight="1">
      <c r="A757" s="32">
        <v>753.0</v>
      </c>
      <c r="C757" s="32" t="s">
        <v>1235</v>
      </c>
      <c r="D757" s="32" t="s">
        <v>184</v>
      </c>
      <c r="E757" s="35" t="s">
        <v>1236</v>
      </c>
      <c r="F757" s="32" t="s">
        <v>255</v>
      </c>
    </row>
    <row r="758" ht="16.5" customHeight="1">
      <c r="A758" s="32">
        <v>754.0</v>
      </c>
      <c r="C758" s="32" t="s">
        <v>1237</v>
      </c>
      <c r="D758" s="32" t="s">
        <v>184</v>
      </c>
      <c r="E758" s="35" t="s">
        <v>294</v>
      </c>
      <c r="F758" s="32" t="s">
        <v>255</v>
      </c>
      <c r="G758" s="32" t="s">
        <v>189</v>
      </c>
      <c r="H758" s="32" t="s">
        <v>190</v>
      </c>
    </row>
    <row r="759" ht="16.5" customHeight="1">
      <c r="A759" s="32">
        <v>755.0</v>
      </c>
      <c r="C759" s="32" t="s">
        <v>1238</v>
      </c>
      <c r="D759" s="32" t="s">
        <v>184</v>
      </c>
      <c r="E759" s="32" t="s">
        <v>285</v>
      </c>
      <c r="F759" s="32" t="s">
        <v>255</v>
      </c>
      <c r="G759" s="32" t="s">
        <v>552</v>
      </c>
      <c r="H759" s="32" t="s">
        <v>553</v>
      </c>
    </row>
    <row r="760" ht="16.5" customHeight="1">
      <c r="A760" s="32">
        <v>756.0</v>
      </c>
      <c r="C760" s="32" t="s">
        <v>1239</v>
      </c>
      <c r="D760" s="32" t="s">
        <v>184</v>
      </c>
      <c r="E760" s="32" t="s">
        <v>185</v>
      </c>
      <c r="F760" s="32" t="s">
        <v>255</v>
      </c>
      <c r="G760" s="32" t="s">
        <v>1240</v>
      </c>
      <c r="H760" s="32" t="s">
        <v>1241</v>
      </c>
    </row>
    <row r="761" ht="16.5" customHeight="1">
      <c r="A761" s="32">
        <v>757.0</v>
      </c>
      <c r="C761" s="32" t="s">
        <v>1242</v>
      </c>
      <c r="D761" s="32" t="s">
        <v>184</v>
      </c>
      <c r="E761" s="32" t="s">
        <v>321</v>
      </c>
      <c r="F761" s="32" t="s">
        <v>255</v>
      </c>
    </row>
    <row r="762" ht="16.5" customHeight="1">
      <c r="A762" s="32">
        <v>758.0</v>
      </c>
      <c r="C762" s="32" t="s">
        <v>1243</v>
      </c>
      <c r="D762" s="32" t="s">
        <v>184</v>
      </c>
      <c r="E762" s="35" t="s">
        <v>294</v>
      </c>
      <c r="F762" s="32" t="s">
        <v>255</v>
      </c>
      <c r="G762" s="32" t="s">
        <v>189</v>
      </c>
      <c r="H762" s="32" t="s">
        <v>190</v>
      </c>
    </row>
    <row r="763" ht="16.5" customHeight="1">
      <c r="A763" s="32">
        <v>759.0</v>
      </c>
      <c r="C763" s="32" t="s">
        <v>1244</v>
      </c>
      <c r="D763" s="32" t="s">
        <v>184</v>
      </c>
      <c r="E763" s="32" t="s">
        <v>185</v>
      </c>
      <c r="F763" s="32" t="s">
        <v>255</v>
      </c>
    </row>
    <row r="764" ht="16.5" customHeight="1">
      <c r="A764" s="32">
        <v>760.0</v>
      </c>
      <c r="C764" s="32" t="s">
        <v>1245</v>
      </c>
      <c r="D764" s="32" t="s">
        <v>184</v>
      </c>
      <c r="E764" s="32" t="s">
        <v>254</v>
      </c>
      <c r="F764" s="32" t="s">
        <v>255</v>
      </c>
      <c r="G764" s="32" t="s">
        <v>257</v>
      </c>
      <c r="H764" s="32" t="s">
        <v>1246</v>
      </c>
    </row>
    <row r="765" ht="16.5" customHeight="1">
      <c r="A765" s="32">
        <v>761.0</v>
      </c>
      <c r="C765" s="32" t="s">
        <v>1247</v>
      </c>
      <c r="D765" s="32" t="s">
        <v>184</v>
      </c>
      <c r="E765" s="32" t="s">
        <v>285</v>
      </c>
      <c r="F765" s="32" t="s">
        <v>255</v>
      </c>
      <c r="G765" s="32" t="s">
        <v>189</v>
      </c>
      <c r="H765" s="32" t="s">
        <v>190</v>
      </c>
    </row>
    <row r="766" ht="16.5" customHeight="1">
      <c r="A766" s="32">
        <v>762.0</v>
      </c>
      <c r="C766" s="32" t="s">
        <v>1248</v>
      </c>
      <c r="D766" s="32" t="s">
        <v>184</v>
      </c>
      <c r="E766" s="32" t="s">
        <v>234</v>
      </c>
      <c r="F766" s="32" t="s">
        <v>255</v>
      </c>
      <c r="G766" s="32" t="s">
        <v>1249</v>
      </c>
      <c r="H766" s="32" t="s">
        <v>1250</v>
      </c>
    </row>
    <row r="767" ht="16.5" customHeight="1">
      <c r="A767" s="32">
        <v>763.0</v>
      </c>
      <c r="C767" s="32" t="s">
        <v>1251</v>
      </c>
      <c r="D767" s="32" t="s">
        <v>184</v>
      </c>
      <c r="E767" s="32" t="s">
        <v>285</v>
      </c>
      <c r="F767" s="32" t="s">
        <v>255</v>
      </c>
      <c r="G767" s="32" t="s">
        <v>552</v>
      </c>
    </row>
    <row r="768" ht="16.5" customHeight="1">
      <c r="A768" s="32">
        <v>764.0</v>
      </c>
      <c r="C768" s="32" t="s">
        <v>1252</v>
      </c>
      <c r="D768" s="32" t="s">
        <v>184</v>
      </c>
      <c r="E768" s="32" t="s">
        <v>219</v>
      </c>
      <c r="F768" s="32" t="s">
        <v>255</v>
      </c>
      <c r="G768" s="32" t="s">
        <v>223</v>
      </c>
    </row>
    <row r="769" ht="16.5" customHeight="1">
      <c r="A769" s="32">
        <v>765.0</v>
      </c>
      <c r="C769" s="32" t="s">
        <v>1253</v>
      </c>
      <c r="D769" s="32" t="s">
        <v>184</v>
      </c>
      <c r="E769" s="32" t="s">
        <v>219</v>
      </c>
      <c r="F769" s="32" t="s">
        <v>255</v>
      </c>
      <c r="G769" s="32" t="s">
        <v>223</v>
      </c>
    </row>
    <row r="770" ht="16.5" customHeight="1">
      <c r="A770" s="32">
        <v>766.0</v>
      </c>
      <c r="C770" s="32" t="s">
        <v>1254</v>
      </c>
      <c r="D770" s="32" t="s">
        <v>184</v>
      </c>
      <c r="E770" s="32" t="s">
        <v>192</v>
      </c>
      <c r="F770" s="32" t="s">
        <v>255</v>
      </c>
    </row>
    <row r="771" ht="16.5" customHeight="1">
      <c r="A771" s="32">
        <v>767.0</v>
      </c>
      <c r="C771" s="32" t="s">
        <v>1255</v>
      </c>
      <c r="D771" s="32" t="s">
        <v>184</v>
      </c>
      <c r="E771" s="32" t="s">
        <v>285</v>
      </c>
      <c r="F771" s="32" t="s">
        <v>255</v>
      </c>
      <c r="G771" s="32" t="s">
        <v>189</v>
      </c>
      <c r="H771" s="32" t="s">
        <v>190</v>
      </c>
    </row>
    <row r="772" ht="16.5" customHeight="1">
      <c r="A772" s="32">
        <v>768.0</v>
      </c>
      <c r="C772" s="32" t="s">
        <v>1256</v>
      </c>
      <c r="D772" s="32" t="s">
        <v>184</v>
      </c>
      <c r="E772" s="32" t="s">
        <v>285</v>
      </c>
      <c r="F772" s="32" t="s">
        <v>255</v>
      </c>
      <c r="G772" s="32" t="s">
        <v>189</v>
      </c>
      <c r="H772" s="32" t="s">
        <v>190</v>
      </c>
    </row>
    <row r="773" ht="16.5" customHeight="1">
      <c r="A773" s="32">
        <v>769.0</v>
      </c>
      <c r="C773" s="32" t="s">
        <v>1257</v>
      </c>
      <c r="D773" s="32" t="s">
        <v>184</v>
      </c>
      <c r="E773" s="32" t="s">
        <v>219</v>
      </c>
      <c r="F773" s="32" t="s">
        <v>255</v>
      </c>
      <c r="G773" s="32" t="s">
        <v>223</v>
      </c>
    </row>
    <row r="774" ht="16.5" customHeight="1">
      <c r="A774" s="32">
        <v>770.0</v>
      </c>
      <c r="C774" s="32" t="s">
        <v>1258</v>
      </c>
      <c r="D774" s="32" t="s">
        <v>184</v>
      </c>
      <c r="E774" s="35" t="s">
        <v>294</v>
      </c>
      <c r="F774" s="32" t="s">
        <v>255</v>
      </c>
      <c r="G774" s="32" t="s">
        <v>189</v>
      </c>
      <c r="H774" s="32" t="s">
        <v>190</v>
      </c>
    </row>
    <row r="775" ht="16.5" customHeight="1">
      <c r="A775" s="32">
        <v>771.0</v>
      </c>
      <c r="C775" s="32" t="s">
        <v>1259</v>
      </c>
      <c r="D775" s="32" t="s">
        <v>184</v>
      </c>
      <c r="E775" s="32" t="s">
        <v>285</v>
      </c>
      <c r="F775" s="32" t="s">
        <v>255</v>
      </c>
      <c r="G775" s="32" t="s">
        <v>189</v>
      </c>
      <c r="H775" s="32" t="s">
        <v>190</v>
      </c>
    </row>
    <row r="776" ht="16.5" customHeight="1">
      <c r="A776" s="32">
        <v>772.0</v>
      </c>
      <c r="C776" s="32" t="s">
        <v>1260</v>
      </c>
      <c r="D776" s="32" t="s">
        <v>184</v>
      </c>
      <c r="E776" s="32" t="s">
        <v>285</v>
      </c>
      <c r="F776" s="32" t="s">
        <v>255</v>
      </c>
      <c r="G776" s="32" t="s">
        <v>189</v>
      </c>
      <c r="H776" s="32" t="s">
        <v>190</v>
      </c>
    </row>
    <row r="777" ht="16.5" customHeight="1">
      <c r="A777" s="32">
        <v>773.0</v>
      </c>
      <c r="C777" s="32" t="s">
        <v>1261</v>
      </c>
      <c r="D777" s="32" t="s">
        <v>184</v>
      </c>
      <c r="E777" s="32" t="s">
        <v>192</v>
      </c>
      <c r="F777" s="32" t="s">
        <v>255</v>
      </c>
      <c r="G777" s="32" t="s">
        <v>329</v>
      </c>
      <c r="H777" s="32" t="s">
        <v>447</v>
      </c>
    </row>
    <row r="778" ht="16.5" customHeight="1">
      <c r="A778" s="32">
        <v>774.0</v>
      </c>
      <c r="C778" s="32" t="s">
        <v>1262</v>
      </c>
      <c r="D778" s="32" t="s">
        <v>184</v>
      </c>
      <c r="E778" s="32" t="s">
        <v>192</v>
      </c>
      <c r="F778" s="32" t="s">
        <v>255</v>
      </c>
      <c r="G778" s="32" t="s">
        <v>238</v>
      </c>
      <c r="H778" s="32" t="s">
        <v>239</v>
      </c>
    </row>
    <row r="779" ht="16.5" customHeight="1">
      <c r="A779" s="32">
        <v>775.0</v>
      </c>
      <c r="C779" s="32" t="s">
        <v>1263</v>
      </c>
      <c r="D779" s="32" t="s">
        <v>184</v>
      </c>
      <c r="E779" s="32" t="s">
        <v>219</v>
      </c>
      <c r="F779" s="32" t="s">
        <v>255</v>
      </c>
    </row>
    <row r="780" ht="16.5" customHeight="1">
      <c r="A780" s="32">
        <v>776.0</v>
      </c>
      <c r="C780" s="32" t="s">
        <v>1264</v>
      </c>
      <c r="D780" s="32" t="s">
        <v>184</v>
      </c>
      <c r="E780" s="32" t="s">
        <v>285</v>
      </c>
      <c r="F780" s="32" t="s">
        <v>255</v>
      </c>
      <c r="G780" s="32" t="s">
        <v>187</v>
      </c>
      <c r="H780" s="32" t="s">
        <v>482</v>
      </c>
    </row>
    <row r="781" ht="16.5" customHeight="1">
      <c r="A781" s="32">
        <v>777.0</v>
      </c>
      <c r="C781" s="32" t="s">
        <v>1265</v>
      </c>
      <c r="D781" s="32" t="s">
        <v>184</v>
      </c>
      <c r="E781" s="32" t="s">
        <v>185</v>
      </c>
      <c r="F781" s="32" t="s">
        <v>255</v>
      </c>
    </row>
    <row r="782" ht="16.5" customHeight="1">
      <c r="A782" s="32">
        <v>778.0</v>
      </c>
      <c r="C782" s="32" t="s">
        <v>1266</v>
      </c>
      <c r="D782" s="32" t="s">
        <v>184</v>
      </c>
      <c r="E782" s="32" t="s">
        <v>185</v>
      </c>
      <c r="F782" s="32" t="s">
        <v>255</v>
      </c>
    </row>
    <row r="783" ht="16.5" customHeight="1">
      <c r="A783" s="32">
        <v>779.0</v>
      </c>
      <c r="C783" s="32" t="s">
        <v>1267</v>
      </c>
      <c r="D783" s="32" t="s">
        <v>184</v>
      </c>
      <c r="E783" s="32" t="s">
        <v>285</v>
      </c>
      <c r="F783" s="32" t="s">
        <v>255</v>
      </c>
    </row>
    <row r="784" ht="16.5" customHeight="1">
      <c r="A784" s="32">
        <v>780.0</v>
      </c>
      <c r="C784" s="32" t="s">
        <v>1268</v>
      </c>
      <c r="D784" s="32" t="s">
        <v>184</v>
      </c>
      <c r="E784" s="32" t="s">
        <v>192</v>
      </c>
      <c r="F784" s="32" t="s">
        <v>255</v>
      </c>
      <c r="G784" s="32" t="s">
        <v>329</v>
      </c>
      <c r="H784" s="32" t="s">
        <v>447</v>
      </c>
    </row>
    <row r="785" ht="16.5" customHeight="1">
      <c r="A785" s="32">
        <v>781.0</v>
      </c>
      <c r="C785" s="32" t="s">
        <v>1269</v>
      </c>
      <c r="D785" s="32" t="s">
        <v>184</v>
      </c>
      <c r="E785" s="32" t="s">
        <v>192</v>
      </c>
      <c r="F785" s="32" t="s">
        <v>255</v>
      </c>
      <c r="G785" s="32" t="s">
        <v>329</v>
      </c>
      <c r="H785" s="32" t="s">
        <v>447</v>
      </c>
    </row>
    <row r="786" ht="16.5" customHeight="1">
      <c r="A786" s="32">
        <v>782.0</v>
      </c>
      <c r="C786" s="32" t="s">
        <v>1270</v>
      </c>
      <c r="D786" s="32" t="s">
        <v>184</v>
      </c>
      <c r="E786" s="32" t="s">
        <v>192</v>
      </c>
      <c r="F786" s="32" t="s">
        <v>255</v>
      </c>
      <c r="G786" s="32" t="s">
        <v>329</v>
      </c>
      <c r="H786" s="32" t="s">
        <v>447</v>
      </c>
    </row>
    <row r="787" ht="16.5" customHeight="1">
      <c r="A787" s="32">
        <v>783.0</v>
      </c>
      <c r="C787" s="32" t="s">
        <v>1271</v>
      </c>
      <c r="D787" s="32" t="s">
        <v>184</v>
      </c>
      <c r="E787" s="32" t="s">
        <v>192</v>
      </c>
      <c r="F787" s="32" t="s">
        <v>255</v>
      </c>
      <c r="G787" s="32" t="s">
        <v>329</v>
      </c>
      <c r="H787" s="32" t="s">
        <v>447</v>
      </c>
    </row>
    <row r="788" ht="16.5" customHeight="1">
      <c r="A788" s="32">
        <v>784.0</v>
      </c>
      <c r="C788" s="32" t="s">
        <v>1272</v>
      </c>
      <c r="D788" s="32" t="s">
        <v>184</v>
      </c>
      <c r="E788" s="32" t="s">
        <v>228</v>
      </c>
      <c r="F788" s="32" t="s">
        <v>255</v>
      </c>
      <c r="G788" s="32" t="s">
        <v>333</v>
      </c>
      <c r="H788" s="32" t="s">
        <v>1273</v>
      </c>
    </row>
    <row r="789" ht="16.5" customHeight="1">
      <c r="A789" s="32">
        <v>785.0</v>
      </c>
      <c r="C789" s="32" t="s">
        <v>1274</v>
      </c>
      <c r="D789" s="32" t="s">
        <v>184</v>
      </c>
      <c r="E789" s="32" t="s">
        <v>219</v>
      </c>
      <c r="F789" s="32" t="s">
        <v>255</v>
      </c>
    </row>
    <row r="790" ht="16.5" customHeight="1">
      <c r="A790" s="32">
        <v>786.0</v>
      </c>
      <c r="C790" s="32" t="s">
        <v>1275</v>
      </c>
      <c r="D790" s="32" t="s">
        <v>184</v>
      </c>
      <c r="E790" s="32" t="s">
        <v>219</v>
      </c>
      <c r="F790" s="32" t="s">
        <v>255</v>
      </c>
    </row>
    <row r="791" ht="16.5" customHeight="1">
      <c r="A791" s="32">
        <v>787.0</v>
      </c>
      <c r="C791" s="32" t="s">
        <v>1276</v>
      </c>
      <c r="D791" s="32" t="s">
        <v>184</v>
      </c>
      <c r="E791" s="32" t="s">
        <v>325</v>
      </c>
      <c r="F791" s="32" t="s">
        <v>255</v>
      </c>
      <c r="G791" s="32" t="s">
        <v>368</v>
      </c>
      <c r="H791" s="32" t="s">
        <v>463</v>
      </c>
    </row>
    <row r="792" ht="16.5" customHeight="1">
      <c r="A792" s="32">
        <v>788.0</v>
      </c>
      <c r="C792" s="32" t="s">
        <v>1277</v>
      </c>
      <c r="D792" s="32" t="s">
        <v>184</v>
      </c>
      <c r="E792" s="32" t="s">
        <v>192</v>
      </c>
      <c r="F792" s="32" t="s">
        <v>255</v>
      </c>
      <c r="G792" s="32" t="s">
        <v>329</v>
      </c>
      <c r="H792" s="32" t="s">
        <v>447</v>
      </c>
    </row>
    <row r="793" ht="16.5" customHeight="1">
      <c r="A793" s="32">
        <v>789.0</v>
      </c>
      <c r="C793" s="32" t="s">
        <v>1278</v>
      </c>
      <c r="D793" s="32" t="s">
        <v>184</v>
      </c>
      <c r="E793" s="32" t="s">
        <v>192</v>
      </c>
      <c r="F793" s="32" t="s">
        <v>255</v>
      </c>
      <c r="G793" s="32" t="s">
        <v>329</v>
      </c>
      <c r="H793" s="32" t="s">
        <v>447</v>
      </c>
    </row>
    <row r="794" ht="16.5" customHeight="1">
      <c r="A794" s="32">
        <v>790.0</v>
      </c>
      <c r="C794" s="32" t="s">
        <v>4924</v>
      </c>
      <c r="D794" s="32" t="s">
        <v>184</v>
      </c>
      <c r="E794" s="32" t="s">
        <v>192</v>
      </c>
      <c r="F794" s="32" t="s">
        <v>255</v>
      </c>
      <c r="G794" s="32" t="s">
        <v>329</v>
      </c>
      <c r="H794" s="32" t="s">
        <v>447</v>
      </c>
    </row>
    <row r="795" ht="16.5" customHeight="1">
      <c r="A795" s="32">
        <v>791.0</v>
      </c>
      <c r="C795" s="32" t="s">
        <v>1280</v>
      </c>
      <c r="D795" s="32" t="s">
        <v>184</v>
      </c>
      <c r="E795" s="32" t="s">
        <v>192</v>
      </c>
      <c r="F795" s="32" t="s">
        <v>255</v>
      </c>
      <c r="G795" s="32" t="s">
        <v>329</v>
      </c>
      <c r="H795" s="32" t="s">
        <v>447</v>
      </c>
    </row>
    <row r="796" ht="16.5" customHeight="1">
      <c r="A796" s="32">
        <v>792.0</v>
      </c>
      <c r="C796" s="32" t="s">
        <v>1281</v>
      </c>
      <c r="D796" s="32" t="s">
        <v>184</v>
      </c>
      <c r="E796" s="32" t="s">
        <v>234</v>
      </c>
      <c r="F796" s="32" t="s">
        <v>255</v>
      </c>
      <c r="G796" s="32" t="s">
        <v>235</v>
      </c>
      <c r="H796" s="32" t="s">
        <v>236</v>
      </c>
    </row>
    <row r="797" ht="16.5" customHeight="1">
      <c r="A797" s="32">
        <v>793.0</v>
      </c>
      <c r="C797" s="32" t="s">
        <v>1282</v>
      </c>
      <c r="D797" s="32" t="s">
        <v>184</v>
      </c>
      <c r="E797" s="32" t="s">
        <v>228</v>
      </c>
      <c r="F797" s="32" t="s">
        <v>255</v>
      </c>
    </row>
    <row r="798" ht="16.5" customHeight="1">
      <c r="A798" s="32">
        <v>794.0</v>
      </c>
      <c r="C798" s="32" t="s">
        <v>1283</v>
      </c>
      <c r="D798" s="32" t="s">
        <v>184</v>
      </c>
      <c r="E798" s="32" t="s">
        <v>228</v>
      </c>
      <c r="F798" s="32" t="s">
        <v>255</v>
      </c>
      <c r="G798" s="32" t="s">
        <v>229</v>
      </c>
      <c r="H798" s="32" t="s">
        <v>230</v>
      </c>
    </row>
    <row r="799" ht="16.5" customHeight="1">
      <c r="A799" s="32">
        <v>795.0</v>
      </c>
      <c r="C799" s="32" t="s">
        <v>1284</v>
      </c>
      <c r="D799" s="32" t="s">
        <v>184</v>
      </c>
      <c r="E799" s="32" t="s">
        <v>254</v>
      </c>
      <c r="F799" s="32" t="s">
        <v>255</v>
      </c>
    </row>
    <row r="800" ht="16.5" customHeight="1">
      <c r="A800" s="32">
        <v>796.0</v>
      </c>
      <c r="C800" s="32" t="s">
        <v>1285</v>
      </c>
      <c r="D800" s="32" t="s">
        <v>184</v>
      </c>
      <c r="E800" s="32" t="s">
        <v>192</v>
      </c>
      <c r="F800" s="32" t="s">
        <v>255</v>
      </c>
      <c r="G800" s="32" t="s">
        <v>329</v>
      </c>
      <c r="H800" s="32" t="s">
        <v>447</v>
      </c>
    </row>
    <row r="801" ht="16.5" customHeight="1">
      <c r="A801" s="32">
        <v>797.0</v>
      </c>
      <c r="C801" s="32" t="s">
        <v>1286</v>
      </c>
      <c r="D801" s="32" t="s">
        <v>184</v>
      </c>
      <c r="E801" s="32" t="s">
        <v>192</v>
      </c>
      <c r="F801" s="32" t="s">
        <v>255</v>
      </c>
      <c r="G801" s="32" t="s">
        <v>329</v>
      </c>
      <c r="H801" s="32" t="s">
        <v>447</v>
      </c>
    </row>
    <row r="802" ht="16.5" customHeight="1">
      <c r="A802" s="32">
        <v>798.0</v>
      </c>
      <c r="C802" s="32" t="s">
        <v>1287</v>
      </c>
      <c r="D802" s="32" t="s">
        <v>184</v>
      </c>
      <c r="E802" s="32" t="s">
        <v>192</v>
      </c>
      <c r="F802" s="32" t="s">
        <v>255</v>
      </c>
      <c r="G802" s="32" t="s">
        <v>329</v>
      </c>
      <c r="H802" s="32" t="s">
        <v>447</v>
      </c>
    </row>
    <row r="803" ht="16.5" customHeight="1">
      <c r="A803" s="32">
        <v>799.0</v>
      </c>
      <c r="C803" s="32" t="s">
        <v>1288</v>
      </c>
      <c r="D803" s="32" t="s">
        <v>184</v>
      </c>
      <c r="E803" s="32" t="s">
        <v>192</v>
      </c>
      <c r="F803" s="32" t="s">
        <v>255</v>
      </c>
      <c r="G803" s="32" t="s">
        <v>329</v>
      </c>
      <c r="H803" s="32" t="s">
        <v>447</v>
      </c>
    </row>
    <row r="804" ht="16.5" customHeight="1">
      <c r="A804" s="32">
        <v>800.0</v>
      </c>
      <c r="C804" s="32" t="s">
        <v>1289</v>
      </c>
      <c r="D804" s="32" t="s">
        <v>184</v>
      </c>
      <c r="E804" s="32" t="s">
        <v>325</v>
      </c>
      <c r="F804" s="32" t="s">
        <v>255</v>
      </c>
      <c r="G804" s="32" t="s">
        <v>561</v>
      </c>
    </row>
    <row r="805" ht="16.5" customHeight="1">
      <c r="A805" s="32">
        <v>801.0</v>
      </c>
      <c r="C805" s="32" t="s">
        <v>1290</v>
      </c>
      <c r="D805" s="32" t="s">
        <v>184</v>
      </c>
      <c r="E805" s="32" t="s">
        <v>192</v>
      </c>
      <c r="F805" s="32" t="s">
        <v>255</v>
      </c>
      <c r="G805" s="32" t="s">
        <v>329</v>
      </c>
      <c r="H805" s="32" t="s">
        <v>447</v>
      </c>
    </row>
    <row r="806" ht="16.5" customHeight="1">
      <c r="A806" s="32">
        <v>802.0</v>
      </c>
      <c r="C806" s="32" t="s">
        <v>1291</v>
      </c>
      <c r="D806" s="32" t="s">
        <v>184</v>
      </c>
      <c r="E806" s="32" t="s">
        <v>192</v>
      </c>
      <c r="F806" s="32" t="s">
        <v>255</v>
      </c>
      <c r="G806" s="32" t="s">
        <v>329</v>
      </c>
      <c r="H806" s="32" t="s">
        <v>447</v>
      </c>
    </row>
    <row r="807" ht="16.5" customHeight="1">
      <c r="A807" s="32">
        <v>803.0</v>
      </c>
      <c r="C807" s="32" t="s">
        <v>1292</v>
      </c>
      <c r="D807" s="32" t="s">
        <v>184</v>
      </c>
      <c r="E807" s="32" t="s">
        <v>192</v>
      </c>
      <c r="F807" s="32" t="s">
        <v>255</v>
      </c>
      <c r="G807" s="32" t="s">
        <v>329</v>
      </c>
      <c r="H807" s="32" t="s">
        <v>447</v>
      </c>
    </row>
    <row r="808" ht="16.5" customHeight="1">
      <c r="A808" s="32">
        <v>804.0</v>
      </c>
      <c r="C808" s="32" t="s">
        <v>1293</v>
      </c>
      <c r="D808" s="32" t="s">
        <v>184</v>
      </c>
      <c r="E808" s="32" t="s">
        <v>192</v>
      </c>
      <c r="F808" s="32" t="s">
        <v>255</v>
      </c>
      <c r="G808" s="32" t="s">
        <v>329</v>
      </c>
      <c r="H808" s="32" t="s">
        <v>447</v>
      </c>
    </row>
    <row r="809" ht="16.5" customHeight="1">
      <c r="A809" s="32">
        <v>805.0</v>
      </c>
      <c r="C809" s="32" t="s">
        <v>1294</v>
      </c>
      <c r="D809" s="32" t="s">
        <v>184</v>
      </c>
      <c r="E809" s="32" t="s">
        <v>285</v>
      </c>
      <c r="F809" s="32" t="s">
        <v>255</v>
      </c>
    </row>
    <row r="810" ht="16.5" customHeight="1">
      <c r="A810" s="32">
        <v>806.0</v>
      </c>
      <c r="C810" s="32" t="s">
        <v>1295</v>
      </c>
      <c r="D810" s="32" t="s">
        <v>184</v>
      </c>
      <c r="E810" s="32" t="s">
        <v>285</v>
      </c>
      <c r="F810" s="32" t="s">
        <v>255</v>
      </c>
      <c r="G810" s="32" t="s">
        <v>189</v>
      </c>
      <c r="H810" s="32" t="s">
        <v>190</v>
      </c>
    </row>
    <row r="811" ht="16.5" customHeight="1">
      <c r="A811" s="32">
        <v>807.0</v>
      </c>
      <c r="C811" s="32" t="s">
        <v>1296</v>
      </c>
      <c r="D811" s="32" t="s">
        <v>184</v>
      </c>
      <c r="E811" s="32" t="s">
        <v>234</v>
      </c>
      <c r="F811" s="32" t="s">
        <v>255</v>
      </c>
    </row>
    <row r="812" ht="16.5" customHeight="1">
      <c r="A812" s="32">
        <v>808.0</v>
      </c>
      <c r="C812" s="32" t="s">
        <v>1297</v>
      </c>
      <c r="D812" s="32" t="s">
        <v>184</v>
      </c>
      <c r="E812" s="32" t="s">
        <v>185</v>
      </c>
      <c r="F812" s="32" t="s">
        <v>255</v>
      </c>
    </row>
    <row r="813" ht="16.5" customHeight="1">
      <c r="A813" s="32">
        <v>809.0</v>
      </c>
      <c r="C813" s="32" t="s">
        <v>1298</v>
      </c>
      <c r="D813" s="32" t="s">
        <v>184</v>
      </c>
      <c r="E813" s="32" t="s">
        <v>325</v>
      </c>
      <c r="F813" s="32" t="s">
        <v>255</v>
      </c>
    </row>
    <row r="814" ht="16.5" customHeight="1">
      <c r="A814" s="32">
        <v>810.0</v>
      </c>
      <c r="C814" s="32" t="s">
        <v>1299</v>
      </c>
      <c r="D814" s="32" t="s">
        <v>184</v>
      </c>
      <c r="E814" s="32" t="s">
        <v>285</v>
      </c>
      <c r="F814" s="32" t="s">
        <v>255</v>
      </c>
      <c r="G814" s="32" t="s">
        <v>189</v>
      </c>
      <c r="H814" s="32" t="s">
        <v>190</v>
      </c>
    </row>
    <row r="815" ht="16.5" customHeight="1">
      <c r="A815" s="32">
        <v>811.0</v>
      </c>
      <c r="C815" s="32" t="s">
        <v>1300</v>
      </c>
      <c r="D815" s="32" t="s">
        <v>184</v>
      </c>
      <c r="E815" s="32" t="s">
        <v>254</v>
      </c>
      <c r="F815" s="32" t="s">
        <v>255</v>
      </c>
      <c r="G815" s="32" t="s">
        <v>260</v>
      </c>
      <c r="H815" s="32" t="s">
        <v>271</v>
      </c>
    </row>
    <row r="816" ht="16.5" customHeight="1">
      <c r="A816" s="32">
        <v>812.0</v>
      </c>
      <c r="C816" s="32" t="s">
        <v>1301</v>
      </c>
      <c r="D816" s="32" t="s">
        <v>184</v>
      </c>
      <c r="E816" s="32" t="s">
        <v>254</v>
      </c>
      <c r="F816" s="32" t="s">
        <v>255</v>
      </c>
      <c r="G816" s="32" t="s">
        <v>424</v>
      </c>
      <c r="H816" s="32" t="s">
        <v>1302</v>
      </c>
    </row>
    <row r="817" ht="16.5" customHeight="1">
      <c r="A817" s="32">
        <v>813.0</v>
      </c>
      <c r="C817" s="32" t="s">
        <v>1303</v>
      </c>
      <c r="D817" s="32" t="s">
        <v>184</v>
      </c>
      <c r="E817" s="32" t="s">
        <v>254</v>
      </c>
      <c r="F817" s="32" t="s">
        <v>255</v>
      </c>
    </row>
    <row r="818" ht="16.5" customHeight="1">
      <c r="A818" s="32">
        <v>814.0</v>
      </c>
      <c r="C818" s="32" t="s">
        <v>1304</v>
      </c>
      <c r="D818" s="32" t="s">
        <v>184</v>
      </c>
      <c r="E818" s="32" t="s">
        <v>219</v>
      </c>
      <c r="F818" s="32" t="s">
        <v>396</v>
      </c>
      <c r="G818" s="32" t="s">
        <v>232</v>
      </c>
      <c r="H818" s="32" t="s">
        <v>233</v>
      </c>
    </row>
    <row r="819" ht="16.5" customHeight="1">
      <c r="A819" s="32">
        <v>815.0</v>
      </c>
      <c r="C819" s="32" t="s">
        <v>1305</v>
      </c>
      <c r="D819" s="32" t="s">
        <v>184</v>
      </c>
      <c r="E819" s="35" t="s">
        <v>310</v>
      </c>
      <c r="F819" s="32" t="s">
        <v>255</v>
      </c>
      <c r="G819" s="32" t="s">
        <v>305</v>
      </c>
      <c r="H819" s="32" t="s">
        <v>1306</v>
      </c>
    </row>
    <row r="820" ht="16.5" customHeight="1">
      <c r="A820" s="32">
        <v>816.0</v>
      </c>
      <c r="C820" s="32" t="s">
        <v>1307</v>
      </c>
      <c r="D820" s="32" t="s">
        <v>184</v>
      </c>
      <c r="E820" s="32" t="s">
        <v>254</v>
      </c>
      <c r="F820" s="32" t="s">
        <v>255</v>
      </c>
      <c r="G820" s="32" t="s">
        <v>256</v>
      </c>
      <c r="H820" s="32" t="s">
        <v>1308</v>
      </c>
    </row>
    <row r="821" ht="16.5" customHeight="1">
      <c r="A821" s="32">
        <v>817.0</v>
      </c>
      <c r="C821" s="32" t="s">
        <v>1309</v>
      </c>
      <c r="D821" s="32" t="s">
        <v>184</v>
      </c>
      <c r="E821" s="32" t="s">
        <v>192</v>
      </c>
      <c r="F821" s="32" t="s">
        <v>255</v>
      </c>
    </row>
    <row r="822" ht="16.5" customHeight="1">
      <c r="A822" s="32">
        <v>818.0</v>
      </c>
      <c r="C822" s="32" t="s">
        <v>1310</v>
      </c>
      <c r="D822" s="32" t="s">
        <v>184</v>
      </c>
      <c r="E822" s="32" t="s">
        <v>219</v>
      </c>
      <c r="F822" s="32" t="s">
        <v>255</v>
      </c>
      <c r="G822" s="32" t="s">
        <v>216</v>
      </c>
      <c r="H822" s="32" t="s">
        <v>217</v>
      </c>
    </row>
    <row r="823" ht="16.5" customHeight="1">
      <c r="A823" s="32">
        <v>819.0</v>
      </c>
      <c r="C823" s="32" t="s">
        <v>1311</v>
      </c>
      <c r="D823" s="32" t="s">
        <v>184</v>
      </c>
      <c r="E823" s="32" t="s">
        <v>214</v>
      </c>
      <c r="F823" s="32" t="s">
        <v>255</v>
      </c>
      <c r="G823" s="32" t="s">
        <v>292</v>
      </c>
      <c r="H823" s="32" t="s">
        <v>1312</v>
      </c>
    </row>
    <row r="824" ht="16.5" customHeight="1">
      <c r="A824" s="32">
        <v>820.0</v>
      </c>
      <c r="C824" s="32" t="s">
        <v>1313</v>
      </c>
      <c r="D824" s="32" t="s">
        <v>184</v>
      </c>
      <c r="E824" s="32" t="s">
        <v>254</v>
      </c>
      <c r="F824" s="32" t="s">
        <v>255</v>
      </c>
      <c r="G824" s="32" t="s">
        <v>256</v>
      </c>
      <c r="H824" s="32" t="s">
        <v>1314</v>
      </c>
    </row>
    <row r="825" ht="16.5" customHeight="1">
      <c r="A825" s="32">
        <v>821.0</v>
      </c>
      <c r="C825" s="32" t="s">
        <v>1315</v>
      </c>
      <c r="D825" s="32" t="s">
        <v>184</v>
      </c>
      <c r="E825" s="32" t="s">
        <v>254</v>
      </c>
      <c r="F825" s="32" t="s">
        <v>255</v>
      </c>
      <c r="G825" s="32" t="s">
        <v>256</v>
      </c>
      <c r="H825" s="32" t="s">
        <v>1316</v>
      </c>
    </row>
    <row r="826" ht="16.5" customHeight="1">
      <c r="A826" s="32">
        <v>822.0</v>
      </c>
      <c r="C826" s="32" t="s">
        <v>1317</v>
      </c>
      <c r="D826" s="32" t="s">
        <v>184</v>
      </c>
      <c r="E826" s="32" t="s">
        <v>254</v>
      </c>
      <c r="F826" s="32" t="s">
        <v>255</v>
      </c>
      <c r="G826" s="32" t="s">
        <v>260</v>
      </c>
    </row>
    <row r="827" ht="16.5" customHeight="1">
      <c r="A827" s="32">
        <v>823.0</v>
      </c>
      <c r="C827" s="32" t="s">
        <v>1318</v>
      </c>
      <c r="D827" s="32" t="s">
        <v>184</v>
      </c>
      <c r="E827" s="32" t="s">
        <v>254</v>
      </c>
      <c r="F827" s="32" t="s">
        <v>255</v>
      </c>
      <c r="G827" s="32" t="s">
        <v>257</v>
      </c>
      <c r="H827" s="32" t="s">
        <v>1319</v>
      </c>
    </row>
    <row r="828" ht="16.5" customHeight="1">
      <c r="A828" s="32">
        <v>824.0</v>
      </c>
      <c r="C828" s="32" t="s">
        <v>1320</v>
      </c>
      <c r="D828" s="32" t="s">
        <v>184</v>
      </c>
      <c r="E828" s="32" t="s">
        <v>185</v>
      </c>
      <c r="F828" s="32" t="s">
        <v>255</v>
      </c>
      <c r="G828" s="32" t="s">
        <v>508</v>
      </c>
    </row>
    <row r="829" ht="16.5" customHeight="1">
      <c r="A829" s="32">
        <v>825.0</v>
      </c>
      <c r="C829" s="32" t="s">
        <v>1321</v>
      </c>
      <c r="D829" s="32" t="s">
        <v>184</v>
      </c>
      <c r="E829" s="32" t="s">
        <v>185</v>
      </c>
      <c r="F829" s="32" t="s">
        <v>255</v>
      </c>
      <c r="G829" s="32" t="s">
        <v>1322</v>
      </c>
      <c r="H829" s="32" t="s">
        <v>1323</v>
      </c>
    </row>
    <row r="830" ht="16.5" customHeight="1">
      <c r="A830" s="32">
        <v>826.0</v>
      </c>
      <c r="C830" s="32" t="s">
        <v>1324</v>
      </c>
      <c r="D830" s="32" t="s">
        <v>184</v>
      </c>
      <c r="E830" s="35" t="s">
        <v>294</v>
      </c>
      <c r="F830" s="32" t="s">
        <v>255</v>
      </c>
      <c r="G830" s="32" t="s">
        <v>189</v>
      </c>
      <c r="H830" s="32" t="s">
        <v>190</v>
      </c>
    </row>
    <row r="831" ht="16.5" customHeight="1">
      <c r="A831" s="32">
        <v>827.0</v>
      </c>
      <c r="C831" s="32" t="s">
        <v>1325</v>
      </c>
      <c r="D831" s="32" t="s">
        <v>184</v>
      </c>
      <c r="E831" s="32" t="s">
        <v>285</v>
      </c>
      <c r="F831" s="32" t="s">
        <v>255</v>
      </c>
      <c r="G831" s="32" t="s">
        <v>189</v>
      </c>
      <c r="H831" s="32" t="s">
        <v>190</v>
      </c>
    </row>
    <row r="832" ht="16.5" customHeight="1">
      <c r="A832" s="32">
        <v>828.0</v>
      </c>
      <c r="C832" s="32" t="s">
        <v>1326</v>
      </c>
      <c r="D832" s="32" t="s">
        <v>184</v>
      </c>
      <c r="E832" s="32" t="s">
        <v>254</v>
      </c>
      <c r="F832" s="32" t="s">
        <v>255</v>
      </c>
      <c r="G832" s="32" t="s">
        <v>1327</v>
      </c>
      <c r="H832" s="32" t="s">
        <v>1328</v>
      </c>
    </row>
    <row r="833" ht="16.5" customHeight="1">
      <c r="A833" s="32">
        <v>829.0</v>
      </c>
      <c r="C833" s="32" t="s">
        <v>1329</v>
      </c>
      <c r="D833" s="32" t="s">
        <v>184</v>
      </c>
      <c r="E833" s="32" t="s">
        <v>254</v>
      </c>
      <c r="F833" s="32" t="s">
        <v>255</v>
      </c>
      <c r="G833" s="32" t="s">
        <v>305</v>
      </c>
      <c r="H833" s="32" t="s">
        <v>1330</v>
      </c>
    </row>
    <row r="834" ht="16.5" customHeight="1">
      <c r="A834" s="32">
        <v>830.0</v>
      </c>
      <c r="C834" s="32" t="s">
        <v>1331</v>
      </c>
      <c r="D834" s="32" t="s">
        <v>184</v>
      </c>
      <c r="E834" s="32" t="s">
        <v>254</v>
      </c>
      <c r="F834" s="32" t="s">
        <v>255</v>
      </c>
      <c r="G834" s="32" t="s">
        <v>260</v>
      </c>
      <c r="H834" s="32" t="s">
        <v>1332</v>
      </c>
    </row>
    <row r="835" ht="16.5" customHeight="1">
      <c r="A835" s="32">
        <v>831.0</v>
      </c>
      <c r="C835" s="32" t="s">
        <v>1333</v>
      </c>
      <c r="D835" s="32" t="s">
        <v>184</v>
      </c>
      <c r="E835" s="32" t="s">
        <v>228</v>
      </c>
      <c r="F835" s="32" t="s">
        <v>215</v>
      </c>
      <c r="G835" s="32" t="s">
        <v>229</v>
      </c>
      <c r="H835" s="32" t="s">
        <v>1334</v>
      </c>
    </row>
    <row r="836" ht="16.5" customHeight="1">
      <c r="A836" s="32">
        <v>832.0</v>
      </c>
      <c r="C836" s="32" t="s">
        <v>1335</v>
      </c>
      <c r="D836" s="32" t="s">
        <v>184</v>
      </c>
      <c r="E836" s="32" t="s">
        <v>228</v>
      </c>
      <c r="F836" s="32" t="s">
        <v>215</v>
      </c>
    </row>
    <row r="837" ht="16.5" customHeight="1">
      <c r="A837" s="32">
        <v>833.0</v>
      </c>
      <c r="C837" s="32" t="s">
        <v>1336</v>
      </c>
      <c r="D837" s="32" t="s">
        <v>184</v>
      </c>
      <c r="E837" s="32" t="s">
        <v>219</v>
      </c>
      <c r="F837" s="32" t="s">
        <v>215</v>
      </c>
      <c r="G837" s="32" t="s">
        <v>223</v>
      </c>
    </row>
    <row r="838" ht="16.5" customHeight="1">
      <c r="A838" s="32">
        <v>834.0</v>
      </c>
      <c r="C838" s="32" t="s">
        <v>1337</v>
      </c>
      <c r="D838" s="32" t="s">
        <v>184</v>
      </c>
      <c r="E838" s="32" t="s">
        <v>219</v>
      </c>
      <c r="F838" s="32" t="s">
        <v>215</v>
      </c>
    </row>
    <row r="839" ht="16.5" customHeight="1">
      <c r="A839" s="32">
        <v>835.0</v>
      </c>
      <c r="C839" s="32" t="s">
        <v>1338</v>
      </c>
      <c r="D839" s="32" t="s">
        <v>184</v>
      </c>
      <c r="E839" s="32" t="s">
        <v>285</v>
      </c>
      <c r="F839" s="32" t="s">
        <v>215</v>
      </c>
      <c r="G839" s="32" t="s">
        <v>854</v>
      </c>
      <c r="H839" s="32" t="s">
        <v>1339</v>
      </c>
    </row>
    <row r="840" ht="16.5" customHeight="1">
      <c r="A840" s="32">
        <v>836.0</v>
      </c>
      <c r="C840" s="32" t="s">
        <v>1340</v>
      </c>
      <c r="D840" s="32" t="s">
        <v>184</v>
      </c>
      <c r="E840" s="32" t="s">
        <v>219</v>
      </c>
      <c r="F840" s="32" t="s">
        <v>215</v>
      </c>
    </row>
    <row r="841" ht="16.5" customHeight="1">
      <c r="A841" s="32">
        <v>837.0</v>
      </c>
      <c r="C841" s="32" t="s">
        <v>1341</v>
      </c>
      <c r="D841" s="32" t="s">
        <v>184</v>
      </c>
      <c r="E841" s="32" t="s">
        <v>192</v>
      </c>
      <c r="F841" s="32" t="s">
        <v>215</v>
      </c>
      <c r="G841" s="32" t="s">
        <v>300</v>
      </c>
      <c r="H841" s="32" t="s">
        <v>387</v>
      </c>
    </row>
    <row r="842" ht="16.5" customHeight="1">
      <c r="A842" s="32">
        <v>838.0</v>
      </c>
      <c r="C842" s="32" t="s">
        <v>1342</v>
      </c>
      <c r="D842" s="32" t="s">
        <v>184</v>
      </c>
      <c r="E842" s="32" t="s">
        <v>192</v>
      </c>
      <c r="F842" s="32" t="s">
        <v>215</v>
      </c>
    </row>
    <row r="843" ht="16.5" customHeight="1">
      <c r="A843" s="32">
        <v>839.0</v>
      </c>
      <c r="C843" s="32" t="s">
        <v>113</v>
      </c>
      <c r="D843" s="32" t="s">
        <v>184</v>
      </c>
      <c r="E843" s="32" t="s">
        <v>234</v>
      </c>
      <c r="F843" s="32" t="s">
        <v>215</v>
      </c>
      <c r="G843" s="32" t="s">
        <v>235</v>
      </c>
      <c r="H843" s="32" t="s">
        <v>243</v>
      </c>
    </row>
    <row r="844" ht="16.5" customHeight="1">
      <c r="A844" s="32">
        <v>840.0</v>
      </c>
      <c r="C844" s="32" t="s">
        <v>1343</v>
      </c>
      <c r="D844" s="32" t="s">
        <v>184</v>
      </c>
      <c r="E844" s="32" t="s">
        <v>234</v>
      </c>
      <c r="F844" s="32" t="s">
        <v>215</v>
      </c>
    </row>
    <row r="845" ht="16.5" customHeight="1">
      <c r="A845" s="32">
        <v>841.0</v>
      </c>
      <c r="C845" s="32" t="s">
        <v>1344</v>
      </c>
      <c r="D845" s="32" t="s">
        <v>184</v>
      </c>
      <c r="E845" s="32" t="s">
        <v>192</v>
      </c>
      <c r="F845" s="32" t="s">
        <v>215</v>
      </c>
    </row>
    <row r="846" ht="16.5" customHeight="1">
      <c r="A846" s="32">
        <v>842.0</v>
      </c>
      <c r="C846" s="32" t="s">
        <v>1345</v>
      </c>
      <c r="D846" s="32" t="s">
        <v>184</v>
      </c>
      <c r="E846" s="32" t="s">
        <v>192</v>
      </c>
      <c r="F846" s="32" t="s">
        <v>215</v>
      </c>
      <c r="G846" s="32" t="s">
        <v>329</v>
      </c>
      <c r="H846" s="32" t="s">
        <v>447</v>
      </c>
    </row>
    <row r="847" ht="16.5" customHeight="1">
      <c r="A847" s="32">
        <v>843.0</v>
      </c>
      <c r="C847" s="32" t="s">
        <v>1346</v>
      </c>
      <c r="D847" s="32" t="s">
        <v>184</v>
      </c>
      <c r="E847" s="32" t="s">
        <v>219</v>
      </c>
      <c r="F847" s="32" t="s">
        <v>215</v>
      </c>
    </row>
    <row r="848" ht="16.5" customHeight="1">
      <c r="A848" s="32">
        <v>844.0</v>
      </c>
      <c r="C848" s="32" t="s">
        <v>1347</v>
      </c>
      <c r="D848" s="32" t="s">
        <v>184</v>
      </c>
      <c r="E848" s="32" t="s">
        <v>228</v>
      </c>
      <c r="F848" s="32" t="s">
        <v>215</v>
      </c>
      <c r="G848" s="32" t="s">
        <v>408</v>
      </c>
      <c r="H848" s="32" t="s">
        <v>1348</v>
      </c>
    </row>
    <row r="849" ht="16.5" customHeight="1">
      <c r="A849" s="32">
        <v>845.0</v>
      </c>
      <c r="C849" s="32" t="s">
        <v>1349</v>
      </c>
      <c r="D849" s="32" t="s">
        <v>184</v>
      </c>
      <c r="E849" s="32" t="s">
        <v>192</v>
      </c>
      <c r="F849" s="32" t="s">
        <v>215</v>
      </c>
      <c r="G849" s="32" t="s">
        <v>570</v>
      </c>
      <c r="H849" s="32" t="s">
        <v>447</v>
      </c>
    </row>
    <row r="850" ht="16.5" customHeight="1">
      <c r="A850" s="32">
        <v>846.0</v>
      </c>
      <c r="C850" s="32" t="s">
        <v>1350</v>
      </c>
      <c r="D850" s="32" t="s">
        <v>184</v>
      </c>
      <c r="E850" s="32" t="s">
        <v>192</v>
      </c>
      <c r="F850" s="32" t="s">
        <v>215</v>
      </c>
    </row>
    <row r="851" ht="16.5" customHeight="1">
      <c r="A851" s="32">
        <v>847.0</v>
      </c>
      <c r="C851" s="32" t="s">
        <v>1351</v>
      </c>
      <c r="D851" s="32" t="s">
        <v>184</v>
      </c>
      <c r="E851" s="32" t="s">
        <v>219</v>
      </c>
      <c r="F851" s="32" t="s">
        <v>215</v>
      </c>
    </row>
    <row r="852" ht="16.5" customHeight="1">
      <c r="A852" s="32">
        <v>848.0</v>
      </c>
      <c r="C852" s="32" t="s">
        <v>1352</v>
      </c>
      <c r="D852" s="32" t="s">
        <v>184</v>
      </c>
      <c r="E852" s="32" t="s">
        <v>219</v>
      </c>
      <c r="F852" s="32" t="s">
        <v>215</v>
      </c>
    </row>
    <row r="853" ht="16.5" customHeight="1">
      <c r="A853" s="32">
        <v>849.0</v>
      </c>
      <c r="C853" s="32" t="s">
        <v>1353</v>
      </c>
      <c r="D853" s="32" t="s">
        <v>184</v>
      </c>
      <c r="E853" s="32" t="s">
        <v>219</v>
      </c>
      <c r="F853" s="32" t="s">
        <v>215</v>
      </c>
      <c r="G853" s="32" t="s">
        <v>241</v>
      </c>
      <c r="H853" s="32" t="s">
        <v>292</v>
      </c>
    </row>
    <row r="854" ht="16.5" customHeight="1">
      <c r="A854" s="32">
        <v>850.0</v>
      </c>
      <c r="C854" s="32" t="s">
        <v>1354</v>
      </c>
      <c r="D854" s="32" t="s">
        <v>184</v>
      </c>
      <c r="E854" s="32" t="s">
        <v>219</v>
      </c>
      <c r="F854" s="32" t="s">
        <v>215</v>
      </c>
    </row>
    <row r="855" ht="16.5" customHeight="1">
      <c r="A855" s="32">
        <v>851.0</v>
      </c>
      <c r="C855" s="32" t="s">
        <v>1355</v>
      </c>
      <c r="D855" s="32" t="s">
        <v>184</v>
      </c>
      <c r="E855" s="32" t="s">
        <v>219</v>
      </c>
      <c r="F855" s="32" t="s">
        <v>215</v>
      </c>
    </row>
    <row r="856" ht="16.5" customHeight="1">
      <c r="A856" s="32">
        <v>852.0</v>
      </c>
      <c r="C856" s="32" t="s">
        <v>1356</v>
      </c>
      <c r="D856" s="32" t="s">
        <v>184</v>
      </c>
      <c r="E856" s="32" t="s">
        <v>192</v>
      </c>
      <c r="F856" s="32" t="s">
        <v>215</v>
      </c>
      <c r="G856" s="32" t="s">
        <v>300</v>
      </c>
      <c r="H856" s="32" t="s">
        <v>1357</v>
      </c>
    </row>
    <row r="857" ht="16.5" customHeight="1">
      <c r="A857" s="32">
        <v>853.0</v>
      </c>
      <c r="C857" s="32" t="s">
        <v>1358</v>
      </c>
      <c r="D857" s="32" t="s">
        <v>184</v>
      </c>
      <c r="E857" s="32" t="s">
        <v>192</v>
      </c>
      <c r="F857" s="32" t="s">
        <v>215</v>
      </c>
      <c r="G857" s="32" t="s">
        <v>300</v>
      </c>
      <c r="H857" s="32" t="s">
        <v>445</v>
      </c>
    </row>
    <row r="858" ht="16.5" customHeight="1">
      <c r="A858" s="32">
        <v>854.0</v>
      </c>
      <c r="C858" s="32" t="s">
        <v>1359</v>
      </c>
      <c r="D858" s="32" t="s">
        <v>184</v>
      </c>
      <c r="E858" s="32" t="s">
        <v>219</v>
      </c>
      <c r="F858" s="32" t="s">
        <v>215</v>
      </c>
    </row>
    <row r="859" ht="16.5" customHeight="1">
      <c r="A859" s="32">
        <v>855.0</v>
      </c>
      <c r="C859" s="32" t="s">
        <v>1360</v>
      </c>
      <c r="D859" s="32" t="s">
        <v>184</v>
      </c>
      <c r="E859" s="32" t="s">
        <v>219</v>
      </c>
      <c r="F859" s="32" t="s">
        <v>215</v>
      </c>
    </row>
    <row r="860" ht="16.5" customHeight="1">
      <c r="A860" s="32">
        <v>856.0</v>
      </c>
      <c r="C860" s="32" t="s">
        <v>1361</v>
      </c>
      <c r="D860" s="32" t="s">
        <v>184</v>
      </c>
      <c r="E860" s="32" t="s">
        <v>219</v>
      </c>
      <c r="F860" s="32" t="s">
        <v>215</v>
      </c>
      <c r="G860" s="32" t="s">
        <v>223</v>
      </c>
    </row>
    <row r="861" ht="16.5" customHeight="1">
      <c r="A861" s="32">
        <v>857.0</v>
      </c>
      <c r="C861" s="32" t="s">
        <v>1362</v>
      </c>
      <c r="D861" s="32" t="s">
        <v>184</v>
      </c>
      <c r="E861" s="32" t="s">
        <v>219</v>
      </c>
      <c r="F861" s="32" t="s">
        <v>215</v>
      </c>
    </row>
    <row r="862" ht="16.5" customHeight="1">
      <c r="A862" s="32">
        <v>858.0</v>
      </c>
      <c r="C862" s="32" t="s">
        <v>1363</v>
      </c>
      <c r="D862" s="32" t="s">
        <v>184</v>
      </c>
      <c r="E862" s="32" t="s">
        <v>192</v>
      </c>
      <c r="F862" s="32" t="s">
        <v>215</v>
      </c>
    </row>
    <row r="863" ht="16.5" customHeight="1">
      <c r="A863" s="32">
        <v>859.0</v>
      </c>
      <c r="C863" s="32" t="s">
        <v>1364</v>
      </c>
      <c r="D863" s="32" t="s">
        <v>184</v>
      </c>
      <c r="E863" s="32" t="s">
        <v>228</v>
      </c>
      <c r="F863" s="32" t="s">
        <v>215</v>
      </c>
      <c r="G863" s="32" t="s">
        <v>408</v>
      </c>
      <c r="H863" s="32" t="s">
        <v>452</v>
      </c>
    </row>
    <row r="864" ht="16.5" customHeight="1">
      <c r="A864" s="32">
        <v>860.0</v>
      </c>
      <c r="C864" s="32" t="s">
        <v>1365</v>
      </c>
      <c r="D864" s="32" t="s">
        <v>184</v>
      </c>
      <c r="E864" s="32" t="s">
        <v>192</v>
      </c>
      <c r="F864" s="32" t="s">
        <v>215</v>
      </c>
      <c r="G864" s="32" t="s">
        <v>300</v>
      </c>
      <c r="H864" s="32" t="s">
        <v>535</v>
      </c>
    </row>
    <row r="865" ht="16.5" customHeight="1">
      <c r="A865" s="32">
        <v>861.0</v>
      </c>
      <c r="C865" s="32" t="s">
        <v>1366</v>
      </c>
      <c r="D865" s="32" t="s">
        <v>184</v>
      </c>
      <c r="E865" s="32" t="s">
        <v>228</v>
      </c>
      <c r="F865" s="32" t="s">
        <v>215</v>
      </c>
      <c r="G865" s="32" t="s">
        <v>408</v>
      </c>
      <c r="H865" s="32" t="s">
        <v>452</v>
      </c>
    </row>
    <row r="866" ht="16.5" customHeight="1">
      <c r="A866" s="32">
        <v>862.0</v>
      </c>
      <c r="C866" s="32" t="s">
        <v>1367</v>
      </c>
      <c r="D866" s="32" t="s">
        <v>184</v>
      </c>
      <c r="E866" s="32" t="s">
        <v>234</v>
      </c>
      <c r="F866" s="32" t="s">
        <v>215</v>
      </c>
      <c r="G866" s="32" t="s">
        <v>235</v>
      </c>
      <c r="H866" s="32" t="s">
        <v>229</v>
      </c>
    </row>
    <row r="867" ht="16.5" customHeight="1">
      <c r="A867" s="32">
        <v>863.0</v>
      </c>
      <c r="C867" s="32" t="s">
        <v>1368</v>
      </c>
      <c r="D867" s="32" t="s">
        <v>184</v>
      </c>
      <c r="E867" s="32" t="s">
        <v>219</v>
      </c>
      <c r="F867" s="32" t="s">
        <v>215</v>
      </c>
      <c r="G867" s="32" t="s">
        <v>241</v>
      </c>
      <c r="H867" s="32" t="s">
        <v>292</v>
      </c>
    </row>
    <row r="868" ht="16.5" customHeight="1">
      <c r="A868" s="32">
        <v>864.0</v>
      </c>
      <c r="C868" s="32" t="s">
        <v>1368</v>
      </c>
      <c r="D868" s="32" t="s">
        <v>184</v>
      </c>
      <c r="E868" s="32" t="s">
        <v>219</v>
      </c>
      <c r="F868" s="32" t="s">
        <v>215</v>
      </c>
      <c r="G868" s="32" t="s">
        <v>241</v>
      </c>
      <c r="H868" s="32" t="s">
        <v>292</v>
      </c>
    </row>
    <row r="869" ht="16.5" customHeight="1">
      <c r="A869" s="32">
        <v>865.0</v>
      </c>
      <c r="C869" s="32" t="s">
        <v>1369</v>
      </c>
      <c r="D869" s="32" t="s">
        <v>184</v>
      </c>
      <c r="E869" s="32" t="s">
        <v>214</v>
      </c>
      <c r="F869" s="32" t="s">
        <v>215</v>
      </c>
    </row>
    <row r="870" ht="16.5" customHeight="1">
      <c r="A870" s="32">
        <v>866.0</v>
      </c>
      <c r="C870" s="32" t="s">
        <v>1370</v>
      </c>
      <c r="D870" s="32" t="s">
        <v>184</v>
      </c>
      <c r="E870" s="32" t="s">
        <v>285</v>
      </c>
      <c r="F870" s="32" t="s">
        <v>215</v>
      </c>
      <c r="G870" s="32" t="s">
        <v>189</v>
      </c>
      <c r="H870" s="32" t="s">
        <v>190</v>
      </c>
    </row>
    <row r="871" ht="16.5" customHeight="1">
      <c r="A871" s="32">
        <v>867.0</v>
      </c>
      <c r="C871" s="32" t="s">
        <v>1371</v>
      </c>
      <c r="D871" s="32" t="s">
        <v>184</v>
      </c>
      <c r="E871" s="35" t="s">
        <v>294</v>
      </c>
      <c r="F871" s="32" t="s">
        <v>215</v>
      </c>
    </row>
    <row r="872" ht="16.5" customHeight="1">
      <c r="A872" s="32">
        <v>868.0</v>
      </c>
      <c r="C872" s="32" t="s">
        <v>1372</v>
      </c>
      <c r="D872" s="32" t="s">
        <v>184</v>
      </c>
      <c r="E872" s="32" t="s">
        <v>234</v>
      </c>
      <c r="F872" s="32" t="s">
        <v>215</v>
      </c>
      <c r="G872" s="32" t="s">
        <v>347</v>
      </c>
      <c r="H872" s="32" t="s">
        <v>420</v>
      </c>
    </row>
    <row r="873" ht="16.5" customHeight="1">
      <c r="A873" s="32">
        <v>869.0</v>
      </c>
      <c r="C873" s="32" t="s">
        <v>1373</v>
      </c>
      <c r="D873" s="32" t="s">
        <v>184</v>
      </c>
      <c r="E873" s="32" t="s">
        <v>234</v>
      </c>
      <c r="F873" s="32" t="s">
        <v>215</v>
      </c>
      <c r="G873" s="32" t="s">
        <v>347</v>
      </c>
      <c r="H873" s="32" t="s">
        <v>420</v>
      </c>
    </row>
    <row r="874" ht="16.5" customHeight="1">
      <c r="A874" s="32">
        <v>870.0</v>
      </c>
      <c r="C874" s="32" t="s">
        <v>823</v>
      </c>
      <c r="D874" s="32" t="s">
        <v>184</v>
      </c>
      <c r="E874" s="32" t="s">
        <v>234</v>
      </c>
      <c r="F874" s="32" t="s">
        <v>215</v>
      </c>
      <c r="G874" s="32" t="s">
        <v>347</v>
      </c>
      <c r="H874" s="32" t="s">
        <v>382</v>
      </c>
    </row>
    <row r="875" ht="16.5" customHeight="1">
      <c r="A875" s="32">
        <v>871.0</v>
      </c>
      <c r="C875" s="32" t="s">
        <v>823</v>
      </c>
      <c r="D875" s="32" t="s">
        <v>184</v>
      </c>
      <c r="E875" s="32" t="s">
        <v>234</v>
      </c>
      <c r="F875" s="32" t="s">
        <v>215</v>
      </c>
      <c r="G875" s="32" t="s">
        <v>347</v>
      </c>
      <c r="H875" s="32" t="s">
        <v>382</v>
      </c>
    </row>
    <row r="876" ht="16.5" customHeight="1">
      <c r="A876" s="32">
        <v>872.0</v>
      </c>
      <c r="C876" s="32" t="s">
        <v>1374</v>
      </c>
      <c r="D876" s="32" t="s">
        <v>184</v>
      </c>
      <c r="E876" s="32" t="s">
        <v>234</v>
      </c>
      <c r="F876" s="32" t="s">
        <v>215</v>
      </c>
    </row>
    <row r="877" ht="16.5" customHeight="1">
      <c r="A877" s="32">
        <v>873.0</v>
      </c>
      <c r="C877" s="32" t="s">
        <v>1375</v>
      </c>
      <c r="D877" s="32" t="s">
        <v>184</v>
      </c>
      <c r="E877" s="32" t="s">
        <v>192</v>
      </c>
      <c r="F877" s="32" t="s">
        <v>215</v>
      </c>
      <c r="G877" s="32" t="s">
        <v>329</v>
      </c>
      <c r="H877" s="32" t="s">
        <v>447</v>
      </c>
    </row>
    <row r="878" ht="16.5" customHeight="1">
      <c r="A878" s="32">
        <v>874.0</v>
      </c>
      <c r="C878" s="32" t="s">
        <v>1376</v>
      </c>
      <c r="D878" s="32" t="s">
        <v>184</v>
      </c>
      <c r="E878" s="32" t="s">
        <v>185</v>
      </c>
      <c r="F878" s="32" t="s">
        <v>215</v>
      </c>
      <c r="G878" s="32" t="s">
        <v>187</v>
      </c>
      <c r="H878" s="32" t="s">
        <v>188</v>
      </c>
    </row>
    <row r="879" ht="16.5" customHeight="1">
      <c r="A879" s="32">
        <v>875.0</v>
      </c>
      <c r="C879" s="32" t="s">
        <v>1377</v>
      </c>
      <c r="D879" s="32" t="s">
        <v>184</v>
      </c>
      <c r="E879" s="32" t="s">
        <v>219</v>
      </c>
      <c r="F879" s="32" t="s">
        <v>215</v>
      </c>
    </row>
    <row r="880" ht="16.5" customHeight="1">
      <c r="A880" s="32">
        <v>876.0</v>
      </c>
      <c r="C880" s="32" t="s">
        <v>1378</v>
      </c>
      <c r="D880" s="32" t="s">
        <v>184</v>
      </c>
      <c r="E880" s="32" t="s">
        <v>192</v>
      </c>
      <c r="F880" s="32" t="s">
        <v>215</v>
      </c>
      <c r="G880" s="32" t="s">
        <v>300</v>
      </c>
      <c r="H880" s="32" t="s">
        <v>1379</v>
      </c>
    </row>
    <row r="881" ht="16.5" customHeight="1">
      <c r="A881" s="32">
        <v>877.0</v>
      </c>
      <c r="C881" s="32" t="s">
        <v>1380</v>
      </c>
      <c r="D881" s="32" t="s">
        <v>184</v>
      </c>
      <c r="E881" s="32" t="s">
        <v>192</v>
      </c>
      <c r="F881" s="32" t="s">
        <v>215</v>
      </c>
      <c r="G881" s="32" t="s">
        <v>329</v>
      </c>
      <c r="H881" s="32" t="s">
        <v>447</v>
      </c>
    </row>
    <row r="882" ht="16.5" customHeight="1">
      <c r="A882" s="32">
        <v>878.0</v>
      </c>
      <c r="C882" s="32" t="s">
        <v>1381</v>
      </c>
      <c r="D882" s="32" t="s">
        <v>184</v>
      </c>
      <c r="E882" s="32" t="s">
        <v>234</v>
      </c>
      <c r="F882" s="32" t="s">
        <v>215</v>
      </c>
    </row>
    <row r="883" ht="16.5" customHeight="1">
      <c r="A883" s="32">
        <v>879.0</v>
      </c>
      <c r="C883" s="32" t="s">
        <v>1382</v>
      </c>
      <c r="D883" s="32" t="s">
        <v>184</v>
      </c>
      <c r="E883" s="32" t="s">
        <v>285</v>
      </c>
      <c r="F883" s="32" t="s">
        <v>215</v>
      </c>
      <c r="G883" s="32" t="s">
        <v>189</v>
      </c>
    </row>
    <row r="884" ht="16.5" customHeight="1">
      <c r="A884" s="32">
        <v>880.0</v>
      </c>
      <c r="C884" s="32" t="s">
        <v>1383</v>
      </c>
      <c r="D884" s="32" t="s">
        <v>184</v>
      </c>
      <c r="E884" s="32" t="s">
        <v>228</v>
      </c>
      <c r="F884" s="32" t="s">
        <v>215</v>
      </c>
      <c r="G884" s="32" t="s">
        <v>229</v>
      </c>
      <c r="H884" s="32" t="s">
        <v>244</v>
      </c>
    </row>
    <row r="885" ht="16.5" customHeight="1">
      <c r="A885" s="32">
        <v>881.0</v>
      </c>
      <c r="C885" s="32" t="s">
        <v>57</v>
      </c>
      <c r="D885" s="32" t="s">
        <v>184</v>
      </c>
      <c r="E885" s="32" t="s">
        <v>228</v>
      </c>
      <c r="F885" s="32" t="s">
        <v>215</v>
      </c>
      <c r="G885" s="32" t="s">
        <v>229</v>
      </c>
      <c r="H885" s="32" t="s">
        <v>244</v>
      </c>
    </row>
    <row r="886" ht="16.5" customHeight="1">
      <c r="A886" s="32">
        <v>882.0</v>
      </c>
      <c r="C886" s="32" t="s">
        <v>1384</v>
      </c>
      <c r="D886" s="32" t="s">
        <v>184</v>
      </c>
      <c r="E886" s="32" t="s">
        <v>228</v>
      </c>
      <c r="F886" s="32" t="s">
        <v>215</v>
      </c>
      <c r="G886" s="32" t="s">
        <v>229</v>
      </c>
      <c r="H886" s="32" t="s">
        <v>244</v>
      </c>
    </row>
    <row r="887" ht="16.5" customHeight="1">
      <c r="A887" s="32">
        <v>883.0</v>
      </c>
      <c r="C887" s="32" t="s">
        <v>1384</v>
      </c>
      <c r="D887" s="32" t="s">
        <v>184</v>
      </c>
      <c r="E887" s="32" t="s">
        <v>234</v>
      </c>
      <c r="F887" s="32" t="s">
        <v>215</v>
      </c>
    </row>
    <row r="888" ht="16.5" customHeight="1">
      <c r="A888" s="32">
        <v>884.0</v>
      </c>
      <c r="C888" s="32" t="s">
        <v>1385</v>
      </c>
      <c r="D888" s="32" t="s">
        <v>184</v>
      </c>
      <c r="E888" s="32" t="s">
        <v>192</v>
      </c>
      <c r="F888" s="32" t="s">
        <v>215</v>
      </c>
      <c r="G888" s="32" t="s">
        <v>329</v>
      </c>
      <c r="H888" s="32" t="s">
        <v>357</v>
      </c>
    </row>
    <row r="889" ht="16.5" customHeight="1">
      <c r="A889" s="32">
        <v>885.0</v>
      </c>
      <c r="C889" s="32" t="s">
        <v>1386</v>
      </c>
      <c r="D889" s="32" t="s">
        <v>184</v>
      </c>
      <c r="E889" s="32" t="s">
        <v>228</v>
      </c>
      <c r="F889" s="32" t="s">
        <v>215</v>
      </c>
      <c r="G889" s="32" t="s">
        <v>229</v>
      </c>
      <c r="H889" s="32" t="s">
        <v>244</v>
      </c>
    </row>
    <row r="890" ht="16.5" customHeight="1">
      <c r="A890" s="32">
        <v>886.0</v>
      </c>
      <c r="C890" s="32" t="s">
        <v>1387</v>
      </c>
      <c r="D890" s="32" t="s">
        <v>184</v>
      </c>
      <c r="E890" s="32" t="s">
        <v>285</v>
      </c>
      <c r="F890" s="32" t="s">
        <v>215</v>
      </c>
      <c r="G890" s="32" t="s">
        <v>189</v>
      </c>
      <c r="H890" s="32" t="s">
        <v>190</v>
      </c>
    </row>
    <row r="891" ht="16.5" customHeight="1">
      <c r="A891" s="32">
        <v>887.0</v>
      </c>
      <c r="C891" s="32" t="s">
        <v>1388</v>
      </c>
      <c r="D891" s="32" t="s">
        <v>184</v>
      </c>
      <c r="E891" s="32" t="s">
        <v>285</v>
      </c>
      <c r="F891" s="32" t="s">
        <v>215</v>
      </c>
      <c r="G891" s="32" t="s">
        <v>189</v>
      </c>
    </row>
    <row r="892" ht="16.5" customHeight="1">
      <c r="A892" s="32">
        <v>888.0</v>
      </c>
      <c r="C892" s="32" t="s">
        <v>1389</v>
      </c>
      <c r="D892" s="32" t="s">
        <v>184</v>
      </c>
      <c r="E892" s="35" t="s">
        <v>294</v>
      </c>
      <c r="F892" s="32" t="s">
        <v>215</v>
      </c>
      <c r="G892" s="32" t="s">
        <v>189</v>
      </c>
      <c r="H892" s="32" t="s">
        <v>190</v>
      </c>
    </row>
    <row r="893" ht="16.5" customHeight="1">
      <c r="A893" s="32">
        <v>889.0</v>
      </c>
      <c r="C893" s="32" t="s">
        <v>1390</v>
      </c>
      <c r="D893" s="32" t="s">
        <v>184</v>
      </c>
      <c r="E893" s="32" t="s">
        <v>254</v>
      </c>
      <c r="F893" s="32" t="s">
        <v>215</v>
      </c>
    </row>
    <row r="894" ht="16.5" customHeight="1">
      <c r="A894" s="32">
        <v>890.0</v>
      </c>
      <c r="C894" s="32" t="s">
        <v>1391</v>
      </c>
      <c r="D894" s="32" t="s">
        <v>184</v>
      </c>
      <c r="E894" s="32" t="s">
        <v>192</v>
      </c>
      <c r="F894" s="32" t="s">
        <v>215</v>
      </c>
    </row>
    <row r="895" ht="16.5" customHeight="1">
      <c r="A895" s="32">
        <v>891.0</v>
      </c>
      <c r="C895" s="32" t="s">
        <v>1392</v>
      </c>
      <c r="D895" s="32" t="s">
        <v>184</v>
      </c>
      <c r="E895" s="32" t="s">
        <v>254</v>
      </c>
      <c r="F895" s="32" t="s">
        <v>215</v>
      </c>
    </row>
    <row r="896" ht="16.5" customHeight="1">
      <c r="A896" s="32">
        <v>892.0</v>
      </c>
      <c r="C896" s="32" t="s">
        <v>1393</v>
      </c>
      <c r="D896" s="32" t="s">
        <v>184</v>
      </c>
      <c r="E896" s="32" t="s">
        <v>192</v>
      </c>
      <c r="F896" s="32" t="s">
        <v>215</v>
      </c>
    </row>
    <row r="897" ht="16.5" customHeight="1">
      <c r="A897" s="32">
        <v>893.0</v>
      </c>
      <c r="C897" s="32" t="s">
        <v>1394</v>
      </c>
      <c r="D897" s="32" t="s">
        <v>184</v>
      </c>
      <c r="E897" s="32" t="s">
        <v>214</v>
      </c>
      <c r="F897" s="32" t="s">
        <v>215</v>
      </c>
      <c r="G897" s="32" t="s">
        <v>216</v>
      </c>
      <c r="H897" s="32" t="s">
        <v>217</v>
      </c>
    </row>
    <row r="898" ht="16.5" customHeight="1">
      <c r="A898" s="32">
        <v>894.0</v>
      </c>
      <c r="C898" s="32" t="s">
        <v>213</v>
      </c>
      <c r="D898" s="32" t="s">
        <v>184</v>
      </c>
      <c r="E898" s="32" t="s">
        <v>214</v>
      </c>
      <c r="F898" s="32" t="s">
        <v>215</v>
      </c>
      <c r="G898" s="32" t="s">
        <v>216</v>
      </c>
      <c r="H898" s="32" t="s">
        <v>217</v>
      </c>
    </row>
    <row r="899" ht="16.5" customHeight="1">
      <c r="A899" s="32">
        <v>895.0</v>
      </c>
      <c r="C899" s="32" t="s">
        <v>1395</v>
      </c>
      <c r="D899" s="32" t="s">
        <v>184</v>
      </c>
      <c r="E899" s="32" t="s">
        <v>254</v>
      </c>
      <c r="F899" s="32" t="s">
        <v>215</v>
      </c>
      <c r="G899" s="32" t="s">
        <v>305</v>
      </c>
      <c r="H899" s="32" t="s">
        <v>600</v>
      </c>
    </row>
    <row r="900" ht="16.5" customHeight="1">
      <c r="A900" s="32">
        <v>896.0</v>
      </c>
      <c r="C900" s="32" t="s">
        <v>1396</v>
      </c>
      <c r="D900" s="32" t="s">
        <v>184</v>
      </c>
      <c r="E900" s="32" t="s">
        <v>254</v>
      </c>
      <c r="F900" s="32" t="s">
        <v>215</v>
      </c>
      <c r="G900" s="32" t="s">
        <v>305</v>
      </c>
      <c r="H900" s="32" t="s">
        <v>600</v>
      </c>
    </row>
    <row r="901" ht="16.5" customHeight="1">
      <c r="A901" s="32">
        <v>897.0</v>
      </c>
      <c r="C901" s="32" t="s">
        <v>1397</v>
      </c>
      <c r="D901" s="32" t="s">
        <v>184</v>
      </c>
      <c r="E901" s="32" t="s">
        <v>219</v>
      </c>
      <c r="F901" s="32" t="s">
        <v>215</v>
      </c>
      <c r="G901" s="32" t="s">
        <v>223</v>
      </c>
    </row>
    <row r="902" ht="16.5" customHeight="1">
      <c r="A902" s="32">
        <v>898.0</v>
      </c>
      <c r="C902" s="32" t="s">
        <v>1398</v>
      </c>
      <c r="D902" s="32" t="s">
        <v>184</v>
      </c>
      <c r="E902" s="32" t="s">
        <v>219</v>
      </c>
      <c r="F902" s="32" t="s">
        <v>215</v>
      </c>
      <c r="G902" s="32" t="s">
        <v>223</v>
      </c>
    </row>
    <row r="903" ht="16.5" customHeight="1">
      <c r="A903" s="32">
        <v>899.0</v>
      </c>
      <c r="C903" s="32" t="s">
        <v>1399</v>
      </c>
      <c r="D903" s="32" t="s">
        <v>184</v>
      </c>
      <c r="E903" s="32" t="s">
        <v>228</v>
      </c>
      <c r="F903" s="32" t="s">
        <v>215</v>
      </c>
    </row>
    <row r="904" ht="16.5" customHeight="1">
      <c r="A904" s="32">
        <v>900.0</v>
      </c>
      <c r="C904" s="32" t="s">
        <v>1400</v>
      </c>
      <c r="D904" s="32" t="s">
        <v>184</v>
      </c>
      <c r="E904" s="32" t="s">
        <v>192</v>
      </c>
      <c r="F904" s="32" t="s">
        <v>215</v>
      </c>
      <c r="G904" s="32" t="s">
        <v>329</v>
      </c>
      <c r="H904" s="32" t="s">
        <v>447</v>
      </c>
    </row>
    <row r="905" ht="16.5" customHeight="1">
      <c r="A905" s="32">
        <v>901.0</v>
      </c>
      <c r="C905" s="32" t="s">
        <v>1401</v>
      </c>
      <c r="D905" s="32" t="s">
        <v>184</v>
      </c>
      <c r="E905" s="32" t="s">
        <v>219</v>
      </c>
      <c r="F905" s="32" t="s">
        <v>215</v>
      </c>
      <c r="G905" s="32" t="s">
        <v>223</v>
      </c>
    </row>
    <row r="906" ht="16.5" customHeight="1">
      <c r="A906" s="32">
        <v>902.0</v>
      </c>
      <c r="C906" s="32" t="s">
        <v>1402</v>
      </c>
      <c r="D906" s="32" t="s">
        <v>184</v>
      </c>
      <c r="E906" s="32" t="s">
        <v>185</v>
      </c>
      <c r="F906" s="32" t="s">
        <v>215</v>
      </c>
    </row>
    <row r="907" ht="16.5" customHeight="1">
      <c r="A907" s="32">
        <v>903.0</v>
      </c>
      <c r="C907" s="32" t="s">
        <v>1403</v>
      </c>
      <c r="D907" s="32" t="s">
        <v>184</v>
      </c>
      <c r="E907" s="32" t="s">
        <v>185</v>
      </c>
      <c r="F907" s="32" t="s">
        <v>215</v>
      </c>
    </row>
    <row r="908" ht="16.5" customHeight="1">
      <c r="A908" s="32">
        <v>904.0</v>
      </c>
      <c r="C908" s="32" t="s">
        <v>1404</v>
      </c>
      <c r="D908" s="32" t="s">
        <v>184</v>
      </c>
      <c r="E908" s="32" t="s">
        <v>185</v>
      </c>
      <c r="F908" s="32" t="s">
        <v>215</v>
      </c>
      <c r="G908" s="32" t="s">
        <v>508</v>
      </c>
    </row>
    <row r="909" ht="16.5" customHeight="1">
      <c r="A909" s="32">
        <v>905.0</v>
      </c>
      <c r="C909" s="32" t="s">
        <v>1405</v>
      </c>
      <c r="D909" s="32" t="s">
        <v>184</v>
      </c>
      <c r="E909" s="32" t="s">
        <v>185</v>
      </c>
      <c r="F909" s="32" t="s">
        <v>215</v>
      </c>
      <c r="G909" s="32" t="s">
        <v>475</v>
      </c>
      <c r="H909" s="32" t="s">
        <v>476</v>
      </c>
    </row>
    <row r="910" ht="16.5" customHeight="1">
      <c r="A910" s="32">
        <v>906.0</v>
      </c>
      <c r="C910" s="32" t="s">
        <v>1406</v>
      </c>
      <c r="D910" s="32" t="s">
        <v>184</v>
      </c>
      <c r="E910" s="32" t="s">
        <v>285</v>
      </c>
      <c r="F910" s="32" t="s">
        <v>215</v>
      </c>
      <c r="G910" s="32" t="s">
        <v>1407</v>
      </c>
      <c r="H910" s="32" t="s">
        <v>1408</v>
      </c>
    </row>
    <row r="911" ht="16.5" customHeight="1">
      <c r="A911" s="32">
        <v>907.0</v>
      </c>
      <c r="C911" s="32" t="s">
        <v>1409</v>
      </c>
      <c r="D911" s="32" t="s">
        <v>184</v>
      </c>
      <c r="E911" s="32" t="s">
        <v>185</v>
      </c>
      <c r="F911" s="32" t="s">
        <v>215</v>
      </c>
      <c r="G911" s="32" t="s">
        <v>1410</v>
      </c>
      <c r="H911" s="32" t="s">
        <v>515</v>
      </c>
    </row>
    <row r="912" ht="16.5" customHeight="1">
      <c r="A912" s="32">
        <v>908.0</v>
      </c>
      <c r="C912" s="32" t="s">
        <v>1411</v>
      </c>
      <c r="D912" s="32" t="s">
        <v>184</v>
      </c>
      <c r="E912" s="32" t="s">
        <v>254</v>
      </c>
      <c r="F912" s="32" t="s">
        <v>215</v>
      </c>
      <c r="G912" s="32" t="s">
        <v>257</v>
      </c>
    </row>
    <row r="913" ht="16.5" customHeight="1">
      <c r="A913" s="32">
        <v>909.0</v>
      </c>
      <c r="C913" s="32" t="s">
        <v>1412</v>
      </c>
      <c r="D913" s="32" t="s">
        <v>184</v>
      </c>
      <c r="E913" s="32" t="s">
        <v>254</v>
      </c>
      <c r="F913" s="32" t="s">
        <v>215</v>
      </c>
    </row>
    <row r="914" ht="16.5" customHeight="1">
      <c r="A914" s="32">
        <v>910.0</v>
      </c>
      <c r="C914" s="32" t="s">
        <v>1413</v>
      </c>
      <c r="D914" s="32" t="s">
        <v>184</v>
      </c>
      <c r="E914" s="32" t="s">
        <v>234</v>
      </c>
      <c r="F914" s="32" t="s">
        <v>215</v>
      </c>
      <c r="G914" s="32" t="s">
        <v>415</v>
      </c>
      <c r="H914" s="32" t="s">
        <v>243</v>
      </c>
    </row>
    <row r="915" ht="16.5" customHeight="1">
      <c r="A915" s="32">
        <v>911.0</v>
      </c>
      <c r="C915" s="32" t="s">
        <v>1414</v>
      </c>
      <c r="D915" s="32" t="s">
        <v>184</v>
      </c>
      <c r="E915" s="32" t="s">
        <v>234</v>
      </c>
      <c r="F915" s="32" t="s">
        <v>215</v>
      </c>
      <c r="G915" s="32" t="s">
        <v>415</v>
      </c>
      <c r="H915" s="32" t="s">
        <v>243</v>
      </c>
    </row>
    <row r="916" ht="16.5" customHeight="1">
      <c r="A916" s="32">
        <v>912.0</v>
      </c>
      <c r="C916" s="32" t="s">
        <v>1415</v>
      </c>
      <c r="D916" s="32" t="s">
        <v>184</v>
      </c>
      <c r="E916" s="32" t="s">
        <v>192</v>
      </c>
      <c r="F916" s="32" t="s">
        <v>215</v>
      </c>
      <c r="G916" s="32" t="s">
        <v>329</v>
      </c>
      <c r="H916" s="32" t="s">
        <v>457</v>
      </c>
    </row>
    <row r="917" ht="16.5" customHeight="1">
      <c r="A917" s="32">
        <v>913.0</v>
      </c>
      <c r="C917" s="32" t="s">
        <v>1416</v>
      </c>
      <c r="D917" s="32" t="s">
        <v>184</v>
      </c>
      <c r="E917" s="32" t="s">
        <v>219</v>
      </c>
      <c r="F917" s="32" t="s">
        <v>215</v>
      </c>
    </row>
    <row r="918" ht="16.5" customHeight="1">
      <c r="A918" s="32">
        <v>914.0</v>
      </c>
      <c r="C918" s="32" t="s">
        <v>1417</v>
      </c>
      <c r="D918" s="32" t="s">
        <v>184</v>
      </c>
      <c r="E918" s="32" t="s">
        <v>219</v>
      </c>
      <c r="F918" s="32" t="s">
        <v>215</v>
      </c>
    </row>
    <row r="919" ht="16.5" customHeight="1">
      <c r="A919" s="32">
        <v>915.0</v>
      </c>
      <c r="C919" s="32" t="s">
        <v>1418</v>
      </c>
      <c r="D919" s="32" t="s">
        <v>184</v>
      </c>
      <c r="E919" s="32" t="s">
        <v>228</v>
      </c>
      <c r="F919" s="32" t="s">
        <v>215</v>
      </c>
      <c r="G919" s="32" t="s">
        <v>408</v>
      </c>
      <c r="H919" s="32" t="s">
        <v>731</v>
      </c>
    </row>
    <row r="920" ht="16.5" customHeight="1">
      <c r="A920" s="32">
        <v>916.0</v>
      </c>
      <c r="C920" s="32" t="s">
        <v>1419</v>
      </c>
      <c r="D920" s="32" t="s">
        <v>184</v>
      </c>
      <c r="E920" s="32" t="s">
        <v>234</v>
      </c>
      <c r="F920" s="32" t="s">
        <v>215</v>
      </c>
      <c r="G920" s="32" t="s">
        <v>415</v>
      </c>
      <c r="H920" s="32" t="s">
        <v>236</v>
      </c>
    </row>
    <row r="921" ht="16.5" customHeight="1">
      <c r="A921" s="32">
        <v>917.0</v>
      </c>
      <c r="C921" s="32" t="s">
        <v>1420</v>
      </c>
      <c r="D921" s="32" t="s">
        <v>184</v>
      </c>
      <c r="E921" s="32" t="s">
        <v>234</v>
      </c>
      <c r="F921" s="32" t="s">
        <v>215</v>
      </c>
      <c r="G921" s="32" t="s">
        <v>415</v>
      </c>
      <c r="H921" s="32" t="s">
        <v>236</v>
      </c>
    </row>
    <row r="922" ht="16.5" customHeight="1">
      <c r="A922" s="32">
        <v>918.0</v>
      </c>
      <c r="C922" s="32" t="s">
        <v>1421</v>
      </c>
      <c r="D922" s="32" t="s">
        <v>184</v>
      </c>
      <c r="E922" s="32" t="s">
        <v>234</v>
      </c>
      <c r="F922" s="32" t="s">
        <v>215</v>
      </c>
      <c r="G922" s="32" t="s">
        <v>415</v>
      </c>
      <c r="H922" s="32" t="s">
        <v>236</v>
      </c>
    </row>
    <row r="923" ht="16.5" customHeight="1">
      <c r="A923" s="32">
        <v>919.0</v>
      </c>
      <c r="C923" s="32" t="s">
        <v>1422</v>
      </c>
      <c r="D923" s="32" t="s">
        <v>184</v>
      </c>
      <c r="E923" s="32" t="s">
        <v>192</v>
      </c>
      <c r="F923" s="32" t="s">
        <v>215</v>
      </c>
      <c r="G923" s="32" t="s">
        <v>300</v>
      </c>
      <c r="H923" s="32" t="s">
        <v>1423</v>
      </c>
    </row>
    <row r="924" ht="16.5" customHeight="1">
      <c r="A924" s="32">
        <v>920.0</v>
      </c>
      <c r="C924" s="32" t="s">
        <v>1424</v>
      </c>
      <c r="D924" s="32" t="s">
        <v>184</v>
      </c>
      <c r="E924" s="32" t="s">
        <v>192</v>
      </c>
      <c r="F924" s="32" t="s">
        <v>215</v>
      </c>
      <c r="G924" s="32" t="s">
        <v>300</v>
      </c>
      <c r="H924" s="32" t="s">
        <v>1423</v>
      </c>
    </row>
    <row r="925" ht="16.5" customHeight="1">
      <c r="A925" s="32">
        <v>921.0</v>
      </c>
      <c r="C925" s="32" t="s">
        <v>1425</v>
      </c>
      <c r="D925" s="32" t="s">
        <v>184</v>
      </c>
      <c r="E925" s="32" t="s">
        <v>219</v>
      </c>
      <c r="F925" s="32" t="s">
        <v>215</v>
      </c>
    </row>
    <row r="926" ht="16.5" customHeight="1">
      <c r="A926" s="32">
        <v>922.0</v>
      </c>
      <c r="C926" s="32" t="s">
        <v>1426</v>
      </c>
      <c r="D926" s="32" t="s">
        <v>184</v>
      </c>
      <c r="E926" s="32" t="s">
        <v>219</v>
      </c>
      <c r="F926" s="32" t="s">
        <v>215</v>
      </c>
      <c r="G926" s="32" t="s">
        <v>223</v>
      </c>
    </row>
    <row r="927" ht="16.5" customHeight="1">
      <c r="A927" s="32">
        <v>923.0</v>
      </c>
      <c r="C927" s="32" t="s">
        <v>1427</v>
      </c>
      <c r="D927" s="32" t="s">
        <v>184</v>
      </c>
      <c r="E927" s="32" t="s">
        <v>219</v>
      </c>
      <c r="F927" s="32" t="s">
        <v>215</v>
      </c>
      <c r="G927" s="32" t="s">
        <v>223</v>
      </c>
    </row>
    <row r="928" ht="16.5" customHeight="1">
      <c r="A928" s="32">
        <v>924.0</v>
      </c>
      <c r="C928" s="32" t="s">
        <v>1428</v>
      </c>
      <c r="D928" s="32" t="s">
        <v>184</v>
      </c>
      <c r="E928" s="32" t="s">
        <v>254</v>
      </c>
      <c r="F928" s="32" t="s">
        <v>215</v>
      </c>
      <c r="G928" s="32" t="s">
        <v>257</v>
      </c>
      <c r="H928" s="32" t="s">
        <v>256</v>
      </c>
    </row>
    <row r="929" ht="16.5" customHeight="1">
      <c r="A929" s="32">
        <v>925.0</v>
      </c>
      <c r="C929" s="32" t="s">
        <v>1429</v>
      </c>
      <c r="D929" s="32" t="s">
        <v>184</v>
      </c>
      <c r="E929" s="32" t="s">
        <v>254</v>
      </c>
      <c r="F929" s="32" t="s">
        <v>215</v>
      </c>
    </row>
    <row r="930" ht="16.5" customHeight="1">
      <c r="A930" s="32">
        <v>926.0</v>
      </c>
      <c r="C930" s="32" t="s">
        <v>1430</v>
      </c>
      <c r="D930" s="32" t="s">
        <v>184</v>
      </c>
      <c r="E930" s="32" t="s">
        <v>219</v>
      </c>
      <c r="F930" s="32" t="s">
        <v>215</v>
      </c>
      <c r="G930" s="32" t="s">
        <v>223</v>
      </c>
    </row>
    <row r="931" ht="16.5" customHeight="1">
      <c r="A931" s="32">
        <v>927.0</v>
      </c>
      <c r="C931" s="32" t="s">
        <v>1431</v>
      </c>
      <c r="D931" s="32" t="s">
        <v>184</v>
      </c>
      <c r="E931" s="32" t="s">
        <v>219</v>
      </c>
      <c r="F931" s="32" t="s">
        <v>215</v>
      </c>
    </row>
    <row r="932" ht="16.5" customHeight="1">
      <c r="A932" s="32">
        <v>928.0</v>
      </c>
      <c r="C932" s="32" t="s">
        <v>1432</v>
      </c>
      <c r="D932" s="32" t="s">
        <v>184</v>
      </c>
      <c r="E932" s="32" t="s">
        <v>185</v>
      </c>
      <c r="F932" s="32" t="s">
        <v>215</v>
      </c>
    </row>
    <row r="933" ht="16.5" customHeight="1">
      <c r="A933" s="32">
        <v>929.0</v>
      </c>
      <c r="C933" s="32" t="s">
        <v>1433</v>
      </c>
      <c r="D933" s="32" t="s">
        <v>184</v>
      </c>
      <c r="E933" s="32" t="s">
        <v>219</v>
      </c>
      <c r="F933" s="32" t="s">
        <v>215</v>
      </c>
      <c r="G933" s="32" t="s">
        <v>223</v>
      </c>
    </row>
    <row r="934" ht="16.5" customHeight="1">
      <c r="A934" s="32">
        <v>930.0</v>
      </c>
      <c r="C934" s="32" t="s">
        <v>1279</v>
      </c>
      <c r="D934" s="32" t="s">
        <v>184</v>
      </c>
      <c r="E934" s="32" t="s">
        <v>254</v>
      </c>
      <c r="F934" s="32" t="s">
        <v>215</v>
      </c>
      <c r="G934" s="32" t="s">
        <v>256</v>
      </c>
      <c r="H934" s="32" t="s">
        <v>257</v>
      </c>
    </row>
    <row r="935" ht="16.5" customHeight="1">
      <c r="A935" s="32">
        <v>931.0</v>
      </c>
      <c r="C935" s="32" t="s">
        <v>1434</v>
      </c>
      <c r="D935" s="32" t="s">
        <v>184</v>
      </c>
      <c r="E935" s="32" t="s">
        <v>254</v>
      </c>
      <c r="F935" s="32" t="s">
        <v>215</v>
      </c>
      <c r="G935" s="32" t="s">
        <v>256</v>
      </c>
      <c r="H935" s="32" t="s">
        <v>257</v>
      </c>
    </row>
    <row r="936" ht="16.5" customHeight="1">
      <c r="A936" s="32">
        <v>932.0</v>
      </c>
      <c r="C936" s="32" t="s">
        <v>1435</v>
      </c>
      <c r="D936" s="32" t="s">
        <v>184</v>
      </c>
      <c r="E936" s="32" t="s">
        <v>254</v>
      </c>
      <c r="F936" s="32" t="s">
        <v>215</v>
      </c>
      <c r="G936" s="32" t="s">
        <v>305</v>
      </c>
      <c r="H936" s="32" t="s">
        <v>257</v>
      </c>
    </row>
    <row r="937" ht="16.5" customHeight="1">
      <c r="A937" s="32">
        <v>933.0</v>
      </c>
      <c r="C937" s="32" t="s">
        <v>1436</v>
      </c>
      <c r="D937" s="32" t="s">
        <v>184</v>
      </c>
      <c r="E937" s="32" t="s">
        <v>192</v>
      </c>
      <c r="F937" s="32" t="s">
        <v>215</v>
      </c>
    </row>
    <row r="938" ht="16.5" customHeight="1">
      <c r="A938" s="32">
        <v>934.0</v>
      </c>
      <c r="C938" s="32" t="s">
        <v>1437</v>
      </c>
      <c r="D938" s="32" t="s">
        <v>184</v>
      </c>
      <c r="E938" s="32" t="s">
        <v>192</v>
      </c>
      <c r="F938" s="32" t="s">
        <v>215</v>
      </c>
      <c r="G938" s="32" t="s">
        <v>300</v>
      </c>
      <c r="H938" s="32" t="s">
        <v>535</v>
      </c>
    </row>
    <row r="939" ht="16.5" customHeight="1">
      <c r="A939" s="32">
        <v>935.0</v>
      </c>
      <c r="C939" s="32" t="s">
        <v>1438</v>
      </c>
      <c r="D939" s="32" t="s">
        <v>184</v>
      </c>
      <c r="E939" s="32" t="s">
        <v>192</v>
      </c>
      <c r="F939" s="32" t="s">
        <v>215</v>
      </c>
    </row>
    <row r="940" ht="16.5" customHeight="1">
      <c r="A940" s="32">
        <v>936.0</v>
      </c>
      <c r="C940" s="32" t="s">
        <v>1439</v>
      </c>
      <c r="D940" s="32" t="s">
        <v>184</v>
      </c>
      <c r="E940" s="32" t="s">
        <v>219</v>
      </c>
      <c r="F940" s="32" t="s">
        <v>215</v>
      </c>
      <c r="G940" s="32" t="s">
        <v>241</v>
      </c>
      <c r="H940" s="32" t="s">
        <v>292</v>
      </c>
    </row>
    <row r="941" ht="16.5" customHeight="1">
      <c r="A941" s="32">
        <v>937.0</v>
      </c>
      <c r="C941" s="32" t="s">
        <v>1440</v>
      </c>
      <c r="D941" s="32" t="s">
        <v>184</v>
      </c>
      <c r="E941" s="32" t="s">
        <v>185</v>
      </c>
      <c r="F941" s="32" t="s">
        <v>215</v>
      </c>
      <c r="G941" s="32" t="s">
        <v>187</v>
      </c>
      <c r="H941" s="32" t="s">
        <v>188</v>
      </c>
    </row>
    <row r="942" ht="16.5" customHeight="1">
      <c r="A942" s="32">
        <v>938.0</v>
      </c>
      <c r="C942" s="32" t="s">
        <v>1441</v>
      </c>
      <c r="D942" s="32" t="s">
        <v>184</v>
      </c>
      <c r="E942" s="32" t="s">
        <v>228</v>
      </c>
      <c r="F942" s="32" t="s">
        <v>215</v>
      </c>
      <c r="G942" s="32" t="s">
        <v>408</v>
      </c>
      <c r="H942" s="32" t="s">
        <v>490</v>
      </c>
    </row>
    <row r="943" ht="16.5" customHeight="1">
      <c r="A943" s="32">
        <v>939.0</v>
      </c>
      <c r="C943" s="32" t="s">
        <v>1442</v>
      </c>
      <c r="D943" s="32" t="s">
        <v>184</v>
      </c>
      <c r="E943" s="32" t="s">
        <v>192</v>
      </c>
      <c r="F943" s="32" t="s">
        <v>215</v>
      </c>
    </row>
    <row r="944" ht="16.5" customHeight="1">
      <c r="A944" s="32">
        <v>940.0</v>
      </c>
      <c r="C944" s="32" t="s">
        <v>1443</v>
      </c>
      <c r="D944" s="32" t="s">
        <v>184</v>
      </c>
      <c r="E944" s="32" t="s">
        <v>228</v>
      </c>
      <c r="F944" s="32" t="s">
        <v>215</v>
      </c>
      <c r="G944" s="32" t="s">
        <v>243</v>
      </c>
      <c r="H944" s="32" t="s">
        <v>1444</v>
      </c>
    </row>
    <row r="945" ht="16.5" customHeight="1">
      <c r="A945" s="32">
        <v>941.0</v>
      </c>
      <c r="C945" s="32" t="s">
        <v>1445</v>
      </c>
      <c r="D945" s="32" t="s">
        <v>184</v>
      </c>
      <c r="E945" s="32" t="s">
        <v>192</v>
      </c>
      <c r="F945" s="32" t="s">
        <v>215</v>
      </c>
    </row>
    <row r="946" ht="16.5" customHeight="1">
      <c r="A946" s="32">
        <v>942.0</v>
      </c>
      <c r="C946" s="32" t="s">
        <v>1446</v>
      </c>
      <c r="D946" s="32" t="s">
        <v>184</v>
      </c>
      <c r="E946" s="32" t="s">
        <v>219</v>
      </c>
      <c r="F946" s="32" t="s">
        <v>215</v>
      </c>
      <c r="G946" s="32" t="s">
        <v>223</v>
      </c>
    </row>
    <row r="947" ht="16.5" customHeight="1">
      <c r="A947" s="32">
        <v>943.0</v>
      </c>
      <c r="C947" s="32" t="s">
        <v>1447</v>
      </c>
      <c r="D947" s="32" t="s">
        <v>184</v>
      </c>
      <c r="E947" s="32" t="s">
        <v>219</v>
      </c>
      <c r="F947" s="32" t="s">
        <v>215</v>
      </c>
      <c r="G947" s="32" t="s">
        <v>223</v>
      </c>
    </row>
    <row r="948" ht="16.5" customHeight="1">
      <c r="A948" s="32">
        <v>944.0</v>
      </c>
      <c r="C948" s="32" t="s">
        <v>1448</v>
      </c>
      <c r="D948" s="32" t="s">
        <v>184</v>
      </c>
      <c r="E948" s="32" t="s">
        <v>192</v>
      </c>
      <c r="F948" s="32" t="s">
        <v>215</v>
      </c>
      <c r="G948" s="32" t="s">
        <v>300</v>
      </c>
      <c r="H948" s="32" t="s">
        <v>1449</v>
      </c>
    </row>
    <row r="949" ht="16.5" customHeight="1">
      <c r="A949" s="32">
        <v>945.0</v>
      </c>
      <c r="C949" s="32" t="s">
        <v>1450</v>
      </c>
      <c r="D949" s="32" t="s">
        <v>184</v>
      </c>
      <c r="E949" s="32" t="s">
        <v>285</v>
      </c>
      <c r="F949" s="32" t="s">
        <v>215</v>
      </c>
      <c r="G949" s="32" t="s">
        <v>295</v>
      </c>
    </row>
    <row r="950" ht="16.5" customHeight="1">
      <c r="A950" s="32">
        <v>946.0</v>
      </c>
      <c r="C950" s="32" t="s">
        <v>1451</v>
      </c>
      <c r="D950" s="32" t="s">
        <v>184</v>
      </c>
      <c r="E950" s="32" t="s">
        <v>285</v>
      </c>
      <c r="F950" s="32" t="s">
        <v>215</v>
      </c>
      <c r="G950" s="32" t="s">
        <v>295</v>
      </c>
    </row>
    <row r="951" ht="16.5" customHeight="1">
      <c r="A951" s="32">
        <v>947.0</v>
      </c>
      <c r="C951" s="32" t="s">
        <v>1452</v>
      </c>
      <c r="D951" s="32" t="s">
        <v>184</v>
      </c>
      <c r="E951" s="32" t="s">
        <v>192</v>
      </c>
      <c r="F951" s="32" t="s">
        <v>215</v>
      </c>
      <c r="G951" s="32" t="s">
        <v>300</v>
      </c>
      <c r="H951" s="32" t="s">
        <v>1357</v>
      </c>
    </row>
    <row r="952" ht="16.5" customHeight="1">
      <c r="A952" s="32">
        <v>948.0</v>
      </c>
      <c r="C952" s="32" t="s">
        <v>1453</v>
      </c>
      <c r="D952" s="32" t="s">
        <v>184</v>
      </c>
      <c r="E952" s="32" t="s">
        <v>192</v>
      </c>
      <c r="F952" s="32" t="s">
        <v>215</v>
      </c>
      <c r="G952" s="32" t="s">
        <v>300</v>
      </c>
      <c r="H952" s="32" t="s">
        <v>1357</v>
      </c>
    </row>
    <row r="953" ht="16.5" customHeight="1">
      <c r="A953" s="32">
        <v>949.0</v>
      </c>
      <c r="C953" s="32" t="s">
        <v>54</v>
      </c>
      <c r="D953" s="32" t="s">
        <v>184</v>
      </c>
      <c r="E953" s="32" t="s">
        <v>228</v>
      </c>
      <c r="F953" s="32" t="s">
        <v>215</v>
      </c>
      <c r="G953" s="32" t="s">
        <v>544</v>
      </c>
      <c r="H953" s="32" t="s">
        <v>545</v>
      </c>
    </row>
    <row r="954" ht="16.5" customHeight="1">
      <c r="A954" s="32">
        <v>950.0</v>
      </c>
      <c r="C954" s="32" t="s">
        <v>1454</v>
      </c>
      <c r="D954" s="32" t="s">
        <v>184</v>
      </c>
      <c r="E954" s="32" t="s">
        <v>228</v>
      </c>
      <c r="F954" s="32" t="s">
        <v>215</v>
      </c>
      <c r="G954" s="32" t="s">
        <v>544</v>
      </c>
      <c r="H954" s="32" t="s">
        <v>545</v>
      </c>
    </row>
    <row r="955" ht="16.5" customHeight="1">
      <c r="A955" s="32">
        <v>951.0</v>
      </c>
      <c r="C955" s="32" t="s">
        <v>1455</v>
      </c>
      <c r="D955" s="32" t="s">
        <v>184</v>
      </c>
      <c r="E955" s="32" t="s">
        <v>228</v>
      </c>
      <c r="F955" s="32" t="s">
        <v>215</v>
      </c>
    </row>
    <row r="956" ht="16.5" customHeight="1">
      <c r="A956" s="32">
        <v>952.0</v>
      </c>
      <c r="C956" s="32" t="s">
        <v>1456</v>
      </c>
      <c r="D956" s="32" t="s">
        <v>184</v>
      </c>
      <c r="E956" s="32" t="s">
        <v>234</v>
      </c>
      <c r="F956" s="32" t="s">
        <v>215</v>
      </c>
    </row>
    <row r="957" ht="16.5" customHeight="1">
      <c r="A957" s="32">
        <v>953.0</v>
      </c>
      <c r="C957" s="32" t="s">
        <v>1457</v>
      </c>
      <c r="D957" s="32" t="s">
        <v>184</v>
      </c>
      <c r="E957" s="32" t="s">
        <v>234</v>
      </c>
      <c r="F957" s="32" t="s">
        <v>215</v>
      </c>
      <c r="G957" s="32" t="s">
        <v>415</v>
      </c>
      <c r="H957" s="32" t="s">
        <v>236</v>
      </c>
    </row>
    <row r="958" ht="16.5" customHeight="1">
      <c r="A958" s="32">
        <v>954.0</v>
      </c>
      <c r="C958" s="32" t="s">
        <v>1458</v>
      </c>
      <c r="D958" s="32" t="s">
        <v>184</v>
      </c>
      <c r="E958" s="32" t="s">
        <v>234</v>
      </c>
      <c r="F958" s="32" t="s">
        <v>215</v>
      </c>
      <c r="G958" s="32" t="s">
        <v>347</v>
      </c>
      <c r="H958" s="32" t="s">
        <v>420</v>
      </c>
    </row>
    <row r="959" ht="16.5" customHeight="1">
      <c r="A959" s="32">
        <v>955.0</v>
      </c>
      <c r="C959" s="32" t="s">
        <v>1459</v>
      </c>
      <c r="D959" s="32" t="s">
        <v>184</v>
      </c>
      <c r="E959" s="32" t="s">
        <v>192</v>
      </c>
      <c r="F959" s="32" t="s">
        <v>215</v>
      </c>
    </row>
    <row r="960" ht="16.5" customHeight="1">
      <c r="A960" s="32">
        <v>956.0</v>
      </c>
      <c r="C960" s="32" t="s">
        <v>1460</v>
      </c>
      <c r="D960" s="32" t="s">
        <v>184</v>
      </c>
      <c r="E960" s="32" t="s">
        <v>192</v>
      </c>
      <c r="F960" s="32" t="s">
        <v>215</v>
      </c>
      <c r="G960" s="32" t="s">
        <v>329</v>
      </c>
      <c r="H960" s="32" t="s">
        <v>457</v>
      </c>
    </row>
    <row r="961" ht="16.5" customHeight="1">
      <c r="A961" s="32">
        <v>957.0</v>
      </c>
      <c r="C961" s="32" t="s">
        <v>1461</v>
      </c>
      <c r="D961" s="32" t="s">
        <v>184</v>
      </c>
      <c r="E961" s="32" t="s">
        <v>192</v>
      </c>
      <c r="F961" s="32" t="s">
        <v>215</v>
      </c>
      <c r="G961" s="32" t="s">
        <v>329</v>
      </c>
      <c r="H961" s="32" t="s">
        <v>447</v>
      </c>
    </row>
    <row r="962" ht="16.5" customHeight="1">
      <c r="A962" s="32">
        <v>958.0</v>
      </c>
      <c r="C962" s="32" t="s">
        <v>1462</v>
      </c>
      <c r="D962" s="32" t="s">
        <v>184</v>
      </c>
      <c r="E962" s="32" t="s">
        <v>285</v>
      </c>
      <c r="F962" s="32" t="s">
        <v>215</v>
      </c>
      <c r="G962" s="32" t="s">
        <v>189</v>
      </c>
    </row>
    <row r="963" ht="16.5" customHeight="1">
      <c r="A963" s="32">
        <v>959.0</v>
      </c>
      <c r="C963" s="32" t="s">
        <v>1463</v>
      </c>
      <c r="D963" s="32" t="s">
        <v>184</v>
      </c>
      <c r="E963" s="32" t="s">
        <v>219</v>
      </c>
      <c r="F963" s="32" t="s">
        <v>215</v>
      </c>
      <c r="G963" s="32" t="s">
        <v>241</v>
      </c>
      <c r="H963" s="32" t="s">
        <v>292</v>
      </c>
    </row>
    <row r="964" ht="16.5" customHeight="1">
      <c r="A964" s="32">
        <v>960.0</v>
      </c>
      <c r="C964" s="32" t="s">
        <v>1464</v>
      </c>
      <c r="D964" s="32" t="s">
        <v>184</v>
      </c>
      <c r="E964" s="32" t="s">
        <v>219</v>
      </c>
      <c r="F964" s="32" t="s">
        <v>215</v>
      </c>
    </row>
    <row r="965" ht="16.5" customHeight="1">
      <c r="A965" s="32">
        <v>961.0</v>
      </c>
      <c r="C965" s="32" t="s">
        <v>1465</v>
      </c>
      <c r="D965" s="32" t="s">
        <v>184</v>
      </c>
      <c r="E965" s="32" t="s">
        <v>219</v>
      </c>
      <c r="F965" s="32" t="s">
        <v>215</v>
      </c>
      <c r="G965" s="32" t="s">
        <v>241</v>
      </c>
      <c r="H965" s="32" t="s">
        <v>292</v>
      </c>
    </row>
    <row r="966" ht="16.5" customHeight="1">
      <c r="A966" s="32">
        <v>962.0</v>
      </c>
      <c r="C966" s="32" t="s">
        <v>1466</v>
      </c>
      <c r="D966" s="32" t="s">
        <v>184</v>
      </c>
      <c r="E966" s="32" t="s">
        <v>219</v>
      </c>
      <c r="F966" s="32" t="s">
        <v>215</v>
      </c>
      <c r="G966" s="32" t="s">
        <v>223</v>
      </c>
      <c r="H966" s="32" t="s">
        <v>472</v>
      </c>
    </row>
    <row r="967" ht="16.5" customHeight="1">
      <c r="A967" s="32">
        <v>963.0</v>
      </c>
      <c r="C967" s="32" t="s">
        <v>1467</v>
      </c>
      <c r="D967" s="32" t="s">
        <v>184</v>
      </c>
      <c r="E967" s="32" t="s">
        <v>219</v>
      </c>
      <c r="F967" s="32" t="s">
        <v>215</v>
      </c>
      <c r="G967" s="32" t="s">
        <v>241</v>
      </c>
      <c r="H967" s="32" t="s">
        <v>292</v>
      </c>
    </row>
    <row r="968" ht="16.5" customHeight="1">
      <c r="A968" s="32">
        <v>964.0</v>
      </c>
      <c r="C968" s="32" t="s">
        <v>1467</v>
      </c>
      <c r="D968" s="32" t="s">
        <v>184</v>
      </c>
      <c r="E968" s="32" t="s">
        <v>219</v>
      </c>
      <c r="F968" s="32" t="s">
        <v>215</v>
      </c>
      <c r="G968" s="32" t="s">
        <v>241</v>
      </c>
      <c r="H968" s="32" t="s">
        <v>292</v>
      </c>
    </row>
    <row r="969" ht="16.5" customHeight="1">
      <c r="A969" s="32">
        <v>965.0</v>
      </c>
      <c r="C969" s="32" t="s">
        <v>1468</v>
      </c>
      <c r="D969" s="32" t="s">
        <v>184</v>
      </c>
      <c r="E969" s="32" t="s">
        <v>228</v>
      </c>
      <c r="F969" s="32" t="s">
        <v>215</v>
      </c>
      <c r="G969" s="32" t="s">
        <v>544</v>
      </c>
      <c r="H969" s="32" t="s">
        <v>545</v>
      </c>
    </row>
    <row r="970" ht="16.5" customHeight="1">
      <c r="A970" s="32">
        <v>966.0</v>
      </c>
      <c r="C970" s="32" t="s">
        <v>1469</v>
      </c>
      <c r="D970" s="32" t="s">
        <v>184</v>
      </c>
      <c r="E970" s="32" t="s">
        <v>219</v>
      </c>
      <c r="F970" s="32" t="s">
        <v>215</v>
      </c>
      <c r="G970" s="32" t="s">
        <v>241</v>
      </c>
      <c r="H970" s="32" t="s">
        <v>292</v>
      </c>
    </row>
    <row r="971" ht="16.5" customHeight="1">
      <c r="A971" s="32">
        <v>967.0</v>
      </c>
      <c r="C971" s="32" t="s">
        <v>1470</v>
      </c>
      <c r="D971" s="32" t="s">
        <v>184</v>
      </c>
      <c r="E971" s="32" t="s">
        <v>192</v>
      </c>
      <c r="F971" s="32" t="s">
        <v>215</v>
      </c>
      <c r="G971" s="32" t="s">
        <v>300</v>
      </c>
      <c r="H971" s="32" t="s">
        <v>781</v>
      </c>
    </row>
    <row r="972" ht="16.5" customHeight="1">
      <c r="A972" s="32">
        <v>968.0</v>
      </c>
      <c r="C972" s="32" t="s">
        <v>1471</v>
      </c>
      <c r="D972" s="32" t="s">
        <v>184</v>
      </c>
      <c r="E972" s="32" t="s">
        <v>192</v>
      </c>
      <c r="F972" s="32" t="s">
        <v>215</v>
      </c>
    </row>
    <row r="973" ht="16.5" customHeight="1">
      <c r="A973" s="32">
        <v>969.0</v>
      </c>
      <c r="C973" s="32" t="s">
        <v>1472</v>
      </c>
      <c r="D973" s="32" t="s">
        <v>184</v>
      </c>
      <c r="E973" s="32" t="s">
        <v>234</v>
      </c>
      <c r="F973" s="32" t="s">
        <v>215</v>
      </c>
      <c r="G973" s="32" t="s">
        <v>235</v>
      </c>
      <c r="H973" s="32" t="s">
        <v>236</v>
      </c>
    </row>
    <row r="974" ht="16.5" customHeight="1">
      <c r="A974" s="32">
        <v>970.0</v>
      </c>
      <c r="C974" s="32" t="s">
        <v>1473</v>
      </c>
      <c r="D974" s="32" t="s">
        <v>184</v>
      </c>
      <c r="E974" s="32" t="s">
        <v>234</v>
      </c>
      <c r="F974" s="32" t="s">
        <v>215</v>
      </c>
      <c r="G974" s="32" t="s">
        <v>235</v>
      </c>
      <c r="H974" s="32" t="s">
        <v>236</v>
      </c>
    </row>
    <row r="975" ht="16.5" customHeight="1">
      <c r="A975" s="32">
        <v>971.0</v>
      </c>
      <c r="C975" s="32" t="s">
        <v>1474</v>
      </c>
      <c r="D975" s="32" t="s">
        <v>184</v>
      </c>
      <c r="E975" s="32" t="s">
        <v>228</v>
      </c>
      <c r="F975" s="32" t="s">
        <v>215</v>
      </c>
    </row>
    <row r="976" ht="16.5" customHeight="1">
      <c r="A976" s="32">
        <v>972.0</v>
      </c>
      <c r="C976" s="32" t="s">
        <v>1475</v>
      </c>
      <c r="D976" s="32" t="s">
        <v>184</v>
      </c>
      <c r="E976" s="32" t="s">
        <v>254</v>
      </c>
      <c r="F976" s="32" t="s">
        <v>215</v>
      </c>
    </row>
    <row r="977" ht="16.5" customHeight="1">
      <c r="A977" s="32">
        <v>973.0</v>
      </c>
      <c r="C977" s="32" t="s">
        <v>1476</v>
      </c>
      <c r="D977" s="32" t="s">
        <v>184</v>
      </c>
      <c r="E977" s="32" t="s">
        <v>219</v>
      </c>
      <c r="F977" s="32" t="s">
        <v>215</v>
      </c>
    </row>
    <row r="978" ht="16.5" customHeight="1">
      <c r="A978" s="32">
        <v>974.0</v>
      </c>
      <c r="C978" s="32" t="s">
        <v>1477</v>
      </c>
      <c r="D978" s="32" t="s">
        <v>184</v>
      </c>
      <c r="E978" s="32" t="s">
        <v>192</v>
      </c>
      <c r="F978" s="32" t="s">
        <v>215</v>
      </c>
    </row>
    <row r="979" ht="16.5" customHeight="1">
      <c r="A979" s="32">
        <v>975.0</v>
      </c>
      <c r="C979" s="32" t="s">
        <v>1478</v>
      </c>
      <c r="D979" s="32" t="s">
        <v>184</v>
      </c>
      <c r="E979" s="32" t="s">
        <v>219</v>
      </c>
      <c r="F979" s="32" t="s">
        <v>215</v>
      </c>
      <c r="G979" s="32" t="s">
        <v>223</v>
      </c>
    </row>
    <row r="980" ht="16.5" customHeight="1">
      <c r="A980" s="32">
        <v>976.0</v>
      </c>
      <c r="C980" s="32" t="s">
        <v>1479</v>
      </c>
      <c r="D980" s="32" t="s">
        <v>184</v>
      </c>
      <c r="E980" s="32" t="s">
        <v>219</v>
      </c>
      <c r="F980" s="32" t="s">
        <v>215</v>
      </c>
      <c r="G980" s="32" t="s">
        <v>223</v>
      </c>
    </row>
    <row r="981" ht="16.5" customHeight="1">
      <c r="A981" s="32">
        <v>977.0</v>
      </c>
      <c r="C981" s="32" t="s">
        <v>1480</v>
      </c>
      <c r="D981" s="32" t="s">
        <v>184</v>
      </c>
      <c r="E981" s="32" t="s">
        <v>219</v>
      </c>
      <c r="F981" s="32" t="s">
        <v>215</v>
      </c>
      <c r="G981" s="32" t="s">
        <v>223</v>
      </c>
    </row>
    <row r="982" ht="16.5" customHeight="1">
      <c r="A982" s="32">
        <v>978.0</v>
      </c>
      <c r="C982" s="32" t="s">
        <v>1481</v>
      </c>
      <c r="D982" s="32" t="s">
        <v>184</v>
      </c>
      <c r="E982" s="32" t="s">
        <v>219</v>
      </c>
      <c r="F982" s="32" t="s">
        <v>215</v>
      </c>
      <c r="G982" s="32" t="s">
        <v>223</v>
      </c>
    </row>
    <row r="983" ht="16.5" customHeight="1">
      <c r="A983" s="32">
        <v>979.0</v>
      </c>
      <c r="C983" s="32" t="s">
        <v>1482</v>
      </c>
      <c r="D983" s="32" t="s">
        <v>184</v>
      </c>
      <c r="E983" s="32" t="s">
        <v>219</v>
      </c>
      <c r="F983" s="32" t="s">
        <v>215</v>
      </c>
      <c r="G983" s="32" t="s">
        <v>223</v>
      </c>
    </row>
    <row r="984" ht="16.5" customHeight="1">
      <c r="A984" s="32">
        <v>980.0</v>
      </c>
      <c r="C984" s="32" t="s">
        <v>1483</v>
      </c>
      <c r="D984" s="32" t="s">
        <v>184</v>
      </c>
      <c r="E984" s="32" t="s">
        <v>228</v>
      </c>
      <c r="F984" s="32" t="s">
        <v>215</v>
      </c>
    </row>
    <row r="985" ht="16.5" customHeight="1">
      <c r="A985" s="32">
        <v>981.0</v>
      </c>
      <c r="C985" s="32" t="s">
        <v>1484</v>
      </c>
      <c r="D985" s="32" t="s">
        <v>184</v>
      </c>
      <c r="E985" s="32" t="s">
        <v>185</v>
      </c>
      <c r="F985" s="32" t="s">
        <v>215</v>
      </c>
    </row>
    <row r="986" ht="16.5" customHeight="1">
      <c r="A986" s="32">
        <v>982.0</v>
      </c>
      <c r="C986" s="32" t="s">
        <v>1485</v>
      </c>
      <c r="D986" s="32" t="s">
        <v>184</v>
      </c>
      <c r="E986" s="32" t="s">
        <v>234</v>
      </c>
      <c r="F986" s="32" t="s">
        <v>215</v>
      </c>
      <c r="G986" s="32" t="s">
        <v>347</v>
      </c>
      <c r="H986" s="32" t="s">
        <v>568</v>
      </c>
    </row>
    <row r="987" ht="16.5" customHeight="1">
      <c r="A987" s="32">
        <v>983.0</v>
      </c>
      <c r="C987" s="32" t="s">
        <v>1486</v>
      </c>
      <c r="D987" s="32" t="s">
        <v>184</v>
      </c>
      <c r="E987" s="32" t="s">
        <v>234</v>
      </c>
      <c r="F987" s="32" t="s">
        <v>215</v>
      </c>
    </row>
    <row r="988" ht="16.5" customHeight="1">
      <c r="A988" s="32">
        <v>984.0</v>
      </c>
      <c r="C988" s="32" t="s">
        <v>1487</v>
      </c>
      <c r="D988" s="32" t="s">
        <v>184</v>
      </c>
      <c r="E988" s="32" t="s">
        <v>185</v>
      </c>
      <c r="F988" s="32" t="s">
        <v>215</v>
      </c>
      <c r="G988" s="32" t="s">
        <v>189</v>
      </c>
      <c r="H988" s="32" t="s">
        <v>190</v>
      </c>
    </row>
    <row r="989" ht="16.5" customHeight="1">
      <c r="A989" s="32">
        <v>985.0</v>
      </c>
      <c r="C989" s="32" t="s">
        <v>1488</v>
      </c>
      <c r="D989" s="32" t="s">
        <v>184</v>
      </c>
      <c r="E989" s="32" t="s">
        <v>219</v>
      </c>
      <c r="F989" s="32" t="s">
        <v>215</v>
      </c>
      <c r="G989" s="32" t="s">
        <v>223</v>
      </c>
    </row>
    <row r="990" ht="16.5" customHeight="1">
      <c r="A990" s="32">
        <v>986.0</v>
      </c>
      <c r="C990" s="32" t="s">
        <v>1489</v>
      </c>
      <c r="D990" s="32" t="s">
        <v>184</v>
      </c>
      <c r="E990" s="32" t="s">
        <v>192</v>
      </c>
      <c r="F990" s="32" t="s">
        <v>215</v>
      </c>
      <c r="G990" s="32" t="s">
        <v>329</v>
      </c>
      <c r="H990" s="32" t="s">
        <v>457</v>
      </c>
    </row>
    <row r="991" ht="16.5" customHeight="1">
      <c r="A991" s="32">
        <v>987.0</v>
      </c>
      <c r="C991" s="32" t="s">
        <v>1490</v>
      </c>
      <c r="D991" s="32" t="s">
        <v>184</v>
      </c>
      <c r="E991" s="32" t="s">
        <v>219</v>
      </c>
      <c r="F991" s="32" t="s">
        <v>215</v>
      </c>
      <c r="G991" s="32" t="s">
        <v>241</v>
      </c>
      <c r="H991" s="32" t="s">
        <v>292</v>
      </c>
    </row>
    <row r="992" ht="16.5" customHeight="1">
      <c r="A992" s="32">
        <v>988.0</v>
      </c>
      <c r="C992" s="32" t="s">
        <v>1491</v>
      </c>
      <c r="D992" s="32" t="s">
        <v>184</v>
      </c>
      <c r="E992" s="32" t="s">
        <v>219</v>
      </c>
      <c r="F992" s="32" t="s">
        <v>215</v>
      </c>
      <c r="G992" s="32" t="s">
        <v>241</v>
      </c>
      <c r="H992" s="32" t="s">
        <v>292</v>
      </c>
    </row>
    <row r="993" ht="16.5" customHeight="1">
      <c r="A993" s="32">
        <v>989.0</v>
      </c>
      <c r="C993" s="32" t="s">
        <v>1492</v>
      </c>
      <c r="D993" s="32" t="s">
        <v>184</v>
      </c>
      <c r="E993" s="32" t="s">
        <v>219</v>
      </c>
      <c r="F993" s="32" t="s">
        <v>215</v>
      </c>
      <c r="G993" s="32" t="s">
        <v>241</v>
      </c>
      <c r="H993" s="32" t="s">
        <v>292</v>
      </c>
    </row>
    <row r="994" ht="16.5" customHeight="1">
      <c r="A994" s="32">
        <v>990.0</v>
      </c>
      <c r="C994" s="32" t="s">
        <v>1493</v>
      </c>
      <c r="D994" s="32" t="s">
        <v>184</v>
      </c>
      <c r="E994" s="32" t="s">
        <v>219</v>
      </c>
      <c r="F994" s="32" t="s">
        <v>215</v>
      </c>
      <c r="G994" s="32" t="s">
        <v>241</v>
      </c>
      <c r="H994" s="32" t="s">
        <v>292</v>
      </c>
    </row>
    <row r="995" ht="16.5" customHeight="1">
      <c r="A995" s="32">
        <v>991.0</v>
      </c>
      <c r="C995" s="32" t="s">
        <v>823</v>
      </c>
      <c r="D995" s="32" t="s">
        <v>184</v>
      </c>
      <c r="E995" s="32" t="s">
        <v>234</v>
      </c>
      <c r="F995" s="32" t="s">
        <v>215</v>
      </c>
      <c r="G995" s="32" t="s">
        <v>347</v>
      </c>
      <c r="H995" s="32" t="s">
        <v>420</v>
      </c>
    </row>
    <row r="996" ht="16.5" customHeight="1">
      <c r="A996" s="32">
        <v>992.0</v>
      </c>
      <c r="C996" s="32" t="s">
        <v>823</v>
      </c>
      <c r="D996" s="32" t="s">
        <v>184</v>
      </c>
      <c r="E996" s="32" t="s">
        <v>234</v>
      </c>
      <c r="F996" s="32" t="s">
        <v>215</v>
      </c>
      <c r="G996" s="32" t="s">
        <v>347</v>
      </c>
      <c r="H996" s="32" t="s">
        <v>420</v>
      </c>
    </row>
    <row r="997" ht="16.5" customHeight="1">
      <c r="A997" s="32">
        <v>993.0</v>
      </c>
      <c r="C997" s="32" t="s">
        <v>1494</v>
      </c>
      <c r="D997" s="32" t="s">
        <v>184</v>
      </c>
      <c r="E997" s="32" t="s">
        <v>228</v>
      </c>
      <c r="F997" s="32" t="s">
        <v>215</v>
      </c>
      <c r="G997" s="32" t="s">
        <v>229</v>
      </c>
      <c r="H997" s="32" t="s">
        <v>244</v>
      </c>
    </row>
    <row r="998" ht="16.5" customHeight="1">
      <c r="A998" s="32">
        <v>994.0</v>
      </c>
      <c r="C998" s="32" t="s">
        <v>1495</v>
      </c>
      <c r="D998" s="32" t="s">
        <v>184</v>
      </c>
      <c r="E998" s="32" t="s">
        <v>219</v>
      </c>
      <c r="F998" s="32" t="s">
        <v>215</v>
      </c>
      <c r="G998" s="32" t="s">
        <v>223</v>
      </c>
    </row>
    <row r="999" ht="16.5" customHeight="1">
      <c r="A999" s="32">
        <v>995.0</v>
      </c>
      <c r="C999" s="32" t="s">
        <v>823</v>
      </c>
      <c r="D999" s="32" t="s">
        <v>184</v>
      </c>
      <c r="E999" s="32" t="s">
        <v>234</v>
      </c>
      <c r="F999" s="32" t="s">
        <v>215</v>
      </c>
      <c r="G999" s="32" t="s">
        <v>415</v>
      </c>
      <c r="H999" s="32" t="s">
        <v>236</v>
      </c>
    </row>
    <row r="1000" ht="16.5" customHeight="1">
      <c r="A1000" s="32">
        <v>996.0</v>
      </c>
      <c r="C1000" s="32" t="s">
        <v>823</v>
      </c>
      <c r="D1000" s="32" t="s">
        <v>184</v>
      </c>
      <c r="E1000" s="32" t="s">
        <v>234</v>
      </c>
      <c r="F1000" s="32" t="s">
        <v>215</v>
      </c>
      <c r="G1000" s="32" t="s">
        <v>415</v>
      </c>
      <c r="H1000" s="32" t="s">
        <v>243</v>
      </c>
    </row>
    <row r="1001" ht="16.5" customHeight="1">
      <c r="A1001" s="32">
        <v>997.0</v>
      </c>
      <c r="C1001" s="32" t="s">
        <v>823</v>
      </c>
      <c r="D1001" s="32" t="s">
        <v>184</v>
      </c>
      <c r="E1001" s="32" t="s">
        <v>234</v>
      </c>
      <c r="F1001" s="32" t="s">
        <v>215</v>
      </c>
      <c r="G1001" s="32" t="s">
        <v>415</v>
      </c>
      <c r="H1001" s="32" t="s">
        <v>243</v>
      </c>
    </row>
    <row r="1002" ht="16.5" customHeight="1">
      <c r="A1002" s="32">
        <v>998.0</v>
      </c>
      <c r="C1002" s="32" t="s">
        <v>1496</v>
      </c>
      <c r="D1002" s="32" t="s">
        <v>184</v>
      </c>
      <c r="E1002" s="32" t="s">
        <v>219</v>
      </c>
      <c r="F1002" s="32" t="s">
        <v>215</v>
      </c>
      <c r="G1002" s="32" t="s">
        <v>232</v>
      </c>
      <c r="H1002" s="32" t="s">
        <v>233</v>
      </c>
    </row>
    <row r="1003" ht="16.5" customHeight="1">
      <c r="A1003" s="32">
        <v>999.0</v>
      </c>
      <c r="C1003" s="32" t="s">
        <v>1497</v>
      </c>
      <c r="D1003" s="32" t="s">
        <v>184</v>
      </c>
      <c r="E1003" s="32" t="s">
        <v>192</v>
      </c>
      <c r="F1003" s="32" t="s">
        <v>215</v>
      </c>
      <c r="G1003" s="32" t="s">
        <v>300</v>
      </c>
      <c r="H1003" s="32" t="s">
        <v>1498</v>
      </c>
    </row>
    <row r="1004" ht="16.5" customHeight="1">
      <c r="A1004" s="32">
        <v>1000.0</v>
      </c>
      <c r="C1004" s="32" t="s">
        <v>1499</v>
      </c>
      <c r="D1004" s="32" t="s">
        <v>184</v>
      </c>
      <c r="E1004" s="32" t="s">
        <v>192</v>
      </c>
      <c r="F1004" s="32" t="s">
        <v>215</v>
      </c>
      <c r="G1004" s="32" t="s">
        <v>300</v>
      </c>
      <c r="H1004" s="32" t="s">
        <v>1500</v>
      </c>
    </row>
    <row r="1005" ht="16.5" customHeight="1">
      <c r="A1005" s="32">
        <v>1001.0</v>
      </c>
      <c r="C1005" s="32" t="s">
        <v>1501</v>
      </c>
      <c r="D1005" s="32" t="s">
        <v>184</v>
      </c>
      <c r="E1005" s="32" t="s">
        <v>234</v>
      </c>
      <c r="F1005" s="32" t="s">
        <v>215</v>
      </c>
    </row>
    <row r="1006" ht="16.5" customHeight="1">
      <c r="A1006" s="32">
        <v>1002.0</v>
      </c>
      <c r="C1006" s="32" t="s">
        <v>1502</v>
      </c>
      <c r="D1006" s="32" t="s">
        <v>184</v>
      </c>
      <c r="E1006" s="32" t="s">
        <v>234</v>
      </c>
      <c r="F1006" s="32" t="s">
        <v>215</v>
      </c>
      <c r="G1006" s="32" t="s">
        <v>347</v>
      </c>
      <c r="H1006" s="32" t="s">
        <v>505</v>
      </c>
    </row>
    <row r="1007" ht="16.5" customHeight="1">
      <c r="A1007" s="32">
        <v>1003.0</v>
      </c>
      <c r="C1007" s="32" t="s">
        <v>1503</v>
      </c>
      <c r="D1007" s="32" t="s">
        <v>184</v>
      </c>
      <c r="E1007" s="32" t="s">
        <v>228</v>
      </c>
      <c r="F1007" s="32" t="s">
        <v>215</v>
      </c>
      <c r="G1007" s="32" t="s">
        <v>544</v>
      </c>
      <c r="H1007" s="32" t="s">
        <v>545</v>
      </c>
    </row>
    <row r="1008" ht="16.5" customHeight="1">
      <c r="A1008" s="32">
        <v>1004.0</v>
      </c>
      <c r="C1008" s="32" t="s">
        <v>1504</v>
      </c>
      <c r="D1008" s="32" t="s">
        <v>184</v>
      </c>
      <c r="E1008" s="32" t="s">
        <v>228</v>
      </c>
      <c r="F1008" s="32" t="s">
        <v>215</v>
      </c>
      <c r="G1008" s="32" t="s">
        <v>544</v>
      </c>
      <c r="H1008" s="32" t="s">
        <v>545</v>
      </c>
    </row>
    <row r="1009" ht="16.5" customHeight="1">
      <c r="A1009" s="32">
        <v>1005.0</v>
      </c>
      <c r="C1009" s="32" t="s">
        <v>1505</v>
      </c>
      <c r="D1009" s="32" t="s">
        <v>184</v>
      </c>
      <c r="E1009" s="32" t="s">
        <v>219</v>
      </c>
      <c r="F1009" s="32" t="s">
        <v>215</v>
      </c>
    </row>
    <row r="1010" ht="16.5" customHeight="1">
      <c r="A1010" s="32">
        <v>1006.0</v>
      </c>
      <c r="C1010" s="32" t="s">
        <v>823</v>
      </c>
      <c r="D1010" s="32" t="s">
        <v>184</v>
      </c>
      <c r="E1010" s="32" t="s">
        <v>234</v>
      </c>
      <c r="F1010" s="32" t="s">
        <v>215</v>
      </c>
      <c r="G1010" s="32" t="s">
        <v>347</v>
      </c>
      <c r="H1010" s="32" t="s">
        <v>382</v>
      </c>
    </row>
    <row r="1011" ht="16.5" customHeight="1">
      <c r="A1011" s="32">
        <v>1007.0</v>
      </c>
      <c r="C1011" s="32" t="s">
        <v>1506</v>
      </c>
      <c r="D1011" s="32" t="s">
        <v>184</v>
      </c>
      <c r="E1011" s="32" t="s">
        <v>192</v>
      </c>
      <c r="F1011" s="32" t="s">
        <v>215</v>
      </c>
      <c r="G1011" s="32" t="s">
        <v>300</v>
      </c>
      <c r="H1011" s="32" t="s">
        <v>1507</v>
      </c>
    </row>
    <row r="1012" ht="16.5" customHeight="1">
      <c r="A1012" s="32">
        <v>1008.0</v>
      </c>
      <c r="C1012" s="32" t="s">
        <v>1508</v>
      </c>
      <c r="D1012" s="32" t="s">
        <v>184</v>
      </c>
      <c r="E1012" s="32" t="s">
        <v>228</v>
      </c>
      <c r="F1012" s="32" t="s">
        <v>215</v>
      </c>
    </row>
    <row r="1013" ht="16.5" customHeight="1">
      <c r="A1013" s="32">
        <v>1009.0</v>
      </c>
      <c r="C1013" s="32" t="s">
        <v>1509</v>
      </c>
      <c r="D1013" s="32" t="s">
        <v>184</v>
      </c>
      <c r="E1013" s="32" t="s">
        <v>219</v>
      </c>
      <c r="F1013" s="32" t="s">
        <v>215</v>
      </c>
    </row>
    <row r="1014" ht="16.5" customHeight="1">
      <c r="A1014" s="32">
        <v>1010.0</v>
      </c>
      <c r="C1014" s="32" t="s">
        <v>1510</v>
      </c>
      <c r="D1014" s="32" t="s">
        <v>184</v>
      </c>
      <c r="E1014" s="32" t="s">
        <v>219</v>
      </c>
      <c r="F1014" s="32" t="s">
        <v>215</v>
      </c>
      <c r="G1014" s="32" t="s">
        <v>223</v>
      </c>
    </row>
    <row r="1015" ht="16.5" customHeight="1">
      <c r="A1015" s="32">
        <v>1011.0</v>
      </c>
      <c r="C1015" s="32" t="s">
        <v>1511</v>
      </c>
      <c r="D1015" s="32" t="s">
        <v>184</v>
      </c>
      <c r="E1015" s="32" t="s">
        <v>192</v>
      </c>
      <c r="F1015" s="32" t="s">
        <v>215</v>
      </c>
      <c r="G1015" s="32" t="s">
        <v>329</v>
      </c>
      <c r="H1015" s="32" t="s">
        <v>457</v>
      </c>
    </row>
    <row r="1016" ht="16.5" customHeight="1">
      <c r="A1016" s="32">
        <v>1012.0</v>
      </c>
      <c r="C1016" s="32" t="s">
        <v>1512</v>
      </c>
      <c r="D1016" s="32" t="s">
        <v>184</v>
      </c>
      <c r="E1016" s="32" t="s">
        <v>219</v>
      </c>
      <c r="F1016" s="32" t="s">
        <v>215</v>
      </c>
      <c r="G1016" s="32" t="s">
        <v>223</v>
      </c>
    </row>
    <row r="1017" ht="16.5" customHeight="1">
      <c r="A1017" s="32">
        <v>1013.0</v>
      </c>
      <c r="C1017" s="32" t="s">
        <v>1513</v>
      </c>
      <c r="D1017" s="32" t="s">
        <v>184</v>
      </c>
      <c r="E1017" s="32" t="s">
        <v>192</v>
      </c>
      <c r="F1017" s="32" t="s">
        <v>215</v>
      </c>
      <c r="G1017" s="32" t="s">
        <v>329</v>
      </c>
      <c r="H1017" s="32" t="s">
        <v>1514</v>
      </c>
    </row>
    <row r="1018" ht="16.5" customHeight="1">
      <c r="A1018" s="32">
        <v>1014.0</v>
      </c>
      <c r="C1018" s="32" t="s">
        <v>1515</v>
      </c>
      <c r="D1018" s="32" t="s">
        <v>184</v>
      </c>
      <c r="E1018" s="32" t="s">
        <v>192</v>
      </c>
      <c r="F1018" s="32" t="s">
        <v>215</v>
      </c>
      <c r="G1018" s="32" t="s">
        <v>300</v>
      </c>
      <c r="H1018" s="32" t="s">
        <v>1516</v>
      </c>
    </row>
    <row r="1019" ht="16.5" customHeight="1">
      <c r="A1019" s="32">
        <v>1015.0</v>
      </c>
      <c r="C1019" s="32" t="s">
        <v>1517</v>
      </c>
      <c r="D1019" s="32" t="s">
        <v>184</v>
      </c>
      <c r="E1019" s="32" t="s">
        <v>214</v>
      </c>
      <c r="F1019" s="32" t="s">
        <v>215</v>
      </c>
      <c r="G1019" s="32" t="s">
        <v>720</v>
      </c>
    </row>
    <row r="1020" ht="16.5" customHeight="1">
      <c r="A1020" s="32">
        <v>1016.0</v>
      </c>
      <c r="C1020" s="32" t="s">
        <v>1518</v>
      </c>
      <c r="D1020" s="32" t="s">
        <v>184</v>
      </c>
      <c r="E1020" s="32" t="s">
        <v>219</v>
      </c>
      <c r="F1020" s="32" t="s">
        <v>215</v>
      </c>
      <c r="G1020" s="32" t="s">
        <v>241</v>
      </c>
      <c r="H1020" s="32" t="s">
        <v>292</v>
      </c>
    </row>
    <row r="1021" ht="16.5" customHeight="1">
      <c r="A1021" s="32">
        <v>1017.0</v>
      </c>
      <c r="C1021" s="32" t="s">
        <v>1519</v>
      </c>
      <c r="D1021" s="32" t="s">
        <v>184</v>
      </c>
      <c r="E1021" s="32" t="s">
        <v>219</v>
      </c>
      <c r="F1021" s="32" t="s">
        <v>215</v>
      </c>
    </row>
    <row r="1022" ht="16.5" customHeight="1">
      <c r="A1022" s="32">
        <v>1018.0</v>
      </c>
      <c r="C1022" s="32" t="s">
        <v>1520</v>
      </c>
      <c r="D1022" s="32" t="s">
        <v>184</v>
      </c>
      <c r="E1022" s="32" t="s">
        <v>219</v>
      </c>
      <c r="F1022" s="32" t="s">
        <v>215</v>
      </c>
      <c r="G1022" s="32" t="s">
        <v>223</v>
      </c>
    </row>
    <row r="1023" ht="16.5" customHeight="1">
      <c r="A1023" s="32">
        <v>1019.0</v>
      </c>
      <c r="C1023" s="32" t="s">
        <v>1521</v>
      </c>
      <c r="D1023" s="32" t="s">
        <v>184</v>
      </c>
      <c r="E1023" s="32" t="s">
        <v>219</v>
      </c>
      <c r="F1023" s="32" t="s">
        <v>215</v>
      </c>
    </row>
    <row r="1024" ht="16.5" customHeight="1">
      <c r="A1024" s="32">
        <v>1020.0</v>
      </c>
      <c r="C1024" s="32" t="s">
        <v>225</v>
      </c>
      <c r="D1024" s="32" t="s">
        <v>184</v>
      </c>
      <c r="E1024" s="32" t="s">
        <v>219</v>
      </c>
      <c r="F1024" s="32" t="s">
        <v>215</v>
      </c>
      <c r="G1024" s="32" t="s">
        <v>223</v>
      </c>
    </row>
    <row r="1025" ht="16.5" customHeight="1">
      <c r="A1025" s="32">
        <v>1021.0</v>
      </c>
      <c r="C1025" s="32" t="s">
        <v>1522</v>
      </c>
      <c r="D1025" s="32" t="s">
        <v>184</v>
      </c>
      <c r="E1025" s="32" t="s">
        <v>219</v>
      </c>
      <c r="F1025" s="32" t="s">
        <v>215</v>
      </c>
      <c r="G1025" s="32" t="s">
        <v>223</v>
      </c>
    </row>
    <row r="1026" ht="16.5" customHeight="1">
      <c r="A1026" s="32">
        <v>1022.0</v>
      </c>
      <c r="C1026" s="32" t="s">
        <v>224</v>
      </c>
      <c r="D1026" s="32" t="s">
        <v>184</v>
      </c>
      <c r="E1026" s="32" t="s">
        <v>254</v>
      </c>
      <c r="F1026" s="32" t="s">
        <v>215</v>
      </c>
    </row>
    <row r="1027" ht="16.5" customHeight="1">
      <c r="A1027" s="32">
        <v>1023.0</v>
      </c>
      <c r="C1027" s="32" t="s">
        <v>1523</v>
      </c>
      <c r="D1027" s="32" t="s">
        <v>184</v>
      </c>
      <c r="E1027" s="32" t="s">
        <v>192</v>
      </c>
      <c r="F1027" s="32" t="s">
        <v>215</v>
      </c>
      <c r="G1027" s="32" t="s">
        <v>329</v>
      </c>
      <c r="H1027" s="32" t="s">
        <v>457</v>
      </c>
    </row>
    <row r="1028" ht="16.5" customHeight="1">
      <c r="A1028" s="32">
        <v>1024.0</v>
      </c>
      <c r="C1028" s="32" t="s">
        <v>1524</v>
      </c>
      <c r="D1028" s="32" t="s">
        <v>184</v>
      </c>
      <c r="E1028" s="32" t="s">
        <v>192</v>
      </c>
      <c r="F1028" s="32" t="s">
        <v>215</v>
      </c>
      <c r="G1028" s="32" t="s">
        <v>300</v>
      </c>
    </row>
    <row r="1029" ht="16.5" customHeight="1">
      <c r="A1029" s="32">
        <v>1025.0</v>
      </c>
      <c r="C1029" s="32" t="s">
        <v>1525</v>
      </c>
      <c r="D1029" s="32" t="s">
        <v>184</v>
      </c>
      <c r="E1029" s="32" t="s">
        <v>219</v>
      </c>
      <c r="F1029" s="32" t="s">
        <v>215</v>
      </c>
      <c r="G1029" s="32" t="s">
        <v>232</v>
      </c>
      <c r="H1029" s="32" t="s">
        <v>233</v>
      </c>
    </row>
    <row r="1030" ht="16.5" customHeight="1">
      <c r="A1030" s="32">
        <v>1026.0</v>
      </c>
      <c r="C1030" s="32" t="s">
        <v>823</v>
      </c>
      <c r="D1030" s="32" t="s">
        <v>184</v>
      </c>
      <c r="E1030" s="32" t="s">
        <v>234</v>
      </c>
      <c r="F1030" s="32" t="s">
        <v>215</v>
      </c>
      <c r="G1030" s="32" t="s">
        <v>347</v>
      </c>
      <c r="H1030" s="32" t="s">
        <v>382</v>
      </c>
    </row>
    <row r="1031" ht="16.5" customHeight="1">
      <c r="A1031" s="32">
        <v>1027.0</v>
      </c>
      <c r="C1031" s="32" t="s">
        <v>226</v>
      </c>
      <c r="D1031" s="32" t="s">
        <v>184</v>
      </c>
      <c r="E1031" s="32" t="s">
        <v>185</v>
      </c>
      <c r="F1031" s="32" t="s">
        <v>215</v>
      </c>
      <c r="G1031" s="32" t="s">
        <v>187</v>
      </c>
      <c r="H1031" s="32" t="s">
        <v>227</v>
      </c>
    </row>
    <row r="1032" ht="16.5" customHeight="1">
      <c r="A1032" s="32">
        <v>1028.0</v>
      </c>
      <c r="C1032" s="32" t="s">
        <v>1526</v>
      </c>
      <c r="D1032" s="32" t="s">
        <v>184</v>
      </c>
      <c r="E1032" s="32" t="s">
        <v>185</v>
      </c>
      <c r="F1032" s="32" t="s">
        <v>215</v>
      </c>
      <c r="G1032" s="32" t="s">
        <v>187</v>
      </c>
      <c r="H1032" s="32" t="s">
        <v>227</v>
      </c>
    </row>
    <row r="1033" ht="16.5" customHeight="1">
      <c r="A1033" s="32">
        <v>1029.0</v>
      </c>
      <c r="C1033" s="32" t="s">
        <v>1527</v>
      </c>
      <c r="D1033" s="32" t="s">
        <v>184</v>
      </c>
      <c r="E1033" s="32" t="s">
        <v>192</v>
      </c>
      <c r="F1033" s="32" t="s">
        <v>215</v>
      </c>
      <c r="G1033" s="32" t="s">
        <v>300</v>
      </c>
      <c r="H1033" s="32" t="s">
        <v>387</v>
      </c>
    </row>
    <row r="1034" ht="16.5" customHeight="1">
      <c r="A1034" s="32">
        <v>1030.0</v>
      </c>
      <c r="C1034" s="32" t="s">
        <v>1528</v>
      </c>
      <c r="D1034" s="32" t="s">
        <v>184</v>
      </c>
      <c r="E1034" s="32" t="s">
        <v>192</v>
      </c>
      <c r="F1034" s="32" t="s">
        <v>215</v>
      </c>
    </row>
    <row r="1035" ht="16.5" customHeight="1">
      <c r="A1035" s="32">
        <v>1031.0</v>
      </c>
      <c r="C1035" s="32" t="s">
        <v>1529</v>
      </c>
      <c r="D1035" s="32" t="s">
        <v>184</v>
      </c>
      <c r="E1035" s="32" t="s">
        <v>219</v>
      </c>
      <c r="F1035" s="32" t="s">
        <v>215</v>
      </c>
    </row>
    <row r="1036" ht="16.5" customHeight="1">
      <c r="A1036" s="32">
        <v>1032.0</v>
      </c>
      <c r="C1036" s="32" t="s">
        <v>1530</v>
      </c>
      <c r="D1036" s="32" t="s">
        <v>184</v>
      </c>
      <c r="E1036" s="32" t="s">
        <v>219</v>
      </c>
      <c r="F1036" s="32" t="s">
        <v>215</v>
      </c>
    </row>
    <row r="1037" ht="16.5" customHeight="1">
      <c r="A1037" s="32">
        <v>1033.0</v>
      </c>
      <c r="C1037" s="32" t="s">
        <v>1531</v>
      </c>
      <c r="D1037" s="32" t="s">
        <v>184</v>
      </c>
      <c r="E1037" s="32" t="s">
        <v>219</v>
      </c>
      <c r="F1037" s="32" t="s">
        <v>215</v>
      </c>
      <c r="G1037" s="32" t="s">
        <v>223</v>
      </c>
    </row>
    <row r="1038" ht="16.5" customHeight="1">
      <c r="A1038" s="32">
        <v>1034.0</v>
      </c>
      <c r="C1038" s="32" t="s">
        <v>1532</v>
      </c>
      <c r="D1038" s="32" t="s">
        <v>184</v>
      </c>
      <c r="E1038" s="32" t="s">
        <v>192</v>
      </c>
      <c r="F1038" s="32" t="s">
        <v>215</v>
      </c>
      <c r="G1038" s="32" t="s">
        <v>300</v>
      </c>
      <c r="H1038" s="32" t="s">
        <v>1533</v>
      </c>
    </row>
    <row r="1039" ht="16.5" customHeight="1">
      <c r="A1039" s="32">
        <v>1035.0</v>
      </c>
      <c r="C1039" s="32" t="s">
        <v>1534</v>
      </c>
      <c r="D1039" s="32" t="s">
        <v>184</v>
      </c>
      <c r="E1039" s="32" t="s">
        <v>219</v>
      </c>
      <c r="F1039" s="32" t="s">
        <v>215</v>
      </c>
      <c r="G1039" s="32" t="s">
        <v>223</v>
      </c>
    </row>
    <row r="1040" ht="16.5" customHeight="1">
      <c r="A1040" s="32">
        <v>1036.0</v>
      </c>
      <c r="C1040" s="32" t="s">
        <v>1535</v>
      </c>
      <c r="D1040" s="32" t="s">
        <v>184</v>
      </c>
      <c r="E1040" s="32" t="s">
        <v>219</v>
      </c>
      <c r="F1040" s="32" t="s">
        <v>215</v>
      </c>
      <c r="G1040" s="32" t="s">
        <v>223</v>
      </c>
    </row>
    <row r="1041" ht="16.5" customHeight="1">
      <c r="A1041" s="32">
        <v>1037.0</v>
      </c>
      <c r="C1041" s="32" t="s">
        <v>1536</v>
      </c>
      <c r="D1041" s="32" t="s">
        <v>184</v>
      </c>
      <c r="E1041" s="32" t="s">
        <v>228</v>
      </c>
      <c r="F1041" s="32" t="s">
        <v>215</v>
      </c>
    </row>
    <row r="1042" ht="16.5" customHeight="1">
      <c r="A1042" s="32">
        <v>1038.0</v>
      </c>
      <c r="C1042" s="32" t="s">
        <v>1537</v>
      </c>
      <c r="D1042" s="32" t="s">
        <v>184</v>
      </c>
      <c r="E1042" s="32" t="s">
        <v>228</v>
      </c>
      <c r="F1042" s="32" t="s">
        <v>215</v>
      </c>
      <c r="G1042" s="32" t="s">
        <v>408</v>
      </c>
      <c r="H1042" s="32" t="s">
        <v>490</v>
      </c>
    </row>
    <row r="1043" ht="16.5" customHeight="1">
      <c r="A1043" s="32">
        <v>1039.0</v>
      </c>
      <c r="C1043" s="32" t="s">
        <v>1538</v>
      </c>
      <c r="D1043" s="32" t="s">
        <v>184</v>
      </c>
      <c r="E1043" s="32" t="s">
        <v>228</v>
      </c>
      <c r="F1043" s="32" t="s">
        <v>215</v>
      </c>
    </row>
    <row r="1044" ht="16.5" customHeight="1">
      <c r="A1044" s="32">
        <v>1040.0</v>
      </c>
      <c r="C1044" s="32" t="s">
        <v>1539</v>
      </c>
      <c r="D1044" s="32" t="s">
        <v>184</v>
      </c>
      <c r="E1044" s="32" t="s">
        <v>228</v>
      </c>
      <c r="F1044" s="32" t="s">
        <v>215</v>
      </c>
      <c r="G1044" s="32" t="s">
        <v>408</v>
      </c>
      <c r="H1044" s="32" t="s">
        <v>490</v>
      </c>
    </row>
    <row r="1045" ht="16.5" customHeight="1">
      <c r="A1045" s="32">
        <v>1041.0</v>
      </c>
      <c r="C1045" s="32" t="s">
        <v>1540</v>
      </c>
      <c r="D1045" s="32" t="s">
        <v>184</v>
      </c>
      <c r="E1045" s="32" t="s">
        <v>219</v>
      </c>
      <c r="F1045" s="32" t="s">
        <v>215</v>
      </c>
      <c r="G1045" s="32" t="s">
        <v>223</v>
      </c>
      <c r="H1045" s="32" t="s">
        <v>1541</v>
      </c>
    </row>
    <row r="1046" ht="16.5" customHeight="1">
      <c r="A1046" s="32">
        <v>1042.0</v>
      </c>
      <c r="C1046" s="32" t="s">
        <v>1542</v>
      </c>
      <c r="D1046" s="32" t="s">
        <v>184</v>
      </c>
      <c r="E1046" s="32" t="s">
        <v>219</v>
      </c>
      <c r="F1046" s="32" t="s">
        <v>215</v>
      </c>
    </row>
    <row r="1047" ht="16.5" customHeight="1">
      <c r="A1047" s="32">
        <v>1043.0</v>
      </c>
      <c r="C1047" s="32" t="s">
        <v>1543</v>
      </c>
      <c r="D1047" s="32" t="s">
        <v>184</v>
      </c>
      <c r="E1047" s="32" t="s">
        <v>285</v>
      </c>
      <c r="F1047" s="32" t="s">
        <v>215</v>
      </c>
    </row>
    <row r="1048" ht="16.5" customHeight="1">
      <c r="A1048" s="32">
        <v>1044.0</v>
      </c>
      <c r="C1048" s="32" t="s">
        <v>1544</v>
      </c>
      <c r="D1048" s="32" t="s">
        <v>184</v>
      </c>
      <c r="E1048" s="32" t="s">
        <v>192</v>
      </c>
      <c r="F1048" s="32" t="s">
        <v>215</v>
      </c>
      <c r="G1048" s="32" t="s">
        <v>300</v>
      </c>
      <c r="H1048" s="32" t="s">
        <v>1545</v>
      </c>
    </row>
    <row r="1049" ht="16.5" customHeight="1">
      <c r="A1049" s="32">
        <v>1045.0</v>
      </c>
      <c r="C1049" s="32" t="s">
        <v>1546</v>
      </c>
      <c r="D1049" s="32" t="s">
        <v>184</v>
      </c>
      <c r="E1049" s="32" t="s">
        <v>254</v>
      </c>
      <c r="F1049" s="32" t="s">
        <v>215</v>
      </c>
      <c r="G1049" s="32" t="s">
        <v>256</v>
      </c>
      <c r="H1049" s="32" t="s">
        <v>257</v>
      </c>
    </row>
    <row r="1050" ht="16.5" customHeight="1">
      <c r="A1050" s="32">
        <v>1046.0</v>
      </c>
      <c r="C1050" s="32" t="s">
        <v>1547</v>
      </c>
      <c r="D1050" s="32" t="s">
        <v>184</v>
      </c>
      <c r="E1050" s="32" t="s">
        <v>254</v>
      </c>
      <c r="F1050" s="32" t="s">
        <v>215</v>
      </c>
    </row>
    <row r="1051" ht="16.5" customHeight="1">
      <c r="A1051" s="32">
        <v>1047.0</v>
      </c>
      <c r="C1051" s="32" t="s">
        <v>1548</v>
      </c>
      <c r="D1051" s="32" t="s">
        <v>184</v>
      </c>
      <c r="E1051" s="32" t="s">
        <v>214</v>
      </c>
      <c r="F1051" s="32" t="s">
        <v>215</v>
      </c>
      <c r="G1051" s="32" t="s">
        <v>216</v>
      </c>
      <c r="H1051" s="32" t="s">
        <v>217</v>
      </c>
    </row>
    <row r="1052" ht="16.5" customHeight="1">
      <c r="A1052" s="32">
        <v>1048.0</v>
      </c>
      <c r="C1052" s="32" t="s">
        <v>1549</v>
      </c>
      <c r="D1052" s="32" t="s">
        <v>184</v>
      </c>
      <c r="E1052" s="32" t="s">
        <v>219</v>
      </c>
      <c r="F1052" s="32" t="s">
        <v>215</v>
      </c>
    </row>
    <row r="1053" ht="16.5" customHeight="1">
      <c r="A1053" s="32">
        <v>1049.0</v>
      </c>
      <c r="C1053" s="32" t="s">
        <v>1550</v>
      </c>
      <c r="D1053" s="32" t="s">
        <v>184</v>
      </c>
      <c r="E1053" s="32" t="s">
        <v>192</v>
      </c>
      <c r="F1053" s="32" t="s">
        <v>215</v>
      </c>
    </row>
    <row r="1054" ht="16.5" customHeight="1">
      <c r="A1054" s="32">
        <v>1050.0</v>
      </c>
      <c r="C1054" s="32" t="s">
        <v>1551</v>
      </c>
      <c r="D1054" s="32" t="s">
        <v>184</v>
      </c>
      <c r="E1054" s="32" t="s">
        <v>192</v>
      </c>
      <c r="F1054" s="32" t="s">
        <v>215</v>
      </c>
      <c r="G1054" s="32" t="s">
        <v>329</v>
      </c>
      <c r="H1054" s="32" t="s">
        <v>447</v>
      </c>
    </row>
    <row r="1055" ht="16.5" customHeight="1">
      <c r="A1055" s="32">
        <v>1051.0</v>
      </c>
      <c r="C1055" s="32" t="s">
        <v>1552</v>
      </c>
      <c r="D1055" s="32" t="s">
        <v>184</v>
      </c>
      <c r="E1055" s="32" t="s">
        <v>219</v>
      </c>
      <c r="F1055" s="32" t="s">
        <v>215</v>
      </c>
      <c r="G1055" s="32" t="s">
        <v>223</v>
      </c>
    </row>
    <row r="1056" ht="16.5" customHeight="1">
      <c r="A1056" s="32">
        <v>1052.0</v>
      </c>
      <c r="C1056" s="32" t="s">
        <v>1553</v>
      </c>
      <c r="D1056" s="32" t="s">
        <v>184</v>
      </c>
      <c r="E1056" s="32" t="s">
        <v>219</v>
      </c>
      <c r="F1056" s="32" t="s">
        <v>215</v>
      </c>
      <c r="G1056" s="32" t="s">
        <v>223</v>
      </c>
    </row>
    <row r="1057" ht="16.5" customHeight="1">
      <c r="A1057" s="32">
        <v>1053.0</v>
      </c>
      <c r="C1057" s="32" t="s">
        <v>1554</v>
      </c>
      <c r="D1057" s="32" t="s">
        <v>184</v>
      </c>
      <c r="E1057" s="32" t="s">
        <v>219</v>
      </c>
      <c r="F1057" s="32" t="s">
        <v>215</v>
      </c>
      <c r="G1057" s="32" t="s">
        <v>223</v>
      </c>
    </row>
    <row r="1058" ht="16.5" customHeight="1">
      <c r="A1058" s="32">
        <v>1054.0</v>
      </c>
      <c r="C1058" s="32" t="s">
        <v>1555</v>
      </c>
      <c r="D1058" s="32" t="s">
        <v>184</v>
      </c>
      <c r="E1058" s="32" t="s">
        <v>214</v>
      </c>
      <c r="F1058" s="32" t="s">
        <v>215</v>
      </c>
      <c r="G1058" s="32" t="s">
        <v>216</v>
      </c>
      <c r="H1058" s="32" t="s">
        <v>217</v>
      </c>
    </row>
    <row r="1059" ht="16.5" customHeight="1">
      <c r="A1059" s="32">
        <v>1055.0</v>
      </c>
      <c r="C1059" s="32" t="s">
        <v>1556</v>
      </c>
      <c r="D1059" s="32" t="s">
        <v>184</v>
      </c>
      <c r="E1059" s="32" t="s">
        <v>219</v>
      </c>
      <c r="F1059" s="32" t="s">
        <v>215</v>
      </c>
    </row>
    <row r="1060" ht="16.5" customHeight="1">
      <c r="A1060" s="32">
        <v>1056.0</v>
      </c>
      <c r="C1060" s="32" t="s">
        <v>1557</v>
      </c>
      <c r="D1060" s="32" t="s">
        <v>184</v>
      </c>
      <c r="E1060" s="32" t="s">
        <v>214</v>
      </c>
      <c r="F1060" s="32" t="s">
        <v>215</v>
      </c>
      <c r="G1060" s="32" t="s">
        <v>216</v>
      </c>
      <c r="H1060" s="32" t="s">
        <v>217</v>
      </c>
    </row>
    <row r="1061" ht="16.5" customHeight="1">
      <c r="A1061" s="32">
        <v>1057.0</v>
      </c>
      <c r="C1061" s="32" t="s">
        <v>1558</v>
      </c>
      <c r="D1061" s="32" t="s">
        <v>184</v>
      </c>
      <c r="E1061" s="32" t="s">
        <v>214</v>
      </c>
      <c r="F1061" s="32" t="s">
        <v>215</v>
      </c>
      <c r="G1061" s="32" t="s">
        <v>604</v>
      </c>
    </row>
    <row r="1062" ht="16.5" customHeight="1">
      <c r="A1062" s="32">
        <v>1058.0</v>
      </c>
      <c r="C1062" s="32" t="s">
        <v>1559</v>
      </c>
      <c r="D1062" s="32" t="s">
        <v>184</v>
      </c>
      <c r="E1062" s="32" t="s">
        <v>219</v>
      </c>
      <c r="F1062" s="32" t="s">
        <v>215</v>
      </c>
      <c r="G1062" s="32" t="s">
        <v>223</v>
      </c>
    </row>
    <row r="1063" ht="16.5" customHeight="1">
      <c r="A1063" s="32">
        <v>1059.0</v>
      </c>
      <c r="C1063" s="32" t="s">
        <v>1560</v>
      </c>
      <c r="D1063" s="32" t="s">
        <v>184</v>
      </c>
      <c r="E1063" s="32" t="s">
        <v>192</v>
      </c>
      <c r="F1063" s="32" t="s">
        <v>215</v>
      </c>
      <c r="G1063" s="32" t="s">
        <v>329</v>
      </c>
      <c r="H1063" s="32" t="s">
        <v>447</v>
      </c>
    </row>
    <row r="1064" ht="16.5" customHeight="1">
      <c r="A1064" s="32">
        <v>1060.0</v>
      </c>
      <c r="C1064" s="32" t="s">
        <v>1561</v>
      </c>
      <c r="D1064" s="32" t="s">
        <v>184</v>
      </c>
      <c r="E1064" s="32" t="s">
        <v>192</v>
      </c>
      <c r="F1064" s="32" t="s">
        <v>215</v>
      </c>
      <c r="G1064" s="32" t="s">
        <v>404</v>
      </c>
      <c r="H1064" s="32" t="s">
        <v>457</v>
      </c>
    </row>
    <row r="1065" ht="16.5" customHeight="1">
      <c r="A1065" s="32">
        <v>1061.0</v>
      </c>
      <c r="C1065" s="32" t="s">
        <v>1562</v>
      </c>
      <c r="D1065" s="32" t="s">
        <v>184</v>
      </c>
      <c r="E1065" s="32" t="s">
        <v>192</v>
      </c>
      <c r="F1065" s="32" t="s">
        <v>215</v>
      </c>
      <c r="G1065" s="32" t="s">
        <v>329</v>
      </c>
      <c r="H1065" s="32" t="s">
        <v>457</v>
      </c>
    </row>
    <row r="1066" ht="16.5" customHeight="1">
      <c r="A1066" s="32">
        <v>1062.0</v>
      </c>
      <c r="C1066" s="32" t="s">
        <v>1563</v>
      </c>
      <c r="D1066" s="32" t="s">
        <v>184</v>
      </c>
      <c r="E1066" s="32" t="s">
        <v>192</v>
      </c>
      <c r="F1066" s="32" t="s">
        <v>215</v>
      </c>
      <c r="G1066" s="32" t="s">
        <v>570</v>
      </c>
      <c r="H1066" s="32" t="s">
        <v>457</v>
      </c>
    </row>
    <row r="1067" ht="16.5" customHeight="1">
      <c r="A1067" s="32">
        <v>1063.0</v>
      </c>
      <c r="C1067" s="32" t="s">
        <v>1564</v>
      </c>
      <c r="D1067" s="32" t="s">
        <v>184</v>
      </c>
      <c r="E1067" s="32" t="s">
        <v>219</v>
      </c>
      <c r="F1067" s="32" t="s">
        <v>215</v>
      </c>
    </row>
    <row r="1068" ht="16.5" customHeight="1">
      <c r="A1068" s="32">
        <v>1064.0</v>
      </c>
      <c r="C1068" s="32" t="s">
        <v>1565</v>
      </c>
      <c r="D1068" s="32" t="s">
        <v>184</v>
      </c>
      <c r="E1068" s="32" t="s">
        <v>219</v>
      </c>
      <c r="F1068" s="32" t="s">
        <v>215</v>
      </c>
      <c r="G1068" s="32" t="s">
        <v>223</v>
      </c>
    </row>
    <row r="1069" ht="16.5" customHeight="1">
      <c r="A1069" s="32">
        <v>1065.0</v>
      </c>
      <c r="C1069" s="32" t="s">
        <v>1566</v>
      </c>
      <c r="D1069" s="32" t="s">
        <v>184</v>
      </c>
      <c r="E1069" s="32" t="s">
        <v>219</v>
      </c>
      <c r="F1069" s="32" t="s">
        <v>215</v>
      </c>
    </row>
    <row r="1070" ht="16.5" customHeight="1">
      <c r="A1070" s="32">
        <v>1066.0</v>
      </c>
      <c r="C1070" s="32" t="s">
        <v>1567</v>
      </c>
      <c r="D1070" s="32" t="s">
        <v>184</v>
      </c>
      <c r="E1070" s="32" t="s">
        <v>219</v>
      </c>
      <c r="F1070" s="32" t="s">
        <v>215</v>
      </c>
    </row>
    <row r="1071" ht="16.5" customHeight="1">
      <c r="A1071" s="32">
        <v>1067.0</v>
      </c>
      <c r="C1071" s="32" t="s">
        <v>1568</v>
      </c>
      <c r="D1071" s="32" t="s">
        <v>184</v>
      </c>
      <c r="E1071" s="32" t="s">
        <v>219</v>
      </c>
      <c r="F1071" s="32" t="s">
        <v>215</v>
      </c>
    </row>
    <row r="1072" ht="16.5" customHeight="1">
      <c r="A1072" s="32">
        <v>1068.0</v>
      </c>
      <c r="C1072" s="32" t="s">
        <v>1569</v>
      </c>
      <c r="D1072" s="32" t="s">
        <v>184</v>
      </c>
      <c r="E1072" s="32" t="s">
        <v>192</v>
      </c>
      <c r="F1072" s="32" t="s">
        <v>215</v>
      </c>
      <c r="G1072" s="32" t="s">
        <v>329</v>
      </c>
      <c r="H1072" s="32" t="s">
        <v>457</v>
      </c>
    </row>
    <row r="1073" ht="16.5" customHeight="1">
      <c r="A1073" s="32">
        <v>1069.0</v>
      </c>
      <c r="C1073" s="32" t="s">
        <v>1570</v>
      </c>
      <c r="D1073" s="32" t="s">
        <v>184</v>
      </c>
      <c r="E1073" s="32" t="s">
        <v>254</v>
      </c>
      <c r="F1073" s="32" t="s">
        <v>215</v>
      </c>
      <c r="G1073" s="32" t="s">
        <v>257</v>
      </c>
    </row>
    <row r="1074" ht="16.5" customHeight="1">
      <c r="A1074" s="32">
        <v>1070.0</v>
      </c>
      <c r="C1074" s="32" t="s">
        <v>1571</v>
      </c>
      <c r="D1074" s="32" t="s">
        <v>184</v>
      </c>
      <c r="E1074" s="32" t="s">
        <v>254</v>
      </c>
      <c r="F1074" s="35" t="s">
        <v>1572</v>
      </c>
    </row>
    <row r="1075" ht="16.5" customHeight="1">
      <c r="A1075" s="32">
        <v>1071.0</v>
      </c>
      <c r="C1075" s="32" t="s">
        <v>1573</v>
      </c>
      <c r="D1075" s="32" t="s">
        <v>184</v>
      </c>
      <c r="E1075" s="32" t="s">
        <v>234</v>
      </c>
      <c r="F1075" s="32" t="s">
        <v>215</v>
      </c>
    </row>
    <row r="1076" ht="16.5" customHeight="1">
      <c r="A1076" s="32">
        <v>1072.0</v>
      </c>
      <c r="C1076" s="32" t="s">
        <v>1574</v>
      </c>
      <c r="D1076" s="32" t="s">
        <v>184</v>
      </c>
      <c r="E1076" s="32" t="s">
        <v>234</v>
      </c>
      <c r="F1076" s="32" t="s">
        <v>215</v>
      </c>
    </row>
    <row r="1077" ht="16.5" customHeight="1">
      <c r="A1077" s="32">
        <v>1073.0</v>
      </c>
      <c r="C1077" s="32" t="s">
        <v>1575</v>
      </c>
      <c r="D1077" s="32" t="s">
        <v>184</v>
      </c>
      <c r="E1077" s="32" t="s">
        <v>234</v>
      </c>
      <c r="F1077" s="32" t="s">
        <v>215</v>
      </c>
    </row>
    <row r="1078" ht="16.5" customHeight="1">
      <c r="A1078" s="32">
        <v>1074.0</v>
      </c>
      <c r="C1078" s="32" t="s">
        <v>1576</v>
      </c>
      <c r="D1078" s="32" t="s">
        <v>184</v>
      </c>
      <c r="E1078" s="32" t="s">
        <v>254</v>
      </c>
      <c r="F1078" s="32" t="s">
        <v>215</v>
      </c>
    </row>
    <row r="1079" ht="16.5" customHeight="1">
      <c r="A1079" s="32">
        <v>1075.0</v>
      </c>
      <c r="C1079" s="32" t="s">
        <v>1577</v>
      </c>
      <c r="D1079" s="32" t="s">
        <v>184</v>
      </c>
      <c r="E1079" s="32" t="s">
        <v>254</v>
      </c>
      <c r="F1079" s="32" t="s">
        <v>215</v>
      </c>
      <c r="G1079" s="32" t="s">
        <v>256</v>
      </c>
      <c r="H1079" s="32" t="s">
        <v>257</v>
      </c>
    </row>
    <row r="1080" ht="16.5" customHeight="1">
      <c r="A1080" s="32">
        <v>1076.0</v>
      </c>
      <c r="C1080" s="32" t="s">
        <v>1578</v>
      </c>
      <c r="D1080" s="32" t="s">
        <v>184</v>
      </c>
      <c r="E1080" s="32" t="s">
        <v>254</v>
      </c>
      <c r="F1080" s="32" t="s">
        <v>215</v>
      </c>
    </row>
    <row r="1081" ht="16.5" customHeight="1">
      <c r="A1081" s="32">
        <v>1077.0</v>
      </c>
      <c r="C1081" s="32" t="s">
        <v>1579</v>
      </c>
      <c r="D1081" s="32" t="s">
        <v>184</v>
      </c>
      <c r="E1081" s="32" t="s">
        <v>219</v>
      </c>
      <c r="F1081" s="32" t="s">
        <v>215</v>
      </c>
    </row>
    <row r="1082" ht="16.5" customHeight="1">
      <c r="A1082" s="32">
        <v>1078.0</v>
      </c>
      <c r="C1082" s="32" t="s">
        <v>1580</v>
      </c>
      <c r="D1082" s="32" t="s">
        <v>184</v>
      </c>
      <c r="E1082" s="32" t="s">
        <v>219</v>
      </c>
      <c r="F1082" s="32" t="s">
        <v>215</v>
      </c>
    </row>
    <row r="1083" ht="16.5" customHeight="1">
      <c r="A1083" s="32">
        <v>1079.0</v>
      </c>
      <c r="C1083" s="32" t="s">
        <v>1581</v>
      </c>
      <c r="D1083" s="32" t="s">
        <v>184</v>
      </c>
      <c r="E1083" s="32" t="s">
        <v>228</v>
      </c>
      <c r="F1083" s="32" t="s">
        <v>215</v>
      </c>
    </row>
    <row r="1084" ht="16.5" customHeight="1">
      <c r="A1084" s="32">
        <v>1080.0</v>
      </c>
      <c r="C1084" s="32" t="s">
        <v>1582</v>
      </c>
      <c r="D1084" s="32" t="s">
        <v>184</v>
      </c>
      <c r="E1084" s="32" t="s">
        <v>219</v>
      </c>
      <c r="F1084" s="32" t="s">
        <v>215</v>
      </c>
      <c r="G1084" s="32" t="s">
        <v>241</v>
      </c>
      <c r="H1084" s="32" t="s">
        <v>292</v>
      </c>
    </row>
    <row r="1085" ht="16.5" customHeight="1">
      <c r="A1085" s="32">
        <v>1081.0</v>
      </c>
      <c r="C1085" s="32" t="s">
        <v>1583</v>
      </c>
      <c r="D1085" s="32" t="s">
        <v>184</v>
      </c>
      <c r="E1085" s="32" t="s">
        <v>219</v>
      </c>
      <c r="F1085" s="32" t="s">
        <v>215</v>
      </c>
      <c r="G1085" s="32" t="s">
        <v>223</v>
      </c>
    </row>
    <row r="1086" ht="16.5" customHeight="1">
      <c r="A1086" s="32">
        <v>1082.0</v>
      </c>
      <c r="C1086" s="32" t="s">
        <v>1584</v>
      </c>
      <c r="D1086" s="32" t="s">
        <v>184</v>
      </c>
      <c r="E1086" s="32" t="s">
        <v>192</v>
      </c>
      <c r="F1086" s="32" t="s">
        <v>215</v>
      </c>
      <c r="G1086" s="32" t="s">
        <v>570</v>
      </c>
      <c r="H1086" s="32" t="s">
        <v>447</v>
      </c>
    </row>
    <row r="1087" ht="16.5" customHeight="1">
      <c r="A1087" s="32">
        <v>1083.0</v>
      </c>
      <c r="C1087" s="32" t="s">
        <v>1585</v>
      </c>
      <c r="D1087" s="32" t="s">
        <v>184</v>
      </c>
      <c r="E1087" s="32" t="s">
        <v>192</v>
      </c>
      <c r="F1087" s="32" t="s">
        <v>215</v>
      </c>
      <c r="G1087" s="32" t="s">
        <v>300</v>
      </c>
      <c r="H1087" s="32" t="s">
        <v>1357</v>
      </c>
    </row>
    <row r="1088" ht="16.5" customHeight="1">
      <c r="A1088" s="32">
        <v>1084.0</v>
      </c>
      <c r="C1088" s="32" t="s">
        <v>1586</v>
      </c>
      <c r="D1088" s="32" t="s">
        <v>184</v>
      </c>
      <c r="E1088" s="32" t="s">
        <v>192</v>
      </c>
      <c r="F1088" s="32" t="s">
        <v>215</v>
      </c>
    </row>
    <row r="1089" ht="16.5" customHeight="1">
      <c r="A1089" s="32">
        <v>1085.0</v>
      </c>
      <c r="C1089" s="32" t="s">
        <v>1587</v>
      </c>
      <c r="D1089" s="32" t="s">
        <v>184</v>
      </c>
      <c r="E1089" s="32" t="s">
        <v>192</v>
      </c>
      <c r="F1089" s="32" t="s">
        <v>215</v>
      </c>
      <c r="G1089" s="32" t="s">
        <v>300</v>
      </c>
      <c r="H1089" s="32" t="s">
        <v>387</v>
      </c>
    </row>
    <row r="1090" ht="16.5" customHeight="1">
      <c r="A1090" s="32">
        <v>1086.0</v>
      </c>
      <c r="C1090" s="32" t="s">
        <v>1588</v>
      </c>
      <c r="D1090" s="32" t="s">
        <v>184</v>
      </c>
      <c r="E1090" s="32" t="s">
        <v>285</v>
      </c>
      <c r="F1090" s="32" t="s">
        <v>215</v>
      </c>
    </row>
    <row r="1091" ht="16.5" customHeight="1">
      <c r="A1091" s="32">
        <v>1087.0</v>
      </c>
      <c r="C1091" s="32" t="s">
        <v>1589</v>
      </c>
      <c r="D1091" s="32" t="s">
        <v>184</v>
      </c>
      <c r="E1091" s="32" t="s">
        <v>351</v>
      </c>
      <c r="F1091" s="32" t="s">
        <v>215</v>
      </c>
      <c r="G1091" s="32" t="s">
        <v>1590</v>
      </c>
    </row>
    <row r="1092" ht="16.5" customHeight="1">
      <c r="A1092" s="32">
        <v>1088.0</v>
      </c>
      <c r="C1092" s="32" t="s">
        <v>1591</v>
      </c>
      <c r="D1092" s="32" t="s">
        <v>184</v>
      </c>
      <c r="E1092" s="32" t="s">
        <v>351</v>
      </c>
      <c r="F1092" s="32" t="s">
        <v>215</v>
      </c>
    </row>
    <row r="1093" ht="16.5" customHeight="1">
      <c r="A1093" s="32">
        <v>1089.0</v>
      </c>
      <c r="C1093" s="32" t="s">
        <v>1592</v>
      </c>
      <c r="D1093" s="32" t="s">
        <v>184</v>
      </c>
      <c r="E1093" s="32" t="s">
        <v>192</v>
      </c>
      <c r="F1093" s="32" t="s">
        <v>215</v>
      </c>
      <c r="G1093" s="32" t="s">
        <v>329</v>
      </c>
    </row>
    <row r="1094" ht="16.5" customHeight="1">
      <c r="A1094" s="32">
        <v>1090.0</v>
      </c>
      <c r="C1094" s="32" t="s">
        <v>1593</v>
      </c>
      <c r="D1094" s="32" t="s">
        <v>184</v>
      </c>
      <c r="E1094" s="32" t="s">
        <v>192</v>
      </c>
      <c r="F1094" s="32" t="s">
        <v>215</v>
      </c>
      <c r="G1094" s="32" t="s">
        <v>329</v>
      </c>
      <c r="H1094" s="32" t="s">
        <v>330</v>
      </c>
    </row>
    <row r="1095" ht="16.5" customHeight="1">
      <c r="A1095" s="32">
        <v>1091.0</v>
      </c>
      <c r="C1095" s="32" t="s">
        <v>1594</v>
      </c>
      <c r="D1095" s="32" t="s">
        <v>184</v>
      </c>
      <c r="E1095" s="32" t="s">
        <v>219</v>
      </c>
      <c r="F1095" s="32" t="s">
        <v>215</v>
      </c>
    </row>
    <row r="1096" ht="16.5" customHeight="1">
      <c r="A1096" s="32">
        <v>1092.0</v>
      </c>
      <c r="C1096" s="32" t="s">
        <v>1595</v>
      </c>
      <c r="D1096" s="32" t="s">
        <v>184</v>
      </c>
      <c r="E1096" s="32" t="s">
        <v>219</v>
      </c>
      <c r="F1096" s="32" t="s">
        <v>215</v>
      </c>
    </row>
    <row r="1097" ht="16.5" customHeight="1">
      <c r="A1097" s="32">
        <v>1093.0</v>
      </c>
      <c r="C1097" s="32" t="s">
        <v>1596</v>
      </c>
      <c r="D1097" s="32" t="s">
        <v>184</v>
      </c>
      <c r="E1097" s="32" t="s">
        <v>219</v>
      </c>
      <c r="F1097" s="32" t="s">
        <v>215</v>
      </c>
    </row>
    <row r="1098" ht="16.5" customHeight="1">
      <c r="A1098" s="32">
        <v>1094.0</v>
      </c>
      <c r="C1098" s="32" t="s">
        <v>1597</v>
      </c>
      <c r="D1098" s="32" t="s">
        <v>184</v>
      </c>
      <c r="E1098" s="32" t="s">
        <v>219</v>
      </c>
      <c r="F1098" s="32" t="s">
        <v>215</v>
      </c>
    </row>
    <row r="1099" ht="16.5" customHeight="1">
      <c r="A1099" s="32">
        <v>1095.0</v>
      </c>
      <c r="C1099" s="32" t="s">
        <v>1598</v>
      </c>
      <c r="D1099" s="32" t="s">
        <v>184</v>
      </c>
      <c r="E1099" s="32" t="s">
        <v>192</v>
      </c>
      <c r="F1099" s="32" t="s">
        <v>215</v>
      </c>
    </row>
    <row r="1100" ht="16.5" customHeight="1">
      <c r="A1100" s="32">
        <v>1096.0</v>
      </c>
      <c r="C1100" s="32" t="s">
        <v>1599</v>
      </c>
      <c r="D1100" s="32" t="s">
        <v>184</v>
      </c>
      <c r="E1100" s="32" t="s">
        <v>228</v>
      </c>
      <c r="F1100" s="32" t="s">
        <v>215</v>
      </c>
      <c r="G1100" s="32" t="s">
        <v>408</v>
      </c>
      <c r="H1100" s="32" t="s">
        <v>452</v>
      </c>
    </row>
    <row r="1101" ht="16.5" customHeight="1">
      <c r="A1101" s="32">
        <v>1097.0</v>
      </c>
      <c r="C1101" s="32" t="s">
        <v>1600</v>
      </c>
      <c r="D1101" s="32" t="s">
        <v>184</v>
      </c>
      <c r="E1101" s="32" t="s">
        <v>228</v>
      </c>
      <c r="F1101" s="32" t="s">
        <v>215</v>
      </c>
      <c r="G1101" s="32" t="s">
        <v>408</v>
      </c>
      <c r="H1101" s="32" t="s">
        <v>1601</v>
      </c>
    </row>
    <row r="1102" ht="16.5" customHeight="1">
      <c r="A1102" s="32">
        <v>1098.0</v>
      </c>
      <c r="C1102" s="32" t="s">
        <v>1602</v>
      </c>
      <c r="D1102" s="32" t="s">
        <v>184</v>
      </c>
      <c r="E1102" s="32" t="s">
        <v>192</v>
      </c>
      <c r="F1102" s="32" t="s">
        <v>215</v>
      </c>
      <c r="G1102" s="32" t="s">
        <v>329</v>
      </c>
      <c r="H1102" s="32" t="s">
        <v>457</v>
      </c>
    </row>
    <row r="1103" ht="16.5" customHeight="1">
      <c r="A1103" s="32">
        <v>1099.0</v>
      </c>
      <c r="C1103" s="32" t="s">
        <v>1603</v>
      </c>
      <c r="D1103" s="32" t="s">
        <v>184</v>
      </c>
      <c r="E1103" s="32" t="s">
        <v>192</v>
      </c>
      <c r="F1103" s="32" t="s">
        <v>215</v>
      </c>
      <c r="G1103" s="32" t="s">
        <v>329</v>
      </c>
      <c r="H1103" s="32" t="s">
        <v>457</v>
      </c>
    </row>
    <row r="1104" ht="16.5" customHeight="1">
      <c r="A1104" s="32">
        <v>1100.0</v>
      </c>
      <c r="C1104" s="32" t="s">
        <v>1604</v>
      </c>
      <c r="D1104" s="32" t="s">
        <v>184</v>
      </c>
      <c r="E1104" s="32" t="s">
        <v>192</v>
      </c>
      <c r="F1104" s="32" t="s">
        <v>215</v>
      </c>
    </row>
    <row r="1105" ht="16.5" customHeight="1">
      <c r="A1105" s="32">
        <v>1101.0</v>
      </c>
      <c r="C1105" s="32" t="s">
        <v>1605</v>
      </c>
      <c r="D1105" s="32" t="s">
        <v>184</v>
      </c>
      <c r="E1105" s="32" t="s">
        <v>192</v>
      </c>
      <c r="F1105" s="32" t="s">
        <v>215</v>
      </c>
      <c r="G1105" s="32" t="s">
        <v>329</v>
      </c>
      <c r="H1105" s="32" t="s">
        <v>447</v>
      </c>
    </row>
    <row r="1106" ht="16.5" customHeight="1">
      <c r="A1106" s="32">
        <v>1102.0</v>
      </c>
      <c r="C1106" s="32" t="s">
        <v>1606</v>
      </c>
      <c r="D1106" s="32" t="s">
        <v>184</v>
      </c>
      <c r="E1106" s="32" t="s">
        <v>192</v>
      </c>
      <c r="F1106" s="32" t="s">
        <v>215</v>
      </c>
      <c r="G1106" s="32" t="s">
        <v>1607</v>
      </c>
      <c r="H1106" s="32" t="s">
        <v>662</v>
      </c>
    </row>
    <row r="1107" ht="16.5" customHeight="1">
      <c r="A1107" s="32">
        <v>1103.0</v>
      </c>
      <c r="C1107" s="32" t="s">
        <v>1608</v>
      </c>
      <c r="D1107" s="32" t="s">
        <v>184</v>
      </c>
      <c r="E1107" s="32" t="s">
        <v>192</v>
      </c>
      <c r="F1107" s="32" t="s">
        <v>215</v>
      </c>
      <c r="G1107" s="32" t="s">
        <v>329</v>
      </c>
      <c r="H1107" s="32" t="s">
        <v>357</v>
      </c>
    </row>
    <row r="1108" ht="16.5" customHeight="1">
      <c r="A1108" s="32">
        <v>1104.0</v>
      </c>
      <c r="C1108" s="32" t="s">
        <v>1609</v>
      </c>
      <c r="D1108" s="32" t="s">
        <v>184</v>
      </c>
      <c r="E1108" s="32" t="s">
        <v>192</v>
      </c>
      <c r="F1108" s="32" t="s">
        <v>215</v>
      </c>
      <c r="G1108" s="32" t="s">
        <v>329</v>
      </c>
      <c r="H1108" s="32" t="s">
        <v>357</v>
      </c>
    </row>
    <row r="1109" ht="16.5" customHeight="1">
      <c r="A1109" s="32">
        <v>1105.0</v>
      </c>
      <c r="C1109" s="32" t="s">
        <v>1610</v>
      </c>
      <c r="D1109" s="32" t="s">
        <v>184</v>
      </c>
      <c r="E1109" s="32" t="s">
        <v>254</v>
      </c>
      <c r="F1109" s="32" t="s">
        <v>215</v>
      </c>
      <c r="G1109" s="32" t="s">
        <v>257</v>
      </c>
      <c r="H1109" s="32" t="s">
        <v>271</v>
      </c>
    </row>
    <row r="1110" ht="16.5" customHeight="1">
      <c r="A1110" s="32">
        <v>1106.0</v>
      </c>
      <c r="C1110" s="32" t="s">
        <v>1611</v>
      </c>
      <c r="D1110" s="32" t="s">
        <v>184</v>
      </c>
      <c r="E1110" s="32" t="s">
        <v>254</v>
      </c>
      <c r="F1110" s="32" t="s">
        <v>215</v>
      </c>
      <c r="G1110" s="32" t="s">
        <v>257</v>
      </c>
      <c r="H1110" s="32" t="s">
        <v>271</v>
      </c>
    </row>
    <row r="1111" ht="16.5" customHeight="1">
      <c r="A1111" s="32">
        <v>1107.0</v>
      </c>
      <c r="C1111" s="32" t="s">
        <v>1612</v>
      </c>
      <c r="D1111" s="32" t="s">
        <v>184</v>
      </c>
      <c r="E1111" s="32" t="s">
        <v>192</v>
      </c>
      <c r="F1111" s="32" t="s">
        <v>215</v>
      </c>
      <c r="G1111" s="32" t="s">
        <v>329</v>
      </c>
      <c r="H1111" s="32" t="s">
        <v>357</v>
      </c>
    </row>
    <row r="1112" ht="16.5" customHeight="1">
      <c r="A1112" s="32">
        <v>1108.0</v>
      </c>
      <c r="C1112" s="32" t="s">
        <v>1613</v>
      </c>
      <c r="D1112" s="32" t="s">
        <v>184</v>
      </c>
      <c r="E1112" s="32" t="s">
        <v>192</v>
      </c>
      <c r="F1112" s="32" t="s">
        <v>215</v>
      </c>
      <c r="G1112" s="32" t="s">
        <v>329</v>
      </c>
      <c r="H1112" s="32" t="s">
        <v>447</v>
      </c>
    </row>
    <row r="1113" ht="16.5" customHeight="1">
      <c r="A1113" s="32">
        <v>1109.0</v>
      </c>
      <c r="C1113" s="32" t="s">
        <v>1614</v>
      </c>
      <c r="D1113" s="32" t="s">
        <v>184</v>
      </c>
      <c r="E1113" s="32" t="s">
        <v>219</v>
      </c>
      <c r="F1113" s="32" t="s">
        <v>215</v>
      </c>
      <c r="G1113" s="32" t="s">
        <v>223</v>
      </c>
      <c r="H1113" s="32" t="s">
        <v>472</v>
      </c>
    </row>
    <row r="1114" ht="16.5" customHeight="1">
      <c r="A1114" s="32">
        <v>1110.0</v>
      </c>
      <c r="C1114" s="32" t="s">
        <v>1615</v>
      </c>
      <c r="D1114" s="32" t="s">
        <v>184</v>
      </c>
      <c r="E1114" s="32" t="s">
        <v>192</v>
      </c>
      <c r="F1114" s="32" t="s">
        <v>215</v>
      </c>
      <c r="G1114" s="32" t="s">
        <v>1607</v>
      </c>
      <c r="H1114" s="32" t="s">
        <v>408</v>
      </c>
    </row>
    <row r="1115" ht="16.5" customHeight="1">
      <c r="A1115" s="32">
        <v>1111.0</v>
      </c>
      <c r="C1115" s="32" t="s">
        <v>1616</v>
      </c>
      <c r="D1115" s="32" t="s">
        <v>184</v>
      </c>
      <c r="E1115" s="32" t="s">
        <v>192</v>
      </c>
      <c r="F1115" s="32" t="s">
        <v>215</v>
      </c>
      <c r="G1115" s="32" t="s">
        <v>347</v>
      </c>
      <c r="H1115" s="32" t="s">
        <v>882</v>
      </c>
    </row>
    <row r="1116" ht="16.5" customHeight="1">
      <c r="A1116" s="32">
        <v>1112.0</v>
      </c>
      <c r="C1116" s="32" t="s">
        <v>1617</v>
      </c>
      <c r="D1116" s="32" t="s">
        <v>184</v>
      </c>
      <c r="E1116" s="32" t="s">
        <v>228</v>
      </c>
      <c r="F1116" s="32" t="s">
        <v>215</v>
      </c>
      <c r="G1116" s="32" t="s">
        <v>472</v>
      </c>
    </row>
    <row r="1117" ht="16.5" customHeight="1">
      <c r="A1117" s="32">
        <v>1113.0</v>
      </c>
      <c r="C1117" s="32" t="s">
        <v>1618</v>
      </c>
      <c r="D1117" s="32" t="s">
        <v>184</v>
      </c>
      <c r="E1117" s="32" t="s">
        <v>228</v>
      </c>
      <c r="F1117" s="32" t="s">
        <v>215</v>
      </c>
      <c r="G1117" s="32" t="s">
        <v>229</v>
      </c>
      <c r="H1117" s="32" t="s">
        <v>230</v>
      </c>
    </row>
    <row r="1118" ht="16.5" customHeight="1">
      <c r="A1118" s="32">
        <v>1114.0</v>
      </c>
      <c r="C1118" s="32" t="s">
        <v>1619</v>
      </c>
      <c r="D1118" s="32" t="s">
        <v>184</v>
      </c>
      <c r="E1118" s="32" t="s">
        <v>228</v>
      </c>
      <c r="F1118" s="32" t="s">
        <v>215</v>
      </c>
    </row>
    <row r="1119" ht="16.5" customHeight="1">
      <c r="A1119" s="32">
        <v>1115.0</v>
      </c>
      <c r="C1119" s="32" t="s">
        <v>1620</v>
      </c>
      <c r="D1119" s="32" t="s">
        <v>184</v>
      </c>
      <c r="E1119" s="32" t="s">
        <v>192</v>
      </c>
      <c r="F1119" s="32" t="s">
        <v>215</v>
      </c>
      <c r="G1119" s="32" t="s">
        <v>238</v>
      </c>
      <c r="H1119" s="32" t="s">
        <v>1621</v>
      </c>
    </row>
    <row r="1120" ht="16.5" customHeight="1">
      <c r="A1120" s="32">
        <v>1116.0</v>
      </c>
      <c r="C1120" s="32" t="s">
        <v>1622</v>
      </c>
      <c r="D1120" s="32" t="s">
        <v>184</v>
      </c>
      <c r="E1120" s="32" t="s">
        <v>192</v>
      </c>
      <c r="F1120" s="32" t="s">
        <v>215</v>
      </c>
    </row>
    <row r="1121" ht="16.5" customHeight="1">
      <c r="A1121" s="32">
        <v>1117.0</v>
      </c>
      <c r="C1121" s="32" t="s">
        <v>1623</v>
      </c>
      <c r="D1121" s="32" t="s">
        <v>184</v>
      </c>
      <c r="E1121" s="32" t="s">
        <v>254</v>
      </c>
      <c r="F1121" s="32" t="s">
        <v>215</v>
      </c>
      <c r="G1121" s="32" t="s">
        <v>257</v>
      </c>
    </row>
    <row r="1122" ht="16.5" customHeight="1">
      <c r="A1122" s="32">
        <v>1118.0</v>
      </c>
      <c r="C1122" s="32" t="s">
        <v>1624</v>
      </c>
      <c r="D1122" s="32" t="s">
        <v>184</v>
      </c>
      <c r="E1122" s="32" t="s">
        <v>254</v>
      </c>
      <c r="F1122" s="32" t="s">
        <v>215</v>
      </c>
    </row>
    <row r="1123" ht="16.5" customHeight="1">
      <c r="A1123" s="32">
        <v>1119.0</v>
      </c>
      <c r="C1123" s="32" t="s">
        <v>1625</v>
      </c>
      <c r="D1123" s="32" t="s">
        <v>184</v>
      </c>
      <c r="E1123" s="32" t="s">
        <v>254</v>
      </c>
      <c r="F1123" s="32" t="s">
        <v>215</v>
      </c>
      <c r="G1123" s="32" t="s">
        <v>257</v>
      </c>
      <c r="H1123" s="32" t="s">
        <v>271</v>
      </c>
    </row>
    <row r="1124" ht="16.5" customHeight="1">
      <c r="A1124" s="32">
        <v>1120.0</v>
      </c>
      <c r="C1124" s="32" t="s">
        <v>1626</v>
      </c>
      <c r="D1124" s="32" t="s">
        <v>184</v>
      </c>
      <c r="E1124" s="32" t="s">
        <v>254</v>
      </c>
      <c r="F1124" s="32" t="s">
        <v>215</v>
      </c>
      <c r="G1124" s="32" t="s">
        <v>257</v>
      </c>
      <c r="H1124" s="32" t="s">
        <v>256</v>
      </c>
    </row>
    <row r="1125" ht="16.5" customHeight="1">
      <c r="A1125" s="32">
        <v>1121.0</v>
      </c>
      <c r="C1125" s="32" t="s">
        <v>1627</v>
      </c>
      <c r="D1125" s="32" t="s">
        <v>184</v>
      </c>
      <c r="E1125" s="32" t="s">
        <v>254</v>
      </c>
      <c r="F1125" s="32" t="s">
        <v>215</v>
      </c>
      <c r="G1125" s="32" t="s">
        <v>257</v>
      </c>
    </row>
    <row r="1126" ht="16.5" customHeight="1">
      <c r="A1126" s="32">
        <v>1122.0</v>
      </c>
      <c r="C1126" s="32" t="s">
        <v>1628</v>
      </c>
      <c r="D1126" s="32" t="s">
        <v>184</v>
      </c>
      <c r="E1126" s="32" t="s">
        <v>254</v>
      </c>
      <c r="F1126" s="32" t="s">
        <v>215</v>
      </c>
    </row>
    <row r="1127" ht="16.5" customHeight="1">
      <c r="A1127" s="32">
        <v>1123.0</v>
      </c>
      <c r="C1127" s="32" t="s">
        <v>1629</v>
      </c>
      <c r="D1127" s="32" t="s">
        <v>184</v>
      </c>
      <c r="E1127" s="32" t="s">
        <v>228</v>
      </c>
      <c r="F1127" s="32" t="s">
        <v>215</v>
      </c>
    </row>
    <row r="1128" ht="16.5" customHeight="1">
      <c r="A1128" s="32">
        <v>1124.0</v>
      </c>
      <c r="C1128" s="32" t="s">
        <v>1630</v>
      </c>
      <c r="D1128" s="32" t="s">
        <v>184</v>
      </c>
      <c r="E1128" s="32" t="s">
        <v>228</v>
      </c>
      <c r="F1128" s="32" t="s">
        <v>215</v>
      </c>
    </row>
    <row r="1129" ht="16.5" customHeight="1">
      <c r="A1129" s="32">
        <v>1125.0</v>
      </c>
      <c r="C1129" s="32" t="s">
        <v>1631</v>
      </c>
      <c r="D1129" s="32" t="s">
        <v>184</v>
      </c>
      <c r="E1129" s="32" t="s">
        <v>219</v>
      </c>
      <c r="F1129" s="32" t="s">
        <v>215</v>
      </c>
      <c r="G1129" s="32" t="s">
        <v>223</v>
      </c>
    </row>
    <row r="1130" ht="16.5" customHeight="1">
      <c r="A1130" s="32">
        <v>1126.0</v>
      </c>
      <c r="C1130" s="32" t="s">
        <v>1632</v>
      </c>
      <c r="D1130" s="32" t="s">
        <v>184</v>
      </c>
      <c r="E1130" s="32" t="s">
        <v>254</v>
      </c>
      <c r="F1130" s="32" t="s">
        <v>215</v>
      </c>
    </row>
    <row r="1131" ht="16.5" customHeight="1">
      <c r="A1131" s="32">
        <v>1127.0</v>
      </c>
      <c r="C1131" s="32" t="s">
        <v>1633</v>
      </c>
      <c r="D1131" s="32" t="s">
        <v>184</v>
      </c>
      <c r="E1131" s="32" t="s">
        <v>192</v>
      </c>
      <c r="F1131" s="32" t="s">
        <v>215</v>
      </c>
      <c r="G1131" s="32" t="s">
        <v>1634</v>
      </c>
      <c r="H1131" s="32" t="s">
        <v>1635</v>
      </c>
    </row>
    <row r="1132" ht="16.5" customHeight="1">
      <c r="A1132" s="32">
        <v>1128.0</v>
      </c>
      <c r="C1132" s="32" t="s">
        <v>1636</v>
      </c>
      <c r="D1132" s="32" t="s">
        <v>184</v>
      </c>
      <c r="E1132" s="35" t="s">
        <v>484</v>
      </c>
      <c r="F1132" s="32" t="s">
        <v>215</v>
      </c>
    </row>
    <row r="1133" ht="16.5" customHeight="1">
      <c r="A1133" s="32">
        <v>1129.0</v>
      </c>
      <c r="C1133" s="32" t="s">
        <v>1637</v>
      </c>
      <c r="D1133" s="32" t="s">
        <v>184</v>
      </c>
      <c r="E1133" s="32" t="s">
        <v>219</v>
      </c>
      <c r="F1133" s="32" t="s">
        <v>215</v>
      </c>
      <c r="G1133" s="32" t="s">
        <v>232</v>
      </c>
      <c r="H1133" s="32" t="s">
        <v>233</v>
      </c>
    </row>
    <row r="1134" ht="16.5" customHeight="1">
      <c r="A1134" s="32">
        <v>1130.0</v>
      </c>
      <c r="C1134" s="32" t="s">
        <v>1638</v>
      </c>
      <c r="D1134" s="32" t="s">
        <v>184</v>
      </c>
      <c r="E1134" s="32" t="s">
        <v>219</v>
      </c>
      <c r="F1134" s="32" t="s">
        <v>215</v>
      </c>
    </row>
    <row r="1135" ht="16.5" customHeight="1">
      <c r="A1135" s="32">
        <v>1131.0</v>
      </c>
      <c r="C1135" s="32" t="s">
        <v>1639</v>
      </c>
      <c r="D1135" s="32" t="s">
        <v>184</v>
      </c>
      <c r="E1135" s="32" t="s">
        <v>185</v>
      </c>
      <c r="F1135" s="32" t="s">
        <v>215</v>
      </c>
      <c r="G1135" s="32" t="s">
        <v>189</v>
      </c>
      <c r="H1135" s="32" t="s">
        <v>190</v>
      </c>
    </row>
    <row r="1136" ht="16.5" customHeight="1">
      <c r="A1136" s="32">
        <v>1132.0</v>
      </c>
      <c r="C1136" s="32" t="s">
        <v>1640</v>
      </c>
      <c r="D1136" s="32" t="s">
        <v>184</v>
      </c>
      <c r="E1136" s="32" t="s">
        <v>234</v>
      </c>
      <c r="F1136" s="32" t="s">
        <v>215</v>
      </c>
    </row>
    <row r="1137" ht="16.5" customHeight="1">
      <c r="A1137" s="32">
        <v>1133.0</v>
      </c>
      <c r="C1137" s="32" t="s">
        <v>1641</v>
      </c>
      <c r="D1137" s="32" t="s">
        <v>184</v>
      </c>
      <c r="E1137" s="32" t="s">
        <v>214</v>
      </c>
      <c r="F1137" s="32" t="s">
        <v>215</v>
      </c>
      <c r="G1137" s="32" t="s">
        <v>720</v>
      </c>
    </row>
    <row r="1138" ht="16.5" customHeight="1">
      <c r="A1138" s="32">
        <v>1134.0</v>
      </c>
      <c r="C1138" s="32" t="s">
        <v>1642</v>
      </c>
      <c r="D1138" s="32" t="s">
        <v>184</v>
      </c>
      <c r="E1138" s="32" t="s">
        <v>219</v>
      </c>
      <c r="F1138" s="32" t="s">
        <v>215</v>
      </c>
    </row>
    <row r="1139" ht="16.5" customHeight="1">
      <c r="A1139" s="32">
        <v>1135.0</v>
      </c>
      <c r="C1139" s="32" t="s">
        <v>1643</v>
      </c>
      <c r="D1139" s="32" t="s">
        <v>184</v>
      </c>
      <c r="E1139" s="32" t="s">
        <v>325</v>
      </c>
      <c r="F1139" s="32" t="s">
        <v>215</v>
      </c>
      <c r="G1139" s="32" t="s">
        <v>368</v>
      </c>
      <c r="H1139" s="32" t="s">
        <v>463</v>
      </c>
    </row>
    <row r="1140" ht="16.5" customHeight="1">
      <c r="A1140" s="32">
        <v>1136.0</v>
      </c>
      <c r="C1140" s="32" t="s">
        <v>1644</v>
      </c>
      <c r="D1140" s="32" t="s">
        <v>184</v>
      </c>
      <c r="E1140" s="32" t="s">
        <v>234</v>
      </c>
      <c r="F1140" s="32" t="s">
        <v>215</v>
      </c>
      <c r="G1140" s="32" t="s">
        <v>347</v>
      </c>
      <c r="H1140" s="32" t="s">
        <v>382</v>
      </c>
    </row>
    <row r="1141" ht="16.5" customHeight="1">
      <c r="A1141" s="32">
        <v>1137.0</v>
      </c>
      <c r="C1141" s="32" t="s">
        <v>1644</v>
      </c>
      <c r="D1141" s="32" t="s">
        <v>184</v>
      </c>
      <c r="E1141" s="32" t="s">
        <v>234</v>
      </c>
      <c r="F1141" s="32" t="s">
        <v>215</v>
      </c>
      <c r="G1141" s="32" t="s">
        <v>235</v>
      </c>
    </row>
    <row r="1142" ht="16.5" customHeight="1">
      <c r="A1142" s="32">
        <v>1138.0</v>
      </c>
      <c r="C1142" s="32" t="s">
        <v>1645</v>
      </c>
      <c r="D1142" s="32" t="s">
        <v>184</v>
      </c>
      <c r="E1142" s="32" t="s">
        <v>192</v>
      </c>
      <c r="F1142" s="32" t="s">
        <v>215</v>
      </c>
      <c r="G1142" s="32" t="s">
        <v>570</v>
      </c>
      <c r="H1142" s="32" t="s">
        <v>447</v>
      </c>
    </row>
    <row r="1143" ht="16.5" customHeight="1">
      <c r="A1143" s="32">
        <v>1139.0</v>
      </c>
      <c r="C1143" s="32" t="s">
        <v>1646</v>
      </c>
      <c r="D1143" s="32" t="s">
        <v>184</v>
      </c>
      <c r="E1143" s="32" t="s">
        <v>219</v>
      </c>
      <c r="F1143" s="32" t="s">
        <v>215</v>
      </c>
      <c r="G1143" s="32" t="s">
        <v>223</v>
      </c>
      <c r="H1143" s="32" t="s">
        <v>472</v>
      </c>
    </row>
    <row r="1144" ht="16.5" customHeight="1">
      <c r="A1144" s="32">
        <v>1140.0</v>
      </c>
      <c r="C1144" s="32" t="s">
        <v>1647</v>
      </c>
      <c r="D1144" s="32" t="s">
        <v>184</v>
      </c>
      <c r="E1144" s="32" t="s">
        <v>228</v>
      </c>
      <c r="F1144" s="32" t="s">
        <v>215</v>
      </c>
      <c r="G1144" s="32" t="s">
        <v>408</v>
      </c>
      <c r="H1144" s="32" t="s">
        <v>452</v>
      </c>
    </row>
    <row r="1145" ht="16.5" customHeight="1">
      <c r="A1145" s="32">
        <v>1141.0</v>
      </c>
      <c r="C1145" s="32" t="s">
        <v>1648</v>
      </c>
      <c r="D1145" s="32" t="s">
        <v>184</v>
      </c>
      <c r="E1145" s="32" t="s">
        <v>219</v>
      </c>
      <c r="F1145" s="32" t="s">
        <v>215</v>
      </c>
      <c r="G1145" s="32" t="s">
        <v>223</v>
      </c>
    </row>
    <row r="1146" ht="16.5" customHeight="1">
      <c r="A1146" s="32">
        <v>1142.0</v>
      </c>
      <c r="C1146" s="32" t="s">
        <v>1649</v>
      </c>
      <c r="D1146" s="32" t="s">
        <v>184</v>
      </c>
      <c r="E1146" s="32" t="s">
        <v>254</v>
      </c>
      <c r="F1146" s="32" t="s">
        <v>215</v>
      </c>
      <c r="G1146" s="32" t="s">
        <v>256</v>
      </c>
      <c r="H1146" s="32" t="s">
        <v>257</v>
      </c>
    </row>
    <row r="1147" ht="16.5" customHeight="1">
      <c r="A1147" s="32">
        <v>1143.0</v>
      </c>
      <c r="C1147" s="32" t="s">
        <v>1650</v>
      </c>
      <c r="D1147" s="32" t="s">
        <v>184</v>
      </c>
      <c r="E1147" s="32" t="s">
        <v>254</v>
      </c>
      <c r="F1147" s="32" t="s">
        <v>215</v>
      </c>
    </row>
    <row r="1148" ht="16.5" customHeight="1">
      <c r="A1148" s="32">
        <v>1144.0</v>
      </c>
      <c r="C1148" s="32" t="s">
        <v>1651</v>
      </c>
      <c r="D1148" s="32" t="s">
        <v>184</v>
      </c>
      <c r="E1148" s="32" t="s">
        <v>254</v>
      </c>
      <c r="F1148" s="32" t="s">
        <v>215</v>
      </c>
      <c r="G1148" s="32" t="s">
        <v>256</v>
      </c>
      <c r="H1148" s="32" t="s">
        <v>257</v>
      </c>
    </row>
    <row r="1149" ht="16.5" customHeight="1">
      <c r="A1149" s="32">
        <v>1145.0</v>
      </c>
      <c r="C1149" s="32" t="s">
        <v>1652</v>
      </c>
      <c r="D1149" s="32" t="s">
        <v>184</v>
      </c>
      <c r="E1149" s="32" t="s">
        <v>254</v>
      </c>
      <c r="F1149" s="32" t="s">
        <v>215</v>
      </c>
      <c r="G1149" s="32" t="s">
        <v>256</v>
      </c>
      <c r="H1149" s="32" t="s">
        <v>257</v>
      </c>
    </row>
    <row r="1150" ht="16.5" customHeight="1">
      <c r="A1150" s="32">
        <v>1146.0</v>
      </c>
      <c r="C1150" s="32" t="s">
        <v>1653</v>
      </c>
      <c r="D1150" s="32" t="s">
        <v>184</v>
      </c>
      <c r="E1150" s="32" t="s">
        <v>228</v>
      </c>
      <c r="F1150" s="32" t="s">
        <v>215</v>
      </c>
      <c r="G1150" s="32" t="s">
        <v>408</v>
      </c>
      <c r="H1150" s="32" t="s">
        <v>490</v>
      </c>
    </row>
    <row r="1151" ht="16.5" customHeight="1">
      <c r="A1151" s="32">
        <v>1147.0</v>
      </c>
      <c r="C1151" s="32" t="s">
        <v>1654</v>
      </c>
      <c r="D1151" s="32" t="s">
        <v>184</v>
      </c>
      <c r="E1151" s="32" t="s">
        <v>228</v>
      </c>
      <c r="F1151" s="32" t="s">
        <v>215</v>
      </c>
      <c r="G1151" s="32" t="s">
        <v>408</v>
      </c>
      <c r="H1151" s="32" t="s">
        <v>490</v>
      </c>
    </row>
    <row r="1152" ht="16.5" customHeight="1">
      <c r="A1152" s="32">
        <v>1148.0</v>
      </c>
      <c r="C1152" s="32" t="s">
        <v>1655</v>
      </c>
      <c r="D1152" s="32" t="s">
        <v>184</v>
      </c>
      <c r="E1152" s="32" t="s">
        <v>234</v>
      </c>
      <c r="F1152" s="32" t="s">
        <v>215</v>
      </c>
      <c r="G1152" s="32" t="s">
        <v>347</v>
      </c>
      <c r="H1152" s="32" t="s">
        <v>882</v>
      </c>
    </row>
    <row r="1153" ht="16.5" customHeight="1">
      <c r="A1153" s="32">
        <v>1149.0</v>
      </c>
      <c r="C1153" s="32" t="s">
        <v>1656</v>
      </c>
      <c r="D1153" s="32" t="s">
        <v>184</v>
      </c>
      <c r="E1153" s="32" t="s">
        <v>228</v>
      </c>
      <c r="F1153" s="32" t="s">
        <v>215</v>
      </c>
      <c r="G1153" s="32" t="s">
        <v>229</v>
      </c>
      <c r="H1153" s="32" t="s">
        <v>1657</v>
      </c>
    </row>
    <row r="1154" ht="16.5" customHeight="1">
      <c r="A1154" s="32">
        <v>1150.0</v>
      </c>
      <c r="C1154" s="32" t="s">
        <v>1658</v>
      </c>
      <c r="D1154" s="32" t="s">
        <v>184</v>
      </c>
      <c r="E1154" s="32" t="s">
        <v>219</v>
      </c>
      <c r="F1154" s="32" t="s">
        <v>215</v>
      </c>
      <c r="G1154" s="32" t="s">
        <v>223</v>
      </c>
    </row>
    <row r="1155" ht="16.5" customHeight="1">
      <c r="A1155" s="32">
        <v>1151.0</v>
      </c>
      <c r="C1155" s="32" t="s">
        <v>1659</v>
      </c>
      <c r="D1155" s="32" t="s">
        <v>184</v>
      </c>
      <c r="E1155" s="32" t="s">
        <v>185</v>
      </c>
      <c r="F1155" s="32" t="s">
        <v>215</v>
      </c>
      <c r="G1155" s="32" t="s">
        <v>187</v>
      </c>
      <c r="H1155" s="32" t="s">
        <v>188</v>
      </c>
    </row>
    <row r="1156" ht="16.5" customHeight="1">
      <c r="A1156" s="32">
        <v>1152.0</v>
      </c>
      <c r="C1156" s="32" t="s">
        <v>1660</v>
      </c>
      <c r="D1156" s="32" t="s">
        <v>184</v>
      </c>
      <c r="E1156" s="32" t="s">
        <v>185</v>
      </c>
      <c r="F1156" s="32" t="s">
        <v>215</v>
      </c>
      <c r="G1156" s="32" t="s">
        <v>187</v>
      </c>
      <c r="H1156" s="32" t="s">
        <v>188</v>
      </c>
    </row>
    <row r="1157" ht="16.5" customHeight="1">
      <c r="A1157" s="32">
        <v>1153.0</v>
      </c>
      <c r="C1157" s="32" t="s">
        <v>1661</v>
      </c>
      <c r="D1157" s="32" t="s">
        <v>184</v>
      </c>
      <c r="E1157" s="32" t="s">
        <v>185</v>
      </c>
      <c r="F1157" s="32" t="s">
        <v>346</v>
      </c>
    </row>
    <row r="1158" ht="16.5" customHeight="1">
      <c r="A1158" s="32">
        <v>1154.0</v>
      </c>
      <c r="C1158" s="32" t="s">
        <v>1662</v>
      </c>
      <c r="D1158" s="32" t="s">
        <v>184</v>
      </c>
      <c r="E1158" s="32" t="s">
        <v>219</v>
      </c>
      <c r="F1158" s="32" t="s">
        <v>215</v>
      </c>
      <c r="G1158" s="32" t="s">
        <v>241</v>
      </c>
      <c r="H1158" s="32" t="s">
        <v>232</v>
      </c>
    </row>
    <row r="1159" ht="16.5" customHeight="1">
      <c r="A1159" s="32">
        <v>1155.0</v>
      </c>
      <c r="C1159" s="32" t="s">
        <v>1663</v>
      </c>
      <c r="D1159" s="32" t="s">
        <v>184</v>
      </c>
      <c r="E1159" s="32" t="s">
        <v>219</v>
      </c>
      <c r="F1159" s="32" t="s">
        <v>215</v>
      </c>
      <c r="G1159" s="32" t="s">
        <v>241</v>
      </c>
      <c r="H1159" s="32" t="s">
        <v>292</v>
      </c>
    </row>
    <row r="1160" ht="16.5" customHeight="1">
      <c r="A1160" s="32">
        <v>1156.0</v>
      </c>
      <c r="C1160" s="32" t="s">
        <v>1664</v>
      </c>
      <c r="D1160" s="32" t="s">
        <v>184</v>
      </c>
      <c r="E1160" s="32" t="s">
        <v>192</v>
      </c>
      <c r="F1160" s="32" t="s">
        <v>215</v>
      </c>
      <c r="G1160" s="32" t="s">
        <v>300</v>
      </c>
      <c r="H1160" s="32" t="s">
        <v>781</v>
      </c>
    </row>
    <row r="1161" ht="16.5" customHeight="1">
      <c r="A1161" s="32">
        <v>1157.0</v>
      </c>
      <c r="C1161" s="32" t="s">
        <v>1665</v>
      </c>
      <c r="D1161" s="32" t="s">
        <v>184</v>
      </c>
      <c r="E1161" s="32" t="s">
        <v>285</v>
      </c>
      <c r="F1161" s="32" t="s">
        <v>215</v>
      </c>
    </row>
    <row r="1162" ht="16.5" customHeight="1">
      <c r="A1162" s="32">
        <v>1158.0</v>
      </c>
      <c r="C1162" s="32" t="s">
        <v>1666</v>
      </c>
      <c r="D1162" s="32" t="s">
        <v>184</v>
      </c>
      <c r="E1162" s="32" t="s">
        <v>254</v>
      </c>
      <c r="F1162" s="32" t="s">
        <v>215</v>
      </c>
      <c r="G1162" s="32" t="s">
        <v>257</v>
      </c>
      <c r="H1162" s="32" t="s">
        <v>1667</v>
      </c>
    </row>
    <row r="1163" ht="16.5" customHeight="1">
      <c r="A1163" s="32">
        <v>1159.0</v>
      </c>
      <c r="C1163" s="32" t="s">
        <v>1668</v>
      </c>
      <c r="D1163" s="32" t="s">
        <v>184</v>
      </c>
      <c r="E1163" s="32" t="s">
        <v>219</v>
      </c>
      <c r="F1163" s="32" t="s">
        <v>215</v>
      </c>
    </row>
    <row r="1164" ht="16.5" customHeight="1">
      <c r="A1164" s="32">
        <v>1160.0</v>
      </c>
      <c r="C1164" s="32" t="s">
        <v>1669</v>
      </c>
      <c r="D1164" s="32" t="s">
        <v>184</v>
      </c>
      <c r="E1164" s="32" t="s">
        <v>219</v>
      </c>
      <c r="F1164" s="32" t="s">
        <v>215</v>
      </c>
      <c r="G1164" s="32" t="s">
        <v>223</v>
      </c>
    </row>
    <row r="1165" ht="16.5" customHeight="1">
      <c r="A1165" s="32">
        <v>1161.0</v>
      </c>
      <c r="C1165" s="32" t="s">
        <v>1670</v>
      </c>
      <c r="D1165" s="32" t="s">
        <v>184</v>
      </c>
      <c r="E1165" s="32" t="s">
        <v>219</v>
      </c>
      <c r="F1165" s="32" t="s">
        <v>215</v>
      </c>
      <c r="G1165" s="32" t="s">
        <v>223</v>
      </c>
    </row>
    <row r="1166" ht="16.5" customHeight="1">
      <c r="A1166" s="32">
        <v>1162.0</v>
      </c>
      <c r="C1166" s="32" t="s">
        <v>1671</v>
      </c>
      <c r="D1166" s="32" t="s">
        <v>184</v>
      </c>
      <c r="E1166" s="32" t="s">
        <v>219</v>
      </c>
      <c r="F1166" s="32" t="s">
        <v>215</v>
      </c>
      <c r="G1166" s="32" t="s">
        <v>223</v>
      </c>
    </row>
    <row r="1167" ht="16.5" customHeight="1">
      <c r="A1167" s="32">
        <v>1163.0</v>
      </c>
      <c r="C1167" s="32" t="s">
        <v>1672</v>
      </c>
      <c r="D1167" s="32" t="s">
        <v>184</v>
      </c>
      <c r="E1167" s="32" t="s">
        <v>325</v>
      </c>
      <c r="F1167" s="32" t="s">
        <v>215</v>
      </c>
      <c r="G1167" s="32" t="s">
        <v>368</v>
      </c>
      <c r="H1167" s="32" t="s">
        <v>463</v>
      </c>
    </row>
    <row r="1168" ht="16.5" customHeight="1">
      <c r="A1168" s="32">
        <v>1164.0</v>
      </c>
      <c r="C1168" s="32" t="s">
        <v>1673</v>
      </c>
      <c r="D1168" s="32" t="s">
        <v>184</v>
      </c>
      <c r="E1168" s="32" t="s">
        <v>214</v>
      </c>
      <c r="F1168" s="32" t="s">
        <v>215</v>
      </c>
      <c r="G1168" s="32" t="s">
        <v>216</v>
      </c>
      <c r="H1168" s="32" t="s">
        <v>217</v>
      </c>
    </row>
    <row r="1169" ht="16.5" customHeight="1">
      <c r="A1169" s="32">
        <v>1165.0</v>
      </c>
      <c r="C1169" s="32" t="s">
        <v>1674</v>
      </c>
      <c r="D1169" s="32" t="s">
        <v>184</v>
      </c>
      <c r="E1169" s="32" t="s">
        <v>228</v>
      </c>
      <c r="F1169" s="32" t="s">
        <v>215</v>
      </c>
      <c r="G1169" s="32" t="s">
        <v>408</v>
      </c>
      <c r="H1169" s="32" t="s">
        <v>731</v>
      </c>
    </row>
    <row r="1170" ht="16.5" customHeight="1">
      <c r="A1170" s="32">
        <v>1166.0</v>
      </c>
      <c r="C1170" s="32" t="s">
        <v>1675</v>
      </c>
      <c r="D1170" s="32" t="s">
        <v>184</v>
      </c>
      <c r="E1170" s="32" t="s">
        <v>228</v>
      </c>
      <c r="F1170" s="32" t="s">
        <v>215</v>
      </c>
      <c r="G1170" s="32" t="s">
        <v>408</v>
      </c>
      <c r="H1170" s="32" t="s">
        <v>490</v>
      </c>
    </row>
    <row r="1171" ht="16.5" customHeight="1">
      <c r="A1171" s="32">
        <v>1167.0</v>
      </c>
      <c r="C1171" s="32" t="s">
        <v>1676</v>
      </c>
      <c r="D1171" s="32" t="s">
        <v>184</v>
      </c>
      <c r="E1171" s="32" t="s">
        <v>228</v>
      </c>
      <c r="F1171" s="32" t="s">
        <v>215</v>
      </c>
      <c r="G1171" s="32" t="s">
        <v>408</v>
      </c>
      <c r="H1171" s="32" t="s">
        <v>452</v>
      </c>
    </row>
    <row r="1172" ht="16.5" customHeight="1">
      <c r="A1172" s="32">
        <v>1168.0</v>
      </c>
      <c r="C1172" s="32" t="s">
        <v>1677</v>
      </c>
      <c r="D1172" s="32" t="s">
        <v>184</v>
      </c>
      <c r="E1172" s="32" t="s">
        <v>214</v>
      </c>
      <c r="F1172" s="32" t="s">
        <v>215</v>
      </c>
      <c r="G1172" s="32" t="s">
        <v>216</v>
      </c>
      <c r="H1172" s="32" t="s">
        <v>217</v>
      </c>
    </row>
    <row r="1173" ht="16.5" customHeight="1">
      <c r="A1173" s="32">
        <v>1169.0</v>
      </c>
      <c r="C1173" s="32" t="s">
        <v>1678</v>
      </c>
      <c r="D1173" s="32" t="s">
        <v>184</v>
      </c>
      <c r="E1173" s="32" t="s">
        <v>214</v>
      </c>
      <c r="F1173" s="32" t="s">
        <v>215</v>
      </c>
      <c r="G1173" s="32" t="s">
        <v>216</v>
      </c>
      <c r="H1173" s="32" t="s">
        <v>217</v>
      </c>
    </row>
    <row r="1174" ht="16.5" customHeight="1">
      <c r="A1174" s="32">
        <v>1170.0</v>
      </c>
      <c r="C1174" s="32" t="s">
        <v>1679</v>
      </c>
      <c r="D1174" s="32" t="s">
        <v>184</v>
      </c>
      <c r="E1174" s="32" t="s">
        <v>219</v>
      </c>
      <c r="F1174" s="32" t="s">
        <v>215</v>
      </c>
    </row>
    <row r="1175" ht="16.5" customHeight="1">
      <c r="A1175" s="32">
        <v>1171.0</v>
      </c>
      <c r="C1175" s="32" t="s">
        <v>1680</v>
      </c>
      <c r="D1175" s="32" t="s">
        <v>184</v>
      </c>
      <c r="E1175" s="32" t="s">
        <v>192</v>
      </c>
      <c r="F1175" s="32" t="s">
        <v>215</v>
      </c>
      <c r="G1175" s="32" t="s">
        <v>570</v>
      </c>
      <c r="H1175" s="32" t="s">
        <v>447</v>
      </c>
    </row>
    <row r="1176" ht="16.5" customHeight="1">
      <c r="A1176" s="32">
        <v>1172.0</v>
      </c>
      <c r="C1176" s="32" t="s">
        <v>1681</v>
      </c>
      <c r="D1176" s="32" t="s">
        <v>184</v>
      </c>
      <c r="E1176" s="32" t="s">
        <v>192</v>
      </c>
      <c r="F1176" s="32" t="s">
        <v>215</v>
      </c>
      <c r="G1176" s="32" t="s">
        <v>329</v>
      </c>
      <c r="H1176" s="32" t="s">
        <v>457</v>
      </c>
    </row>
    <row r="1177" ht="16.5" customHeight="1">
      <c r="A1177" s="32">
        <v>1173.0</v>
      </c>
      <c r="C1177" s="32" t="s">
        <v>1682</v>
      </c>
      <c r="D1177" s="32" t="s">
        <v>184</v>
      </c>
      <c r="E1177" s="32" t="s">
        <v>192</v>
      </c>
      <c r="F1177" s="32" t="s">
        <v>215</v>
      </c>
      <c r="G1177" s="32" t="s">
        <v>1607</v>
      </c>
      <c r="H1177" s="32" t="s">
        <v>408</v>
      </c>
    </row>
    <row r="1178" ht="16.5" customHeight="1">
      <c r="A1178" s="32">
        <v>1174.0</v>
      </c>
      <c r="C1178" s="32" t="s">
        <v>1683</v>
      </c>
      <c r="D1178" s="32" t="s">
        <v>184</v>
      </c>
      <c r="E1178" s="32" t="s">
        <v>192</v>
      </c>
      <c r="F1178" s="32" t="s">
        <v>215</v>
      </c>
    </row>
    <row r="1179" ht="16.5" customHeight="1">
      <c r="A1179" s="32">
        <v>1175.0</v>
      </c>
      <c r="C1179" s="32" t="s">
        <v>1684</v>
      </c>
      <c r="D1179" s="32" t="s">
        <v>184</v>
      </c>
      <c r="E1179" s="32" t="s">
        <v>192</v>
      </c>
      <c r="F1179" s="32" t="s">
        <v>215</v>
      </c>
      <c r="G1179" s="32" t="s">
        <v>329</v>
      </c>
      <c r="H1179" s="32" t="s">
        <v>579</v>
      </c>
    </row>
    <row r="1180" ht="16.5" customHeight="1">
      <c r="A1180" s="32">
        <v>1176.0</v>
      </c>
      <c r="C1180" s="32" t="s">
        <v>1685</v>
      </c>
      <c r="D1180" s="32" t="s">
        <v>184</v>
      </c>
      <c r="E1180" s="32" t="s">
        <v>234</v>
      </c>
      <c r="F1180" s="32" t="s">
        <v>215</v>
      </c>
      <c r="G1180" s="32" t="s">
        <v>347</v>
      </c>
      <c r="H1180" s="32" t="s">
        <v>420</v>
      </c>
    </row>
    <row r="1181" ht="16.5" customHeight="1">
      <c r="A1181" s="32">
        <v>1177.0</v>
      </c>
      <c r="C1181" s="32" t="s">
        <v>1686</v>
      </c>
      <c r="D1181" s="32" t="s">
        <v>184</v>
      </c>
      <c r="E1181" s="32" t="s">
        <v>234</v>
      </c>
      <c r="F1181" s="32" t="s">
        <v>215</v>
      </c>
      <c r="G1181" s="32" t="s">
        <v>347</v>
      </c>
      <c r="H1181" s="32" t="s">
        <v>420</v>
      </c>
    </row>
    <row r="1182" ht="16.5" customHeight="1">
      <c r="A1182" s="32">
        <v>1178.0</v>
      </c>
      <c r="C1182" s="32" t="s">
        <v>1687</v>
      </c>
      <c r="D1182" s="32" t="s">
        <v>184</v>
      </c>
      <c r="E1182" s="32" t="s">
        <v>185</v>
      </c>
      <c r="F1182" s="32" t="s">
        <v>215</v>
      </c>
      <c r="G1182" s="32" t="s">
        <v>267</v>
      </c>
      <c r="H1182" s="32" t="s">
        <v>188</v>
      </c>
    </row>
    <row r="1183" ht="16.5" customHeight="1">
      <c r="A1183" s="32">
        <v>1179.0</v>
      </c>
      <c r="C1183" s="32" t="s">
        <v>1688</v>
      </c>
      <c r="D1183" s="32" t="s">
        <v>184</v>
      </c>
      <c r="E1183" s="32" t="s">
        <v>192</v>
      </c>
      <c r="F1183" s="32" t="s">
        <v>215</v>
      </c>
      <c r="G1183" s="32" t="s">
        <v>300</v>
      </c>
      <c r="H1183" s="32" t="s">
        <v>1507</v>
      </c>
    </row>
    <row r="1184" ht="16.5" customHeight="1">
      <c r="A1184" s="32">
        <v>1180.0</v>
      </c>
      <c r="C1184" s="32" t="s">
        <v>1689</v>
      </c>
      <c r="D1184" s="32" t="s">
        <v>184</v>
      </c>
      <c r="E1184" s="32" t="s">
        <v>192</v>
      </c>
      <c r="F1184" s="32" t="s">
        <v>215</v>
      </c>
      <c r="G1184" s="32" t="s">
        <v>300</v>
      </c>
      <c r="H1184" s="32" t="s">
        <v>687</v>
      </c>
    </row>
    <row r="1185" ht="16.5" customHeight="1">
      <c r="A1185" s="32">
        <v>1181.0</v>
      </c>
      <c r="C1185" s="32" t="s">
        <v>1690</v>
      </c>
      <c r="D1185" s="32" t="s">
        <v>184</v>
      </c>
      <c r="E1185" s="32" t="s">
        <v>192</v>
      </c>
      <c r="F1185" s="32" t="s">
        <v>215</v>
      </c>
      <c r="G1185" s="32" t="s">
        <v>300</v>
      </c>
      <c r="H1185" s="32" t="s">
        <v>1507</v>
      </c>
    </row>
    <row r="1186" ht="16.5" customHeight="1">
      <c r="A1186" s="32">
        <v>1182.0</v>
      </c>
      <c r="C1186" s="32" t="s">
        <v>1691</v>
      </c>
      <c r="D1186" s="32" t="s">
        <v>184</v>
      </c>
      <c r="E1186" s="32" t="s">
        <v>192</v>
      </c>
      <c r="F1186" s="32" t="s">
        <v>215</v>
      </c>
      <c r="G1186" s="32" t="s">
        <v>329</v>
      </c>
      <c r="H1186" s="32" t="s">
        <v>457</v>
      </c>
    </row>
    <row r="1187" ht="16.5" customHeight="1">
      <c r="A1187" s="32">
        <v>1183.0</v>
      </c>
      <c r="C1187" s="32" t="s">
        <v>1692</v>
      </c>
      <c r="D1187" s="32" t="s">
        <v>184</v>
      </c>
      <c r="E1187" s="32" t="s">
        <v>192</v>
      </c>
      <c r="F1187" s="32" t="s">
        <v>215</v>
      </c>
      <c r="G1187" s="32" t="s">
        <v>570</v>
      </c>
      <c r="H1187" s="32" t="s">
        <v>447</v>
      </c>
    </row>
    <row r="1188" ht="16.5" customHeight="1">
      <c r="A1188" s="32">
        <v>1184.0</v>
      </c>
      <c r="C1188" s="32" t="s">
        <v>1693</v>
      </c>
      <c r="D1188" s="32" t="s">
        <v>184</v>
      </c>
      <c r="E1188" s="32" t="s">
        <v>185</v>
      </c>
      <c r="F1188" s="32" t="s">
        <v>215</v>
      </c>
      <c r="G1188" s="32" t="s">
        <v>187</v>
      </c>
      <c r="H1188" s="32" t="s">
        <v>188</v>
      </c>
    </row>
    <row r="1189" ht="16.5" customHeight="1">
      <c r="A1189" s="32">
        <v>1185.0</v>
      </c>
      <c r="C1189" s="32" t="s">
        <v>1694</v>
      </c>
      <c r="D1189" s="32" t="s">
        <v>184</v>
      </c>
      <c r="E1189" s="32" t="s">
        <v>228</v>
      </c>
      <c r="F1189" s="32" t="s">
        <v>215</v>
      </c>
      <c r="G1189" s="32" t="s">
        <v>408</v>
      </c>
      <c r="H1189" s="32" t="s">
        <v>1695</v>
      </c>
    </row>
    <row r="1190" ht="16.5" customHeight="1">
      <c r="A1190" s="32">
        <v>1186.0</v>
      </c>
      <c r="C1190" s="32" t="s">
        <v>1696</v>
      </c>
      <c r="D1190" s="32" t="s">
        <v>184</v>
      </c>
      <c r="E1190" s="35" t="s">
        <v>361</v>
      </c>
      <c r="F1190" s="32" t="s">
        <v>215</v>
      </c>
      <c r="G1190" s="32" t="s">
        <v>1697</v>
      </c>
      <c r="H1190" s="32" t="s">
        <v>1698</v>
      </c>
    </row>
    <row r="1191" ht="16.5" customHeight="1">
      <c r="A1191" s="32">
        <v>1187.0</v>
      </c>
      <c r="C1191" s="32" t="s">
        <v>1699</v>
      </c>
      <c r="D1191" s="32" t="s">
        <v>184</v>
      </c>
      <c r="E1191" s="32" t="s">
        <v>219</v>
      </c>
      <c r="F1191" s="32" t="s">
        <v>215</v>
      </c>
      <c r="G1191" s="32" t="s">
        <v>223</v>
      </c>
    </row>
    <row r="1192" ht="16.5" customHeight="1">
      <c r="A1192" s="32">
        <v>1188.0</v>
      </c>
      <c r="C1192" s="32" t="s">
        <v>1700</v>
      </c>
      <c r="D1192" s="32" t="s">
        <v>184</v>
      </c>
      <c r="E1192" s="32" t="s">
        <v>219</v>
      </c>
      <c r="F1192" s="32" t="s">
        <v>215</v>
      </c>
      <c r="G1192" s="32" t="s">
        <v>223</v>
      </c>
    </row>
    <row r="1193" ht="16.5" customHeight="1">
      <c r="A1193" s="32">
        <v>1189.0</v>
      </c>
      <c r="C1193" s="32" t="s">
        <v>1701</v>
      </c>
      <c r="D1193" s="32" t="s">
        <v>184</v>
      </c>
      <c r="E1193" s="32" t="s">
        <v>219</v>
      </c>
      <c r="F1193" s="32" t="s">
        <v>215</v>
      </c>
      <c r="G1193" s="32" t="s">
        <v>223</v>
      </c>
    </row>
    <row r="1194" ht="16.5" customHeight="1">
      <c r="A1194" s="32">
        <v>1190.0</v>
      </c>
      <c r="C1194" s="32" t="s">
        <v>1702</v>
      </c>
      <c r="D1194" s="32" t="s">
        <v>184</v>
      </c>
      <c r="E1194" s="32" t="s">
        <v>219</v>
      </c>
      <c r="F1194" s="32" t="s">
        <v>215</v>
      </c>
      <c r="G1194" s="32" t="s">
        <v>223</v>
      </c>
    </row>
    <row r="1195" ht="16.5" customHeight="1">
      <c r="A1195" s="32">
        <v>1191.0</v>
      </c>
      <c r="C1195" s="32" t="s">
        <v>1703</v>
      </c>
      <c r="D1195" s="32" t="s">
        <v>184</v>
      </c>
      <c r="E1195" s="32" t="s">
        <v>219</v>
      </c>
      <c r="F1195" s="32" t="s">
        <v>215</v>
      </c>
      <c r="G1195" s="32" t="s">
        <v>223</v>
      </c>
    </row>
    <row r="1196" ht="16.5" customHeight="1">
      <c r="A1196" s="32">
        <v>1192.0</v>
      </c>
      <c r="C1196" s="32" t="s">
        <v>1704</v>
      </c>
      <c r="D1196" s="32" t="s">
        <v>184</v>
      </c>
      <c r="E1196" s="32" t="s">
        <v>219</v>
      </c>
      <c r="F1196" s="32" t="s">
        <v>215</v>
      </c>
      <c r="G1196" s="32" t="s">
        <v>223</v>
      </c>
    </row>
    <row r="1197" ht="16.5" customHeight="1">
      <c r="A1197" s="32">
        <v>1193.0</v>
      </c>
      <c r="C1197" s="32" t="s">
        <v>1705</v>
      </c>
      <c r="D1197" s="32" t="s">
        <v>184</v>
      </c>
      <c r="E1197" s="32" t="s">
        <v>254</v>
      </c>
      <c r="F1197" s="32" t="s">
        <v>215</v>
      </c>
      <c r="G1197" s="32" t="s">
        <v>305</v>
      </c>
      <c r="H1197" s="32" t="s">
        <v>524</v>
      </c>
    </row>
    <row r="1198" ht="16.5" customHeight="1">
      <c r="A1198" s="32">
        <v>1194.0</v>
      </c>
      <c r="C1198" s="32" t="s">
        <v>1706</v>
      </c>
      <c r="D1198" s="32" t="s">
        <v>184</v>
      </c>
      <c r="E1198" s="32" t="s">
        <v>254</v>
      </c>
      <c r="F1198" s="32" t="s">
        <v>215</v>
      </c>
      <c r="G1198" s="32" t="s">
        <v>257</v>
      </c>
      <c r="H1198" s="32" t="s">
        <v>1707</v>
      </c>
    </row>
    <row r="1199" ht="16.5" customHeight="1">
      <c r="A1199" s="32">
        <v>1195.0</v>
      </c>
      <c r="C1199" s="32" t="s">
        <v>1708</v>
      </c>
      <c r="D1199" s="32" t="s">
        <v>184</v>
      </c>
      <c r="E1199" s="32" t="s">
        <v>254</v>
      </c>
      <c r="F1199" s="32" t="s">
        <v>215</v>
      </c>
      <c r="G1199" s="32" t="s">
        <v>257</v>
      </c>
      <c r="H1199" s="32" t="s">
        <v>1709</v>
      </c>
    </row>
    <row r="1200" ht="16.5" customHeight="1">
      <c r="A1200" s="32">
        <v>1196.0</v>
      </c>
      <c r="C1200" s="32" t="s">
        <v>1710</v>
      </c>
      <c r="D1200" s="32" t="s">
        <v>184</v>
      </c>
      <c r="E1200" s="32" t="s">
        <v>254</v>
      </c>
      <c r="F1200" s="32" t="s">
        <v>215</v>
      </c>
      <c r="G1200" s="32" t="s">
        <v>257</v>
      </c>
      <c r="H1200" s="32" t="s">
        <v>271</v>
      </c>
    </row>
    <row r="1201" ht="16.5" customHeight="1">
      <c r="A1201" s="32">
        <v>1197.0</v>
      </c>
      <c r="C1201" s="32" t="s">
        <v>1711</v>
      </c>
      <c r="D1201" s="32" t="s">
        <v>184</v>
      </c>
      <c r="E1201" s="32" t="s">
        <v>254</v>
      </c>
      <c r="F1201" s="32" t="s">
        <v>215</v>
      </c>
      <c r="G1201" s="32" t="s">
        <v>257</v>
      </c>
      <c r="H1201" s="32" t="s">
        <v>695</v>
      </c>
    </row>
    <row r="1202" ht="16.5" customHeight="1">
      <c r="A1202" s="32">
        <v>1198.0</v>
      </c>
      <c r="C1202" s="32" t="s">
        <v>1712</v>
      </c>
      <c r="D1202" s="32" t="s">
        <v>184</v>
      </c>
      <c r="E1202" s="32" t="s">
        <v>254</v>
      </c>
      <c r="F1202" s="32" t="s">
        <v>215</v>
      </c>
      <c r="G1202" s="32" t="s">
        <v>257</v>
      </c>
      <c r="H1202" s="32" t="s">
        <v>1713</v>
      </c>
    </row>
    <row r="1203" ht="16.5" customHeight="1">
      <c r="A1203" s="32">
        <v>1199.0</v>
      </c>
      <c r="C1203" s="32" t="s">
        <v>1714</v>
      </c>
      <c r="D1203" s="32" t="s">
        <v>184</v>
      </c>
      <c r="E1203" s="32" t="s">
        <v>254</v>
      </c>
      <c r="F1203" s="32" t="s">
        <v>215</v>
      </c>
      <c r="G1203" s="32" t="s">
        <v>257</v>
      </c>
      <c r="H1203" s="32" t="s">
        <v>1715</v>
      </c>
    </row>
    <row r="1204" ht="16.5" customHeight="1">
      <c r="A1204" s="32">
        <v>1200.0</v>
      </c>
      <c r="C1204" s="32" t="s">
        <v>1716</v>
      </c>
      <c r="D1204" s="32" t="s">
        <v>184</v>
      </c>
      <c r="E1204" s="32" t="s">
        <v>254</v>
      </c>
      <c r="F1204" s="32" t="s">
        <v>215</v>
      </c>
    </row>
    <row r="1205" ht="16.5" customHeight="1">
      <c r="A1205" s="32">
        <v>1201.0</v>
      </c>
      <c r="C1205" s="32" t="s">
        <v>1717</v>
      </c>
      <c r="D1205" s="32" t="s">
        <v>184</v>
      </c>
      <c r="E1205" s="32" t="s">
        <v>228</v>
      </c>
      <c r="F1205" s="32" t="s">
        <v>215</v>
      </c>
      <c r="G1205" s="32" t="s">
        <v>229</v>
      </c>
      <c r="H1205" s="32" t="s">
        <v>1718</v>
      </c>
    </row>
    <row r="1206" ht="16.5" customHeight="1">
      <c r="A1206" s="32">
        <v>1202.0</v>
      </c>
      <c r="C1206" s="32" t="s">
        <v>1719</v>
      </c>
      <c r="D1206" s="32" t="s">
        <v>184</v>
      </c>
      <c r="E1206" s="35" t="s">
        <v>1720</v>
      </c>
      <c r="F1206" s="32" t="s">
        <v>215</v>
      </c>
    </row>
    <row r="1207" ht="16.5" customHeight="1">
      <c r="A1207" s="32">
        <v>1203.0</v>
      </c>
      <c r="C1207" s="32" t="s">
        <v>1721</v>
      </c>
      <c r="D1207" s="32" t="s">
        <v>184</v>
      </c>
      <c r="E1207" s="32" t="s">
        <v>192</v>
      </c>
      <c r="F1207" s="32" t="s">
        <v>215</v>
      </c>
      <c r="G1207" s="32" t="s">
        <v>300</v>
      </c>
      <c r="H1207" s="32" t="s">
        <v>1722</v>
      </c>
    </row>
    <row r="1208" ht="16.5" customHeight="1">
      <c r="A1208" s="32">
        <v>1204.0</v>
      </c>
      <c r="C1208" s="32" t="s">
        <v>1723</v>
      </c>
      <c r="D1208" s="32" t="s">
        <v>184</v>
      </c>
      <c r="E1208" s="32" t="s">
        <v>192</v>
      </c>
      <c r="F1208" s="32" t="s">
        <v>215</v>
      </c>
      <c r="G1208" s="32" t="s">
        <v>329</v>
      </c>
      <c r="H1208" s="32" t="s">
        <v>1724</v>
      </c>
    </row>
    <row r="1209" ht="16.5" customHeight="1">
      <c r="A1209" s="32">
        <v>1205.0</v>
      </c>
      <c r="C1209" s="32" t="s">
        <v>1725</v>
      </c>
      <c r="D1209" s="32" t="s">
        <v>184</v>
      </c>
      <c r="E1209" s="32" t="s">
        <v>234</v>
      </c>
      <c r="F1209" s="32" t="s">
        <v>215</v>
      </c>
      <c r="G1209" s="32" t="s">
        <v>347</v>
      </c>
      <c r="H1209" s="32" t="s">
        <v>1726</v>
      </c>
    </row>
    <row r="1210" ht="16.5" customHeight="1">
      <c r="A1210" s="32">
        <v>1206.0</v>
      </c>
      <c r="C1210" s="32" t="s">
        <v>1727</v>
      </c>
      <c r="D1210" s="32" t="s">
        <v>184</v>
      </c>
      <c r="E1210" s="32" t="s">
        <v>192</v>
      </c>
      <c r="F1210" s="32" t="s">
        <v>215</v>
      </c>
      <c r="G1210" s="32" t="s">
        <v>329</v>
      </c>
      <c r="H1210" s="32" t="s">
        <v>1728</v>
      </c>
    </row>
    <row r="1211" ht="16.5" customHeight="1">
      <c r="A1211" s="32">
        <v>1207.0</v>
      </c>
      <c r="C1211" s="32" t="s">
        <v>1729</v>
      </c>
      <c r="D1211" s="32" t="s">
        <v>184</v>
      </c>
      <c r="E1211" s="32" t="s">
        <v>219</v>
      </c>
      <c r="F1211" s="32" t="s">
        <v>215</v>
      </c>
    </row>
    <row r="1212" ht="16.5" customHeight="1">
      <c r="A1212" s="32">
        <v>1208.0</v>
      </c>
      <c r="C1212" s="32" t="s">
        <v>1730</v>
      </c>
      <c r="D1212" s="32" t="s">
        <v>184</v>
      </c>
      <c r="E1212" s="32" t="s">
        <v>219</v>
      </c>
      <c r="F1212" s="32" t="s">
        <v>215</v>
      </c>
    </row>
    <row r="1213" ht="16.5" customHeight="1">
      <c r="A1213" s="32">
        <v>1209.0</v>
      </c>
      <c r="C1213" s="32" t="s">
        <v>1731</v>
      </c>
      <c r="D1213" s="32" t="s">
        <v>184</v>
      </c>
      <c r="E1213" s="32" t="s">
        <v>219</v>
      </c>
      <c r="F1213" s="32" t="s">
        <v>215</v>
      </c>
    </row>
    <row r="1214" ht="16.5" customHeight="1">
      <c r="A1214" s="32">
        <v>1210.0</v>
      </c>
      <c r="C1214" s="32" t="s">
        <v>1732</v>
      </c>
      <c r="D1214" s="32" t="s">
        <v>184</v>
      </c>
      <c r="E1214" s="32" t="s">
        <v>192</v>
      </c>
      <c r="F1214" s="32" t="s">
        <v>215</v>
      </c>
      <c r="G1214" s="32" t="s">
        <v>300</v>
      </c>
      <c r="H1214" s="32" t="s">
        <v>1733</v>
      </c>
    </row>
    <row r="1215" ht="16.5" customHeight="1">
      <c r="A1215" s="32">
        <v>1211.0</v>
      </c>
      <c r="C1215" s="32" t="s">
        <v>1734</v>
      </c>
      <c r="D1215" s="32" t="s">
        <v>184</v>
      </c>
      <c r="E1215" s="32" t="s">
        <v>219</v>
      </c>
      <c r="F1215" s="32" t="s">
        <v>215</v>
      </c>
    </row>
    <row r="1216" ht="16.5" customHeight="1">
      <c r="A1216" s="32">
        <v>1212.0</v>
      </c>
      <c r="C1216" s="32" t="s">
        <v>1735</v>
      </c>
      <c r="D1216" s="32" t="s">
        <v>184</v>
      </c>
      <c r="E1216" s="32" t="s">
        <v>234</v>
      </c>
      <c r="F1216" s="32" t="s">
        <v>215</v>
      </c>
      <c r="G1216" s="32" t="s">
        <v>415</v>
      </c>
      <c r="H1216" s="32" t="s">
        <v>236</v>
      </c>
    </row>
    <row r="1217" ht="16.5" customHeight="1">
      <c r="A1217" s="32">
        <v>1213.0</v>
      </c>
      <c r="C1217" s="32" t="s">
        <v>1736</v>
      </c>
      <c r="D1217" s="32" t="s">
        <v>184</v>
      </c>
      <c r="E1217" s="32" t="s">
        <v>234</v>
      </c>
      <c r="F1217" s="32" t="s">
        <v>215</v>
      </c>
    </row>
    <row r="1218" ht="16.5" customHeight="1">
      <c r="A1218" s="32">
        <v>1214.0</v>
      </c>
      <c r="C1218" s="32" t="s">
        <v>1737</v>
      </c>
      <c r="D1218" s="32" t="s">
        <v>184</v>
      </c>
      <c r="E1218" s="32" t="s">
        <v>192</v>
      </c>
      <c r="F1218" s="32" t="s">
        <v>215</v>
      </c>
      <c r="G1218" s="32" t="s">
        <v>329</v>
      </c>
      <c r="H1218" s="32" t="s">
        <v>457</v>
      </c>
    </row>
    <row r="1219" ht="16.5" customHeight="1">
      <c r="A1219" s="32">
        <v>1215.0</v>
      </c>
      <c r="C1219" s="32" t="s">
        <v>1738</v>
      </c>
      <c r="D1219" s="32" t="s">
        <v>184</v>
      </c>
      <c r="E1219" s="32" t="s">
        <v>228</v>
      </c>
      <c r="F1219" s="32" t="s">
        <v>215</v>
      </c>
      <c r="G1219" s="32" t="s">
        <v>544</v>
      </c>
      <c r="H1219" s="32" t="s">
        <v>1151</v>
      </c>
    </row>
    <row r="1220" ht="16.5" customHeight="1">
      <c r="A1220" s="32">
        <v>1216.0</v>
      </c>
      <c r="C1220" s="32" t="s">
        <v>1739</v>
      </c>
      <c r="D1220" s="32" t="s">
        <v>184</v>
      </c>
      <c r="E1220" s="32" t="s">
        <v>228</v>
      </c>
      <c r="F1220" s="32" t="s">
        <v>215</v>
      </c>
      <c r="G1220" s="32" t="s">
        <v>544</v>
      </c>
      <c r="H1220" s="32" t="s">
        <v>713</v>
      </c>
    </row>
    <row r="1221" ht="16.5" customHeight="1">
      <c r="A1221" s="32">
        <v>1217.0</v>
      </c>
      <c r="C1221" s="32" t="s">
        <v>1740</v>
      </c>
      <c r="D1221" s="32" t="s">
        <v>184</v>
      </c>
      <c r="E1221" s="32" t="s">
        <v>254</v>
      </c>
      <c r="F1221" s="32" t="s">
        <v>215</v>
      </c>
      <c r="G1221" s="32" t="s">
        <v>257</v>
      </c>
    </row>
    <row r="1222" ht="16.5" customHeight="1">
      <c r="A1222" s="32">
        <v>1218.0</v>
      </c>
      <c r="C1222" s="32" t="s">
        <v>1741</v>
      </c>
      <c r="D1222" s="32" t="s">
        <v>184</v>
      </c>
      <c r="E1222" s="32" t="s">
        <v>192</v>
      </c>
      <c r="F1222" s="32" t="s">
        <v>215</v>
      </c>
      <c r="G1222" s="32" t="s">
        <v>300</v>
      </c>
      <c r="H1222" s="32" t="s">
        <v>1742</v>
      </c>
    </row>
    <row r="1223" ht="16.5" customHeight="1">
      <c r="A1223" s="32">
        <v>1219.0</v>
      </c>
      <c r="C1223" s="32" t="s">
        <v>1743</v>
      </c>
      <c r="D1223" s="32" t="s">
        <v>184</v>
      </c>
      <c r="E1223" s="32" t="s">
        <v>192</v>
      </c>
      <c r="F1223" s="32" t="s">
        <v>215</v>
      </c>
    </row>
    <row r="1224" ht="16.5" customHeight="1">
      <c r="A1224" s="32">
        <v>1220.0</v>
      </c>
      <c r="C1224" s="32" t="s">
        <v>1744</v>
      </c>
      <c r="D1224" s="32" t="s">
        <v>184</v>
      </c>
      <c r="E1224" s="32" t="s">
        <v>192</v>
      </c>
      <c r="F1224" s="32" t="s">
        <v>215</v>
      </c>
    </row>
    <row r="1225" ht="16.5" customHeight="1">
      <c r="A1225" s="32">
        <v>1221.0</v>
      </c>
      <c r="C1225" s="32" t="s">
        <v>1745</v>
      </c>
      <c r="D1225" s="32" t="s">
        <v>184</v>
      </c>
      <c r="E1225" s="32" t="s">
        <v>192</v>
      </c>
      <c r="F1225" s="32" t="s">
        <v>215</v>
      </c>
      <c r="G1225" s="32" t="s">
        <v>300</v>
      </c>
      <c r="H1225" s="32" t="s">
        <v>387</v>
      </c>
    </row>
    <row r="1226" ht="16.5" customHeight="1">
      <c r="A1226" s="32">
        <v>1222.0</v>
      </c>
      <c r="C1226" s="32" t="s">
        <v>1746</v>
      </c>
      <c r="D1226" s="32" t="s">
        <v>184</v>
      </c>
      <c r="E1226" s="32" t="s">
        <v>192</v>
      </c>
      <c r="F1226" s="32" t="s">
        <v>215</v>
      </c>
      <c r="G1226" s="32" t="s">
        <v>300</v>
      </c>
      <c r="H1226" s="32" t="s">
        <v>1747</v>
      </c>
    </row>
    <row r="1227" ht="16.5" customHeight="1">
      <c r="A1227" s="32">
        <v>1223.0</v>
      </c>
      <c r="C1227" s="32" t="s">
        <v>1748</v>
      </c>
      <c r="D1227" s="32" t="s">
        <v>184</v>
      </c>
      <c r="E1227" s="32" t="s">
        <v>214</v>
      </c>
      <c r="F1227" s="32" t="s">
        <v>215</v>
      </c>
      <c r="G1227" s="32" t="s">
        <v>720</v>
      </c>
    </row>
    <row r="1228" ht="16.5" customHeight="1">
      <c r="A1228" s="32">
        <v>1224.0</v>
      </c>
      <c r="C1228" s="32" t="s">
        <v>1749</v>
      </c>
      <c r="D1228" s="32" t="s">
        <v>184</v>
      </c>
      <c r="E1228" s="32" t="s">
        <v>228</v>
      </c>
      <c r="F1228" s="32" t="s">
        <v>215</v>
      </c>
      <c r="G1228" s="32" t="s">
        <v>544</v>
      </c>
    </row>
    <row r="1229" ht="16.5" customHeight="1">
      <c r="A1229" s="32">
        <v>1225.0</v>
      </c>
      <c r="C1229" s="32" t="s">
        <v>1750</v>
      </c>
      <c r="D1229" s="32" t="s">
        <v>184</v>
      </c>
      <c r="E1229" s="32" t="s">
        <v>325</v>
      </c>
      <c r="F1229" s="32" t="s">
        <v>255</v>
      </c>
      <c r="G1229" s="32" t="s">
        <v>368</v>
      </c>
      <c r="H1229" s="32" t="s">
        <v>463</v>
      </c>
    </row>
    <row r="1230" ht="16.5" customHeight="1">
      <c r="A1230" s="32">
        <v>1226.0</v>
      </c>
      <c r="C1230" s="32" t="s">
        <v>1751</v>
      </c>
      <c r="D1230" s="32" t="s">
        <v>184</v>
      </c>
      <c r="E1230" s="32" t="s">
        <v>192</v>
      </c>
      <c r="F1230" s="32" t="s">
        <v>186</v>
      </c>
      <c r="G1230" s="32" t="s">
        <v>329</v>
      </c>
      <c r="H1230" s="32" t="s">
        <v>457</v>
      </c>
    </row>
    <row r="1231" ht="16.5" customHeight="1">
      <c r="A1231" s="32">
        <v>1227.0</v>
      </c>
      <c r="C1231" s="32" t="s">
        <v>1752</v>
      </c>
      <c r="D1231" s="32" t="s">
        <v>184</v>
      </c>
      <c r="E1231" s="32" t="s">
        <v>192</v>
      </c>
      <c r="F1231" s="32" t="s">
        <v>186</v>
      </c>
      <c r="G1231" s="32" t="s">
        <v>329</v>
      </c>
      <c r="H1231" s="32" t="s">
        <v>447</v>
      </c>
    </row>
    <row r="1232" ht="16.5" customHeight="1">
      <c r="A1232" s="32">
        <v>1228.0</v>
      </c>
      <c r="C1232" s="32" t="s">
        <v>1753</v>
      </c>
      <c r="D1232" s="32" t="s">
        <v>184</v>
      </c>
      <c r="E1232" s="32" t="s">
        <v>185</v>
      </c>
      <c r="F1232" s="32" t="s">
        <v>255</v>
      </c>
    </row>
    <row r="1233" ht="16.5" customHeight="1">
      <c r="A1233" s="32">
        <v>1229.0</v>
      </c>
      <c r="C1233" s="32" t="s">
        <v>1754</v>
      </c>
      <c r="D1233" s="32" t="s">
        <v>184</v>
      </c>
      <c r="E1233" s="32" t="s">
        <v>254</v>
      </c>
      <c r="F1233" s="32" t="s">
        <v>255</v>
      </c>
      <c r="G1233" s="32" t="s">
        <v>305</v>
      </c>
      <c r="H1233" s="32" t="s">
        <v>319</v>
      </c>
    </row>
    <row r="1234" ht="16.5" customHeight="1">
      <c r="A1234" s="32">
        <v>1230.0</v>
      </c>
      <c r="C1234" s="32" t="s">
        <v>1755</v>
      </c>
      <c r="D1234" s="32" t="s">
        <v>184</v>
      </c>
      <c r="E1234" s="32" t="s">
        <v>254</v>
      </c>
      <c r="F1234" s="32" t="s">
        <v>255</v>
      </c>
      <c r="G1234" s="32" t="s">
        <v>305</v>
      </c>
      <c r="H1234" s="32" t="s">
        <v>1306</v>
      </c>
    </row>
    <row r="1235" ht="16.5" customHeight="1">
      <c r="A1235" s="32">
        <v>1231.0</v>
      </c>
      <c r="C1235" s="32" t="s">
        <v>1756</v>
      </c>
      <c r="D1235" s="32" t="s">
        <v>184</v>
      </c>
      <c r="E1235" s="32" t="s">
        <v>219</v>
      </c>
      <c r="F1235" s="32" t="s">
        <v>255</v>
      </c>
    </row>
    <row r="1236" ht="16.5" customHeight="1">
      <c r="A1236" s="32">
        <v>1232.0</v>
      </c>
      <c r="C1236" s="32" t="s">
        <v>1757</v>
      </c>
      <c r="D1236" s="32" t="s">
        <v>184</v>
      </c>
      <c r="E1236" s="32" t="s">
        <v>234</v>
      </c>
      <c r="F1236" s="32" t="s">
        <v>186</v>
      </c>
    </row>
    <row r="1237" ht="16.5" customHeight="1">
      <c r="A1237" s="32">
        <v>1233.0</v>
      </c>
      <c r="C1237" s="32" t="s">
        <v>1758</v>
      </c>
      <c r="D1237" s="32" t="s">
        <v>184</v>
      </c>
      <c r="E1237" s="32" t="s">
        <v>234</v>
      </c>
      <c r="F1237" s="32" t="s">
        <v>186</v>
      </c>
    </row>
    <row r="1238" ht="16.5" customHeight="1">
      <c r="A1238" s="32">
        <v>1234.0</v>
      </c>
      <c r="C1238" s="32" t="s">
        <v>1759</v>
      </c>
      <c r="D1238" s="32" t="s">
        <v>184</v>
      </c>
      <c r="E1238" s="32" t="s">
        <v>234</v>
      </c>
      <c r="F1238" s="32" t="s">
        <v>186</v>
      </c>
    </row>
    <row r="1239" ht="16.5" customHeight="1">
      <c r="A1239" s="32">
        <v>1235.0</v>
      </c>
      <c r="C1239" s="32" t="s">
        <v>1760</v>
      </c>
      <c r="D1239" s="32" t="s">
        <v>184</v>
      </c>
      <c r="E1239" s="32" t="s">
        <v>234</v>
      </c>
      <c r="F1239" s="32" t="s">
        <v>186</v>
      </c>
    </row>
    <row r="1240" ht="16.5" customHeight="1">
      <c r="A1240" s="32">
        <v>1236.0</v>
      </c>
      <c r="C1240" s="32" t="s">
        <v>1761</v>
      </c>
      <c r="D1240" s="32" t="s">
        <v>184</v>
      </c>
      <c r="E1240" s="32" t="s">
        <v>234</v>
      </c>
      <c r="F1240" s="32" t="s">
        <v>186</v>
      </c>
    </row>
    <row r="1241" ht="16.5" customHeight="1">
      <c r="A1241" s="32">
        <v>1237.0</v>
      </c>
      <c r="C1241" s="32" t="s">
        <v>1762</v>
      </c>
      <c r="D1241" s="32" t="s">
        <v>184</v>
      </c>
      <c r="E1241" s="32" t="s">
        <v>234</v>
      </c>
      <c r="F1241" s="32" t="s">
        <v>186</v>
      </c>
    </row>
    <row r="1242" ht="16.5" customHeight="1">
      <c r="A1242" s="32">
        <v>1238.0</v>
      </c>
      <c r="C1242" s="32" t="s">
        <v>1763</v>
      </c>
      <c r="D1242" s="32" t="s">
        <v>184</v>
      </c>
      <c r="E1242" s="32" t="s">
        <v>234</v>
      </c>
      <c r="F1242" s="32" t="s">
        <v>255</v>
      </c>
      <c r="G1242" s="32" t="s">
        <v>347</v>
      </c>
      <c r="H1242" s="32" t="s">
        <v>1764</v>
      </c>
    </row>
    <row r="1243" ht="16.5" customHeight="1">
      <c r="A1243" s="32">
        <v>1239.0</v>
      </c>
      <c r="C1243" s="32" t="s">
        <v>1765</v>
      </c>
      <c r="D1243" s="32" t="s">
        <v>184</v>
      </c>
      <c r="E1243" s="32" t="s">
        <v>234</v>
      </c>
      <c r="F1243" s="32" t="s">
        <v>255</v>
      </c>
      <c r="G1243" s="32" t="s">
        <v>347</v>
      </c>
      <c r="H1243" s="32" t="s">
        <v>1764</v>
      </c>
    </row>
    <row r="1244" ht="16.5" customHeight="1">
      <c r="A1244" s="32">
        <v>1240.0</v>
      </c>
      <c r="C1244" s="32" t="s">
        <v>1766</v>
      </c>
      <c r="D1244" s="32" t="s">
        <v>184</v>
      </c>
      <c r="E1244" s="32" t="s">
        <v>234</v>
      </c>
      <c r="F1244" s="32" t="s">
        <v>255</v>
      </c>
      <c r="G1244" s="32" t="s">
        <v>347</v>
      </c>
      <c r="H1244" s="32" t="s">
        <v>1764</v>
      </c>
    </row>
    <row r="1245" ht="16.5" customHeight="1">
      <c r="A1245" s="32">
        <v>1241.0</v>
      </c>
      <c r="C1245" s="32" t="s">
        <v>1767</v>
      </c>
      <c r="D1245" s="32" t="s">
        <v>184</v>
      </c>
      <c r="E1245" s="32" t="s">
        <v>234</v>
      </c>
      <c r="F1245" s="32" t="s">
        <v>255</v>
      </c>
      <c r="G1245" s="32" t="s">
        <v>235</v>
      </c>
      <c r="H1245" s="32" t="s">
        <v>243</v>
      </c>
    </row>
    <row r="1246" ht="16.5" customHeight="1">
      <c r="A1246" s="32">
        <v>1242.0</v>
      </c>
      <c r="C1246" s="32" t="s">
        <v>1768</v>
      </c>
      <c r="D1246" s="32" t="s">
        <v>184</v>
      </c>
      <c r="E1246" s="32" t="s">
        <v>234</v>
      </c>
      <c r="F1246" s="32" t="s">
        <v>222</v>
      </c>
    </row>
    <row r="1247" ht="16.5" customHeight="1">
      <c r="A1247" s="32">
        <v>1243.0</v>
      </c>
      <c r="C1247" s="32" t="s">
        <v>1769</v>
      </c>
      <c r="D1247" s="32" t="s">
        <v>184</v>
      </c>
      <c r="E1247" s="32" t="s">
        <v>234</v>
      </c>
      <c r="F1247" s="32" t="s">
        <v>255</v>
      </c>
      <c r="G1247" s="32" t="s">
        <v>472</v>
      </c>
    </row>
    <row r="1248" ht="16.5" customHeight="1">
      <c r="A1248" s="32">
        <v>1244.0</v>
      </c>
      <c r="C1248" s="32" t="s">
        <v>1770</v>
      </c>
      <c r="D1248" s="32" t="s">
        <v>184</v>
      </c>
      <c r="E1248" s="32" t="s">
        <v>234</v>
      </c>
      <c r="F1248" s="32" t="s">
        <v>255</v>
      </c>
      <c r="G1248" s="32" t="s">
        <v>235</v>
      </c>
      <c r="H1248" s="32" t="s">
        <v>1771</v>
      </c>
    </row>
    <row r="1249" ht="16.5" customHeight="1">
      <c r="A1249" s="32">
        <v>1245.0</v>
      </c>
      <c r="C1249" s="32" t="s">
        <v>1772</v>
      </c>
      <c r="D1249" s="32" t="s">
        <v>184</v>
      </c>
      <c r="E1249" s="32" t="s">
        <v>351</v>
      </c>
      <c r="F1249" s="32" t="s">
        <v>255</v>
      </c>
    </row>
    <row r="1250" ht="16.5" customHeight="1">
      <c r="A1250" s="32">
        <v>1246.0</v>
      </c>
      <c r="C1250" s="32" t="s">
        <v>1773</v>
      </c>
      <c r="D1250" s="32" t="s">
        <v>184</v>
      </c>
      <c r="E1250" s="32" t="s">
        <v>351</v>
      </c>
      <c r="F1250" s="32" t="s">
        <v>255</v>
      </c>
    </row>
    <row r="1251" ht="16.5" customHeight="1">
      <c r="A1251" s="32">
        <v>1247.0</v>
      </c>
      <c r="C1251" s="32" t="s">
        <v>1774</v>
      </c>
      <c r="D1251" s="32" t="s">
        <v>184</v>
      </c>
      <c r="E1251" s="32" t="s">
        <v>192</v>
      </c>
      <c r="F1251" s="32" t="s">
        <v>255</v>
      </c>
      <c r="G1251" s="32" t="s">
        <v>329</v>
      </c>
      <c r="H1251" s="32" t="s">
        <v>447</v>
      </c>
    </row>
    <row r="1252" ht="16.5" customHeight="1">
      <c r="A1252" s="32">
        <v>1248.0</v>
      </c>
      <c r="C1252" s="32" t="s">
        <v>1775</v>
      </c>
      <c r="D1252" s="32" t="s">
        <v>184</v>
      </c>
      <c r="E1252" s="32" t="s">
        <v>192</v>
      </c>
      <c r="F1252" s="32" t="s">
        <v>255</v>
      </c>
      <c r="G1252" s="32" t="s">
        <v>300</v>
      </c>
      <c r="H1252" s="32" t="s">
        <v>1357</v>
      </c>
    </row>
    <row r="1253" ht="16.5" customHeight="1">
      <c r="A1253" s="32">
        <v>1249.0</v>
      </c>
      <c r="C1253" s="32" t="s">
        <v>1776</v>
      </c>
      <c r="D1253" s="32" t="s">
        <v>184</v>
      </c>
      <c r="E1253" s="32" t="s">
        <v>192</v>
      </c>
      <c r="F1253" s="32" t="s">
        <v>255</v>
      </c>
      <c r="G1253" s="32" t="s">
        <v>300</v>
      </c>
      <c r="H1253" s="32" t="s">
        <v>1777</v>
      </c>
    </row>
    <row r="1254" ht="16.5" customHeight="1">
      <c r="A1254" s="32">
        <v>1250.0</v>
      </c>
      <c r="C1254" s="32" t="s">
        <v>1778</v>
      </c>
      <c r="D1254" s="32" t="s">
        <v>184</v>
      </c>
      <c r="E1254" s="32" t="s">
        <v>192</v>
      </c>
      <c r="F1254" s="32" t="s">
        <v>255</v>
      </c>
    </row>
    <row r="1255" ht="16.5" customHeight="1">
      <c r="A1255" s="32">
        <v>1251.0</v>
      </c>
      <c r="C1255" s="32" t="s">
        <v>1779</v>
      </c>
      <c r="D1255" s="32" t="s">
        <v>184</v>
      </c>
      <c r="E1255" s="32" t="s">
        <v>192</v>
      </c>
      <c r="F1255" s="32" t="s">
        <v>255</v>
      </c>
      <c r="G1255" s="32" t="s">
        <v>329</v>
      </c>
      <c r="H1255" s="32" t="s">
        <v>447</v>
      </c>
    </row>
    <row r="1256" ht="16.5" customHeight="1">
      <c r="A1256" s="32">
        <v>1252.0</v>
      </c>
      <c r="C1256" s="32" t="s">
        <v>1780</v>
      </c>
      <c r="D1256" s="32" t="s">
        <v>184</v>
      </c>
      <c r="E1256" s="32" t="s">
        <v>192</v>
      </c>
      <c r="F1256" s="32" t="s">
        <v>255</v>
      </c>
    </row>
    <row r="1257" ht="16.5" customHeight="1">
      <c r="A1257" s="32">
        <v>1253.0</v>
      </c>
      <c r="C1257" s="32" t="s">
        <v>1781</v>
      </c>
      <c r="D1257" s="32" t="s">
        <v>184</v>
      </c>
      <c r="E1257" s="32" t="s">
        <v>192</v>
      </c>
      <c r="F1257" s="32" t="s">
        <v>255</v>
      </c>
      <c r="G1257" s="32" t="s">
        <v>329</v>
      </c>
      <c r="H1257" s="32" t="s">
        <v>457</v>
      </c>
    </row>
    <row r="1258" ht="16.5" customHeight="1">
      <c r="A1258" s="32">
        <v>1254.0</v>
      </c>
      <c r="C1258" s="32" t="s">
        <v>1782</v>
      </c>
      <c r="D1258" s="32" t="s">
        <v>184</v>
      </c>
      <c r="E1258" s="32" t="s">
        <v>228</v>
      </c>
      <c r="F1258" s="32" t="s">
        <v>255</v>
      </c>
      <c r="G1258" s="32" t="s">
        <v>333</v>
      </c>
    </row>
    <row r="1259" ht="16.5" customHeight="1">
      <c r="A1259" s="32">
        <v>1255.0</v>
      </c>
      <c r="C1259" s="32" t="s">
        <v>1783</v>
      </c>
      <c r="D1259" s="32" t="s">
        <v>184</v>
      </c>
      <c r="E1259" s="32" t="s">
        <v>228</v>
      </c>
      <c r="F1259" s="32" t="s">
        <v>255</v>
      </c>
      <c r="G1259" s="32" t="s">
        <v>333</v>
      </c>
      <c r="H1259" s="32" t="s">
        <v>334</v>
      </c>
    </row>
    <row r="1260" ht="16.5" customHeight="1">
      <c r="A1260" s="32">
        <v>1256.0</v>
      </c>
      <c r="C1260" s="32" t="s">
        <v>1784</v>
      </c>
      <c r="D1260" s="32" t="s">
        <v>184</v>
      </c>
      <c r="E1260" s="32" t="s">
        <v>228</v>
      </c>
      <c r="F1260" s="32" t="s">
        <v>399</v>
      </c>
      <c r="G1260" s="32" t="s">
        <v>1785</v>
      </c>
    </row>
    <row r="1261" ht="16.5" customHeight="1">
      <c r="A1261" s="32">
        <v>1257.0</v>
      </c>
      <c r="C1261" s="32" t="s">
        <v>1786</v>
      </c>
      <c r="D1261" s="32" t="s">
        <v>184</v>
      </c>
      <c r="E1261" s="32" t="s">
        <v>228</v>
      </c>
      <c r="F1261" s="32" t="s">
        <v>255</v>
      </c>
      <c r="G1261" s="32" t="s">
        <v>333</v>
      </c>
    </row>
    <row r="1262" ht="16.5" customHeight="1">
      <c r="A1262" s="32">
        <v>1258.0</v>
      </c>
      <c r="C1262" s="32" t="s">
        <v>1787</v>
      </c>
      <c r="D1262" s="32" t="s">
        <v>184</v>
      </c>
      <c r="E1262" s="32" t="s">
        <v>234</v>
      </c>
      <c r="F1262" s="32" t="s">
        <v>255</v>
      </c>
      <c r="G1262" s="32" t="s">
        <v>347</v>
      </c>
      <c r="H1262" s="32" t="s">
        <v>382</v>
      </c>
    </row>
    <row r="1263" ht="16.5" customHeight="1">
      <c r="A1263" s="32">
        <v>1259.0</v>
      </c>
      <c r="C1263" s="32" t="s">
        <v>1788</v>
      </c>
      <c r="D1263" s="32" t="s">
        <v>184</v>
      </c>
      <c r="E1263" s="32" t="s">
        <v>192</v>
      </c>
      <c r="F1263" s="32" t="s">
        <v>255</v>
      </c>
      <c r="G1263" s="32" t="s">
        <v>300</v>
      </c>
      <c r="H1263" s="32" t="s">
        <v>1789</v>
      </c>
    </row>
    <row r="1264" ht="16.5" customHeight="1">
      <c r="A1264" s="32">
        <v>1260.0</v>
      </c>
      <c r="C1264" s="32" t="s">
        <v>1790</v>
      </c>
      <c r="D1264" s="32" t="s">
        <v>184</v>
      </c>
      <c r="E1264" s="32" t="s">
        <v>192</v>
      </c>
      <c r="F1264" s="32" t="s">
        <v>255</v>
      </c>
    </row>
    <row r="1265" ht="16.5" customHeight="1">
      <c r="A1265" s="32">
        <v>1261.0</v>
      </c>
      <c r="C1265" s="32" t="s">
        <v>1791</v>
      </c>
      <c r="D1265" s="32" t="s">
        <v>184</v>
      </c>
      <c r="E1265" s="32" t="s">
        <v>192</v>
      </c>
      <c r="F1265" s="32" t="s">
        <v>255</v>
      </c>
      <c r="G1265" s="32" t="s">
        <v>300</v>
      </c>
      <c r="H1265" s="32" t="s">
        <v>1792</v>
      </c>
    </row>
    <row r="1266" ht="16.5" customHeight="1">
      <c r="A1266" s="32">
        <v>1262.0</v>
      </c>
      <c r="C1266" s="32" t="s">
        <v>1793</v>
      </c>
      <c r="D1266" s="32" t="s">
        <v>184</v>
      </c>
      <c r="E1266" s="32" t="s">
        <v>219</v>
      </c>
      <c r="F1266" s="32" t="s">
        <v>255</v>
      </c>
      <c r="G1266" s="32" t="s">
        <v>223</v>
      </c>
      <c r="H1266" s="32" t="s">
        <v>472</v>
      </c>
    </row>
    <row r="1267" ht="16.5" customHeight="1">
      <c r="A1267" s="32">
        <v>1263.0</v>
      </c>
      <c r="C1267" s="32" t="s">
        <v>1794</v>
      </c>
      <c r="D1267" s="32" t="s">
        <v>184</v>
      </c>
      <c r="E1267" s="32" t="s">
        <v>219</v>
      </c>
      <c r="F1267" s="32" t="s">
        <v>255</v>
      </c>
      <c r="G1267" s="32" t="s">
        <v>223</v>
      </c>
      <c r="H1267" s="32" t="s">
        <v>472</v>
      </c>
    </row>
    <row r="1268" ht="16.5" customHeight="1">
      <c r="A1268" s="32">
        <v>1264.0</v>
      </c>
      <c r="C1268" s="32" t="s">
        <v>1795</v>
      </c>
      <c r="D1268" s="32" t="s">
        <v>184</v>
      </c>
      <c r="E1268" s="32" t="s">
        <v>219</v>
      </c>
      <c r="F1268" s="32" t="s">
        <v>255</v>
      </c>
      <c r="G1268" s="32" t="s">
        <v>223</v>
      </c>
      <c r="H1268" s="32" t="s">
        <v>472</v>
      </c>
    </row>
    <row r="1269" ht="16.5" customHeight="1">
      <c r="A1269" s="32">
        <v>1265.0</v>
      </c>
      <c r="C1269" s="32" t="s">
        <v>1796</v>
      </c>
      <c r="D1269" s="32" t="s">
        <v>184</v>
      </c>
      <c r="E1269" s="32" t="s">
        <v>219</v>
      </c>
      <c r="F1269" s="32" t="s">
        <v>255</v>
      </c>
      <c r="G1269" s="32" t="s">
        <v>223</v>
      </c>
      <c r="H1269" s="32" t="s">
        <v>472</v>
      </c>
    </row>
    <row r="1270" ht="16.5" customHeight="1">
      <c r="A1270" s="32">
        <v>1266.0</v>
      </c>
      <c r="C1270" s="32" t="s">
        <v>1797</v>
      </c>
      <c r="D1270" s="32" t="s">
        <v>184</v>
      </c>
      <c r="E1270" s="35" t="s">
        <v>1798</v>
      </c>
      <c r="F1270" s="32" t="s">
        <v>255</v>
      </c>
      <c r="G1270" s="32" t="s">
        <v>1799</v>
      </c>
      <c r="H1270" s="32" t="s">
        <v>1800</v>
      </c>
    </row>
    <row r="1271" ht="16.5" customHeight="1">
      <c r="A1271" s="32">
        <v>1267.0</v>
      </c>
      <c r="C1271" s="32" t="s">
        <v>1801</v>
      </c>
      <c r="D1271" s="32" t="s">
        <v>184</v>
      </c>
      <c r="E1271" s="32" t="s">
        <v>254</v>
      </c>
      <c r="F1271" s="32" t="s">
        <v>255</v>
      </c>
      <c r="G1271" s="32" t="s">
        <v>305</v>
      </c>
      <c r="H1271" s="32" t="s">
        <v>189</v>
      </c>
    </row>
    <row r="1272" ht="16.5" customHeight="1">
      <c r="A1272" s="32">
        <v>1268.0</v>
      </c>
      <c r="C1272" s="32" t="s">
        <v>1802</v>
      </c>
      <c r="D1272" s="32" t="s">
        <v>184</v>
      </c>
      <c r="E1272" s="32" t="s">
        <v>254</v>
      </c>
      <c r="F1272" s="32" t="s">
        <v>255</v>
      </c>
      <c r="G1272" s="32" t="s">
        <v>305</v>
      </c>
      <c r="H1272" s="32" t="s">
        <v>319</v>
      </c>
    </row>
    <row r="1273" ht="16.5" customHeight="1">
      <c r="A1273" s="32">
        <v>1269.0</v>
      </c>
      <c r="C1273" s="32" t="s">
        <v>1803</v>
      </c>
      <c r="D1273" s="32" t="s">
        <v>184</v>
      </c>
      <c r="E1273" s="35" t="s">
        <v>361</v>
      </c>
      <c r="F1273" s="32" t="s">
        <v>255</v>
      </c>
      <c r="G1273" s="32" t="s">
        <v>362</v>
      </c>
      <c r="H1273" s="32" t="s">
        <v>357</v>
      </c>
    </row>
    <row r="1274" ht="16.5" customHeight="1">
      <c r="A1274" s="32">
        <v>1270.0</v>
      </c>
      <c r="C1274" s="32" t="s">
        <v>1804</v>
      </c>
      <c r="D1274" s="32" t="s">
        <v>184</v>
      </c>
      <c r="E1274" s="35" t="s">
        <v>361</v>
      </c>
      <c r="F1274" s="32" t="s">
        <v>255</v>
      </c>
      <c r="G1274" s="32" t="s">
        <v>362</v>
      </c>
      <c r="H1274" s="32" t="s">
        <v>357</v>
      </c>
    </row>
    <row r="1275" ht="16.5" customHeight="1">
      <c r="A1275" s="32">
        <v>1271.0</v>
      </c>
      <c r="C1275" s="32" t="s">
        <v>1805</v>
      </c>
      <c r="D1275" s="32" t="s">
        <v>184</v>
      </c>
      <c r="E1275" s="32" t="s">
        <v>219</v>
      </c>
      <c r="F1275" s="32" t="s">
        <v>222</v>
      </c>
    </row>
    <row r="1276" ht="16.5" customHeight="1">
      <c r="A1276" s="32">
        <v>1272.0</v>
      </c>
      <c r="C1276" s="32" t="s">
        <v>1806</v>
      </c>
      <c r="D1276" s="32" t="s">
        <v>184</v>
      </c>
      <c r="E1276" s="32" t="s">
        <v>254</v>
      </c>
      <c r="F1276" s="32" t="s">
        <v>255</v>
      </c>
      <c r="G1276" s="32" t="s">
        <v>1807</v>
      </c>
      <c r="H1276" s="32" t="s">
        <v>382</v>
      </c>
    </row>
    <row r="1277" ht="16.5" customHeight="1">
      <c r="A1277" s="32">
        <v>1273.0</v>
      </c>
      <c r="C1277" s="32" t="s">
        <v>1808</v>
      </c>
      <c r="D1277" s="32" t="s">
        <v>184</v>
      </c>
      <c r="E1277" s="35" t="s">
        <v>294</v>
      </c>
      <c r="F1277" s="32" t="s">
        <v>255</v>
      </c>
      <c r="G1277" s="32" t="s">
        <v>189</v>
      </c>
      <c r="H1277" s="32" t="s">
        <v>902</v>
      </c>
    </row>
    <row r="1278" ht="16.5" customHeight="1">
      <c r="A1278" s="32">
        <v>1274.0</v>
      </c>
      <c r="C1278" s="32" t="s">
        <v>1809</v>
      </c>
      <c r="D1278" s="32" t="s">
        <v>184</v>
      </c>
      <c r="E1278" s="32" t="s">
        <v>285</v>
      </c>
      <c r="F1278" s="32" t="s">
        <v>255</v>
      </c>
      <c r="G1278" s="32" t="s">
        <v>189</v>
      </c>
      <c r="H1278" s="32" t="s">
        <v>190</v>
      </c>
    </row>
    <row r="1279" ht="16.5" customHeight="1">
      <c r="A1279" s="32">
        <v>1275.0</v>
      </c>
      <c r="C1279" s="32" t="s">
        <v>1810</v>
      </c>
      <c r="D1279" s="32" t="s">
        <v>184</v>
      </c>
      <c r="E1279" s="32" t="s">
        <v>254</v>
      </c>
      <c r="F1279" s="32" t="s">
        <v>255</v>
      </c>
      <c r="G1279" s="32" t="s">
        <v>1811</v>
      </c>
      <c r="H1279" s="32" t="s">
        <v>1812</v>
      </c>
    </row>
    <row r="1280" ht="16.5" customHeight="1">
      <c r="A1280" s="32">
        <v>1276.0</v>
      </c>
      <c r="C1280" s="32" t="s">
        <v>1813</v>
      </c>
      <c r="D1280" s="32" t="s">
        <v>184</v>
      </c>
      <c r="E1280" s="32" t="s">
        <v>185</v>
      </c>
      <c r="F1280" s="32" t="s">
        <v>255</v>
      </c>
      <c r="G1280" s="32" t="s">
        <v>1814</v>
      </c>
      <c r="H1280" s="32" t="s">
        <v>1815</v>
      </c>
    </row>
    <row r="1281" ht="16.5" customHeight="1">
      <c r="A1281" s="32">
        <v>1277.0</v>
      </c>
      <c r="C1281" s="32" t="s">
        <v>1816</v>
      </c>
      <c r="D1281" s="32" t="s">
        <v>184</v>
      </c>
      <c r="E1281" s="32" t="s">
        <v>219</v>
      </c>
      <c r="F1281" s="32" t="s">
        <v>255</v>
      </c>
      <c r="G1281" s="32" t="s">
        <v>223</v>
      </c>
      <c r="H1281" s="32" t="s">
        <v>1817</v>
      </c>
    </row>
    <row r="1282" ht="16.5" customHeight="1">
      <c r="A1282" s="32">
        <v>1278.0</v>
      </c>
      <c r="C1282" s="32" t="s">
        <v>1818</v>
      </c>
      <c r="D1282" s="32" t="s">
        <v>184</v>
      </c>
      <c r="E1282" s="32" t="s">
        <v>254</v>
      </c>
      <c r="F1282" s="32" t="s">
        <v>255</v>
      </c>
      <c r="G1282" s="32" t="s">
        <v>260</v>
      </c>
      <c r="H1282" s="32" t="s">
        <v>189</v>
      </c>
    </row>
    <row r="1283" ht="16.5" customHeight="1">
      <c r="A1283" s="32">
        <v>1279.0</v>
      </c>
      <c r="C1283" s="32" t="s">
        <v>1819</v>
      </c>
      <c r="D1283" s="32" t="s">
        <v>184</v>
      </c>
      <c r="E1283" s="32" t="s">
        <v>234</v>
      </c>
      <c r="F1283" s="32" t="s">
        <v>255</v>
      </c>
    </row>
    <row r="1284" ht="16.5" customHeight="1">
      <c r="A1284" s="32">
        <v>1280.0</v>
      </c>
      <c r="C1284" s="32" t="s">
        <v>1820</v>
      </c>
      <c r="D1284" s="32" t="s">
        <v>184</v>
      </c>
      <c r="E1284" s="32" t="s">
        <v>254</v>
      </c>
      <c r="F1284" s="32" t="s">
        <v>255</v>
      </c>
      <c r="G1284" s="32" t="s">
        <v>260</v>
      </c>
      <c r="H1284" s="32" t="s">
        <v>189</v>
      </c>
    </row>
    <row r="1285" ht="16.5" customHeight="1">
      <c r="A1285" s="32">
        <v>1281.0</v>
      </c>
      <c r="C1285" s="32" t="s">
        <v>1821</v>
      </c>
      <c r="D1285" s="32" t="s">
        <v>184</v>
      </c>
      <c r="E1285" s="32" t="s">
        <v>254</v>
      </c>
      <c r="F1285" s="32" t="s">
        <v>255</v>
      </c>
    </row>
    <row r="1286" ht="16.5" customHeight="1">
      <c r="A1286" s="32">
        <v>1282.0</v>
      </c>
      <c r="C1286" s="32" t="s">
        <v>1822</v>
      </c>
      <c r="D1286" s="32" t="s">
        <v>184</v>
      </c>
      <c r="E1286" s="32" t="s">
        <v>254</v>
      </c>
      <c r="F1286" s="32" t="s">
        <v>255</v>
      </c>
    </row>
    <row r="1287" ht="16.5" customHeight="1">
      <c r="A1287" s="32">
        <v>1283.0</v>
      </c>
      <c r="C1287" s="32" t="s">
        <v>1823</v>
      </c>
      <c r="D1287" s="32" t="s">
        <v>184</v>
      </c>
      <c r="E1287" s="32" t="s">
        <v>254</v>
      </c>
      <c r="F1287" s="32" t="s">
        <v>255</v>
      </c>
    </row>
    <row r="1288" ht="16.5" customHeight="1">
      <c r="A1288" s="32">
        <v>1284.0</v>
      </c>
      <c r="C1288" s="32" t="s">
        <v>1824</v>
      </c>
      <c r="D1288" s="32" t="s">
        <v>184</v>
      </c>
      <c r="E1288" s="32" t="s">
        <v>254</v>
      </c>
      <c r="F1288" s="32" t="s">
        <v>255</v>
      </c>
      <c r="G1288" s="32" t="s">
        <v>256</v>
      </c>
      <c r="H1288" s="32" t="s">
        <v>257</v>
      </c>
    </row>
    <row r="1289" ht="16.5" customHeight="1">
      <c r="A1289" s="32">
        <v>1285.0</v>
      </c>
      <c r="C1289" s="32" t="s">
        <v>1825</v>
      </c>
      <c r="D1289" s="32" t="s">
        <v>184</v>
      </c>
      <c r="E1289" s="32" t="s">
        <v>254</v>
      </c>
      <c r="F1289" s="32" t="s">
        <v>255</v>
      </c>
      <c r="G1289" s="32" t="s">
        <v>256</v>
      </c>
      <c r="H1289" s="32" t="s">
        <v>257</v>
      </c>
    </row>
    <row r="1290" ht="16.5" customHeight="1">
      <c r="A1290" s="32">
        <v>1286.0</v>
      </c>
      <c r="C1290" s="32" t="s">
        <v>1826</v>
      </c>
      <c r="D1290" s="32" t="s">
        <v>184</v>
      </c>
      <c r="E1290" s="32" t="s">
        <v>254</v>
      </c>
      <c r="F1290" s="32" t="s">
        <v>255</v>
      </c>
      <c r="G1290" s="32" t="s">
        <v>256</v>
      </c>
      <c r="H1290" s="32" t="s">
        <v>257</v>
      </c>
    </row>
    <row r="1291" ht="16.5" customHeight="1">
      <c r="A1291" s="32">
        <v>1287.0</v>
      </c>
      <c r="C1291" s="32" t="s">
        <v>1827</v>
      </c>
      <c r="D1291" s="32" t="s">
        <v>184</v>
      </c>
      <c r="E1291" s="32" t="s">
        <v>254</v>
      </c>
      <c r="F1291" s="32" t="s">
        <v>255</v>
      </c>
      <c r="G1291" s="32" t="s">
        <v>256</v>
      </c>
      <c r="H1291" s="32" t="s">
        <v>524</v>
      </c>
    </row>
    <row r="1292" ht="16.5" customHeight="1">
      <c r="A1292" s="32">
        <v>1288.0</v>
      </c>
      <c r="C1292" s="32" t="s">
        <v>1828</v>
      </c>
      <c r="D1292" s="32" t="s">
        <v>184</v>
      </c>
      <c r="E1292" s="32" t="s">
        <v>254</v>
      </c>
      <c r="F1292" s="32" t="s">
        <v>399</v>
      </c>
      <c r="G1292" s="32" t="s">
        <v>256</v>
      </c>
      <c r="H1292" s="32" t="s">
        <v>257</v>
      </c>
    </row>
    <row r="1293" ht="16.5" customHeight="1">
      <c r="A1293" s="32">
        <v>1289.0</v>
      </c>
      <c r="C1293" s="32" t="s">
        <v>1829</v>
      </c>
      <c r="D1293" s="32" t="s">
        <v>184</v>
      </c>
      <c r="E1293" s="32" t="s">
        <v>254</v>
      </c>
      <c r="F1293" s="32" t="s">
        <v>255</v>
      </c>
      <c r="G1293" s="32" t="s">
        <v>256</v>
      </c>
      <c r="H1293" s="32" t="s">
        <v>257</v>
      </c>
    </row>
    <row r="1294" ht="16.5" customHeight="1">
      <c r="A1294" s="32">
        <v>1290.0</v>
      </c>
      <c r="C1294" s="32" t="s">
        <v>1830</v>
      </c>
      <c r="D1294" s="32" t="s">
        <v>184</v>
      </c>
      <c r="E1294" s="32" t="s">
        <v>254</v>
      </c>
      <c r="F1294" s="32" t="s">
        <v>255</v>
      </c>
      <c r="G1294" s="32" t="s">
        <v>256</v>
      </c>
      <c r="H1294" s="32" t="s">
        <v>257</v>
      </c>
    </row>
    <row r="1295" ht="16.5" customHeight="1">
      <c r="A1295" s="32">
        <v>1291.0</v>
      </c>
      <c r="C1295" s="32" t="s">
        <v>1831</v>
      </c>
      <c r="D1295" s="32" t="s">
        <v>184</v>
      </c>
      <c r="E1295" s="32" t="s">
        <v>254</v>
      </c>
      <c r="F1295" s="32" t="s">
        <v>316</v>
      </c>
      <c r="G1295" s="32" t="s">
        <v>256</v>
      </c>
      <c r="H1295" s="32" t="s">
        <v>257</v>
      </c>
    </row>
    <row r="1296" ht="16.5" customHeight="1">
      <c r="A1296" s="32">
        <v>1292.0</v>
      </c>
      <c r="C1296" s="32" t="s">
        <v>1832</v>
      </c>
      <c r="D1296" s="32" t="s">
        <v>184</v>
      </c>
      <c r="E1296" s="32" t="s">
        <v>254</v>
      </c>
      <c r="F1296" s="32" t="s">
        <v>399</v>
      </c>
      <c r="G1296" s="32" t="s">
        <v>256</v>
      </c>
      <c r="H1296" s="32" t="s">
        <v>257</v>
      </c>
    </row>
    <row r="1297" ht="16.5" customHeight="1">
      <c r="A1297" s="32">
        <v>1293.0</v>
      </c>
      <c r="C1297" s="32" t="s">
        <v>1833</v>
      </c>
      <c r="D1297" s="32" t="s">
        <v>184</v>
      </c>
      <c r="E1297" s="32" t="s">
        <v>254</v>
      </c>
      <c r="F1297" s="32" t="s">
        <v>399</v>
      </c>
    </row>
    <row r="1298" ht="16.5" customHeight="1">
      <c r="A1298" s="32">
        <v>1294.0</v>
      </c>
      <c r="C1298" s="32" t="s">
        <v>1834</v>
      </c>
      <c r="D1298" s="32" t="s">
        <v>184</v>
      </c>
      <c r="E1298" s="32" t="s">
        <v>254</v>
      </c>
      <c r="F1298" s="32" t="s">
        <v>399</v>
      </c>
      <c r="G1298" s="32" t="s">
        <v>256</v>
      </c>
      <c r="H1298" s="32" t="s">
        <v>257</v>
      </c>
    </row>
    <row r="1299" ht="16.5" customHeight="1">
      <c r="A1299" s="32">
        <v>1295.0</v>
      </c>
      <c r="C1299" s="32" t="s">
        <v>1835</v>
      </c>
      <c r="D1299" s="32" t="s">
        <v>184</v>
      </c>
      <c r="E1299" s="32" t="s">
        <v>254</v>
      </c>
      <c r="F1299" s="32" t="s">
        <v>255</v>
      </c>
      <c r="G1299" s="32" t="s">
        <v>256</v>
      </c>
      <c r="H1299" s="32" t="s">
        <v>424</v>
      </c>
    </row>
    <row r="1300" ht="16.5" customHeight="1">
      <c r="A1300" s="32">
        <v>1296.0</v>
      </c>
      <c r="C1300" s="32" t="s">
        <v>1836</v>
      </c>
      <c r="D1300" s="32" t="s">
        <v>184</v>
      </c>
      <c r="E1300" s="32" t="s">
        <v>254</v>
      </c>
      <c r="F1300" s="32" t="s">
        <v>255</v>
      </c>
    </row>
    <row r="1301" ht="16.5" customHeight="1">
      <c r="A1301" s="32">
        <v>1297.0</v>
      </c>
      <c r="C1301" s="32" t="s">
        <v>1837</v>
      </c>
      <c r="D1301" s="32" t="s">
        <v>184</v>
      </c>
      <c r="E1301" s="32" t="s">
        <v>254</v>
      </c>
      <c r="F1301" s="32" t="s">
        <v>255</v>
      </c>
      <c r="G1301" s="32" t="s">
        <v>256</v>
      </c>
      <c r="H1301" s="32" t="s">
        <v>257</v>
      </c>
    </row>
    <row r="1302" ht="16.5" customHeight="1">
      <c r="A1302" s="32">
        <v>1298.0</v>
      </c>
      <c r="C1302" s="32" t="s">
        <v>1837</v>
      </c>
      <c r="D1302" s="32" t="s">
        <v>184</v>
      </c>
      <c r="E1302" s="32" t="s">
        <v>254</v>
      </c>
      <c r="F1302" s="32" t="s">
        <v>255</v>
      </c>
      <c r="G1302" s="32" t="s">
        <v>256</v>
      </c>
      <c r="H1302" s="32" t="s">
        <v>257</v>
      </c>
    </row>
    <row r="1303" ht="16.5" customHeight="1">
      <c r="A1303" s="32">
        <v>1299.0</v>
      </c>
      <c r="C1303" s="32" t="s">
        <v>1838</v>
      </c>
      <c r="D1303" s="32" t="s">
        <v>184</v>
      </c>
      <c r="E1303" s="32" t="s">
        <v>254</v>
      </c>
      <c r="F1303" s="32" t="s">
        <v>255</v>
      </c>
      <c r="G1303" s="32" t="s">
        <v>256</v>
      </c>
      <c r="H1303" s="32" t="s">
        <v>257</v>
      </c>
    </row>
    <row r="1304" ht="16.5" customHeight="1">
      <c r="A1304" s="32">
        <v>1300.0</v>
      </c>
      <c r="C1304" s="32" t="s">
        <v>1839</v>
      </c>
      <c r="D1304" s="32" t="s">
        <v>184</v>
      </c>
      <c r="E1304" s="32" t="s">
        <v>254</v>
      </c>
      <c r="F1304" s="32" t="s">
        <v>255</v>
      </c>
      <c r="G1304" s="32" t="s">
        <v>305</v>
      </c>
      <c r="H1304" s="32" t="s">
        <v>1840</v>
      </c>
    </row>
    <row r="1305" ht="16.5" customHeight="1">
      <c r="A1305" s="32">
        <v>1301.0</v>
      </c>
      <c r="C1305" s="32" t="s">
        <v>1841</v>
      </c>
      <c r="D1305" s="32" t="s">
        <v>184</v>
      </c>
      <c r="E1305" s="32" t="s">
        <v>254</v>
      </c>
      <c r="F1305" s="32" t="s">
        <v>255</v>
      </c>
    </row>
    <row r="1306" ht="16.5" customHeight="1">
      <c r="A1306" s="32">
        <v>1302.0</v>
      </c>
      <c r="C1306" s="32" t="s">
        <v>1842</v>
      </c>
      <c r="D1306" s="32" t="s">
        <v>184</v>
      </c>
      <c r="E1306" s="32" t="s">
        <v>254</v>
      </c>
      <c r="F1306" s="32" t="s">
        <v>373</v>
      </c>
      <c r="G1306" s="32" t="s">
        <v>256</v>
      </c>
      <c r="H1306" s="32" t="s">
        <v>257</v>
      </c>
    </row>
    <row r="1307" ht="16.5" customHeight="1">
      <c r="A1307" s="32">
        <v>1303.0</v>
      </c>
      <c r="C1307" s="32" t="s">
        <v>1843</v>
      </c>
      <c r="D1307" s="32" t="s">
        <v>184</v>
      </c>
      <c r="E1307" s="32" t="s">
        <v>254</v>
      </c>
      <c r="F1307" s="32" t="s">
        <v>373</v>
      </c>
      <c r="G1307" s="32" t="s">
        <v>256</v>
      </c>
      <c r="H1307" s="32" t="s">
        <v>257</v>
      </c>
    </row>
    <row r="1308" ht="16.5" customHeight="1">
      <c r="A1308" s="32">
        <v>1304.0</v>
      </c>
      <c r="C1308" s="32" t="s">
        <v>1844</v>
      </c>
      <c r="D1308" s="32" t="s">
        <v>184</v>
      </c>
      <c r="E1308" s="35" t="s">
        <v>1845</v>
      </c>
      <c r="F1308" s="32" t="s">
        <v>255</v>
      </c>
      <c r="G1308" s="32" t="s">
        <v>1846</v>
      </c>
      <c r="H1308" s="32" t="s">
        <v>1847</v>
      </c>
    </row>
    <row r="1309" ht="16.5" customHeight="1">
      <c r="A1309" s="32">
        <v>1305.0</v>
      </c>
      <c r="C1309" s="32" t="s">
        <v>1848</v>
      </c>
      <c r="D1309" s="32" t="s">
        <v>184</v>
      </c>
      <c r="E1309" s="32" t="s">
        <v>254</v>
      </c>
      <c r="F1309" s="32" t="s">
        <v>255</v>
      </c>
      <c r="G1309" s="32" t="s">
        <v>256</v>
      </c>
      <c r="H1309" s="32" t="s">
        <v>257</v>
      </c>
    </row>
    <row r="1310" ht="16.5" customHeight="1">
      <c r="A1310" s="32">
        <v>1306.0</v>
      </c>
      <c r="C1310" s="32" t="s">
        <v>1849</v>
      </c>
      <c r="D1310" s="32" t="s">
        <v>184</v>
      </c>
      <c r="E1310" s="32" t="s">
        <v>254</v>
      </c>
      <c r="F1310" s="32" t="s">
        <v>255</v>
      </c>
      <c r="G1310" s="32" t="s">
        <v>256</v>
      </c>
      <c r="H1310" s="32" t="s">
        <v>257</v>
      </c>
    </row>
    <row r="1311" ht="16.5" customHeight="1">
      <c r="A1311" s="32">
        <v>1307.0</v>
      </c>
      <c r="C1311" s="32" t="s">
        <v>1850</v>
      </c>
      <c r="D1311" s="32" t="s">
        <v>184</v>
      </c>
      <c r="E1311" s="35" t="s">
        <v>294</v>
      </c>
      <c r="F1311" s="32" t="s">
        <v>255</v>
      </c>
      <c r="G1311" s="32" t="s">
        <v>1851</v>
      </c>
      <c r="H1311" s="32" t="s">
        <v>1852</v>
      </c>
    </row>
    <row r="1312" ht="16.5" customHeight="1">
      <c r="A1312" s="32">
        <v>1308.0</v>
      </c>
      <c r="C1312" s="32" t="s">
        <v>1853</v>
      </c>
      <c r="D1312" s="32" t="s">
        <v>184</v>
      </c>
      <c r="E1312" s="32" t="s">
        <v>254</v>
      </c>
      <c r="F1312" s="32" t="s">
        <v>255</v>
      </c>
      <c r="G1312" s="32" t="s">
        <v>256</v>
      </c>
      <c r="H1312" s="32" t="s">
        <v>189</v>
      </c>
    </row>
    <row r="1313" ht="16.5" customHeight="1">
      <c r="A1313" s="32">
        <v>1309.0</v>
      </c>
      <c r="C1313" s="32" t="s">
        <v>1854</v>
      </c>
      <c r="D1313" s="32" t="s">
        <v>184</v>
      </c>
      <c r="E1313" s="35" t="s">
        <v>522</v>
      </c>
      <c r="F1313" s="32" t="s">
        <v>255</v>
      </c>
      <c r="G1313" s="32" t="s">
        <v>256</v>
      </c>
      <c r="H1313" s="32" t="s">
        <v>189</v>
      </c>
    </row>
    <row r="1314" ht="16.5" customHeight="1">
      <c r="A1314" s="32">
        <v>1310.0</v>
      </c>
      <c r="C1314" s="32" t="s">
        <v>1855</v>
      </c>
      <c r="D1314" s="32" t="s">
        <v>184</v>
      </c>
      <c r="E1314" s="32" t="s">
        <v>254</v>
      </c>
      <c r="F1314" s="32" t="s">
        <v>255</v>
      </c>
      <c r="G1314" s="32" t="s">
        <v>305</v>
      </c>
      <c r="H1314" s="32" t="s">
        <v>189</v>
      </c>
    </row>
    <row r="1315" ht="16.5" customHeight="1">
      <c r="A1315" s="32">
        <v>1311.0</v>
      </c>
      <c r="C1315" s="32" t="s">
        <v>1856</v>
      </c>
      <c r="D1315" s="32" t="s">
        <v>184</v>
      </c>
      <c r="E1315" s="32" t="s">
        <v>254</v>
      </c>
      <c r="F1315" s="32" t="s">
        <v>255</v>
      </c>
      <c r="G1315" s="32" t="s">
        <v>256</v>
      </c>
      <c r="H1315" s="32" t="s">
        <v>189</v>
      </c>
    </row>
    <row r="1316" ht="16.5" customHeight="1">
      <c r="A1316" s="32">
        <v>1312.0</v>
      </c>
      <c r="C1316" s="32" t="s">
        <v>1857</v>
      </c>
      <c r="D1316" s="32" t="s">
        <v>184</v>
      </c>
      <c r="E1316" s="32" t="s">
        <v>254</v>
      </c>
      <c r="F1316" s="32" t="s">
        <v>373</v>
      </c>
    </row>
    <row r="1317" ht="16.5" customHeight="1">
      <c r="A1317" s="32">
        <v>1313.0</v>
      </c>
      <c r="C1317" s="32" t="s">
        <v>1858</v>
      </c>
      <c r="D1317" s="32" t="s">
        <v>184</v>
      </c>
      <c r="E1317" s="32" t="s">
        <v>254</v>
      </c>
      <c r="F1317" s="32" t="s">
        <v>399</v>
      </c>
    </row>
    <row r="1318" ht="16.5" customHeight="1">
      <c r="A1318" s="32">
        <v>1314.0</v>
      </c>
      <c r="C1318" s="32" t="s">
        <v>1859</v>
      </c>
      <c r="D1318" s="32" t="s">
        <v>184</v>
      </c>
      <c r="E1318" s="32" t="s">
        <v>285</v>
      </c>
      <c r="F1318" s="32" t="s">
        <v>186</v>
      </c>
    </row>
    <row r="1319" ht="16.5" customHeight="1">
      <c r="A1319" s="32">
        <v>1315.0</v>
      </c>
      <c r="C1319" s="32" t="s">
        <v>1860</v>
      </c>
      <c r="D1319" s="32" t="s">
        <v>184</v>
      </c>
      <c r="E1319" s="35" t="s">
        <v>294</v>
      </c>
      <c r="F1319" s="32" t="s">
        <v>186</v>
      </c>
    </row>
    <row r="1320" ht="16.5" customHeight="1">
      <c r="A1320" s="32">
        <v>1316.0</v>
      </c>
      <c r="C1320" s="32" t="s">
        <v>1861</v>
      </c>
      <c r="D1320" s="32" t="s">
        <v>184</v>
      </c>
      <c r="E1320" s="32" t="s">
        <v>254</v>
      </c>
      <c r="F1320" s="32" t="s">
        <v>255</v>
      </c>
    </row>
    <row r="1321" ht="16.5" customHeight="1">
      <c r="A1321" s="32">
        <v>1317.0</v>
      </c>
      <c r="C1321" s="32" t="s">
        <v>1862</v>
      </c>
      <c r="D1321" s="32" t="s">
        <v>184</v>
      </c>
      <c r="E1321" s="32" t="s">
        <v>254</v>
      </c>
      <c r="F1321" s="32" t="s">
        <v>255</v>
      </c>
      <c r="G1321" s="32" t="s">
        <v>256</v>
      </c>
      <c r="H1321" s="32" t="s">
        <v>257</v>
      </c>
    </row>
    <row r="1322" ht="16.5" customHeight="1">
      <c r="A1322" s="32">
        <v>1318.0</v>
      </c>
      <c r="C1322" s="32" t="s">
        <v>1863</v>
      </c>
      <c r="D1322" s="32" t="s">
        <v>184</v>
      </c>
      <c r="E1322" s="32" t="s">
        <v>254</v>
      </c>
      <c r="F1322" s="32" t="s">
        <v>255</v>
      </c>
      <c r="G1322" s="32" t="s">
        <v>256</v>
      </c>
      <c r="H1322" s="32" t="s">
        <v>257</v>
      </c>
    </row>
    <row r="1323" ht="16.5" customHeight="1">
      <c r="A1323" s="32">
        <v>1319.0</v>
      </c>
      <c r="C1323" s="32" t="s">
        <v>1864</v>
      </c>
      <c r="D1323" s="32" t="s">
        <v>184</v>
      </c>
      <c r="E1323" s="32" t="s">
        <v>254</v>
      </c>
      <c r="F1323" s="32" t="s">
        <v>255</v>
      </c>
    </row>
    <row r="1324" ht="16.5" customHeight="1">
      <c r="A1324" s="32">
        <v>1320.0</v>
      </c>
      <c r="C1324" s="32" t="s">
        <v>1865</v>
      </c>
      <c r="D1324" s="32" t="s">
        <v>184</v>
      </c>
      <c r="E1324" s="32" t="s">
        <v>234</v>
      </c>
      <c r="F1324" s="32" t="s">
        <v>255</v>
      </c>
    </row>
    <row r="1325" ht="16.5" customHeight="1">
      <c r="A1325" s="32">
        <v>1321.0</v>
      </c>
      <c r="C1325" s="32" t="s">
        <v>1866</v>
      </c>
      <c r="D1325" s="32" t="s">
        <v>184</v>
      </c>
      <c r="E1325" s="32" t="s">
        <v>234</v>
      </c>
      <c r="F1325" s="32" t="s">
        <v>255</v>
      </c>
      <c r="G1325" s="32" t="s">
        <v>235</v>
      </c>
      <c r="H1325" s="32" t="s">
        <v>243</v>
      </c>
    </row>
    <row r="1326" ht="16.5" customHeight="1">
      <c r="A1326" s="32">
        <v>1322.0</v>
      </c>
      <c r="C1326" s="32" t="s">
        <v>1867</v>
      </c>
      <c r="D1326" s="32" t="s">
        <v>184</v>
      </c>
      <c r="E1326" s="35" t="s">
        <v>310</v>
      </c>
      <c r="F1326" s="32" t="s">
        <v>255</v>
      </c>
      <c r="G1326" s="32" t="s">
        <v>305</v>
      </c>
      <c r="H1326" s="32" t="s">
        <v>600</v>
      </c>
    </row>
    <row r="1327" ht="16.5" customHeight="1">
      <c r="A1327" s="32">
        <v>1323.0</v>
      </c>
      <c r="C1327" s="32" t="s">
        <v>1868</v>
      </c>
      <c r="D1327" s="32" t="s">
        <v>184</v>
      </c>
      <c r="E1327" s="32" t="s">
        <v>228</v>
      </c>
      <c r="F1327" s="32" t="s">
        <v>255</v>
      </c>
    </row>
    <row r="1328" ht="16.5" customHeight="1">
      <c r="A1328" s="32">
        <v>1324.0</v>
      </c>
      <c r="C1328" s="32" t="s">
        <v>1869</v>
      </c>
      <c r="D1328" s="32" t="s">
        <v>184</v>
      </c>
      <c r="E1328" s="32" t="s">
        <v>234</v>
      </c>
      <c r="F1328" s="32" t="s">
        <v>255</v>
      </c>
      <c r="G1328" s="32" t="s">
        <v>235</v>
      </c>
      <c r="H1328" s="32" t="s">
        <v>243</v>
      </c>
    </row>
    <row r="1329" ht="16.5" customHeight="1">
      <c r="A1329" s="32">
        <v>1325.0</v>
      </c>
      <c r="C1329" s="32" t="s">
        <v>1869</v>
      </c>
      <c r="D1329" s="32" t="s">
        <v>184</v>
      </c>
      <c r="E1329" s="32" t="s">
        <v>234</v>
      </c>
      <c r="F1329" s="32" t="s">
        <v>255</v>
      </c>
      <c r="G1329" s="32" t="s">
        <v>235</v>
      </c>
      <c r="H1329" s="32" t="s">
        <v>243</v>
      </c>
    </row>
    <row r="1330" ht="16.5" customHeight="1">
      <c r="A1330" s="32">
        <v>1326.0</v>
      </c>
      <c r="C1330" s="32" t="s">
        <v>1870</v>
      </c>
      <c r="D1330" s="32" t="s">
        <v>184</v>
      </c>
      <c r="E1330" s="32" t="s">
        <v>234</v>
      </c>
      <c r="F1330" s="32" t="s">
        <v>255</v>
      </c>
      <c r="G1330" s="32" t="s">
        <v>235</v>
      </c>
      <c r="H1330" s="32" t="s">
        <v>243</v>
      </c>
    </row>
    <row r="1331" ht="16.5" customHeight="1">
      <c r="A1331" s="32">
        <v>1327.0</v>
      </c>
      <c r="C1331" s="32" t="s">
        <v>1871</v>
      </c>
      <c r="D1331" s="32" t="s">
        <v>184</v>
      </c>
      <c r="E1331" s="32" t="s">
        <v>234</v>
      </c>
      <c r="F1331" s="32" t="s">
        <v>399</v>
      </c>
      <c r="G1331" s="32" t="s">
        <v>235</v>
      </c>
      <c r="H1331" s="32" t="s">
        <v>243</v>
      </c>
    </row>
    <row r="1332" ht="16.5" customHeight="1">
      <c r="A1332" s="32">
        <v>1328.0</v>
      </c>
      <c r="C1332" s="32" t="s">
        <v>1872</v>
      </c>
      <c r="D1332" s="32" t="s">
        <v>184</v>
      </c>
      <c r="E1332" s="32" t="s">
        <v>234</v>
      </c>
      <c r="F1332" s="32" t="s">
        <v>255</v>
      </c>
      <c r="G1332" s="32" t="s">
        <v>235</v>
      </c>
      <c r="H1332" s="32" t="s">
        <v>243</v>
      </c>
    </row>
    <row r="1333" ht="16.5" customHeight="1">
      <c r="A1333" s="32">
        <v>1329.0</v>
      </c>
      <c r="C1333" s="32" t="s">
        <v>1873</v>
      </c>
      <c r="D1333" s="32" t="s">
        <v>184</v>
      </c>
      <c r="E1333" s="32" t="s">
        <v>234</v>
      </c>
      <c r="F1333" s="32" t="s">
        <v>255</v>
      </c>
      <c r="G1333" s="32" t="s">
        <v>1874</v>
      </c>
      <c r="H1333" s="32" t="s">
        <v>1875</v>
      </c>
    </row>
    <row r="1334" ht="16.5" customHeight="1">
      <c r="A1334" s="32">
        <v>1330.0</v>
      </c>
      <c r="C1334" s="32" t="s">
        <v>1876</v>
      </c>
      <c r="D1334" s="32" t="s">
        <v>184</v>
      </c>
      <c r="E1334" s="32" t="s">
        <v>254</v>
      </c>
      <c r="F1334" s="32" t="s">
        <v>255</v>
      </c>
    </row>
    <row r="1335" ht="16.5" customHeight="1">
      <c r="A1335" s="32">
        <v>1331.0</v>
      </c>
      <c r="C1335" s="32" t="s">
        <v>1877</v>
      </c>
      <c r="D1335" s="32" t="s">
        <v>184</v>
      </c>
      <c r="E1335" s="32" t="s">
        <v>185</v>
      </c>
      <c r="F1335" s="32" t="s">
        <v>255</v>
      </c>
      <c r="G1335" s="32" t="s">
        <v>271</v>
      </c>
      <c r="H1335" s="32" t="s">
        <v>1878</v>
      </c>
    </row>
    <row r="1336" ht="16.5" customHeight="1">
      <c r="A1336" s="32">
        <v>1332.0</v>
      </c>
      <c r="C1336" s="32" t="s">
        <v>1879</v>
      </c>
      <c r="D1336" s="32" t="s">
        <v>184</v>
      </c>
      <c r="E1336" s="32" t="s">
        <v>254</v>
      </c>
      <c r="F1336" s="32" t="s">
        <v>255</v>
      </c>
      <c r="G1336" s="32" t="s">
        <v>256</v>
      </c>
      <c r="H1336" s="32" t="s">
        <v>600</v>
      </c>
    </row>
    <row r="1337" ht="16.5" customHeight="1">
      <c r="A1337" s="32">
        <v>1333.0</v>
      </c>
      <c r="C1337" s="32" t="s">
        <v>1880</v>
      </c>
      <c r="D1337" s="32" t="s">
        <v>184</v>
      </c>
      <c r="E1337" s="32" t="s">
        <v>254</v>
      </c>
      <c r="F1337" s="32" t="s">
        <v>255</v>
      </c>
    </row>
    <row r="1338" ht="16.5" customHeight="1">
      <c r="A1338" s="32">
        <v>1334.0</v>
      </c>
      <c r="C1338" s="32" t="s">
        <v>1881</v>
      </c>
      <c r="D1338" s="32" t="s">
        <v>184</v>
      </c>
      <c r="E1338" s="32" t="s">
        <v>254</v>
      </c>
      <c r="F1338" s="32" t="s">
        <v>255</v>
      </c>
    </row>
    <row r="1339" ht="16.5" customHeight="1">
      <c r="A1339" s="32">
        <v>1335.0</v>
      </c>
      <c r="C1339" s="32" t="s">
        <v>1882</v>
      </c>
      <c r="D1339" s="32" t="s">
        <v>184</v>
      </c>
      <c r="E1339" s="32" t="s">
        <v>254</v>
      </c>
      <c r="F1339" s="32" t="s">
        <v>255</v>
      </c>
    </row>
    <row r="1340" ht="16.5" customHeight="1">
      <c r="A1340" s="32">
        <v>1336.0</v>
      </c>
      <c r="C1340" s="32" t="s">
        <v>1883</v>
      </c>
      <c r="D1340" s="32" t="s">
        <v>184</v>
      </c>
      <c r="E1340" s="32" t="s">
        <v>234</v>
      </c>
      <c r="F1340" s="32" t="s">
        <v>222</v>
      </c>
      <c r="G1340" s="32" t="s">
        <v>347</v>
      </c>
      <c r="H1340" s="32" t="s">
        <v>1884</v>
      </c>
    </row>
    <row r="1341" ht="16.5" customHeight="1">
      <c r="A1341" s="32">
        <v>1337.0</v>
      </c>
      <c r="C1341" s="32" t="s">
        <v>1885</v>
      </c>
      <c r="D1341" s="32" t="s">
        <v>184</v>
      </c>
      <c r="E1341" s="32" t="s">
        <v>234</v>
      </c>
      <c r="F1341" s="32" t="s">
        <v>222</v>
      </c>
      <c r="G1341" s="32" t="s">
        <v>235</v>
      </c>
      <c r="H1341" s="32" t="s">
        <v>243</v>
      </c>
    </row>
    <row r="1342" ht="16.5" customHeight="1">
      <c r="A1342" s="32">
        <v>1338.0</v>
      </c>
      <c r="C1342" s="32" t="s">
        <v>1886</v>
      </c>
      <c r="D1342" s="32" t="s">
        <v>184</v>
      </c>
      <c r="E1342" s="32" t="s">
        <v>321</v>
      </c>
      <c r="F1342" s="32" t="s">
        <v>255</v>
      </c>
    </row>
    <row r="1343" ht="16.5" customHeight="1">
      <c r="A1343" s="32">
        <v>1339.0</v>
      </c>
      <c r="C1343" s="32" t="s">
        <v>1887</v>
      </c>
      <c r="D1343" s="32" t="s">
        <v>184</v>
      </c>
      <c r="E1343" s="35" t="s">
        <v>1888</v>
      </c>
      <c r="F1343" s="32" t="s">
        <v>255</v>
      </c>
      <c r="G1343" s="32" t="s">
        <v>1889</v>
      </c>
      <c r="H1343" s="32" t="s">
        <v>229</v>
      </c>
    </row>
    <row r="1344" ht="16.5" customHeight="1">
      <c r="A1344" s="32">
        <v>1340.0</v>
      </c>
      <c r="C1344" s="32" t="s">
        <v>1890</v>
      </c>
      <c r="D1344" s="32" t="s">
        <v>184</v>
      </c>
      <c r="E1344" s="32" t="s">
        <v>219</v>
      </c>
      <c r="F1344" s="32" t="s">
        <v>255</v>
      </c>
      <c r="G1344" s="32" t="s">
        <v>223</v>
      </c>
      <c r="H1344" s="32" t="s">
        <v>472</v>
      </c>
    </row>
    <row r="1345" ht="16.5" customHeight="1">
      <c r="A1345" s="32">
        <v>1341.0</v>
      </c>
      <c r="C1345" s="32" t="s">
        <v>1891</v>
      </c>
      <c r="D1345" s="32" t="s">
        <v>184</v>
      </c>
      <c r="E1345" s="32" t="s">
        <v>219</v>
      </c>
      <c r="F1345" s="32" t="s">
        <v>255</v>
      </c>
      <c r="G1345" s="32" t="s">
        <v>223</v>
      </c>
      <c r="H1345" s="32" t="s">
        <v>472</v>
      </c>
    </row>
    <row r="1346" ht="16.5" customHeight="1">
      <c r="A1346" s="32">
        <v>1342.0</v>
      </c>
      <c r="C1346" s="32" t="s">
        <v>1892</v>
      </c>
      <c r="D1346" s="32" t="s">
        <v>184</v>
      </c>
      <c r="E1346" s="32" t="s">
        <v>219</v>
      </c>
      <c r="F1346" s="32" t="s">
        <v>255</v>
      </c>
      <c r="G1346" s="32" t="s">
        <v>223</v>
      </c>
      <c r="H1346" s="32" t="s">
        <v>420</v>
      </c>
    </row>
    <row r="1347" ht="16.5" customHeight="1">
      <c r="A1347" s="32">
        <v>1343.0</v>
      </c>
      <c r="C1347" s="32" t="s">
        <v>1893</v>
      </c>
      <c r="D1347" s="32" t="s">
        <v>184</v>
      </c>
      <c r="E1347" s="35" t="s">
        <v>1894</v>
      </c>
      <c r="F1347" s="32" t="s">
        <v>255</v>
      </c>
      <c r="G1347" s="32" t="s">
        <v>1895</v>
      </c>
      <c r="H1347" s="32" t="s">
        <v>1896</v>
      </c>
    </row>
    <row r="1348" ht="16.5" customHeight="1">
      <c r="A1348" s="32">
        <v>1344.0</v>
      </c>
      <c r="C1348" s="32" t="s">
        <v>1897</v>
      </c>
      <c r="D1348" s="32" t="s">
        <v>184</v>
      </c>
      <c r="E1348" s="32" t="s">
        <v>234</v>
      </c>
      <c r="F1348" s="32" t="s">
        <v>255</v>
      </c>
      <c r="G1348" s="32" t="s">
        <v>347</v>
      </c>
      <c r="H1348" s="32" t="s">
        <v>1764</v>
      </c>
    </row>
    <row r="1349" ht="16.5" customHeight="1">
      <c r="A1349" s="32">
        <v>1345.0</v>
      </c>
      <c r="C1349" s="32" t="s">
        <v>1898</v>
      </c>
      <c r="D1349" s="32" t="s">
        <v>184</v>
      </c>
      <c r="E1349" s="35" t="s">
        <v>1894</v>
      </c>
      <c r="F1349" s="32" t="s">
        <v>255</v>
      </c>
      <c r="G1349" s="32" t="s">
        <v>1895</v>
      </c>
      <c r="H1349" s="32" t="s">
        <v>505</v>
      </c>
    </row>
    <row r="1350" ht="16.5" customHeight="1">
      <c r="A1350" s="32">
        <v>1346.0</v>
      </c>
      <c r="C1350" s="32" t="s">
        <v>1899</v>
      </c>
      <c r="D1350" s="32" t="s">
        <v>184</v>
      </c>
      <c r="E1350" s="32" t="s">
        <v>325</v>
      </c>
      <c r="F1350" s="32" t="s">
        <v>255</v>
      </c>
      <c r="G1350" s="32" t="s">
        <v>368</v>
      </c>
      <c r="H1350" s="32" t="s">
        <v>463</v>
      </c>
    </row>
    <row r="1351" ht="16.5" customHeight="1">
      <c r="A1351" s="32">
        <v>1347.0</v>
      </c>
      <c r="C1351" s="32" t="s">
        <v>1900</v>
      </c>
      <c r="D1351" s="32" t="s">
        <v>184</v>
      </c>
      <c r="E1351" s="32" t="s">
        <v>325</v>
      </c>
      <c r="F1351" s="32" t="s">
        <v>255</v>
      </c>
      <c r="G1351" s="32" t="s">
        <v>368</v>
      </c>
      <c r="H1351" s="32" t="s">
        <v>463</v>
      </c>
    </row>
    <row r="1352" ht="16.5" customHeight="1">
      <c r="A1352" s="32">
        <v>1348.0</v>
      </c>
      <c r="C1352" s="32" t="s">
        <v>1901</v>
      </c>
      <c r="D1352" s="32" t="s">
        <v>184</v>
      </c>
      <c r="E1352" s="32" t="s">
        <v>234</v>
      </c>
      <c r="F1352" s="32" t="s">
        <v>255</v>
      </c>
      <c r="G1352" s="32" t="s">
        <v>347</v>
      </c>
      <c r="H1352" s="32" t="s">
        <v>1902</v>
      </c>
    </row>
    <row r="1353" ht="16.5" customHeight="1">
      <c r="A1353" s="32">
        <v>1349.0</v>
      </c>
      <c r="C1353" s="32" t="s">
        <v>1903</v>
      </c>
      <c r="D1353" s="32" t="s">
        <v>184</v>
      </c>
      <c r="E1353" s="32" t="s">
        <v>228</v>
      </c>
      <c r="F1353" s="32" t="s">
        <v>222</v>
      </c>
    </row>
    <row r="1354" ht="16.5" customHeight="1">
      <c r="A1354" s="32">
        <v>1350.0</v>
      </c>
      <c r="C1354" s="32" t="s">
        <v>1904</v>
      </c>
      <c r="D1354" s="32" t="s">
        <v>184</v>
      </c>
      <c r="E1354" s="32" t="s">
        <v>228</v>
      </c>
      <c r="F1354" s="32" t="s">
        <v>222</v>
      </c>
    </row>
    <row r="1355" ht="16.5" customHeight="1">
      <c r="A1355" s="32">
        <v>1351.0</v>
      </c>
      <c r="C1355" s="32" t="s">
        <v>1905</v>
      </c>
      <c r="D1355" s="32" t="s">
        <v>184</v>
      </c>
      <c r="E1355" s="32" t="s">
        <v>228</v>
      </c>
      <c r="F1355" s="32" t="s">
        <v>222</v>
      </c>
    </row>
    <row r="1356" ht="16.5" customHeight="1">
      <c r="A1356" s="32">
        <v>1352.0</v>
      </c>
      <c r="C1356" s="32" t="s">
        <v>1906</v>
      </c>
      <c r="D1356" s="32" t="s">
        <v>184</v>
      </c>
      <c r="E1356" s="32" t="s">
        <v>234</v>
      </c>
      <c r="F1356" s="32" t="s">
        <v>222</v>
      </c>
      <c r="G1356" s="32" t="s">
        <v>235</v>
      </c>
      <c r="H1356" s="32" t="s">
        <v>1907</v>
      </c>
    </row>
    <row r="1357" ht="16.5" customHeight="1">
      <c r="A1357" s="32">
        <v>1353.0</v>
      </c>
      <c r="C1357" s="32" t="s">
        <v>1908</v>
      </c>
      <c r="D1357" s="32" t="s">
        <v>184</v>
      </c>
      <c r="E1357" s="32" t="s">
        <v>219</v>
      </c>
      <c r="F1357" s="32" t="s">
        <v>222</v>
      </c>
      <c r="G1357" s="32" t="s">
        <v>241</v>
      </c>
      <c r="H1357" s="32" t="s">
        <v>292</v>
      </c>
    </row>
    <row r="1358" ht="16.5" customHeight="1">
      <c r="A1358" s="32">
        <v>1354.0</v>
      </c>
      <c r="C1358" s="32" t="s">
        <v>1908</v>
      </c>
      <c r="D1358" s="32" t="s">
        <v>184</v>
      </c>
      <c r="E1358" s="32" t="s">
        <v>219</v>
      </c>
      <c r="F1358" s="32" t="s">
        <v>222</v>
      </c>
      <c r="G1358" s="32" t="s">
        <v>241</v>
      </c>
      <c r="H1358" s="32" t="s">
        <v>292</v>
      </c>
    </row>
    <row r="1359" ht="16.5" customHeight="1">
      <c r="A1359" s="32">
        <v>1355.0</v>
      </c>
      <c r="C1359" s="32" t="s">
        <v>1909</v>
      </c>
      <c r="D1359" s="32" t="s">
        <v>184</v>
      </c>
      <c r="E1359" s="32" t="s">
        <v>219</v>
      </c>
      <c r="F1359" s="32" t="s">
        <v>222</v>
      </c>
      <c r="G1359" s="32" t="s">
        <v>241</v>
      </c>
      <c r="H1359" s="32" t="s">
        <v>292</v>
      </c>
    </row>
    <row r="1360" ht="16.5" customHeight="1">
      <c r="A1360" s="32">
        <v>1356.0</v>
      </c>
      <c r="C1360" s="32" t="s">
        <v>1910</v>
      </c>
      <c r="D1360" s="32" t="s">
        <v>184</v>
      </c>
      <c r="E1360" s="32" t="s">
        <v>219</v>
      </c>
      <c r="F1360" s="32" t="s">
        <v>222</v>
      </c>
      <c r="G1360" s="32" t="s">
        <v>241</v>
      </c>
      <c r="H1360" s="32" t="s">
        <v>292</v>
      </c>
    </row>
    <row r="1361" ht="16.5" customHeight="1">
      <c r="A1361" s="32">
        <v>1357.0</v>
      </c>
      <c r="C1361" s="32" t="s">
        <v>1911</v>
      </c>
      <c r="D1361" s="32" t="s">
        <v>184</v>
      </c>
      <c r="E1361" s="32" t="s">
        <v>234</v>
      </c>
      <c r="F1361" s="32" t="s">
        <v>222</v>
      </c>
    </row>
    <row r="1362" ht="16.5" customHeight="1">
      <c r="A1362" s="32">
        <v>1358.0</v>
      </c>
      <c r="C1362" s="32" t="s">
        <v>1912</v>
      </c>
      <c r="D1362" s="32" t="s">
        <v>184</v>
      </c>
      <c r="E1362" s="32" t="s">
        <v>228</v>
      </c>
      <c r="F1362" s="32" t="s">
        <v>222</v>
      </c>
    </row>
    <row r="1363" ht="16.5" customHeight="1">
      <c r="A1363" s="32">
        <v>1359.0</v>
      </c>
      <c r="C1363" s="32" t="s">
        <v>1913</v>
      </c>
      <c r="D1363" s="32" t="s">
        <v>184</v>
      </c>
      <c r="E1363" s="32" t="s">
        <v>219</v>
      </c>
      <c r="F1363" s="32" t="s">
        <v>222</v>
      </c>
    </row>
    <row r="1364" ht="16.5" customHeight="1">
      <c r="A1364" s="32">
        <v>1360.0</v>
      </c>
      <c r="C1364" s="32" t="s">
        <v>1914</v>
      </c>
      <c r="D1364" s="32" t="s">
        <v>184</v>
      </c>
      <c r="E1364" s="32" t="s">
        <v>219</v>
      </c>
      <c r="F1364" s="32" t="s">
        <v>222</v>
      </c>
    </row>
    <row r="1365" ht="16.5" customHeight="1">
      <c r="A1365" s="32">
        <v>1361.0</v>
      </c>
      <c r="C1365" s="32" t="s">
        <v>1915</v>
      </c>
      <c r="D1365" s="32" t="s">
        <v>184</v>
      </c>
      <c r="E1365" s="32" t="s">
        <v>228</v>
      </c>
      <c r="F1365" s="32" t="s">
        <v>222</v>
      </c>
    </row>
    <row r="1366" ht="16.5" customHeight="1">
      <c r="A1366" s="32">
        <v>1362.0</v>
      </c>
      <c r="C1366" s="32" t="s">
        <v>1916</v>
      </c>
      <c r="D1366" s="32" t="s">
        <v>184</v>
      </c>
      <c r="E1366" s="32" t="s">
        <v>219</v>
      </c>
      <c r="F1366" s="32" t="s">
        <v>222</v>
      </c>
    </row>
    <row r="1367" ht="16.5" customHeight="1">
      <c r="A1367" s="32">
        <v>1363.0</v>
      </c>
      <c r="C1367" s="32" t="s">
        <v>1917</v>
      </c>
      <c r="D1367" s="32" t="s">
        <v>184</v>
      </c>
      <c r="E1367" s="32" t="s">
        <v>219</v>
      </c>
      <c r="F1367" s="32" t="s">
        <v>222</v>
      </c>
    </row>
    <row r="1368" ht="16.5" customHeight="1">
      <c r="A1368" s="32">
        <v>1364.0</v>
      </c>
      <c r="C1368" s="32" t="s">
        <v>1918</v>
      </c>
      <c r="D1368" s="32" t="s">
        <v>184</v>
      </c>
      <c r="E1368" s="32" t="s">
        <v>219</v>
      </c>
      <c r="F1368" s="32" t="s">
        <v>222</v>
      </c>
    </row>
    <row r="1369" ht="16.5" customHeight="1">
      <c r="A1369" s="32">
        <v>1365.0</v>
      </c>
      <c r="C1369" s="32" t="s">
        <v>1919</v>
      </c>
      <c r="D1369" s="32" t="s">
        <v>184</v>
      </c>
      <c r="E1369" s="32" t="s">
        <v>214</v>
      </c>
      <c r="F1369" s="32" t="s">
        <v>222</v>
      </c>
    </row>
    <row r="1370" ht="16.5" customHeight="1">
      <c r="A1370" s="32">
        <v>1366.0</v>
      </c>
      <c r="C1370" s="32" t="s">
        <v>1920</v>
      </c>
      <c r="D1370" s="32" t="s">
        <v>184</v>
      </c>
      <c r="E1370" s="32" t="s">
        <v>228</v>
      </c>
      <c r="F1370" s="32" t="s">
        <v>222</v>
      </c>
      <c r="G1370" s="32" t="s">
        <v>229</v>
      </c>
      <c r="H1370" s="32" t="s">
        <v>230</v>
      </c>
    </row>
    <row r="1371" ht="16.5" customHeight="1">
      <c r="A1371" s="32">
        <v>1367.0</v>
      </c>
      <c r="C1371" s="32" t="s">
        <v>1921</v>
      </c>
      <c r="D1371" s="32" t="s">
        <v>184</v>
      </c>
      <c r="E1371" s="32" t="s">
        <v>228</v>
      </c>
      <c r="F1371" s="32" t="s">
        <v>222</v>
      </c>
      <c r="G1371" s="32" t="s">
        <v>229</v>
      </c>
      <c r="H1371" s="32" t="s">
        <v>626</v>
      </c>
    </row>
    <row r="1372" ht="16.5" customHeight="1">
      <c r="A1372" s="32">
        <v>1368.0</v>
      </c>
      <c r="C1372" s="32" t="s">
        <v>1922</v>
      </c>
      <c r="D1372" s="32" t="s">
        <v>184</v>
      </c>
      <c r="E1372" s="32" t="s">
        <v>228</v>
      </c>
      <c r="F1372" s="32" t="s">
        <v>222</v>
      </c>
      <c r="G1372" s="32" t="s">
        <v>229</v>
      </c>
      <c r="H1372" s="32" t="s">
        <v>1334</v>
      </c>
    </row>
    <row r="1373" ht="16.5" customHeight="1">
      <c r="A1373" s="32">
        <v>1369.0</v>
      </c>
      <c r="C1373" s="32" t="s">
        <v>1923</v>
      </c>
      <c r="D1373" s="32" t="s">
        <v>184</v>
      </c>
      <c r="E1373" s="32" t="s">
        <v>228</v>
      </c>
      <c r="F1373" s="32" t="s">
        <v>222</v>
      </c>
    </row>
    <row r="1374" ht="16.5" customHeight="1">
      <c r="A1374" s="32">
        <v>1370.0</v>
      </c>
      <c r="C1374" s="32" t="s">
        <v>1924</v>
      </c>
      <c r="D1374" s="32" t="s">
        <v>184</v>
      </c>
      <c r="E1374" s="32" t="s">
        <v>219</v>
      </c>
      <c r="F1374" s="32" t="s">
        <v>222</v>
      </c>
    </row>
    <row r="1375" ht="16.5" customHeight="1">
      <c r="A1375" s="32">
        <v>1371.0</v>
      </c>
      <c r="C1375" s="32" t="s">
        <v>1925</v>
      </c>
      <c r="D1375" s="32" t="s">
        <v>184</v>
      </c>
      <c r="E1375" s="32" t="s">
        <v>234</v>
      </c>
      <c r="F1375" s="32" t="s">
        <v>222</v>
      </c>
    </row>
    <row r="1376" ht="16.5" customHeight="1">
      <c r="A1376" s="32">
        <v>1372.0</v>
      </c>
      <c r="C1376" s="32" t="s">
        <v>1926</v>
      </c>
      <c r="D1376" s="32" t="s">
        <v>184</v>
      </c>
      <c r="E1376" s="32" t="s">
        <v>234</v>
      </c>
      <c r="F1376" s="32" t="s">
        <v>222</v>
      </c>
    </row>
    <row r="1377" ht="16.5" customHeight="1">
      <c r="A1377" s="32">
        <v>1373.0</v>
      </c>
      <c r="C1377" s="32" t="s">
        <v>1927</v>
      </c>
      <c r="D1377" s="32" t="s">
        <v>184</v>
      </c>
      <c r="E1377" s="32" t="s">
        <v>219</v>
      </c>
      <c r="F1377" s="32" t="s">
        <v>222</v>
      </c>
    </row>
    <row r="1378" ht="16.5" customHeight="1">
      <c r="A1378" s="32">
        <v>1374.0</v>
      </c>
      <c r="C1378" s="32" t="s">
        <v>1928</v>
      </c>
      <c r="D1378" s="32" t="s">
        <v>184</v>
      </c>
      <c r="E1378" s="32" t="s">
        <v>219</v>
      </c>
      <c r="F1378" s="35" t="s">
        <v>1929</v>
      </c>
    </row>
    <row r="1379" ht="16.5" customHeight="1">
      <c r="A1379" s="32">
        <v>1375.0</v>
      </c>
      <c r="C1379" s="32" t="s">
        <v>156</v>
      </c>
      <c r="D1379" s="32" t="s">
        <v>184</v>
      </c>
      <c r="E1379" s="32" t="s">
        <v>228</v>
      </c>
      <c r="F1379" s="32" t="s">
        <v>222</v>
      </c>
    </row>
    <row r="1380" ht="16.5" customHeight="1">
      <c r="A1380" s="32">
        <v>1376.0</v>
      </c>
      <c r="C1380" s="32" t="s">
        <v>158</v>
      </c>
      <c r="D1380" s="32" t="s">
        <v>184</v>
      </c>
      <c r="E1380" s="32" t="s">
        <v>228</v>
      </c>
      <c r="F1380" s="32" t="s">
        <v>222</v>
      </c>
      <c r="G1380" s="32" t="s">
        <v>229</v>
      </c>
      <c r="H1380" s="32" t="s">
        <v>230</v>
      </c>
    </row>
    <row r="1381" ht="16.5" customHeight="1">
      <c r="A1381" s="32">
        <v>1377.0</v>
      </c>
      <c r="C1381" s="32" t="s">
        <v>1930</v>
      </c>
      <c r="D1381" s="32" t="s">
        <v>184</v>
      </c>
      <c r="E1381" s="32" t="s">
        <v>228</v>
      </c>
      <c r="F1381" s="32" t="s">
        <v>222</v>
      </c>
      <c r="G1381" s="32" t="s">
        <v>229</v>
      </c>
      <c r="H1381" s="32" t="s">
        <v>1931</v>
      </c>
    </row>
    <row r="1382" ht="16.5" customHeight="1">
      <c r="A1382" s="32">
        <v>1378.0</v>
      </c>
      <c r="C1382" s="32" t="s">
        <v>1932</v>
      </c>
      <c r="D1382" s="32" t="s">
        <v>184</v>
      </c>
      <c r="E1382" s="32" t="s">
        <v>228</v>
      </c>
      <c r="F1382" s="32" t="s">
        <v>222</v>
      </c>
      <c r="G1382" s="32" t="s">
        <v>229</v>
      </c>
      <c r="H1382" s="32" t="s">
        <v>230</v>
      </c>
    </row>
    <row r="1383" ht="16.5" customHeight="1">
      <c r="A1383" s="32">
        <v>1379.0</v>
      </c>
      <c r="C1383" s="32" t="s">
        <v>1933</v>
      </c>
      <c r="D1383" s="32" t="s">
        <v>184</v>
      </c>
      <c r="E1383" s="32" t="s">
        <v>234</v>
      </c>
      <c r="F1383" s="32" t="s">
        <v>222</v>
      </c>
      <c r="G1383" s="32" t="s">
        <v>347</v>
      </c>
      <c r="H1383" s="32" t="s">
        <v>1934</v>
      </c>
    </row>
    <row r="1384" ht="16.5" customHeight="1">
      <c r="A1384" s="32">
        <v>1380.0</v>
      </c>
      <c r="C1384" s="32" t="s">
        <v>1935</v>
      </c>
      <c r="D1384" s="32" t="s">
        <v>184</v>
      </c>
      <c r="E1384" s="32" t="s">
        <v>285</v>
      </c>
      <c r="F1384" s="32" t="s">
        <v>222</v>
      </c>
    </row>
    <row r="1385" ht="16.5" customHeight="1">
      <c r="A1385" s="32">
        <v>1381.0</v>
      </c>
      <c r="C1385" s="32" t="s">
        <v>1936</v>
      </c>
      <c r="D1385" s="32" t="s">
        <v>184</v>
      </c>
      <c r="E1385" s="32" t="s">
        <v>234</v>
      </c>
      <c r="F1385" s="32" t="s">
        <v>222</v>
      </c>
    </row>
    <row r="1386" ht="16.5" customHeight="1">
      <c r="A1386" s="32">
        <v>1382.0</v>
      </c>
      <c r="C1386" s="32" t="s">
        <v>1937</v>
      </c>
      <c r="D1386" s="32" t="s">
        <v>184</v>
      </c>
      <c r="E1386" s="32" t="s">
        <v>185</v>
      </c>
      <c r="F1386" s="32" t="s">
        <v>222</v>
      </c>
      <c r="G1386" s="32" t="s">
        <v>189</v>
      </c>
      <c r="H1386" s="32" t="s">
        <v>1121</v>
      </c>
    </row>
    <row r="1387" ht="16.5" customHeight="1">
      <c r="A1387" s="32">
        <v>1383.0</v>
      </c>
      <c r="C1387" s="32" t="s">
        <v>1938</v>
      </c>
      <c r="D1387" s="32" t="s">
        <v>184</v>
      </c>
      <c r="E1387" s="35" t="s">
        <v>294</v>
      </c>
      <c r="F1387" s="32" t="s">
        <v>222</v>
      </c>
      <c r="G1387" s="32" t="s">
        <v>1851</v>
      </c>
      <c r="H1387" s="32" t="s">
        <v>1939</v>
      </c>
    </row>
    <row r="1388" ht="16.5" customHeight="1">
      <c r="A1388" s="32">
        <v>1384.0</v>
      </c>
      <c r="C1388" s="32" t="s">
        <v>1940</v>
      </c>
      <c r="D1388" s="32" t="s">
        <v>184</v>
      </c>
      <c r="E1388" s="32" t="s">
        <v>214</v>
      </c>
      <c r="F1388" s="32" t="s">
        <v>222</v>
      </c>
      <c r="G1388" s="32" t="s">
        <v>720</v>
      </c>
    </row>
    <row r="1389" ht="16.5" customHeight="1">
      <c r="A1389" s="32">
        <v>1385.0</v>
      </c>
      <c r="C1389" s="32" t="s">
        <v>1941</v>
      </c>
      <c r="D1389" s="32" t="s">
        <v>184</v>
      </c>
      <c r="E1389" s="32" t="s">
        <v>214</v>
      </c>
      <c r="F1389" s="32" t="s">
        <v>222</v>
      </c>
      <c r="G1389" s="32" t="s">
        <v>720</v>
      </c>
    </row>
    <row r="1390" ht="16.5" customHeight="1">
      <c r="A1390" s="32">
        <v>1386.0</v>
      </c>
      <c r="C1390" s="32" t="s">
        <v>1942</v>
      </c>
      <c r="D1390" s="32" t="s">
        <v>184</v>
      </c>
      <c r="E1390" s="32" t="s">
        <v>219</v>
      </c>
      <c r="F1390" s="32" t="s">
        <v>222</v>
      </c>
    </row>
    <row r="1391" ht="16.5" customHeight="1">
      <c r="A1391" s="32">
        <v>1387.0</v>
      </c>
      <c r="C1391" s="32" t="s">
        <v>1943</v>
      </c>
      <c r="D1391" s="32" t="s">
        <v>184</v>
      </c>
      <c r="E1391" s="32" t="s">
        <v>219</v>
      </c>
      <c r="F1391" s="32" t="s">
        <v>222</v>
      </c>
    </row>
    <row r="1392" ht="16.5" customHeight="1">
      <c r="A1392" s="32">
        <v>1388.0</v>
      </c>
      <c r="C1392" s="32" t="s">
        <v>1944</v>
      </c>
      <c r="D1392" s="32" t="s">
        <v>184</v>
      </c>
      <c r="E1392" s="32" t="s">
        <v>285</v>
      </c>
      <c r="F1392" s="32" t="s">
        <v>222</v>
      </c>
    </row>
    <row r="1393" ht="16.5" customHeight="1">
      <c r="A1393" s="32">
        <v>1389.0</v>
      </c>
      <c r="C1393" s="32" t="s">
        <v>115</v>
      </c>
      <c r="D1393" s="32" t="s">
        <v>184</v>
      </c>
      <c r="E1393" s="32" t="s">
        <v>234</v>
      </c>
      <c r="F1393" s="32" t="s">
        <v>222</v>
      </c>
      <c r="G1393" s="32" t="s">
        <v>235</v>
      </c>
      <c r="H1393" s="32" t="s">
        <v>243</v>
      </c>
    </row>
    <row r="1394" ht="16.5" customHeight="1">
      <c r="A1394" s="32">
        <v>1390.0</v>
      </c>
      <c r="C1394" s="32" t="s">
        <v>1945</v>
      </c>
      <c r="D1394" s="32" t="s">
        <v>184</v>
      </c>
      <c r="E1394" s="32" t="s">
        <v>234</v>
      </c>
      <c r="F1394" s="32" t="s">
        <v>222</v>
      </c>
      <c r="G1394" s="32" t="s">
        <v>347</v>
      </c>
      <c r="H1394" s="32" t="s">
        <v>382</v>
      </c>
    </row>
    <row r="1395" ht="16.5" customHeight="1">
      <c r="A1395" s="32">
        <v>1391.0</v>
      </c>
      <c r="C1395" s="32" t="s">
        <v>1946</v>
      </c>
      <c r="D1395" s="32" t="s">
        <v>184</v>
      </c>
      <c r="E1395" s="32" t="s">
        <v>228</v>
      </c>
      <c r="F1395" s="32" t="s">
        <v>222</v>
      </c>
      <c r="G1395" s="32" t="s">
        <v>229</v>
      </c>
      <c r="H1395" s="32" t="s">
        <v>244</v>
      </c>
    </row>
    <row r="1396" ht="16.5" customHeight="1">
      <c r="A1396" s="32">
        <v>1392.0</v>
      </c>
      <c r="C1396" s="32" t="s">
        <v>1947</v>
      </c>
      <c r="D1396" s="32" t="s">
        <v>184</v>
      </c>
      <c r="E1396" s="32" t="s">
        <v>285</v>
      </c>
      <c r="F1396" s="32" t="s">
        <v>222</v>
      </c>
      <c r="G1396" s="32" t="s">
        <v>189</v>
      </c>
      <c r="H1396" s="32" t="s">
        <v>190</v>
      </c>
    </row>
    <row r="1397" ht="16.5" customHeight="1">
      <c r="A1397" s="32">
        <v>1393.0</v>
      </c>
      <c r="C1397" s="32" t="s">
        <v>1948</v>
      </c>
      <c r="D1397" s="32" t="s">
        <v>184</v>
      </c>
      <c r="E1397" s="35" t="s">
        <v>294</v>
      </c>
      <c r="F1397" s="32" t="s">
        <v>222</v>
      </c>
    </row>
    <row r="1398" ht="16.5" customHeight="1">
      <c r="A1398" s="32">
        <v>1394.0</v>
      </c>
      <c r="C1398" s="32" t="s">
        <v>1949</v>
      </c>
      <c r="D1398" s="32" t="s">
        <v>184</v>
      </c>
      <c r="E1398" s="32" t="s">
        <v>192</v>
      </c>
      <c r="F1398" s="32" t="s">
        <v>222</v>
      </c>
      <c r="G1398" s="32" t="s">
        <v>1607</v>
      </c>
      <c r="H1398" s="32" t="s">
        <v>408</v>
      </c>
    </row>
    <row r="1399" ht="16.5" customHeight="1">
      <c r="A1399" s="32">
        <v>1395.0</v>
      </c>
      <c r="C1399" s="32" t="s">
        <v>1950</v>
      </c>
      <c r="D1399" s="32" t="s">
        <v>184</v>
      </c>
      <c r="E1399" s="32" t="s">
        <v>219</v>
      </c>
      <c r="F1399" s="32" t="s">
        <v>222</v>
      </c>
    </row>
    <row r="1400" ht="16.5" customHeight="1">
      <c r="A1400" s="32">
        <v>1396.0</v>
      </c>
      <c r="C1400" s="32" t="s">
        <v>1951</v>
      </c>
      <c r="D1400" s="32" t="s">
        <v>184</v>
      </c>
      <c r="E1400" s="32" t="s">
        <v>228</v>
      </c>
      <c r="F1400" s="32" t="s">
        <v>222</v>
      </c>
      <c r="G1400" s="32" t="s">
        <v>544</v>
      </c>
      <c r="H1400" s="32" t="s">
        <v>545</v>
      </c>
    </row>
    <row r="1401" ht="16.5" customHeight="1">
      <c r="A1401" s="32">
        <v>1397.0</v>
      </c>
      <c r="C1401" s="32" t="s">
        <v>1952</v>
      </c>
      <c r="D1401" s="32" t="s">
        <v>184</v>
      </c>
      <c r="E1401" s="32" t="s">
        <v>228</v>
      </c>
      <c r="F1401" s="32" t="s">
        <v>222</v>
      </c>
      <c r="G1401" s="32" t="s">
        <v>544</v>
      </c>
      <c r="H1401" s="32" t="s">
        <v>545</v>
      </c>
    </row>
    <row r="1402" ht="16.5" customHeight="1">
      <c r="A1402" s="32">
        <v>1398.0</v>
      </c>
      <c r="C1402" s="32" t="s">
        <v>1953</v>
      </c>
      <c r="D1402" s="32" t="s">
        <v>184</v>
      </c>
      <c r="E1402" s="32" t="s">
        <v>234</v>
      </c>
      <c r="F1402" s="32" t="s">
        <v>222</v>
      </c>
    </row>
    <row r="1403" ht="16.5" customHeight="1">
      <c r="A1403" s="32">
        <v>1399.0</v>
      </c>
      <c r="C1403" s="32" t="s">
        <v>1954</v>
      </c>
      <c r="D1403" s="32" t="s">
        <v>184</v>
      </c>
      <c r="E1403" s="32" t="s">
        <v>234</v>
      </c>
      <c r="F1403" s="32" t="s">
        <v>222</v>
      </c>
      <c r="G1403" s="32" t="s">
        <v>347</v>
      </c>
      <c r="H1403" s="32" t="s">
        <v>824</v>
      </c>
    </row>
    <row r="1404" ht="16.5" customHeight="1">
      <c r="A1404" s="32">
        <v>1400.0</v>
      </c>
      <c r="C1404" s="32" t="s">
        <v>1955</v>
      </c>
      <c r="D1404" s="32" t="s">
        <v>184</v>
      </c>
      <c r="E1404" s="32" t="s">
        <v>228</v>
      </c>
      <c r="F1404" s="32" t="s">
        <v>222</v>
      </c>
      <c r="G1404" s="32" t="s">
        <v>408</v>
      </c>
      <c r="H1404" s="32" t="s">
        <v>452</v>
      </c>
    </row>
    <row r="1405" ht="16.5" customHeight="1">
      <c r="A1405" s="32">
        <v>1401.0</v>
      </c>
      <c r="C1405" s="32" t="s">
        <v>1956</v>
      </c>
      <c r="D1405" s="32" t="s">
        <v>184</v>
      </c>
      <c r="E1405" s="32" t="s">
        <v>228</v>
      </c>
      <c r="F1405" s="32" t="s">
        <v>222</v>
      </c>
    </row>
    <row r="1406" ht="16.5" customHeight="1">
      <c r="A1406" s="32">
        <v>1402.0</v>
      </c>
      <c r="C1406" s="32" t="s">
        <v>1957</v>
      </c>
      <c r="D1406" s="32" t="s">
        <v>184</v>
      </c>
      <c r="E1406" s="32" t="s">
        <v>192</v>
      </c>
      <c r="F1406" s="32" t="s">
        <v>222</v>
      </c>
      <c r="G1406" s="32" t="s">
        <v>329</v>
      </c>
      <c r="H1406" s="32" t="s">
        <v>447</v>
      </c>
    </row>
    <row r="1407" ht="16.5" customHeight="1">
      <c r="A1407" s="32">
        <v>1403.0</v>
      </c>
      <c r="C1407" s="32" t="s">
        <v>1958</v>
      </c>
      <c r="D1407" s="32" t="s">
        <v>184</v>
      </c>
      <c r="E1407" s="32" t="s">
        <v>192</v>
      </c>
      <c r="F1407" s="32" t="s">
        <v>222</v>
      </c>
      <c r="G1407" s="32" t="s">
        <v>329</v>
      </c>
      <c r="H1407" s="32" t="s">
        <v>457</v>
      </c>
    </row>
    <row r="1408" ht="16.5" customHeight="1">
      <c r="A1408" s="32">
        <v>1404.0</v>
      </c>
      <c r="C1408" s="32" t="s">
        <v>1959</v>
      </c>
      <c r="D1408" s="32" t="s">
        <v>184</v>
      </c>
      <c r="E1408" s="32" t="s">
        <v>192</v>
      </c>
      <c r="F1408" s="32" t="s">
        <v>222</v>
      </c>
      <c r="G1408" s="32" t="s">
        <v>570</v>
      </c>
      <c r="H1408" s="32" t="s">
        <v>447</v>
      </c>
    </row>
    <row r="1409" ht="16.5" customHeight="1">
      <c r="A1409" s="32">
        <v>1405.0</v>
      </c>
      <c r="C1409" s="32" t="s">
        <v>1960</v>
      </c>
      <c r="D1409" s="32" t="s">
        <v>184</v>
      </c>
      <c r="E1409" s="32" t="s">
        <v>192</v>
      </c>
      <c r="F1409" s="32" t="s">
        <v>222</v>
      </c>
    </row>
    <row r="1410" ht="16.5" customHeight="1">
      <c r="A1410" s="32">
        <v>1406.0</v>
      </c>
      <c r="C1410" s="32" t="s">
        <v>1961</v>
      </c>
      <c r="D1410" s="32" t="s">
        <v>184</v>
      </c>
      <c r="E1410" s="32" t="s">
        <v>192</v>
      </c>
      <c r="F1410" s="32" t="s">
        <v>222</v>
      </c>
    </row>
    <row r="1411" ht="16.5" customHeight="1">
      <c r="A1411" s="32">
        <v>1407.0</v>
      </c>
      <c r="C1411" s="32" t="s">
        <v>1962</v>
      </c>
      <c r="D1411" s="32" t="s">
        <v>184</v>
      </c>
      <c r="E1411" s="32" t="s">
        <v>219</v>
      </c>
      <c r="F1411" s="32" t="s">
        <v>222</v>
      </c>
    </row>
    <row r="1412" ht="16.5" customHeight="1">
      <c r="A1412" s="32">
        <v>1408.0</v>
      </c>
      <c r="C1412" s="32" t="s">
        <v>1963</v>
      </c>
      <c r="D1412" s="32" t="s">
        <v>184</v>
      </c>
      <c r="E1412" s="32" t="s">
        <v>219</v>
      </c>
      <c r="F1412" s="32" t="s">
        <v>222</v>
      </c>
    </row>
    <row r="1413" ht="16.5" customHeight="1">
      <c r="A1413" s="32">
        <v>1409.0</v>
      </c>
      <c r="C1413" s="32" t="s">
        <v>1964</v>
      </c>
      <c r="D1413" s="32" t="s">
        <v>184</v>
      </c>
      <c r="E1413" s="32" t="s">
        <v>219</v>
      </c>
      <c r="F1413" s="32" t="s">
        <v>222</v>
      </c>
    </row>
    <row r="1414" ht="16.5" customHeight="1">
      <c r="A1414" s="32">
        <v>1410.0</v>
      </c>
      <c r="C1414" s="32" t="s">
        <v>1965</v>
      </c>
      <c r="D1414" s="32" t="s">
        <v>184</v>
      </c>
      <c r="E1414" s="32" t="s">
        <v>219</v>
      </c>
      <c r="F1414" s="32" t="s">
        <v>222</v>
      </c>
      <c r="G1414" s="32" t="s">
        <v>241</v>
      </c>
      <c r="H1414" s="32" t="s">
        <v>292</v>
      </c>
    </row>
    <row r="1415" ht="16.5" customHeight="1">
      <c r="A1415" s="32">
        <v>1411.0</v>
      </c>
      <c r="C1415" s="32" t="s">
        <v>1966</v>
      </c>
      <c r="D1415" s="32" t="s">
        <v>184</v>
      </c>
      <c r="E1415" s="32" t="s">
        <v>219</v>
      </c>
      <c r="F1415" s="32" t="s">
        <v>222</v>
      </c>
      <c r="G1415" s="32" t="s">
        <v>241</v>
      </c>
      <c r="H1415" s="32" t="s">
        <v>292</v>
      </c>
    </row>
    <row r="1416" ht="16.5" customHeight="1">
      <c r="A1416" s="32">
        <v>1412.0</v>
      </c>
      <c r="C1416" s="32" t="s">
        <v>1967</v>
      </c>
      <c r="D1416" s="32" t="s">
        <v>184</v>
      </c>
      <c r="E1416" s="32" t="s">
        <v>219</v>
      </c>
      <c r="F1416" s="32" t="s">
        <v>222</v>
      </c>
      <c r="G1416" s="32" t="s">
        <v>241</v>
      </c>
      <c r="H1416" s="32" t="s">
        <v>292</v>
      </c>
    </row>
    <row r="1417" ht="16.5" customHeight="1">
      <c r="A1417" s="32">
        <v>1413.0</v>
      </c>
      <c r="C1417" s="32" t="s">
        <v>1968</v>
      </c>
      <c r="D1417" s="32" t="s">
        <v>184</v>
      </c>
      <c r="E1417" s="32" t="s">
        <v>219</v>
      </c>
      <c r="F1417" s="32" t="s">
        <v>222</v>
      </c>
    </row>
    <row r="1418" ht="16.5" customHeight="1">
      <c r="A1418" s="32">
        <v>1414.0</v>
      </c>
      <c r="C1418" s="32" t="s">
        <v>1969</v>
      </c>
      <c r="D1418" s="32" t="s">
        <v>184</v>
      </c>
      <c r="E1418" s="32" t="s">
        <v>219</v>
      </c>
      <c r="F1418" s="32" t="s">
        <v>222</v>
      </c>
    </row>
    <row r="1419" ht="16.5" customHeight="1">
      <c r="A1419" s="32">
        <v>1415.0</v>
      </c>
      <c r="C1419" s="32" t="s">
        <v>1970</v>
      </c>
      <c r="D1419" s="32" t="s">
        <v>184</v>
      </c>
      <c r="E1419" s="32" t="s">
        <v>214</v>
      </c>
      <c r="F1419" s="32" t="s">
        <v>222</v>
      </c>
    </row>
    <row r="1420" ht="16.5" customHeight="1">
      <c r="A1420" s="32">
        <v>1416.0</v>
      </c>
      <c r="C1420" s="32" t="s">
        <v>1971</v>
      </c>
      <c r="D1420" s="32" t="s">
        <v>184</v>
      </c>
      <c r="E1420" s="32" t="s">
        <v>219</v>
      </c>
      <c r="F1420" s="32" t="s">
        <v>222</v>
      </c>
    </row>
    <row r="1421" ht="16.5" customHeight="1">
      <c r="A1421" s="32">
        <v>1417.0</v>
      </c>
      <c r="C1421" s="32" t="s">
        <v>1972</v>
      </c>
      <c r="D1421" s="32" t="s">
        <v>184</v>
      </c>
      <c r="E1421" s="32" t="s">
        <v>219</v>
      </c>
      <c r="F1421" s="32" t="s">
        <v>222</v>
      </c>
    </row>
    <row r="1422" ht="16.5" customHeight="1">
      <c r="A1422" s="32">
        <v>1418.0</v>
      </c>
      <c r="C1422" s="32" t="s">
        <v>1973</v>
      </c>
      <c r="D1422" s="32" t="s">
        <v>184</v>
      </c>
      <c r="E1422" s="32" t="s">
        <v>219</v>
      </c>
      <c r="F1422" s="32" t="s">
        <v>222</v>
      </c>
      <c r="G1422" s="32" t="s">
        <v>1974</v>
      </c>
      <c r="H1422" s="32" t="s">
        <v>292</v>
      </c>
    </row>
    <row r="1423" ht="16.5" customHeight="1">
      <c r="A1423" s="32">
        <v>1419.0</v>
      </c>
      <c r="C1423" s="32" t="s">
        <v>1975</v>
      </c>
      <c r="D1423" s="32" t="s">
        <v>184</v>
      </c>
      <c r="E1423" s="32" t="s">
        <v>234</v>
      </c>
      <c r="F1423" s="32" t="s">
        <v>222</v>
      </c>
    </row>
    <row r="1424" ht="16.5" customHeight="1">
      <c r="A1424" s="32">
        <v>1420.0</v>
      </c>
      <c r="C1424" s="32" t="s">
        <v>1976</v>
      </c>
      <c r="D1424" s="32" t="s">
        <v>184</v>
      </c>
      <c r="E1424" s="35" t="s">
        <v>294</v>
      </c>
      <c r="F1424" s="32" t="s">
        <v>222</v>
      </c>
      <c r="G1424" s="32" t="s">
        <v>189</v>
      </c>
      <c r="H1424" s="32" t="s">
        <v>190</v>
      </c>
    </row>
    <row r="1425" ht="16.5" customHeight="1">
      <c r="A1425" s="32">
        <v>1421.0</v>
      </c>
      <c r="C1425" s="32" t="s">
        <v>1977</v>
      </c>
      <c r="D1425" s="32" t="s">
        <v>184</v>
      </c>
      <c r="E1425" s="32" t="s">
        <v>228</v>
      </c>
      <c r="F1425" s="32" t="s">
        <v>222</v>
      </c>
      <c r="G1425" s="32" t="s">
        <v>408</v>
      </c>
      <c r="H1425" s="32" t="s">
        <v>1978</v>
      </c>
    </row>
    <row r="1426" ht="16.5" customHeight="1">
      <c r="A1426" s="32">
        <v>1422.0</v>
      </c>
      <c r="C1426" s="32" t="s">
        <v>1979</v>
      </c>
      <c r="D1426" s="32" t="s">
        <v>184</v>
      </c>
      <c r="E1426" s="32" t="s">
        <v>285</v>
      </c>
      <c r="F1426" s="32" t="s">
        <v>222</v>
      </c>
      <c r="G1426" s="32" t="s">
        <v>793</v>
      </c>
    </row>
    <row r="1427" ht="16.5" customHeight="1">
      <c r="A1427" s="32">
        <v>1423.0</v>
      </c>
      <c r="C1427" s="32" t="s">
        <v>1980</v>
      </c>
      <c r="D1427" s="32" t="s">
        <v>184</v>
      </c>
      <c r="E1427" s="32" t="s">
        <v>764</v>
      </c>
      <c r="F1427" s="32" t="s">
        <v>222</v>
      </c>
      <c r="G1427" s="32" t="s">
        <v>1981</v>
      </c>
    </row>
    <row r="1428" ht="16.5" customHeight="1">
      <c r="A1428" s="32">
        <v>1424.0</v>
      </c>
      <c r="C1428" s="32" t="s">
        <v>1982</v>
      </c>
      <c r="D1428" s="32" t="s">
        <v>184</v>
      </c>
      <c r="E1428" s="32" t="s">
        <v>219</v>
      </c>
      <c r="F1428" s="32" t="s">
        <v>222</v>
      </c>
      <c r="G1428" s="32" t="s">
        <v>241</v>
      </c>
      <c r="H1428" s="32" t="s">
        <v>292</v>
      </c>
    </row>
    <row r="1429" ht="16.5" customHeight="1">
      <c r="A1429" s="32">
        <v>1425.0</v>
      </c>
      <c r="C1429" s="32" t="s">
        <v>1983</v>
      </c>
      <c r="D1429" s="32" t="s">
        <v>184</v>
      </c>
      <c r="E1429" s="32" t="s">
        <v>219</v>
      </c>
      <c r="F1429" s="32" t="s">
        <v>222</v>
      </c>
      <c r="G1429" s="32" t="s">
        <v>223</v>
      </c>
      <c r="H1429" s="32" t="s">
        <v>472</v>
      </c>
    </row>
    <row r="1430" ht="16.5" customHeight="1">
      <c r="A1430" s="32">
        <v>1426.0</v>
      </c>
      <c r="C1430" s="32" t="s">
        <v>1984</v>
      </c>
      <c r="D1430" s="32" t="s">
        <v>184</v>
      </c>
      <c r="E1430" s="35" t="s">
        <v>1894</v>
      </c>
      <c r="F1430" s="32" t="s">
        <v>222</v>
      </c>
      <c r="G1430" s="32" t="s">
        <v>223</v>
      </c>
      <c r="H1430" s="32" t="s">
        <v>472</v>
      </c>
    </row>
    <row r="1431" ht="16.5" customHeight="1">
      <c r="A1431" s="32">
        <v>1427.0</v>
      </c>
      <c r="C1431" s="32" t="s">
        <v>1985</v>
      </c>
      <c r="D1431" s="32" t="s">
        <v>184</v>
      </c>
      <c r="E1431" s="32" t="s">
        <v>234</v>
      </c>
      <c r="F1431" s="32" t="s">
        <v>222</v>
      </c>
    </row>
    <row r="1432" ht="16.5" customHeight="1">
      <c r="A1432" s="32">
        <v>1428.0</v>
      </c>
      <c r="C1432" s="32" t="s">
        <v>1986</v>
      </c>
      <c r="D1432" s="32" t="s">
        <v>184</v>
      </c>
      <c r="E1432" s="32" t="s">
        <v>254</v>
      </c>
      <c r="F1432" s="32" t="s">
        <v>222</v>
      </c>
    </row>
    <row r="1433" ht="16.5" customHeight="1">
      <c r="A1433" s="32">
        <v>1429.0</v>
      </c>
      <c r="C1433" s="32" t="s">
        <v>1987</v>
      </c>
      <c r="D1433" s="32" t="s">
        <v>184</v>
      </c>
      <c r="E1433" s="32" t="s">
        <v>219</v>
      </c>
      <c r="F1433" s="32" t="s">
        <v>222</v>
      </c>
      <c r="G1433" s="32" t="s">
        <v>223</v>
      </c>
      <c r="H1433" s="32" t="s">
        <v>896</v>
      </c>
    </row>
    <row r="1434" ht="16.5" customHeight="1">
      <c r="A1434" s="32">
        <v>1430.0</v>
      </c>
      <c r="C1434" s="32" t="s">
        <v>1988</v>
      </c>
      <c r="D1434" s="32" t="s">
        <v>184</v>
      </c>
      <c r="E1434" s="32" t="s">
        <v>321</v>
      </c>
      <c r="F1434" s="32" t="s">
        <v>222</v>
      </c>
    </row>
    <row r="1435" ht="16.5" customHeight="1">
      <c r="A1435" s="32">
        <v>1431.0</v>
      </c>
      <c r="C1435" s="32" t="s">
        <v>141</v>
      </c>
      <c r="D1435" s="32" t="s">
        <v>184</v>
      </c>
      <c r="E1435" s="32" t="s">
        <v>219</v>
      </c>
      <c r="F1435" s="32" t="s">
        <v>222</v>
      </c>
      <c r="G1435" s="32" t="s">
        <v>232</v>
      </c>
      <c r="H1435" s="32" t="s">
        <v>233</v>
      </c>
    </row>
    <row r="1436" ht="16.5" customHeight="1">
      <c r="A1436" s="32">
        <v>1432.0</v>
      </c>
      <c r="C1436" s="32" t="s">
        <v>231</v>
      </c>
      <c r="D1436" s="32" t="s">
        <v>184</v>
      </c>
      <c r="E1436" s="32" t="s">
        <v>219</v>
      </c>
      <c r="F1436" s="32" t="s">
        <v>222</v>
      </c>
      <c r="G1436" s="32" t="s">
        <v>232</v>
      </c>
      <c r="H1436" s="32" t="s">
        <v>233</v>
      </c>
    </row>
    <row r="1437" ht="16.5" customHeight="1">
      <c r="A1437" s="32">
        <v>1433.0</v>
      </c>
      <c r="C1437" s="32" t="s">
        <v>1989</v>
      </c>
      <c r="D1437" s="32" t="s">
        <v>184</v>
      </c>
      <c r="E1437" s="32" t="s">
        <v>285</v>
      </c>
      <c r="F1437" s="32" t="s">
        <v>222</v>
      </c>
      <c r="G1437" s="32" t="s">
        <v>189</v>
      </c>
      <c r="H1437" s="32" t="s">
        <v>190</v>
      </c>
    </row>
    <row r="1438" ht="16.5" customHeight="1">
      <c r="A1438" s="32">
        <v>1434.0</v>
      </c>
      <c r="C1438" s="32" t="s">
        <v>1990</v>
      </c>
      <c r="D1438" s="32" t="s">
        <v>184</v>
      </c>
      <c r="E1438" s="35" t="s">
        <v>294</v>
      </c>
      <c r="F1438" s="32" t="s">
        <v>222</v>
      </c>
    </row>
    <row r="1439" ht="16.5" customHeight="1">
      <c r="A1439" s="32">
        <v>1435.0</v>
      </c>
      <c r="C1439" s="32" t="s">
        <v>1991</v>
      </c>
      <c r="D1439" s="32" t="s">
        <v>184</v>
      </c>
      <c r="E1439" s="32" t="s">
        <v>285</v>
      </c>
      <c r="F1439" s="32" t="s">
        <v>222</v>
      </c>
    </row>
    <row r="1440" ht="16.5" customHeight="1">
      <c r="A1440" s="32">
        <v>1436.0</v>
      </c>
      <c r="C1440" s="32" t="s">
        <v>1992</v>
      </c>
      <c r="D1440" s="32" t="s">
        <v>184</v>
      </c>
      <c r="E1440" s="32" t="s">
        <v>214</v>
      </c>
      <c r="F1440" s="32" t="s">
        <v>222</v>
      </c>
      <c r="G1440" s="32" t="s">
        <v>216</v>
      </c>
      <c r="H1440" s="32" t="s">
        <v>217</v>
      </c>
    </row>
    <row r="1441" ht="16.5" customHeight="1">
      <c r="A1441" s="32">
        <v>1437.0</v>
      </c>
      <c r="C1441" s="32" t="s">
        <v>1993</v>
      </c>
      <c r="D1441" s="32" t="s">
        <v>184</v>
      </c>
      <c r="E1441" s="32" t="s">
        <v>219</v>
      </c>
      <c r="F1441" s="32" t="s">
        <v>222</v>
      </c>
      <c r="G1441" s="32" t="s">
        <v>216</v>
      </c>
      <c r="H1441" s="32" t="s">
        <v>217</v>
      </c>
    </row>
    <row r="1442" ht="16.5" customHeight="1">
      <c r="A1442" s="32">
        <v>1438.0</v>
      </c>
      <c r="C1442" s="32" t="s">
        <v>1994</v>
      </c>
      <c r="D1442" s="32" t="s">
        <v>184</v>
      </c>
      <c r="E1442" s="32" t="s">
        <v>219</v>
      </c>
      <c r="F1442" s="32" t="s">
        <v>222</v>
      </c>
      <c r="G1442" s="32" t="s">
        <v>216</v>
      </c>
      <c r="H1442" s="32" t="s">
        <v>217</v>
      </c>
    </row>
    <row r="1443" ht="16.5" customHeight="1">
      <c r="A1443" s="32">
        <v>1439.0</v>
      </c>
      <c r="C1443" s="32" t="s">
        <v>1995</v>
      </c>
      <c r="D1443" s="32" t="s">
        <v>184</v>
      </c>
      <c r="E1443" s="32" t="s">
        <v>254</v>
      </c>
      <c r="F1443" s="32" t="s">
        <v>222</v>
      </c>
    </row>
    <row r="1444" ht="16.5" customHeight="1">
      <c r="A1444" s="32">
        <v>1440.0</v>
      </c>
      <c r="C1444" s="32" t="s">
        <v>1996</v>
      </c>
      <c r="D1444" s="32" t="s">
        <v>184</v>
      </c>
      <c r="E1444" s="32" t="s">
        <v>228</v>
      </c>
      <c r="F1444" s="32" t="s">
        <v>222</v>
      </c>
      <c r="G1444" s="32" t="s">
        <v>1997</v>
      </c>
      <c r="H1444" s="32" t="s">
        <v>1998</v>
      </c>
    </row>
    <row r="1445" ht="16.5" customHeight="1">
      <c r="A1445" s="32">
        <v>1441.0</v>
      </c>
      <c r="C1445" s="32" t="s">
        <v>1999</v>
      </c>
      <c r="D1445" s="32" t="s">
        <v>184</v>
      </c>
      <c r="E1445" s="32" t="s">
        <v>228</v>
      </c>
      <c r="F1445" s="32" t="s">
        <v>222</v>
      </c>
      <c r="G1445" s="32" t="s">
        <v>454</v>
      </c>
      <c r="H1445" s="32" t="s">
        <v>2000</v>
      </c>
    </row>
    <row r="1446" ht="16.5" customHeight="1">
      <c r="A1446" s="32">
        <v>1442.0</v>
      </c>
      <c r="C1446" s="32" t="s">
        <v>2001</v>
      </c>
      <c r="D1446" s="32" t="s">
        <v>184</v>
      </c>
      <c r="E1446" s="32" t="s">
        <v>219</v>
      </c>
      <c r="F1446" s="32" t="s">
        <v>222</v>
      </c>
    </row>
    <row r="1447" ht="16.5" customHeight="1">
      <c r="A1447" s="32">
        <v>1443.0</v>
      </c>
      <c r="C1447" s="32" t="s">
        <v>2002</v>
      </c>
      <c r="D1447" s="32" t="s">
        <v>184</v>
      </c>
      <c r="E1447" s="32" t="s">
        <v>228</v>
      </c>
      <c r="F1447" s="32" t="s">
        <v>222</v>
      </c>
      <c r="G1447" s="32" t="s">
        <v>2003</v>
      </c>
      <c r="H1447" s="32" t="s">
        <v>2004</v>
      </c>
    </row>
    <row r="1448" ht="16.5" customHeight="1">
      <c r="A1448" s="32">
        <v>1444.0</v>
      </c>
      <c r="C1448" s="32" t="s">
        <v>2005</v>
      </c>
      <c r="D1448" s="32" t="s">
        <v>184</v>
      </c>
      <c r="E1448" s="32" t="s">
        <v>285</v>
      </c>
      <c r="F1448" s="32" t="s">
        <v>222</v>
      </c>
      <c r="G1448" s="32" t="s">
        <v>189</v>
      </c>
      <c r="H1448" s="32" t="s">
        <v>2006</v>
      </c>
    </row>
    <row r="1449" ht="16.5" customHeight="1">
      <c r="A1449" s="32">
        <v>1445.0</v>
      </c>
      <c r="C1449" s="32" t="s">
        <v>2007</v>
      </c>
      <c r="D1449" s="32" t="s">
        <v>184</v>
      </c>
      <c r="E1449" s="32" t="s">
        <v>192</v>
      </c>
      <c r="F1449" s="32" t="s">
        <v>222</v>
      </c>
      <c r="G1449" s="32" t="s">
        <v>189</v>
      </c>
      <c r="H1449" s="32" t="s">
        <v>190</v>
      </c>
    </row>
    <row r="1450" ht="16.5" customHeight="1">
      <c r="A1450" s="32">
        <v>1446.0</v>
      </c>
      <c r="C1450" s="32" t="s">
        <v>2008</v>
      </c>
      <c r="D1450" s="32" t="s">
        <v>184</v>
      </c>
      <c r="E1450" s="35" t="s">
        <v>294</v>
      </c>
      <c r="F1450" s="32" t="s">
        <v>222</v>
      </c>
      <c r="G1450" s="32" t="s">
        <v>187</v>
      </c>
      <c r="H1450" s="32" t="s">
        <v>482</v>
      </c>
    </row>
    <row r="1451" ht="16.5" customHeight="1">
      <c r="A1451" s="32">
        <v>1447.0</v>
      </c>
      <c r="C1451" s="32" t="s">
        <v>2009</v>
      </c>
      <c r="D1451" s="32" t="s">
        <v>184</v>
      </c>
      <c r="E1451" s="35" t="s">
        <v>294</v>
      </c>
      <c r="F1451" s="32" t="s">
        <v>222</v>
      </c>
      <c r="G1451" s="32" t="s">
        <v>2010</v>
      </c>
      <c r="H1451" s="32" t="s">
        <v>314</v>
      </c>
    </row>
    <row r="1452" ht="16.5" customHeight="1">
      <c r="A1452" s="32">
        <v>1448.0</v>
      </c>
      <c r="C1452" s="32" t="s">
        <v>2011</v>
      </c>
      <c r="D1452" s="32" t="s">
        <v>184</v>
      </c>
      <c r="E1452" s="32" t="s">
        <v>185</v>
      </c>
      <c r="F1452" s="32" t="s">
        <v>222</v>
      </c>
    </row>
    <row r="1453" ht="16.5" customHeight="1">
      <c r="A1453" s="32">
        <v>1449.0</v>
      </c>
      <c r="C1453" s="32" t="s">
        <v>2012</v>
      </c>
      <c r="D1453" s="32" t="s">
        <v>184</v>
      </c>
      <c r="E1453" s="32" t="s">
        <v>192</v>
      </c>
      <c r="F1453" s="32" t="s">
        <v>222</v>
      </c>
    </row>
    <row r="1454" ht="16.5" customHeight="1">
      <c r="A1454" s="32">
        <v>1450.0</v>
      </c>
      <c r="C1454" s="32" t="s">
        <v>2013</v>
      </c>
      <c r="D1454" s="32" t="s">
        <v>184</v>
      </c>
      <c r="E1454" s="32" t="s">
        <v>285</v>
      </c>
      <c r="F1454" s="32" t="s">
        <v>222</v>
      </c>
    </row>
    <row r="1455" ht="16.5" customHeight="1">
      <c r="A1455" s="32">
        <v>1451.0</v>
      </c>
      <c r="C1455" s="32" t="s">
        <v>2014</v>
      </c>
      <c r="D1455" s="32" t="s">
        <v>184</v>
      </c>
      <c r="E1455" s="32" t="s">
        <v>234</v>
      </c>
      <c r="F1455" s="32" t="s">
        <v>222</v>
      </c>
      <c r="G1455" s="32" t="s">
        <v>347</v>
      </c>
      <c r="H1455" s="32" t="s">
        <v>382</v>
      </c>
    </row>
    <row r="1456" ht="16.5" customHeight="1">
      <c r="A1456" s="32">
        <v>1452.0</v>
      </c>
      <c r="C1456" s="32" t="s">
        <v>2015</v>
      </c>
      <c r="D1456" s="32" t="s">
        <v>184</v>
      </c>
      <c r="E1456" s="32" t="s">
        <v>234</v>
      </c>
      <c r="F1456" s="32" t="s">
        <v>222</v>
      </c>
      <c r="G1456" s="32" t="s">
        <v>347</v>
      </c>
      <c r="H1456" s="32" t="s">
        <v>382</v>
      </c>
    </row>
    <row r="1457" ht="16.5" customHeight="1">
      <c r="A1457" s="32">
        <v>1453.0</v>
      </c>
      <c r="C1457" s="32" t="s">
        <v>2016</v>
      </c>
      <c r="D1457" s="32" t="s">
        <v>184</v>
      </c>
      <c r="E1457" s="32" t="s">
        <v>234</v>
      </c>
      <c r="F1457" s="32" t="s">
        <v>222</v>
      </c>
      <c r="G1457" s="32" t="s">
        <v>347</v>
      </c>
      <c r="H1457" s="32" t="s">
        <v>420</v>
      </c>
    </row>
    <row r="1458" ht="16.5" customHeight="1">
      <c r="A1458" s="32">
        <v>1454.0</v>
      </c>
      <c r="C1458" s="32" t="s">
        <v>2017</v>
      </c>
      <c r="D1458" s="32" t="s">
        <v>184</v>
      </c>
      <c r="E1458" s="32" t="s">
        <v>234</v>
      </c>
      <c r="F1458" s="32" t="s">
        <v>222</v>
      </c>
      <c r="G1458" s="32" t="s">
        <v>347</v>
      </c>
      <c r="H1458" s="32" t="s">
        <v>382</v>
      </c>
    </row>
    <row r="1459" ht="16.5" customHeight="1">
      <c r="A1459" s="32">
        <v>1455.0</v>
      </c>
      <c r="C1459" s="32" t="s">
        <v>2018</v>
      </c>
      <c r="D1459" s="32" t="s">
        <v>184</v>
      </c>
      <c r="E1459" s="32" t="s">
        <v>285</v>
      </c>
      <c r="F1459" s="32" t="s">
        <v>222</v>
      </c>
    </row>
    <row r="1460" ht="16.5" customHeight="1">
      <c r="A1460" s="32">
        <v>1456.0</v>
      </c>
      <c r="C1460" s="32" t="s">
        <v>2019</v>
      </c>
      <c r="D1460" s="32" t="s">
        <v>184</v>
      </c>
      <c r="E1460" s="32" t="s">
        <v>234</v>
      </c>
      <c r="F1460" s="32" t="s">
        <v>222</v>
      </c>
      <c r="G1460" s="32" t="s">
        <v>347</v>
      </c>
      <c r="H1460" s="32" t="s">
        <v>420</v>
      </c>
    </row>
    <row r="1461" ht="16.5" customHeight="1">
      <c r="A1461" s="32">
        <v>1457.0</v>
      </c>
      <c r="C1461" s="32" t="s">
        <v>2020</v>
      </c>
      <c r="D1461" s="32" t="s">
        <v>184</v>
      </c>
      <c r="E1461" s="32" t="s">
        <v>219</v>
      </c>
      <c r="F1461" s="32" t="s">
        <v>222</v>
      </c>
    </row>
    <row r="1462" ht="16.5" customHeight="1">
      <c r="A1462" s="32">
        <v>1458.0</v>
      </c>
      <c r="C1462" s="32" t="s">
        <v>2021</v>
      </c>
      <c r="D1462" s="32" t="s">
        <v>184</v>
      </c>
      <c r="E1462" s="32" t="s">
        <v>254</v>
      </c>
      <c r="F1462" s="32" t="s">
        <v>222</v>
      </c>
    </row>
    <row r="1463" ht="16.5" customHeight="1">
      <c r="A1463" s="32">
        <v>1459.0</v>
      </c>
      <c r="C1463" s="32" t="s">
        <v>2022</v>
      </c>
      <c r="D1463" s="32" t="s">
        <v>184</v>
      </c>
      <c r="E1463" s="32" t="s">
        <v>192</v>
      </c>
      <c r="F1463" s="32" t="s">
        <v>222</v>
      </c>
      <c r="G1463" s="32" t="s">
        <v>238</v>
      </c>
      <c r="H1463" s="32" t="s">
        <v>239</v>
      </c>
    </row>
    <row r="1464" ht="16.5" customHeight="1">
      <c r="A1464" s="32">
        <v>1460.0</v>
      </c>
      <c r="C1464" s="32" t="s">
        <v>2023</v>
      </c>
      <c r="D1464" s="32" t="s">
        <v>184</v>
      </c>
      <c r="E1464" s="32" t="s">
        <v>192</v>
      </c>
      <c r="F1464" s="32" t="s">
        <v>222</v>
      </c>
      <c r="G1464" s="32" t="s">
        <v>238</v>
      </c>
      <c r="H1464" s="32" t="s">
        <v>1621</v>
      </c>
    </row>
    <row r="1465" ht="16.5" customHeight="1">
      <c r="A1465" s="32">
        <v>1461.0</v>
      </c>
      <c r="C1465" s="32" t="s">
        <v>2024</v>
      </c>
      <c r="D1465" s="32" t="s">
        <v>184</v>
      </c>
      <c r="E1465" s="32" t="s">
        <v>254</v>
      </c>
      <c r="F1465" s="32" t="s">
        <v>222</v>
      </c>
    </row>
    <row r="1466" ht="16.5" customHeight="1">
      <c r="A1466" s="32">
        <v>1462.0</v>
      </c>
      <c r="C1466" s="32" t="s">
        <v>2025</v>
      </c>
      <c r="D1466" s="32" t="s">
        <v>184</v>
      </c>
      <c r="E1466" s="32" t="s">
        <v>219</v>
      </c>
      <c r="F1466" s="32" t="s">
        <v>222</v>
      </c>
      <c r="G1466" s="32" t="s">
        <v>223</v>
      </c>
    </row>
    <row r="1467" ht="16.5" customHeight="1">
      <c r="A1467" s="32">
        <v>1463.0</v>
      </c>
      <c r="C1467" s="32" t="s">
        <v>2026</v>
      </c>
      <c r="D1467" s="32" t="s">
        <v>184</v>
      </c>
      <c r="E1467" s="32" t="s">
        <v>219</v>
      </c>
      <c r="F1467" s="32" t="s">
        <v>222</v>
      </c>
    </row>
    <row r="1468" ht="16.5" customHeight="1">
      <c r="A1468" s="32">
        <v>1464.0</v>
      </c>
      <c r="C1468" s="32" t="s">
        <v>2027</v>
      </c>
      <c r="D1468" s="32" t="s">
        <v>184</v>
      </c>
      <c r="E1468" s="32" t="s">
        <v>234</v>
      </c>
      <c r="F1468" s="32" t="s">
        <v>222</v>
      </c>
      <c r="G1468" s="32" t="s">
        <v>347</v>
      </c>
      <c r="H1468" s="32" t="s">
        <v>420</v>
      </c>
    </row>
    <row r="1469" ht="16.5" customHeight="1">
      <c r="A1469" s="32">
        <v>1465.0</v>
      </c>
      <c r="C1469" s="32" t="s">
        <v>2028</v>
      </c>
      <c r="D1469" s="32" t="s">
        <v>184</v>
      </c>
      <c r="E1469" s="32" t="s">
        <v>234</v>
      </c>
      <c r="F1469" s="32" t="s">
        <v>222</v>
      </c>
      <c r="G1469" s="32" t="s">
        <v>347</v>
      </c>
      <c r="H1469" s="32" t="s">
        <v>420</v>
      </c>
    </row>
    <row r="1470" ht="16.5" customHeight="1">
      <c r="A1470" s="32">
        <v>1466.0</v>
      </c>
      <c r="C1470" s="32" t="s">
        <v>2029</v>
      </c>
      <c r="D1470" s="32" t="s">
        <v>184</v>
      </c>
      <c r="E1470" s="32" t="s">
        <v>234</v>
      </c>
      <c r="F1470" s="32" t="s">
        <v>222</v>
      </c>
    </row>
    <row r="1471" ht="16.5" customHeight="1">
      <c r="A1471" s="32">
        <v>1467.0</v>
      </c>
      <c r="C1471" s="32" t="s">
        <v>2030</v>
      </c>
      <c r="D1471" s="32" t="s">
        <v>184</v>
      </c>
      <c r="E1471" s="35" t="s">
        <v>829</v>
      </c>
      <c r="F1471" s="32" t="s">
        <v>222</v>
      </c>
      <c r="G1471" s="32" t="s">
        <v>236</v>
      </c>
      <c r="H1471" s="32" t="s">
        <v>292</v>
      </c>
    </row>
    <row r="1472" ht="16.5" customHeight="1">
      <c r="A1472" s="32">
        <v>1468.0</v>
      </c>
      <c r="C1472" s="32" t="s">
        <v>2031</v>
      </c>
      <c r="D1472" s="32" t="s">
        <v>184</v>
      </c>
      <c r="E1472" s="32" t="s">
        <v>228</v>
      </c>
      <c r="F1472" s="32" t="s">
        <v>222</v>
      </c>
    </row>
    <row r="1473" ht="16.5" customHeight="1">
      <c r="A1473" s="32">
        <v>1469.0</v>
      </c>
      <c r="C1473" s="32" t="s">
        <v>2032</v>
      </c>
      <c r="D1473" s="32" t="s">
        <v>184</v>
      </c>
      <c r="E1473" s="32" t="s">
        <v>192</v>
      </c>
      <c r="F1473" s="32" t="s">
        <v>222</v>
      </c>
      <c r="G1473" s="32" t="s">
        <v>1607</v>
      </c>
      <c r="H1473" s="32" t="s">
        <v>408</v>
      </c>
    </row>
    <row r="1474" ht="16.5" customHeight="1">
      <c r="A1474" s="32">
        <v>1470.0</v>
      </c>
      <c r="C1474" s="32" t="s">
        <v>2033</v>
      </c>
      <c r="D1474" s="32" t="s">
        <v>184</v>
      </c>
      <c r="E1474" s="32" t="s">
        <v>228</v>
      </c>
      <c r="F1474" s="32" t="s">
        <v>222</v>
      </c>
    </row>
    <row r="1475" ht="16.5" customHeight="1">
      <c r="A1475" s="32">
        <v>1471.0</v>
      </c>
      <c r="C1475" s="32" t="s">
        <v>2034</v>
      </c>
      <c r="D1475" s="32" t="s">
        <v>184</v>
      </c>
      <c r="E1475" s="32" t="s">
        <v>285</v>
      </c>
      <c r="F1475" s="32" t="s">
        <v>222</v>
      </c>
    </row>
    <row r="1476" ht="16.5" customHeight="1">
      <c r="A1476" s="32">
        <v>1472.0</v>
      </c>
      <c r="C1476" s="32" t="s">
        <v>2035</v>
      </c>
      <c r="D1476" s="32" t="s">
        <v>184</v>
      </c>
      <c r="E1476" s="32" t="s">
        <v>214</v>
      </c>
      <c r="F1476" s="32" t="s">
        <v>222</v>
      </c>
    </row>
    <row r="1477" ht="16.5" customHeight="1">
      <c r="A1477" s="32">
        <v>1473.0</v>
      </c>
      <c r="C1477" s="32" t="s">
        <v>2036</v>
      </c>
      <c r="D1477" s="32" t="s">
        <v>184</v>
      </c>
      <c r="E1477" s="32" t="s">
        <v>214</v>
      </c>
      <c r="F1477" s="32" t="s">
        <v>222</v>
      </c>
    </row>
    <row r="1478" ht="16.5" customHeight="1">
      <c r="A1478" s="32">
        <v>1474.0</v>
      </c>
      <c r="C1478" s="32" t="s">
        <v>2037</v>
      </c>
      <c r="D1478" s="32" t="s">
        <v>184</v>
      </c>
      <c r="E1478" s="35" t="s">
        <v>1168</v>
      </c>
      <c r="F1478" s="32" t="s">
        <v>222</v>
      </c>
      <c r="G1478" s="32" t="s">
        <v>472</v>
      </c>
      <c r="H1478" s="32" t="s">
        <v>2038</v>
      </c>
    </row>
    <row r="1479" ht="16.5" customHeight="1">
      <c r="A1479" s="32">
        <v>1475.0</v>
      </c>
      <c r="C1479" s="32" t="s">
        <v>2039</v>
      </c>
      <c r="D1479" s="32" t="s">
        <v>184</v>
      </c>
      <c r="E1479" s="32" t="s">
        <v>234</v>
      </c>
      <c r="F1479" s="32" t="s">
        <v>222</v>
      </c>
      <c r="G1479" s="32" t="s">
        <v>235</v>
      </c>
      <c r="H1479" s="32" t="s">
        <v>236</v>
      </c>
    </row>
    <row r="1480" ht="16.5" customHeight="1">
      <c r="A1480" s="32">
        <v>1476.0</v>
      </c>
      <c r="C1480" s="32" t="s">
        <v>2040</v>
      </c>
      <c r="D1480" s="32" t="s">
        <v>184</v>
      </c>
      <c r="E1480" s="32" t="s">
        <v>254</v>
      </c>
      <c r="F1480" s="32" t="s">
        <v>222</v>
      </c>
    </row>
    <row r="1481" ht="16.5" customHeight="1">
      <c r="A1481" s="32">
        <v>1477.0</v>
      </c>
      <c r="C1481" s="32" t="s">
        <v>178</v>
      </c>
      <c r="D1481" s="32" t="s">
        <v>184</v>
      </c>
      <c r="E1481" s="32" t="s">
        <v>234</v>
      </c>
      <c r="F1481" s="32" t="s">
        <v>222</v>
      </c>
      <c r="G1481" s="32" t="s">
        <v>235</v>
      </c>
      <c r="H1481" s="32" t="s">
        <v>236</v>
      </c>
    </row>
    <row r="1482" ht="16.5" customHeight="1">
      <c r="A1482" s="32">
        <v>1478.0</v>
      </c>
      <c r="C1482" s="32" t="s">
        <v>2041</v>
      </c>
      <c r="D1482" s="32" t="s">
        <v>184</v>
      </c>
      <c r="E1482" s="32" t="s">
        <v>234</v>
      </c>
      <c r="F1482" s="32" t="s">
        <v>222</v>
      </c>
      <c r="G1482" s="32" t="s">
        <v>235</v>
      </c>
      <c r="H1482" s="32" t="s">
        <v>236</v>
      </c>
    </row>
    <row r="1483" ht="16.5" customHeight="1">
      <c r="A1483" s="32">
        <v>1479.0</v>
      </c>
      <c r="C1483" s="32" t="s">
        <v>2042</v>
      </c>
      <c r="D1483" s="32" t="s">
        <v>184</v>
      </c>
      <c r="E1483" s="32" t="s">
        <v>234</v>
      </c>
      <c r="F1483" s="32" t="s">
        <v>222</v>
      </c>
      <c r="G1483" s="32" t="s">
        <v>235</v>
      </c>
      <c r="H1483" s="32" t="s">
        <v>236</v>
      </c>
    </row>
    <row r="1484" ht="16.5" customHeight="1">
      <c r="A1484" s="32">
        <v>1480.0</v>
      </c>
      <c r="C1484" s="32" t="s">
        <v>2043</v>
      </c>
      <c r="D1484" s="32" t="s">
        <v>184</v>
      </c>
      <c r="E1484" s="32" t="s">
        <v>234</v>
      </c>
      <c r="F1484" s="32" t="s">
        <v>222</v>
      </c>
      <c r="G1484" s="32" t="s">
        <v>347</v>
      </c>
      <c r="H1484" s="32" t="s">
        <v>420</v>
      </c>
    </row>
    <row r="1485" ht="16.5" customHeight="1">
      <c r="A1485" s="32">
        <v>1481.0</v>
      </c>
      <c r="C1485" s="32" t="s">
        <v>2044</v>
      </c>
      <c r="D1485" s="32" t="s">
        <v>184</v>
      </c>
      <c r="E1485" s="32" t="s">
        <v>234</v>
      </c>
      <c r="F1485" s="35" t="s">
        <v>1929</v>
      </c>
      <c r="G1485" s="32" t="s">
        <v>235</v>
      </c>
      <c r="H1485" s="32" t="s">
        <v>236</v>
      </c>
    </row>
    <row r="1486" ht="16.5" customHeight="1">
      <c r="A1486" s="32">
        <v>1482.0</v>
      </c>
      <c r="C1486" s="32" t="s">
        <v>2045</v>
      </c>
      <c r="D1486" s="32" t="s">
        <v>184</v>
      </c>
      <c r="E1486" s="32" t="s">
        <v>285</v>
      </c>
      <c r="F1486" s="32" t="s">
        <v>222</v>
      </c>
      <c r="G1486" s="32" t="s">
        <v>189</v>
      </c>
      <c r="H1486" s="32" t="s">
        <v>2046</v>
      </c>
    </row>
    <row r="1487" ht="16.5" customHeight="1">
      <c r="A1487" s="32">
        <v>1483.0</v>
      </c>
      <c r="C1487" s="32" t="s">
        <v>2047</v>
      </c>
      <c r="D1487" s="32" t="s">
        <v>184</v>
      </c>
      <c r="E1487" s="32" t="s">
        <v>219</v>
      </c>
      <c r="F1487" s="32" t="s">
        <v>222</v>
      </c>
    </row>
    <row r="1488" ht="16.5" customHeight="1">
      <c r="A1488" s="32">
        <v>1484.0</v>
      </c>
      <c r="C1488" s="32" t="s">
        <v>2048</v>
      </c>
      <c r="D1488" s="32" t="s">
        <v>184</v>
      </c>
      <c r="E1488" s="32" t="s">
        <v>254</v>
      </c>
      <c r="F1488" s="32" t="s">
        <v>222</v>
      </c>
    </row>
    <row r="1489" ht="16.5" customHeight="1">
      <c r="A1489" s="32">
        <v>1485.0</v>
      </c>
      <c r="C1489" s="32" t="s">
        <v>2049</v>
      </c>
      <c r="D1489" s="32" t="s">
        <v>184</v>
      </c>
      <c r="E1489" s="32" t="s">
        <v>254</v>
      </c>
      <c r="F1489" s="32" t="s">
        <v>222</v>
      </c>
    </row>
    <row r="1490" ht="16.5" customHeight="1">
      <c r="A1490" s="32">
        <v>1486.0</v>
      </c>
      <c r="C1490" s="32" t="s">
        <v>2050</v>
      </c>
      <c r="D1490" s="32" t="s">
        <v>184</v>
      </c>
      <c r="E1490" s="32" t="s">
        <v>285</v>
      </c>
      <c r="F1490" s="32" t="s">
        <v>222</v>
      </c>
      <c r="G1490" s="32" t="s">
        <v>189</v>
      </c>
      <c r="H1490" s="32" t="s">
        <v>190</v>
      </c>
    </row>
    <row r="1491" ht="16.5" customHeight="1">
      <c r="A1491" s="32">
        <v>1487.0</v>
      </c>
      <c r="C1491" s="32" t="s">
        <v>2051</v>
      </c>
      <c r="D1491" s="32" t="s">
        <v>184</v>
      </c>
      <c r="E1491" s="32" t="s">
        <v>228</v>
      </c>
      <c r="F1491" s="32" t="s">
        <v>222</v>
      </c>
      <c r="G1491" s="32" t="s">
        <v>229</v>
      </c>
      <c r="H1491" s="32" t="s">
        <v>244</v>
      </c>
    </row>
    <row r="1492" ht="16.5" customHeight="1">
      <c r="A1492" s="32">
        <v>1488.0</v>
      </c>
      <c r="C1492" s="32" t="s">
        <v>2052</v>
      </c>
      <c r="D1492" s="32" t="s">
        <v>184</v>
      </c>
      <c r="E1492" s="32" t="s">
        <v>228</v>
      </c>
      <c r="F1492" s="32" t="s">
        <v>222</v>
      </c>
      <c r="G1492" s="32" t="s">
        <v>229</v>
      </c>
      <c r="H1492" s="32" t="s">
        <v>244</v>
      </c>
    </row>
    <row r="1493" ht="16.5" customHeight="1">
      <c r="A1493" s="32">
        <v>1489.0</v>
      </c>
      <c r="C1493" s="32" t="s">
        <v>2053</v>
      </c>
      <c r="D1493" s="32" t="s">
        <v>184</v>
      </c>
      <c r="E1493" s="32" t="s">
        <v>228</v>
      </c>
      <c r="F1493" s="32" t="s">
        <v>222</v>
      </c>
      <c r="G1493" s="32" t="s">
        <v>229</v>
      </c>
      <c r="H1493" s="32" t="s">
        <v>244</v>
      </c>
    </row>
    <row r="1494" ht="16.5" customHeight="1">
      <c r="A1494" s="32">
        <v>1490.0</v>
      </c>
      <c r="C1494" s="32" t="s">
        <v>2054</v>
      </c>
      <c r="D1494" s="32" t="s">
        <v>184</v>
      </c>
      <c r="E1494" s="32" t="s">
        <v>228</v>
      </c>
      <c r="F1494" s="32" t="s">
        <v>222</v>
      </c>
    </row>
    <row r="1495" ht="16.5" customHeight="1">
      <c r="A1495" s="32">
        <v>1491.0</v>
      </c>
      <c r="C1495" s="32" t="s">
        <v>2055</v>
      </c>
      <c r="D1495" s="32" t="s">
        <v>184</v>
      </c>
      <c r="E1495" s="35" t="s">
        <v>294</v>
      </c>
      <c r="F1495" s="32" t="s">
        <v>222</v>
      </c>
      <c r="G1495" s="32" t="s">
        <v>189</v>
      </c>
      <c r="H1495" s="32" t="s">
        <v>190</v>
      </c>
    </row>
    <row r="1496" ht="16.5" customHeight="1">
      <c r="A1496" s="32">
        <v>1492.0</v>
      </c>
      <c r="C1496" s="32" t="s">
        <v>2056</v>
      </c>
      <c r="D1496" s="32" t="s">
        <v>184</v>
      </c>
      <c r="E1496" s="35" t="s">
        <v>294</v>
      </c>
      <c r="F1496" s="32" t="s">
        <v>222</v>
      </c>
      <c r="G1496" s="32" t="s">
        <v>189</v>
      </c>
      <c r="H1496" s="32" t="s">
        <v>190</v>
      </c>
    </row>
    <row r="1497" ht="16.5" customHeight="1">
      <c r="A1497" s="32">
        <v>1493.0</v>
      </c>
      <c r="C1497" s="32" t="s">
        <v>2057</v>
      </c>
      <c r="D1497" s="32" t="s">
        <v>184</v>
      </c>
      <c r="E1497" s="32" t="s">
        <v>228</v>
      </c>
      <c r="F1497" s="32" t="s">
        <v>222</v>
      </c>
      <c r="G1497" s="32" t="s">
        <v>454</v>
      </c>
      <c r="H1497" s="32" t="s">
        <v>885</v>
      </c>
    </row>
    <row r="1498" ht="16.5" customHeight="1">
      <c r="A1498" s="32">
        <v>1494.0</v>
      </c>
      <c r="C1498" s="32" t="s">
        <v>2058</v>
      </c>
      <c r="D1498" s="32" t="s">
        <v>184</v>
      </c>
      <c r="E1498" s="32" t="s">
        <v>228</v>
      </c>
      <c r="F1498" s="32" t="s">
        <v>222</v>
      </c>
    </row>
    <row r="1499" ht="16.5" customHeight="1">
      <c r="A1499" s="32">
        <v>1495.0</v>
      </c>
      <c r="C1499" s="32" t="s">
        <v>2059</v>
      </c>
      <c r="D1499" s="32" t="s">
        <v>184</v>
      </c>
      <c r="E1499" s="32" t="s">
        <v>185</v>
      </c>
      <c r="F1499" s="32" t="s">
        <v>222</v>
      </c>
      <c r="G1499" s="32" t="s">
        <v>2060</v>
      </c>
      <c r="H1499" s="32" t="s">
        <v>2061</v>
      </c>
    </row>
    <row r="1500" ht="16.5" customHeight="1">
      <c r="A1500" s="32">
        <v>1496.0</v>
      </c>
      <c r="C1500" s="32" t="s">
        <v>2062</v>
      </c>
      <c r="D1500" s="32" t="s">
        <v>184</v>
      </c>
      <c r="E1500" s="32" t="s">
        <v>185</v>
      </c>
      <c r="F1500" s="32" t="s">
        <v>222</v>
      </c>
      <c r="G1500" s="32" t="s">
        <v>187</v>
      </c>
      <c r="H1500" s="32" t="s">
        <v>188</v>
      </c>
    </row>
    <row r="1501" ht="16.5" customHeight="1">
      <c r="A1501" s="32">
        <v>1497.0</v>
      </c>
      <c r="C1501" s="32" t="s">
        <v>2063</v>
      </c>
      <c r="D1501" s="32" t="s">
        <v>184</v>
      </c>
      <c r="E1501" s="32" t="s">
        <v>185</v>
      </c>
      <c r="F1501" s="32" t="s">
        <v>222</v>
      </c>
      <c r="G1501" s="32" t="s">
        <v>187</v>
      </c>
      <c r="H1501" s="32" t="s">
        <v>854</v>
      </c>
    </row>
    <row r="1502" ht="16.5" customHeight="1">
      <c r="A1502" s="32">
        <v>1498.0</v>
      </c>
      <c r="C1502" s="32" t="s">
        <v>2064</v>
      </c>
      <c r="D1502" s="32" t="s">
        <v>184</v>
      </c>
      <c r="E1502" s="35" t="s">
        <v>294</v>
      </c>
      <c r="F1502" s="32" t="s">
        <v>222</v>
      </c>
      <c r="G1502" s="32" t="s">
        <v>189</v>
      </c>
      <c r="H1502" s="32" t="s">
        <v>190</v>
      </c>
    </row>
    <row r="1503" ht="16.5" customHeight="1">
      <c r="A1503" s="32">
        <v>1499.0</v>
      </c>
      <c r="C1503" s="32" t="s">
        <v>2065</v>
      </c>
      <c r="D1503" s="32" t="s">
        <v>184</v>
      </c>
      <c r="E1503" s="35" t="s">
        <v>294</v>
      </c>
      <c r="F1503" s="32" t="s">
        <v>222</v>
      </c>
      <c r="G1503" s="32" t="s">
        <v>189</v>
      </c>
      <c r="H1503" s="32" t="s">
        <v>2066</v>
      </c>
    </row>
    <row r="1504" ht="16.5" customHeight="1">
      <c r="A1504" s="32">
        <v>1500.0</v>
      </c>
      <c r="C1504" s="32" t="s">
        <v>2067</v>
      </c>
      <c r="D1504" s="32" t="s">
        <v>184</v>
      </c>
      <c r="E1504" s="32" t="s">
        <v>285</v>
      </c>
      <c r="F1504" s="32" t="s">
        <v>222</v>
      </c>
      <c r="G1504" s="32" t="s">
        <v>189</v>
      </c>
      <c r="H1504" s="32" t="s">
        <v>902</v>
      </c>
    </row>
    <row r="1505" ht="16.5" customHeight="1">
      <c r="A1505" s="32">
        <v>1501.0</v>
      </c>
      <c r="C1505" s="32" t="s">
        <v>2068</v>
      </c>
      <c r="D1505" s="32" t="s">
        <v>184</v>
      </c>
      <c r="E1505" s="35" t="s">
        <v>294</v>
      </c>
      <c r="F1505" s="32" t="s">
        <v>222</v>
      </c>
      <c r="G1505" s="32" t="s">
        <v>189</v>
      </c>
      <c r="H1505" s="32" t="s">
        <v>190</v>
      </c>
    </row>
    <row r="1506" ht="16.5" customHeight="1">
      <c r="A1506" s="32">
        <v>1502.0</v>
      </c>
      <c r="C1506" s="32" t="s">
        <v>2069</v>
      </c>
      <c r="D1506" s="32" t="s">
        <v>184</v>
      </c>
      <c r="E1506" s="35" t="s">
        <v>294</v>
      </c>
      <c r="F1506" s="32" t="s">
        <v>222</v>
      </c>
      <c r="G1506" s="32" t="s">
        <v>189</v>
      </c>
      <c r="H1506" s="32" t="s">
        <v>190</v>
      </c>
    </row>
    <row r="1507" ht="16.5" customHeight="1">
      <c r="A1507" s="32">
        <v>1503.0</v>
      </c>
      <c r="C1507" s="32" t="s">
        <v>2069</v>
      </c>
      <c r="D1507" s="32" t="s">
        <v>184</v>
      </c>
      <c r="E1507" s="32" t="s">
        <v>285</v>
      </c>
      <c r="F1507" s="32" t="s">
        <v>222</v>
      </c>
      <c r="G1507" s="32" t="s">
        <v>189</v>
      </c>
      <c r="H1507" s="32" t="s">
        <v>902</v>
      </c>
    </row>
    <row r="1508" ht="16.5" customHeight="1">
      <c r="A1508" s="32">
        <v>1504.0</v>
      </c>
      <c r="C1508" s="32" t="s">
        <v>2070</v>
      </c>
      <c r="D1508" s="32" t="s">
        <v>184</v>
      </c>
      <c r="E1508" s="32" t="s">
        <v>285</v>
      </c>
      <c r="F1508" s="32" t="s">
        <v>222</v>
      </c>
      <c r="G1508" s="32" t="s">
        <v>189</v>
      </c>
      <c r="H1508" s="32" t="s">
        <v>190</v>
      </c>
    </row>
    <row r="1509" ht="16.5" customHeight="1">
      <c r="A1509" s="32">
        <v>1505.0</v>
      </c>
      <c r="C1509" s="32" t="s">
        <v>2071</v>
      </c>
      <c r="D1509" s="32" t="s">
        <v>184</v>
      </c>
      <c r="E1509" s="32" t="s">
        <v>285</v>
      </c>
      <c r="F1509" s="32" t="s">
        <v>222</v>
      </c>
      <c r="G1509" s="32" t="s">
        <v>189</v>
      </c>
      <c r="H1509" s="32" t="s">
        <v>190</v>
      </c>
    </row>
    <row r="1510" ht="16.5" customHeight="1">
      <c r="A1510" s="32">
        <v>1506.0</v>
      </c>
      <c r="C1510" s="32" t="s">
        <v>2072</v>
      </c>
      <c r="D1510" s="32" t="s">
        <v>184</v>
      </c>
      <c r="E1510" s="32" t="s">
        <v>285</v>
      </c>
      <c r="F1510" s="32" t="s">
        <v>222</v>
      </c>
      <c r="G1510" s="32" t="s">
        <v>189</v>
      </c>
      <c r="H1510" s="32" t="s">
        <v>902</v>
      </c>
    </row>
    <row r="1511" ht="16.5" customHeight="1">
      <c r="A1511" s="32">
        <v>1507.0</v>
      </c>
      <c r="C1511" s="32" t="s">
        <v>2073</v>
      </c>
      <c r="D1511" s="32" t="s">
        <v>184</v>
      </c>
      <c r="E1511" s="35" t="s">
        <v>294</v>
      </c>
      <c r="F1511" s="32" t="s">
        <v>222</v>
      </c>
      <c r="G1511" s="32" t="s">
        <v>295</v>
      </c>
      <c r="H1511" s="32" t="s">
        <v>1121</v>
      </c>
    </row>
    <row r="1512" ht="16.5" customHeight="1">
      <c r="A1512" s="32">
        <v>1508.0</v>
      </c>
      <c r="C1512" s="32" t="s">
        <v>2074</v>
      </c>
      <c r="D1512" s="32" t="s">
        <v>184</v>
      </c>
      <c r="E1512" s="32" t="s">
        <v>285</v>
      </c>
      <c r="F1512" s="32" t="s">
        <v>222</v>
      </c>
    </row>
    <row r="1513" ht="16.5" customHeight="1">
      <c r="A1513" s="32">
        <v>1509.0</v>
      </c>
      <c r="C1513" s="32" t="s">
        <v>2075</v>
      </c>
      <c r="D1513" s="32" t="s">
        <v>184</v>
      </c>
      <c r="E1513" s="35" t="s">
        <v>294</v>
      </c>
      <c r="F1513" s="32" t="s">
        <v>222</v>
      </c>
      <c r="G1513" s="32" t="s">
        <v>2010</v>
      </c>
      <c r="H1513" s="32" t="s">
        <v>2076</v>
      </c>
    </row>
    <row r="1514" ht="16.5" customHeight="1">
      <c r="A1514" s="32">
        <v>1510.0</v>
      </c>
      <c r="C1514" s="32" t="s">
        <v>2077</v>
      </c>
      <c r="D1514" s="32" t="s">
        <v>184</v>
      </c>
      <c r="E1514" s="32" t="s">
        <v>254</v>
      </c>
      <c r="F1514" s="32" t="s">
        <v>222</v>
      </c>
    </row>
    <row r="1515" ht="16.5" customHeight="1">
      <c r="A1515" s="32">
        <v>1511.0</v>
      </c>
      <c r="C1515" s="32" t="s">
        <v>2078</v>
      </c>
      <c r="D1515" s="32" t="s">
        <v>184</v>
      </c>
      <c r="E1515" s="32" t="s">
        <v>228</v>
      </c>
      <c r="F1515" s="32" t="s">
        <v>222</v>
      </c>
    </row>
    <row r="1516" ht="16.5" customHeight="1">
      <c r="A1516" s="32">
        <v>1512.0</v>
      </c>
      <c r="C1516" s="32" t="s">
        <v>2079</v>
      </c>
      <c r="D1516" s="32" t="s">
        <v>184</v>
      </c>
      <c r="E1516" s="32" t="s">
        <v>219</v>
      </c>
      <c r="F1516" s="32" t="s">
        <v>222</v>
      </c>
      <c r="G1516" s="32" t="s">
        <v>216</v>
      </c>
      <c r="H1516" s="32" t="s">
        <v>217</v>
      </c>
    </row>
    <row r="1517" ht="16.5" customHeight="1">
      <c r="A1517" s="32">
        <v>1513.0</v>
      </c>
      <c r="C1517" s="32" t="s">
        <v>2080</v>
      </c>
      <c r="D1517" s="32" t="s">
        <v>184</v>
      </c>
      <c r="E1517" s="32" t="s">
        <v>219</v>
      </c>
      <c r="F1517" s="32" t="s">
        <v>222</v>
      </c>
      <c r="G1517" s="32" t="s">
        <v>216</v>
      </c>
      <c r="H1517" s="32" t="s">
        <v>217</v>
      </c>
    </row>
    <row r="1518" ht="16.5" customHeight="1">
      <c r="A1518" s="32">
        <v>1514.0</v>
      </c>
      <c r="C1518" s="32" t="s">
        <v>2080</v>
      </c>
      <c r="D1518" s="32" t="s">
        <v>184</v>
      </c>
      <c r="E1518" s="32" t="s">
        <v>219</v>
      </c>
      <c r="F1518" s="32" t="s">
        <v>222</v>
      </c>
      <c r="G1518" s="32" t="s">
        <v>216</v>
      </c>
      <c r="H1518" s="32" t="s">
        <v>217</v>
      </c>
    </row>
    <row r="1519" ht="16.5" customHeight="1">
      <c r="A1519" s="32">
        <v>1515.0</v>
      </c>
      <c r="C1519" s="32" t="s">
        <v>2081</v>
      </c>
      <c r="D1519" s="32" t="s">
        <v>184</v>
      </c>
      <c r="E1519" s="32" t="s">
        <v>219</v>
      </c>
      <c r="F1519" s="32" t="s">
        <v>222</v>
      </c>
      <c r="G1519" s="32" t="s">
        <v>216</v>
      </c>
      <c r="H1519" s="32" t="s">
        <v>217</v>
      </c>
    </row>
    <row r="1520" ht="16.5" customHeight="1">
      <c r="A1520" s="32">
        <v>1516.0</v>
      </c>
      <c r="C1520" s="32" t="s">
        <v>2082</v>
      </c>
      <c r="D1520" s="32" t="s">
        <v>184</v>
      </c>
      <c r="E1520" s="32" t="s">
        <v>219</v>
      </c>
      <c r="F1520" s="32" t="s">
        <v>222</v>
      </c>
    </row>
    <row r="1521" ht="16.5" customHeight="1">
      <c r="A1521" s="32">
        <v>1517.0</v>
      </c>
      <c r="C1521" s="32" t="s">
        <v>2083</v>
      </c>
      <c r="D1521" s="32" t="s">
        <v>184</v>
      </c>
      <c r="E1521" s="32" t="s">
        <v>219</v>
      </c>
      <c r="F1521" s="35" t="s">
        <v>1929</v>
      </c>
    </row>
    <row r="1522" ht="16.5" customHeight="1">
      <c r="A1522" s="32">
        <v>1518.0</v>
      </c>
      <c r="C1522" s="32" t="s">
        <v>2084</v>
      </c>
      <c r="D1522" s="32" t="s">
        <v>184</v>
      </c>
      <c r="E1522" s="32" t="s">
        <v>214</v>
      </c>
      <c r="F1522" s="32" t="s">
        <v>222</v>
      </c>
      <c r="G1522" s="32" t="s">
        <v>216</v>
      </c>
      <c r="H1522" s="32" t="s">
        <v>217</v>
      </c>
    </row>
    <row r="1523" ht="16.5" customHeight="1">
      <c r="A1523" s="32">
        <v>1519.0</v>
      </c>
      <c r="C1523" s="32" t="s">
        <v>2085</v>
      </c>
      <c r="D1523" s="32" t="s">
        <v>184</v>
      </c>
      <c r="E1523" s="32" t="s">
        <v>214</v>
      </c>
      <c r="F1523" s="32" t="s">
        <v>222</v>
      </c>
    </row>
    <row r="1524" ht="16.5" customHeight="1">
      <c r="A1524" s="32">
        <v>1520.0</v>
      </c>
      <c r="C1524" s="32" t="s">
        <v>2086</v>
      </c>
      <c r="D1524" s="32" t="s">
        <v>184</v>
      </c>
      <c r="E1524" s="32" t="s">
        <v>192</v>
      </c>
      <c r="F1524" s="32" t="s">
        <v>222</v>
      </c>
      <c r="G1524" s="32" t="s">
        <v>329</v>
      </c>
      <c r="H1524" s="32" t="s">
        <v>457</v>
      </c>
    </row>
    <row r="1525" ht="16.5" customHeight="1">
      <c r="A1525" s="32">
        <v>1521.0</v>
      </c>
      <c r="C1525" s="32" t="s">
        <v>2087</v>
      </c>
      <c r="D1525" s="32" t="s">
        <v>184</v>
      </c>
      <c r="E1525" s="32" t="s">
        <v>192</v>
      </c>
      <c r="F1525" s="32" t="s">
        <v>222</v>
      </c>
      <c r="G1525" s="32" t="s">
        <v>329</v>
      </c>
      <c r="H1525" s="32" t="s">
        <v>447</v>
      </c>
    </row>
    <row r="1526" ht="16.5" customHeight="1">
      <c r="A1526" s="32">
        <v>1522.0</v>
      </c>
      <c r="C1526" s="32" t="s">
        <v>2088</v>
      </c>
      <c r="D1526" s="32" t="s">
        <v>184</v>
      </c>
      <c r="E1526" s="32" t="s">
        <v>214</v>
      </c>
      <c r="F1526" s="32" t="s">
        <v>222</v>
      </c>
    </row>
    <row r="1527" ht="16.5" customHeight="1">
      <c r="A1527" s="32">
        <v>1523.0</v>
      </c>
      <c r="C1527" s="32" t="s">
        <v>2089</v>
      </c>
      <c r="D1527" s="32" t="s">
        <v>184</v>
      </c>
      <c r="E1527" s="32" t="s">
        <v>764</v>
      </c>
      <c r="F1527" s="32" t="s">
        <v>222</v>
      </c>
    </row>
    <row r="1528" ht="16.5" customHeight="1">
      <c r="A1528" s="32">
        <v>1524.0</v>
      </c>
      <c r="C1528" s="32" t="s">
        <v>2090</v>
      </c>
      <c r="D1528" s="32" t="s">
        <v>184</v>
      </c>
      <c r="E1528" s="32" t="s">
        <v>764</v>
      </c>
      <c r="F1528" s="32" t="s">
        <v>222</v>
      </c>
    </row>
    <row r="1529" ht="16.5" customHeight="1">
      <c r="A1529" s="32">
        <v>1525.0</v>
      </c>
      <c r="C1529" s="32" t="s">
        <v>2091</v>
      </c>
      <c r="D1529" s="32" t="s">
        <v>184</v>
      </c>
      <c r="E1529" s="32" t="s">
        <v>764</v>
      </c>
      <c r="F1529" s="32" t="s">
        <v>222</v>
      </c>
      <c r="G1529" s="32" t="s">
        <v>954</v>
      </c>
    </row>
    <row r="1530" ht="16.5" customHeight="1">
      <c r="A1530" s="32">
        <v>1526.0</v>
      </c>
      <c r="C1530" s="32" t="s">
        <v>2092</v>
      </c>
      <c r="D1530" s="32" t="s">
        <v>184</v>
      </c>
      <c r="E1530" s="32" t="s">
        <v>764</v>
      </c>
      <c r="F1530" s="32" t="s">
        <v>222</v>
      </c>
    </row>
    <row r="1531" ht="16.5" customHeight="1">
      <c r="A1531" s="32">
        <v>1527.0</v>
      </c>
      <c r="C1531" s="32" t="s">
        <v>2093</v>
      </c>
      <c r="D1531" s="32" t="s">
        <v>184</v>
      </c>
      <c r="E1531" s="32" t="s">
        <v>192</v>
      </c>
      <c r="F1531" s="32" t="s">
        <v>222</v>
      </c>
    </row>
    <row r="1532" ht="16.5" customHeight="1">
      <c r="A1532" s="32">
        <v>1528.0</v>
      </c>
      <c r="C1532" s="32" t="s">
        <v>2094</v>
      </c>
      <c r="D1532" s="32" t="s">
        <v>184</v>
      </c>
      <c r="E1532" s="32" t="s">
        <v>219</v>
      </c>
      <c r="F1532" s="32" t="s">
        <v>222</v>
      </c>
    </row>
    <row r="1533" ht="16.5" customHeight="1">
      <c r="A1533" s="32">
        <v>1529.0</v>
      </c>
      <c r="C1533" s="32" t="s">
        <v>2095</v>
      </c>
      <c r="D1533" s="32" t="s">
        <v>184</v>
      </c>
      <c r="E1533" s="32" t="s">
        <v>285</v>
      </c>
      <c r="F1533" s="32" t="s">
        <v>222</v>
      </c>
    </row>
    <row r="1534" ht="16.5" customHeight="1">
      <c r="A1534" s="32">
        <v>1530.0</v>
      </c>
      <c r="C1534" s="32" t="s">
        <v>2096</v>
      </c>
      <c r="D1534" s="32" t="s">
        <v>184</v>
      </c>
      <c r="E1534" s="32" t="s">
        <v>764</v>
      </c>
      <c r="F1534" s="32" t="s">
        <v>222</v>
      </c>
    </row>
    <row r="1535" ht="16.5" customHeight="1">
      <c r="A1535" s="32">
        <v>1531.0</v>
      </c>
      <c r="C1535" s="32" t="s">
        <v>2097</v>
      </c>
      <c r="D1535" s="32" t="s">
        <v>184</v>
      </c>
      <c r="E1535" s="32" t="s">
        <v>185</v>
      </c>
      <c r="F1535" s="32" t="s">
        <v>222</v>
      </c>
    </row>
    <row r="1536" ht="16.5" customHeight="1">
      <c r="A1536" s="32">
        <v>1532.0</v>
      </c>
      <c r="C1536" s="32" t="s">
        <v>2098</v>
      </c>
      <c r="D1536" s="32" t="s">
        <v>184</v>
      </c>
      <c r="E1536" s="32" t="s">
        <v>219</v>
      </c>
      <c r="F1536" s="32" t="s">
        <v>222</v>
      </c>
      <c r="G1536" s="32" t="s">
        <v>217</v>
      </c>
      <c r="H1536" s="32" t="s">
        <v>216</v>
      </c>
    </row>
    <row r="1537" ht="16.5" customHeight="1">
      <c r="A1537" s="32">
        <v>1533.0</v>
      </c>
      <c r="C1537" s="32" t="s">
        <v>2099</v>
      </c>
      <c r="D1537" s="32" t="s">
        <v>184</v>
      </c>
      <c r="E1537" s="32" t="s">
        <v>219</v>
      </c>
      <c r="F1537" s="32" t="s">
        <v>222</v>
      </c>
      <c r="G1537" s="32" t="s">
        <v>216</v>
      </c>
      <c r="H1537" s="32" t="s">
        <v>217</v>
      </c>
    </row>
    <row r="1538" ht="16.5" customHeight="1">
      <c r="A1538" s="32">
        <v>1534.0</v>
      </c>
      <c r="C1538" s="32" t="s">
        <v>2100</v>
      </c>
      <c r="D1538" s="32" t="s">
        <v>184</v>
      </c>
      <c r="E1538" s="32" t="s">
        <v>234</v>
      </c>
      <c r="F1538" s="32" t="s">
        <v>222</v>
      </c>
      <c r="G1538" s="32" t="s">
        <v>415</v>
      </c>
      <c r="H1538" s="32" t="s">
        <v>243</v>
      </c>
    </row>
    <row r="1539" ht="16.5" customHeight="1">
      <c r="A1539" s="32">
        <v>1535.0</v>
      </c>
      <c r="C1539" s="32" t="s">
        <v>2101</v>
      </c>
      <c r="D1539" s="32" t="s">
        <v>184</v>
      </c>
      <c r="E1539" s="32" t="s">
        <v>228</v>
      </c>
      <c r="F1539" s="32" t="s">
        <v>222</v>
      </c>
      <c r="G1539" s="32" t="s">
        <v>408</v>
      </c>
      <c r="H1539" s="32" t="s">
        <v>452</v>
      </c>
    </row>
    <row r="1540" ht="16.5" customHeight="1">
      <c r="A1540" s="32">
        <v>1536.0</v>
      </c>
      <c r="C1540" s="32" t="s">
        <v>2102</v>
      </c>
      <c r="D1540" s="32" t="s">
        <v>184</v>
      </c>
      <c r="E1540" s="35" t="s">
        <v>1168</v>
      </c>
      <c r="F1540" s="32" t="s">
        <v>222</v>
      </c>
      <c r="G1540" s="32" t="s">
        <v>882</v>
      </c>
      <c r="H1540" s="32" t="s">
        <v>2103</v>
      </c>
    </row>
    <row r="1541" ht="16.5" customHeight="1">
      <c r="A1541" s="32">
        <v>1537.0</v>
      </c>
      <c r="C1541" s="32" t="s">
        <v>2104</v>
      </c>
      <c r="D1541" s="32" t="s">
        <v>184</v>
      </c>
      <c r="E1541" s="32" t="s">
        <v>234</v>
      </c>
      <c r="F1541" s="32" t="s">
        <v>222</v>
      </c>
      <c r="G1541" s="32" t="s">
        <v>415</v>
      </c>
      <c r="H1541" s="32" t="s">
        <v>243</v>
      </c>
    </row>
    <row r="1542" ht="16.5" customHeight="1">
      <c r="A1542" s="32">
        <v>1538.0</v>
      </c>
      <c r="C1542" s="32" t="s">
        <v>2105</v>
      </c>
      <c r="D1542" s="32" t="s">
        <v>184</v>
      </c>
      <c r="E1542" s="32" t="s">
        <v>234</v>
      </c>
      <c r="F1542" s="32" t="s">
        <v>222</v>
      </c>
      <c r="G1542" s="32" t="s">
        <v>415</v>
      </c>
      <c r="H1542" s="32" t="s">
        <v>243</v>
      </c>
    </row>
    <row r="1543" ht="16.5" customHeight="1">
      <c r="A1543" s="32">
        <v>1539.0</v>
      </c>
      <c r="C1543" s="32" t="s">
        <v>2106</v>
      </c>
      <c r="D1543" s="32" t="s">
        <v>184</v>
      </c>
      <c r="E1543" s="32" t="s">
        <v>219</v>
      </c>
      <c r="F1543" s="32" t="s">
        <v>222</v>
      </c>
      <c r="G1543" s="32" t="s">
        <v>241</v>
      </c>
      <c r="H1543" s="32" t="s">
        <v>292</v>
      </c>
    </row>
    <row r="1544" ht="16.5" customHeight="1">
      <c r="A1544" s="32">
        <v>1540.0</v>
      </c>
      <c r="C1544" s="32" t="s">
        <v>2107</v>
      </c>
      <c r="D1544" s="32" t="s">
        <v>184</v>
      </c>
      <c r="E1544" s="32" t="s">
        <v>219</v>
      </c>
      <c r="F1544" s="32" t="s">
        <v>222</v>
      </c>
    </row>
    <row r="1545" ht="16.5" customHeight="1">
      <c r="A1545" s="32">
        <v>1541.0</v>
      </c>
      <c r="C1545" s="32" t="s">
        <v>2108</v>
      </c>
      <c r="D1545" s="32" t="s">
        <v>184</v>
      </c>
      <c r="E1545" s="32" t="s">
        <v>219</v>
      </c>
      <c r="F1545" s="32" t="s">
        <v>222</v>
      </c>
      <c r="G1545" s="32" t="s">
        <v>241</v>
      </c>
      <c r="H1545" s="32" t="s">
        <v>292</v>
      </c>
    </row>
    <row r="1546" ht="16.5" customHeight="1">
      <c r="A1546" s="32">
        <v>1542.0</v>
      </c>
      <c r="C1546" s="32" t="s">
        <v>2108</v>
      </c>
      <c r="D1546" s="32" t="s">
        <v>184</v>
      </c>
      <c r="E1546" s="32" t="s">
        <v>219</v>
      </c>
      <c r="F1546" s="32" t="s">
        <v>222</v>
      </c>
      <c r="G1546" s="32" t="s">
        <v>241</v>
      </c>
      <c r="H1546" s="32" t="s">
        <v>292</v>
      </c>
    </row>
    <row r="1547" ht="16.5" customHeight="1">
      <c r="A1547" s="32">
        <v>1543.0</v>
      </c>
      <c r="C1547" s="32" t="s">
        <v>2109</v>
      </c>
      <c r="D1547" s="32" t="s">
        <v>184</v>
      </c>
      <c r="E1547" s="32" t="s">
        <v>219</v>
      </c>
      <c r="F1547" s="32" t="s">
        <v>222</v>
      </c>
    </row>
    <row r="1548" ht="16.5" customHeight="1">
      <c r="A1548" s="32">
        <v>1544.0</v>
      </c>
      <c r="C1548" s="32" t="s">
        <v>2110</v>
      </c>
      <c r="D1548" s="32" t="s">
        <v>184</v>
      </c>
      <c r="E1548" s="32" t="s">
        <v>234</v>
      </c>
      <c r="F1548" s="32" t="s">
        <v>222</v>
      </c>
      <c r="G1548" s="32" t="s">
        <v>415</v>
      </c>
      <c r="H1548" s="32" t="s">
        <v>2003</v>
      </c>
    </row>
    <row r="1549" ht="16.5" customHeight="1">
      <c r="A1549" s="32">
        <v>1545.0</v>
      </c>
      <c r="C1549" s="32" t="s">
        <v>2111</v>
      </c>
      <c r="D1549" s="32" t="s">
        <v>184</v>
      </c>
      <c r="E1549" s="32" t="s">
        <v>219</v>
      </c>
      <c r="F1549" s="32" t="s">
        <v>222</v>
      </c>
      <c r="G1549" s="32" t="s">
        <v>2112</v>
      </c>
      <c r="H1549" s="32" t="s">
        <v>896</v>
      </c>
    </row>
    <row r="1550" ht="16.5" customHeight="1">
      <c r="A1550" s="32">
        <v>1546.0</v>
      </c>
      <c r="C1550" s="32" t="s">
        <v>2113</v>
      </c>
      <c r="D1550" s="32" t="s">
        <v>184</v>
      </c>
      <c r="E1550" s="32" t="s">
        <v>219</v>
      </c>
      <c r="F1550" s="32" t="s">
        <v>222</v>
      </c>
      <c r="G1550" s="32" t="s">
        <v>241</v>
      </c>
      <c r="H1550" s="32" t="s">
        <v>292</v>
      </c>
    </row>
    <row r="1551" ht="16.5" customHeight="1">
      <c r="A1551" s="32">
        <v>1547.0</v>
      </c>
      <c r="C1551" s="32" t="s">
        <v>2114</v>
      </c>
      <c r="D1551" s="32" t="s">
        <v>184</v>
      </c>
      <c r="E1551" s="32" t="s">
        <v>219</v>
      </c>
      <c r="F1551" s="32" t="s">
        <v>222</v>
      </c>
      <c r="G1551" s="32" t="s">
        <v>232</v>
      </c>
      <c r="H1551" s="32" t="s">
        <v>233</v>
      </c>
    </row>
    <row r="1552" ht="16.5" customHeight="1">
      <c r="A1552" s="32">
        <v>1548.0</v>
      </c>
      <c r="C1552" s="32" t="s">
        <v>2115</v>
      </c>
      <c r="D1552" s="32" t="s">
        <v>184</v>
      </c>
      <c r="E1552" s="32" t="s">
        <v>234</v>
      </c>
      <c r="F1552" s="32" t="s">
        <v>222</v>
      </c>
      <c r="G1552" s="32" t="s">
        <v>415</v>
      </c>
      <c r="H1552" s="32" t="s">
        <v>236</v>
      </c>
    </row>
    <row r="1553" ht="16.5" customHeight="1">
      <c r="A1553" s="32">
        <v>1549.0</v>
      </c>
      <c r="C1553" s="32" t="s">
        <v>2116</v>
      </c>
      <c r="D1553" s="32" t="s">
        <v>184</v>
      </c>
      <c r="E1553" s="32" t="s">
        <v>234</v>
      </c>
      <c r="F1553" s="32" t="s">
        <v>222</v>
      </c>
      <c r="G1553" s="32" t="s">
        <v>415</v>
      </c>
      <c r="H1553" s="32" t="s">
        <v>236</v>
      </c>
    </row>
    <row r="1554" ht="16.5" customHeight="1">
      <c r="A1554" s="32">
        <v>1550.0</v>
      </c>
      <c r="C1554" s="32" t="s">
        <v>2117</v>
      </c>
      <c r="D1554" s="32" t="s">
        <v>184</v>
      </c>
      <c r="E1554" s="32" t="s">
        <v>234</v>
      </c>
      <c r="F1554" s="32" t="s">
        <v>222</v>
      </c>
      <c r="G1554" s="32" t="s">
        <v>415</v>
      </c>
      <c r="H1554" s="32" t="s">
        <v>236</v>
      </c>
    </row>
    <row r="1555" ht="16.5" customHeight="1">
      <c r="A1555" s="32">
        <v>1551.0</v>
      </c>
      <c r="C1555" s="32" t="s">
        <v>2118</v>
      </c>
      <c r="D1555" s="32" t="s">
        <v>184</v>
      </c>
      <c r="E1555" s="32" t="s">
        <v>234</v>
      </c>
      <c r="F1555" s="35" t="s">
        <v>1929</v>
      </c>
      <c r="G1555" s="32" t="s">
        <v>415</v>
      </c>
      <c r="H1555" s="32" t="s">
        <v>236</v>
      </c>
    </row>
    <row r="1556" ht="16.5" customHeight="1">
      <c r="A1556" s="32">
        <v>1552.0</v>
      </c>
      <c r="C1556" s="32" t="s">
        <v>2119</v>
      </c>
      <c r="D1556" s="32" t="s">
        <v>184</v>
      </c>
      <c r="E1556" s="32" t="s">
        <v>228</v>
      </c>
      <c r="F1556" s="32" t="s">
        <v>222</v>
      </c>
      <c r="G1556" s="32" t="s">
        <v>229</v>
      </c>
      <c r="H1556" s="32" t="s">
        <v>244</v>
      </c>
    </row>
    <row r="1557" ht="16.5" customHeight="1">
      <c r="A1557" s="32">
        <v>1553.0</v>
      </c>
      <c r="C1557" s="32" t="s">
        <v>2120</v>
      </c>
      <c r="D1557" s="32" t="s">
        <v>184</v>
      </c>
      <c r="E1557" s="32" t="s">
        <v>228</v>
      </c>
      <c r="F1557" s="32" t="s">
        <v>222</v>
      </c>
      <c r="G1557" s="32" t="s">
        <v>229</v>
      </c>
      <c r="H1557" s="32" t="s">
        <v>244</v>
      </c>
    </row>
    <row r="1558" ht="16.5" customHeight="1">
      <c r="A1558" s="32">
        <v>1554.0</v>
      </c>
      <c r="C1558" s="32" t="s">
        <v>2121</v>
      </c>
      <c r="D1558" s="32" t="s">
        <v>184</v>
      </c>
      <c r="E1558" s="32" t="s">
        <v>219</v>
      </c>
      <c r="F1558" s="32" t="s">
        <v>222</v>
      </c>
      <c r="G1558" s="32" t="s">
        <v>241</v>
      </c>
      <c r="H1558" s="32" t="s">
        <v>292</v>
      </c>
    </row>
    <row r="1559" ht="16.5" customHeight="1">
      <c r="A1559" s="32">
        <v>1555.0</v>
      </c>
      <c r="C1559" s="32" t="s">
        <v>2122</v>
      </c>
      <c r="D1559" s="32" t="s">
        <v>184</v>
      </c>
      <c r="E1559" s="32" t="s">
        <v>219</v>
      </c>
      <c r="F1559" s="32" t="s">
        <v>222</v>
      </c>
      <c r="G1559" s="32" t="s">
        <v>216</v>
      </c>
      <c r="H1559" s="32" t="s">
        <v>217</v>
      </c>
    </row>
    <row r="1560" ht="16.5" customHeight="1">
      <c r="A1560" s="32">
        <v>1556.0</v>
      </c>
      <c r="C1560" s="32" t="s">
        <v>2123</v>
      </c>
      <c r="D1560" s="32" t="s">
        <v>184</v>
      </c>
      <c r="E1560" s="32" t="s">
        <v>234</v>
      </c>
      <c r="F1560" s="32" t="s">
        <v>222</v>
      </c>
      <c r="G1560" s="32" t="s">
        <v>415</v>
      </c>
      <c r="H1560" s="32" t="s">
        <v>243</v>
      </c>
    </row>
    <row r="1561" ht="16.5" customHeight="1">
      <c r="A1561" s="32">
        <v>1557.0</v>
      </c>
      <c r="C1561" s="32" t="s">
        <v>2124</v>
      </c>
      <c r="D1561" s="32" t="s">
        <v>184</v>
      </c>
      <c r="E1561" s="32" t="s">
        <v>234</v>
      </c>
      <c r="F1561" s="32" t="s">
        <v>222</v>
      </c>
      <c r="G1561" s="32" t="s">
        <v>223</v>
      </c>
      <c r="H1561" s="32" t="s">
        <v>472</v>
      </c>
    </row>
    <row r="1562" ht="16.5" customHeight="1">
      <c r="A1562" s="32">
        <v>1558.0</v>
      </c>
      <c r="C1562" s="32" t="s">
        <v>2125</v>
      </c>
      <c r="D1562" s="32" t="s">
        <v>184</v>
      </c>
      <c r="E1562" s="32" t="s">
        <v>219</v>
      </c>
      <c r="F1562" s="32" t="s">
        <v>222</v>
      </c>
    </row>
    <row r="1563" ht="16.5" customHeight="1">
      <c r="A1563" s="32">
        <v>1559.0</v>
      </c>
      <c r="C1563" s="32" t="s">
        <v>2126</v>
      </c>
      <c r="D1563" s="32" t="s">
        <v>184</v>
      </c>
      <c r="E1563" s="32" t="s">
        <v>192</v>
      </c>
      <c r="F1563" s="32" t="s">
        <v>222</v>
      </c>
    </row>
    <row r="1564" ht="16.5" customHeight="1">
      <c r="A1564" s="32">
        <v>1560.0</v>
      </c>
      <c r="C1564" s="32" t="s">
        <v>2127</v>
      </c>
      <c r="D1564" s="32" t="s">
        <v>184</v>
      </c>
      <c r="E1564" s="32" t="s">
        <v>219</v>
      </c>
      <c r="F1564" s="32" t="s">
        <v>222</v>
      </c>
      <c r="G1564" s="32" t="s">
        <v>241</v>
      </c>
      <c r="H1564" s="32" t="s">
        <v>292</v>
      </c>
    </row>
    <row r="1565" ht="16.5" customHeight="1">
      <c r="A1565" s="32">
        <v>1561.0</v>
      </c>
      <c r="C1565" s="32" t="s">
        <v>2128</v>
      </c>
      <c r="D1565" s="32" t="s">
        <v>184</v>
      </c>
      <c r="E1565" s="32" t="s">
        <v>219</v>
      </c>
      <c r="F1565" s="32" t="s">
        <v>222</v>
      </c>
    </row>
    <row r="1566" ht="16.5" customHeight="1">
      <c r="A1566" s="32">
        <v>1562.0</v>
      </c>
      <c r="C1566" s="32" t="s">
        <v>2129</v>
      </c>
      <c r="D1566" s="32" t="s">
        <v>184</v>
      </c>
      <c r="E1566" s="32" t="s">
        <v>234</v>
      </c>
      <c r="F1566" s="32" t="s">
        <v>222</v>
      </c>
      <c r="G1566" s="32" t="s">
        <v>415</v>
      </c>
      <c r="H1566" s="32" t="s">
        <v>236</v>
      </c>
    </row>
    <row r="1567" ht="16.5" customHeight="1">
      <c r="A1567" s="32">
        <v>1563.0</v>
      </c>
      <c r="C1567" s="32" t="s">
        <v>2130</v>
      </c>
      <c r="D1567" s="32" t="s">
        <v>184</v>
      </c>
      <c r="E1567" s="32" t="s">
        <v>234</v>
      </c>
      <c r="F1567" s="32" t="s">
        <v>222</v>
      </c>
      <c r="G1567" s="32" t="s">
        <v>415</v>
      </c>
      <c r="H1567" s="32" t="s">
        <v>236</v>
      </c>
    </row>
    <row r="1568" ht="16.5" customHeight="1">
      <c r="A1568" s="32">
        <v>1564.0</v>
      </c>
      <c r="C1568" s="32" t="s">
        <v>2131</v>
      </c>
      <c r="D1568" s="32" t="s">
        <v>184</v>
      </c>
      <c r="E1568" s="32" t="s">
        <v>228</v>
      </c>
      <c r="F1568" s="32" t="s">
        <v>222</v>
      </c>
    </row>
    <row r="1569" ht="16.5" customHeight="1">
      <c r="A1569" s="32">
        <v>1565.0</v>
      </c>
      <c r="C1569" s="32" t="s">
        <v>2132</v>
      </c>
      <c r="D1569" s="32" t="s">
        <v>184</v>
      </c>
      <c r="E1569" s="32" t="s">
        <v>219</v>
      </c>
      <c r="F1569" s="32" t="s">
        <v>222</v>
      </c>
    </row>
    <row r="1570" ht="16.5" customHeight="1">
      <c r="A1570" s="32">
        <v>1566.0</v>
      </c>
      <c r="C1570" s="32" t="s">
        <v>2133</v>
      </c>
      <c r="D1570" s="32" t="s">
        <v>184</v>
      </c>
      <c r="E1570" s="32" t="s">
        <v>219</v>
      </c>
      <c r="F1570" s="32" t="s">
        <v>222</v>
      </c>
    </row>
    <row r="1571" ht="16.5" customHeight="1">
      <c r="A1571" s="32">
        <v>1567.0</v>
      </c>
      <c r="C1571" s="32" t="s">
        <v>2134</v>
      </c>
      <c r="D1571" s="32" t="s">
        <v>184</v>
      </c>
      <c r="E1571" s="32" t="s">
        <v>228</v>
      </c>
      <c r="F1571" s="32" t="s">
        <v>222</v>
      </c>
      <c r="G1571" s="32" t="s">
        <v>544</v>
      </c>
      <c r="H1571" s="32" t="s">
        <v>2135</v>
      </c>
    </row>
    <row r="1572" ht="16.5" customHeight="1">
      <c r="A1572" s="32">
        <v>1568.0</v>
      </c>
      <c r="C1572" s="32" t="s">
        <v>2136</v>
      </c>
      <c r="D1572" s="32" t="s">
        <v>184</v>
      </c>
      <c r="E1572" s="32" t="s">
        <v>228</v>
      </c>
      <c r="F1572" s="32" t="s">
        <v>222</v>
      </c>
    </row>
    <row r="1573" ht="16.5" customHeight="1">
      <c r="A1573" s="32">
        <v>1569.0</v>
      </c>
      <c r="C1573" s="32" t="s">
        <v>2137</v>
      </c>
      <c r="D1573" s="32" t="s">
        <v>184</v>
      </c>
      <c r="E1573" s="32" t="s">
        <v>234</v>
      </c>
      <c r="F1573" s="32" t="s">
        <v>222</v>
      </c>
      <c r="G1573" s="32" t="s">
        <v>415</v>
      </c>
      <c r="H1573" s="32" t="s">
        <v>243</v>
      </c>
    </row>
    <row r="1574" ht="16.5" customHeight="1">
      <c r="A1574" s="32">
        <v>1570.0</v>
      </c>
      <c r="C1574" s="32" t="s">
        <v>2138</v>
      </c>
      <c r="D1574" s="32" t="s">
        <v>184</v>
      </c>
      <c r="E1574" s="32" t="s">
        <v>234</v>
      </c>
      <c r="F1574" s="32" t="s">
        <v>222</v>
      </c>
      <c r="G1574" s="32" t="s">
        <v>415</v>
      </c>
      <c r="H1574" s="32" t="s">
        <v>243</v>
      </c>
    </row>
    <row r="1575" ht="16.5" customHeight="1">
      <c r="A1575" s="32">
        <v>1571.0</v>
      </c>
      <c r="C1575" s="32" t="s">
        <v>2139</v>
      </c>
      <c r="D1575" s="32" t="s">
        <v>184</v>
      </c>
      <c r="E1575" s="32" t="s">
        <v>234</v>
      </c>
      <c r="F1575" s="32" t="s">
        <v>222</v>
      </c>
    </row>
    <row r="1576" ht="16.5" customHeight="1">
      <c r="A1576" s="32">
        <v>1572.0</v>
      </c>
      <c r="C1576" s="32" t="s">
        <v>2140</v>
      </c>
      <c r="D1576" s="32" t="s">
        <v>184</v>
      </c>
      <c r="E1576" s="32" t="s">
        <v>234</v>
      </c>
      <c r="F1576" s="32" t="s">
        <v>222</v>
      </c>
      <c r="G1576" s="32" t="s">
        <v>235</v>
      </c>
      <c r="H1576" s="32" t="s">
        <v>243</v>
      </c>
    </row>
    <row r="1577" ht="16.5" customHeight="1">
      <c r="A1577" s="32">
        <v>1573.0</v>
      </c>
      <c r="C1577" s="32" t="s">
        <v>2141</v>
      </c>
      <c r="D1577" s="32" t="s">
        <v>184</v>
      </c>
      <c r="E1577" s="32" t="s">
        <v>234</v>
      </c>
      <c r="F1577" s="32" t="s">
        <v>222</v>
      </c>
      <c r="G1577" s="32" t="s">
        <v>415</v>
      </c>
      <c r="H1577" s="32" t="s">
        <v>243</v>
      </c>
    </row>
    <row r="1578" ht="16.5" customHeight="1">
      <c r="A1578" s="32">
        <v>1574.0</v>
      </c>
      <c r="C1578" s="32" t="s">
        <v>2142</v>
      </c>
      <c r="D1578" s="32" t="s">
        <v>184</v>
      </c>
      <c r="E1578" s="32" t="s">
        <v>234</v>
      </c>
      <c r="F1578" s="35" t="s">
        <v>1929</v>
      </c>
    </row>
    <row r="1579" ht="16.5" customHeight="1">
      <c r="A1579" s="32">
        <v>1575.0</v>
      </c>
      <c r="C1579" s="32" t="s">
        <v>2143</v>
      </c>
      <c r="D1579" s="32" t="s">
        <v>184</v>
      </c>
      <c r="E1579" s="32" t="s">
        <v>228</v>
      </c>
      <c r="F1579" s="32" t="s">
        <v>222</v>
      </c>
      <c r="G1579" s="32" t="s">
        <v>229</v>
      </c>
      <c r="H1579" s="32" t="s">
        <v>244</v>
      </c>
    </row>
    <row r="1580" ht="16.5" customHeight="1">
      <c r="A1580" s="32">
        <v>1576.0</v>
      </c>
      <c r="C1580" s="32" t="s">
        <v>2144</v>
      </c>
      <c r="D1580" s="32" t="s">
        <v>184</v>
      </c>
      <c r="E1580" s="32" t="s">
        <v>228</v>
      </c>
      <c r="F1580" s="32" t="s">
        <v>222</v>
      </c>
    </row>
    <row r="1581" ht="16.5" customHeight="1">
      <c r="A1581" s="32">
        <v>1577.0</v>
      </c>
      <c r="C1581" s="32" t="s">
        <v>2145</v>
      </c>
      <c r="D1581" s="32" t="s">
        <v>184</v>
      </c>
      <c r="E1581" s="32" t="s">
        <v>228</v>
      </c>
      <c r="F1581" s="32" t="s">
        <v>222</v>
      </c>
      <c r="G1581" s="32" t="s">
        <v>408</v>
      </c>
      <c r="H1581" s="32" t="s">
        <v>452</v>
      </c>
    </row>
    <row r="1582" ht="16.5" customHeight="1">
      <c r="A1582" s="32">
        <v>1578.0</v>
      </c>
      <c r="C1582" s="32" t="s">
        <v>2146</v>
      </c>
      <c r="D1582" s="32" t="s">
        <v>184</v>
      </c>
      <c r="E1582" s="32" t="s">
        <v>228</v>
      </c>
      <c r="F1582" s="32" t="s">
        <v>222</v>
      </c>
      <c r="G1582" s="32" t="s">
        <v>1997</v>
      </c>
      <c r="H1582" s="32" t="s">
        <v>2147</v>
      </c>
    </row>
    <row r="1583" ht="16.5" customHeight="1">
      <c r="A1583" s="32">
        <v>1579.0</v>
      </c>
      <c r="C1583" s="32" t="s">
        <v>2148</v>
      </c>
      <c r="D1583" s="32" t="s">
        <v>184</v>
      </c>
      <c r="E1583" s="32" t="s">
        <v>234</v>
      </c>
      <c r="F1583" s="32" t="s">
        <v>222</v>
      </c>
      <c r="G1583" s="32" t="s">
        <v>415</v>
      </c>
      <c r="H1583" s="32" t="s">
        <v>2149</v>
      </c>
    </row>
    <row r="1584" ht="16.5" customHeight="1">
      <c r="A1584" s="32">
        <v>1580.0</v>
      </c>
      <c r="C1584" s="32" t="s">
        <v>2150</v>
      </c>
      <c r="D1584" s="32" t="s">
        <v>184</v>
      </c>
      <c r="E1584" s="32" t="s">
        <v>192</v>
      </c>
      <c r="F1584" s="32" t="s">
        <v>222</v>
      </c>
      <c r="G1584" s="32" t="s">
        <v>329</v>
      </c>
      <c r="H1584" s="32" t="s">
        <v>194</v>
      </c>
    </row>
    <row r="1585" ht="16.5" customHeight="1">
      <c r="A1585" s="32">
        <v>1581.0</v>
      </c>
      <c r="C1585" s="32" t="s">
        <v>2151</v>
      </c>
      <c r="D1585" s="32" t="s">
        <v>184</v>
      </c>
      <c r="E1585" s="32" t="s">
        <v>192</v>
      </c>
      <c r="F1585" s="32" t="s">
        <v>186</v>
      </c>
      <c r="G1585" s="32" t="s">
        <v>570</v>
      </c>
      <c r="H1585" s="32" t="s">
        <v>447</v>
      </c>
    </row>
    <row r="1586" ht="16.5" customHeight="1">
      <c r="A1586" s="32">
        <v>1582.0</v>
      </c>
      <c r="C1586" s="32" t="s">
        <v>2152</v>
      </c>
      <c r="D1586" s="32" t="s">
        <v>184</v>
      </c>
      <c r="E1586" s="32" t="s">
        <v>234</v>
      </c>
      <c r="F1586" s="32" t="s">
        <v>222</v>
      </c>
      <c r="G1586" s="32" t="s">
        <v>885</v>
      </c>
      <c r="H1586" s="32" t="s">
        <v>415</v>
      </c>
    </row>
    <row r="1587" ht="16.5" customHeight="1">
      <c r="A1587" s="32">
        <v>1583.0</v>
      </c>
      <c r="C1587" s="32" t="s">
        <v>2153</v>
      </c>
      <c r="D1587" s="32" t="s">
        <v>184</v>
      </c>
      <c r="E1587" s="32" t="s">
        <v>228</v>
      </c>
      <c r="F1587" s="32" t="s">
        <v>222</v>
      </c>
    </row>
    <row r="1588" ht="16.5" customHeight="1">
      <c r="A1588" s="32">
        <v>1584.0</v>
      </c>
      <c r="C1588" s="32" t="s">
        <v>2154</v>
      </c>
      <c r="D1588" s="32" t="s">
        <v>184</v>
      </c>
      <c r="E1588" s="32" t="s">
        <v>192</v>
      </c>
      <c r="F1588" s="32" t="s">
        <v>222</v>
      </c>
      <c r="G1588" s="32" t="s">
        <v>238</v>
      </c>
      <c r="H1588" s="32" t="s">
        <v>239</v>
      </c>
    </row>
    <row r="1589" ht="16.5" customHeight="1">
      <c r="A1589" s="32">
        <v>1585.0</v>
      </c>
      <c r="C1589" s="32" t="s">
        <v>2155</v>
      </c>
      <c r="D1589" s="32" t="s">
        <v>184</v>
      </c>
      <c r="E1589" s="32" t="s">
        <v>192</v>
      </c>
      <c r="F1589" s="32" t="s">
        <v>222</v>
      </c>
      <c r="G1589" s="32" t="s">
        <v>238</v>
      </c>
      <c r="H1589" s="32" t="s">
        <v>239</v>
      </c>
    </row>
    <row r="1590" ht="16.5" customHeight="1">
      <c r="A1590" s="32">
        <v>1586.0</v>
      </c>
      <c r="C1590" s="32" t="s">
        <v>2156</v>
      </c>
      <c r="D1590" s="32" t="s">
        <v>184</v>
      </c>
      <c r="E1590" s="32" t="s">
        <v>219</v>
      </c>
      <c r="F1590" s="32" t="s">
        <v>222</v>
      </c>
      <c r="G1590" s="32" t="s">
        <v>415</v>
      </c>
      <c r="H1590" s="32" t="s">
        <v>243</v>
      </c>
    </row>
    <row r="1591" ht="16.5" customHeight="1">
      <c r="A1591" s="32">
        <v>1587.0</v>
      </c>
      <c r="C1591" s="32" t="s">
        <v>2157</v>
      </c>
      <c r="D1591" s="32" t="s">
        <v>184</v>
      </c>
      <c r="E1591" s="32" t="s">
        <v>228</v>
      </c>
      <c r="F1591" s="32" t="s">
        <v>222</v>
      </c>
      <c r="G1591" s="32" t="s">
        <v>408</v>
      </c>
      <c r="H1591" s="32" t="s">
        <v>731</v>
      </c>
    </row>
    <row r="1592" ht="16.5" customHeight="1">
      <c r="A1592" s="32">
        <v>1588.0</v>
      </c>
      <c r="C1592" s="32" t="s">
        <v>2158</v>
      </c>
      <c r="D1592" s="32" t="s">
        <v>184</v>
      </c>
      <c r="E1592" s="32" t="s">
        <v>219</v>
      </c>
      <c r="F1592" s="32" t="s">
        <v>222</v>
      </c>
      <c r="G1592" s="32" t="s">
        <v>223</v>
      </c>
    </row>
    <row r="1593" ht="16.5" customHeight="1">
      <c r="A1593" s="32">
        <v>1589.0</v>
      </c>
      <c r="C1593" s="32" t="s">
        <v>2159</v>
      </c>
      <c r="D1593" s="32" t="s">
        <v>184</v>
      </c>
      <c r="E1593" s="32" t="s">
        <v>219</v>
      </c>
      <c r="F1593" s="32" t="s">
        <v>222</v>
      </c>
      <c r="G1593" s="32" t="s">
        <v>223</v>
      </c>
    </row>
    <row r="1594" ht="16.5" customHeight="1">
      <c r="A1594" s="32">
        <v>1590.0</v>
      </c>
      <c r="C1594" s="32" t="s">
        <v>2160</v>
      </c>
      <c r="D1594" s="32" t="s">
        <v>184</v>
      </c>
      <c r="E1594" s="32" t="s">
        <v>234</v>
      </c>
      <c r="F1594" s="32" t="s">
        <v>222</v>
      </c>
      <c r="G1594" s="32" t="s">
        <v>415</v>
      </c>
      <c r="H1594" s="32" t="s">
        <v>236</v>
      </c>
    </row>
    <row r="1595" ht="16.5" customHeight="1">
      <c r="A1595" s="32">
        <v>1591.0</v>
      </c>
      <c r="C1595" s="32" t="s">
        <v>2161</v>
      </c>
      <c r="D1595" s="32" t="s">
        <v>184</v>
      </c>
      <c r="E1595" s="32" t="s">
        <v>219</v>
      </c>
      <c r="F1595" s="32" t="s">
        <v>222</v>
      </c>
      <c r="G1595" s="32" t="s">
        <v>223</v>
      </c>
    </row>
    <row r="1596" ht="16.5" customHeight="1">
      <c r="A1596" s="32">
        <v>1592.0</v>
      </c>
      <c r="C1596" s="32" t="s">
        <v>2162</v>
      </c>
      <c r="D1596" s="32" t="s">
        <v>184</v>
      </c>
      <c r="E1596" s="32" t="s">
        <v>219</v>
      </c>
      <c r="F1596" s="32" t="s">
        <v>222</v>
      </c>
      <c r="G1596" s="32" t="s">
        <v>223</v>
      </c>
    </row>
    <row r="1597" ht="16.5" customHeight="1">
      <c r="A1597" s="32">
        <v>1593.0</v>
      </c>
      <c r="C1597" s="32" t="s">
        <v>2163</v>
      </c>
      <c r="D1597" s="32" t="s">
        <v>184</v>
      </c>
      <c r="E1597" s="32" t="s">
        <v>228</v>
      </c>
      <c r="F1597" s="32" t="s">
        <v>222</v>
      </c>
      <c r="G1597" s="32" t="s">
        <v>229</v>
      </c>
      <c r="H1597" s="32" t="s">
        <v>244</v>
      </c>
    </row>
    <row r="1598" ht="16.5" customHeight="1">
      <c r="A1598" s="32">
        <v>1594.0</v>
      </c>
      <c r="C1598" s="32" t="s">
        <v>2164</v>
      </c>
      <c r="D1598" s="32" t="s">
        <v>184</v>
      </c>
      <c r="E1598" s="32" t="s">
        <v>228</v>
      </c>
      <c r="F1598" s="32" t="s">
        <v>222</v>
      </c>
      <c r="G1598" s="32" t="s">
        <v>2165</v>
      </c>
    </row>
    <row r="1599" ht="16.5" customHeight="1">
      <c r="A1599" s="32">
        <v>1595.0</v>
      </c>
      <c r="C1599" s="32" t="s">
        <v>2166</v>
      </c>
      <c r="D1599" s="32" t="s">
        <v>184</v>
      </c>
      <c r="E1599" s="32" t="s">
        <v>285</v>
      </c>
      <c r="F1599" s="32" t="s">
        <v>222</v>
      </c>
    </row>
    <row r="1600" ht="16.5" customHeight="1">
      <c r="A1600" s="32">
        <v>1596.0</v>
      </c>
      <c r="C1600" s="32" t="s">
        <v>2167</v>
      </c>
      <c r="D1600" s="32" t="s">
        <v>184</v>
      </c>
      <c r="E1600" s="32" t="s">
        <v>228</v>
      </c>
      <c r="F1600" s="32" t="s">
        <v>222</v>
      </c>
      <c r="G1600" s="32" t="s">
        <v>2168</v>
      </c>
      <c r="H1600" s="32" t="s">
        <v>2169</v>
      </c>
    </row>
    <row r="1601" ht="16.5" customHeight="1">
      <c r="A1601" s="32">
        <v>1597.0</v>
      </c>
      <c r="C1601" s="32" t="s">
        <v>2170</v>
      </c>
      <c r="D1601" s="32" t="s">
        <v>184</v>
      </c>
      <c r="E1601" s="35" t="s">
        <v>691</v>
      </c>
      <c r="F1601" s="32" t="s">
        <v>222</v>
      </c>
      <c r="G1601" s="32" t="s">
        <v>2168</v>
      </c>
      <c r="H1601" s="32" t="s">
        <v>2169</v>
      </c>
    </row>
    <row r="1602" ht="16.5" customHeight="1">
      <c r="A1602" s="32">
        <v>1598.0</v>
      </c>
      <c r="C1602" s="32" t="s">
        <v>2171</v>
      </c>
      <c r="D1602" s="32" t="s">
        <v>184</v>
      </c>
      <c r="E1602" s="32" t="s">
        <v>185</v>
      </c>
      <c r="F1602" s="32" t="s">
        <v>222</v>
      </c>
    </row>
    <row r="1603" ht="16.5" customHeight="1">
      <c r="A1603" s="32">
        <v>1599.0</v>
      </c>
      <c r="C1603" s="32" t="s">
        <v>221</v>
      </c>
      <c r="D1603" s="32" t="s">
        <v>184</v>
      </c>
      <c r="E1603" s="32" t="s">
        <v>219</v>
      </c>
      <c r="F1603" s="32" t="s">
        <v>222</v>
      </c>
      <c r="G1603" s="32" t="s">
        <v>223</v>
      </c>
    </row>
    <row r="1604" ht="16.5" customHeight="1">
      <c r="A1604" s="32">
        <v>1600.0</v>
      </c>
      <c r="C1604" s="32" t="s">
        <v>2172</v>
      </c>
      <c r="D1604" s="32" t="s">
        <v>184</v>
      </c>
      <c r="E1604" s="32" t="s">
        <v>219</v>
      </c>
      <c r="F1604" s="32" t="s">
        <v>222</v>
      </c>
      <c r="G1604" s="32" t="s">
        <v>223</v>
      </c>
    </row>
    <row r="1605" ht="16.5" customHeight="1">
      <c r="A1605" s="32">
        <v>1601.0</v>
      </c>
      <c r="C1605" s="32" t="s">
        <v>2173</v>
      </c>
      <c r="D1605" s="32" t="s">
        <v>184</v>
      </c>
      <c r="E1605" s="32" t="s">
        <v>219</v>
      </c>
      <c r="F1605" s="32" t="s">
        <v>222</v>
      </c>
    </row>
    <row r="1606" ht="16.5" customHeight="1">
      <c r="A1606" s="32">
        <v>1602.0</v>
      </c>
      <c r="C1606" s="32" t="s">
        <v>2174</v>
      </c>
      <c r="D1606" s="32" t="s">
        <v>184</v>
      </c>
      <c r="E1606" s="32" t="s">
        <v>228</v>
      </c>
      <c r="F1606" s="32" t="s">
        <v>222</v>
      </c>
    </row>
    <row r="1607" ht="16.5" customHeight="1">
      <c r="A1607" s="32">
        <v>1603.0</v>
      </c>
      <c r="C1607" s="32" t="s">
        <v>2175</v>
      </c>
      <c r="D1607" s="32" t="s">
        <v>184</v>
      </c>
      <c r="E1607" s="32" t="s">
        <v>219</v>
      </c>
      <c r="F1607" s="32" t="s">
        <v>222</v>
      </c>
    </row>
    <row r="1608" ht="16.5" customHeight="1">
      <c r="A1608" s="32">
        <v>1604.0</v>
      </c>
      <c r="C1608" s="32" t="s">
        <v>2176</v>
      </c>
      <c r="D1608" s="32" t="s">
        <v>184</v>
      </c>
      <c r="E1608" s="35" t="s">
        <v>691</v>
      </c>
      <c r="F1608" s="32" t="s">
        <v>222</v>
      </c>
      <c r="G1608" s="32" t="s">
        <v>793</v>
      </c>
      <c r="H1608" s="32" t="s">
        <v>2177</v>
      </c>
    </row>
    <row r="1609" ht="16.5" customHeight="1">
      <c r="A1609" s="32">
        <v>1605.0</v>
      </c>
      <c r="C1609" s="32" t="s">
        <v>2178</v>
      </c>
      <c r="D1609" s="32" t="s">
        <v>184</v>
      </c>
      <c r="E1609" s="32" t="s">
        <v>285</v>
      </c>
      <c r="F1609" s="32" t="s">
        <v>222</v>
      </c>
    </row>
    <row r="1610" ht="16.5" customHeight="1">
      <c r="A1610" s="32">
        <v>1606.0</v>
      </c>
      <c r="C1610" s="32" t="s">
        <v>2179</v>
      </c>
      <c r="D1610" s="32" t="s">
        <v>184</v>
      </c>
      <c r="E1610" s="32" t="s">
        <v>285</v>
      </c>
      <c r="F1610" s="32" t="s">
        <v>222</v>
      </c>
    </row>
    <row r="1611" ht="16.5" customHeight="1">
      <c r="A1611" s="32">
        <v>1607.0</v>
      </c>
      <c r="C1611" s="32" t="s">
        <v>2180</v>
      </c>
      <c r="D1611" s="32" t="s">
        <v>184</v>
      </c>
      <c r="E1611" s="32" t="s">
        <v>285</v>
      </c>
      <c r="F1611" s="32" t="s">
        <v>222</v>
      </c>
    </row>
    <row r="1612" ht="16.5" customHeight="1">
      <c r="A1612" s="32">
        <v>1608.0</v>
      </c>
      <c r="C1612" s="32" t="s">
        <v>2181</v>
      </c>
      <c r="D1612" s="32" t="s">
        <v>184</v>
      </c>
      <c r="E1612" s="32" t="s">
        <v>228</v>
      </c>
      <c r="F1612" s="32" t="s">
        <v>222</v>
      </c>
      <c r="G1612" s="32" t="s">
        <v>544</v>
      </c>
      <c r="H1612" s="32" t="s">
        <v>545</v>
      </c>
    </row>
    <row r="1613" ht="16.5" customHeight="1">
      <c r="A1613" s="32">
        <v>1609.0</v>
      </c>
      <c r="C1613" s="32" t="s">
        <v>2182</v>
      </c>
      <c r="D1613" s="32" t="s">
        <v>184</v>
      </c>
      <c r="E1613" s="35" t="s">
        <v>294</v>
      </c>
      <c r="F1613" s="32" t="s">
        <v>222</v>
      </c>
      <c r="G1613" s="32" t="s">
        <v>189</v>
      </c>
      <c r="H1613" s="32" t="s">
        <v>2046</v>
      </c>
    </row>
    <row r="1614" ht="16.5" customHeight="1">
      <c r="A1614" s="32">
        <v>1610.0</v>
      </c>
      <c r="C1614" s="32" t="s">
        <v>2183</v>
      </c>
      <c r="D1614" s="32" t="s">
        <v>184</v>
      </c>
      <c r="E1614" s="32" t="s">
        <v>228</v>
      </c>
      <c r="F1614" s="32" t="s">
        <v>222</v>
      </c>
      <c r="G1614" s="32" t="s">
        <v>454</v>
      </c>
      <c r="H1614" s="32" t="s">
        <v>389</v>
      </c>
    </row>
    <row r="1615" ht="16.5" customHeight="1">
      <c r="A1615" s="32">
        <v>1611.0</v>
      </c>
      <c r="C1615" s="32" t="s">
        <v>2184</v>
      </c>
      <c r="D1615" s="32" t="s">
        <v>184</v>
      </c>
      <c r="E1615" s="32" t="s">
        <v>234</v>
      </c>
      <c r="F1615" s="32" t="s">
        <v>222</v>
      </c>
      <c r="G1615" s="32" t="s">
        <v>415</v>
      </c>
      <c r="H1615" s="32" t="s">
        <v>236</v>
      </c>
    </row>
    <row r="1616" ht="16.5" customHeight="1">
      <c r="A1616" s="32">
        <v>1612.0</v>
      </c>
      <c r="C1616" s="32" t="s">
        <v>2185</v>
      </c>
      <c r="D1616" s="32" t="s">
        <v>184</v>
      </c>
      <c r="E1616" s="32" t="s">
        <v>254</v>
      </c>
      <c r="F1616" s="32" t="s">
        <v>222</v>
      </c>
    </row>
    <row r="1617" ht="16.5" customHeight="1">
      <c r="A1617" s="32">
        <v>1613.0</v>
      </c>
      <c r="C1617" s="32" t="s">
        <v>95</v>
      </c>
      <c r="D1617" s="32" t="s">
        <v>184</v>
      </c>
      <c r="E1617" s="32" t="s">
        <v>185</v>
      </c>
      <c r="F1617" s="32" t="s">
        <v>222</v>
      </c>
      <c r="G1617" s="32" t="s">
        <v>189</v>
      </c>
      <c r="H1617" s="32" t="s">
        <v>190</v>
      </c>
    </row>
    <row r="1618" ht="16.5" customHeight="1">
      <c r="A1618" s="32">
        <v>1614.0</v>
      </c>
      <c r="C1618" s="32" t="s">
        <v>2186</v>
      </c>
      <c r="D1618" s="32" t="s">
        <v>184</v>
      </c>
      <c r="E1618" s="35" t="s">
        <v>294</v>
      </c>
      <c r="F1618" s="32" t="s">
        <v>222</v>
      </c>
      <c r="G1618" s="32" t="s">
        <v>189</v>
      </c>
      <c r="H1618" s="32" t="s">
        <v>190</v>
      </c>
    </row>
    <row r="1619" ht="16.5" customHeight="1">
      <c r="A1619" s="32">
        <v>1615.0</v>
      </c>
      <c r="C1619" s="32" t="s">
        <v>2187</v>
      </c>
      <c r="D1619" s="32" t="s">
        <v>184</v>
      </c>
      <c r="E1619" s="32" t="s">
        <v>285</v>
      </c>
      <c r="F1619" s="32" t="s">
        <v>222</v>
      </c>
      <c r="G1619" s="32" t="s">
        <v>189</v>
      </c>
      <c r="H1619" s="32" t="s">
        <v>190</v>
      </c>
    </row>
    <row r="1620" ht="16.5" customHeight="1">
      <c r="A1620" s="32">
        <v>1616.0</v>
      </c>
      <c r="C1620" s="32" t="s">
        <v>2188</v>
      </c>
      <c r="D1620" s="32" t="s">
        <v>184</v>
      </c>
      <c r="E1620" s="32" t="s">
        <v>219</v>
      </c>
      <c r="F1620" s="32" t="s">
        <v>222</v>
      </c>
    </row>
    <row r="1621" ht="16.5" customHeight="1">
      <c r="A1621" s="32">
        <v>1617.0</v>
      </c>
      <c r="C1621" s="32" t="s">
        <v>2189</v>
      </c>
      <c r="D1621" s="32" t="s">
        <v>184</v>
      </c>
      <c r="E1621" s="35" t="s">
        <v>294</v>
      </c>
      <c r="F1621" s="32" t="s">
        <v>222</v>
      </c>
    </row>
    <row r="1622" ht="16.5" customHeight="1">
      <c r="A1622" s="32">
        <v>1618.0</v>
      </c>
      <c r="C1622" s="32" t="s">
        <v>2190</v>
      </c>
      <c r="D1622" s="32" t="s">
        <v>184</v>
      </c>
      <c r="E1622" s="32" t="s">
        <v>219</v>
      </c>
      <c r="F1622" s="32" t="s">
        <v>222</v>
      </c>
      <c r="G1622" s="32" t="s">
        <v>223</v>
      </c>
    </row>
    <row r="1623" ht="16.5" customHeight="1">
      <c r="A1623" s="32">
        <v>1619.0</v>
      </c>
      <c r="C1623" s="32" t="s">
        <v>2191</v>
      </c>
      <c r="D1623" s="32" t="s">
        <v>184</v>
      </c>
      <c r="E1623" s="32" t="s">
        <v>219</v>
      </c>
      <c r="F1623" s="32" t="s">
        <v>222</v>
      </c>
      <c r="G1623" s="32" t="s">
        <v>223</v>
      </c>
    </row>
    <row r="1624" ht="16.5" customHeight="1">
      <c r="A1624" s="32">
        <v>1620.0</v>
      </c>
      <c r="C1624" s="32" t="s">
        <v>2192</v>
      </c>
      <c r="D1624" s="32" t="s">
        <v>184</v>
      </c>
      <c r="E1624" s="32" t="s">
        <v>219</v>
      </c>
      <c r="F1624" s="32" t="s">
        <v>222</v>
      </c>
      <c r="G1624" s="32" t="s">
        <v>223</v>
      </c>
    </row>
    <row r="1625" ht="16.5" customHeight="1">
      <c r="A1625" s="32">
        <v>1621.0</v>
      </c>
      <c r="C1625" s="32" t="s">
        <v>2193</v>
      </c>
      <c r="D1625" s="32" t="s">
        <v>184</v>
      </c>
      <c r="E1625" s="32" t="s">
        <v>192</v>
      </c>
      <c r="F1625" s="32" t="s">
        <v>222</v>
      </c>
      <c r="G1625" s="32" t="s">
        <v>329</v>
      </c>
      <c r="H1625" s="32" t="s">
        <v>357</v>
      </c>
    </row>
    <row r="1626" ht="16.5" customHeight="1">
      <c r="A1626" s="32">
        <v>1622.0</v>
      </c>
      <c r="C1626" s="32" t="s">
        <v>2194</v>
      </c>
      <c r="D1626" s="32" t="s">
        <v>184</v>
      </c>
      <c r="E1626" s="32" t="s">
        <v>219</v>
      </c>
      <c r="F1626" s="32" t="s">
        <v>222</v>
      </c>
      <c r="G1626" s="32" t="s">
        <v>223</v>
      </c>
      <c r="H1626" s="32" t="s">
        <v>472</v>
      </c>
    </row>
    <row r="1627" ht="16.5" customHeight="1">
      <c r="A1627" s="32">
        <v>1623.0</v>
      </c>
      <c r="C1627" s="32" t="s">
        <v>2195</v>
      </c>
      <c r="D1627" s="32" t="s">
        <v>184</v>
      </c>
      <c r="E1627" s="32" t="s">
        <v>219</v>
      </c>
      <c r="F1627" s="32" t="s">
        <v>222</v>
      </c>
    </row>
    <row r="1628" ht="16.5" customHeight="1">
      <c r="A1628" s="32">
        <v>1624.0</v>
      </c>
      <c r="C1628" s="32" t="s">
        <v>2196</v>
      </c>
      <c r="D1628" s="32" t="s">
        <v>184</v>
      </c>
      <c r="E1628" s="32" t="s">
        <v>192</v>
      </c>
      <c r="F1628" s="32" t="s">
        <v>222</v>
      </c>
      <c r="G1628" s="32" t="s">
        <v>2197</v>
      </c>
    </row>
    <row r="1629" ht="16.5" customHeight="1">
      <c r="A1629" s="32">
        <v>1625.0</v>
      </c>
      <c r="C1629" s="32" t="s">
        <v>2198</v>
      </c>
      <c r="D1629" s="32" t="s">
        <v>184</v>
      </c>
      <c r="E1629" s="32" t="s">
        <v>192</v>
      </c>
      <c r="F1629" s="32" t="s">
        <v>222</v>
      </c>
    </row>
    <row r="1630" ht="16.5" customHeight="1">
      <c r="A1630" s="32">
        <v>1626.0</v>
      </c>
      <c r="C1630" s="32" t="s">
        <v>2199</v>
      </c>
      <c r="D1630" s="32" t="s">
        <v>184</v>
      </c>
      <c r="E1630" s="32" t="s">
        <v>285</v>
      </c>
      <c r="F1630" s="32" t="s">
        <v>222</v>
      </c>
      <c r="G1630" s="32" t="s">
        <v>188</v>
      </c>
      <c r="H1630" s="32" t="s">
        <v>561</v>
      </c>
    </row>
    <row r="1631" ht="16.5" customHeight="1">
      <c r="A1631" s="32">
        <v>1627.0</v>
      </c>
      <c r="C1631" s="32" t="s">
        <v>2200</v>
      </c>
      <c r="D1631" s="32" t="s">
        <v>184</v>
      </c>
      <c r="E1631" s="32" t="s">
        <v>285</v>
      </c>
      <c r="F1631" s="32" t="s">
        <v>222</v>
      </c>
      <c r="G1631" s="32" t="s">
        <v>188</v>
      </c>
      <c r="H1631" s="32" t="s">
        <v>561</v>
      </c>
    </row>
    <row r="1632" ht="16.5" customHeight="1">
      <c r="A1632" s="32">
        <v>1628.0</v>
      </c>
      <c r="C1632" s="32" t="s">
        <v>2201</v>
      </c>
      <c r="D1632" s="32" t="s">
        <v>184</v>
      </c>
      <c r="E1632" s="32" t="s">
        <v>219</v>
      </c>
      <c r="F1632" s="32" t="s">
        <v>222</v>
      </c>
      <c r="G1632" s="32" t="s">
        <v>223</v>
      </c>
    </row>
    <row r="1633" ht="16.5" customHeight="1">
      <c r="A1633" s="32">
        <v>1629.0</v>
      </c>
      <c r="C1633" s="32" t="s">
        <v>2202</v>
      </c>
      <c r="D1633" s="32" t="s">
        <v>184</v>
      </c>
      <c r="E1633" s="32" t="s">
        <v>234</v>
      </c>
      <c r="F1633" s="32" t="s">
        <v>222</v>
      </c>
      <c r="G1633" s="32" t="s">
        <v>235</v>
      </c>
      <c r="H1633" s="32" t="s">
        <v>243</v>
      </c>
    </row>
    <row r="1634" ht="16.5" customHeight="1">
      <c r="A1634" s="32">
        <v>1630.0</v>
      </c>
      <c r="C1634" s="32" t="s">
        <v>2203</v>
      </c>
      <c r="D1634" s="32" t="s">
        <v>184</v>
      </c>
      <c r="E1634" s="32" t="s">
        <v>234</v>
      </c>
      <c r="F1634" s="32" t="s">
        <v>222</v>
      </c>
      <c r="G1634" s="32" t="s">
        <v>223</v>
      </c>
      <c r="H1634" s="32" t="s">
        <v>472</v>
      </c>
    </row>
    <row r="1635" ht="16.5" customHeight="1">
      <c r="A1635" s="32">
        <v>1631.0</v>
      </c>
      <c r="C1635" s="32" t="s">
        <v>2204</v>
      </c>
      <c r="D1635" s="32" t="s">
        <v>184</v>
      </c>
      <c r="E1635" s="32" t="s">
        <v>234</v>
      </c>
      <c r="F1635" s="32" t="s">
        <v>222</v>
      </c>
      <c r="G1635" s="32" t="s">
        <v>347</v>
      </c>
      <c r="H1635" s="32" t="s">
        <v>1884</v>
      </c>
    </row>
    <row r="1636" ht="16.5" customHeight="1">
      <c r="A1636" s="32">
        <v>1632.0</v>
      </c>
      <c r="C1636" s="32" t="s">
        <v>2205</v>
      </c>
      <c r="D1636" s="32" t="s">
        <v>184</v>
      </c>
      <c r="E1636" s="32" t="s">
        <v>285</v>
      </c>
      <c r="F1636" s="32" t="s">
        <v>222</v>
      </c>
      <c r="G1636" s="32" t="s">
        <v>188</v>
      </c>
      <c r="H1636" s="32" t="s">
        <v>368</v>
      </c>
    </row>
    <row r="1637" ht="16.5" customHeight="1">
      <c r="A1637" s="32">
        <v>1633.0</v>
      </c>
      <c r="C1637" s="32" t="s">
        <v>2206</v>
      </c>
      <c r="D1637" s="32" t="s">
        <v>184</v>
      </c>
      <c r="E1637" s="32" t="s">
        <v>234</v>
      </c>
      <c r="F1637" s="32" t="s">
        <v>222</v>
      </c>
      <c r="G1637" s="32" t="s">
        <v>235</v>
      </c>
      <c r="H1637" s="32" t="s">
        <v>243</v>
      </c>
    </row>
    <row r="1638" ht="16.5" customHeight="1">
      <c r="A1638" s="32">
        <v>1634.0</v>
      </c>
      <c r="C1638" s="32" t="s">
        <v>2207</v>
      </c>
      <c r="D1638" s="32" t="s">
        <v>184</v>
      </c>
      <c r="E1638" s="32" t="s">
        <v>234</v>
      </c>
      <c r="F1638" s="32" t="s">
        <v>222</v>
      </c>
      <c r="G1638" s="32" t="s">
        <v>235</v>
      </c>
      <c r="H1638" s="32" t="s">
        <v>243</v>
      </c>
    </row>
    <row r="1639" ht="16.5" customHeight="1">
      <c r="A1639" s="32">
        <v>1635.0</v>
      </c>
      <c r="C1639" s="32" t="s">
        <v>2208</v>
      </c>
      <c r="D1639" s="32" t="s">
        <v>184</v>
      </c>
      <c r="E1639" s="32" t="s">
        <v>234</v>
      </c>
      <c r="F1639" s="32" t="s">
        <v>222</v>
      </c>
    </row>
    <row r="1640" ht="16.5" customHeight="1">
      <c r="A1640" s="32">
        <v>1636.0</v>
      </c>
      <c r="C1640" s="32" t="s">
        <v>2209</v>
      </c>
      <c r="D1640" s="32" t="s">
        <v>184</v>
      </c>
      <c r="E1640" s="32" t="s">
        <v>228</v>
      </c>
      <c r="F1640" s="32" t="s">
        <v>222</v>
      </c>
      <c r="G1640" s="32" t="s">
        <v>408</v>
      </c>
      <c r="H1640" s="32" t="s">
        <v>452</v>
      </c>
    </row>
    <row r="1641" ht="16.5" customHeight="1">
      <c r="A1641" s="32">
        <v>1637.0</v>
      </c>
      <c r="C1641" s="32" t="s">
        <v>2210</v>
      </c>
      <c r="D1641" s="32" t="s">
        <v>184</v>
      </c>
      <c r="E1641" s="32" t="s">
        <v>228</v>
      </c>
      <c r="F1641" s="32" t="s">
        <v>222</v>
      </c>
      <c r="G1641" s="32" t="s">
        <v>408</v>
      </c>
      <c r="H1641" s="32" t="s">
        <v>731</v>
      </c>
    </row>
    <row r="1642" ht="16.5" customHeight="1">
      <c r="A1642" s="32">
        <v>1638.0</v>
      </c>
      <c r="C1642" s="32" t="s">
        <v>2211</v>
      </c>
      <c r="D1642" s="32" t="s">
        <v>184</v>
      </c>
      <c r="E1642" s="32" t="s">
        <v>234</v>
      </c>
      <c r="F1642" s="32" t="s">
        <v>222</v>
      </c>
      <c r="G1642" s="32" t="s">
        <v>235</v>
      </c>
      <c r="H1642" s="32" t="s">
        <v>243</v>
      </c>
    </row>
    <row r="1643" ht="16.5" customHeight="1">
      <c r="A1643" s="32">
        <v>1639.0</v>
      </c>
      <c r="C1643" s="32" t="s">
        <v>2212</v>
      </c>
      <c r="D1643" s="32" t="s">
        <v>184</v>
      </c>
      <c r="E1643" s="32" t="s">
        <v>234</v>
      </c>
      <c r="F1643" s="32" t="s">
        <v>222</v>
      </c>
    </row>
    <row r="1644" ht="16.5" customHeight="1">
      <c r="A1644" s="32">
        <v>1640.0</v>
      </c>
      <c r="C1644" s="32" t="s">
        <v>2213</v>
      </c>
      <c r="D1644" s="32" t="s">
        <v>184</v>
      </c>
      <c r="E1644" s="32" t="s">
        <v>234</v>
      </c>
      <c r="F1644" s="32" t="s">
        <v>222</v>
      </c>
      <c r="G1644" s="32" t="s">
        <v>235</v>
      </c>
      <c r="H1644" s="32" t="s">
        <v>243</v>
      </c>
    </row>
    <row r="1645" ht="16.5" customHeight="1">
      <c r="A1645" s="32">
        <v>1641.0</v>
      </c>
      <c r="C1645" s="32" t="s">
        <v>2214</v>
      </c>
      <c r="D1645" s="32" t="s">
        <v>184</v>
      </c>
      <c r="E1645" s="32" t="s">
        <v>219</v>
      </c>
      <c r="F1645" s="32" t="s">
        <v>222</v>
      </c>
      <c r="G1645" s="32" t="s">
        <v>223</v>
      </c>
    </row>
    <row r="1646" ht="16.5" customHeight="1">
      <c r="A1646" s="32">
        <v>1642.0</v>
      </c>
      <c r="C1646" s="32" t="s">
        <v>2215</v>
      </c>
      <c r="D1646" s="32" t="s">
        <v>184</v>
      </c>
      <c r="E1646" s="32" t="s">
        <v>219</v>
      </c>
      <c r="F1646" s="32" t="s">
        <v>222</v>
      </c>
    </row>
    <row r="1647" ht="16.5" customHeight="1">
      <c r="A1647" s="32">
        <v>1643.0</v>
      </c>
      <c r="C1647" s="32" t="s">
        <v>2216</v>
      </c>
      <c r="D1647" s="32" t="s">
        <v>184</v>
      </c>
      <c r="E1647" s="32" t="s">
        <v>228</v>
      </c>
      <c r="F1647" s="32" t="s">
        <v>222</v>
      </c>
      <c r="G1647" s="32" t="s">
        <v>408</v>
      </c>
      <c r="H1647" s="32" t="s">
        <v>452</v>
      </c>
    </row>
    <row r="1648" ht="16.5" customHeight="1">
      <c r="A1648" s="32">
        <v>1644.0</v>
      </c>
      <c r="C1648" s="32" t="s">
        <v>2216</v>
      </c>
      <c r="D1648" s="32" t="s">
        <v>184</v>
      </c>
      <c r="E1648" s="32" t="s">
        <v>228</v>
      </c>
      <c r="F1648" s="32" t="s">
        <v>222</v>
      </c>
      <c r="G1648" s="32" t="s">
        <v>408</v>
      </c>
      <c r="H1648" s="32" t="s">
        <v>452</v>
      </c>
    </row>
    <row r="1649" ht="16.5" customHeight="1">
      <c r="A1649" s="32">
        <v>1645.0</v>
      </c>
      <c r="C1649" s="32" t="s">
        <v>2217</v>
      </c>
      <c r="D1649" s="32" t="s">
        <v>184</v>
      </c>
      <c r="E1649" s="32" t="s">
        <v>219</v>
      </c>
      <c r="F1649" s="32" t="s">
        <v>222</v>
      </c>
      <c r="G1649" s="32" t="s">
        <v>223</v>
      </c>
    </row>
    <row r="1650" ht="16.5" customHeight="1">
      <c r="A1650" s="32">
        <v>1646.0</v>
      </c>
      <c r="C1650" s="32" t="s">
        <v>2218</v>
      </c>
      <c r="D1650" s="32" t="s">
        <v>184</v>
      </c>
      <c r="E1650" s="32" t="s">
        <v>219</v>
      </c>
      <c r="F1650" s="32" t="s">
        <v>222</v>
      </c>
      <c r="G1650" s="32" t="s">
        <v>223</v>
      </c>
    </row>
    <row r="1651" ht="16.5" customHeight="1">
      <c r="A1651" s="32">
        <v>1647.0</v>
      </c>
      <c r="C1651" s="32" t="s">
        <v>2219</v>
      </c>
      <c r="D1651" s="32" t="s">
        <v>184</v>
      </c>
      <c r="E1651" s="32" t="s">
        <v>214</v>
      </c>
      <c r="F1651" s="32" t="s">
        <v>222</v>
      </c>
      <c r="G1651" s="32" t="s">
        <v>720</v>
      </c>
    </row>
    <row r="1652" ht="16.5" customHeight="1">
      <c r="A1652" s="32">
        <v>1648.0</v>
      </c>
      <c r="C1652" s="32" t="s">
        <v>2220</v>
      </c>
      <c r="D1652" s="32" t="s">
        <v>184</v>
      </c>
      <c r="E1652" s="32" t="s">
        <v>214</v>
      </c>
      <c r="F1652" s="32" t="s">
        <v>222</v>
      </c>
    </row>
    <row r="1653" ht="16.5" customHeight="1">
      <c r="A1653" s="32">
        <v>1649.0</v>
      </c>
      <c r="C1653" s="32" t="s">
        <v>2221</v>
      </c>
      <c r="D1653" s="32" t="s">
        <v>184</v>
      </c>
      <c r="E1653" s="32" t="s">
        <v>234</v>
      </c>
      <c r="F1653" s="32" t="s">
        <v>222</v>
      </c>
      <c r="G1653" s="32" t="s">
        <v>347</v>
      </c>
      <c r="H1653" s="32" t="s">
        <v>2222</v>
      </c>
    </row>
    <row r="1654" ht="16.5" customHeight="1">
      <c r="A1654" s="32">
        <v>1650.0</v>
      </c>
      <c r="C1654" s="32" t="s">
        <v>2223</v>
      </c>
      <c r="D1654" s="32" t="s">
        <v>184</v>
      </c>
      <c r="E1654" s="32" t="s">
        <v>192</v>
      </c>
      <c r="F1654" s="32" t="s">
        <v>222</v>
      </c>
      <c r="G1654" s="32" t="s">
        <v>329</v>
      </c>
      <c r="H1654" s="32" t="s">
        <v>457</v>
      </c>
    </row>
    <row r="1655" ht="16.5" customHeight="1">
      <c r="A1655" s="32">
        <v>1651.0</v>
      </c>
      <c r="C1655" s="32" t="s">
        <v>2224</v>
      </c>
      <c r="D1655" s="32" t="s">
        <v>184</v>
      </c>
      <c r="E1655" s="32" t="s">
        <v>192</v>
      </c>
      <c r="F1655" s="32" t="s">
        <v>222</v>
      </c>
    </row>
    <row r="1656" ht="16.5" customHeight="1">
      <c r="A1656" s="32">
        <v>1652.0</v>
      </c>
      <c r="C1656" s="32" t="s">
        <v>2225</v>
      </c>
      <c r="D1656" s="32" t="s">
        <v>184</v>
      </c>
      <c r="E1656" s="32" t="s">
        <v>228</v>
      </c>
      <c r="F1656" s="32" t="s">
        <v>222</v>
      </c>
      <c r="G1656" s="32" t="s">
        <v>408</v>
      </c>
      <c r="H1656" s="32" t="s">
        <v>452</v>
      </c>
    </row>
    <row r="1657" ht="16.5" customHeight="1">
      <c r="A1657" s="32">
        <v>1653.0</v>
      </c>
      <c r="C1657" s="32" t="s">
        <v>2226</v>
      </c>
      <c r="D1657" s="32" t="s">
        <v>184</v>
      </c>
      <c r="E1657" s="32" t="s">
        <v>192</v>
      </c>
      <c r="F1657" s="32" t="s">
        <v>222</v>
      </c>
    </row>
    <row r="1658" ht="16.5" customHeight="1">
      <c r="A1658" s="32">
        <v>1654.0</v>
      </c>
      <c r="C1658" s="32" t="s">
        <v>2227</v>
      </c>
      <c r="D1658" s="32" t="s">
        <v>184</v>
      </c>
      <c r="E1658" s="32" t="s">
        <v>219</v>
      </c>
      <c r="F1658" s="32" t="s">
        <v>222</v>
      </c>
      <c r="G1658" s="32" t="s">
        <v>223</v>
      </c>
    </row>
    <row r="1659" ht="16.5" customHeight="1">
      <c r="A1659" s="32">
        <v>1655.0</v>
      </c>
      <c r="C1659" s="32" t="s">
        <v>2228</v>
      </c>
      <c r="D1659" s="32" t="s">
        <v>184</v>
      </c>
      <c r="E1659" s="32" t="s">
        <v>219</v>
      </c>
      <c r="F1659" s="32" t="s">
        <v>222</v>
      </c>
    </row>
    <row r="1660" ht="16.5" customHeight="1">
      <c r="A1660" s="32">
        <v>1656.0</v>
      </c>
      <c r="C1660" s="32" t="s">
        <v>2229</v>
      </c>
      <c r="D1660" s="32" t="s">
        <v>184</v>
      </c>
      <c r="E1660" s="32" t="s">
        <v>214</v>
      </c>
      <c r="F1660" s="32" t="s">
        <v>222</v>
      </c>
    </row>
    <row r="1661" ht="16.5" customHeight="1">
      <c r="A1661" s="32">
        <v>1657.0</v>
      </c>
      <c r="C1661" s="32" t="s">
        <v>2230</v>
      </c>
      <c r="D1661" s="32" t="s">
        <v>184</v>
      </c>
      <c r="E1661" s="32" t="s">
        <v>214</v>
      </c>
      <c r="F1661" s="32" t="s">
        <v>222</v>
      </c>
    </row>
    <row r="1662" ht="16.5" customHeight="1">
      <c r="A1662" s="32">
        <v>1658.0</v>
      </c>
      <c r="C1662" s="32" t="s">
        <v>2231</v>
      </c>
      <c r="D1662" s="32" t="s">
        <v>184</v>
      </c>
      <c r="E1662" s="32" t="s">
        <v>219</v>
      </c>
      <c r="F1662" s="32" t="s">
        <v>222</v>
      </c>
    </row>
    <row r="1663" ht="16.5" customHeight="1">
      <c r="A1663" s="32">
        <v>1659.0</v>
      </c>
      <c r="C1663" s="32" t="s">
        <v>2232</v>
      </c>
      <c r="D1663" s="32" t="s">
        <v>184</v>
      </c>
      <c r="E1663" s="32" t="s">
        <v>214</v>
      </c>
      <c r="F1663" s="32" t="s">
        <v>222</v>
      </c>
      <c r="G1663" s="32" t="s">
        <v>216</v>
      </c>
      <c r="H1663" s="32" t="s">
        <v>2003</v>
      </c>
    </row>
    <row r="1664" ht="16.5" customHeight="1">
      <c r="A1664" s="32">
        <v>1660.0</v>
      </c>
      <c r="C1664" s="32" t="s">
        <v>2233</v>
      </c>
      <c r="D1664" s="32" t="s">
        <v>184</v>
      </c>
      <c r="E1664" s="32" t="s">
        <v>214</v>
      </c>
      <c r="F1664" s="32" t="s">
        <v>222</v>
      </c>
      <c r="G1664" s="32" t="s">
        <v>216</v>
      </c>
      <c r="H1664" s="32" t="s">
        <v>2003</v>
      </c>
    </row>
    <row r="1665" ht="16.5" customHeight="1">
      <c r="A1665" s="32">
        <v>1661.0</v>
      </c>
      <c r="C1665" s="32" t="s">
        <v>2234</v>
      </c>
      <c r="D1665" s="32" t="s">
        <v>184</v>
      </c>
      <c r="E1665" s="32" t="s">
        <v>219</v>
      </c>
      <c r="F1665" s="32" t="s">
        <v>222</v>
      </c>
      <c r="G1665" s="32" t="s">
        <v>223</v>
      </c>
    </row>
    <row r="1666" ht="16.5" customHeight="1">
      <c r="A1666" s="32">
        <v>1662.0</v>
      </c>
      <c r="C1666" s="32" t="s">
        <v>2235</v>
      </c>
      <c r="D1666" s="32" t="s">
        <v>184</v>
      </c>
      <c r="E1666" s="32" t="s">
        <v>219</v>
      </c>
      <c r="F1666" s="32" t="s">
        <v>222</v>
      </c>
      <c r="G1666" s="32" t="s">
        <v>223</v>
      </c>
    </row>
    <row r="1667" ht="16.5" customHeight="1">
      <c r="A1667" s="32">
        <v>1663.0</v>
      </c>
      <c r="C1667" s="32" t="s">
        <v>2235</v>
      </c>
      <c r="D1667" s="32" t="s">
        <v>184</v>
      </c>
      <c r="E1667" s="32" t="s">
        <v>219</v>
      </c>
      <c r="F1667" s="32" t="s">
        <v>222</v>
      </c>
      <c r="G1667" s="32" t="s">
        <v>223</v>
      </c>
    </row>
    <row r="1668" ht="16.5" customHeight="1">
      <c r="A1668" s="32">
        <v>1664.0</v>
      </c>
      <c r="C1668" s="32" t="s">
        <v>2236</v>
      </c>
      <c r="D1668" s="32" t="s">
        <v>184</v>
      </c>
      <c r="E1668" s="32" t="s">
        <v>219</v>
      </c>
      <c r="F1668" s="32" t="s">
        <v>222</v>
      </c>
      <c r="G1668" s="32" t="s">
        <v>223</v>
      </c>
    </row>
    <row r="1669" ht="16.5" customHeight="1">
      <c r="A1669" s="32">
        <v>1665.0</v>
      </c>
      <c r="C1669" s="32" t="s">
        <v>2237</v>
      </c>
      <c r="D1669" s="32" t="s">
        <v>184</v>
      </c>
      <c r="E1669" s="32" t="s">
        <v>219</v>
      </c>
      <c r="F1669" s="32" t="s">
        <v>222</v>
      </c>
    </row>
    <row r="1670" ht="16.5" customHeight="1">
      <c r="A1670" s="32">
        <v>1666.0</v>
      </c>
      <c r="C1670" s="32" t="s">
        <v>2238</v>
      </c>
      <c r="D1670" s="32" t="s">
        <v>184</v>
      </c>
      <c r="E1670" s="32" t="s">
        <v>192</v>
      </c>
      <c r="F1670" s="32" t="s">
        <v>222</v>
      </c>
      <c r="G1670" s="32" t="s">
        <v>329</v>
      </c>
      <c r="H1670" s="32" t="s">
        <v>447</v>
      </c>
    </row>
    <row r="1671" ht="16.5" customHeight="1">
      <c r="A1671" s="32">
        <v>1667.0</v>
      </c>
      <c r="C1671" s="32" t="s">
        <v>2239</v>
      </c>
      <c r="D1671" s="32" t="s">
        <v>184</v>
      </c>
      <c r="E1671" s="32" t="s">
        <v>254</v>
      </c>
      <c r="F1671" s="32" t="s">
        <v>222</v>
      </c>
    </row>
    <row r="1672" ht="16.5" customHeight="1">
      <c r="A1672" s="32">
        <v>1668.0</v>
      </c>
      <c r="C1672" s="32" t="s">
        <v>2240</v>
      </c>
      <c r="D1672" s="32" t="s">
        <v>184</v>
      </c>
      <c r="E1672" s="32" t="s">
        <v>285</v>
      </c>
      <c r="F1672" s="32" t="s">
        <v>222</v>
      </c>
      <c r="G1672" s="32" t="s">
        <v>552</v>
      </c>
      <c r="H1672" s="32" t="s">
        <v>553</v>
      </c>
    </row>
    <row r="1673" ht="16.5" customHeight="1">
      <c r="A1673" s="32">
        <v>1669.0</v>
      </c>
      <c r="C1673" s="32" t="s">
        <v>2241</v>
      </c>
      <c r="D1673" s="32" t="s">
        <v>184</v>
      </c>
      <c r="E1673" s="32" t="s">
        <v>219</v>
      </c>
      <c r="F1673" s="32" t="s">
        <v>222</v>
      </c>
      <c r="G1673" s="32" t="s">
        <v>223</v>
      </c>
    </row>
    <row r="1674" ht="16.5" customHeight="1">
      <c r="A1674" s="32">
        <v>1670.0</v>
      </c>
      <c r="C1674" s="32" t="s">
        <v>2242</v>
      </c>
      <c r="D1674" s="32" t="s">
        <v>184</v>
      </c>
      <c r="E1674" s="32" t="s">
        <v>234</v>
      </c>
      <c r="F1674" s="32" t="s">
        <v>222</v>
      </c>
      <c r="G1674" s="32" t="s">
        <v>347</v>
      </c>
      <c r="H1674" s="32" t="s">
        <v>420</v>
      </c>
    </row>
    <row r="1675" ht="16.5" customHeight="1">
      <c r="A1675" s="32">
        <v>1671.0</v>
      </c>
      <c r="C1675" s="32" t="s">
        <v>2243</v>
      </c>
      <c r="D1675" s="32" t="s">
        <v>184</v>
      </c>
      <c r="E1675" s="32" t="s">
        <v>228</v>
      </c>
      <c r="F1675" s="32" t="s">
        <v>222</v>
      </c>
      <c r="G1675" s="32" t="s">
        <v>408</v>
      </c>
      <c r="H1675" s="32" t="s">
        <v>2244</v>
      </c>
    </row>
    <row r="1676" ht="16.5" customHeight="1">
      <c r="A1676" s="32">
        <v>1672.0</v>
      </c>
      <c r="C1676" s="32" t="s">
        <v>2245</v>
      </c>
      <c r="D1676" s="32" t="s">
        <v>184</v>
      </c>
      <c r="E1676" s="32" t="s">
        <v>192</v>
      </c>
      <c r="F1676" s="32" t="s">
        <v>222</v>
      </c>
      <c r="G1676" s="32" t="s">
        <v>329</v>
      </c>
      <c r="H1676" s="32" t="s">
        <v>457</v>
      </c>
    </row>
    <row r="1677" ht="16.5" customHeight="1">
      <c r="A1677" s="32">
        <v>1673.0</v>
      </c>
      <c r="C1677" s="32" t="s">
        <v>2246</v>
      </c>
      <c r="D1677" s="32" t="s">
        <v>184</v>
      </c>
      <c r="E1677" s="32" t="s">
        <v>234</v>
      </c>
      <c r="F1677" s="32" t="s">
        <v>222</v>
      </c>
      <c r="G1677" s="32" t="s">
        <v>347</v>
      </c>
      <c r="H1677" s="32" t="s">
        <v>420</v>
      </c>
    </row>
    <row r="1678" ht="16.5" customHeight="1">
      <c r="A1678" s="32">
        <v>1674.0</v>
      </c>
      <c r="C1678" s="32" t="s">
        <v>2247</v>
      </c>
      <c r="D1678" s="32" t="s">
        <v>184</v>
      </c>
      <c r="E1678" s="32" t="s">
        <v>219</v>
      </c>
      <c r="F1678" s="32" t="s">
        <v>222</v>
      </c>
      <c r="G1678" s="32" t="s">
        <v>232</v>
      </c>
      <c r="H1678" s="32" t="s">
        <v>233</v>
      </c>
    </row>
    <row r="1679" ht="16.5" customHeight="1">
      <c r="A1679" s="32">
        <v>1675.0</v>
      </c>
      <c r="C1679" s="32" t="s">
        <v>2248</v>
      </c>
      <c r="D1679" s="32" t="s">
        <v>184</v>
      </c>
      <c r="E1679" s="32" t="s">
        <v>219</v>
      </c>
      <c r="F1679" s="35" t="s">
        <v>1929</v>
      </c>
    </row>
    <row r="1680" ht="16.5" customHeight="1">
      <c r="A1680" s="32">
        <v>1676.0</v>
      </c>
      <c r="C1680" s="32" t="s">
        <v>2249</v>
      </c>
      <c r="D1680" s="32" t="s">
        <v>184</v>
      </c>
      <c r="E1680" s="32" t="s">
        <v>234</v>
      </c>
      <c r="F1680" s="32" t="s">
        <v>222</v>
      </c>
      <c r="G1680" s="32" t="s">
        <v>347</v>
      </c>
      <c r="H1680" s="32" t="s">
        <v>382</v>
      </c>
    </row>
    <row r="1681" ht="16.5" customHeight="1">
      <c r="A1681" s="32">
        <v>1677.0</v>
      </c>
      <c r="C1681" s="32" t="s">
        <v>2250</v>
      </c>
      <c r="D1681" s="32" t="s">
        <v>184</v>
      </c>
      <c r="E1681" s="32" t="s">
        <v>234</v>
      </c>
      <c r="F1681" s="32" t="s">
        <v>222</v>
      </c>
      <c r="G1681" s="32" t="s">
        <v>235</v>
      </c>
      <c r="H1681" s="32" t="s">
        <v>236</v>
      </c>
    </row>
    <row r="1682" ht="16.5" customHeight="1">
      <c r="A1682" s="32">
        <v>1678.0</v>
      </c>
      <c r="C1682" s="32" t="s">
        <v>2251</v>
      </c>
      <c r="D1682" s="32" t="s">
        <v>184</v>
      </c>
      <c r="E1682" s="32" t="s">
        <v>234</v>
      </c>
      <c r="F1682" s="32" t="s">
        <v>222</v>
      </c>
      <c r="G1682" s="32" t="s">
        <v>347</v>
      </c>
      <c r="H1682" s="32" t="s">
        <v>420</v>
      </c>
    </row>
    <row r="1683" ht="16.5" customHeight="1">
      <c r="A1683" s="32">
        <v>1679.0</v>
      </c>
      <c r="C1683" s="32" t="s">
        <v>2252</v>
      </c>
      <c r="D1683" s="32" t="s">
        <v>184</v>
      </c>
      <c r="E1683" s="32" t="s">
        <v>219</v>
      </c>
      <c r="F1683" s="32" t="s">
        <v>222</v>
      </c>
    </row>
    <row r="1684" ht="16.5" customHeight="1">
      <c r="A1684" s="32">
        <v>1680.0</v>
      </c>
      <c r="C1684" s="32" t="s">
        <v>2253</v>
      </c>
      <c r="D1684" s="32" t="s">
        <v>184</v>
      </c>
      <c r="E1684" s="32" t="s">
        <v>219</v>
      </c>
      <c r="F1684" s="35" t="s">
        <v>1929</v>
      </c>
    </row>
    <row r="1685" ht="16.5" customHeight="1">
      <c r="A1685" s="32">
        <v>1681.0</v>
      </c>
      <c r="C1685" s="32" t="s">
        <v>2254</v>
      </c>
      <c r="D1685" s="32" t="s">
        <v>184</v>
      </c>
      <c r="E1685" s="32" t="s">
        <v>228</v>
      </c>
      <c r="F1685" s="32" t="s">
        <v>222</v>
      </c>
      <c r="G1685" s="32" t="s">
        <v>229</v>
      </c>
      <c r="H1685" s="32" t="s">
        <v>244</v>
      </c>
    </row>
    <row r="1686" ht="16.5" customHeight="1">
      <c r="A1686" s="32">
        <v>1682.0</v>
      </c>
      <c r="C1686" s="32" t="s">
        <v>2255</v>
      </c>
      <c r="D1686" s="32" t="s">
        <v>184</v>
      </c>
      <c r="E1686" s="32" t="s">
        <v>219</v>
      </c>
      <c r="F1686" s="32" t="s">
        <v>222</v>
      </c>
    </row>
    <row r="1687" ht="16.5" customHeight="1">
      <c r="A1687" s="32">
        <v>1683.0</v>
      </c>
      <c r="C1687" s="32" t="s">
        <v>2256</v>
      </c>
      <c r="D1687" s="32" t="s">
        <v>184</v>
      </c>
      <c r="E1687" s="32" t="s">
        <v>219</v>
      </c>
      <c r="F1687" s="32" t="s">
        <v>222</v>
      </c>
    </row>
    <row r="1688" ht="16.5" customHeight="1">
      <c r="A1688" s="32">
        <v>1684.0</v>
      </c>
      <c r="C1688" s="32" t="s">
        <v>2257</v>
      </c>
      <c r="D1688" s="32" t="s">
        <v>184</v>
      </c>
      <c r="E1688" s="32" t="s">
        <v>234</v>
      </c>
      <c r="F1688" s="32" t="s">
        <v>222</v>
      </c>
      <c r="G1688" s="32" t="s">
        <v>415</v>
      </c>
      <c r="H1688" s="32" t="s">
        <v>243</v>
      </c>
    </row>
    <row r="1689" ht="16.5" customHeight="1">
      <c r="A1689" s="32">
        <v>1685.0</v>
      </c>
      <c r="C1689" s="32" t="s">
        <v>2258</v>
      </c>
      <c r="D1689" s="32" t="s">
        <v>184</v>
      </c>
      <c r="E1689" s="32" t="s">
        <v>219</v>
      </c>
      <c r="F1689" s="32" t="s">
        <v>222</v>
      </c>
      <c r="G1689" s="32" t="s">
        <v>223</v>
      </c>
    </row>
    <row r="1690" ht="16.5" customHeight="1">
      <c r="A1690" s="32">
        <v>1686.0</v>
      </c>
      <c r="C1690" s="32" t="s">
        <v>2259</v>
      </c>
      <c r="D1690" s="32" t="s">
        <v>184</v>
      </c>
      <c r="E1690" s="32" t="s">
        <v>219</v>
      </c>
      <c r="F1690" s="32" t="s">
        <v>222</v>
      </c>
      <c r="G1690" s="32" t="s">
        <v>223</v>
      </c>
    </row>
    <row r="1691" ht="16.5" customHeight="1">
      <c r="A1691" s="32">
        <v>1687.0</v>
      </c>
      <c r="C1691" s="32" t="s">
        <v>2260</v>
      </c>
      <c r="D1691" s="32" t="s">
        <v>184</v>
      </c>
      <c r="E1691" s="32" t="s">
        <v>228</v>
      </c>
      <c r="F1691" s="32" t="s">
        <v>222</v>
      </c>
      <c r="G1691" s="32" t="s">
        <v>544</v>
      </c>
      <c r="H1691" s="32" t="s">
        <v>545</v>
      </c>
    </row>
    <row r="1692" ht="16.5" customHeight="1">
      <c r="A1692" s="32">
        <v>1688.0</v>
      </c>
      <c r="C1692" s="32" t="s">
        <v>2261</v>
      </c>
      <c r="D1692" s="32" t="s">
        <v>184</v>
      </c>
      <c r="E1692" s="32" t="s">
        <v>228</v>
      </c>
      <c r="F1692" s="32" t="s">
        <v>222</v>
      </c>
      <c r="G1692" s="32" t="s">
        <v>544</v>
      </c>
      <c r="H1692" s="32" t="s">
        <v>545</v>
      </c>
    </row>
    <row r="1693" ht="16.5" customHeight="1">
      <c r="A1693" s="32">
        <v>1689.0</v>
      </c>
      <c r="C1693" s="32" t="s">
        <v>2262</v>
      </c>
      <c r="D1693" s="32" t="s">
        <v>184</v>
      </c>
      <c r="E1693" s="32" t="s">
        <v>228</v>
      </c>
      <c r="F1693" s="32" t="s">
        <v>222</v>
      </c>
    </row>
    <row r="1694" ht="16.5" customHeight="1">
      <c r="A1694" s="32">
        <v>1690.0</v>
      </c>
      <c r="C1694" s="32" t="s">
        <v>2260</v>
      </c>
      <c r="D1694" s="32" t="s">
        <v>184</v>
      </c>
      <c r="E1694" s="32" t="s">
        <v>228</v>
      </c>
      <c r="F1694" s="32" t="s">
        <v>222</v>
      </c>
      <c r="G1694" s="32" t="s">
        <v>544</v>
      </c>
      <c r="H1694" s="32" t="s">
        <v>2135</v>
      </c>
    </row>
    <row r="1695" ht="16.5" customHeight="1">
      <c r="A1695" s="32">
        <v>1691.0</v>
      </c>
      <c r="C1695" s="32" t="s">
        <v>2263</v>
      </c>
      <c r="D1695" s="32" t="s">
        <v>184</v>
      </c>
      <c r="E1695" s="32" t="s">
        <v>234</v>
      </c>
      <c r="F1695" s="32" t="s">
        <v>222</v>
      </c>
      <c r="G1695" s="32" t="s">
        <v>235</v>
      </c>
      <c r="H1695" s="32" t="s">
        <v>236</v>
      </c>
    </row>
    <row r="1696" ht="16.5" customHeight="1">
      <c r="A1696" s="32">
        <v>1692.0</v>
      </c>
      <c r="C1696" s="32" t="s">
        <v>2264</v>
      </c>
      <c r="D1696" s="32" t="s">
        <v>184</v>
      </c>
      <c r="E1696" s="32" t="s">
        <v>285</v>
      </c>
      <c r="F1696" s="32" t="s">
        <v>222</v>
      </c>
      <c r="G1696" s="32" t="s">
        <v>189</v>
      </c>
      <c r="H1696" s="32" t="s">
        <v>190</v>
      </c>
    </row>
    <row r="1697" ht="16.5" customHeight="1">
      <c r="A1697" s="32">
        <v>1693.0</v>
      </c>
      <c r="C1697" s="32" t="s">
        <v>2265</v>
      </c>
      <c r="D1697" s="32" t="s">
        <v>184</v>
      </c>
      <c r="E1697" s="32" t="s">
        <v>234</v>
      </c>
      <c r="F1697" s="32" t="s">
        <v>222</v>
      </c>
      <c r="G1697" s="32" t="s">
        <v>235</v>
      </c>
      <c r="H1697" s="32" t="s">
        <v>2266</v>
      </c>
    </row>
    <row r="1698" ht="16.5" customHeight="1">
      <c r="A1698" s="32">
        <v>1694.0</v>
      </c>
      <c r="C1698" s="32" t="s">
        <v>2267</v>
      </c>
      <c r="D1698" s="32" t="s">
        <v>184</v>
      </c>
      <c r="E1698" s="32" t="s">
        <v>234</v>
      </c>
      <c r="F1698" s="32" t="s">
        <v>222</v>
      </c>
      <c r="G1698" s="32" t="s">
        <v>347</v>
      </c>
      <c r="H1698" s="32" t="s">
        <v>382</v>
      </c>
    </row>
    <row r="1699" ht="16.5" customHeight="1">
      <c r="A1699" s="32">
        <v>1695.0</v>
      </c>
      <c r="C1699" s="32" t="s">
        <v>2268</v>
      </c>
      <c r="D1699" s="32" t="s">
        <v>184</v>
      </c>
      <c r="E1699" s="32" t="s">
        <v>219</v>
      </c>
      <c r="F1699" s="32" t="s">
        <v>222</v>
      </c>
    </row>
    <row r="1700" ht="16.5" customHeight="1">
      <c r="A1700" s="32">
        <v>1696.0</v>
      </c>
      <c r="C1700" s="32" t="s">
        <v>2269</v>
      </c>
      <c r="D1700" s="32" t="s">
        <v>184</v>
      </c>
      <c r="E1700" s="32" t="s">
        <v>219</v>
      </c>
      <c r="F1700" s="32" t="s">
        <v>222</v>
      </c>
    </row>
    <row r="1701" ht="16.5" customHeight="1">
      <c r="A1701" s="32">
        <v>1697.0</v>
      </c>
      <c r="C1701" s="32" t="s">
        <v>2270</v>
      </c>
      <c r="D1701" s="32" t="s">
        <v>184</v>
      </c>
      <c r="E1701" s="32" t="s">
        <v>234</v>
      </c>
      <c r="F1701" s="32" t="s">
        <v>222</v>
      </c>
      <c r="G1701" s="32" t="s">
        <v>347</v>
      </c>
      <c r="H1701" s="32" t="s">
        <v>2222</v>
      </c>
    </row>
    <row r="1702" ht="16.5" customHeight="1">
      <c r="A1702" s="32">
        <v>1698.0</v>
      </c>
      <c r="C1702" s="32" t="s">
        <v>2271</v>
      </c>
      <c r="D1702" s="32" t="s">
        <v>184</v>
      </c>
      <c r="E1702" s="32" t="s">
        <v>214</v>
      </c>
      <c r="F1702" s="32" t="s">
        <v>222</v>
      </c>
      <c r="G1702" s="32" t="s">
        <v>604</v>
      </c>
    </row>
    <row r="1703" ht="16.5" customHeight="1">
      <c r="A1703" s="32">
        <v>1699.0</v>
      </c>
      <c r="C1703" s="32" t="s">
        <v>2272</v>
      </c>
      <c r="D1703" s="32" t="s">
        <v>184</v>
      </c>
      <c r="E1703" s="32" t="s">
        <v>214</v>
      </c>
      <c r="F1703" s="32" t="s">
        <v>222</v>
      </c>
    </row>
    <row r="1704" ht="16.5" customHeight="1">
      <c r="A1704" s="32">
        <v>1700.0</v>
      </c>
      <c r="C1704" s="32" t="s">
        <v>2273</v>
      </c>
      <c r="D1704" s="32" t="s">
        <v>184</v>
      </c>
      <c r="E1704" s="32" t="s">
        <v>228</v>
      </c>
      <c r="F1704" s="32" t="s">
        <v>222</v>
      </c>
      <c r="G1704" s="32" t="s">
        <v>408</v>
      </c>
      <c r="H1704" s="32" t="s">
        <v>452</v>
      </c>
    </row>
    <row r="1705" ht="16.5" customHeight="1">
      <c r="A1705" s="32">
        <v>1701.0</v>
      </c>
      <c r="C1705" s="32" t="s">
        <v>2274</v>
      </c>
      <c r="D1705" s="32" t="s">
        <v>184</v>
      </c>
      <c r="E1705" s="32" t="s">
        <v>228</v>
      </c>
      <c r="F1705" s="32" t="s">
        <v>222</v>
      </c>
    </row>
    <row r="1706" ht="16.5" customHeight="1">
      <c r="A1706" s="32">
        <v>1702.0</v>
      </c>
      <c r="C1706" s="32" t="s">
        <v>2275</v>
      </c>
      <c r="D1706" s="32" t="s">
        <v>184</v>
      </c>
      <c r="E1706" s="32" t="s">
        <v>228</v>
      </c>
      <c r="F1706" s="32" t="s">
        <v>222</v>
      </c>
      <c r="G1706" s="32" t="s">
        <v>408</v>
      </c>
      <c r="H1706" s="32" t="s">
        <v>452</v>
      </c>
    </row>
    <row r="1707" ht="16.5" customHeight="1">
      <c r="A1707" s="32">
        <v>1703.0</v>
      </c>
      <c r="C1707" s="32" t="s">
        <v>2276</v>
      </c>
      <c r="D1707" s="32" t="s">
        <v>184</v>
      </c>
      <c r="E1707" s="32" t="s">
        <v>234</v>
      </c>
      <c r="F1707" s="32" t="s">
        <v>222</v>
      </c>
    </row>
    <row r="1708" ht="16.5" customHeight="1">
      <c r="A1708" s="32">
        <v>1704.0</v>
      </c>
      <c r="C1708" s="32" t="s">
        <v>2277</v>
      </c>
      <c r="D1708" s="32" t="s">
        <v>184</v>
      </c>
      <c r="E1708" s="32" t="s">
        <v>214</v>
      </c>
      <c r="F1708" s="32" t="s">
        <v>222</v>
      </c>
      <c r="G1708" s="32" t="s">
        <v>216</v>
      </c>
      <c r="H1708" s="32" t="s">
        <v>217</v>
      </c>
    </row>
    <row r="1709" ht="16.5" customHeight="1">
      <c r="A1709" s="32">
        <v>1705.0</v>
      </c>
      <c r="C1709" s="32" t="s">
        <v>2278</v>
      </c>
      <c r="D1709" s="32" t="s">
        <v>184</v>
      </c>
      <c r="E1709" s="32" t="s">
        <v>219</v>
      </c>
      <c r="F1709" s="32" t="s">
        <v>222</v>
      </c>
    </row>
    <row r="1710" ht="16.5" customHeight="1">
      <c r="A1710" s="32">
        <v>1706.0</v>
      </c>
      <c r="C1710" s="32" t="s">
        <v>2279</v>
      </c>
      <c r="D1710" s="32" t="s">
        <v>184</v>
      </c>
      <c r="E1710" s="32" t="s">
        <v>192</v>
      </c>
      <c r="F1710" s="32" t="s">
        <v>222</v>
      </c>
      <c r="G1710" s="32" t="s">
        <v>329</v>
      </c>
      <c r="H1710" s="32" t="s">
        <v>457</v>
      </c>
    </row>
    <row r="1711" ht="16.5" customHeight="1">
      <c r="A1711" s="32">
        <v>1707.0</v>
      </c>
      <c r="C1711" s="32" t="s">
        <v>2280</v>
      </c>
      <c r="D1711" s="32" t="s">
        <v>184</v>
      </c>
      <c r="E1711" s="32" t="s">
        <v>219</v>
      </c>
      <c r="F1711" s="32" t="s">
        <v>222</v>
      </c>
    </row>
    <row r="1712" ht="16.5" customHeight="1">
      <c r="A1712" s="32">
        <v>1708.0</v>
      </c>
      <c r="C1712" s="32" t="s">
        <v>2281</v>
      </c>
      <c r="D1712" s="32" t="s">
        <v>184</v>
      </c>
      <c r="E1712" s="32" t="s">
        <v>219</v>
      </c>
      <c r="F1712" s="32" t="s">
        <v>222</v>
      </c>
    </row>
    <row r="1713" ht="16.5" customHeight="1">
      <c r="A1713" s="32">
        <v>1709.0</v>
      </c>
      <c r="C1713" s="32" t="s">
        <v>2282</v>
      </c>
      <c r="D1713" s="32" t="s">
        <v>184</v>
      </c>
      <c r="E1713" s="32" t="s">
        <v>214</v>
      </c>
      <c r="F1713" s="32" t="s">
        <v>222</v>
      </c>
      <c r="G1713" s="32" t="s">
        <v>604</v>
      </c>
    </row>
    <row r="1714" ht="16.5" customHeight="1">
      <c r="A1714" s="32">
        <v>1710.0</v>
      </c>
      <c r="C1714" s="32" t="s">
        <v>2283</v>
      </c>
      <c r="D1714" s="32" t="s">
        <v>184</v>
      </c>
      <c r="E1714" s="32" t="s">
        <v>214</v>
      </c>
      <c r="F1714" s="32" t="s">
        <v>222</v>
      </c>
    </row>
    <row r="1715" ht="16.5" customHeight="1">
      <c r="A1715" s="32">
        <v>1711.0</v>
      </c>
      <c r="C1715" s="32" t="s">
        <v>2284</v>
      </c>
      <c r="D1715" s="32" t="s">
        <v>184</v>
      </c>
      <c r="E1715" s="32" t="s">
        <v>228</v>
      </c>
      <c r="F1715" s="32" t="s">
        <v>222</v>
      </c>
      <c r="G1715" s="32" t="s">
        <v>229</v>
      </c>
      <c r="H1715" s="32" t="s">
        <v>626</v>
      </c>
    </row>
    <row r="1716" ht="16.5" customHeight="1">
      <c r="A1716" s="32">
        <v>1712.0</v>
      </c>
      <c r="C1716" s="32" t="s">
        <v>2285</v>
      </c>
      <c r="D1716" s="32" t="s">
        <v>184</v>
      </c>
      <c r="E1716" s="32" t="s">
        <v>228</v>
      </c>
      <c r="F1716" s="32" t="s">
        <v>222</v>
      </c>
      <c r="G1716" s="32" t="s">
        <v>229</v>
      </c>
      <c r="H1716" s="32" t="s">
        <v>626</v>
      </c>
    </row>
    <row r="1717" ht="16.5" customHeight="1">
      <c r="A1717" s="32">
        <v>1713.0</v>
      </c>
      <c r="C1717" s="32" t="s">
        <v>2286</v>
      </c>
      <c r="D1717" s="32" t="s">
        <v>184</v>
      </c>
      <c r="E1717" s="32" t="s">
        <v>228</v>
      </c>
      <c r="F1717" s="32" t="s">
        <v>222</v>
      </c>
      <c r="G1717" s="32" t="s">
        <v>229</v>
      </c>
      <c r="H1717" s="32" t="s">
        <v>626</v>
      </c>
    </row>
    <row r="1718" ht="16.5" customHeight="1">
      <c r="A1718" s="32">
        <v>1714.0</v>
      </c>
      <c r="C1718" s="32" t="s">
        <v>2287</v>
      </c>
      <c r="D1718" s="32" t="s">
        <v>184</v>
      </c>
      <c r="E1718" s="35" t="s">
        <v>691</v>
      </c>
      <c r="F1718" s="32" t="s">
        <v>222</v>
      </c>
      <c r="G1718" s="32" t="s">
        <v>2288</v>
      </c>
      <c r="H1718" s="32" t="s">
        <v>2289</v>
      </c>
    </row>
    <row r="1719" ht="16.5" customHeight="1">
      <c r="A1719" s="32">
        <v>1715.0</v>
      </c>
      <c r="C1719" s="32" t="s">
        <v>2290</v>
      </c>
      <c r="D1719" s="32" t="s">
        <v>184</v>
      </c>
      <c r="E1719" s="32" t="s">
        <v>219</v>
      </c>
      <c r="F1719" s="32" t="s">
        <v>222</v>
      </c>
    </row>
    <row r="1720" ht="16.5" customHeight="1">
      <c r="A1720" s="32">
        <v>1716.0</v>
      </c>
      <c r="C1720" s="32" t="s">
        <v>2291</v>
      </c>
      <c r="D1720" s="32" t="s">
        <v>184</v>
      </c>
      <c r="E1720" s="32" t="s">
        <v>219</v>
      </c>
      <c r="F1720" s="32" t="s">
        <v>222</v>
      </c>
    </row>
    <row r="1721" ht="16.5" customHeight="1">
      <c r="A1721" s="32">
        <v>1717.0</v>
      </c>
      <c r="C1721" s="32" t="s">
        <v>2292</v>
      </c>
      <c r="D1721" s="32" t="s">
        <v>184</v>
      </c>
      <c r="E1721" s="35" t="s">
        <v>691</v>
      </c>
      <c r="F1721" s="32" t="s">
        <v>222</v>
      </c>
    </row>
    <row r="1722" ht="16.5" customHeight="1">
      <c r="A1722" s="32">
        <v>1718.0</v>
      </c>
      <c r="C1722" s="32" t="s">
        <v>2293</v>
      </c>
      <c r="D1722" s="32" t="s">
        <v>184</v>
      </c>
      <c r="E1722" s="32" t="s">
        <v>219</v>
      </c>
      <c r="F1722" s="32" t="s">
        <v>222</v>
      </c>
    </row>
    <row r="1723" ht="16.5" customHeight="1">
      <c r="A1723" s="32">
        <v>1719.0</v>
      </c>
      <c r="C1723" s="32" t="s">
        <v>2294</v>
      </c>
      <c r="D1723" s="32" t="s">
        <v>184</v>
      </c>
      <c r="E1723" s="32" t="s">
        <v>219</v>
      </c>
      <c r="F1723" s="32" t="s">
        <v>222</v>
      </c>
      <c r="G1723" s="32" t="s">
        <v>223</v>
      </c>
    </row>
    <row r="1724" ht="16.5" customHeight="1">
      <c r="A1724" s="32">
        <v>1720.0</v>
      </c>
      <c r="C1724" s="32" t="s">
        <v>2295</v>
      </c>
      <c r="D1724" s="32" t="s">
        <v>184</v>
      </c>
      <c r="E1724" s="32" t="s">
        <v>219</v>
      </c>
      <c r="F1724" s="32" t="s">
        <v>222</v>
      </c>
      <c r="G1724" s="32" t="s">
        <v>223</v>
      </c>
    </row>
    <row r="1725" ht="16.5" customHeight="1">
      <c r="A1725" s="32">
        <v>1721.0</v>
      </c>
      <c r="C1725" s="32" t="s">
        <v>2296</v>
      </c>
      <c r="D1725" s="32" t="s">
        <v>184</v>
      </c>
      <c r="E1725" s="32" t="s">
        <v>219</v>
      </c>
      <c r="F1725" s="32" t="s">
        <v>222</v>
      </c>
    </row>
    <row r="1726" ht="16.5" customHeight="1">
      <c r="A1726" s="32">
        <v>1722.0</v>
      </c>
      <c r="C1726" s="32" t="s">
        <v>2297</v>
      </c>
      <c r="D1726" s="32" t="s">
        <v>184</v>
      </c>
      <c r="E1726" s="32" t="s">
        <v>228</v>
      </c>
      <c r="F1726" s="32" t="s">
        <v>222</v>
      </c>
      <c r="G1726" s="32" t="s">
        <v>544</v>
      </c>
      <c r="H1726" s="32" t="s">
        <v>2298</v>
      </c>
    </row>
    <row r="1727" ht="16.5" customHeight="1">
      <c r="A1727" s="32">
        <v>1723.0</v>
      </c>
      <c r="C1727" s="32" t="s">
        <v>2299</v>
      </c>
      <c r="D1727" s="32" t="s">
        <v>184</v>
      </c>
      <c r="E1727" s="32" t="s">
        <v>228</v>
      </c>
      <c r="F1727" s="32" t="s">
        <v>222</v>
      </c>
    </row>
    <row r="1728" ht="16.5" customHeight="1">
      <c r="A1728" s="32">
        <v>1724.0</v>
      </c>
      <c r="C1728" s="32" t="s">
        <v>2300</v>
      </c>
      <c r="D1728" s="32" t="s">
        <v>184</v>
      </c>
      <c r="E1728" s="32" t="s">
        <v>234</v>
      </c>
      <c r="F1728" s="32" t="s">
        <v>222</v>
      </c>
      <c r="G1728" s="32" t="s">
        <v>235</v>
      </c>
      <c r="H1728" s="32" t="s">
        <v>243</v>
      </c>
    </row>
    <row r="1729" ht="16.5" customHeight="1">
      <c r="A1729" s="32">
        <v>1725.0</v>
      </c>
      <c r="C1729" s="32" t="s">
        <v>2301</v>
      </c>
      <c r="D1729" s="32" t="s">
        <v>184</v>
      </c>
      <c r="E1729" s="32" t="s">
        <v>214</v>
      </c>
      <c r="F1729" s="32" t="s">
        <v>222</v>
      </c>
      <c r="G1729" s="32" t="s">
        <v>720</v>
      </c>
    </row>
    <row r="1730" ht="16.5" customHeight="1">
      <c r="A1730" s="32">
        <v>1726.0</v>
      </c>
      <c r="C1730" s="32" t="s">
        <v>2302</v>
      </c>
      <c r="D1730" s="32" t="s">
        <v>184</v>
      </c>
      <c r="E1730" s="32" t="s">
        <v>214</v>
      </c>
      <c r="F1730" s="32" t="s">
        <v>222</v>
      </c>
    </row>
    <row r="1731" ht="16.5" customHeight="1">
      <c r="A1731" s="32">
        <v>1727.0</v>
      </c>
      <c r="C1731" s="32" t="s">
        <v>2303</v>
      </c>
      <c r="D1731" s="32" t="s">
        <v>184</v>
      </c>
      <c r="E1731" s="32" t="s">
        <v>228</v>
      </c>
      <c r="F1731" s="32" t="s">
        <v>222</v>
      </c>
      <c r="G1731" s="32" t="s">
        <v>1997</v>
      </c>
      <c r="H1731" s="32" t="s">
        <v>731</v>
      </c>
    </row>
    <row r="1732" ht="16.5" customHeight="1">
      <c r="A1732" s="32">
        <v>1728.0</v>
      </c>
      <c r="C1732" s="32" t="s">
        <v>2304</v>
      </c>
      <c r="D1732" s="32" t="s">
        <v>184</v>
      </c>
      <c r="E1732" s="32" t="s">
        <v>219</v>
      </c>
      <c r="F1732" s="32" t="s">
        <v>222</v>
      </c>
      <c r="G1732" s="32" t="s">
        <v>241</v>
      </c>
      <c r="H1732" s="32" t="s">
        <v>2305</v>
      </c>
    </row>
    <row r="1733" ht="16.5" customHeight="1">
      <c r="A1733" s="32">
        <v>1729.0</v>
      </c>
      <c r="C1733" s="32" t="s">
        <v>2306</v>
      </c>
      <c r="D1733" s="32" t="s">
        <v>184</v>
      </c>
      <c r="E1733" s="32" t="s">
        <v>219</v>
      </c>
      <c r="F1733" s="32" t="s">
        <v>222</v>
      </c>
      <c r="G1733" s="32" t="s">
        <v>241</v>
      </c>
      <c r="H1733" s="32" t="s">
        <v>2305</v>
      </c>
    </row>
    <row r="1734" ht="16.5" customHeight="1">
      <c r="A1734" s="32">
        <v>1730.0</v>
      </c>
      <c r="C1734" s="32" t="s">
        <v>2307</v>
      </c>
      <c r="D1734" s="32" t="s">
        <v>184</v>
      </c>
      <c r="E1734" s="32" t="s">
        <v>234</v>
      </c>
      <c r="F1734" s="32" t="s">
        <v>222</v>
      </c>
      <c r="G1734" s="32" t="s">
        <v>347</v>
      </c>
      <c r="H1734" s="32" t="s">
        <v>420</v>
      </c>
    </row>
    <row r="1735" ht="16.5" customHeight="1">
      <c r="A1735" s="32">
        <v>1731.0</v>
      </c>
      <c r="C1735" s="32" t="s">
        <v>2308</v>
      </c>
      <c r="D1735" s="32" t="s">
        <v>184</v>
      </c>
      <c r="E1735" s="32" t="s">
        <v>285</v>
      </c>
      <c r="F1735" s="32" t="s">
        <v>222</v>
      </c>
      <c r="G1735" s="32" t="s">
        <v>552</v>
      </c>
      <c r="H1735" s="32" t="s">
        <v>553</v>
      </c>
    </row>
    <row r="1736" ht="16.5" customHeight="1">
      <c r="A1736" s="32">
        <v>1732.0</v>
      </c>
      <c r="C1736" s="32" t="s">
        <v>2309</v>
      </c>
      <c r="D1736" s="32" t="s">
        <v>184</v>
      </c>
      <c r="E1736" s="32" t="s">
        <v>214</v>
      </c>
      <c r="F1736" s="32" t="s">
        <v>222</v>
      </c>
      <c r="G1736" s="32" t="s">
        <v>216</v>
      </c>
    </row>
    <row r="1737" ht="16.5" customHeight="1">
      <c r="A1737" s="32">
        <v>1733.0</v>
      </c>
      <c r="C1737" s="32" t="s">
        <v>2310</v>
      </c>
      <c r="D1737" s="32" t="s">
        <v>184</v>
      </c>
      <c r="E1737" s="32" t="s">
        <v>214</v>
      </c>
      <c r="F1737" s="32" t="s">
        <v>222</v>
      </c>
    </row>
    <row r="1738" ht="16.5" customHeight="1">
      <c r="A1738" s="32">
        <v>1734.0</v>
      </c>
      <c r="C1738" s="32" t="s">
        <v>2311</v>
      </c>
      <c r="D1738" s="32" t="s">
        <v>184</v>
      </c>
      <c r="E1738" s="32" t="s">
        <v>214</v>
      </c>
      <c r="F1738" s="32" t="s">
        <v>222</v>
      </c>
      <c r="G1738" s="32" t="s">
        <v>216</v>
      </c>
    </row>
    <row r="1739" ht="16.5" customHeight="1">
      <c r="A1739" s="32">
        <v>1735.0</v>
      </c>
      <c r="C1739" s="32" t="s">
        <v>2312</v>
      </c>
      <c r="D1739" s="32" t="s">
        <v>184</v>
      </c>
      <c r="E1739" s="32" t="s">
        <v>214</v>
      </c>
      <c r="F1739" s="32" t="s">
        <v>222</v>
      </c>
    </row>
    <row r="1740" ht="16.5" customHeight="1">
      <c r="A1740" s="32">
        <v>1736.0</v>
      </c>
      <c r="C1740" s="32" t="s">
        <v>2313</v>
      </c>
      <c r="D1740" s="32" t="s">
        <v>184</v>
      </c>
      <c r="E1740" s="32" t="s">
        <v>214</v>
      </c>
      <c r="F1740" s="32" t="s">
        <v>222</v>
      </c>
      <c r="G1740" s="32" t="s">
        <v>720</v>
      </c>
    </row>
    <row r="1741" ht="16.5" customHeight="1">
      <c r="A1741" s="32">
        <v>1737.0</v>
      </c>
      <c r="C1741" s="32" t="s">
        <v>2314</v>
      </c>
      <c r="D1741" s="32" t="s">
        <v>184</v>
      </c>
      <c r="E1741" s="32" t="s">
        <v>214</v>
      </c>
      <c r="F1741" s="32" t="s">
        <v>222</v>
      </c>
      <c r="G1741" s="32" t="s">
        <v>604</v>
      </c>
    </row>
    <row r="1742" ht="16.5" customHeight="1">
      <c r="A1742" s="32">
        <v>1738.0</v>
      </c>
      <c r="C1742" s="32" t="s">
        <v>2315</v>
      </c>
      <c r="D1742" s="32" t="s">
        <v>184</v>
      </c>
      <c r="E1742" s="32" t="s">
        <v>214</v>
      </c>
      <c r="F1742" s="32" t="s">
        <v>222</v>
      </c>
    </row>
    <row r="1743" ht="16.5" customHeight="1">
      <c r="A1743" s="32">
        <v>1739.0</v>
      </c>
      <c r="C1743" s="32" t="s">
        <v>2316</v>
      </c>
      <c r="D1743" s="32" t="s">
        <v>184</v>
      </c>
      <c r="E1743" s="32" t="s">
        <v>214</v>
      </c>
      <c r="F1743" s="32" t="s">
        <v>222</v>
      </c>
      <c r="G1743" s="32" t="s">
        <v>720</v>
      </c>
    </row>
    <row r="1744" ht="16.5" customHeight="1">
      <c r="A1744" s="32">
        <v>1740.0</v>
      </c>
      <c r="C1744" s="32" t="s">
        <v>2317</v>
      </c>
      <c r="D1744" s="32" t="s">
        <v>184</v>
      </c>
      <c r="E1744" s="32" t="s">
        <v>214</v>
      </c>
      <c r="F1744" s="32" t="s">
        <v>222</v>
      </c>
    </row>
    <row r="1745" ht="16.5" customHeight="1">
      <c r="A1745" s="32">
        <v>1741.0</v>
      </c>
      <c r="C1745" s="32" t="s">
        <v>2318</v>
      </c>
      <c r="D1745" s="32" t="s">
        <v>184</v>
      </c>
      <c r="E1745" s="32" t="s">
        <v>214</v>
      </c>
      <c r="F1745" s="32" t="s">
        <v>222</v>
      </c>
    </row>
    <row r="1746" ht="16.5" customHeight="1">
      <c r="A1746" s="32">
        <v>1742.0</v>
      </c>
      <c r="C1746" s="32" t="s">
        <v>2319</v>
      </c>
      <c r="D1746" s="32" t="s">
        <v>184</v>
      </c>
      <c r="E1746" s="32" t="s">
        <v>214</v>
      </c>
      <c r="F1746" s="32" t="s">
        <v>222</v>
      </c>
      <c r="G1746" s="32" t="s">
        <v>604</v>
      </c>
    </row>
    <row r="1747" ht="16.5" customHeight="1">
      <c r="A1747" s="32">
        <v>1743.0</v>
      </c>
      <c r="C1747" s="32" t="s">
        <v>2320</v>
      </c>
      <c r="D1747" s="32" t="s">
        <v>184</v>
      </c>
      <c r="E1747" s="32" t="s">
        <v>214</v>
      </c>
      <c r="F1747" s="32" t="s">
        <v>222</v>
      </c>
      <c r="G1747" s="32" t="s">
        <v>720</v>
      </c>
    </row>
    <row r="1748" ht="16.5" customHeight="1">
      <c r="A1748" s="32">
        <v>1744.0</v>
      </c>
      <c r="C1748" s="32" t="s">
        <v>2321</v>
      </c>
      <c r="D1748" s="32" t="s">
        <v>184</v>
      </c>
      <c r="E1748" s="32" t="s">
        <v>285</v>
      </c>
      <c r="F1748" s="32" t="s">
        <v>222</v>
      </c>
    </row>
    <row r="1749" ht="16.5" customHeight="1">
      <c r="A1749" s="32">
        <v>1745.0</v>
      </c>
      <c r="C1749" s="32" t="s">
        <v>2322</v>
      </c>
      <c r="D1749" s="32" t="s">
        <v>184</v>
      </c>
      <c r="E1749" s="32" t="s">
        <v>285</v>
      </c>
      <c r="F1749" s="32" t="s">
        <v>222</v>
      </c>
    </row>
    <row r="1750" ht="16.5" customHeight="1">
      <c r="A1750" s="32">
        <v>1746.0</v>
      </c>
      <c r="C1750" s="32" t="s">
        <v>2323</v>
      </c>
      <c r="D1750" s="32" t="s">
        <v>184</v>
      </c>
      <c r="E1750" s="32" t="s">
        <v>285</v>
      </c>
      <c r="F1750" s="32" t="s">
        <v>222</v>
      </c>
    </row>
    <row r="1751" ht="16.5" customHeight="1">
      <c r="A1751" s="32">
        <v>1747.0</v>
      </c>
      <c r="C1751" s="32" t="s">
        <v>2324</v>
      </c>
      <c r="D1751" s="32" t="s">
        <v>184</v>
      </c>
      <c r="E1751" s="32" t="s">
        <v>254</v>
      </c>
      <c r="F1751" s="32" t="s">
        <v>222</v>
      </c>
      <c r="G1751" s="32" t="s">
        <v>256</v>
      </c>
      <c r="H1751" s="32" t="s">
        <v>257</v>
      </c>
    </row>
    <row r="1752" ht="16.5" customHeight="1">
      <c r="A1752" s="32">
        <v>1748.0</v>
      </c>
      <c r="C1752" s="32" t="s">
        <v>2325</v>
      </c>
      <c r="D1752" s="32" t="s">
        <v>184</v>
      </c>
      <c r="E1752" s="35" t="s">
        <v>294</v>
      </c>
      <c r="F1752" s="32" t="s">
        <v>222</v>
      </c>
      <c r="G1752" s="32" t="s">
        <v>189</v>
      </c>
      <c r="H1752" s="32" t="s">
        <v>190</v>
      </c>
    </row>
    <row r="1753" ht="16.5" customHeight="1">
      <c r="A1753" s="32">
        <v>1749.0</v>
      </c>
      <c r="C1753" s="32" t="s">
        <v>2326</v>
      </c>
      <c r="D1753" s="32" t="s">
        <v>184</v>
      </c>
      <c r="E1753" s="32" t="s">
        <v>192</v>
      </c>
      <c r="F1753" s="32" t="s">
        <v>222</v>
      </c>
      <c r="G1753" s="32" t="s">
        <v>329</v>
      </c>
      <c r="H1753" s="32" t="s">
        <v>457</v>
      </c>
    </row>
    <row r="1754" ht="16.5" customHeight="1">
      <c r="A1754" s="32">
        <v>1750.0</v>
      </c>
      <c r="C1754" s="32" t="s">
        <v>2327</v>
      </c>
      <c r="D1754" s="32" t="s">
        <v>184</v>
      </c>
      <c r="E1754" s="32" t="s">
        <v>192</v>
      </c>
      <c r="F1754" s="32" t="s">
        <v>222</v>
      </c>
      <c r="G1754" s="32" t="s">
        <v>570</v>
      </c>
      <c r="H1754" s="32" t="s">
        <v>447</v>
      </c>
    </row>
    <row r="1755" ht="16.5" customHeight="1">
      <c r="A1755" s="32">
        <v>1751.0</v>
      </c>
      <c r="C1755" s="32" t="s">
        <v>2328</v>
      </c>
      <c r="D1755" s="32" t="s">
        <v>184</v>
      </c>
      <c r="E1755" s="32" t="s">
        <v>219</v>
      </c>
      <c r="F1755" s="32" t="s">
        <v>222</v>
      </c>
      <c r="G1755" s="32" t="s">
        <v>415</v>
      </c>
      <c r="H1755" s="32" t="s">
        <v>2329</v>
      </c>
    </row>
    <row r="1756" ht="16.5" customHeight="1">
      <c r="A1756" s="32">
        <v>1752.0</v>
      </c>
      <c r="C1756" s="32" t="s">
        <v>2330</v>
      </c>
      <c r="D1756" s="32" t="s">
        <v>184</v>
      </c>
      <c r="E1756" s="32" t="s">
        <v>228</v>
      </c>
      <c r="F1756" s="32" t="s">
        <v>222</v>
      </c>
    </row>
    <row r="1757" ht="16.5" customHeight="1">
      <c r="A1757" s="32">
        <v>1753.0</v>
      </c>
      <c r="C1757" s="32" t="s">
        <v>2331</v>
      </c>
      <c r="D1757" s="32" t="s">
        <v>184</v>
      </c>
      <c r="E1757" s="32" t="s">
        <v>214</v>
      </c>
      <c r="F1757" s="32" t="s">
        <v>222</v>
      </c>
      <c r="G1757" s="32" t="s">
        <v>216</v>
      </c>
      <c r="H1757" s="32" t="s">
        <v>217</v>
      </c>
    </row>
    <row r="1758" ht="16.5" customHeight="1">
      <c r="A1758" s="32">
        <v>1754.0</v>
      </c>
      <c r="C1758" s="32" t="s">
        <v>2332</v>
      </c>
      <c r="D1758" s="32" t="s">
        <v>184</v>
      </c>
      <c r="E1758" s="32" t="s">
        <v>254</v>
      </c>
      <c r="F1758" s="32" t="s">
        <v>222</v>
      </c>
      <c r="G1758" s="32" t="s">
        <v>2333</v>
      </c>
      <c r="H1758" s="32" t="s">
        <v>2334</v>
      </c>
    </row>
    <row r="1759" ht="16.5" customHeight="1">
      <c r="A1759" s="32">
        <v>1755.0</v>
      </c>
      <c r="C1759" s="32" t="s">
        <v>2335</v>
      </c>
      <c r="D1759" s="32" t="s">
        <v>184</v>
      </c>
      <c r="E1759" s="32" t="s">
        <v>285</v>
      </c>
      <c r="F1759" s="32" t="s">
        <v>222</v>
      </c>
      <c r="G1759" s="32" t="s">
        <v>189</v>
      </c>
      <c r="H1759" s="32" t="s">
        <v>2046</v>
      </c>
    </row>
    <row r="1760" ht="16.5" customHeight="1">
      <c r="A1760" s="32">
        <v>1756.0</v>
      </c>
      <c r="C1760" s="32" t="s">
        <v>2336</v>
      </c>
      <c r="D1760" s="32" t="s">
        <v>184</v>
      </c>
      <c r="E1760" s="32" t="s">
        <v>228</v>
      </c>
      <c r="F1760" s="32" t="s">
        <v>222</v>
      </c>
    </row>
    <row r="1761" ht="16.5" customHeight="1">
      <c r="A1761" s="32">
        <v>1757.0</v>
      </c>
      <c r="C1761" s="32" t="s">
        <v>2337</v>
      </c>
      <c r="D1761" s="32" t="s">
        <v>184</v>
      </c>
      <c r="E1761" s="32" t="s">
        <v>764</v>
      </c>
      <c r="F1761" s="32" t="s">
        <v>222</v>
      </c>
    </row>
    <row r="1762" ht="16.5" customHeight="1">
      <c r="A1762" s="32">
        <v>1758.0</v>
      </c>
      <c r="C1762" s="32" t="s">
        <v>2338</v>
      </c>
      <c r="D1762" s="32" t="s">
        <v>184</v>
      </c>
      <c r="E1762" s="32" t="s">
        <v>764</v>
      </c>
      <c r="F1762" s="32" t="s">
        <v>222</v>
      </c>
    </row>
    <row r="1763" ht="16.5" customHeight="1">
      <c r="A1763" s="32">
        <v>1759.0</v>
      </c>
      <c r="C1763" s="32" t="s">
        <v>2339</v>
      </c>
      <c r="D1763" s="32" t="s">
        <v>184</v>
      </c>
      <c r="E1763" s="32" t="s">
        <v>219</v>
      </c>
      <c r="F1763" s="32" t="s">
        <v>222</v>
      </c>
      <c r="G1763" s="32" t="s">
        <v>232</v>
      </c>
      <c r="H1763" s="32" t="s">
        <v>292</v>
      </c>
    </row>
    <row r="1764" ht="16.5" customHeight="1">
      <c r="A1764" s="32">
        <v>1760.0</v>
      </c>
      <c r="C1764" s="32" t="s">
        <v>2340</v>
      </c>
      <c r="D1764" s="32" t="s">
        <v>184</v>
      </c>
      <c r="E1764" s="32" t="s">
        <v>219</v>
      </c>
      <c r="F1764" s="32" t="s">
        <v>222</v>
      </c>
      <c r="G1764" s="32" t="s">
        <v>232</v>
      </c>
      <c r="H1764" s="32" t="s">
        <v>233</v>
      </c>
    </row>
    <row r="1765" ht="16.5" customHeight="1">
      <c r="A1765" s="32">
        <v>1761.0</v>
      </c>
      <c r="C1765" s="32" t="s">
        <v>2341</v>
      </c>
      <c r="D1765" s="32" t="s">
        <v>184</v>
      </c>
      <c r="E1765" s="32" t="s">
        <v>219</v>
      </c>
      <c r="F1765" s="32" t="s">
        <v>222</v>
      </c>
      <c r="G1765" s="32" t="s">
        <v>232</v>
      </c>
      <c r="H1765" s="32" t="s">
        <v>233</v>
      </c>
    </row>
    <row r="1766" ht="16.5" customHeight="1">
      <c r="A1766" s="32">
        <v>1762.0</v>
      </c>
      <c r="C1766" s="32" t="s">
        <v>2342</v>
      </c>
      <c r="D1766" s="32" t="s">
        <v>184</v>
      </c>
      <c r="E1766" s="32" t="s">
        <v>219</v>
      </c>
      <c r="F1766" s="32" t="s">
        <v>222</v>
      </c>
      <c r="G1766" s="32" t="s">
        <v>232</v>
      </c>
      <c r="H1766" s="32" t="s">
        <v>233</v>
      </c>
    </row>
    <row r="1767" ht="16.5" customHeight="1">
      <c r="A1767" s="32">
        <v>1763.0</v>
      </c>
      <c r="C1767" s="32" t="s">
        <v>2343</v>
      </c>
      <c r="D1767" s="32" t="s">
        <v>184</v>
      </c>
      <c r="E1767" s="32" t="s">
        <v>219</v>
      </c>
      <c r="F1767" s="32" t="s">
        <v>222</v>
      </c>
      <c r="G1767" s="32" t="s">
        <v>232</v>
      </c>
      <c r="H1767" s="32" t="s">
        <v>233</v>
      </c>
    </row>
    <row r="1768" ht="16.5" customHeight="1">
      <c r="A1768" s="32">
        <v>1764.0</v>
      </c>
      <c r="C1768" s="32" t="s">
        <v>2344</v>
      </c>
      <c r="D1768" s="32" t="s">
        <v>184</v>
      </c>
      <c r="E1768" s="32" t="s">
        <v>234</v>
      </c>
      <c r="F1768" s="32" t="s">
        <v>222</v>
      </c>
      <c r="G1768" s="32" t="s">
        <v>347</v>
      </c>
      <c r="H1768" s="32" t="s">
        <v>382</v>
      </c>
    </row>
    <row r="1769" ht="16.5" customHeight="1">
      <c r="A1769" s="32">
        <v>1765.0</v>
      </c>
      <c r="C1769" s="32" t="s">
        <v>2345</v>
      </c>
      <c r="D1769" s="32" t="s">
        <v>184</v>
      </c>
      <c r="E1769" s="32" t="s">
        <v>234</v>
      </c>
      <c r="F1769" s="35" t="s">
        <v>1929</v>
      </c>
    </row>
    <row r="1770" ht="16.5" customHeight="1">
      <c r="A1770" s="32">
        <v>1766.0</v>
      </c>
      <c r="C1770" s="32" t="s">
        <v>2346</v>
      </c>
      <c r="D1770" s="32" t="s">
        <v>184</v>
      </c>
      <c r="E1770" s="35" t="s">
        <v>2347</v>
      </c>
      <c r="F1770" s="32" t="s">
        <v>222</v>
      </c>
      <c r="G1770" s="32" t="s">
        <v>2348</v>
      </c>
      <c r="H1770" s="32" t="s">
        <v>2349</v>
      </c>
    </row>
    <row r="1771" ht="16.5" customHeight="1">
      <c r="A1771" s="32">
        <v>1767.0</v>
      </c>
      <c r="C1771" s="32" t="s">
        <v>2350</v>
      </c>
      <c r="D1771" s="32" t="s">
        <v>184</v>
      </c>
      <c r="E1771" s="32" t="s">
        <v>219</v>
      </c>
      <c r="F1771" s="32" t="s">
        <v>222</v>
      </c>
      <c r="G1771" s="32" t="s">
        <v>223</v>
      </c>
    </row>
    <row r="1772" ht="16.5" customHeight="1">
      <c r="A1772" s="32">
        <v>1768.0</v>
      </c>
      <c r="C1772" s="32" t="s">
        <v>2351</v>
      </c>
      <c r="D1772" s="32" t="s">
        <v>184</v>
      </c>
      <c r="E1772" s="32" t="s">
        <v>219</v>
      </c>
      <c r="F1772" s="32" t="s">
        <v>222</v>
      </c>
      <c r="G1772" s="32" t="s">
        <v>223</v>
      </c>
    </row>
    <row r="1773" ht="16.5" customHeight="1">
      <c r="A1773" s="32">
        <v>1769.0</v>
      </c>
      <c r="C1773" s="32" t="s">
        <v>2352</v>
      </c>
      <c r="D1773" s="32" t="s">
        <v>184</v>
      </c>
      <c r="E1773" s="32" t="s">
        <v>192</v>
      </c>
      <c r="F1773" s="32" t="s">
        <v>222</v>
      </c>
      <c r="G1773" s="32" t="s">
        <v>329</v>
      </c>
      <c r="H1773" s="32" t="s">
        <v>457</v>
      </c>
    </row>
    <row r="1774" ht="16.5" customHeight="1">
      <c r="A1774" s="32">
        <v>1770.0</v>
      </c>
      <c r="C1774" s="32" t="s">
        <v>2353</v>
      </c>
      <c r="D1774" s="32" t="s">
        <v>184</v>
      </c>
      <c r="E1774" s="32" t="s">
        <v>192</v>
      </c>
      <c r="F1774" s="32" t="s">
        <v>222</v>
      </c>
      <c r="G1774" s="32" t="s">
        <v>329</v>
      </c>
      <c r="H1774" s="32" t="s">
        <v>457</v>
      </c>
    </row>
    <row r="1775" ht="16.5" customHeight="1">
      <c r="A1775" s="32">
        <v>1771.0</v>
      </c>
      <c r="C1775" s="32" t="s">
        <v>2354</v>
      </c>
      <c r="D1775" s="32" t="s">
        <v>184</v>
      </c>
      <c r="E1775" s="32" t="s">
        <v>228</v>
      </c>
      <c r="F1775" s="32" t="s">
        <v>222</v>
      </c>
    </row>
    <row r="1776" ht="16.5" customHeight="1">
      <c r="A1776" s="32">
        <v>1772.0</v>
      </c>
      <c r="C1776" s="32" t="s">
        <v>2355</v>
      </c>
      <c r="D1776" s="32" t="s">
        <v>184</v>
      </c>
      <c r="E1776" s="32" t="s">
        <v>219</v>
      </c>
      <c r="F1776" s="32" t="s">
        <v>222</v>
      </c>
      <c r="G1776" s="32" t="s">
        <v>232</v>
      </c>
      <c r="H1776" s="32" t="s">
        <v>233</v>
      </c>
    </row>
    <row r="1777" ht="16.5" customHeight="1">
      <c r="A1777" s="32">
        <v>1773.0</v>
      </c>
      <c r="C1777" s="32" t="s">
        <v>2356</v>
      </c>
      <c r="D1777" s="32" t="s">
        <v>184</v>
      </c>
      <c r="E1777" s="32" t="s">
        <v>219</v>
      </c>
      <c r="F1777" s="32" t="s">
        <v>222</v>
      </c>
      <c r="G1777" s="32" t="s">
        <v>241</v>
      </c>
      <c r="H1777" s="32" t="s">
        <v>292</v>
      </c>
    </row>
    <row r="1778" ht="16.5" customHeight="1">
      <c r="A1778" s="32">
        <v>1774.0</v>
      </c>
      <c r="C1778" s="32" t="s">
        <v>2357</v>
      </c>
      <c r="D1778" s="32" t="s">
        <v>184</v>
      </c>
      <c r="E1778" s="32" t="s">
        <v>219</v>
      </c>
      <c r="F1778" s="32" t="s">
        <v>222</v>
      </c>
      <c r="G1778" s="32" t="s">
        <v>216</v>
      </c>
      <c r="H1778" s="32" t="s">
        <v>217</v>
      </c>
    </row>
    <row r="1779" ht="16.5" customHeight="1">
      <c r="A1779" s="32">
        <v>1775.0</v>
      </c>
      <c r="C1779" s="32" t="s">
        <v>2358</v>
      </c>
      <c r="D1779" s="32" t="s">
        <v>184</v>
      </c>
      <c r="E1779" s="32" t="s">
        <v>219</v>
      </c>
      <c r="F1779" s="32" t="s">
        <v>222</v>
      </c>
    </row>
    <row r="1780" ht="16.5" customHeight="1">
      <c r="A1780" s="32">
        <v>1776.0</v>
      </c>
      <c r="C1780" s="32" t="s">
        <v>2359</v>
      </c>
      <c r="D1780" s="32" t="s">
        <v>184</v>
      </c>
      <c r="E1780" s="32" t="s">
        <v>228</v>
      </c>
      <c r="F1780" s="32" t="s">
        <v>222</v>
      </c>
      <c r="G1780" s="32" t="s">
        <v>408</v>
      </c>
      <c r="H1780" s="32" t="s">
        <v>1621</v>
      </c>
    </row>
    <row r="1781" ht="16.5" customHeight="1">
      <c r="A1781" s="32">
        <v>1777.0</v>
      </c>
      <c r="C1781" s="32" t="s">
        <v>2360</v>
      </c>
      <c r="D1781" s="32" t="s">
        <v>184</v>
      </c>
      <c r="E1781" s="32" t="s">
        <v>219</v>
      </c>
      <c r="F1781" s="32" t="s">
        <v>222</v>
      </c>
      <c r="G1781" s="32" t="s">
        <v>223</v>
      </c>
    </row>
    <row r="1782" ht="16.5" customHeight="1">
      <c r="A1782" s="32">
        <v>1778.0</v>
      </c>
      <c r="C1782" s="32" t="s">
        <v>2361</v>
      </c>
      <c r="D1782" s="32" t="s">
        <v>184</v>
      </c>
      <c r="E1782" s="32" t="s">
        <v>234</v>
      </c>
      <c r="F1782" s="32" t="s">
        <v>222</v>
      </c>
      <c r="G1782" s="32" t="s">
        <v>347</v>
      </c>
      <c r="H1782" s="32" t="s">
        <v>2362</v>
      </c>
    </row>
    <row r="1783" ht="16.5" customHeight="1">
      <c r="A1783" s="32">
        <v>1779.0</v>
      </c>
      <c r="C1783" s="32" t="s">
        <v>2363</v>
      </c>
      <c r="D1783" s="32" t="s">
        <v>184</v>
      </c>
      <c r="E1783" s="32" t="s">
        <v>234</v>
      </c>
      <c r="F1783" s="32" t="s">
        <v>222</v>
      </c>
      <c r="G1783" s="32" t="s">
        <v>2364</v>
      </c>
      <c r="H1783" s="32" t="s">
        <v>2365</v>
      </c>
    </row>
    <row r="1784" ht="16.5" customHeight="1">
      <c r="A1784" s="32">
        <v>1780.0</v>
      </c>
      <c r="C1784" s="32" t="s">
        <v>2366</v>
      </c>
      <c r="D1784" s="32" t="s">
        <v>184</v>
      </c>
      <c r="E1784" s="32" t="s">
        <v>234</v>
      </c>
      <c r="F1784" s="32" t="s">
        <v>222</v>
      </c>
      <c r="G1784" s="32" t="s">
        <v>347</v>
      </c>
      <c r="H1784" s="32" t="s">
        <v>2222</v>
      </c>
    </row>
    <row r="1785" ht="16.5" customHeight="1">
      <c r="A1785" s="32">
        <v>1781.0</v>
      </c>
      <c r="C1785" s="32" t="s">
        <v>2367</v>
      </c>
      <c r="D1785" s="32" t="s">
        <v>184</v>
      </c>
      <c r="E1785" s="32" t="s">
        <v>192</v>
      </c>
      <c r="F1785" s="35" t="s">
        <v>1929</v>
      </c>
    </row>
    <row r="1786" ht="16.5" customHeight="1">
      <c r="A1786" s="32">
        <v>1782.0</v>
      </c>
      <c r="C1786" s="32" t="s">
        <v>2368</v>
      </c>
      <c r="D1786" s="32" t="s">
        <v>184</v>
      </c>
      <c r="E1786" s="32" t="s">
        <v>192</v>
      </c>
      <c r="F1786" s="32" t="s">
        <v>222</v>
      </c>
      <c r="G1786" s="32" t="s">
        <v>347</v>
      </c>
      <c r="H1786" s="32" t="s">
        <v>2362</v>
      </c>
    </row>
    <row r="1787" ht="16.5" customHeight="1">
      <c r="A1787" s="32">
        <v>1783.0</v>
      </c>
      <c r="C1787" s="32" t="s">
        <v>2369</v>
      </c>
      <c r="D1787" s="32" t="s">
        <v>184</v>
      </c>
      <c r="E1787" s="32" t="s">
        <v>764</v>
      </c>
      <c r="F1787" s="32" t="s">
        <v>222</v>
      </c>
    </row>
    <row r="1788" ht="16.5" customHeight="1">
      <c r="A1788" s="32">
        <v>1784.0</v>
      </c>
      <c r="C1788" s="32" t="s">
        <v>2370</v>
      </c>
      <c r="D1788" s="32" t="s">
        <v>184</v>
      </c>
      <c r="E1788" s="32" t="s">
        <v>228</v>
      </c>
      <c r="F1788" s="32" t="s">
        <v>222</v>
      </c>
      <c r="G1788" s="32" t="s">
        <v>2371</v>
      </c>
    </row>
    <row r="1789" ht="16.5" customHeight="1">
      <c r="A1789" s="32">
        <v>1785.0</v>
      </c>
      <c r="C1789" s="32" t="s">
        <v>2372</v>
      </c>
      <c r="D1789" s="32" t="s">
        <v>184</v>
      </c>
      <c r="E1789" s="32" t="s">
        <v>234</v>
      </c>
      <c r="F1789" s="32" t="s">
        <v>222</v>
      </c>
    </row>
    <row r="1790" ht="16.5" customHeight="1">
      <c r="A1790" s="32">
        <v>1786.0</v>
      </c>
      <c r="C1790" s="32" t="s">
        <v>2373</v>
      </c>
      <c r="D1790" s="32" t="s">
        <v>184</v>
      </c>
      <c r="E1790" s="32" t="s">
        <v>228</v>
      </c>
      <c r="F1790" s="32" t="s">
        <v>222</v>
      </c>
      <c r="G1790" s="32" t="s">
        <v>544</v>
      </c>
      <c r="H1790" s="32" t="s">
        <v>2374</v>
      </c>
    </row>
    <row r="1791" ht="16.5" customHeight="1">
      <c r="A1791" s="32">
        <v>1787.0</v>
      </c>
      <c r="C1791" s="32" t="s">
        <v>2375</v>
      </c>
      <c r="D1791" s="32" t="s">
        <v>184</v>
      </c>
      <c r="E1791" s="32" t="s">
        <v>192</v>
      </c>
      <c r="F1791" s="32" t="s">
        <v>222</v>
      </c>
    </row>
    <row r="1792" ht="16.5" customHeight="1">
      <c r="A1792" s="32">
        <v>1788.0</v>
      </c>
      <c r="C1792" s="32" t="s">
        <v>2376</v>
      </c>
      <c r="D1792" s="32" t="s">
        <v>184</v>
      </c>
      <c r="E1792" s="32" t="s">
        <v>185</v>
      </c>
      <c r="F1792" s="32" t="s">
        <v>222</v>
      </c>
      <c r="G1792" s="32" t="s">
        <v>189</v>
      </c>
      <c r="H1792" s="32" t="s">
        <v>314</v>
      </c>
    </row>
    <row r="1793" ht="16.5" customHeight="1">
      <c r="A1793" s="32">
        <v>1789.0</v>
      </c>
      <c r="C1793" s="32" t="s">
        <v>2377</v>
      </c>
      <c r="D1793" s="32" t="s">
        <v>184</v>
      </c>
      <c r="E1793" s="32" t="s">
        <v>228</v>
      </c>
      <c r="F1793" s="32" t="s">
        <v>222</v>
      </c>
      <c r="G1793" s="32" t="s">
        <v>408</v>
      </c>
      <c r="H1793" s="32" t="s">
        <v>452</v>
      </c>
    </row>
    <row r="1794" ht="16.5" customHeight="1">
      <c r="A1794" s="32">
        <v>1790.0</v>
      </c>
      <c r="C1794" s="32" t="s">
        <v>2378</v>
      </c>
      <c r="D1794" s="32" t="s">
        <v>184</v>
      </c>
      <c r="E1794" s="32" t="s">
        <v>228</v>
      </c>
      <c r="F1794" s="32" t="s">
        <v>222</v>
      </c>
      <c r="G1794" s="32" t="s">
        <v>408</v>
      </c>
      <c r="H1794" s="32" t="s">
        <v>452</v>
      </c>
    </row>
    <row r="1795" ht="16.5" customHeight="1">
      <c r="A1795" s="32">
        <v>1791.0</v>
      </c>
      <c r="C1795" s="32" t="s">
        <v>2379</v>
      </c>
      <c r="D1795" s="32" t="s">
        <v>184</v>
      </c>
      <c r="E1795" s="32" t="s">
        <v>228</v>
      </c>
      <c r="F1795" s="32" t="s">
        <v>222</v>
      </c>
      <c r="G1795" s="32" t="s">
        <v>408</v>
      </c>
      <c r="H1795" s="32" t="s">
        <v>2380</v>
      </c>
    </row>
    <row r="1796" ht="16.5" customHeight="1">
      <c r="A1796" s="32">
        <v>1792.0</v>
      </c>
      <c r="C1796" s="32" t="s">
        <v>2381</v>
      </c>
      <c r="D1796" s="32" t="s">
        <v>184</v>
      </c>
      <c r="E1796" s="32" t="s">
        <v>228</v>
      </c>
      <c r="F1796" s="32" t="s">
        <v>222</v>
      </c>
    </row>
    <row r="1797" ht="16.5" customHeight="1">
      <c r="A1797" s="32">
        <v>1793.0</v>
      </c>
      <c r="C1797" s="32" t="s">
        <v>2382</v>
      </c>
      <c r="D1797" s="32" t="s">
        <v>184</v>
      </c>
      <c r="E1797" s="32" t="s">
        <v>192</v>
      </c>
      <c r="F1797" s="32" t="s">
        <v>222</v>
      </c>
      <c r="G1797" s="32" t="s">
        <v>329</v>
      </c>
      <c r="H1797" s="32" t="s">
        <v>447</v>
      </c>
    </row>
    <row r="1798" ht="16.5" customHeight="1">
      <c r="A1798" s="32">
        <v>1794.0</v>
      </c>
      <c r="C1798" s="32" t="s">
        <v>2383</v>
      </c>
      <c r="D1798" s="32" t="s">
        <v>184</v>
      </c>
      <c r="E1798" s="32" t="s">
        <v>228</v>
      </c>
      <c r="F1798" s="32" t="s">
        <v>222</v>
      </c>
      <c r="G1798" s="32" t="s">
        <v>408</v>
      </c>
      <c r="H1798" s="32" t="s">
        <v>490</v>
      </c>
    </row>
    <row r="1799" ht="16.5" customHeight="1">
      <c r="A1799" s="32">
        <v>1795.0</v>
      </c>
      <c r="C1799" s="32" t="s">
        <v>2384</v>
      </c>
      <c r="D1799" s="32" t="s">
        <v>184</v>
      </c>
      <c r="E1799" s="32" t="s">
        <v>228</v>
      </c>
      <c r="F1799" s="32" t="s">
        <v>222</v>
      </c>
      <c r="G1799" s="32" t="s">
        <v>408</v>
      </c>
      <c r="H1799" s="32" t="s">
        <v>452</v>
      </c>
    </row>
    <row r="1800" ht="16.5" customHeight="1">
      <c r="A1800" s="32">
        <v>1796.0</v>
      </c>
      <c r="C1800" s="32" t="s">
        <v>2385</v>
      </c>
      <c r="D1800" s="32" t="s">
        <v>184</v>
      </c>
      <c r="E1800" s="32" t="s">
        <v>228</v>
      </c>
      <c r="F1800" s="32" t="s">
        <v>222</v>
      </c>
      <c r="G1800" s="32" t="s">
        <v>408</v>
      </c>
      <c r="H1800" s="32" t="s">
        <v>452</v>
      </c>
    </row>
    <row r="1801" ht="16.5" customHeight="1">
      <c r="A1801" s="32">
        <v>1797.0</v>
      </c>
      <c r="C1801" s="32" t="s">
        <v>2386</v>
      </c>
      <c r="D1801" s="32" t="s">
        <v>184</v>
      </c>
      <c r="E1801" s="32" t="s">
        <v>228</v>
      </c>
      <c r="F1801" s="32" t="s">
        <v>222</v>
      </c>
      <c r="G1801" s="32" t="s">
        <v>408</v>
      </c>
      <c r="H1801" s="32" t="s">
        <v>452</v>
      </c>
    </row>
    <row r="1802" ht="16.5" customHeight="1">
      <c r="A1802" s="32">
        <v>1798.0</v>
      </c>
      <c r="C1802" s="32" t="s">
        <v>2387</v>
      </c>
      <c r="D1802" s="32" t="s">
        <v>184</v>
      </c>
      <c r="E1802" s="32" t="s">
        <v>228</v>
      </c>
      <c r="F1802" s="32" t="s">
        <v>222</v>
      </c>
      <c r="G1802" s="32" t="s">
        <v>408</v>
      </c>
      <c r="H1802" s="32" t="s">
        <v>452</v>
      </c>
    </row>
    <row r="1803" ht="16.5" customHeight="1">
      <c r="A1803" s="32">
        <v>1799.0</v>
      </c>
      <c r="C1803" s="32" t="s">
        <v>2388</v>
      </c>
      <c r="D1803" s="32" t="s">
        <v>184</v>
      </c>
      <c r="E1803" s="32" t="s">
        <v>285</v>
      </c>
      <c r="F1803" s="32" t="s">
        <v>222</v>
      </c>
      <c r="G1803" s="32" t="s">
        <v>189</v>
      </c>
      <c r="H1803" s="32" t="s">
        <v>190</v>
      </c>
    </row>
    <row r="1804" ht="16.5" customHeight="1">
      <c r="A1804" s="32">
        <v>1800.0</v>
      </c>
      <c r="C1804" s="32" t="s">
        <v>2389</v>
      </c>
      <c r="D1804" s="32" t="s">
        <v>184</v>
      </c>
      <c r="E1804" s="35" t="s">
        <v>294</v>
      </c>
      <c r="F1804" s="32" t="s">
        <v>222</v>
      </c>
      <c r="G1804" s="32" t="s">
        <v>189</v>
      </c>
      <c r="H1804" s="32" t="s">
        <v>190</v>
      </c>
    </row>
    <row r="1805" ht="16.5" customHeight="1">
      <c r="A1805" s="32">
        <v>1801.0</v>
      </c>
      <c r="C1805" s="32" t="s">
        <v>2390</v>
      </c>
      <c r="D1805" s="32" t="s">
        <v>184</v>
      </c>
      <c r="E1805" s="35" t="s">
        <v>294</v>
      </c>
      <c r="F1805" s="32" t="s">
        <v>222</v>
      </c>
      <c r="G1805" s="32" t="s">
        <v>189</v>
      </c>
      <c r="H1805" s="32" t="s">
        <v>190</v>
      </c>
    </row>
    <row r="1806" ht="16.5" customHeight="1">
      <c r="A1806" s="32">
        <v>1802.0</v>
      </c>
      <c r="C1806" s="32" t="s">
        <v>2391</v>
      </c>
      <c r="D1806" s="32" t="s">
        <v>184</v>
      </c>
      <c r="E1806" s="35" t="s">
        <v>691</v>
      </c>
      <c r="F1806" s="32" t="s">
        <v>222</v>
      </c>
      <c r="G1806" s="32" t="s">
        <v>793</v>
      </c>
      <c r="H1806" s="32" t="s">
        <v>2392</v>
      </c>
    </row>
    <row r="1807" ht="16.5" customHeight="1">
      <c r="A1807" s="32">
        <v>1803.0</v>
      </c>
      <c r="C1807" s="32" t="s">
        <v>2393</v>
      </c>
      <c r="D1807" s="32" t="s">
        <v>184</v>
      </c>
      <c r="E1807" s="35" t="s">
        <v>361</v>
      </c>
      <c r="F1807" s="32" t="s">
        <v>222</v>
      </c>
      <c r="G1807" s="32" t="s">
        <v>329</v>
      </c>
      <c r="H1807" s="32" t="s">
        <v>457</v>
      </c>
    </row>
    <row r="1808" ht="16.5" customHeight="1">
      <c r="A1808" s="32">
        <v>1804.0</v>
      </c>
      <c r="C1808" s="32" t="s">
        <v>2394</v>
      </c>
      <c r="D1808" s="32" t="s">
        <v>184</v>
      </c>
      <c r="E1808" s="35" t="s">
        <v>361</v>
      </c>
      <c r="F1808" s="32" t="s">
        <v>222</v>
      </c>
    </row>
    <row r="1809" ht="16.5" customHeight="1">
      <c r="A1809" s="32">
        <v>1805.0</v>
      </c>
      <c r="C1809" s="32" t="s">
        <v>2395</v>
      </c>
      <c r="D1809" s="32" t="s">
        <v>184</v>
      </c>
      <c r="E1809" s="35" t="s">
        <v>2396</v>
      </c>
      <c r="F1809" s="32" t="s">
        <v>222</v>
      </c>
    </row>
    <row r="1810" ht="16.5" customHeight="1">
      <c r="A1810" s="32">
        <v>1806.0</v>
      </c>
      <c r="C1810" s="32" t="s">
        <v>2397</v>
      </c>
      <c r="D1810" s="32" t="s">
        <v>184</v>
      </c>
      <c r="E1810" s="32" t="s">
        <v>214</v>
      </c>
      <c r="F1810" s="32" t="s">
        <v>222</v>
      </c>
      <c r="G1810" s="32" t="s">
        <v>216</v>
      </c>
      <c r="H1810" s="32" t="s">
        <v>217</v>
      </c>
    </row>
    <row r="1811" ht="16.5" customHeight="1">
      <c r="A1811" s="32">
        <v>1807.0</v>
      </c>
      <c r="C1811" s="32" t="s">
        <v>2398</v>
      </c>
      <c r="D1811" s="32" t="s">
        <v>184</v>
      </c>
      <c r="E1811" s="32" t="s">
        <v>234</v>
      </c>
      <c r="F1811" s="32" t="s">
        <v>222</v>
      </c>
    </row>
    <row r="1812" ht="16.5" customHeight="1">
      <c r="A1812" s="32">
        <v>1808.0</v>
      </c>
      <c r="C1812" s="32" t="s">
        <v>2399</v>
      </c>
      <c r="D1812" s="32" t="s">
        <v>184</v>
      </c>
      <c r="E1812" s="35" t="s">
        <v>1894</v>
      </c>
      <c r="F1812" s="32" t="s">
        <v>222</v>
      </c>
      <c r="G1812" s="32" t="s">
        <v>2400</v>
      </c>
      <c r="H1812" s="32" t="s">
        <v>229</v>
      </c>
    </row>
    <row r="1813" ht="16.5" customHeight="1">
      <c r="A1813" s="32">
        <v>1809.0</v>
      </c>
      <c r="C1813" s="32" t="s">
        <v>2401</v>
      </c>
      <c r="D1813" s="32" t="s">
        <v>184</v>
      </c>
      <c r="E1813" s="32" t="s">
        <v>228</v>
      </c>
      <c r="F1813" s="32" t="s">
        <v>222</v>
      </c>
      <c r="G1813" s="32" t="s">
        <v>408</v>
      </c>
      <c r="H1813" s="32" t="s">
        <v>452</v>
      </c>
    </row>
    <row r="1814" ht="16.5" customHeight="1">
      <c r="A1814" s="32">
        <v>1810.0</v>
      </c>
      <c r="C1814" s="32" t="s">
        <v>2402</v>
      </c>
      <c r="D1814" s="32" t="s">
        <v>184</v>
      </c>
      <c r="E1814" s="32" t="s">
        <v>192</v>
      </c>
      <c r="F1814" s="32" t="s">
        <v>222</v>
      </c>
      <c r="G1814" s="32" t="s">
        <v>329</v>
      </c>
      <c r="H1814" s="32" t="s">
        <v>457</v>
      </c>
    </row>
    <row r="1815" ht="16.5" customHeight="1">
      <c r="A1815" s="32">
        <v>1811.0</v>
      </c>
      <c r="C1815" s="32" t="s">
        <v>2403</v>
      </c>
      <c r="D1815" s="32" t="s">
        <v>184</v>
      </c>
      <c r="E1815" s="32" t="s">
        <v>192</v>
      </c>
      <c r="F1815" s="32" t="s">
        <v>222</v>
      </c>
    </row>
    <row r="1816" ht="16.5" customHeight="1">
      <c r="A1816" s="32">
        <v>1812.0</v>
      </c>
      <c r="C1816" s="32" t="s">
        <v>2404</v>
      </c>
      <c r="D1816" s="32" t="s">
        <v>184</v>
      </c>
      <c r="E1816" s="32" t="s">
        <v>192</v>
      </c>
      <c r="F1816" s="32" t="s">
        <v>222</v>
      </c>
      <c r="G1816" s="32" t="s">
        <v>329</v>
      </c>
      <c r="H1816" s="32" t="s">
        <v>457</v>
      </c>
    </row>
    <row r="1817" ht="16.5" customHeight="1">
      <c r="A1817" s="32">
        <v>1813.0</v>
      </c>
      <c r="C1817" s="32" t="s">
        <v>2405</v>
      </c>
      <c r="D1817" s="32" t="s">
        <v>184</v>
      </c>
      <c r="E1817" s="32" t="s">
        <v>192</v>
      </c>
      <c r="F1817" s="32" t="s">
        <v>222</v>
      </c>
      <c r="G1817" s="32" t="s">
        <v>570</v>
      </c>
      <c r="H1817" s="32" t="s">
        <v>447</v>
      </c>
    </row>
    <row r="1818" ht="16.5" customHeight="1">
      <c r="A1818" s="32">
        <v>1814.0</v>
      </c>
      <c r="C1818" s="32" t="s">
        <v>2406</v>
      </c>
      <c r="D1818" s="32" t="s">
        <v>184</v>
      </c>
      <c r="E1818" s="32" t="s">
        <v>192</v>
      </c>
      <c r="F1818" s="32" t="s">
        <v>222</v>
      </c>
      <c r="G1818" s="32" t="s">
        <v>329</v>
      </c>
      <c r="H1818" s="32" t="s">
        <v>457</v>
      </c>
    </row>
    <row r="1819" ht="16.5" customHeight="1">
      <c r="A1819" s="32">
        <v>1815.0</v>
      </c>
      <c r="C1819" s="32" t="s">
        <v>2407</v>
      </c>
      <c r="D1819" s="32" t="s">
        <v>184</v>
      </c>
      <c r="E1819" s="32" t="s">
        <v>219</v>
      </c>
      <c r="F1819" s="32" t="s">
        <v>222</v>
      </c>
    </row>
    <row r="1820" ht="16.5" customHeight="1">
      <c r="A1820" s="32">
        <v>1816.0</v>
      </c>
      <c r="C1820" s="32" t="s">
        <v>2408</v>
      </c>
      <c r="D1820" s="32" t="s">
        <v>184</v>
      </c>
      <c r="E1820" s="32" t="s">
        <v>214</v>
      </c>
      <c r="F1820" s="32" t="s">
        <v>222</v>
      </c>
      <c r="G1820" s="32" t="s">
        <v>216</v>
      </c>
      <c r="H1820" s="32" t="s">
        <v>217</v>
      </c>
    </row>
    <row r="1821" ht="16.5" customHeight="1">
      <c r="A1821" s="32">
        <v>1817.0</v>
      </c>
      <c r="C1821" s="32" t="s">
        <v>2409</v>
      </c>
      <c r="D1821" s="32" t="s">
        <v>184</v>
      </c>
      <c r="E1821" s="32" t="s">
        <v>219</v>
      </c>
      <c r="F1821" s="32" t="s">
        <v>222</v>
      </c>
    </row>
    <row r="1822" ht="16.5" customHeight="1">
      <c r="A1822" s="32">
        <v>1818.0</v>
      </c>
      <c r="C1822" s="32" t="s">
        <v>2410</v>
      </c>
      <c r="D1822" s="32" t="s">
        <v>184</v>
      </c>
      <c r="E1822" s="32" t="s">
        <v>214</v>
      </c>
      <c r="F1822" s="32" t="s">
        <v>222</v>
      </c>
      <c r="G1822" s="32" t="s">
        <v>604</v>
      </c>
    </row>
    <row r="1823" ht="16.5" customHeight="1">
      <c r="A1823" s="32">
        <v>1819.0</v>
      </c>
      <c r="C1823" s="32" t="s">
        <v>2411</v>
      </c>
      <c r="D1823" s="32" t="s">
        <v>184</v>
      </c>
      <c r="E1823" s="32" t="s">
        <v>185</v>
      </c>
      <c r="F1823" s="32" t="s">
        <v>222</v>
      </c>
      <c r="G1823" s="32" t="s">
        <v>2412</v>
      </c>
      <c r="H1823" s="32" t="s">
        <v>2413</v>
      </c>
    </row>
    <row r="1824" ht="16.5" customHeight="1">
      <c r="A1824" s="32">
        <v>1820.0</v>
      </c>
      <c r="C1824" s="32" t="s">
        <v>2414</v>
      </c>
      <c r="D1824" s="32" t="s">
        <v>184</v>
      </c>
      <c r="E1824" s="32" t="s">
        <v>185</v>
      </c>
      <c r="F1824" s="32" t="s">
        <v>222</v>
      </c>
      <c r="G1824" s="32" t="s">
        <v>267</v>
      </c>
      <c r="H1824" s="32" t="s">
        <v>2415</v>
      </c>
    </row>
    <row r="1825" ht="16.5" customHeight="1">
      <c r="A1825" s="32">
        <v>1821.0</v>
      </c>
      <c r="C1825" s="32" t="s">
        <v>2416</v>
      </c>
      <c r="D1825" s="32" t="s">
        <v>184</v>
      </c>
      <c r="E1825" s="32" t="s">
        <v>228</v>
      </c>
      <c r="F1825" s="32" t="s">
        <v>222</v>
      </c>
      <c r="G1825" s="32" t="s">
        <v>408</v>
      </c>
      <c r="H1825" s="32" t="s">
        <v>2417</v>
      </c>
    </row>
    <row r="1826" ht="16.5" customHeight="1">
      <c r="A1826" s="32">
        <v>1822.0</v>
      </c>
      <c r="C1826" s="32" t="s">
        <v>2418</v>
      </c>
      <c r="D1826" s="32" t="s">
        <v>184</v>
      </c>
      <c r="E1826" s="32" t="s">
        <v>234</v>
      </c>
      <c r="F1826" s="32" t="s">
        <v>222</v>
      </c>
    </row>
    <row r="1827" ht="16.5" customHeight="1">
      <c r="A1827" s="32">
        <v>1823.0</v>
      </c>
      <c r="C1827" s="32" t="s">
        <v>2419</v>
      </c>
      <c r="D1827" s="32" t="s">
        <v>184</v>
      </c>
      <c r="E1827" s="32" t="s">
        <v>254</v>
      </c>
      <c r="F1827" s="32" t="s">
        <v>222</v>
      </c>
      <c r="G1827" s="32" t="s">
        <v>257</v>
      </c>
      <c r="H1827" s="32" t="s">
        <v>256</v>
      </c>
    </row>
    <row r="1828" ht="16.5" customHeight="1">
      <c r="A1828" s="32">
        <v>1824.0</v>
      </c>
      <c r="C1828" s="32" t="s">
        <v>2420</v>
      </c>
      <c r="D1828" s="32" t="s">
        <v>184</v>
      </c>
      <c r="E1828" s="32" t="s">
        <v>254</v>
      </c>
      <c r="F1828" s="32" t="s">
        <v>222</v>
      </c>
      <c r="G1828" s="32" t="s">
        <v>257</v>
      </c>
      <c r="H1828" s="32" t="s">
        <v>256</v>
      </c>
    </row>
    <row r="1829" ht="16.5" customHeight="1">
      <c r="A1829" s="32">
        <v>1825.0</v>
      </c>
      <c r="C1829" s="32" t="s">
        <v>2421</v>
      </c>
      <c r="D1829" s="32" t="s">
        <v>184</v>
      </c>
      <c r="E1829" s="32" t="s">
        <v>254</v>
      </c>
      <c r="F1829" s="32" t="s">
        <v>222</v>
      </c>
    </row>
    <row r="1830" ht="16.5" customHeight="1">
      <c r="A1830" s="32">
        <v>1826.0</v>
      </c>
      <c r="C1830" s="32" t="s">
        <v>2422</v>
      </c>
      <c r="D1830" s="32" t="s">
        <v>184</v>
      </c>
      <c r="E1830" s="32" t="s">
        <v>254</v>
      </c>
      <c r="F1830" s="32" t="s">
        <v>222</v>
      </c>
    </row>
    <row r="1831" ht="16.5" customHeight="1">
      <c r="A1831" s="32">
        <v>1827.0</v>
      </c>
      <c r="C1831" s="32" t="s">
        <v>2423</v>
      </c>
      <c r="D1831" s="32" t="s">
        <v>184</v>
      </c>
      <c r="E1831" s="32" t="s">
        <v>254</v>
      </c>
      <c r="F1831" s="32" t="s">
        <v>222</v>
      </c>
    </row>
    <row r="1832" ht="16.5" customHeight="1">
      <c r="A1832" s="32">
        <v>1828.0</v>
      </c>
      <c r="C1832" s="32" t="s">
        <v>2424</v>
      </c>
      <c r="D1832" s="32" t="s">
        <v>184</v>
      </c>
      <c r="E1832" s="32" t="s">
        <v>228</v>
      </c>
      <c r="F1832" s="32" t="s">
        <v>222</v>
      </c>
      <c r="G1832" s="32" t="s">
        <v>544</v>
      </c>
      <c r="H1832" s="32" t="s">
        <v>2425</v>
      </c>
    </row>
    <row r="1833" ht="16.5" customHeight="1">
      <c r="A1833" s="32">
        <v>1829.0</v>
      </c>
      <c r="C1833" s="32" t="s">
        <v>2426</v>
      </c>
      <c r="D1833" s="32" t="s">
        <v>184</v>
      </c>
      <c r="E1833" s="32" t="s">
        <v>228</v>
      </c>
      <c r="F1833" s="32" t="s">
        <v>222</v>
      </c>
    </row>
    <row r="1834" ht="16.5" customHeight="1">
      <c r="A1834" s="32">
        <v>1830.0</v>
      </c>
      <c r="C1834" s="32" t="s">
        <v>2427</v>
      </c>
      <c r="D1834" s="32" t="s">
        <v>184</v>
      </c>
      <c r="E1834" s="32" t="s">
        <v>219</v>
      </c>
      <c r="F1834" s="32" t="s">
        <v>222</v>
      </c>
      <c r="G1834" s="32" t="s">
        <v>241</v>
      </c>
      <c r="H1834" s="32" t="s">
        <v>292</v>
      </c>
    </row>
    <row r="1835" ht="16.5" customHeight="1">
      <c r="A1835" s="32">
        <v>1831.0</v>
      </c>
      <c r="C1835" s="32" t="s">
        <v>2428</v>
      </c>
      <c r="D1835" s="32" t="s">
        <v>184</v>
      </c>
      <c r="E1835" s="32" t="s">
        <v>228</v>
      </c>
      <c r="F1835" s="32" t="s">
        <v>222</v>
      </c>
      <c r="G1835" s="32" t="s">
        <v>229</v>
      </c>
      <c r="H1835" s="32" t="s">
        <v>244</v>
      </c>
    </row>
    <row r="1836" ht="16.5" customHeight="1">
      <c r="A1836" s="32">
        <v>1832.0</v>
      </c>
      <c r="C1836" s="32" t="s">
        <v>2429</v>
      </c>
      <c r="D1836" s="32" t="s">
        <v>184</v>
      </c>
      <c r="E1836" s="32" t="s">
        <v>228</v>
      </c>
      <c r="F1836" s="32" t="s">
        <v>222</v>
      </c>
      <c r="G1836" s="32" t="s">
        <v>229</v>
      </c>
      <c r="H1836" s="32" t="s">
        <v>244</v>
      </c>
    </row>
    <row r="1837" ht="16.5" customHeight="1">
      <c r="A1837" s="32">
        <v>1833.0</v>
      </c>
      <c r="C1837" s="32" t="s">
        <v>2430</v>
      </c>
      <c r="D1837" s="32" t="s">
        <v>184</v>
      </c>
      <c r="E1837" s="32" t="s">
        <v>219</v>
      </c>
      <c r="F1837" s="32" t="s">
        <v>222</v>
      </c>
    </row>
    <row r="1838" ht="16.5" customHeight="1">
      <c r="A1838" s="32">
        <v>1834.0</v>
      </c>
      <c r="C1838" s="32" t="s">
        <v>2431</v>
      </c>
      <c r="D1838" s="32" t="s">
        <v>184</v>
      </c>
      <c r="E1838" s="32" t="s">
        <v>228</v>
      </c>
      <c r="F1838" s="32" t="s">
        <v>222</v>
      </c>
      <c r="G1838" s="32" t="s">
        <v>229</v>
      </c>
      <c r="H1838" s="32" t="s">
        <v>626</v>
      </c>
    </row>
    <row r="1839" ht="16.5" customHeight="1">
      <c r="A1839" s="32">
        <v>1835.0</v>
      </c>
      <c r="C1839" s="32" t="s">
        <v>2432</v>
      </c>
      <c r="D1839" s="32" t="s">
        <v>184</v>
      </c>
      <c r="E1839" s="32" t="s">
        <v>228</v>
      </c>
      <c r="F1839" s="32" t="s">
        <v>222</v>
      </c>
    </row>
    <row r="1840" ht="16.5" customHeight="1">
      <c r="A1840" s="32">
        <v>1836.0</v>
      </c>
      <c r="C1840" s="32" t="s">
        <v>2433</v>
      </c>
      <c r="D1840" s="32" t="s">
        <v>184</v>
      </c>
      <c r="E1840" s="32" t="s">
        <v>228</v>
      </c>
      <c r="F1840" s="32" t="s">
        <v>222</v>
      </c>
      <c r="G1840" s="32" t="s">
        <v>229</v>
      </c>
      <c r="H1840" s="32" t="s">
        <v>626</v>
      </c>
    </row>
    <row r="1841" ht="16.5" customHeight="1">
      <c r="A1841" s="32">
        <v>1837.0</v>
      </c>
      <c r="C1841" s="32" t="s">
        <v>2434</v>
      </c>
      <c r="D1841" s="32" t="s">
        <v>184</v>
      </c>
      <c r="E1841" s="32" t="s">
        <v>219</v>
      </c>
      <c r="F1841" s="32" t="s">
        <v>222</v>
      </c>
      <c r="G1841" s="32" t="s">
        <v>223</v>
      </c>
    </row>
    <row r="1842" ht="16.5" customHeight="1">
      <c r="A1842" s="32">
        <v>1838.0</v>
      </c>
      <c r="C1842" s="32" t="s">
        <v>2435</v>
      </c>
      <c r="D1842" s="32" t="s">
        <v>184</v>
      </c>
      <c r="E1842" s="32" t="s">
        <v>228</v>
      </c>
      <c r="F1842" s="32" t="s">
        <v>222</v>
      </c>
      <c r="G1842" s="32" t="s">
        <v>544</v>
      </c>
      <c r="H1842" s="32" t="s">
        <v>2436</v>
      </c>
    </row>
    <row r="1843" ht="16.5" customHeight="1">
      <c r="A1843" s="32">
        <v>1839.0</v>
      </c>
      <c r="C1843" s="32" t="s">
        <v>2437</v>
      </c>
      <c r="D1843" s="32" t="s">
        <v>184</v>
      </c>
      <c r="E1843" s="32" t="s">
        <v>219</v>
      </c>
      <c r="F1843" s="32" t="s">
        <v>222</v>
      </c>
    </row>
    <row r="1844" ht="16.5" customHeight="1">
      <c r="A1844" s="32">
        <v>1840.0</v>
      </c>
      <c r="C1844" s="32" t="s">
        <v>2438</v>
      </c>
      <c r="D1844" s="32" t="s">
        <v>184</v>
      </c>
      <c r="E1844" s="32" t="s">
        <v>228</v>
      </c>
      <c r="F1844" s="32" t="s">
        <v>222</v>
      </c>
    </row>
    <row r="1845" ht="16.5" customHeight="1">
      <c r="A1845" s="32">
        <v>1841.0</v>
      </c>
      <c r="C1845" s="32" t="s">
        <v>2439</v>
      </c>
      <c r="D1845" s="32" t="s">
        <v>184</v>
      </c>
      <c r="E1845" s="32" t="s">
        <v>228</v>
      </c>
      <c r="F1845" s="32" t="s">
        <v>222</v>
      </c>
      <c r="G1845" s="32" t="s">
        <v>408</v>
      </c>
      <c r="H1845" s="32" t="s">
        <v>452</v>
      </c>
    </row>
    <row r="1846" ht="16.5" customHeight="1">
      <c r="A1846" s="32">
        <v>1842.0</v>
      </c>
      <c r="C1846" s="32" t="s">
        <v>2440</v>
      </c>
      <c r="D1846" s="32" t="s">
        <v>184</v>
      </c>
      <c r="E1846" s="32" t="s">
        <v>219</v>
      </c>
      <c r="F1846" s="32" t="s">
        <v>222</v>
      </c>
    </row>
    <row r="1847" ht="16.5" customHeight="1">
      <c r="A1847" s="32">
        <v>1843.0</v>
      </c>
      <c r="C1847" s="32" t="s">
        <v>2441</v>
      </c>
      <c r="D1847" s="32" t="s">
        <v>184</v>
      </c>
      <c r="E1847" s="32" t="s">
        <v>219</v>
      </c>
      <c r="F1847" s="32" t="s">
        <v>222</v>
      </c>
    </row>
    <row r="1848" ht="16.5" customHeight="1">
      <c r="A1848" s="32">
        <v>1844.0</v>
      </c>
      <c r="C1848" s="32" t="s">
        <v>2442</v>
      </c>
      <c r="D1848" s="32" t="s">
        <v>184</v>
      </c>
      <c r="E1848" s="32" t="s">
        <v>219</v>
      </c>
      <c r="F1848" s="32" t="s">
        <v>222</v>
      </c>
      <c r="G1848" s="32" t="s">
        <v>241</v>
      </c>
      <c r="H1848" s="32" t="s">
        <v>292</v>
      </c>
    </row>
    <row r="1849" ht="16.5" customHeight="1">
      <c r="A1849" s="32">
        <v>1845.0</v>
      </c>
      <c r="C1849" s="32" t="s">
        <v>2443</v>
      </c>
      <c r="D1849" s="32" t="s">
        <v>184</v>
      </c>
      <c r="E1849" s="35" t="s">
        <v>829</v>
      </c>
      <c r="F1849" s="32" t="s">
        <v>222</v>
      </c>
      <c r="G1849" s="32" t="s">
        <v>2003</v>
      </c>
      <c r="H1849" s="32" t="s">
        <v>2004</v>
      </c>
    </row>
    <row r="1850" ht="16.5" customHeight="1">
      <c r="A1850" s="32">
        <v>1846.0</v>
      </c>
      <c r="C1850" s="32" t="s">
        <v>2444</v>
      </c>
      <c r="D1850" s="32" t="s">
        <v>184</v>
      </c>
      <c r="E1850" s="32" t="s">
        <v>325</v>
      </c>
      <c r="F1850" s="32" t="s">
        <v>222</v>
      </c>
      <c r="G1850" s="32" t="s">
        <v>368</v>
      </c>
      <c r="H1850" s="32" t="s">
        <v>463</v>
      </c>
    </row>
    <row r="1851" ht="16.5" customHeight="1">
      <c r="A1851" s="32">
        <v>1847.0</v>
      </c>
      <c r="C1851" s="32" t="s">
        <v>2445</v>
      </c>
      <c r="D1851" s="32" t="s">
        <v>184</v>
      </c>
      <c r="E1851" s="32" t="s">
        <v>325</v>
      </c>
      <c r="F1851" s="32" t="s">
        <v>222</v>
      </c>
      <c r="G1851" s="32" t="s">
        <v>368</v>
      </c>
      <c r="H1851" s="32" t="s">
        <v>463</v>
      </c>
    </row>
    <row r="1852" ht="16.5" customHeight="1">
      <c r="A1852" s="32">
        <v>1848.0</v>
      </c>
      <c r="C1852" s="32" t="s">
        <v>2446</v>
      </c>
      <c r="D1852" s="32" t="s">
        <v>184</v>
      </c>
      <c r="E1852" s="32" t="s">
        <v>228</v>
      </c>
      <c r="F1852" s="32" t="s">
        <v>222</v>
      </c>
      <c r="G1852" s="32" t="s">
        <v>229</v>
      </c>
      <c r="H1852" s="32" t="s">
        <v>626</v>
      </c>
    </row>
    <row r="1853" ht="16.5" customHeight="1">
      <c r="A1853" s="32">
        <v>1849.0</v>
      </c>
      <c r="C1853" s="32" t="s">
        <v>2447</v>
      </c>
      <c r="D1853" s="32" t="s">
        <v>184</v>
      </c>
      <c r="E1853" s="32" t="s">
        <v>228</v>
      </c>
      <c r="F1853" s="32" t="s">
        <v>222</v>
      </c>
    </row>
    <row r="1854" ht="16.5" customHeight="1">
      <c r="A1854" s="32">
        <v>1850.0</v>
      </c>
      <c r="C1854" s="32" t="s">
        <v>2448</v>
      </c>
      <c r="D1854" s="32" t="s">
        <v>184</v>
      </c>
      <c r="E1854" s="32" t="s">
        <v>219</v>
      </c>
      <c r="F1854" s="32" t="s">
        <v>222</v>
      </c>
      <c r="G1854" s="32" t="s">
        <v>241</v>
      </c>
      <c r="H1854" s="32" t="s">
        <v>292</v>
      </c>
    </row>
    <row r="1855" ht="16.5" customHeight="1">
      <c r="A1855" s="32">
        <v>1851.0</v>
      </c>
      <c r="C1855" s="32" t="s">
        <v>2449</v>
      </c>
      <c r="D1855" s="32" t="s">
        <v>184</v>
      </c>
      <c r="E1855" s="32" t="s">
        <v>219</v>
      </c>
      <c r="F1855" s="32" t="s">
        <v>222</v>
      </c>
    </row>
    <row r="1856" ht="16.5" customHeight="1">
      <c r="A1856" s="32">
        <v>1852.0</v>
      </c>
      <c r="C1856" s="32" t="s">
        <v>2449</v>
      </c>
      <c r="D1856" s="32" t="s">
        <v>184</v>
      </c>
      <c r="E1856" s="32" t="s">
        <v>219</v>
      </c>
      <c r="F1856" s="32" t="s">
        <v>222</v>
      </c>
    </row>
    <row r="1857" ht="16.5" customHeight="1">
      <c r="A1857" s="32">
        <v>1853.0</v>
      </c>
      <c r="C1857" s="32" t="s">
        <v>2450</v>
      </c>
      <c r="D1857" s="32" t="s">
        <v>184</v>
      </c>
      <c r="E1857" s="32" t="s">
        <v>228</v>
      </c>
      <c r="F1857" s="32" t="s">
        <v>222</v>
      </c>
      <c r="G1857" s="32" t="s">
        <v>408</v>
      </c>
      <c r="H1857" s="32" t="s">
        <v>2451</v>
      </c>
    </row>
    <row r="1858" ht="16.5" customHeight="1">
      <c r="A1858" s="32">
        <v>1854.0</v>
      </c>
      <c r="C1858" s="32" t="s">
        <v>2452</v>
      </c>
      <c r="D1858" s="32" t="s">
        <v>184</v>
      </c>
      <c r="E1858" s="32" t="s">
        <v>219</v>
      </c>
      <c r="F1858" s="32" t="s">
        <v>222</v>
      </c>
      <c r="G1858" s="32" t="s">
        <v>223</v>
      </c>
      <c r="H1858" s="32" t="s">
        <v>2453</v>
      </c>
    </row>
    <row r="1859" ht="16.5" customHeight="1">
      <c r="A1859" s="32">
        <v>1855.0</v>
      </c>
      <c r="C1859" s="32" t="s">
        <v>2454</v>
      </c>
      <c r="D1859" s="32" t="s">
        <v>184</v>
      </c>
      <c r="E1859" s="32" t="s">
        <v>228</v>
      </c>
      <c r="F1859" s="32" t="s">
        <v>222</v>
      </c>
      <c r="G1859" s="32" t="s">
        <v>229</v>
      </c>
      <c r="H1859" s="32" t="s">
        <v>244</v>
      </c>
    </row>
    <row r="1860" ht="16.5" customHeight="1">
      <c r="A1860" s="32">
        <v>1856.0</v>
      </c>
      <c r="C1860" s="32" t="s">
        <v>2455</v>
      </c>
      <c r="D1860" s="32" t="s">
        <v>184</v>
      </c>
      <c r="E1860" s="32" t="s">
        <v>228</v>
      </c>
      <c r="F1860" s="32" t="s">
        <v>222</v>
      </c>
      <c r="G1860" s="32" t="s">
        <v>229</v>
      </c>
      <c r="H1860" s="32" t="s">
        <v>244</v>
      </c>
    </row>
    <row r="1861" ht="16.5" customHeight="1">
      <c r="A1861" s="32">
        <v>1857.0</v>
      </c>
      <c r="C1861" s="32" t="s">
        <v>2456</v>
      </c>
      <c r="D1861" s="32" t="s">
        <v>184</v>
      </c>
      <c r="E1861" s="32" t="s">
        <v>192</v>
      </c>
      <c r="F1861" s="32" t="s">
        <v>222</v>
      </c>
    </row>
    <row r="1862" ht="16.5" customHeight="1">
      <c r="A1862" s="32">
        <v>1858.0</v>
      </c>
      <c r="C1862" s="32" t="s">
        <v>2457</v>
      </c>
      <c r="D1862" s="32" t="s">
        <v>184</v>
      </c>
      <c r="E1862" s="32" t="s">
        <v>219</v>
      </c>
      <c r="F1862" s="32" t="s">
        <v>222</v>
      </c>
      <c r="G1862" s="32" t="s">
        <v>216</v>
      </c>
      <c r="H1862" s="32" t="s">
        <v>217</v>
      </c>
    </row>
    <row r="1863" ht="16.5" customHeight="1">
      <c r="A1863" s="32">
        <v>1859.0</v>
      </c>
      <c r="C1863" s="32" t="s">
        <v>2458</v>
      </c>
      <c r="D1863" s="32" t="s">
        <v>184</v>
      </c>
      <c r="E1863" s="32" t="s">
        <v>219</v>
      </c>
      <c r="F1863" s="32" t="s">
        <v>222</v>
      </c>
      <c r="G1863" s="32" t="s">
        <v>241</v>
      </c>
      <c r="H1863" s="32" t="s">
        <v>292</v>
      </c>
    </row>
    <row r="1864" ht="16.5" customHeight="1">
      <c r="A1864" s="32">
        <v>1860.0</v>
      </c>
      <c r="C1864" s="32" t="s">
        <v>2459</v>
      </c>
      <c r="D1864" s="32" t="s">
        <v>184</v>
      </c>
      <c r="E1864" s="32" t="s">
        <v>219</v>
      </c>
      <c r="F1864" s="32" t="s">
        <v>222</v>
      </c>
      <c r="G1864" s="32" t="s">
        <v>223</v>
      </c>
    </row>
    <row r="1865" ht="16.5" customHeight="1">
      <c r="A1865" s="32">
        <v>1861.0</v>
      </c>
      <c r="C1865" s="32" t="s">
        <v>2460</v>
      </c>
      <c r="D1865" s="32" t="s">
        <v>184</v>
      </c>
      <c r="E1865" s="32" t="s">
        <v>219</v>
      </c>
      <c r="F1865" s="32" t="s">
        <v>222</v>
      </c>
      <c r="G1865" s="32" t="s">
        <v>223</v>
      </c>
    </row>
    <row r="1866" ht="16.5" customHeight="1">
      <c r="A1866" s="32">
        <v>1862.0</v>
      </c>
      <c r="C1866" s="32" t="s">
        <v>2461</v>
      </c>
      <c r="D1866" s="32" t="s">
        <v>184</v>
      </c>
      <c r="E1866" s="32" t="s">
        <v>228</v>
      </c>
      <c r="F1866" s="32" t="s">
        <v>222</v>
      </c>
      <c r="G1866" s="32" t="s">
        <v>544</v>
      </c>
      <c r="H1866" s="32" t="s">
        <v>545</v>
      </c>
    </row>
    <row r="1867" ht="16.5" customHeight="1">
      <c r="A1867" s="32">
        <v>1863.0</v>
      </c>
      <c r="C1867" s="32" t="s">
        <v>2462</v>
      </c>
      <c r="D1867" s="32" t="s">
        <v>184</v>
      </c>
      <c r="E1867" s="32" t="s">
        <v>228</v>
      </c>
      <c r="F1867" s="32" t="s">
        <v>222</v>
      </c>
      <c r="G1867" s="32" t="s">
        <v>544</v>
      </c>
      <c r="H1867" s="32" t="s">
        <v>545</v>
      </c>
    </row>
    <row r="1868" ht="16.5" customHeight="1">
      <c r="A1868" s="32">
        <v>1864.0</v>
      </c>
      <c r="C1868" s="32" t="s">
        <v>2463</v>
      </c>
      <c r="D1868" s="32" t="s">
        <v>184</v>
      </c>
      <c r="E1868" s="32" t="s">
        <v>228</v>
      </c>
      <c r="F1868" s="32" t="s">
        <v>222</v>
      </c>
      <c r="G1868" s="32" t="s">
        <v>544</v>
      </c>
      <c r="H1868" s="32" t="s">
        <v>545</v>
      </c>
    </row>
    <row r="1869" ht="16.5" customHeight="1">
      <c r="A1869" s="32">
        <v>1865.0</v>
      </c>
      <c r="C1869" s="32" t="s">
        <v>2464</v>
      </c>
      <c r="D1869" s="32" t="s">
        <v>184</v>
      </c>
      <c r="E1869" s="32" t="s">
        <v>228</v>
      </c>
      <c r="F1869" s="32" t="s">
        <v>222</v>
      </c>
    </row>
    <row r="1870" ht="16.5" customHeight="1">
      <c r="A1870" s="32">
        <v>1866.0</v>
      </c>
      <c r="C1870" s="32" t="s">
        <v>2465</v>
      </c>
      <c r="D1870" s="32" t="s">
        <v>184</v>
      </c>
      <c r="E1870" s="32" t="s">
        <v>228</v>
      </c>
      <c r="F1870" s="32" t="s">
        <v>222</v>
      </c>
      <c r="G1870" s="32" t="s">
        <v>454</v>
      </c>
      <c r="H1870" s="32" t="s">
        <v>2466</v>
      </c>
    </row>
    <row r="1871" ht="16.5" customHeight="1">
      <c r="A1871" s="32">
        <v>1867.0</v>
      </c>
      <c r="C1871" s="32" t="s">
        <v>2467</v>
      </c>
      <c r="D1871" s="32" t="s">
        <v>184</v>
      </c>
      <c r="E1871" s="32" t="s">
        <v>214</v>
      </c>
      <c r="F1871" s="32" t="s">
        <v>222</v>
      </c>
      <c r="G1871" s="32" t="s">
        <v>216</v>
      </c>
    </row>
    <row r="1872" ht="16.5" customHeight="1">
      <c r="A1872" s="32">
        <v>1868.0</v>
      </c>
      <c r="C1872" s="32" t="s">
        <v>2468</v>
      </c>
      <c r="D1872" s="32" t="s">
        <v>184</v>
      </c>
      <c r="E1872" s="32" t="s">
        <v>214</v>
      </c>
      <c r="F1872" s="32" t="s">
        <v>222</v>
      </c>
      <c r="G1872" s="32" t="s">
        <v>604</v>
      </c>
    </row>
    <row r="1873" ht="16.5" customHeight="1">
      <c r="A1873" s="32">
        <v>1869.0</v>
      </c>
      <c r="C1873" s="32" t="s">
        <v>2469</v>
      </c>
      <c r="D1873" s="32" t="s">
        <v>184</v>
      </c>
      <c r="E1873" s="32" t="s">
        <v>228</v>
      </c>
      <c r="F1873" s="32" t="s">
        <v>222</v>
      </c>
      <c r="G1873" s="32" t="s">
        <v>229</v>
      </c>
      <c r="H1873" s="32" t="s">
        <v>626</v>
      </c>
    </row>
    <row r="1874" ht="16.5" customHeight="1">
      <c r="A1874" s="32">
        <v>1870.0</v>
      </c>
      <c r="C1874" s="32" t="s">
        <v>2470</v>
      </c>
      <c r="D1874" s="32" t="s">
        <v>184</v>
      </c>
      <c r="E1874" s="32" t="s">
        <v>228</v>
      </c>
      <c r="F1874" s="32" t="s">
        <v>222</v>
      </c>
    </row>
    <row r="1875" ht="16.5" customHeight="1">
      <c r="A1875" s="32">
        <v>1871.0</v>
      </c>
      <c r="C1875" s="32" t="s">
        <v>2471</v>
      </c>
      <c r="D1875" s="32" t="s">
        <v>184</v>
      </c>
      <c r="E1875" s="32" t="s">
        <v>219</v>
      </c>
      <c r="F1875" s="32" t="s">
        <v>222</v>
      </c>
    </row>
    <row r="1876" ht="16.5" customHeight="1">
      <c r="A1876" s="32">
        <v>1872.0</v>
      </c>
      <c r="C1876" s="32" t="s">
        <v>2472</v>
      </c>
      <c r="D1876" s="32" t="s">
        <v>184</v>
      </c>
      <c r="E1876" s="32" t="s">
        <v>228</v>
      </c>
      <c r="F1876" s="32" t="s">
        <v>222</v>
      </c>
      <c r="G1876" s="32" t="s">
        <v>229</v>
      </c>
      <c r="H1876" s="32" t="s">
        <v>244</v>
      </c>
    </row>
    <row r="1877" ht="16.5" customHeight="1">
      <c r="A1877" s="32">
        <v>1873.0</v>
      </c>
      <c r="C1877" s="32" t="s">
        <v>2473</v>
      </c>
      <c r="D1877" s="32" t="s">
        <v>184</v>
      </c>
      <c r="E1877" s="32" t="s">
        <v>219</v>
      </c>
      <c r="F1877" s="32" t="s">
        <v>222</v>
      </c>
      <c r="G1877" s="32" t="s">
        <v>223</v>
      </c>
    </row>
    <row r="1878" ht="16.5" customHeight="1">
      <c r="A1878" s="32">
        <v>1874.0</v>
      </c>
      <c r="C1878" s="32" t="s">
        <v>2474</v>
      </c>
      <c r="D1878" s="32" t="s">
        <v>184</v>
      </c>
      <c r="E1878" s="32" t="s">
        <v>214</v>
      </c>
      <c r="F1878" s="32" t="s">
        <v>222</v>
      </c>
      <c r="G1878" s="32" t="s">
        <v>720</v>
      </c>
    </row>
    <row r="1879" ht="16.5" customHeight="1">
      <c r="A1879" s="32">
        <v>1875.0</v>
      </c>
      <c r="C1879" s="32" t="s">
        <v>2475</v>
      </c>
      <c r="D1879" s="32" t="s">
        <v>184</v>
      </c>
      <c r="E1879" s="32" t="s">
        <v>228</v>
      </c>
      <c r="F1879" s="32" t="s">
        <v>222</v>
      </c>
      <c r="G1879" s="32" t="s">
        <v>229</v>
      </c>
      <c r="H1879" s="32" t="s">
        <v>2476</v>
      </c>
    </row>
    <row r="1880" ht="16.5" customHeight="1">
      <c r="A1880" s="32">
        <v>1876.0</v>
      </c>
      <c r="C1880" s="32" t="s">
        <v>2477</v>
      </c>
      <c r="D1880" s="32" t="s">
        <v>184</v>
      </c>
      <c r="E1880" s="32" t="s">
        <v>325</v>
      </c>
      <c r="F1880" s="32" t="s">
        <v>222</v>
      </c>
      <c r="G1880" s="32" t="s">
        <v>368</v>
      </c>
      <c r="H1880" s="32" t="s">
        <v>463</v>
      </c>
    </row>
    <row r="1881" ht="16.5" customHeight="1">
      <c r="A1881" s="32">
        <v>1877.0</v>
      </c>
      <c r="C1881" s="32" t="s">
        <v>2478</v>
      </c>
      <c r="D1881" s="32" t="s">
        <v>184</v>
      </c>
      <c r="E1881" s="32" t="s">
        <v>325</v>
      </c>
      <c r="F1881" s="32" t="s">
        <v>222</v>
      </c>
      <c r="G1881" s="32" t="s">
        <v>368</v>
      </c>
      <c r="H1881" s="32" t="s">
        <v>463</v>
      </c>
    </row>
    <row r="1882" ht="16.5" customHeight="1">
      <c r="A1882" s="32">
        <v>1878.0</v>
      </c>
      <c r="C1882" s="32" t="s">
        <v>2479</v>
      </c>
      <c r="D1882" s="32" t="s">
        <v>184</v>
      </c>
      <c r="E1882" s="32" t="s">
        <v>325</v>
      </c>
      <c r="F1882" s="32" t="s">
        <v>222</v>
      </c>
      <c r="G1882" s="32" t="s">
        <v>368</v>
      </c>
      <c r="H1882" s="32" t="s">
        <v>463</v>
      </c>
    </row>
    <row r="1883" ht="16.5" customHeight="1">
      <c r="A1883" s="32">
        <v>1879.0</v>
      </c>
      <c r="C1883" s="32" t="s">
        <v>2480</v>
      </c>
      <c r="D1883" s="32" t="s">
        <v>184</v>
      </c>
      <c r="E1883" s="32" t="s">
        <v>214</v>
      </c>
      <c r="F1883" s="32" t="s">
        <v>222</v>
      </c>
      <c r="G1883" s="32" t="s">
        <v>720</v>
      </c>
    </row>
    <row r="1884" ht="16.5" customHeight="1">
      <c r="A1884" s="32">
        <v>1880.0</v>
      </c>
      <c r="C1884" s="32" t="s">
        <v>2481</v>
      </c>
      <c r="D1884" s="32" t="s">
        <v>184</v>
      </c>
      <c r="E1884" s="32" t="s">
        <v>214</v>
      </c>
      <c r="F1884" s="32" t="s">
        <v>222</v>
      </c>
      <c r="G1884" s="32" t="s">
        <v>305</v>
      </c>
      <c r="H1884" s="32" t="s">
        <v>2482</v>
      </c>
    </row>
    <row r="1885" ht="16.5" customHeight="1">
      <c r="A1885" s="32">
        <v>1881.0</v>
      </c>
      <c r="C1885" s="32" t="s">
        <v>2483</v>
      </c>
      <c r="D1885" s="32" t="s">
        <v>184</v>
      </c>
      <c r="E1885" s="32" t="s">
        <v>219</v>
      </c>
      <c r="F1885" s="32" t="s">
        <v>222</v>
      </c>
      <c r="G1885" s="32" t="s">
        <v>232</v>
      </c>
      <c r="H1885" s="32" t="s">
        <v>233</v>
      </c>
    </row>
    <row r="1886" ht="16.5" customHeight="1">
      <c r="A1886" s="32">
        <v>1882.0</v>
      </c>
      <c r="C1886" s="32" t="s">
        <v>2484</v>
      </c>
      <c r="D1886" s="32" t="s">
        <v>184</v>
      </c>
      <c r="E1886" s="32" t="s">
        <v>214</v>
      </c>
      <c r="F1886" s="32" t="s">
        <v>222</v>
      </c>
      <c r="G1886" s="32" t="s">
        <v>216</v>
      </c>
      <c r="H1886" s="32" t="s">
        <v>217</v>
      </c>
    </row>
    <row r="1887" ht="16.5" customHeight="1">
      <c r="A1887" s="32">
        <v>1883.0</v>
      </c>
      <c r="C1887" s="32" t="s">
        <v>2485</v>
      </c>
      <c r="D1887" s="32" t="s">
        <v>184</v>
      </c>
      <c r="E1887" s="32" t="s">
        <v>214</v>
      </c>
      <c r="F1887" s="32" t="s">
        <v>222</v>
      </c>
      <c r="G1887" s="32" t="s">
        <v>216</v>
      </c>
      <c r="H1887" s="32" t="s">
        <v>217</v>
      </c>
    </row>
    <row r="1888" ht="16.5" customHeight="1">
      <c r="A1888" s="32">
        <v>1884.0</v>
      </c>
      <c r="C1888" s="32" t="s">
        <v>2486</v>
      </c>
      <c r="D1888" s="32" t="s">
        <v>184</v>
      </c>
      <c r="E1888" s="32" t="s">
        <v>219</v>
      </c>
      <c r="F1888" s="32" t="s">
        <v>222</v>
      </c>
    </row>
    <row r="1889" ht="16.5" customHeight="1">
      <c r="A1889" s="32">
        <v>1885.0</v>
      </c>
      <c r="C1889" s="32" t="s">
        <v>2487</v>
      </c>
      <c r="D1889" s="32" t="s">
        <v>184</v>
      </c>
      <c r="E1889" s="32" t="s">
        <v>228</v>
      </c>
      <c r="F1889" s="32" t="s">
        <v>222</v>
      </c>
      <c r="G1889" s="32" t="s">
        <v>229</v>
      </c>
      <c r="H1889" s="32" t="s">
        <v>626</v>
      </c>
    </row>
    <row r="1890" ht="16.5" customHeight="1">
      <c r="A1890" s="32">
        <v>1886.0</v>
      </c>
      <c r="C1890" s="32" t="s">
        <v>2488</v>
      </c>
      <c r="D1890" s="32" t="s">
        <v>184</v>
      </c>
      <c r="E1890" s="32" t="s">
        <v>228</v>
      </c>
      <c r="F1890" s="32" t="s">
        <v>222</v>
      </c>
      <c r="G1890" s="32" t="s">
        <v>229</v>
      </c>
      <c r="H1890" s="32" t="s">
        <v>230</v>
      </c>
    </row>
    <row r="1891" ht="16.5" customHeight="1">
      <c r="A1891" s="32">
        <v>1887.0</v>
      </c>
      <c r="C1891" s="32" t="s">
        <v>2489</v>
      </c>
      <c r="D1891" s="32" t="s">
        <v>184</v>
      </c>
      <c r="E1891" s="32" t="s">
        <v>228</v>
      </c>
      <c r="F1891" s="32" t="s">
        <v>222</v>
      </c>
      <c r="G1891" s="32" t="s">
        <v>229</v>
      </c>
      <c r="H1891" s="32" t="s">
        <v>1334</v>
      </c>
    </row>
    <row r="1892" ht="16.5" customHeight="1">
      <c r="A1892" s="32">
        <v>1888.0</v>
      </c>
      <c r="C1892" s="32" t="s">
        <v>2490</v>
      </c>
      <c r="D1892" s="32" t="s">
        <v>184</v>
      </c>
      <c r="E1892" s="32" t="s">
        <v>228</v>
      </c>
      <c r="F1892" s="32" t="s">
        <v>222</v>
      </c>
    </row>
    <row r="1893" ht="16.5" customHeight="1">
      <c r="A1893" s="32">
        <v>1889.0</v>
      </c>
      <c r="C1893" s="32" t="s">
        <v>2491</v>
      </c>
      <c r="D1893" s="32" t="s">
        <v>184</v>
      </c>
      <c r="E1893" s="32" t="s">
        <v>219</v>
      </c>
      <c r="F1893" s="32" t="s">
        <v>222</v>
      </c>
      <c r="G1893" s="32" t="s">
        <v>223</v>
      </c>
    </row>
    <row r="1894" ht="16.5" customHeight="1">
      <c r="A1894" s="32">
        <v>1890.0</v>
      </c>
      <c r="C1894" s="32" t="s">
        <v>2492</v>
      </c>
      <c r="D1894" s="32" t="s">
        <v>184</v>
      </c>
      <c r="E1894" s="32" t="s">
        <v>219</v>
      </c>
      <c r="F1894" s="32" t="s">
        <v>222</v>
      </c>
      <c r="G1894" s="32" t="s">
        <v>223</v>
      </c>
    </row>
    <row r="1895" ht="16.5" customHeight="1">
      <c r="A1895" s="32">
        <v>1891.0</v>
      </c>
      <c r="C1895" s="32" t="s">
        <v>2493</v>
      </c>
      <c r="D1895" s="32" t="s">
        <v>184</v>
      </c>
      <c r="E1895" s="32" t="s">
        <v>254</v>
      </c>
      <c r="F1895" s="32" t="s">
        <v>222</v>
      </c>
    </row>
    <row r="1896" ht="16.5" customHeight="1">
      <c r="A1896" s="32">
        <v>1892.0</v>
      </c>
      <c r="C1896" s="32" t="s">
        <v>2494</v>
      </c>
      <c r="D1896" s="32" t="s">
        <v>184</v>
      </c>
      <c r="E1896" s="32" t="s">
        <v>254</v>
      </c>
      <c r="F1896" s="32" t="s">
        <v>222</v>
      </c>
    </row>
    <row r="1897" ht="16.5" customHeight="1">
      <c r="A1897" s="32">
        <v>1893.0</v>
      </c>
      <c r="C1897" s="32" t="s">
        <v>2495</v>
      </c>
      <c r="D1897" s="32" t="s">
        <v>184</v>
      </c>
      <c r="E1897" s="32" t="s">
        <v>234</v>
      </c>
      <c r="F1897" s="32" t="s">
        <v>222</v>
      </c>
      <c r="G1897" s="32" t="s">
        <v>472</v>
      </c>
      <c r="H1897" s="32" t="s">
        <v>230</v>
      </c>
    </row>
    <row r="1898" ht="16.5" customHeight="1">
      <c r="A1898" s="32">
        <v>1894.0</v>
      </c>
      <c r="C1898" s="32" t="s">
        <v>2496</v>
      </c>
      <c r="D1898" s="32" t="s">
        <v>184</v>
      </c>
      <c r="E1898" s="32" t="s">
        <v>219</v>
      </c>
      <c r="F1898" s="32" t="s">
        <v>222</v>
      </c>
    </row>
    <row r="1899" ht="16.5" customHeight="1">
      <c r="A1899" s="32">
        <v>1895.0</v>
      </c>
      <c r="C1899" s="32" t="s">
        <v>2497</v>
      </c>
      <c r="D1899" s="32" t="s">
        <v>184</v>
      </c>
      <c r="E1899" s="32" t="s">
        <v>192</v>
      </c>
      <c r="F1899" s="32" t="s">
        <v>222</v>
      </c>
    </row>
    <row r="1900" ht="16.5" customHeight="1">
      <c r="A1900" s="32">
        <v>1896.0</v>
      </c>
      <c r="C1900" s="32" t="s">
        <v>2498</v>
      </c>
      <c r="D1900" s="32" t="s">
        <v>184</v>
      </c>
      <c r="E1900" s="32" t="s">
        <v>192</v>
      </c>
      <c r="F1900" s="32" t="s">
        <v>222</v>
      </c>
      <c r="G1900" s="32" t="s">
        <v>238</v>
      </c>
      <c r="H1900" s="32" t="s">
        <v>1621</v>
      </c>
    </row>
    <row r="1901" ht="16.5" customHeight="1">
      <c r="A1901" s="32">
        <v>1897.0</v>
      </c>
      <c r="C1901" s="32" t="s">
        <v>2499</v>
      </c>
      <c r="D1901" s="32" t="s">
        <v>184</v>
      </c>
      <c r="E1901" s="32" t="s">
        <v>192</v>
      </c>
      <c r="F1901" s="32" t="s">
        <v>222</v>
      </c>
      <c r="G1901" s="32" t="s">
        <v>238</v>
      </c>
      <c r="H1901" s="32" t="s">
        <v>618</v>
      </c>
    </row>
    <row r="1902" ht="16.5" customHeight="1">
      <c r="A1902" s="32">
        <v>1898.0</v>
      </c>
      <c r="C1902" s="32" t="s">
        <v>2500</v>
      </c>
      <c r="D1902" s="32" t="s">
        <v>184</v>
      </c>
      <c r="E1902" s="32" t="s">
        <v>285</v>
      </c>
      <c r="F1902" s="32" t="s">
        <v>222</v>
      </c>
    </row>
    <row r="1903" ht="16.5" customHeight="1">
      <c r="A1903" s="32">
        <v>1899.0</v>
      </c>
      <c r="C1903" s="32" t="s">
        <v>2501</v>
      </c>
      <c r="D1903" s="32" t="s">
        <v>184</v>
      </c>
      <c r="E1903" s="32" t="s">
        <v>254</v>
      </c>
      <c r="F1903" s="32" t="s">
        <v>222</v>
      </c>
      <c r="G1903" s="32" t="s">
        <v>257</v>
      </c>
    </row>
    <row r="1904" ht="16.5" customHeight="1">
      <c r="A1904" s="32">
        <v>1900.0</v>
      </c>
      <c r="C1904" s="32" t="s">
        <v>2502</v>
      </c>
      <c r="D1904" s="32" t="s">
        <v>184</v>
      </c>
      <c r="E1904" s="32" t="s">
        <v>254</v>
      </c>
      <c r="F1904" s="32" t="s">
        <v>222</v>
      </c>
      <c r="G1904" s="32" t="s">
        <v>257</v>
      </c>
      <c r="H1904" s="32" t="s">
        <v>271</v>
      </c>
    </row>
    <row r="1905" ht="16.5" customHeight="1">
      <c r="A1905" s="32">
        <v>1901.0</v>
      </c>
      <c r="C1905" s="32" t="s">
        <v>2503</v>
      </c>
      <c r="D1905" s="32" t="s">
        <v>184</v>
      </c>
      <c r="E1905" s="32" t="s">
        <v>254</v>
      </c>
      <c r="F1905" s="32" t="s">
        <v>222</v>
      </c>
    </row>
    <row r="1906" ht="16.5" customHeight="1">
      <c r="A1906" s="32">
        <v>1902.0</v>
      </c>
      <c r="C1906" s="32" t="s">
        <v>2504</v>
      </c>
      <c r="D1906" s="32" t="s">
        <v>184</v>
      </c>
      <c r="E1906" s="32" t="s">
        <v>254</v>
      </c>
      <c r="F1906" s="32" t="s">
        <v>222</v>
      </c>
      <c r="G1906" s="32" t="s">
        <v>2505</v>
      </c>
    </row>
    <row r="1907" ht="16.5" customHeight="1">
      <c r="A1907" s="32">
        <v>1903.0</v>
      </c>
      <c r="C1907" s="32" t="s">
        <v>2506</v>
      </c>
      <c r="D1907" s="32" t="s">
        <v>184</v>
      </c>
      <c r="E1907" s="32" t="s">
        <v>254</v>
      </c>
      <c r="F1907" s="32" t="s">
        <v>222</v>
      </c>
      <c r="G1907" s="32" t="s">
        <v>257</v>
      </c>
      <c r="H1907" s="32" t="s">
        <v>2507</v>
      </c>
    </row>
    <row r="1908" ht="16.5" customHeight="1">
      <c r="A1908" s="32">
        <v>1904.0</v>
      </c>
      <c r="C1908" s="32" t="s">
        <v>2508</v>
      </c>
      <c r="D1908" s="32" t="s">
        <v>184</v>
      </c>
      <c r="E1908" s="32" t="s">
        <v>254</v>
      </c>
      <c r="F1908" s="32" t="s">
        <v>222</v>
      </c>
      <c r="G1908" s="32" t="s">
        <v>257</v>
      </c>
    </row>
    <row r="1909" ht="16.5" customHeight="1">
      <c r="A1909" s="32">
        <v>1905.0</v>
      </c>
      <c r="C1909" s="32" t="s">
        <v>2509</v>
      </c>
      <c r="D1909" s="32" t="s">
        <v>184</v>
      </c>
      <c r="E1909" s="32" t="s">
        <v>185</v>
      </c>
      <c r="F1909" s="32" t="s">
        <v>222</v>
      </c>
      <c r="G1909" s="32" t="s">
        <v>187</v>
      </c>
      <c r="H1909" s="32" t="s">
        <v>2510</v>
      </c>
    </row>
    <row r="1910" ht="16.5" customHeight="1">
      <c r="A1910" s="32">
        <v>1906.0</v>
      </c>
      <c r="C1910" s="32" t="s">
        <v>2511</v>
      </c>
      <c r="D1910" s="32" t="s">
        <v>184</v>
      </c>
      <c r="E1910" s="35" t="s">
        <v>294</v>
      </c>
      <c r="F1910" s="32" t="s">
        <v>222</v>
      </c>
      <c r="G1910" s="32" t="s">
        <v>295</v>
      </c>
      <c r="H1910" s="32" t="s">
        <v>2512</v>
      </c>
    </row>
    <row r="1911" ht="16.5" customHeight="1">
      <c r="A1911" s="32">
        <v>1907.0</v>
      </c>
      <c r="C1911" s="32" t="s">
        <v>2513</v>
      </c>
      <c r="D1911" s="32" t="s">
        <v>184</v>
      </c>
      <c r="E1911" s="35" t="s">
        <v>294</v>
      </c>
      <c r="F1911" s="32" t="s">
        <v>222</v>
      </c>
      <c r="G1911" s="32" t="s">
        <v>295</v>
      </c>
      <c r="H1911" s="32" t="s">
        <v>2512</v>
      </c>
    </row>
    <row r="1912" ht="16.5" customHeight="1">
      <c r="A1912" s="32">
        <v>1908.0</v>
      </c>
      <c r="C1912" s="32" t="s">
        <v>2514</v>
      </c>
      <c r="D1912" s="32" t="s">
        <v>184</v>
      </c>
      <c r="E1912" s="32" t="s">
        <v>285</v>
      </c>
      <c r="F1912" s="32" t="s">
        <v>222</v>
      </c>
    </row>
    <row r="1913" ht="16.5" customHeight="1">
      <c r="A1913" s="32">
        <v>1909.0</v>
      </c>
      <c r="C1913" s="32" t="s">
        <v>2515</v>
      </c>
      <c r="D1913" s="32" t="s">
        <v>184</v>
      </c>
      <c r="E1913" s="32" t="s">
        <v>192</v>
      </c>
      <c r="F1913" s="32" t="s">
        <v>222</v>
      </c>
    </row>
    <row r="1914" ht="16.5" customHeight="1">
      <c r="A1914" s="32">
        <v>1910.0</v>
      </c>
      <c r="C1914" s="32" t="s">
        <v>2516</v>
      </c>
      <c r="D1914" s="32" t="s">
        <v>184</v>
      </c>
      <c r="E1914" s="32" t="s">
        <v>228</v>
      </c>
      <c r="F1914" s="32" t="s">
        <v>222</v>
      </c>
      <c r="G1914" s="32" t="s">
        <v>544</v>
      </c>
      <c r="H1914" s="32" t="s">
        <v>2517</v>
      </c>
    </row>
    <row r="1915" ht="16.5" customHeight="1">
      <c r="A1915" s="32">
        <v>1911.0</v>
      </c>
      <c r="C1915" s="32" t="s">
        <v>2518</v>
      </c>
      <c r="D1915" s="32" t="s">
        <v>184</v>
      </c>
      <c r="E1915" s="32" t="s">
        <v>254</v>
      </c>
      <c r="F1915" s="32" t="s">
        <v>222</v>
      </c>
      <c r="G1915" s="32" t="s">
        <v>2519</v>
      </c>
      <c r="H1915" s="32" t="s">
        <v>2520</v>
      </c>
    </row>
    <row r="1916" ht="16.5" customHeight="1">
      <c r="A1916" s="32">
        <v>1912.0</v>
      </c>
      <c r="C1916" s="32" t="s">
        <v>2521</v>
      </c>
      <c r="D1916" s="32" t="s">
        <v>184</v>
      </c>
      <c r="E1916" s="32" t="s">
        <v>285</v>
      </c>
      <c r="F1916" s="32" t="s">
        <v>222</v>
      </c>
      <c r="G1916" s="32" t="s">
        <v>295</v>
      </c>
      <c r="H1916" s="32" t="s">
        <v>2522</v>
      </c>
    </row>
    <row r="1917" ht="16.5" customHeight="1">
      <c r="A1917" s="32">
        <v>1913.0</v>
      </c>
      <c r="C1917" s="32" t="s">
        <v>2523</v>
      </c>
      <c r="D1917" s="32" t="s">
        <v>184</v>
      </c>
      <c r="E1917" s="32" t="s">
        <v>234</v>
      </c>
      <c r="F1917" s="32" t="s">
        <v>222</v>
      </c>
      <c r="G1917" s="32" t="s">
        <v>347</v>
      </c>
      <c r="H1917" s="32" t="s">
        <v>382</v>
      </c>
    </row>
    <row r="1918" ht="16.5" customHeight="1">
      <c r="A1918" s="32">
        <v>1914.0</v>
      </c>
      <c r="C1918" s="32" t="s">
        <v>2524</v>
      </c>
      <c r="D1918" s="32" t="s">
        <v>184</v>
      </c>
      <c r="E1918" s="32" t="s">
        <v>234</v>
      </c>
      <c r="F1918" s="32" t="s">
        <v>222</v>
      </c>
      <c r="G1918" s="32" t="s">
        <v>235</v>
      </c>
      <c r="H1918" s="32" t="s">
        <v>236</v>
      </c>
    </row>
    <row r="1919" ht="16.5" customHeight="1">
      <c r="A1919" s="32">
        <v>1915.0</v>
      </c>
      <c r="C1919" s="32" t="s">
        <v>2525</v>
      </c>
      <c r="D1919" s="32" t="s">
        <v>184</v>
      </c>
      <c r="E1919" s="32" t="s">
        <v>192</v>
      </c>
      <c r="F1919" s="32" t="s">
        <v>222</v>
      </c>
    </row>
    <row r="1920" ht="16.5" customHeight="1">
      <c r="A1920" s="32">
        <v>1916.0</v>
      </c>
      <c r="C1920" s="32" t="s">
        <v>2526</v>
      </c>
      <c r="D1920" s="32" t="s">
        <v>184</v>
      </c>
      <c r="E1920" s="32" t="s">
        <v>234</v>
      </c>
      <c r="F1920" s="32" t="s">
        <v>222</v>
      </c>
      <c r="G1920" s="32" t="s">
        <v>347</v>
      </c>
      <c r="H1920" s="32" t="s">
        <v>382</v>
      </c>
    </row>
    <row r="1921" ht="16.5" customHeight="1">
      <c r="A1921" s="32">
        <v>1917.0</v>
      </c>
      <c r="C1921" s="32" t="s">
        <v>2527</v>
      </c>
      <c r="D1921" s="32" t="s">
        <v>184</v>
      </c>
      <c r="E1921" s="32" t="s">
        <v>228</v>
      </c>
      <c r="F1921" s="32" t="s">
        <v>222</v>
      </c>
    </row>
    <row r="1922" ht="16.5" customHeight="1">
      <c r="A1922" s="32">
        <v>1918.0</v>
      </c>
      <c r="C1922" s="32" t="s">
        <v>2528</v>
      </c>
      <c r="D1922" s="32" t="s">
        <v>184</v>
      </c>
      <c r="E1922" s="35" t="s">
        <v>1129</v>
      </c>
      <c r="F1922" s="32" t="s">
        <v>222</v>
      </c>
    </row>
    <row r="1923" ht="16.5" customHeight="1">
      <c r="A1923" s="32">
        <v>1919.0</v>
      </c>
      <c r="C1923" s="32" t="s">
        <v>2529</v>
      </c>
      <c r="D1923" s="32" t="s">
        <v>184</v>
      </c>
      <c r="E1923" s="32" t="s">
        <v>285</v>
      </c>
      <c r="F1923" s="32" t="s">
        <v>222</v>
      </c>
      <c r="G1923" s="32" t="s">
        <v>189</v>
      </c>
      <c r="H1923" s="32" t="s">
        <v>190</v>
      </c>
    </row>
    <row r="1924" ht="16.5" customHeight="1">
      <c r="A1924" s="32">
        <v>1920.0</v>
      </c>
      <c r="C1924" s="32" t="s">
        <v>2530</v>
      </c>
      <c r="D1924" s="32" t="s">
        <v>184</v>
      </c>
      <c r="E1924" s="32" t="s">
        <v>219</v>
      </c>
      <c r="F1924" s="32" t="s">
        <v>222</v>
      </c>
      <c r="G1924" s="32" t="s">
        <v>232</v>
      </c>
      <c r="H1924" s="32" t="s">
        <v>233</v>
      </c>
    </row>
    <row r="1925" ht="16.5" customHeight="1">
      <c r="A1925" s="32">
        <v>1921.0</v>
      </c>
      <c r="C1925" s="32" t="s">
        <v>2531</v>
      </c>
      <c r="D1925" s="32" t="s">
        <v>184</v>
      </c>
      <c r="E1925" s="32" t="s">
        <v>228</v>
      </c>
      <c r="F1925" s="32" t="s">
        <v>222</v>
      </c>
      <c r="G1925" s="32" t="s">
        <v>229</v>
      </c>
      <c r="H1925" s="32" t="s">
        <v>244</v>
      </c>
    </row>
    <row r="1926" ht="16.5" customHeight="1">
      <c r="A1926" s="32">
        <v>1922.0</v>
      </c>
      <c r="C1926" s="32" t="s">
        <v>2532</v>
      </c>
      <c r="D1926" s="32" t="s">
        <v>184</v>
      </c>
      <c r="E1926" s="32" t="s">
        <v>325</v>
      </c>
      <c r="F1926" s="32" t="s">
        <v>222</v>
      </c>
      <c r="G1926" s="32" t="s">
        <v>368</v>
      </c>
      <c r="H1926" s="32" t="s">
        <v>463</v>
      </c>
    </row>
    <row r="1927" ht="16.5" customHeight="1">
      <c r="A1927" s="32">
        <v>1923.0</v>
      </c>
      <c r="C1927" s="32" t="s">
        <v>2533</v>
      </c>
      <c r="D1927" s="32" t="s">
        <v>184</v>
      </c>
      <c r="E1927" s="32" t="s">
        <v>325</v>
      </c>
      <c r="F1927" s="32" t="s">
        <v>222</v>
      </c>
    </row>
    <row r="1928" ht="16.5" customHeight="1">
      <c r="A1928" s="32">
        <v>1924.0</v>
      </c>
      <c r="C1928" s="32" t="s">
        <v>2534</v>
      </c>
      <c r="D1928" s="32" t="s">
        <v>184</v>
      </c>
      <c r="E1928" s="32" t="s">
        <v>325</v>
      </c>
      <c r="F1928" s="32" t="s">
        <v>222</v>
      </c>
      <c r="G1928" s="32" t="s">
        <v>368</v>
      </c>
      <c r="H1928" s="32" t="s">
        <v>463</v>
      </c>
    </row>
    <row r="1929" ht="16.5" customHeight="1">
      <c r="A1929" s="32">
        <v>1925.0</v>
      </c>
      <c r="C1929" s="32" t="s">
        <v>2535</v>
      </c>
      <c r="D1929" s="32" t="s">
        <v>184</v>
      </c>
      <c r="E1929" s="32" t="s">
        <v>185</v>
      </c>
      <c r="F1929" s="32" t="s">
        <v>222</v>
      </c>
      <c r="G1929" s="32" t="s">
        <v>267</v>
      </c>
      <c r="H1929" s="32" t="s">
        <v>188</v>
      </c>
    </row>
    <row r="1930" ht="16.5" customHeight="1">
      <c r="A1930" s="32">
        <v>1926.0</v>
      </c>
      <c r="C1930" s="32" t="s">
        <v>2536</v>
      </c>
      <c r="D1930" s="32" t="s">
        <v>184</v>
      </c>
      <c r="E1930" s="32" t="s">
        <v>185</v>
      </c>
      <c r="F1930" s="32" t="s">
        <v>222</v>
      </c>
      <c r="G1930" s="32" t="s">
        <v>187</v>
      </c>
      <c r="H1930" s="32" t="s">
        <v>482</v>
      </c>
    </row>
    <row r="1931" ht="16.5" customHeight="1">
      <c r="A1931" s="32">
        <v>1927.0</v>
      </c>
      <c r="C1931" s="32" t="s">
        <v>2537</v>
      </c>
      <c r="D1931" s="32" t="s">
        <v>184</v>
      </c>
      <c r="E1931" s="32" t="s">
        <v>185</v>
      </c>
      <c r="F1931" s="32" t="s">
        <v>222</v>
      </c>
    </row>
    <row r="1932" ht="16.5" customHeight="1">
      <c r="A1932" s="32">
        <v>1928.0</v>
      </c>
      <c r="C1932" s="32" t="s">
        <v>2538</v>
      </c>
      <c r="D1932" s="32" t="s">
        <v>184</v>
      </c>
      <c r="E1932" s="32" t="s">
        <v>185</v>
      </c>
      <c r="F1932" s="32" t="s">
        <v>222</v>
      </c>
    </row>
    <row r="1933" ht="16.5" customHeight="1">
      <c r="A1933" s="32">
        <v>1929.0</v>
      </c>
      <c r="C1933" s="32" t="s">
        <v>2539</v>
      </c>
      <c r="D1933" s="32" t="s">
        <v>184</v>
      </c>
      <c r="E1933" s="32" t="s">
        <v>185</v>
      </c>
      <c r="F1933" s="32" t="s">
        <v>222</v>
      </c>
    </row>
    <row r="1934" ht="16.5" customHeight="1">
      <c r="A1934" s="32">
        <v>1930.0</v>
      </c>
      <c r="C1934" s="32" t="s">
        <v>2540</v>
      </c>
      <c r="D1934" s="32" t="s">
        <v>184</v>
      </c>
      <c r="E1934" s="32" t="s">
        <v>185</v>
      </c>
      <c r="F1934" s="32" t="s">
        <v>222</v>
      </c>
      <c r="G1934" s="32" t="s">
        <v>187</v>
      </c>
      <c r="H1934" s="32" t="s">
        <v>854</v>
      </c>
    </row>
    <row r="1935" ht="16.5" customHeight="1">
      <c r="A1935" s="32">
        <v>1931.0</v>
      </c>
      <c r="C1935" s="32" t="s">
        <v>2541</v>
      </c>
      <c r="D1935" s="32" t="s">
        <v>184</v>
      </c>
      <c r="E1935" s="32" t="s">
        <v>185</v>
      </c>
      <c r="F1935" s="32" t="s">
        <v>222</v>
      </c>
    </row>
    <row r="1936" ht="16.5" customHeight="1">
      <c r="A1936" s="32">
        <v>1932.0</v>
      </c>
      <c r="C1936" s="32" t="s">
        <v>2542</v>
      </c>
      <c r="D1936" s="32" t="s">
        <v>184</v>
      </c>
      <c r="E1936" s="32" t="s">
        <v>285</v>
      </c>
      <c r="F1936" s="32" t="s">
        <v>222</v>
      </c>
      <c r="G1936" s="32" t="s">
        <v>189</v>
      </c>
      <c r="H1936" s="32" t="s">
        <v>190</v>
      </c>
    </row>
    <row r="1937" ht="16.5" customHeight="1">
      <c r="A1937" s="32">
        <v>1933.0</v>
      </c>
      <c r="C1937" s="32" t="s">
        <v>2543</v>
      </c>
      <c r="D1937" s="32" t="s">
        <v>184</v>
      </c>
      <c r="E1937" s="32" t="s">
        <v>185</v>
      </c>
      <c r="F1937" s="32" t="s">
        <v>222</v>
      </c>
      <c r="G1937" s="32" t="s">
        <v>189</v>
      </c>
      <c r="H1937" s="32" t="s">
        <v>190</v>
      </c>
    </row>
    <row r="1938" ht="16.5" customHeight="1">
      <c r="A1938" s="32">
        <v>1934.0</v>
      </c>
      <c r="C1938" s="32" t="s">
        <v>2544</v>
      </c>
      <c r="D1938" s="32" t="s">
        <v>184</v>
      </c>
      <c r="E1938" s="35" t="s">
        <v>294</v>
      </c>
      <c r="F1938" s="32" t="s">
        <v>222</v>
      </c>
      <c r="G1938" s="32" t="s">
        <v>189</v>
      </c>
      <c r="H1938" s="32" t="s">
        <v>190</v>
      </c>
    </row>
    <row r="1939" ht="16.5" customHeight="1">
      <c r="A1939" s="32">
        <v>1935.0</v>
      </c>
      <c r="C1939" s="32" t="s">
        <v>2545</v>
      </c>
      <c r="D1939" s="32" t="s">
        <v>184</v>
      </c>
      <c r="E1939" s="35" t="s">
        <v>294</v>
      </c>
      <c r="F1939" s="32" t="s">
        <v>222</v>
      </c>
      <c r="G1939" s="32" t="s">
        <v>189</v>
      </c>
      <c r="H1939" s="32" t="s">
        <v>190</v>
      </c>
    </row>
    <row r="1940" ht="16.5" customHeight="1">
      <c r="A1940" s="32">
        <v>1936.0</v>
      </c>
      <c r="C1940" s="32" t="s">
        <v>2546</v>
      </c>
      <c r="D1940" s="32" t="s">
        <v>184</v>
      </c>
      <c r="E1940" s="35" t="s">
        <v>294</v>
      </c>
      <c r="F1940" s="32" t="s">
        <v>222</v>
      </c>
    </row>
    <row r="1941" ht="16.5" customHeight="1">
      <c r="A1941" s="32">
        <v>1937.0</v>
      </c>
      <c r="C1941" s="32" t="s">
        <v>2547</v>
      </c>
      <c r="D1941" s="32" t="s">
        <v>184</v>
      </c>
      <c r="E1941" s="32" t="s">
        <v>285</v>
      </c>
      <c r="F1941" s="32" t="s">
        <v>222</v>
      </c>
      <c r="G1941" s="32" t="s">
        <v>189</v>
      </c>
      <c r="H1941" s="32" t="s">
        <v>190</v>
      </c>
    </row>
    <row r="1942" ht="16.5" customHeight="1">
      <c r="A1942" s="32">
        <v>1938.0</v>
      </c>
      <c r="C1942" s="32" t="s">
        <v>2548</v>
      </c>
      <c r="D1942" s="32" t="s">
        <v>184</v>
      </c>
      <c r="E1942" s="32" t="s">
        <v>285</v>
      </c>
      <c r="F1942" s="32" t="s">
        <v>222</v>
      </c>
    </row>
    <row r="1943" ht="16.5" customHeight="1">
      <c r="A1943" s="32">
        <v>1939.0</v>
      </c>
      <c r="C1943" s="32" t="s">
        <v>2549</v>
      </c>
      <c r="D1943" s="32" t="s">
        <v>184</v>
      </c>
      <c r="E1943" s="32" t="s">
        <v>764</v>
      </c>
      <c r="F1943" s="32" t="s">
        <v>222</v>
      </c>
    </row>
    <row r="1944" ht="16.5" customHeight="1">
      <c r="A1944" s="32">
        <v>1940.0</v>
      </c>
      <c r="C1944" s="32" t="s">
        <v>2550</v>
      </c>
      <c r="D1944" s="32" t="s">
        <v>184</v>
      </c>
      <c r="E1944" s="32" t="s">
        <v>219</v>
      </c>
      <c r="F1944" s="32" t="s">
        <v>222</v>
      </c>
      <c r="G1944" s="32" t="s">
        <v>241</v>
      </c>
      <c r="H1944" s="32" t="s">
        <v>292</v>
      </c>
    </row>
    <row r="1945" ht="16.5" customHeight="1">
      <c r="A1945" s="32">
        <v>1941.0</v>
      </c>
      <c r="C1945" s="32" t="s">
        <v>2551</v>
      </c>
      <c r="D1945" s="32" t="s">
        <v>184</v>
      </c>
      <c r="E1945" s="32" t="s">
        <v>185</v>
      </c>
      <c r="F1945" s="32" t="s">
        <v>222</v>
      </c>
      <c r="G1945" s="32" t="s">
        <v>267</v>
      </c>
      <c r="H1945" s="32" t="s">
        <v>188</v>
      </c>
    </row>
    <row r="1946" ht="16.5" customHeight="1">
      <c r="A1946" s="32">
        <v>1942.0</v>
      </c>
      <c r="C1946" s="32" t="s">
        <v>2552</v>
      </c>
      <c r="D1946" s="32" t="s">
        <v>184</v>
      </c>
      <c r="E1946" s="32" t="s">
        <v>228</v>
      </c>
      <c r="F1946" s="32" t="s">
        <v>222</v>
      </c>
      <c r="G1946" s="32" t="s">
        <v>544</v>
      </c>
      <c r="H1946" s="32" t="s">
        <v>2436</v>
      </c>
    </row>
    <row r="1947" ht="16.5" customHeight="1">
      <c r="A1947" s="32">
        <v>1943.0</v>
      </c>
      <c r="C1947" s="32" t="s">
        <v>2553</v>
      </c>
      <c r="D1947" s="32" t="s">
        <v>184</v>
      </c>
      <c r="E1947" s="32" t="s">
        <v>254</v>
      </c>
      <c r="F1947" s="32" t="s">
        <v>222</v>
      </c>
    </row>
    <row r="1948" ht="16.5" customHeight="1">
      <c r="A1948" s="32">
        <v>1944.0</v>
      </c>
      <c r="C1948" s="32" t="s">
        <v>2554</v>
      </c>
      <c r="D1948" s="32" t="s">
        <v>184</v>
      </c>
      <c r="E1948" s="32" t="s">
        <v>285</v>
      </c>
      <c r="F1948" s="32" t="s">
        <v>222</v>
      </c>
      <c r="G1948" s="32" t="s">
        <v>189</v>
      </c>
      <c r="H1948" s="32" t="s">
        <v>190</v>
      </c>
    </row>
    <row r="1949" ht="16.5" customHeight="1">
      <c r="A1949" s="32">
        <v>1945.0</v>
      </c>
      <c r="C1949" s="32" t="s">
        <v>2555</v>
      </c>
      <c r="D1949" s="32" t="s">
        <v>184</v>
      </c>
      <c r="E1949" s="32" t="s">
        <v>285</v>
      </c>
      <c r="F1949" s="32" t="s">
        <v>222</v>
      </c>
      <c r="G1949" s="32" t="s">
        <v>189</v>
      </c>
      <c r="H1949" s="32" t="s">
        <v>190</v>
      </c>
    </row>
    <row r="1950" ht="16.5" customHeight="1">
      <c r="A1950" s="32">
        <v>1946.0</v>
      </c>
      <c r="C1950" s="32" t="s">
        <v>2556</v>
      </c>
      <c r="D1950" s="32" t="s">
        <v>184</v>
      </c>
      <c r="E1950" s="32" t="s">
        <v>285</v>
      </c>
      <c r="F1950" s="32" t="s">
        <v>222</v>
      </c>
      <c r="G1950" s="32" t="s">
        <v>189</v>
      </c>
      <c r="H1950" s="32" t="s">
        <v>190</v>
      </c>
    </row>
    <row r="1951" ht="16.5" customHeight="1">
      <c r="A1951" s="32">
        <v>1947.0</v>
      </c>
      <c r="C1951" s="32" t="s">
        <v>2557</v>
      </c>
      <c r="D1951" s="32" t="s">
        <v>184</v>
      </c>
      <c r="E1951" s="32" t="s">
        <v>285</v>
      </c>
      <c r="F1951" s="32" t="s">
        <v>222</v>
      </c>
      <c r="G1951" s="32" t="s">
        <v>189</v>
      </c>
      <c r="H1951" s="32" t="s">
        <v>190</v>
      </c>
    </row>
    <row r="1952" ht="16.5" customHeight="1">
      <c r="A1952" s="32">
        <v>1948.0</v>
      </c>
      <c r="C1952" s="32" t="s">
        <v>2558</v>
      </c>
      <c r="D1952" s="32" t="s">
        <v>184</v>
      </c>
      <c r="E1952" s="35" t="s">
        <v>294</v>
      </c>
      <c r="F1952" s="32" t="s">
        <v>222</v>
      </c>
      <c r="G1952" s="32" t="s">
        <v>189</v>
      </c>
      <c r="H1952" s="32" t="s">
        <v>190</v>
      </c>
    </row>
    <row r="1953" ht="16.5" customHeight="1">
      <c r="A1953" s="32">
        <v>1949.0</v>
      </c>
      <c r="C1953" s="32" t="s">
        <v>2559</v>
      </c>
      <c r="D1953" s="32" t="s">
        <v>184</v>
      </c>
      <c r="E1953" s="35" t="s">
        <v>1798</v>
      </c>
      <c r="F1953" s="32" t="s">
        <v>222</v>
      </c>
      <c r="G1953" s="32" t="s">
        <v>2560</v>
      </c>
      <c r="H1953" s="32" t="s">
        <v>2561</v>
      </c>
    </row>
    <row r="1954" ht="16.5" customHeight="1">
      <c r="A1954" s="32">
        <v>1950.0</v>
      </c>
      <c r="C1954" s="32" t="s">
        <v>2562</v>
      </c>
      <c r="D1954" s="32" t="s">
        <v>184</v>
      </c>
      <c r="E1954" s="32" t="s">
        <v>185</v>
      </c>
      <c r="F1954" s="32" t="s">
        <v>222</v>
      </c>
      <c r="G1954" s="32" t="s">
        <v>189</v>
      </c>
      <c r="H1954" s="32" t="s">
        <v>190</v>
      </c>
    </row>
    <row r="1955" ht="16.5" customHeight="1">
      <c r="A1955" s="32">
        <v>1951.0</v>
      </c>
      <c r="C1955" s="32" t="s">
        <v>2562</v>
      </c>
      <c r="D1955" s="32" t="s">
        <v>184</v>
      </c>
      <c r="E1955" s="32" t="s">
        <v>285</v>
      </c>
      <c r="F1955" s="32" t="s">
        <v>222</v>
      </c>
      <c r="G1955" s="32" t="s">
        <v>189</v>
      </c>
      <c r="H1955" s="32" t="s">
        <v>190</v>
      </c>
    </row>
    <row r="1956" ht="16.5" customHeight="1">
      <c r="A1956" s="32">
        <v>1952.0</v>
      </c>
      <c r="C1956" s="32" t="s">
        <v>2563</v>
      </c>
      <c r="D1956" s="32" t="s">
        <v>184</v>
      </c>
      <c r="E1956" s="32" t="s">
        <v>285</v>
      </c>
      <c r="F1956" s="32" t="s">
        <v>222</v>
      </c>
      <c r="G1956" s="32" t="s">
        <v>189</v>
      </c>
      <c r="H1956" s="32" t="s">
        <v>190</v>
      </c>
    </row>
    <row r="1957" ht="16.5" customHeight="1">
      <c r="A1957" s="32">
        <v>1953.0</v>
      </c>
      <c r="C1957" s="32" t="s">
        <v>2564</v>
      </c>
      <c r="D1957" s="32" t="s">
        <v>184</v>
      </c>
      <c r="E1957" s="35" t="s">
        <v>294</v>
      </c>
      <c r="F1957" s="32" t="s">
        <v>222</v>
      </c>
      <c r="G1957" s="32" t="s">
        <v>189</v>
      </c>
      <c r="H1957" s="32" t="s">
        <v>190</v>
      </c>
    </row>
    <row r="1958" ht="16.5" customHeight="1">
      <c r="A1958" s="32">
        <v>1954.0</v>
      </c>
      <c r="C1958" s="32" t="s">
        <v>2565</v>
      </c>
      <c r="D1958" s="32" t="s">
        <v>184</v>
      </c>
      <c r="E1958" s="35" t="s">
        <v>1236</v>
      </c>
      <c r="F1958" s="32" t="s">
        <v>222</v>
      </c>
    </row>
    <row r="1959" ht="16.5" customHeight="1">
      <c r="A1959" s="32">
        <v>1955.0</v>
      </c>
      <c r="C1959" s="32" t="s">
        <v>2566</v>
      </c>
      <c r="D1959" s="32" t="s">
        <v>184</v>
      </c>
      <c r="E1959" s="32" t="s">
        <v>285</v>
      </c>
      <c r="F1959" s="32" t="s">
        <v>222</v>
      </c>
    </row>
    <row r="1960" ht="16.5" customHeight="1">
      <c r="A1960" s="32">
        <v>1956.0</v>
      </c>
      <c r="C1960" s="32" t="s">
        <v>2567</v>
      </c>
      <c r="D1960" s="32" t="s">
        <v>184</v>
      </c>
      <c r="E1960" s="32" t="s">
        <v>234</v>
      </c>
      <c r="F1960" s="32" t="s">
        <v>222</v>
      </c>
      <c r="G1960" s="32" t="s">
        <v>2400</v>
      </c>
      <c r="H1960" s="32" t="s">
        <v>229</v>
      </c>
    </row>
    <row r="1961" ht="16.5" customHeight="1">
      <c r="A1961" s="32">
        <v>1957.0</v>
      </c>
      <c r="C1961" s="32" t="s">
        <v>2568</v>
      </c>
      <c r="D1961" s="32" t="s">
        <v>184</v>
      </c>
      <c r="E1961" s="32" t="s">
        <v>185</v>
      </c>
      <c r="F1961" s="32" t="s">
        <v>222</v>
      </c>
    </row>
    <row r="1962" ht="16.5" customHeight="1">
      <c r="A1962" s="32">
        <v>1958.0</v>
      </c>
      <c r="C1962" s="32" t="s">
        <v>2569</v>
      </c>
      <c r="D1962" s="32" t="s">
        <v>184</v>
      </c>
      <c r="E1962" s="32" t="s">
        <v>228</v>
      </c>
      <c r="F1962" s="32" t="s">
        <v>222</v>
      </c>
    </row>
    <row r="1963" ht="16.5" customHeight="1">
      <c r="A1963" s="32">
        <v>1959.0</v>
      </c>
      <c r="C1963" s="32" t="s">
        <v>2570</v>
      </c>
      <c r="D1963" s="32" t="s">
        <v>184</v>
      </c>
      <c r="E1963" s="35" t="s">
        <v>829</v>
      </c>
      <c r="F1963" s="32" t="s">
        <v>222</v>
      </c>
      <c r="G1963" s="32" t="s">
        <v>2003</v>
      </c>
      <c r="H1963" s="32" t="s">
        <v>2004</v>
      </c>
    </row>
    <row r="1964" ht="16.5" customHeight="1">
      <c r="A1964" s="32">
        <v>1960.0</v>
      </c>
      <c r="C1964" s="32" t="s">
        <v>2571</v>
      </c>
      <c r="D1964" s="32" t="s">
        <v>184</v>
      </c>
      <c r="E1964" s="32" t="s">
        <v>228</v>
      </c>
      <c r="F1964" s="32" t="s">
        <v>222</v>
      </c>
      <c r="G1964" s="32" t="s">
        <v>229</v>
      </c>
      <c r="H1964" s="32" t="s">
        <v>1334</v>
      </c>
    </row>
    <row r="1965" ht="16.5" customHeight="1">
      <c r="A1965" s="32">
        <v>1961.0</v>
      </c>
      <c r="C1965" s="32" t="s">
        <v>2572</v>
      </c>
      <c r="D1965" s="32" t="s">
        <v>184</v>
      </c>
      <c r="E1965" s="32" t="s">
        <v>228</v>
      </c>
      <c r="F1965" s="32" t="s">
        <v>222</v>
      </c>
      <c r="G1965" s="32" t="s">
        <v>229</v>
      </c>
      <c r="H1965" s="32" t="s">
        <v>244</v>
      </c>
    </row>
    <row r="1966" ht="16.5" customHeight="1">
      <c r="A1966" s="32">
        <v>1962.0</v>
      </c>
      <c r="C1966" s="32" t="s">
        <v>2573</v>
      </c>
      <c r="D1966" s="32" t="s">
        <v>184</v>
      </c>
      <c r="E1966" s="32" t="s">
        <v>228</v>
      </c>
      <c r="F1966" s="32" t="s">
        <v>222</v>
      </c>
      <c r="G1966" s="32" t="s">
        <v>229</v>
      </c>
      <c r="H1966" s="32" t="s">
        <v>244</v>
      </c>
    </row>
    <row r="1967" ht="16.5" customHeight="1">
      <c r="A1967" s="32">
        <v>1963.0</v>
      </c>
      <c r="C1967" s="32" t="s">
        <v>2574</v>
      </c>
      <c r="D1967" s="32" t="s">
        <v>184</v>
      </c>
      <c r="E1967" s="32" t="s">
        <v>219</v>
      </c>
      <c r="F1967" s="32" t="s">
        <v>222</v>
      </c>
    </row>
    <row r="1968" ht="16.5" customHeight="1">
      <c r="A1968" s="32">
        <v>1964.0</v>
      </c>
      <c r="C1968" s="32" t="s">
        <v>2575</v>
      </c>
      <c r="D1968" s="32" t="s">
        <v>184</v>
      </c>
      <c r="E1968" s="32" t="s">
        <v>228</v>
      </c>
      <c r="F1968" s="32" t="s">
        <v>222</v>
      </c>
      <c r="G1968" s="32" t="s">
        <v>229</v>
      </c>
      <c r="H1968" s="32" t="s">
        <v>230</v>
      </c>
    </row>
    <row r="1969" ht="16.5" customHeight="1">
      <c r="A1969" s="32">
        <v>1965.0</v>
      </c>
      <c r="C1969" s="32" t="s">
        <v>2576</v>
      </c>
      <c r="D1969" s="32" t="s">
        <v>184</v>
      </c>
      <c r="E1969" s="32" t="s">
        <v>228</v>
      </c>
      <c r="F1969" s="32" t="s">
        <v>222</v>
      </c>
      <c r="G1969" s="32" t="s">
        <v>544</v>
      </c>
      <c r="H1969" s="32" t="s">
        <v>2577</v>
      </c>
    </row>
    <row r="1970" ht="16.5" customHeight="1">
      <c r="A1970" s="32">
        <v>1966.0</v>
      </c>
      <c r="C1970" s="32" t="s">
        <v>2578</v>
      </c>
      <c r="D1970" s="32" t="s">
        <v>184</v>
      </c>
      <c r="E1970" s="32" t="s">
        <v>228</v>
      </c>
      <c r="F1970" s="32" t="s">
        <v>222</v>
      </c>
      <c r="G1970" s="32" t="s">
        <v>544</v>
      </c>
      <c r="H1970" s="32" t="s">
        <v>2436</v>
      </c>
    </row>
    <row r="1971" ht="16.5" customHeight="1">
      <c r="A1971" s="32">
        <v>1967.0</v>
      </c>
      <c r="C1971" s="32" t="s">
        <v>2579</v>
      </c>
      <c r="D1971" s="32" t="s">
        <v>184</v>
      </c>
      <c r="E1971" s="32" t="s">
        <v>228</v>
      </c>
      <c r="F1971" s="32" t="s">
        <v>222</v>
      </c>
      <c r="G1971" s="32" t="s">
        <v>544</v>
      </c>
      <c r="H1971" s="32" t="s">
        <v>713</v>
      </c>
    </row>
    <row r="1972" ht="16.5" customHeight="1">
      <c r="A1972" s="32">
        <v>1968.0</v>
      </c>
      <c r="C1972" s="32" t="s">
        <v>2580</v>
      </c>
      <c r="D1972" s="32" t="s">
        <v>184</v>
      </c>
      <c r="E1972" s="32" t="s">
        <v>219</v>
      </c>
      <c r="F1972" s="32" t="s">
        <v>222</v>
      </c>
    </row>
    <row r="1973" ht="16.5" customHeight="1">
      <c r="A1973" s="32">
        <v>1969.0</v>
      </c>
      <c r="C1973" s="32" t="s">
        <v>2581</v>
      </c>
      <c r="D1973" s="32" t="s">
        <v>184</v>
      </c>
      <c r="E1973" s="32" t="s">
        <v>219</v>
      </c>
      <c r="F1973" s="32" t="s">
        <v>222</v>
      </c>
    </row>
    <row r="1974" ht="16.5" customHeight="1">
      <c r="A1974" s="32">
        <v>1970.0</v>
      </c>
      <c r="C1974" s="32" t="s">
        <v>2582</v>
      </c>
      <c r="D1974" s="32" t="s">
        <v>184</v>
      </c>
      <c r="E1974" s="32" t="s">
        <v>219</v>
      </c>
      <c r="F1974" s="32" t="s">
        <v>222</v>
      </c>
      <c r="G1974" s="32" t="s">
        <v>241</v>
      </c>
      <c r="H1974" s="32" t="s">
        <v>292</v>
      </c>
    </row>
    <row r="1975" ht="16.5" customHeight="1">
      <c r="A1975" s="32">
        <v>1971.0</v>
      </c>
      <c r="C1975" s="32" t="s">
        <v>2583</v>
      </c>
      <c r="D1975" s="32" t="s">
        <v>184</v>
      </c>
      <c r="E1975" s="35" t="s">
        <v>829</v>
      </c>
      <c r="F1975" s="32" t="s">
        <v>222</v>
      </c>
    </row>
    <row r="1976" ht="16.5" customHeight="1">
      <c r="A1976" s="32">
        <v>1972.0</v>
      </c>
      <c r="C1976" s="32" t="s">
        <v>2584</v>
      </c>
      <c r="D1976" s="32" t="s">
        <v>184</v>
      </c>
      <c r="E1976" s="32" t="s">
        <v>325</v>
      </c>
      <c r="F1976" s="32" t="s">
        <v>222</v>
      </c>
      <c r="G1976" s="32" t="s">
        <v>368</v>
      </c>
      <c r="H1976" s="32" t="s">
        <v>463</v>
      </c>
    </row>
    <row r="1977" ht="16.5" customHeight="1">
      <c r="A1977" s="32">
        <v>1973.0</v>
      </c>
      <c r="C1977" s="32" t="s">
        <v>2585</v>
      </c>
      <c r="D1977" s="32" t="s">
        <v>184</v>
      </c>
      <c r="E1977" s="32" t="s">
        <v>325</v>
      </c>
      <c r="F1977" s="32" t="s">
        <v>222</v>
      </c>
      <c r="G1977" s="32" t="s">
        <v>368</v>
      </c>
      <c r="H1977" s="32" t="s">
        <v>463</v>
      </c>
    </row>
    <row r="1978" ht="16.5" customHeight="1">
      <c r="A1978" s="32">
        <v>1974.0</v>
      </c>
      <c r="C1978" s="32" t="s">
        <v>2586</v>
      </c>
      <c r="D1978" s="32" t="s">
        <v>184</v>
      </c>
      <c r="E1978" s="32" t="s">
        <v>219</v>
      </c>
      <c r="F1978" s="32" t="s">
        <v>222</v>
      </c>
      <c r="G1978" s="32" t="s">
        <v>232</v>
      </c>
      <c r="H1978" s="32" t="s">
        <v>233</v>
      </c>
    </row>
    <row r="1979" ht="16.5" customHeight="1">
      <c r="A1979" s="32">
        <v>1975.0</v>
      </c>
      <c r="C1979" s="32" t="s">
        <v>2587</v>
      </c>
      <c r="D1979" s="32" t="s">
        <v>184</v>
      </c>
      <c r="E1979" s="32" t="s">
        <v>219</v>
      </c>
      <c r="F1979" s="32" t="s">
        <v>222</v>
      </c>
      <c r="G1979" s="32" t="s">
        <v>236</v>
      </c>
      <c r="H1979" s="32" t="s">
        <v>292</v>
      </c>
    </row>
    <row r="1980" ht="16.5" customHeight="1">
      <c r="A1980" s="32">
        <v>1976.0</v>
      </c>
      <c r="C1980" s="32" t="s">
        <v>2588</v>
      </c>
      <c r="D1980" s="32" t="s">
        <v>184</v>
      </c>
      <c r="E1980" s="32" t="s">
        <v>228</v>
      </c>
      <c r="F1980" s="32" t="s">
        <v>222</v>
      </c>
      <c r="G1980" s="32" t="s">
        <v>229</v>
      </c>
      <c r="H1980" s="32" t="s">
        <v>244</v>
      </c>
    </row>
    <row r="1981" ht="16.5" customHeight="1">
      <c r="A1981" s="32">
        <v>1977.0</v>
      </c>
      <c r="C1981" s="32" t="s">
        <v>2589</v>
      </c>
      <c r="D1981" s="32" t="s">
        <v>184</v>
      </c>
      <c r="E1981" s="32" t="s">
        <v>254</v>
      </c>
      <c r="F1981" s="32" t="s">
        <v>222</v>
      </c>
    </row>
    <row r="1982" ht="16.5" customHeight="1">
      <c r="A1982" s="32">
        <v>1978.0</v>
      </c>
      <c r="C1982" s="32" t="s">
        <v>2590</v>
      </c>
      <c r="D1982" s="32" t="s">
        <v>184</v>
      </c>
      <c r="E1982" s="32" t="s">
        <v>219</v>
      </c>
      <c r="F1982" s="32" t="s">
        <v>222</v>
      </c>
      <c r="G1982" s="32" t="s">
        <v>241</v>
      </c>
      <c r="H1982" s="32" t="s">
        <v>232</v>
      </c>
    </row>
    <row r="1983" ht="16.5" customHeight="1">
      <c r="A1983" s="32">
        <v>1979.0</v>
      </c>
      <c r="C1983" s="32" t="s">
        <v>2591</v>
      </c>
      <c r="D1983" s="32" t="s">
        <v>184</v>
      </c>
      <c r="E1983" s="32" t="s">
        <v>219</v>
      </c>
      <c r="F1983" s="32" t="s">
        <v>222</v>
      </c>
      <c r="G1983" s="32" t="s">
        <v>241</v>
      </c>
      <c r="H1983" s="32" t="s">
        <v>232</v>
      </c>
    </row>
    <row r="1984" ht="16.5" customHeight="1">
      <c r="A1984" s="32">
        <v>1980.0</v>
      </c>
      <c r="C1984" s="32" t="s">
        <v>2592</v>
      </c>
      <c r="D1984" s="32" t="s">
        <v>184</v>
      </c>
      <c r="E1984" s="32" t="s">
        <v>219</v>
      </c>
      <c r="F1984" s="32" t="s">
        <v>222</v>
      </c>
      <c r="G1984" s="32" t="s">
        <v>223</v>
      </c>
    </row>
    <row r="1985" ht="16.5" customHeight="1">
      <c r="A1985" s="32">
        <v>1981.0</v>
      </c>
      <c r="C1985" s="32" t="s">
        <v>2593</v>
      </c>
      <c r="D1985" s="32" t="s">
        <v>184</v>
      </c>
      <c r="E1985" s="32" t="s">
        <v>219</v>
      </c>
      <c r="F1985" s="32" t="s">
        <v>222</v>
      </c>
      <c r="G1985" s="32" t="s">
        <v>223</v>
      </c>
    </row>
    <row r="1986" ht="16.5" customHeight="1">
      <c r="A1986" s="32">
        <v>1982.0</v>
      </c>
      <c r="C1986" s="32" t="s">
        <v>2594</v>
      </c>
      <c r="D1986" s="32" t="s">
        <v>184</v>
      </c>
      <c r="E1986" s="32" t="s">
        <v>228</v>
      </c>
      <c r="F1986" s="32" t="s">
        <v>222</v>
      </c>
      <c r="G1986" s="32" t="s">
        <v>544</v>
      </c>
      <c r="H1986" s="32" t="s">
        <v>545</v>
      </c>
    </row>
    <row r="1987" ht="16.5" customHeight="1">
      <c r="A1987" s="32">
        <v>1983.0</v>
      </c>
      <c r="C1987" s="32" t="s">
        <v>2595</v>
      </c>
      <c r="D1987" s="32" t="s">
        <v>184</v>
      </c>
      <c r="E1987" s="32" t="s">
        <v>219</v>
      </c>
      <c r="F1987" s="32" t="s">
        <v>222</v>
      </c>
      <c r="G1987" s="32" t="s">
        <v>232</v>
      </c>
      <c r="H1987" s="32" t="s">
        <v>233</v>
      </c>
    </row>
    <row r="1988" ht="16.5" customHeight="1">
      <c r="A1988" s="32">
        <v>1984.0</v>
      </c>
      <c r="C1988" s="32" t="s">
        <v>2596</v>
      </c>
      <c r="D1988" s="32" t="s">
        <v>184</v>
      </c>
      <c r="E1988" s="32" t="s">
        <v>219</v>
      </c>
      <c r="F1988" s="32" t="s">
        <v>222</v>
      </c>
      <c r="G1988" s="32" t="s">
        <v>232</v>
      </c>
      <c r="H1988" s="32" t="s">
        <v>233</v>
      </c>
    </row>
    <row r="1989" ht="16.5" customHeight="1">
      <c r="A1989" s="32">
        <v>1985.0</v>
      </c>
      <c r="C1989" s="32" t="s">
        <v>2597</v>
      </c>
      <c r="D1989" s="32" t="s">
        <v>184</v>
      </c>
      <c r="E1989" s="32" t="s">
        <v>219</v>
      </c>
      <c r="F1989" s="32" t="s">
        <v>222</v>
      </c>
    </row>
    <row r="1990" ht="16.5" customHeight="1">
      <c r="A1990" s="32">
        <v>1986.0</v>
      </c>
      <c r="C1990" s="32" t="s">
        <v>2598</v>
      </c>
      <c r="D1990" s="32" t="s">
        <v>184</v>
      </c>
      <c r="E1990" s="32" t="s">
        <v>219</v>
      </c>
      <c r="F1990" s="32" t="s">
        <v>222</v>
      </c>
    </row>
    <row r="1991" ht="16.5" customHeight="1">
      <c r="A1991" s="32">
        <v>1987.0</v>
      </c>
      <c r="C1991" s="32" t="s">
        <v>2599</v>
      </c>
      <c r="D1991" s="32" t="s">
        <v>184</v>
      </c>
      <c r="E1991" s="32" t="s">
        <v>219</v>
      </c>
      <c r="F1991" s="32" t="s">
        <v>222</v>
      </c>
      <c r="G1991" s="32" t="s">
        <v>223</v>
      </c>
    </row>
    <row r="1992" ht="16.5" customHeight="1">
      <c r="A1992" s="32">
        <v>1988.0</v>
      </c>
      <c r="C1992" s="32" t="s">
        <v>2600</v>
      </c>
      <c r="D1992" s="32" t="s">
        <v>184</v>
      </c>
      <c r="E1992" s="32" t="s">
        <v>228</v>
      </c>
      <c r="F1992" s="32" t="s">
        <v>222</v>
      </c>
      <c r="G1992" s="32" t="s">
        <v>229</v>
      </c>
      <c r="H1992" s="32" t="s">
        <v>626</v>
      </c>
    </row>
    <row r="1993" ht="16.5" customHeight="1">
      <c r="A1993" s="32">
        <v>1989.0</v>
      </c>
      <c r="C1993" s="32" t="s">
        <v>2601</v>
      </c>
      <c r="D1993" s="32" t="s">
        <v>184</v>
      </c>
      <c r="E1993" s="32" t="s">
        <v>214</v>
      </c>
      <c r="F1993" s="32" t="s">
        <v>222</v>
      </c>
      <c r="G1993" s="32" t="s">
        <v>216</v>
      </c>
      <c r="H1993" s="32" t="s">
        <v>217</v>
      </c>
    </row>
    <row r="1994" ht="16.5" customHeight="1">
      <c r="A1994" s="32">
        <v>1990.0</v>
      </c>
      <c r="C1994" s="32" t="s">
        <v>2602</v>
      </c>
      <c r="D1994" s="32" t="s">
        <v>184</v>
      </c>
      <c r="E1994" s="32" t="s">
        <v>228</v>
      </c>
      <c r="F1994" s="32" t="s">
        <v>222</v>
      </c>
      <c r="G1994" s="32" t="s">
        <v>229</v>
      </c>
      <c r="H1994" s="32" t="s">
        <v>626</v>
      </c>
    </row>
    <row r="1995" ht="16.5" customHeight="1">
      <c r="A1995" s="32">
        <v>1991.0</v>
      </c>
      <c r="C1995" s="32" t="s">
        <v>2603</v>
      </c>
      <c r="D1995" s="32" t="s">
        <v>184</v>
      </c>
      <c r="E1995" s="32" t="s">
        <v>228</v>
      </c>
      <c r="F1995" s="32" t="s">
        <v>222</v>
      </c>
      <c r="G1995" s="32" t="s">
        <v>229</v>
      </c>
      <c r="H1995" s="32" t="s">
        <v>2604</v>
      </c>
    </row>
    <row r="1996" ht="16.5" customHeight="1">
      <c r="A1996" s="32">
        <v>1992.0</v>
      </c>
      <c r="C1996" s="32" t="s">
        <v>2605</v>
      </c>
      <c r="D1996" s="32" t="s">
        <v>184</v>
      </c>
      <c r="E1996" s="32" t="s">
        <v>228</v>
      </c>
      <c r="F1996" s="32" t="s">
        <v>222</v>
      </c>
      <c r="G1996" s="32" t="s">
        <v>229</v>
      </c>
      <c r="H1996" s="32" t="s">
        <v>626</v>
      </c>
    </row>
    <row r="1997" ht="16.5" customHeight="1">
      <c r="A1997" s="32">
        <v>1993.0</v>
      </c>
      <c r="C1997" s="32" t="s">
        <v>2606</v>
      </c>
      <c r="D1997" s="32" t="s">
        <v>184</v>
      </c>
      <c r="E1997" s="32" t="s">
        <v>228</v>
      </c>
      <c r="F1997" s="32" t="s">
        <v>222</v>
      </c>
    </row>
    <row r="1998" ht="16.5" customHeight="1">
      <c r="A1998" s="32">
        <v>1994.0</v>
      </c>
      <c r="C1998" s="32" t="s">
        <v>2607</v>
      </c>
      <c r="D1998" s="32" t="s">
        <v>184</v>
      </c>
      <c r="E1998" s="32" t="s">
        <v>219</v>
      </c>
      <c r="F1998" s="32" t="s">
        <v>222</v>
      </c>
      <c r="G1998" s="32" t="s">
        <v>232</v>
      </c>
      <c r="H1998" s="32" t="s">
        <v>233</v>
      </c>
    </row>
    <row r="1999" ht="16.5" customHeight="1">
      <c r="A1999" s="32">
        <v>1995.0</v>
      </c>
      <c r="C1999" s="32" t="s">
        <v>2608</v>
      </c>
      <c r="D1999" s="32" t="s">
        <v>184</v>
      </c>
      <c r="E1999" s="32" t="s">
        <v>214</v>
      </c>
      <c r="F1999" s="32" t="s">
        <v>222</v>
      </c>
      <c r="G1999" s="32" t="s">
        <v>216</v>
      </c>
      <c r="H1999" s="32" t="s">
        <v>217</v>
      </c>
    </row>
    <row r="2000" ht="16.5" customHeight="1">
      <c r="A2000" s="32">
        <v>1996.0</v>
      </c>
      <c r="C2000" s="32" t="s">
        <v>2609</v>
      </c>
      <c r="D2000" s="32" t="s">
        <v>184</v>
      </c>
      <c r="E2000" s="32" t="s">
        <v>228</v>
      </c>
      <c r="F2000" s="32" t="s">
        <v>222</v>
      </c>
    </row>
    <row r="2001" ht="16.5" customHeight="1">
      <c r="A2001" s="32">
        <v>1997.0</v>
      </c>
      <c r="C2001" s="32" t="s">
        <v>2610</v>
      </c>
      <c r="D2001" s="32" t="s">
        <v>184</v>
      </c>
      <c r="E2001" s="32" t="s">
        <v>325</v>
      </c>
      <c r="F2001" s="32" t="s">
        <v>222</v>
      </c>
      <c r="G2001" s="32" t="s">
        <v>368</v>
      </c>
      <c r="H2001" s="32" t="s">
        <v>463</v>
      </c>
    </row>
    <row r="2002" ht="16.5" customHeight="1">
      <c r="A2002" s="32">
        <v>1998.0</v>
      </c>
      <c r="C2002" s="32" t="s">
        <v>2610</v>
      </c>
      <c r="D2002" s="32" t="s">
        <v>184</v>
      </c>
      <c r="E2002" s="32" t="s">
        <v>325</v>
      </c>
      <c r="F2002" s="32" t="s">
        <v>222</v>
      </c>
      <c r="G2002" s="32" t="s">
        <v>368</v>
      </c>
      <c r="H2002" s="32" t="s">
        <v>463</v>
      </c>
    </row>
    <row r="2003" ht="16.5" customHeight="1">
      <c r="A2003" s="32">
        <v>1999.0</v>
      </c>
      <c r="C2003" s="32" t="s">
        <v>2611</v>
      </c>
      <c r="D2003" s="32" t="s">
        <v>184</v>
      </c>
      <c r="E2003" s="32" t="s">
        <v>219</v>
      </c>
      <c r="F2003" s="32" t="s">
        <v>222</v>
      </c>
      <c r="G2003" s="32" t="s">
        <v>241</v>
      </c>
      <c r="H2003" s="32" t="s">
        <v>292</v>
      </c>
    </row>
    <row r="2004" ht="16.5" customHeight="1">
      <c r="A2004" s="32">
        <v>2000.0</v>
      </c>
      <c r="C2004" s="32" t="s">
        <v>2612</v>
      </c>
      <c r="D2004" s="32" t="s">
        <v>184</v>
      </c>
      <c r="E2004" s="32" t="s">
        <v>219</v>
      </c>
      <c r="F2004" s="32" t="s">
        <v>222</v>
      </c>
      <c r="G2004" s="32" t="s">
        <v>223</v>
      </c>
    </row>
    <row r="2005" ht="16.5" customHeight="1">
      <c r="A2005" s="32">
        <v>2001.0</v>
      </c>
      <c r="C2005" s="32" t="s">
        <v>2613</v>
      </c>
      <c r="D2005" s="32" t="s">
        <v>184</v>
      </c>
      <c r="E2005" s="32" t="s">
        <v>219</v>
      </c>
      <c r="F2005" s="32" t="s">
        <v>222</v>
      </c>
      <c r="G2005" s="32" t="s">
        <v>223</v>
      </c>
    </row>
    <row r="2006" ht="16.5" customHeight="1">
      <c r="A2006" s="32">
        <v>2002.0</v>
      </c>
      <c r="C2006" s="32" t="s">
        <v>2614</v>
      </c>
      <c r="D2006" s="32" t="s">
        <v>184</v>
      </c>
      <c r="E2006" s="32" t="s">
        <v>254</v>
      </c>
      <c r="F2006" s="32" t="s">
        <v>222</v>
      </c>
    </row>
    <row r="2007" ht="16.5" customHeight="1">
      <c r="A2007" s="32">
        <v>2003.0</v>
      </c>
      <c r="C2007" s="32" t="s">
        <v>2615</v>
      </c>
      <c r="D2007" s="32" t="s">
        <v>184</v>
      </c>
      <c r="E2007" s="32" t="s">
        <v>219</v>
      </c>
      <c r="F2007" s="32" t="s">
        <v>222</v>
      </c>
      <c r="G2007" s="32" t="s">
        <v>241</v>
      </c>
      <c r="H2007" s="32" t="s">
        <v>2305</v>
      </c>
    </row>
    <row r="2008" ht="16.5" customHeight="1">
      <c r="A2008" s="32">
        <v>2004.0</v>
      </c>
      <c r="C2008" s="32" t="s">
        <v>2616</v>
      </c>
      <c r="D2008" s="32" t="s">
        <v>184</v>
      </c>
      <c r="E2008" s="32" t="s">
        <v>285</v>
      </c>
      <c r="F2008" s="32" t="s">
        <v>222</v>
      </c>
      <c r="G2008" s="32" t="s">
        <v>295</v>
      </c>
      <c r="H2008" s="32" t="s">
        <v>2512</v>
      </c>
    </row>
    <row r="2009" ht="16.5" customHeight="1">
      <c r="A2009" s="32">
        <v>2005.0</v>
      </c>
      <c r="C2009" s="32" t="s">
        <v>2617</v>
      </c>
      <c r="D2009" s="32" t="s">
        <v>184</v>
      </c>
      <c r="E2009" s="32" t="s">
        <v>285</v>
      </c>
      <c r="F2009" s="32" t="s">
        <v>222</v>
      </c>
    </row>
    <row r="2010" ht="16.5" customHeight="1">
      <c r="A2010" s="32">
        <v>2006.0</v>
      </c>
      <c r="C2010" s="32" t="s">
        <v>2618</v>
      </c>
      <c r="D2010" s="32" t="s">
        <v>184</v>
      </c>
      <c r="E2010" s="35" t="s">
        <v>294</v>
      </c>
      <c r="F2010" s="32" t="s">
        <v>222</v>
      </c>
      <c r="G2010" s="32" t="s">
        <v>189</v>
      </c>
      <c r="H2010" s="32" t="s">
        <v>190</v>
      </c>
    </row>
    <row r="2011" ht="16.5" customHeight="1">
      <c r="A2011" s="32">
        <v>2007.0</v>
      </c>
      <c r="C2011" s="32" t="s">
        <v>2619</v>
      </c>
      <c r="D2011" s="32" t="s">
        <v>184</v>
      </c>
      <c r="E2011" s="32" t="s">
        <v>219</v>
      </c>
      <c r="F2011" s="32" t="s">
        <v>222</v>
      </c>
    </row>
    <row r="2012" ht="16.5" customHeight="1">
      <c r="A2012" s="32">
        <v>2008.0</v>
      </c>
      <c r="C2012" s="32" t="s">
        <v>2620</v>
      </c>
      <c r="D2012" s="32" t="s">
        <v>184</v>
      </c>
      <c r="E2012" s="32" t="s">
        <v>185</v>
      </c>
      <c r="F2012" s="32" t="s">
        <v>222</v>
      </c>
      <c r="G2012" s="32" t="s">
        <v>189</v>
      </c>
      <c r="H2012" s="32" t="s">
        <v>2046</v>
      </c>
    </row>
    <row r="2013" ht="16.5" customHeight="1">
      <c r="A2013" s="32">
        <v>2009.0</v>
      </c>
      <c r="C2013" s="32" t="s">
        <v>2621</v>
      </c>
      <c r="D2013" s="32" t="s">
        <v>184</v>
      </c>
      <c r="E2013" s="32" t="s">
        <v>285</v>
      </c>
      <c r="F2013" s="32" t="s">
        <v>222</v>
      </c>
    </row>
    <row r="2014" ht="16.5" customHeight="1">
      <c r="A2014" s="32">
        <v>2010.0</v>
      </c>
      <c r="C2014" s="32" t="s">
        <v>2622</v>
      </c>
      <c r="D2014" s="32" t="s">
        <v>184</v>
      </c>
      <c r="E2014" s="32" t="s">
        <v>285</v>
      </c>
      <c r="F2014" s="32" t="s">
        <v>222</v>
      </c>
    </row>
    <row r="2015" ht="16.5" customHeight="1">
      <c r="A2015" s="32">
        <v>2011.0</v>
      </c>
      <c r="C2015" s="32" t="s">
        <v>2623</v>
      </c>
      <c r="D2015" s="32" t="s">
        <v>184</v>
      </c>
      <c r="E2015" s="32" t="s">
        <v>285</v>
      </c>
      <c r="F2015" s="32" t="s">
        <v>222</v>
      </c>
    </row>
    <row r="2016" ht="16.5" customHeight="1">
      <c r="A2016" s="32">
        <v>2012.0</v>
      </c>
      <c r="C2016" s="32" t="s">
        <v>2624</v>
      </c>
      <c r="D2016" s="32" t="s">
        <v>184</v>
      </c>
      <c r="E2016" s="32" t="s">
        <v>285</v>
      </c>
      <c r="F2016" s="32" t="s">
        <v>222</v>
      </c>
    </row>
    <row r="2017" ht="16.5" customHeight="1">
      <c r="A2017" s="32">
        <v>2013.0</v>
      </c>
      <c r="C2017" s="32" t="s">
        <v>2625</v>
      </c>
      <c r="D2017" s="32" t="s">
        <v>184</v>
      </c>
      <c r="E2017" s="32" t="s">
        <v>285</v>
      </c>
      <c r="F2017" s="32" t="s">
        <v>222</v>
      </c>
    </row>
    <row r="2018" ht="16.5" customHeight="1">
      <c r="A2018" s="32">
        <v>2014.0</v>
      </c>
      <c r="C2018" s="32" t="s">
        <v>2626</v>
      </c>
      <c r="D2018" s="32" t="s">
        <v>184</v>
      </c>
      <c r="E2018" s="32" t="s">
        <v>185</v>
      </c>
      <c r="F2018" s="32" t="s">
        <v>222</v>
      </c>
      <c r="G2018" s="32" t="s">
        <v>189</v>
      </c>
      <c r="H2018" s="32" t="s">
        <v>190</v>
      </c>
    </row>
    <row r="2019" ht="16.5" customHeight="1">
      <c r="A2019" s="32">
        <v>2015.0</v>
      </c>
      <c r="C2019" s="32" t="s">
        <v>2627</v>
      </c>
      <c r="D2019" s="32" t="s">
        <v>184</v>
      </c>
      <c r="E2019" s="32" t="s">
        <v>185</v>
      </c>
      <c r="F2019" s="32" t="s">
        <v>222</v>
      </c>
      <c r="G2019" s="32" t="s">
        <v>267</v>
      </c>
      <c r="H2019" s="32" t="s">
        <v>188</v>
      </c>
    </row>
    <row r="2020" ht="16.5" customHeight="1">
      <c r="A2020" s="32">
        <v>2016.0</v>
      </c>
      <c r="C2020" s="32" t="s">
        <v>2627</v>
      </c>
      <c r="D2020" s="32" t="s">
        <v>184</v>
      </c>
      <c r="E2020" s="32" t="s">
        <v>185</v>
      </c>
      <c r="F2020" s="32" t="s">
        <v>222</v>
      </c>
      <c r="G2020" s="32" t="s">
        <v>267</v>
      </c>
      <c r="H2020" s="32" t="s">
        <v>188</v>
      </c>
    </row>
    <row r="2021" ht="16.5" customHeight="1">
      <c r="A2021" s="32">
        <v>2017.0</v>
      </c>
      <c r="C2021" s="32" t="s">
        <v>2628</v>
      </c>
      <c r="D2021" s="32" t="s">
        <v>184</v>
      </c>
      <c r="E2021" s="35" t="s">
        <v>294</v>
      </c>
      <c r="F2021" s="32" t="s">
        <v>222</v>
      </c>
      <c r="G2021" s="32" t="s">
        <v>267</v>
      </c>
      <c r="H2021" s="32" t="s">
        <v>188</v>
      </c>
    </row>
    <row r="2022" ht="16.5" customHeight="1">
      <c r="A2022" s="32">
        <v>2018.0</v>
      </c>
      <c r="C2022" s="32" t="s">
        <v>2628</v>
      </c>
      <c r="D2022" s="32" t="s">
        <v>184</v>
      </c>
      <c r="E2022" s="32" t="s">
        <v>185</v>
      </c>
      <c r="F2022" s="32" t="s">
        <v>222</v>
      </c>
      <c r="G2022" s="32" t="s">
        <v>267</v>
      </c>
      <c r="H2022" s="32" t="s">
        <v>188</v>
      </c>
    </row>
    <row r="2023" ht="16.5" customHeight="1">
      <c r="A2023" s="32">
        <v>2019.0</v>
      </c>
      <c r="C2023" s="32" t="s">
        <v>2629</v>
      </c>
      <c r="D2023" s="32" t="s">
        <v>184</v>
      </c>
      <c r="E2023" s="32" t="s">
        <v>185</v>
      </c>
      <c r="F2023" s="32" t="s">
        <v>222</v>
      </c>
    </row>
    <row r="2024" ht="16.5" customHeight="1">
      <c r="A2024" s="32">
        <v>2020.0</v>
      </c>
      <c r="C2024" s="32" t="s">
        <v>2630</v>
      </c>
      <c r="D2024" s="32" t="s">
        <v>184</v>
      </c>
      <c r="E2024" s="32" t="s">
        <v>254</v>
      </c>
      <c r="F2024" s="32" t="s">
        <v>222</v>
      </c>
      <c r="G2024" s="32" t="s">
        <v>256</v>
      </c>
      <c r="H2024" s="32" t="s">
        <v>257</v>
      </c>
    </row>
    <row r="2025" ht="16.5" customHeight="1">
      <c r="A2025" s="32">
        <v>2021.0</v>
      </c>
      <c r="C2025" s="32" t="s">
        <v>2631</v>
      </c>
      <c r="D2025" s="32" t="s">
        <v>184</v>
      </c>
      <c r="E2025" s="32" t="s">
        <v>234</v>
      </c>
      <c r="F2025" s="32" t="s">
        <v>222</v>
      </c>
      <c r="G2025" s="32" t="s">
        <v>347</v>
      </c>
      <c r="H2025" s="32" t="s">
        <v>2222</v>
      </c>
    </row>
    <row r="2026" ht="16.5" customHeight="1">
      <c r="A2026" s="32">
        <v>2022.0</v>
      </c>
      <c r="C2026" s="32" t="s">
        <v>2632</v>
      </c>
      <c r="D2026" s="32" t="s">
        <v>184</v>
      </c>
      <c r="E2026" s="32" t="s">
        <v>192</v>
      </c>
      <c r="F2026" s="32" t="s">
        <v>222</v>
      </c>
      <c r="G2026" s="32" t="s">
        <v>347</v>
      </c>
      <c r="H2026" s="32" t="s">
        <v>2362</v>
      </c>
    </row>
    <row r="2027" ht="16.5" customHeight="1">
      <c r="A2027" s="32">
        <v>2023.0</v>
      </c>
      <c r="C2027" s="32" t="s">
        <v>2633</v>
      </c>
      <c r="D2027" s="32" t="s">
        <v>184</v>
      </c>
      <c r="E2027" s="32" t="s">
        <v>234</v>
      </c>
      <c r="F2027" s="32" t="s">
        <v>222</v>
      </c>
      <c r="G2027" s="32" t="s">
        <v>347</v>
      </c>
      <c r="H2027" s="32" t="s">
        <v>2634</v>
      </c>
    </row>
    <row r="2028" ht="16.5" customHeight="1">
      <c r="A2028" s="32">
        <v>2024.0</v>
      </c>
      <c r="C2028" s="32" t="s">
        <v>2635</v>
      </c>
      <c r="D2028" s="32" t="s">
        <v>184</v>
      </c>
      <c r="E2028" s="32" t="s">
        <v>234</v>
      </c>
      <c r="F2028" s="32" t="s">
        <v>222</v>
      </c>
      <c r="G2028" s="32" t="s">
        <v>347</v>
      </c>
      <c r="H2028" s="32" t="s">
        <v>2636</v>
      </c>
    </row>
    <row r="2029" ht="16.5" customHeight="1">
      <c r="A2029" s="32">
        <v>2025.0</v>
      </c>
      <c r="C2029" s="32" t="s">
        <v>2637</v>
      </c>
      <c r="D2029" s="32" t="s">
        <v>184</v>
      </c>
      <c r="E2029" s="32" t="s">
        <v>254</v>
      </c>
      <c r="F2029" s="32" t="s">
        <v>222</v>
      </c>
      <c r="G2029" s="32" t="s">
        <v>257</v>
      </c>
      <c r="H2029" s="32" t="s">
        <v>256</v>
      </c>
    </row>
    <row r="2030" ht="16.5" customHeight="1">
      <c r="A2030" s="32">
        <v>2026.0</v>
      </c>
      <c r="C2030" s="32" t="s">
        <v>2638</v>
      </c>
      <c r="D2030" s="32" t="s">
        <v>184</v>
      </c>
      <c r="E2030" s="32" t="s">
        <v>254</v>
      </c>
      <c r="F2030" s="32" t="s">
        <v>222</v>
      </c>
      <c r="G2030" s="32" t="s">
        <v>267</v>
      </c>
      <c r="H2030" s="32" t="s">
        <v>188</v>
      </c>
    </row>
    <row r="2031" ht="16.5" customHeight="1">
      <c r="A2031" s="32">
        <v>2027.0</v>
      </c>
      <c r="C2031" s="32" t="s">
        <v>2639</v>
      </c>
      <c r="D2031" s="32" t="s">
        <v>184</v>
      </c>
      <c r="E2031" s="32" t="s">
        <v>254</v>
      </c>
      <c r="F2031" s="32" t="s">
        <v>222</v>
      </c>
      <c r="G2031" s="32" t="s">
        <v>257</v>
      </c>
      <c r="H2031" s="32" t="s">
        <v>2640</v>
      </c>
    </row>
    <row r="2032" ht="16.5" customHeight="1">
      <c r="A2032" s="32">
        <v>2028.0</v>
      </c>
      <c r="C2032" s="32" t="s">
        <v>2641</v>
      </c>
      <c r="D2032" s="32" t="s">
        <v>184</v>
      </c>
      <c r="E2032" s="32" t="s">
        <v>185</v>
      </c>
      <c r="F2032" s="32" t="s">
        <v>222</v>
      </c>
      <c r="G2032" s="32" t="s">
        <v>267</v>
      </c>
      <c r="H2032" s="32" t="s">
        <v>188</v>
      </c>
    </row>
    <row r="2033" ht="16.5" customHeight="1">
      <c r="A2033" s="32">
        <v>2029.0</v>
      </c>
      <c r="C2033" s="32" t="s">
        <v>2642</v>
      </c>
      <c r="D2033" s="32" t="s">
        <v>184</v>
      </c>
      <c r="E2033" s="32" t="s">
        <v>285</v>
      </c>
      <c r="F2033" s="32" t="s">
        <v>222</v>
      </c>
    </row>
    <row r="2034" ht="16.5" customHeight="1">
      <c r="A2034" s="32">
        <v>2030.0</v>
      </c>
      <c r="C2034" s="32" t="s">
        <v>2643</v>
      </c>
      <c r="D2034" s="32" t="s">
        <v>184</v>
      </c>
      <c r="E2034" s="32" t="s">
        <v>185</v>
      </c>
      <c r="F2034" s="32" t="s">
        <v>222</v>
      </c>
    </row>
    <row r="2035" ht="16.5" customHeight="1">
      <c r="A2035" s="32">
        <v>2031.0</v>
      </c>
      <c r="C2035" s="32" t="s">
        <v>2644</v>
      </c>
      <c r="D2035" s="32" t="s">
        <v>184</v>
      </c>
      <c r="E2035" s="32" t="s">
        <v>185</v>
      </c>
      <c r="F2035" s="32" t="s">
        <v>222</v>
      </c>
    </row>
    <row r="2036" ht="16.5" customHeight="1">
      <c r="A2036" s="32">
        <v>2032.0</v>
      </c>
      <c r="C2036" s="32" t="s">
        <v>2645</v>
      </c>
      <c r="D2036" s="32" t="s">
        <v>184</v>
      </c>
      <c r="E2036" s="32" t="s">
        <v>185</v>
      </c>
      <c r="F2036" s="32" t="s">
        <v>222</v>
      </c>
      <c r="G2036" s="32" t="s">
        <v>1201</v>
      </c>
      <c r="H2036" s="32" t="s">
        <v>2646</v>
      </c>
    </row>
    <row r="2037" ht="16.5" customHeight="1">
      <c r="A2037" s="32">
        <v>2033.0</v>
      </c>
      <c r="C2037" s="32" t="s">
        <v>2647</v>
      </c>
      <c r="D2037" s="32" t="s">
        <v>184</v>
      </c>
      <c r="E2037" s="32" t="s">
        <v>285</v>
      </c>
      <c r="F2037" s="32" t="s">
        <v>222</v>
      </c>
      <c r="G2037" s="32" t="s">
        <v>189</v>
      </c>
      <c r="H2037" s="32" t="s">
        <v>190</v>
      </c>
    </row>
    <row r="2038" ht="16.5" customHeight="1">
      <c r="A2038" s="32">
        <v>2034.0</v>
      </c>
      <c r="C2038" s="32" t="s">
        <v>2648</v>
      </c>
      <c r="D2038" s="32" t="s">
        <v>184</v>
      </c>
      <c r="E2038" s="32" t="s">
        <v>285</v>
      </c>
      <c r="F2038" s="32" t="s">
        <v>222</v>
      </c>
      <c r="G2038" s="32" t="s">
        <v>189</v>
      </c>
      <c r="H2038" s="32" t="s">
        <v>1121</v>
      </c>
    </row>
    <row r="2039" ht="16.5" customHeight="1">
      <c r="A2039" s="32">
        <v>2035.0</v>
      </c>
      <c r="C2039" s="32" t="s">
        <v>2649</v>
      </c>
      <c r="D2039" s="32" t="s">
        <v>184</v>
      </c>
      <c r="E2039" s="35" t="s">
        <v>294</v>
      </c>
      <c r="F2039" s="32" t="s">
        <v>222</v>
      </c>
    </row>
    <row r="2040" ht="16.5" customHeight="1">
      <c r="A2040" s="32">
        <v>2036.0</v>
      </c>
      <c r="C2040" s="32" t="s">
        <v>2650</v>
      </c>
      <c r="D2040" s="32" t="s">
        <v>184</v>
      </c>
      <c r="E2040" s="32" t="s">
        <v>185</v>
      </c>
      <c r="F2040" s="32" t="s">
        <v>222</v>
      </c>
      <c r="G2040" s="32" t="s">
        <v>189</v>
      </c>
      <c r="H2040" s="32" t="s">
        <v>1121</v>
      </c>
    </row>
    <row r="2041" ht="16.5" customHeight="1">
      <c r="A2041" s="32">
        <v>2037.0</v>
      </c>
      <c r="C2041" s="32" t="s">
        <v>2651</v>
      </c>
      <c r="D2041" s="32" t="s">
        <v>184</v>
      </c>
      <c r="E2041" s="32" t="s">
        <v>185</v>
      </c>
      <c r="F2041" s="32" t="s">
        <v>222</v>
      </c>
      <c r="G2041" s="32" t="s">
        <v>267</v>
      </c>
      <c r="H2041" s="32" t="s">
        <v>188</v>
      </c>
    </row>
    <row r="2042" ht="16.5" customHeight="1">
      <c r="A2042" s="32">
        <v>2038.0</v>
      </c>
      <c r="C2042" s="32" t="s">
        <v>2652</v>
      </c>
      <c r="D2042" s="32" t="s">
        <v>184</v>
      </c>
      <c r="E2042" s="32" t="s">
        <v>185</v>
      </c>
      <c r="F2042" s="32" t="s">
        <v>222</v>
      </c>
      <c r="G2042" s="32" t="s">
        <v>267</v>
      </c>
      <c r="H2042" s="32" t="s">
        <v>188</v>
      </c>
    </row>
    <row r="2043" ht="16.5" customHeight="1">
      <c r="A2043" s="32">
        <v>2039.0</v>
      </c>
      <c r="C2043" s="32" t="s">
        <v>2653</v>
      </c>
      <c r="D2043" s="32" t="s">
        <v>184</v>
      </c>
      <c r="E2043" s="32" t="s">
        <v>285</v>
      </c>
      <c r="F2043" s="32" t="s">
        <v>222</v>
      </c>
    </row>
    <row r="2044" ht="16.5" customHeight="1">
      <c r="A2044" s="32">
        <v>2040.0</v>
      </c>
      <c r="C2044" s="32" t="s">
        <v>2654</v>
      </c>
      <c r="D2044" s="32" t="s">
        <v>184</v>
      </c>
      <c r="E2044" s="32" t="s">
        <v>285</v>
      </c>
      <c r="F2044" s="32" t="s">
        <v>222</v>
      </c>
    </row>
    <row r="2045" ht="16.5" customHeight="1">
      <c r="A2045" s="32">
        <v>2041.0</v>
      </c>
      <c r="C2045" s="32" t="s">
        <v>2655</v>
      </c>
      <c r="D2045" s="32" t="s">
        <v>184</v>
      </c>
      <c r="E2045" s="32" t="s">
        <v>234</v>
      </c>
      <c r="F2045" s="32" t="s">
        <v>222</v>
      </c>
      <c r="G2045" s="32" t="s">
        <v>235</v>
      </c>
      <c r="H2045" s="32" t="s">
        <v>243</v>
      </c>
    </row>
    <row r="2046" ht="16.5" customHeight="1">
      <c r="A2046" s="32">
        <v>2042.0</v>
      </c>
      <c r="C2046" s="32" t="s">
        <v>2656</v>
      </c>
      <c r="D2046" s="32" t="s">
        <v>184</v>
      </c>
      <c r="E2046" s="32" t="s">
        <v>234</v>
      </c>
      <c r="F2046" s="32" t="s">
        <v>222</v>
      </c>
      <c r="G2046" s="32" t="s">
        <v>235</v>
      </c>
      <c r="H2046" s="32" t="s">
        <v>243</v>
      </c>
    </row>
    <row r="2047" ht="16.5" customHeight="1">
      <c r="A2047" s="32">
        <v>2043.0</v>
      </c>
      <c r="C2047" s="32" t="s">
        <v>2657</v>
      </c>
      <c r="D2047" s="32" t="s">
        <v>184</v>
      </c>
      <c r="E2047" s="35" t="s">
        <v>691</v>
      </c>
      <c r="F2047" s="32" t="s">
        <v>222</v>
      </c>
      <c r="G2047" s="32" t="s">
        <v>2060</v>
      </c>
      <c r="H2047" s="32" t="s">
        <v>2061</v>
      </c>
    </row>
    <row r="2048" ht="16.5" customHeight="1">
      <c r="A2048" s="32">
        <v>2044.0</v>
      </c>
      <c r="C2048" s="32" t="s">
        <v>2658</v>
      </c>
      <c r="D2048" s="32" t="s">
        <v>184</v>
      </c>
      <c r="E2048" s="35" t="s">
        <v>691</v>
      </c>
      <c r="F2048" s="32" t="s">
        <v>222</v>
      </c>
      <c r="G2048" s="32" t="s">
        <v>2412</v>
      </c>
      <c r="H2048" s="32" t="s">
        <v>2659</v>
      </c>
    </row>
    <row r="2049" ht="16.5" customHeight="1">
      <c r="A2049" s="32">
        <v>2045.0</v>
      </c>
      <c r="C2049" s="32" t="s">
        <v>2660</v>
      </c>
      <c r="D2049" s="32" t="s">
        <v>184</v>
      </c>
      <c r="E2049" s="32" t="s">
        <v>219</v>
      </c>
      <c r="F2049" s="32" t="s">
        <v>222</v>
      </c>
      <c r="G2049" s="32" t="s">
        <v>223</v>
      </c>
      <c r="H2049" s="32" t="s">
        <v>229</v>
      </c>
    </row>
    <row r="2050" ht="16.5" customHeight="1">
      <c r="A2050" s="32">
        <v>2046.0</v>
      </c>
      <c r="C2050" s="32" t="s">
        <v>2661</v>
      </c>
      <c r="D2050" s="32" t="s">
        <v>184</v>
      </c>
      <c r="E2050" s="35" t="s">
        <v>691</v>
      </c>
      <c r="F2050" s="32" t="s">
        <v>222</v>
      </c>
      <c r="G2050" s="32" t="s">
        <v>793</v>
      </c>
      <c r="H2050" s="32" t="s">
        <v>2662</v>
      </c>
    </row>
    <row r="2051" ht="16.5" customHeight="1">
      <c r="A2051" s="32">
        <v>2047.0</v>
      </c>
      <c r="C2051" s="32" t="s">
        <v>2663</v>
      </c>
      <c r="D2051" s="32" t="s">
        <v>184</v>
      </c>
      <c r="E2051" s="35" t="s">
        <v>691</v>
      </c>
      <c r="F2051" s="32" t="s">
        <v>222</v>
      </c>
    </row>
    <row r="2052" ht="16.5" customHeight="1">
      <c r="A2052" s="32">
        <v>2048.0</v>
      </c>
      <c r="C2052" s="32" t="s">
        <v>2664</v>
      </c>
      <c r="D2052" s="32" t="s">
        <v>184</v>
      </c>
      <c r="E2052" s="32" t="s">
        <v>219</v>
      </c>
      <c r="F2052" s="32" t="s">
        <v>222</v>
      </c>
    </row>
    <row r="2053" ht="16.5" customHeight="1">
      <c r="A2053" s="32">
        <v>2049.0</v>
      </c>
      <c r="C2053" s="32" t="s">
        <v>2665</v>
      </c>
      <c r="D2053" s="32" t="s">
        <v>184</v>
      </c>
      <c r="E2053" s="32" t="s">
        <v>234</v>
      </c>
      <c r="F2053" s="32" t="s">
        <v>222</v>
      </c>
    </row>
    <row r="2054" ht="16.5" customHeight="1">
      <c r="A2054" s="32">
        <v>2050.0</v>
      </c>
      <c r="C2054" s="32" t="s">
        <v>2666</v>
      </c>
      <c r="D2054" s="32" t="s">
        <v>184</v>
      </c>
      <c r="E2054" s="32" t="s">
        <v>219</v>
      </c>
      <c r="F2054" s="32" t="s">
        <v>222</v>
      </c>
    </row>
    <row r="2055" ht="16.5" customHeight="1">
      <c r="A2055" s="32">
        <v>2051.0</v>
      </c>
      <c r="C2055" s="32" t="s">
        <v>2667</v>
      </c>
      <c r="D2055" s="32" t="s">
        <v>184</v>
      </c>
      <c r="E2055" s="32" t="s">
        <v>214</v>
      </c>
      <c r="F2055" s="32" t="s">
        <v>222</v>
      </c>
      <c r="G2055" s="32" t="s">
        <v>216</v>
      </c>
      <c r="H2055" s="32" t="s">
        <v>217</v>
      </c>
    </row>
    <row r="2056" ht="16.5" customHeight="1">
      <c r="A2056" s="32">
        <v>2052.0</v>
      </c>
      <c r="C2056" s="32" t="s">
        <v>2668</v>
      </c>
      <c r="D2056" s="32" t="s">
        <v>184</v>
      </c>
      <c r="E2056" s="32" t="s">
        <v>228</v>
      </c>
      <c r="F2056" s="32" t="s">
        <v>222</v>
      </c>
      <c r="G2056" s="32" t="s">
        <v>544</v>
      </c>
      <c r="H2056" s="32" t="s">
        <v>713</v>
      </c>
    </row>
    <row r="2057" ht="16.5" customHeight="1">
      <c r="A2057" s="32">
        <v>2053.0</v>
      </c>
      <c r="C2057" s="32" t="s">
        <v>2669</v>
      </c>
      <c r="D2057" s="32" t="s">
        <v>184</v>
      </c>
      <c r="E2057" s="32" t="s">
        <v>228</v>
      </c>
      <c r="F2057" s="32" t="s">
        <v>222</v>
      </c>
    </row>
    <row r="2058" ht="16.5" customHeight="1">
      <c r="A2058" s="32">
        <v>2054.0</v>
      </c>
      <c r="C2058" s="32" t="s">
        <v>2670</v>
      </c>
      <c r="D2058" s="32" t="s">
        <v>184</v>
      </c>
      <c r="E2058" s="32" t="s">
        <v>228</v>
      </c>
      <c r="F2058" s="32" t="s">
        <v>222</v>
      </c>
      <c r="G2058" s="32" t="s">
        <v>544</v>
      </c>
      <c r="H2058" s="32" t="s">
        <v>713</v>
      </c>
    </row>
    <row r="2059" ht="16.5" customHeight="1">
      <c r="A2059" s="32">
        <v>2055.0</v>
      </c>
      <c r="C2059" s="32" t="s">
        <v>2671</v>
      </c>
      <c r="D2059" s="32" t="s">
        <v>184</v>
      </c>
      <c r="E2059" s="32" t="s">
        <v>192</v>
      </c>
      <c r="F2059" s="32" t="s">
        <v>222</v>
      </c>
      <c r="G2059" s="32" t="s">
        <v>1607</v>
      </c>
    </row>
    <row r="2060" ht="16.5" customHeight="1">
      <c r="A2060" s="32">
        <v>2056.0</v>
      </c>
      <c r="C2060" s="32" t="s">
        <v>2672</v>
      </c>
      <c r="D2060" s="32" t="s">
        <v>184</v>
      </c>
      <c r="E2060" s="32" t="s">
        <v>254</v>
      </c>
      <c r="F2060" s="32" t="s">
        <v>222</v>
      </c>
      <c r="G2060" s="32" t="s">
        <v>305</v>
      </c>
      <c r="H2060" s="32" t="s">
        <v>319</v>
      </c>
    </row>
    <row r="2061" ht="16.5" customHeight="1">
      <c r="A2061" s="32">
        <v>2057.0</v>
      </c>
      <c r="C2061" s="32" t="s">
        <v>2673</v>
      </c>
      <c r="D2061" s="32" t="s">
        <v>184</v>
      </c>
      <c r="E2061" s="35" t="s">
        <v>310</v>
      </c>
      <c r="F2061" s="32" t="s">
        <v>222</v>
      </c>
      <c r="G2061" s="32" t="s">
        <v>305</v>
      </c>
      <c r="H2061" s="32" t="s">
        <v>600</v>
      </c>
    </row>
    <row r="2062" ht="16.5" customHeight="1">
      <c r="A2062" s="32">
        <v>2058.0</v>
      </c>
      <c r="C2062" s="32" t="s">
        <v>2674</v>
      </c>
      <c r="D2062" s="32" t="s">
        <v>184</v>
      </c>
      <c r="E2062" s="32" t="s">
        <v>254</v>
      </c>
      <c r="F2062" s="32" t="s">
        <v>222</v>
      </c>
      <c r="G2062" s="32" t="s">
        <v>305</v>
      </c>
      <c r="H2062" s="32" t="s">
        <v>600</v>
      </c>
    </row>
    <row r="2063" ht="16.5" customHeight="1">
      <c r="A2063" s="32">
        <v>2059.0</v>
      </c>
      <c r="C2063" s="32" t="s">
        <v>2675</v>
      </c>
      <c r="D2063" s="32" t="s">
        <v>184</v>
      </c>
      <c r="E2063" s="32" t="s">
        <v>228</v>
      </c>
      <c r="F2063" s="32" t="s">
        <v>222</v>
      </c>
    </row>
    <row r="2064" ht="16.5" customHeight="1">
      <c r="A2064" s="32">
        <v>2060.0</v>
      </c>
      <c r="C2064" s="32" t="s">
        <v>2676</v>
      </c>
      <c r="D2064" s="32" t="s">
        <v>184</v>
      </c>
      <c r="E2064" s="32" t="s">
        <v>228</v>
      </c>
      <c r="F2064" s="32" t="s">
        <v>222</v>
      </c>
      <c r="G2064" s="32" t="s">
        <v>544</v>
      </c>
      <c r="H2064" s="32" t="s">
        <v>722</v>
      </c>
    </row>
    <row r="2065" ht="16.5" customHeight="1">
      <c r="A2065" s="32">
        <v>2061.0</v>
      </c>
      <c r="C2065" s="32" t="s">
        <v>2677</v>
      </c>
      <c r="D2065" s="32" t="s">
        <v>184</v>
      </c>
      <c r="E2065" s="32" t="s">
        <v>219</v>
      </c>
      <c r="F2065" s="32" t="s">
        <v>222</v>
      </c>
      <c r="G2065" s="32" t="s">
        <v>241</v>
      </c>
      <c r="H2065" s="32" t="s">
        <v>292</v>
      </c>
    </row>
    <row r="2066" ht="16.5" customHeight="1">
      <c r="A2066" s="32">
        <v>2062.0</v>
      </c>
      <c r="C2066" s="32" t="s">
        <v>2678</v>
      </c>
      <c r="D2066" s="32" t="s">
        <v>184</v>
      </c>
      <c r="E2066" s="32" t="s">
        <v>325</v>
      </c>
      <c r="F2066" s="32" t="s">
        <v>222</v>
      </c>
    </row>
    <row r="2067" ht="16.5" customHeight="1">
      <c r="A2067" s="32">
        <v>2063.0</v>
      </c>
      <c r="C2067" s="32" t="s">
        <v>2679</v>
      </c>
      <c r="D2067" s="32" t="s">
        <v>184</v>
      </c>
      <c r="E2067" s="32" t="s">
        <v>285</v>
      </c>
      <c r="F2067" s="32" t="s">
        <v>222</v>
      </c>
      <c r="G2067" s="32" t="s">
        <v>189</v>
      </c>
      <c r="H2067" s="32" t="s">
        <v>190</v>
      </c>
    </row>
    <row r="2068" ht="16.5" customHeight="1">
      <c r="A2068" s="32">
        <v>2064.0</v>
      </c>
      <c r="C2068" s="32" t="s">
        <v>2680</v>
      </c>
      <c r="D2068" s="32" t="s">
        <v>184</v>
      </c>
      <c r="E2068" s="32" t="s">
        <v>285</v>
      </c>
      <c r="F2068" s="32" t="s">
        <v>222</v>
      </c>
    </row>
    <row r="2069" ht="16.5" customHeight="1">
      <c r="A2069" s="32">
        <v>2065.0</v>
      </c>
      <c r="C2069" s="32" t="s">
        <v>2681</v>
      </c>
      <c r="D2069" s="32" t="s">
        <v>184</v>
      </c>
      <c r="E2069" s="32" t="s">
        <v>254</v>
      </c>
      <c r="F2069" s="32" t="s">
        <v>222</v>
      </c>
      <c r="G2069" s="32" t="s">
        <v>2682</v>
      </c>
      <c r="H2069" s="32" t="s">
        <v>2683</v>
      </c>
    </row>
    <row r="2070" ht="16.5" customHeight="1">
      <c r="A2070" s="32">
        <v>2066.0</v>
      </c>
      <c r="C2070" s="32" t="s">
        <v>2684</v>
      </c>
      <c r="D2070" s="32" t="s">
        <v>184</v>
      </c>
      <c r="E2070" s="32" t="s">
        <v>228</v>
      </c>
      <c r="F2070" s="32" t="s">
        <v>222</v>
      </c>
    </row>
    <row r="2071" ht="16.5" customHeight="1">
      <c r="A2071" s="32">
        <v>2067.0</v>
      </c>
      <c r="C2071" s="32" t="s">
        <v>2685</v>
      </c>
      <c r="D2071" s="32" t="s">
        <v>184</v>
      </c>
      <c r="E2071" s="32" t="s">
        <v>219</v>
      </c>
      <c r="F2071" s="32" t="s">
        <v>222</v>
      </c>
      <c r="G2071" s="32" t="s">
        <v>241</v>
      </c>
      <c r="H2071" s="32" t="s">
        <v>292</v>
      </c>
    </row>
    <row r="2072" ht="16.5" customHeight="1">
      <c r="A2072" s="32">
        <v>2068.0</v>
      </c>
      <c r="C2072" s="32" t="s">
        <v>2686</v>
      </c>
      <c r="D2072" s="32" t="s">
        <v>184</v>
      </c>
      <c r="E2072" s="32" t="s">
        <v>219</v>
      </c>
      <c r="F2072" s="32" t="s">
        <v>222</v>
      </c>
      <c r="G2072" s="32" t="s">
        <v>241</v>
      </c>
      <c r="H2072" s="32" t="s">
        <v>2305</v>
      </c>
    </row>
    <row r="2073" ht="16.5" customHeight="1">
      <c r="A2073" s="32">
        <v>2069.0</v>
      </c>
      <c r="C2073" s="32" t="s">
        <v>2687</v>
      </c>
      <c r="D2073" s="32" t="s">
        <v>184</v>
      </c>
      <c r="E2073" s="32" t="s">
        <v>185</v>
      </c>
      <c r="F2073" s="32" t="s">
        <v>222</v>
      </c>
    </row>
    <row r="2074" ht="16.5" customHeight="1">
      <c r="A2074" s="32">
        <v>2070.0</v>
      </c>
      <c r="C2074" s="32" t="s">
        <v>2688</v>
      </c>
      <c r="D2074" s="32" t="s">
        <v>184</v>
      </c>
      <c r="E2074" s="32" t="s">
        <v>185</v>
      </c>
      <c r="F2074" s="32" t="s">
        <v>222</v>
      </c>
    </row>
    <row r="2075" ht="16.5" customHeight="1">
      <c r="A2075" s="32">
        <v>2071.0</v>
      </c>
      <c r="C2075" s="32" t="s">
        <v>2689</v>
      </c>
      <c r="D2075" s="32" t="s">
        <v>184</v>
      </c>
      <c r="E2075" s="32" t="s">
        <v>219</v>
      </c>
      <c r="F2075" s="32" t="s">
        <v>222</v>
      </c>
      <c r="G2075" s="32" t="s">
        <v>223</v>
      </c>
    </row>
    <row r="2076" ht="16.5" customHeight="1">
      <c r="A2076" s="32">
        <v>2072.0</v>
      </c>
      <c r="C2076" s="32" t="s">
        <v>2690</v>
      </c>
      <c r="D2076" s="32" t="s">
        <v>184</v>
      </c>
      <c r="E2076" s="32" t="s">
        <v>234</v>
      </c>
      <c r="F2076" s="32" t="s">
        <v>222</v>
      </c>
      <c r="G2076" s="32" t="s">
        <v>347</v>
      </c>
      <c r="H2076" s="32" t="s">
        <v>2636</v>
      </c>
    </row>
    <row r="2077" ht="16.5" customHeight="1">
      <c r="A2077" s="32">
        <v>2073.0</v>
      </c>
      <c r="C2077" s="32" t="s">
        <v>2691</v>
      </c>
      <c r="D2077" s="32" t="s">
        <v>184</v>
      </c>
      <c r="E2077" s="32" t="s">
        <v>285</v>
      </c>
      <c r="F2077" s="32" t="s">
        <v>222</v>
      </c>
      <c r="G2077" s="32" t="s">
        <v>189</v>
      </c>
      <c r="H2077" s="32" t="s">
        <v>1121</v>
      </c>
    </row>
    <row r="2078" ht="16.5" customHeight="1">
      <c r="A2078" s="32">
        <v>2074.0</v>
      </c>
      <c r="C2078" s="32" t="s">
        <v>2692</v>
      </c>
      <c r="D2078" s="32" t="s">
        <v>184</v>
      </c>
      <c r="E2078" s="32" t="s">
        <v>234</v>
      </c>
      <c r="F2078" s="32" t="s">
        <v>222</v>
      </c>
    </row>
    <row r="2079" ht="16.5" customHeight="1">
      <c r="A2079" s="32">
        <v>2075.0</v>
      </c>
      <c r="C2079" s="32" t="s">
        <v>2693</v>
      </c>
      <c r="D2079" s="32" t="s">
        <v>184</v>
      </c>
      <c r="E2079" s="32" t="s">
        <v>219</v>
      </c>
      <c r="F2079" s="32" t="s">
        <v>255</v>
      </c>
      <c r="G2079" s="32" t="s">
        <v>223</v>
      </c>
      <c r="H2079" s="32" t="s">
        <v>1181</v>
      </c>
    </row>
    <row r="2080" ht="16.5" customHeight="1">
      <c r="A2080" s="32">
        <v>2076.0</v>
      </c>
      <c r="C2080" s="32" t="s">
        <v>2694</v>
      </c>
      <c r="D2080" s="32" t="s">
        <v>184</v>
      </c>
      <c r="E2080" s="32" t="s">
        <v>192</v>
      </c>
      <c r="F2080" s="32" t="s">
        <v>255</v>
      </c>
      <c r="G2080" s="32" t="s">
        <v>329</v>
      </c>
      <c r="H2080" s="32" t="s">
        <v>408</v>
      </c>
    </row>
    <row r="2081" ht="16.5" customHeight="1">
      <c r="A2081" s="32">
        <v>2077.0</v>
      </c>
      <c r="C2081" s="32" t="s">
        <v>2695</v>
      </c>
      <c r="D2081" s="32" t="s">
        <v>184</v>
      </c>
      <c r="E2081" s="32" t="s">
        <v>254</v>
      </c>
      <c r="F2081" s="32" t="s">
        <v>255</v>
      </c>
      <c r="G2081" s="32" t="s">
        <v>2696</v>
      </c>
      <c r="H2081" s="32" t="s">
        <v>296</v>
      </c>
    </row>
    <row r="2082" ht="16.5" customHeight="1">
      <c r="A2082" s="32">
        <v>2078.0</v>
      </c>
      <c r="C2082" s="32" t="s">
        <v>2697</v>
      </c>
      <c r="D2082" s="32" t="s">
        <v>184</v>
      </c>
      <c r="E2082" s="35" t="s">
        <v>522</v>
      </c>
      <c r="F2082" s="32" t="s">
        <v>255</v>
      </c>
      <c r="G2082" s="32" t="s">
        <v>2698</v>
      </c>
      <c r="H2082" s="32" t="s">
        <v>296</v>
      </c>
    </row>
    <row r="2083" ht="16.5" customHeight="1">
      <c r="A2083" s="32">
        <v>2079.0</v>
      </c>
      <c r="C2083" s="32" t="s">
        <v>2699</v>
      </c>
      <c r="D2083" s="32" t="s">
        <v>184</v>
      </c>
      <c r="E2083" s="32" t="s">
        <v>254</v>
      </c>
      <c r="F2083" s="32" t="s">
        <v>255</v>
      </c>
      <c r="G2083" s="32" t="s">
        <v>257</v>
      </c>
      <c r="H2083" s="32" t="s">
        <v>256</v>
      </c>
    </row>
    <row r="2084" ht="16.5" customHeight="1">
      <c r="A2084" s="32">
        <v>2080.0</v>
      </c>
      <c r="C2084" s="32" t="s">
        <v>2700</v>
      </c>
      <c r="D2084" s="32" t="s">
        <v>184</v>
      </c>
      <c r="E2084" s="35" t="s">
        <v>1894</v>
      </c>
      <c r="F2084" s="32" t="s">
        <v>255</v>
      </c>
      <c r="G2084" s="32" t="s">
        <v>2701</v>
      </c>
      <c r="H2084" s="32" t="s">
        <v>2702</v>
      </c>
    </row>
    <row r="2085" ht="16.5" customHeight="1">
      <c r="A2085" s="32">
        <v>2081.0</v>
      </c>
      <c r="C2085" s="32" t="s">
        <v>2703</v>
      </c>
      <c r="D2085" s="32" t="s">
        <v>184</v>
      </c>
      <c r="E2085" s="35" t="s">
        <v>1894</v>
      </c>
      <c r="F2085" s="32" t="s">
        <v>255</v>
      </c>
      <c r="G2085" s="32" t="s">
        <v>2701</v>
      </c>
      <c r="H2085" s="32" t="s">
        <v>2702</v>
      </c>
    </row>
    <row r="2086" ht="16.5" customHeight="1">
      <c r="A2086" s="32">
        <v>2082.0</v>
      </c>
      <c r="C2086" s="32" t="s">
        <v>2704</v>
      </c>
      <c r="D2086" s="32" t="s">
        <v>184</v>
      </c>
      <c r="E2086" s="32" t="s">
        <v>254</v>
      </c>
      <c r="F2086" s="32" t="s">
        <v>255</v>
      </c>
      <c r="G2086" s="32" t="s">
        <v>260</v>
      </c>
      <c r="H2086" s="32" t="s">
        <v>1332</v>
      </c>
    </row>
    <row r="2087" ht="16.5" customHeight="1">
      <c r="A2087" s="32">
        <v>2083.0</v>
      </c>
      <c r="C2087" s="32" t="s">
        <v>2705</v>
      </c>
      <c r="D2087" s="32" t="s">
        <v>184</v>
      </c>
      <c r="E2087" s="32" t="s">
        <v>192</v>
      </c>
      <c r="F2087" s="32" t="s">
        <v>255</v>
      </c>
      <c r="G2087" s="32" t="s">
        <v>329</v>
      </c>
      <c r="H2087" s="32" t="s">
        <v>447</v>
      </c>
    </row>
    <row r="2088" ht="16.5" customHeight="1">
      <c r="A2088" s="32">
        <v>2084.0</v>
      </c>
      <c r="C2088" s="32" t="s">
        <v>2706</v>
      </c>
      <c r="D2088" s="32" t="s">
        <v>184</v>
      </c>
      <c r="E2088" s="32" t="s">
        <v>192</v>
      </c>
      <c r="F2088" s="32" t="s">
        <v>255</v>
      </c>
      <c r="G2088" s="32" t="s">
        <v>329</v>
      </c>
      <c r="H2088" s="32" t="s">
        <v>357</v>
      </c>
    </row>
    <row r="2089" ht="16.5" customHeight="1">
      <c r="A2089" s="32">
        <v>2085.0</v>
      </c>
      <c r="C2089" s="32" t="s">
        <v>2707</v>
      </c>
      <c r="D2089" s="32" t="s">
        <v>184</v>
      </c>
      <c r="E2089" s="32" t="s">
        <v>234</v>
      </c>
      <c r="F2089" s="32" t="s">
        <v>255</v>
      </c>
      <c r="G2089" s="32" t="s">
        <v>235</v>
      </c>
      <c r="H2089" s="32" t="s">
        <v>243</v>
      </c>
    </row>
    <row r="2090" ht="16.5" customHeight="1">
      <c r="A2090" s="32">
        <v>2086.0</v>
      </c>
      <c r="C2090" s="32" t="s">
        <v>2708</v>
      </c>
      <c r="D2090" s="32" t="s">
        <v>184</v>
      </c>
      <c r="E2090" s="32" t="s">
        <v>325</v>
      </c>
      <c r="F2090" s="32" t="s">
        <v>255</v>
      </c>
    </row>
    <row r="2091" ht="16.5" customHeight="1">
      <c r="A2091" s="32">
        <v>2087.0</v>
      </c>
      <c r="C2091" s="32" t="s">
        <v>2709</v>
      </c>
      <c r="D2091" s="32" t="s">
        <v>184</v>
      </c>
      <c r="E2091" s="35" t="s">
        <v>294</v>
      </c>
      <c r="F2091" s="32" t="s">
        <v>255</v>
      </c>
      <c r="G2091" s="32" t="s">
        <v>295</v>
      </c>
      <c r="H2091" s="32" t="s">
        <v>2522</v>
      </c>
    </row>
    <row r="2092" ht="16.5" customHeight="1">
      <c r="A2092" s="32">
        <v>2088.0</v>
      </c>
      <c r="C2092" s="32" t="s">
        <v>2710</v>
      </c>
      <c r="D2092" s="32" t="s">
        <v>184</v>
      </c>
      <c r="E2092" s="32" t="s">
        <v>185</v>
      </c>
      <c r="F2092" s="32" t="s">
        <v>255</v>
      </c>
    </row>
    <row r="2093" ht="16.5" customHeight="1">
      <c r="A2093" s="32">
        <v>2089.0</v>
      </c>
      <c r="C2093" s="32" t="s">
        <v>2711</v>
      </c>
      <c r="D2093" s="32" t="s">
        <v>184</v>
      </c>
      <c r="E2093" s="32" t="s">
        <v>285</v>
      </c>
      <c r="F2093" s="32" t="s">
        <v>255</v>
      </c>
    </row>
    <row r="2094" ht="16.5" customHeight="1">
      <c r="A2094" s="32">
        <v>2090.0</v>
      </c>
      <c r="C2094" s="32" t="s">
        <v>2712</v>
      </c>
      <c r="D2094" s="32" t="s">
        <v>184</v>
      </c>
      <c r="E2094" s="32" t="s">
        <v>325</v>
      </c>
      <c r="F2094" s="32" t="s">
        <v>255</v>
      </c>
    </row>
    <row r="2095" ht="16.5" customHeight="1">
      <c r="A2095" s="32">
        <v>2091.0</v>
      </c>
      <c r="C2095" s="32" t="s">
        <v>2712</v>
      </c>
      <c r="D2095" s="32" t="s">
        <v>184</v>
      </c>
      <c r="E2095" s="32" t="s">
        <v>325</v>
      </c>
      <c r="F2095" s="32" t="s">
        <v>255</v>
      </c>
    </row>
    <row r="2096" ht="16.5" customHeight="1">
      <c r="A2096" s="32">
        <v>2092.0</v>
      </c>
      <c r="C2096" s="32" t="s">
        <v>2713</v>
      </c>
      <c r="D2096" s="32" t="s">
        <v>184</v>
      </c>
      <c r="E2096" s="32" t="s">
        <v>325</v>
      </c>
      <c r="F2096" s="32" t="s">
        <v>255</v>
      </c>
    </row>
    <row r="2097" ht="16.5" customHeight="1">
      <c r="A2097" s="32">
        <v>2093.0</v>
      </c>
      <c r="C2097" s="32" t="s">
        <v>2714</v>
      </c>
      <c r="D2097" s="32" t="s">
        <v>184</v>
      </c>
      <c r="E2097" s="32" t="s">
        <v>192</v>
      </c>
      <c r="F2097" s="32" t="s">
        <v>255</v>
      </c>
    </row>
    <row r="2098" ht="16.5" customHeight="1">
      <c r="A2098" s="32">
        <v>2094.0</v>
      </c>
      <c r="C2098" s="32" t="s">
        <v>2715</v>
      </c>
      <c r="D2098" s="32" t="s">
        <v>184</v>
      </c>
      <c r="E2098" s="32" t="s">
        <v>192</v>
      </c>
      <c r="F2098" s="32" t="s">
        <v>399</v>
      </c>
      <c r="G2098" s="32" t="s">
        <v>300</v>
      </c>
      <c r="H2098" s="32" t="s">
        <v>2716</v>
      </c>
    </row>
    <row r="2099" ht="16.5" customHeight="1">
      <c r="A2099" s="32">
        <v>2095.0</v>
      </c>
      <c r="C2099" s="32" t="s">
        <v>2717</v>
      </c>
      <c r="D2099" s="32" t="s">
        <v>184</v>
      </c>
      <c r="E2099" s="32" t="s">
        <v>192</v>
      </c>
      <c r="F2099" s="32" t="s">
        <v>399</v>
      </c>
      <c r="G2099" s="32" t="s">
        <v>275</v>
      </c>
      <c r="H2099" s="32" t="s">
        <v>187</v>
      </c>
    </row>
    <row r="2100" ht="16.5" customHeight="1">
      <c r="A2100" s="32">
        <v>2096.0</v>
      </c>
      <c r="C2100" s="32" t="s">
        <v>2718</v>
      </c>
      <c r="D2100" s="32" t="s">
        <v>184</v>
      </c>
      <c r="E2100" s="32" t="s">
        <v>192</v>
      </c>
      <c r="F2100" s="32" t="s">
        <v>399</v>
      </c>
      <c r="G2100" s="32" t="s">
        <v>275</v>
      </c>
      <c r="H2100" s="32" t="s">
        <v>187</v>
      </c>
    </row>
    <row r="2101" ht="16.5" customHeight="1">
      <c r="A2101" s="32">
        <v>2097.0</v>
      </c>
      <c r="C2101" s="32" t="s">
        <v>2719</v>
      </c>
      <c r="D2101" s="32" t="s">
        <v>184</v>
      </c>
      <c r="E2101" s="32" t="s">
        <v>192</v>
      </c>
      <c r="F2101" s="32" t="s">
        <v>399</v>
      </c>
      <c r="G2101" s="32" t="s">
        <v>275</v>
      </c>
      <c r="H2101" s="32" t="s">
        <v>187</v>
      </c>
    </row>
    <row r="2102" ht="16.5" customHeight="1">
      <c r="A2102" s="32">
        <v>2098.0</v>
      </c>
      <c r="C2102" s="32" t="s">
        <v>2720</v>
      </c>
      <c r="D2102" s="32" t="s">
        <v>184</v>
      </c>
      <c r="E2102" s="32" t="s">
        <v>192</v>
      </c>
      <c r="F2102" s="32" t="s">
        <v>399</v>
      </c>
      <c r="G2102" s="32" t="s">
        <v>275</v>
      </c>
      <c r="H2102" s="32" t="s">
        <v>187</v>
      </c>
    </row>
    <row r="2103" ht="16.5" customHeight="1">
      <c r="A2103" s="32">
        <v>2099.0</v>
      </c>
      <c r="C2103" s="32" t="s">
        <v>2721</v>
      </c>
      <c r="D2103" s="32" t="s">
        <v>184</v>
      </c>
      <c r="E2103" s="32" t="s">
        <v>192</v>
      </c>
      <c r="F2103" s="32" t="s">
        <v>399</v>
      </c>
      <c r="G2103" s="32" t="s">
        <v>275</v>
      </c>
      <c r="H2103" s="32" t="s">
        <v>2722</v>
      </c>
    </row>
    <row r="2104" ht="16.5" customHeight="1">
      <c r="A2104" s="32">
        <v>2100.0</v>
      </c>
      <c r="C2104" s="32" t="s">
        <v>2723</v>
      </c>
      <c r="D2104" s="32" t="s">
        <v>184</v>
      </c>
      <c r="E2104" s="32" t="s">
        <v>254</v>
      </c>
      <c r="F2104" s="32" t="s">
        <v>399</v>
      </c>
    </row>
    <row r="2105" ht="16.5" customHeight="1">
      <c r="A2105" s="32">
        <v>2101.0</v>
      </c>
      <c r="C2105" s="32" t="s">
        <v>2724</v>
      </c>
      <c r="D2105" s="32" t="s">
        <v>184</v>
      </c>
      <c r="E2105" s="32" t="s">
        <v>219</v>
      </c>
      <c r="F2105" s="32" t="s">
        <v>399</v>
      </c>
    </row>
    <row r="2106" ht="16.5" customHeight="1">
      <c r="A2106" s="32">
        <v>2102.0</v>
      </c>
      <c r="C2106" s="32" t="s">
        <v>2725</v>
      </c>
      <c r="D2106" s="32" t="s">
        <v>184</v>
      </c>
      <c r="E2106" s="32" t="s">
        <v>254</v>
      </c>
      <c r="F2106" s="32" t="s">
        <v>399</v>
      </c>
      <c r="G2106" s="32" t="s">
        <v>256</v>
      </c>
      <c r="H2106" s="32" t="s">
        <v>317</v>
      </c>
    </row>
    <row r="2107" ht="16.5" customHeight="1">
      <c r="A2107" s="32">
        <v>2103.0</v>
      </c>
      <c r="C2107" s="32" t="s">
        <v>2726</v>
      </c>
      <c r="D2107" s="32" t="s">
        <v>184</v>
      </c>
      <c r="E2107" s="32" t="s">
        <v>285</v>
      </c>
      <c r="F2107" s="32" t="s">
        <v>399</v>
      </c>
      <c r="G2107" s="32" t="s">
        <v>188</v>
      </c>
      <c r="H2107" s="32" t="s">
        <v>665</v>
      </c>
    </row>
    <row r="2108" ht="16.5" customHeight="1">
      <c r="A2108" s="32">
        <v>2104.0</v>
      </c>
      <c r="C2108" s="32" t="s">
        <v>2727</v>
      </c>
      <c r="D2108" s="32" t="s">
        <v>184</v>
      </c>
      <c r="E2108" s="32" t="s">
        <v>325</v>
      </c>
      <c r="F2108" s="32" t="s">
        <v>222</v>
      </c>
      <c r="G2108" s="32" t="s">
        <v>368</v>
      </c>
      <c r="H2108" s="32" t="s">
        <v>463</v>
      </c>
    </row>
    <row r="2109" ht="16.5" customHeight="1">
      <c r="A2109" s="32">
        <v>2105.0</v>
      </c>
      <c r="C2109" s="32" t="s">
        <v>2728</v>
      </c>
      <c r="D2109" s="32" t="s">
        <v>184</v>
      </c>
      <c r="E2109" s="32" t="s">
        <v>325</v>
      </c>
      <c r="F2109" s="32" t="s">
        <v>222</v>
      </c>
      <c r="G2109" s="32" t="s">
        <v>368</v>
      </c>
      <c r="H2109" s="32" t="s">
        <v>463</v>
      </c>
    </row>
    <row r="2110" ht="16.5" customHeight="1">
      <c r="A2110" s="32">
        <v>2106.0</v>
      </c>
      <c r="C2110" s="32" t="s">
        <v>2729</v>
      </c>
      <c r="D2110" s="32" t="s">
        <v>184</v>
      </c>
      <c r="E2110" s="32" t="s">
        <v>325</v>
      </c>
      <c r="F2110" s="32" t="s">
        <v>222</v>
      </c>
      <c r="G2110" s="32" t="s">
        <v>368</v>
      </c>
      <c r="H2110" s="32" t="s">
        <v>463</v>
      </c>
    </row>
    <row r="2111" ht="16.5" customHeight="1">
      <c r="A2111" s="32">
        <v>2107.0</v>
      </c>
      <c r="C2111" s="32" t="s">
        <v>2730</v>
      </c>
      <c r="D2111" s="32" t="s">
        <v>184</v>
      </c>
      <c r="E2111" s="32" t="s">
        <v>185</v>
      </c>
      <c r="F2111" s="32" t="s">
        <v>399</v>
      </c>
      <c r="G2111" s="32" t="s">
        <v>475</v>
      </c>
      <c r="H2111" s="32" t="s">
        <v>2731</v>
      </c>
    </row>
    <row r="2112" ht="16.5" customHeight="1">
      <c r="A2112" s="32">
        <v>2108.0</v>
      </c>
      <c r="C2112" s="32" t="s">
        <v>2732</v>
      </c>
      <c r="D2112" s="32" t="s">
        <v>184</v>
      </c>
      <c r="E2112" s="32" t="s">
        <v>185</v>
      </c>
      <c r="F2112" s="32" t="s">
        <v>399</v>
      </c>
      <c r="G2112" s="32" t="s">
        <v>187</v>
      </c>
      <c r="H2112" s="32" t="s">
        <v>2733</v>
      </c>
    </row>
    <row r="2113" ht="16.5" customHeight="1">
      <c r="A2113" s="32">
        <v>2109.0</v>
      </c>
      <c r="C2113" s="32" t="s">
        <v>2734</v>
      </c>
      <c r="D2113" s="32" t="s">
        <v>184</v>
      </c>
      <c r="E2113" s="32" t="s">
        <v>185</v>
      </c>
      <c r="F2113" s="32" t="s">
        <v>399</v>
      </c>
    </row>
    <row r="2114" ht="16.5" customHeight="1">
      <c r="A2114" s="32">
        <v>2110.0</v>
      </c>
      <c r="C2114" s="32" t="s">
        <v>2735</v>
      </c>
      <c r="D2114" s="32" t="s">
        <v>184</v>
      </c>
      <c r="E2114" s="32" t="s">
        <v>234</v>
      </c>
      <c r="F2114" s="32" t="s">
        <v>399</v>
      </c>
      <c r="G2114" s="32" t="s">
        <v>2736</v>
      </c>
      <c r="H2114" s="32" t="s">
        <v>382</v>
      </c>
    </row>
    <row r="2115" ht="16.5" customHeight="1">
      <c r="A2115" s="32">
        <v>2111.0</v>
      </c>
      <c r="C2115" s="32" t="s">
        <v>2737</v>
      </c>
      <c r="D2115" s="32" t="s">
        <v>184</v>
      </c>
      <c r="E2115" s="32" t="s">
        <v>192</v>
      </c>
      <c r="F2115" s="32" t="s">
        <v>399</v>
      </c>
      <c r="G2115" s="32" t="s">
        <v>2738</v>
      </c>
      <c r="H2115" s="32" t="s">
        <v>2739</v>
      </c>
    </row>
    <row r="2116" ht="16.5" customHeight="1">
      <c r="A2116" s="32">
        <v>2112.0</v>
      </c>
      <c r="C2116" s="32" t="s">
        <v>2740</v>
      </c>
      <c r="D2116" s="32" t="s">
        <v>184</v>
      </c>
      <c r="E2116" s="32" t="s">
        <v>234</v>
      </c>
      <c r="F2116" s="32" t="s">
        <v>255</v>
      </c>
      <c r="G2116" s="32" t="s">
        <v>389</v>
      </c>
      <c r="H2116" s="32" t="s">
        <v>229</v>
      </c>
    </row>
    <row r="2117" ht="16.5" customHeight="1">
      <c r="A2117" s="32">
        <v>2113.0</v>
      </c>
      <c r="C2117" s="32" t="s">
        <v>2741</v>
      </c>
      <c r="D2117" s="32" t="s">
        <v>184</v>
      </c>
      <c r="E2117" s="32" t="s">
        <v>219</v>
      </c>
      <c r="F2117" s="32" t="s">
        <v>222</v>
      </c>
    </row>
    <row r="2118" ht="16.5" customHeight="1">
      <c r="A2118" s="32">
        <v>2114.0</v>
      </c>
      <c r="C2118" s="32" t="s">
        <v>2742</v>
      </c>
      <c r="D2118" s="32" t="s">
        <v>184</v>
      </c>
      <c r="E2118" s="32" t="s">
        <v>285</v>
      </c>
      <c r="F2118" s="32" t="s">
        <v>399</v>
      </c>
      <c r="G2118" s="32" t="s">
        <v>189</v>
      </c>
      <c r="H2118" s="32" t="s">
        <v>190</v>
      </c>
    </row>
    <row r="2119" ht="16.5" customHeight="1">
      <c r="A2119" s="32">
        <v>2115.0</v>
      </c>
      <c r="C2119" s="32" t="s">
        <v>2743</v>
      </c>
      <c r="D2119" s="32" t="s">
        <v>184</v>
      </c>
      <c r="E2119" s="32" t="s">
        <v>254</v>
      </c>
      <c r="F2119" s="32" t="s">
        <v>255</v>
      </c>
    </row>
    <row r="2120" ht="16.5" customHeight="1">
      <c r="A2120" s="32">
        <v>2116.0</v>
      </c>
      <c r="C2120" s="32" t="s">
        <v>2744</v>
      </c>
      <c r="D2120" s="32" t="s">
        <v>184</v>
      </c>
      <c r="E2120" s="32" t="s">
        <v>219</v>
      </c>
      <c r="F2120" s="32" t="s">
        <v>2745</v>
      </c>
    </row>
    <row r="2121" ht="16.5" customHeight="1">
      <c r="A2121" s="32">
        <v>2117.0</v>
      </c>
      <c r="C2121" s="32" t="s">
        <v>2746</v>
      </c>
      <c r="D2121" s="32" t="s">
        <v>184</v>
      </c>
      <c r="E2121" s="32" t="s">
        <v>219</v>
      </c>
      <c r="F2121" s="32" t="s">
        <v>2745</v>
      </c>
    </row>
    <row r="2122" ht="16.5" customHeight="1">
      <c r="A2122" s="32">
        <v>2118.0</v>
      </c>
      <c r="C2122" s="32" t="s">
        <v>2747</v>
      </c>
      <c r="D2122" s="32" t="s">
        <v>184</v>
      </c>
      <c r="E2122" s="32" t="s">
        <v>219</v>
      </c>
      <c r="F2122" s="32" t="s">
        <v>2745</v>
      </c>
    </row>
    <row r="2123" ht="16.5" customHeight="1">
      <c r="A2123" s="32">
        <v>2119.0</v>
      </c>
      <c r="C2123" s="32" t="s">
        <v>2748</v>
      </c>
      <c r="D2123" s="32" t="s">
        <v>184</v>
      </c>
      <c r="E2123" s="32" t="s">
        <v>192</v>
      </c>
      <c r="F2123" s="32" t="s">
        <v>2745</v>
      </c>
      <c r="G2123" s="32" t="s">
        <v>300</v>
      </c>
      <c r="H2123" s="32" t="s">
        <v>1533</v>
      </c>
    </row>
    <row r="2124" ht="16.5" customHeight="1">
      <c r="A2124" s="32">
        <v>2120.0</v>
      </c>
      <c r="C2124" s="32" t="s">
        <v>2749</v>
      </c>
      <c r="D2124" s="32" t="s">
        <v>184</v>
      </c>
      <c r="E2124" s="32" t="s">
        <v>219</v>
      </c>
      <c r="F2124" s="32" t="s">
        <v>2745</v>
      </c>
    </row>
    <row r="2125" ht="16.5" customHeight="1">
      <c r="A2125" s="32">
        <v>2121.0</v>
      </c>
      <c r="C2125" s="32" t="s">
        <v>2750</v>
      </c>
      <c r="D2125" s="32" t="s">
        <v>184</v>
      </c>
      <c r="E2125" s="32" t="s">
        <v>192</v>
      </c>
      <c r="F2125" s="32" t="s">
        <v>2745</v>
      </c>
      <c r="G2125" s="32" t="s">
        <v>329</v>
      </c>
      <c r="H2125" s="32" t="s">
        <v>457</v>
      </c>
    </row>
    <row r="2126" ht="16.5" customHeight="1">
      <c r="A2126" s="32">
        <v>2122.0</v>
      </c>
      <c r="C2126" s="32" t="s">
        <v>2751</v>
      </c>
      <c r="D2126" s="32" t="s">
        <v>184</v>
      </c>
      <c r="E2126" s="32" t="s">
        <v>219</v>
      </c>
      <c r="F2126" s="32" t="s">
        <v>2745</v>
      </c>
      <c r="G2126" s="32" t="s">
        <v>232</v>
      </c>
      <c r="H2126" s="32" t="s">
        <v>233</v>
      </c>
    </row>
    <row r="2127" ht="16.5" customHeight="1">
      <c r="A2127" s="32">
        <v>2123.0</v>
      </c>
      <c r="C2127" s="32" t="s">
        <v>2752</v>
      </c>
      <c r="D2127" s="32" t="s">
        <v>184</v>
      </c>
      <c r="E2127" s="32" t="s">
        <v>219</v>
      </c>
      <c r="F2127" s="32" t="s">
        <v>2745</v>
      </c>
      <c r="G2127" s="32" t="s">
        <v>223</v>
      </c>
    </row>
    <row r="2128" ht="16.5" customHeight="1">
      <c r="A2128" s="32">
        <v>2124.0</v>
      </c>
      <c r="C2128" s="32" t="s">
        <v>2753</v>
      </c>
      <c r="D2128" s="32" t="s">
        <v>184</v>
      </c>
      <c r="E2128" s="32" t="s">
        <v>228</v>
      </c>
      <c r="F2128" s="32" t="s">
        <v>2745</v>
      </c>
      <c r="G2128" s="32" t="s">
        <v>2754</v>
      </c>
      <c r="H2128" s="32" t="s">
        <v>2755</v>
      </c>
    </row>
    <row r="2129" ht="16.5" customHeight="1">
      <c r="A2129" s="32">
        <v>2125.0</v>
      </c>
      <c r="C2129" s="32" t="s">
        <v>2756</v>
      </c>
      <c r="D2129" s="32" t="s">
        <v>184</v>
      </c>
      <c r="E2129" s="32" t="s">
        <v>228</v>
      </c>
      <c r="F2129" s="32" t="s">
        <v>2745</v>
      </c>
      <c r="G2129" s="32" t="s">
        <v>2754</v>
      </c>
      <c r="H2129" s="32" t="s">
        <v>2755</v>
      </c>
    </row>
    <row r="2130" ht="16.5" customHeight="1">
      <c r="A2130" s="32">
        <v>2126.0</v>
      </c>
      <c r="C2130" s="32" t="s">
        <v>2757</v>
      </c>
      <c r="D2130" s="32" t="s">
        <v>184</v>
      </c>
      <c r="E2130" s="32" t="s">
        <v>219</v>
      </c>
      <c r="F2130" s="32" t="s">
        <v>2745</v>
      </c>
      <c r="G2130" s="32" t="s">
        <v>241</v>
      </c>
      <c r="H2130" s="32" t="s">
        <v>292</v>
      </c>
    </row>
    <row r="2131" ht="16.5" customHeight="1">
      <c r="A2131" s="32">
        <v>2127.0</v>
      </c>
      <c r="C2131" s="32" t="s">
        <v>2758</v>
      </c>
      <c r="D2131" s="32" t="s">
        <v>184</v>
      </c>
      <c r="E2131" s="32" t="s">
        <v>219</v>
      </c>
      <c r="F2131" s="32" t="s">
        <v>2745</v>
      </c>
      <c r="G2131" s="32" t="s">
        <v>232</v>
      </c>
      <c r="H2131" s="32" t="s">
        <v>233</v>
      </c>
    </row>
    <row r="2132" ht="16.5" customHeight="1">
      <c r="A2132" s="32">
        <v>2128.0</v>
      </c>
      <c r="C2132" s="32" t="s">
        <v>2759</v>
      </c>
      <c r="D2132" s="32" t="s">
        <v>184</v>
      </c>
      <c r="E2132" s="32" t="s">
        <v>219</v>
      </c>
      <c r="F2132" s="32" t="s">
        <v>2745</v>
      </c>
      <c r="G2132" s="32" t="s">
        <v>232</v>
      </c>
      <c r="H2132" s="32" t="s">
        <v>233</v>
      </c>
    </row>
    <row r="2133" ht="16.5" customHeight="1">
      <c r="A2133" s="32">
        <v>2129.0</v>
      </c>
      <c r="C2133" s="32" t="s">
        <v>2760</v>
      </c>
      <c r="D2133" s="32" t="s">
        <v>184</v>
      </c>
      <c r="E2133" s="32" t="s">
        <v>219</v>
      </c>
      <c r="F2133" s="32" t="s">
        <v>2745</v>
      </c>
      <c r="G2133" s="32" t="s">
        <v>241</v>
      </c>
      <c r="H2133" s="32" t="s">
        <v>292</v>
      </c>
    </row>
    <row r="2134" ht="16.5" customHeight="1">
      <c r="A2134" s="32">
        <v>2130.0</v>
      </c>
      <c r="C2134" s="32" t="s">
        <v>2761</v>
      </c>
      <c r="D2134" s="32" t="s">
        <v>184</v>
      </c>
      <c r="E2134" s="32" t="s">
        <v>219</v>
      </c>
      <c r="F2134" s="32" t="s">
        <v>2745</v>
      </c>
      <c r="G2134" s="32" t="s">
        <v>241</v>
      </c>
      <c r="H2134" s="32" t="s">
        <v>292</v>
      </c>
    </row>
    <row r="2135" ht="16.5" customHeight="1">
      <c r="A2135" s="32">
        <v>2131.0</v>
      </c>
      <c r="C2135" s="32" t="s">
        <v>2762</v>
      </c>
      <c r="D2135" s="32" t="s">
        <v>184</v>
      </c>
      <c r="E2135" s="32" t="s">
        <v>219</v>
      </c>
      <c r="F2135" s="32" t="s">
        <v>2745</v>
      </c>
      <c r="G2135" s="32" t="s">
        <v>223</v>
      </c>
      <c r="H2135" s="32" t="s">
        <v>292</v>
      </c>
    </row>
    <row r="2136" ht="16.5" customHeight="1">
      <c r="A2136" s="32">
        <v>2132.0</v>
      </c>
      <c r="C2136" s="32" t="s">
        <v>2763</v>
      </c>
      <c r="D2136" s="32" t="s">
        <v>184</v>
      </c>
      <c r="E2136" s="32" t="s">
        <v>219</v>
      </c>
      <c r="F2136" s="32" t="s">
        <v>2745</v>
      </c>
    </row>
    <row r="2137" ht="16.5" customHeight="1">
      <c r="A2137" s="32">
        <v>2133.0</v>
      </c>
      <c r="C2137" s="32" t="s">
        <v>2764</v>
      </c>
      <c r="D2137" s="32" t="s">
        <v>184</v>
      </c>
      <c r="E2137" s="32" t="s">
        <v>219</v>
      </c>
      <c r="F2137" s="32" t="s">
        <v>2745</v>
      </c>
      <c r="G2137" s="32" t="s">
        <v>223</v>
      </c>
    </row>
    <row r="2138" ht="16.5" customHeight="1">
      <c r="A2138" s="32">
        <v>2134.0</v>
      </c>
      <c r="C2138" s="32" t="s">
        <v>2765</v>
      </c>
      <c r="D2138" s="32" t="s">
        <v>184</v>
      </c>
      <c r="E2138" s="32" t="s">
        <v>219</v>
      </c>
      <c r="F2138" s="32" t="s">
        <v>2745</v>
      </c>
      <c r="G2138" s="32" t="s">
        <v>223</v>
      </c>
    </row>
    <row r="2139" ht="16.5" customHeight="1">
      <c r="A2139" s="32">
        <v>2135.0</v>
      </c>
      <c r="C2139" s="32" t="s">
        <v>2766</v>
      </c>
      <c r="D2139" s="32" t="s">
        <v>184</v>
      </c>
      <c r="E2139" s="32" t="s">
        <v>219</v>
      </c>
      <c r="F2139" s="32" t="s">
        <v>2745</v>
      </c>
      <c r="G2139" s="32" t="s">
        <v>223</v>
      </c>
      <c r="H2139" s="32" t="s">
        <v>472</v>
      </c>
    </row>
    <row r="2140" ht="16.5" customHeight="1">
      <c r="A2140" s="32">
        <v>2136.0</v>
      </c>
      <c r="C2140" s="32" t="s">
        <v>2767</v>
      </c>
      <c r="D2140" s="32" t="s">
        <v>184</v>
      </c>
      <c r="E2140" s="32" t="s">
        <v>214</v>
      </c>
      <c r="F2140" s="32" t="s">
        <v>2745</v>
      </c>
      <c r="G2140" s="32" t="s">
        <v>216</v>
      </c>
      <c r="H2140" s="32" t="s">
        <v>217</v>
      </c>
    </row>
    <row r="2141" ht="16.5" customHeight="1">
      <c r="A2141" s="32">
        <v>2137.0</v>
      </c>
      <c r="C2141" s="32" t="s">
        <v>2768</v>
      </c>
      <c r="D2141" s="32" t="s">
        <v>184</v>
      </c>
      <c r="E2141" s="32" t="s">
        <v>219</v>
      </c>
      <c r="F2141" s="32" t="s">
        <v>2745</v>
      </c>
      <c r="G2141" s="32" t="s">
        <v>216</v>
      </c>
      <c r="H2141" s="32" t="s">
        <v>217</v>
      </c>
    </row>
    <row r="2142" ht="16.5" customHeight="1">
      <c r="A2142" s="32">
        <v>2138.0</v>
      </c>
      <c r="C2142" s="32" t="s">
        <v>2769</v>
      </c>
      <c r="D2142" s="32" t="s">
        <v>184</v>
      </c>
      <c r="E2142" s="32" t="s">
        <v>214</v>
      </c>
      <c r="F2142" s="32" t="s">
        <v>2745</v>
      </c>
      <c r="G2142" s="32" t="s">
        <v>216</v>
      </c>
      <c r="H2142" s="32" t="s">
        <v>217</v>
      </c>
    </row>
    <row r="2143" ht="16.5" customHeight="1">
      <c r="A2143" s="32">
        <v>2139.0</v>
      </c>
      <c r="C2143" s="32" t="s">
        <v>2770</v>
      </c>
      <c r="D2143" s="32" t="s">
        <v>184</v>
      </c>
      <c r="E2143" s="32" t="s">
        <v>219</v>
      </c>
      <c r="F2143" s="32" t="s">
        <v>2745</v>
      </c>
      <c r="G2143" s="32" t="s">
        <v>241</v>
      </c>
      <c r="H2143" s="32" t="s">
        <v>292</v>
      </c>
    </row>
    <row r="2144" ht="16.5" customHeight="1">
      <c r="A2144" s="32">
        <v>2140.0</v>
      </c>
      <c r="C2144" s="32" t="s">
        <v>2771</v>
      </c>
      <c r="D2144" s="32" t="s">
        <v>184</v>
      </c>
      <c r="E2144" s="32" t="s">
        <v>219</v>
      </c>
      <c r="F2144" s="32" t="s">
        <v>2745</v>
      </c>
      <c r="G2144" s="32" t="s">
        <v>223</v>
      </c>
    </row>
    <row r="2145" ht="16.5" customHeight="1">
      <c r="A2145" s="32">
        <v>2141.0</v>
      </c>
      <c r="C2145" s="32" t="s">
        <v>2772</v>
      </c>
      <c r="D2145" s="32" t="s">
        <v>184</v>
      </c>
      <c r="E2145" s="32" t="s">
        <v>219</v>
      </c>
      <c r="F2145" s="32" t="s">
        <v>2745</v>
      </c>
      <c r="G2145" s="32" t="s">
        <v>217</v>
      </c>
      <c r="H2145" s="32" t="s">
        <v>216</v>
      </c>
    </row>
    <row r="2146" ht="16.5" customHeight="1">
      <c r="A2146" s="32">
        <v>2142.0</v>
      </c>
      <c r="C2146" s="32" t="s">
        <v>2772</v>
      </c>
      <c r="D2146" s="32" t="s">
        <v>184</v>
      </c>
      <c r="E2146" s="32" t="s">
        <v>219</v>
      </c>
      <c r="F2146" s="32" t="s">
        <v>2745</v>
      </c>
      <c r="G2146" s="32" t="s">
        <v>241</v>
      </c>
      <c r="H2146" s="32" t="s">
        <v>292</v>
      </c>
    </row>
    <row r="2147" ht="16.5" customHeight="1">
      <c r="A2147" s="32">
        <v>2143.0</v>
      </c>
      <c r="C2147" s="32" t="s">
        <v>2773</v>
      </c>
      <c r="D2147" s="32" t="s">
        <v>184</v>
      </c>
      <c r="E2147" s="32" t="s">
        <v>219</v>
      </c>
      <c r="F2147" s="32" t="s">
        <v>2745</v>
      </c>
      <c r="G2147" s="32" t="s">
        <v>217</v>
      </c>
      <c r="H2147" s="32" t="s">
        <v>216</v>
      </c>
    </row>
    <row r="2148" ht="16.5" customHeight="1">
      <c r="A2148" s="32">
        <v>2144.0</v>
      </c>
      <c r="C2148" s="32" t="s">
        <v>2774</v>
      </c>
      <c r="D2148" s="32" t="s">
        <v>184</v>
      </c>
      <c r="E2148" s="32" t="s">
        <v>219</v>
      </c>
      <c r="F2148" s="32" t="s">
        <v>2745</v>
      </c>
      <c r="G2148" s="32" t="s">
        <v>241</v>
      </c>
      <c r="H2148" s="32" t="s">
        <v>292</v>
      </c>
    </row>
    <row r="2149" ht="16.5" customHeight="1">
      <c r="A2149" s="32">
        <v>2145.0</v>
      </c>
      <c r="C2149" s="32" t="s">
        <v>2775</v>
      </c>
      <c r="D2149" s="32" t="s">
        <v>184</v>
      </c>
      <c r="E2149" s="32" t="s">
        <v>219</v>
      </c>
      <c r="F2149" s="32" t="s">
        <v>2745</v>
      </c>
      <c r="G2149" s="32" t="s">
        <v>223</v>
      </c>
      <c r="H2149" s="32" t="s">
        <v>472</v>
      </c>
    </row>
    <row r="2150" ht="16.5" customHeight="1">
      <c r="A2150" s="32">
        <v>2146.0</v>
      </c>
      <c r="C2150" s="32" t="s">
        <v>2776</v>
      </c>
      <c r="D2150" s="32" t="s">
        <v>184</v>
      </c>
      <c r="E2150" s="32" t="s">
        <v>219</v>
      </c>
      <c r="F2150" s="32" t="s">
        <v>2745</v>
      </c>
      <c r="G2150" s="32" t="s">
        <v>223</v>
      </c>
      <c r="H2150" s="32" t="s">
        <v>472</v>
      </c>
    </row>
    <row r="2151" ht="16.5" customHeight="1">
      <c r="A2151" s="32">
        <v>2147.0</v>
      </c>
      <c r="C2151" s="32" t="s">
        <v>2777</v>
      </c>
      <c r="D2151" s="32" t="s">
        <v>184</v>
      </c>
      <c r="E2151" s="35" t="s">
        <v>2778</v>
      </c>
      <c r="F2151" s="32" t="s">
        <v>2745</v>
      </c>
      <c r="G2151" s="32" t="s">
        <v>2779</v>
      </c>
      <c r="H2151" s="32" t="s">
        <v>2780</v>
      </c>
    </row>
    <row r="2152" ht="16.5" customHeight="1">
      <c r="A2152" s="32">
        <v>2148.0</v>
      </c>
      <c r="C2152" s="32" t="s">
        <v>2781</v>
      </c>
      <c r="D2152" s="32" t="s">
        <v>184</v>
      </c>
      <c r="E2152" s="35" t="s">
        <v>829</v>
      </c>
      <c r="F2152" s="32" t="s">
        <v>2745</v>
      </c>
      <c r="G2152" s="32" t="s">
        <v>236</v>
      </c>
      <c r="H2152" s="32" t="s">
        <v>292</v>
      </c>
    </row>
    <row r="2153" ht="16.5" customHeight="1">
      <c r="A2153" s="32">
        <v>2149.0</v>
      </c>
      <c r="C2153" s="32" t="s">
        <v>2782</v>
      </c>
      <c r="D2153" s="32" t="s">
        <v>184</v>
      </c>
      <c r="E2153" s="32" t="s">
        <v>228</v>
      </c>
      <c r="F2153" s="32" t="s">
        <v>2745</v>
      </c>
      <c r="G2153" s="32" t="s">
        <v>454</v>
      </c>
      <c r="H2153" s="32" t="s">
        <v>2783</v>
      </c>
    </row>
    <row r="2154" ht="16.5" customHeight="1">
      <c r="A2154" s="32">
        <v>2150.0</v>
      </c>
      <c r="C2154" s="32" t="s">
        <v>2784</v>
      </c>
      <c r="D2154" s="32" t="s">
        <v>184</v>
      </c>
      <c r="E2154" s="32" t="s">
        <v>228</v>
      </c>
      <c r="F2154" s="32" t="s">
        <v>2745</v>
      </c>
      <c r="G2154" s="32" t="s">
        <v>229</v>
      </c>
      <c r="H2154" s="32" t="s">
        <v>244</v>
      </c>
    </row>
    <row r="2155" ht="16.5" customHeight="1">
      <c r="A2155" s="32">
        <v>2151.0</v>
      </c>
      <c r="C2155" s="32" t="s">
        <v>2785</v>
      </c>
      <c r="D2155" s="32" t="s">
        <v>184</v>
      </c>
      <c r="E2155" s="32" t="s">
        <v>254</v>
      </c>
      <c r="F2155" s="32" t="s">
        <v>2745</v>
      </c>
      <c r="G2155" s="32" t="s">
        <v>305</v>
      </c>
    </row>
    <row r="2156" ht="16.5" customHeight="1">
      <c r="A2156" s="32">
        <v>2152.0</v>
      </c>
      <c r="C2156" s="32" t="s">
        <v>2786</v>
      </c>
      <c r="D2156" s="32" t="s">
        <v>184</v>
      </c>
      <c r="E2156" s="32" t="s">
        <v>254</v>
      </c>
      <c r="F2156" s="32" t="s">
        <v>2745</v>
      </c>
      <c r="G2156" s="32" t="s">
        <v>2640</v>
      </c>
    </row>
    <row r="2157" ht="16.5" customHeight="1">
      <c r="A2157" s="32">
        <v>2153.0</v>
      </c>
      <c r="C2157" s="32" t="s">
        <v>2787</v>
      </c>
      <c r="D2157" s="32" t="s">
        <v>184</v>
      </c>
      <c r="E2157" s="32" t="s">
        <v>254</v>
      </c>
      <c r="F2157" s="32" t="s">
        <v>2745</v>
      </c>
      <c r="G2157" s="32" t="s">
        <v>305</v>
      </c>
    </row>
    <row r="2158" ht="16.5" customHeight="1">
      <c r="A2158" s="32">
        <v>2154.0</v>
      </c>
      <c r="C2158" s="32" t="s">
        <v>2788</v>
      </c>
      <c r="D2158" s="32" t="s">
        <v>184</v>
      </c>
      <c r="E2158" s="32" t="s">
        <v>254</v>
      </c>
      <c r="F2158" s="32" t="s">
        <v>2745</v>
      </c>
      <c r="G2158" s="32" t="s">
        <v>263</v>
      </c>
    </row>
    <row r="2159" ht="16.5" customHeight="1">
      <c r="A2159" s="32">
        <v>2155.0</v>
      </c>
      <c r="C2159" s="32" t="s">
        <v>2789</v>
      </c>
      <c r="D2159" s="32" t="s">
        <v>184</v>
      </c>
      <c r="E2159" s="32" t="s">
        <v>228</v>
      </c>
      <c r="F2159" s="32" t="s">
        <v>2745</v>
      </c>
      <c r="G2159" s="32" t="s">
        <v>229</v>
      </c>
      <c r="H2159" s="32" t="s">
        <v>2790</v>
      </c>
    </row>
    <row r="2160" ht="16.5" customHeight="1">
      <c r="A2160" s="32">
        <v>2156.0</v>
      </c>
      <c r="C2160" s="32" t="s">
        <v>2791</v>
      </c>
      <c r="D2160" s="32" t="s">
        <v>184</v>
      </c>
      <c r="E2160" s="32" t="s">
        <v>254</v>
      </c>
      <c r="F2160" s="32" t="s">
        <v>2745</v>
      </c>
      <c r="G2160" s="32" t="s">
        <v>2792</v>
      </c>
    </row>
    <row r="2161" ht="16.5" customHeight="1">
      <c r="A2161" s="32">
        <v>2157.0</v>
      </c>
      <c r="C2161" s="32" t="s">
        <v>2793</v>
      </c>
      <c r="D2161" s="32" t="s">
        <v>184</v>
      </c>
      <c r="E2161" s="32" t="s">
        <v>228</v>
      </c>
      <c r="F2161" s="32" t="s">
        <v>2745</v>
      </c>
      <c r="G2161" s="32" t="s">
        <v>229</v>
      </c>
      <c r="H2161" s="32" t="s">
        <v>626</v>
      </c>
    </row>
    <row r="2162" ht="16.5" customHeight="1">
      <c r="A2162" s="32">
        <v>2158.0</v>
      </c>
      <c r="C2162" s="32" t="s">
        <v>2794</v>
      </c>
      <c r="D2162" s="32" t="s">
        <v>184</v>
      </c>
      <c r="E2162" s="32" t="s">
        <v>254</v>
      </c>
      <c r="F2162" s="32" t="s">
        <v>2745</v>
      </c>
      <c r="G2162" s="32" t="s">
        <v>741</v>
      </c>
    </row>
    <row r="2163" ht="16.5" customHeight="1">
      <c r="A2163" s="32">
        <v>2159.0</v>
      </c>
      <c r="C2163" s="32" t="s">
        <v>2795</v>
      </c>
      <c r="D2163" s="32" t="s">
        <v>184</v>
      </c>
      <c r="E2163" s="32" t="s">
        <v>219</v>
      </c>
      <c r="F2163" s="32" t="s">
        <v>2745</v>
      </c>
      <c r="G2163" s="32" t="s">
        <v>223</v>
      </c>
    </row>
    <row r="2164" ht="16.5" customHeight="1">
      <c r="A2164" s="32">
        <v>2160.0</v>
      </c>
      <c r="C2164" s="32" t="s">
        <v>2796</v>
      </c>
      <c r="D2164" s="32" t="s">
        <v>184</v>
      </c>
      <c r="E2164" s="32" t="s">
        <v>219</v>
      </c>
      <c r="F2164" s="32" t="s">
        <v>2745</v>
      </c>
      <c r="G2164" s="32" t="s">
        <v>241</v>
      </c>
      <c r="H2164" s="32" t="s">
        <v>292</v>
      </c>
    </row>
    <row r="2165" ht="16.5" customHeight="1">
      <c r="A2165" s="32">
        <v>2161.0</v>
      </c>
      <c r="C2165" s="32" t="s">
        <v>2797</v>
      </c>
      <c r="D2165" s="32" t="s">
        <v>184</v>
      </c>
      <c r="E2165" s="32" t="s">
        <v>219</v>
      </c>
      <c r="F2165" s="32" t="s">
        <v>2745</v>
      </c>
      <c r="G2165" s="32" t="s">
        <v>241</v>
      </c>
      <c r="H2165" s="32" t="s">
        <v>292</v>
      </c>
    </row>
    <row r="2166" ht="16.5" customHeight="1">
      <c r="A2166" s="32">
        <v>2162.0</v>
      </c>
      <c r="C2166" s="32" t="s">
        <v>2798</v>
      </c>
      <c r="D2166" s="32" t="s">
        <v>184</v>
      </c>
      <c r="E2166" s="32" t="s">
        <v>214</v>
      </c>
      <c r="F2166" s="32" t="s">
        <v>186</v>
      </c>
    </row>
    <row r="2167" ht="16.5" customHeight="1">
      <c r="A2167" s="32">
        <v>2163.0</v>
      </c>
      <c r="C2167" s="32" t="s">
        <v>2799</v>
      </c>
      <c r="D2167" s="32" t="s">
        <v>184</v>
      </c>
      <c r="E2167" s="32" t="s">
        <v>234</v>
      </c>
      <c r="F2167" s="32" t="s">
        <v>255</v>
      </c>
      <c r="G2167" s="32" t="s">
        <v>235</v>
      </c>
      <c r="H2167" s="32" t="s">
        <v>2800</v>
      </c>
    </row>
    <row r="2168" ht="16.5" customHeight="1">
      <c r="A2168" s="32">
        <v>2164.0</v>
      </c>
      <c r="C2168" s="32" t="s">
        <v>2801</v>
      </c>
      <c r="D2168" s="32" t="s">
        <v>184</v>
      </c>
      <c r="E2168" s="32" t="s">
        <v>254</v>
      </c>
      <c r="F2168" s="32" t="s">
        <v>255</v>
      </c>
      <c r="G2168" s="32" t="s">
        <v>256</v>
      </c>
      <c r="H2168" s="32" t="s">
        <v>2802</v>
      </c>
    </row>
    <row r="2169" ht="16.5" customHeight="1">
      <c r="A2169" s="32">
        <v>2165.0</v>
      </c>
      <c r="C2169" s="32" t="s">
        <v>2803</v>
      </c>
      <c r="D2169" s="32" t="s">
        <v>184</v>
      </c>
      <c r="E2169" s="32" t="s">
        <v>254</v>
      </c>
      <c r="F2169" s="32" t="s">
        <v>255</v>
      </c>
      <c r="G2169" s="32" t="s">
        <v>256</v>
      </c>
      <c r="H2169" s="32" t="s">
        <v>2802</v>
      </c>
    </row>
    <row r="2170" ht="16.5" customHeight="1">
      <c r="A2170" s="32">
        <v>2166.0</v>
      </c>
      <c r="C2170" s="32" t="s">
        <v>2804</v>
      </c>
      <c r="D2170" s="32" t="s">
        <v>184</v>
      </c>
      <c r="E2170" s="32" t="s">
        <v>254</v>
      </c>
      <c r="F2170" s="32" t="s">
        <v>255</v>
      </c>
      <c r="G2170" s="32" t="s">
        <v>305</v>
      </c>
      <c r="H2170" s="32" t="s">
        <v>319</v>
      </c>
    </row>
    <row r="2171" ht="16.5" customHeight="1">
      <c r="A2171" s="32">
        <v>2167.0</v>
      </c>
      <c r="C2171" s="32" t="s">
        <v>2805</v>
      </c>
      <c r="D2171" s="32" t="s">
        <v>184</v>
      </c>
      <c r="E2171" s="32" t="s">
        <v>254</v>
      </c>
      <c r="F2171" s="32" t="s">
        <v>255</v>
      </c>
      <c r="G2171" s="32" t="s">
        <v>256</v>
      </c>
      <c r="H2171" s="32" t="s">
        <v>257</v>
      </c>
    </row>
    <row r="2172" ht="16.5" customHeight="1">
      <c r="A2172" s="32">
        <v>2168.0</v>
      </c>
      <c r="C2172" s="32" t="s">
        <v>2806</v>
      </c>
      <c r="D2172" s="32" t="s">
        <v>184</v>
      </c>
      <c r="E2172" s="32" t="s">
        <v>234</v>
      </c>
      <c r="F2172" s="32" t="s">
        <v>186</v>
      </c>
      <c r="G2172" s="32" t="s">
        <v>347</v>
      </c>
      <c r="H2172" s="32" t="s">
        <v>420</v>
      </c>
    </row>
    <row r="2173" ht="16.5" customHeight="1">
      <c r="A2173" s="32">
        <v>2169.0</v>
      </c>
      <c r="C2173" s="32" t="s">
        <v>2807</v>
      </c>
      <c r="D2173" s="32" t="s">
        <v>184</v>
      </c>
      <c r="E2173" s="32" t="s">
        <v>234</v>
      </c>
      <c r="F2173" s="32" t="s">
        <v>255</v>
      </c>
      <c r="G2173" s="32" t="s">
        <v>235</v>
      </c>
      <c r="H2173" s="32" t="s">
        <v>236</v>
      </c>
    </row>
    <row r="2174" ht="16.5" customHeight="1">
      <c r="A2174" s="32">
        <v>2170.0</v>
      </c>
      <c r="C2174" s="32" t="s">
        <v>2808</v>
      </c>
      <c r="D2174" s="32" t="s">
        <v>184</v>
      </c>
      <c r="E2174" s="32" t="s">
        <v>185</v>
      </c>
      <c r="F2174" s="32" t="s">
        <v>255</v>
      </c>
      <c r="G2174" s="32" t="s">
        <v>275</v>
      </c>
    </row>
    <row r="2175" ht="16.5" customHeight="1">
      <c r="A2175" s="32">
        <v>2171.0</v>
      </c>
      <c r="C2175" s="32" t="s">
        <v>2809</v>
      </c>
      <c r="D2175" s="32" t="s">
        <v>184</v>
      </c>
      <c r="E2175" s="32" t="s">
        <v>254</v>
      </c>
      <c r="F2175" s="32" t="s">
        <v>255</v>
      </c>
      <c r="G2175" s="32" t="s">
        <v>257</v>
      </c>
      <c r="H2175" s="32" t="s">
        <v>256</v>
      </c>
    </row>
    <row r="2176" ht="16.5" customHeight="1">
      <c r="A2176" s="32">
        <v>2172.0</v>
      </c>
      <c r="C2176" s="32" t="s">
        <v>2810</v>
      </c>
      <c r="D2176" s="32" t="s">
        <v>184</v>
      </c>
      <c r="E2176" s="32" t="s">
        <v>185</v>
      </c>
      <c r="F2176" s="32" t="s">
        <v>255</v>
      </c>
      <c r="G2176" s="32" t="s">
        <v>187</v>
      </c>
      <c r="H2176" s="32" t="s">
        <v>188</v>
      </c>
    </row>
    <row r="2177" ht="16.5" customHeight="1">
      <c r="A2177" s="32">
        <v>2173.0</v>
      </c>
      <c r="C2177" s="32" t="s">
        <v>2811</v>
      </c>
      <c r="D2177" s="32" t="s">
        <v>184</v>
      </c>
      <c r="E2177" s="32" t="s">
        <v>185</v>
      </c>
      <c r="F2177" s="32" t="s">
        <v>255</v>
      </c>
    </row>
    <row r="2178" ht="16.5" customHeight="1">
      <c r="A2178" s="32">
        <v>2174.0</v>
      </c>
      <c r="C2178" s="32" t="s">
        <v>2812</v>
      </c>
      <c r="D2178" s="32" t="s">
        <v>184</v>
      </c>
      <c r="E2178" s="32" t="s">
        <v>185</v>
      </c>
      <c r="F2178" s="32" t="s">
        <v>255</v>
      </c>
      <c r="G2178" s="32" t="s">
        <v>187</v>
      </c>
      <c r="H2178" s="32" t="s">
        <v>188</v>
      </c>
    </row>
    <row r="2179" ht="16.5" customHeight="1">
      <c r="A2179" s="32">
        <v>2175.0</v>
      </c>
      <c r="C2179" s="32" t="s">
        <v>2813</v>
      </c>
      <c r="D2179" s="32" t="s">
        <v>184</v>
      </c>
      <c r="E2179" s="32" t="s">
        <v>185</v>
      </c>
      <c r="F2179" s="32" t="s">
        <v>255</v>
      </c>
      <c r="G2179" s="32" t="s">
        <v>271</v>
      </c>
      <c r="H2179" s="32" t="s">
        <v>566</v>
      </c>
    </row>
    <row r="2180" ht="16.5" customHeight="1">
      <c r="A2180" s="32">
        <v>2176.0</v>
      </c>
      <c r="C2180" s="32" t="s">
        <v>2814</v>
      </c>
      <c r="D2180" s="32" t="s">
        <v>184</v>
      </c>
      <c r="E2180" s="32" t="s">
        <v>185</v>
      </c>
      <c r="F2180" s="32" t="s">
        <v>255</v>
      </c>
      <c r="G2180" s="32" t="s">
        <v>305</v>
      </c>
      <c r="H2180" s="32" t="s">
        <v>1306</v>
      </c>
    </row>
    <row r="2181" ht="16.5" customHeight="1">
      <c r="A2181" s="32">
        <v>2177.0</v>
      </c>
      <c r="C2181" s="32" t="s">
        <v>2815</v>
      </c>
      <c r="D2181" s="32" t="s">
        <v>184</v>
      </c>
      <c r="E2181" s="32" t="s">
        <v>234</v>
      </c>
      <c r="F2181" s="32" t="s">
        <v>255</v>
      </c>
    </row>
    <row r="2182" ht="16.5" customHeight="1">
      <c r="A2182" s="32">
        <v>2178.0</v>
      </c>
      <c r="C2182" s="32" t="s">
        <v>2816</v>
      </c>
      <c r="D2182" s="32" t="s">
        <v>184</v>
      </c>
      <c r="E2182" s="32" t="s">
        <v>192</v>
      </c>
      <c r="F2182" s="32" t="s">
        <v>255</v>
      </c>
    </row>
    <row r="2183" ht="16.5" customHeight="1">
      <c r="A2183" s="32">
        <v>2179.0</v>
      </c>
      <c r="C2183" s="32" t="s">
        <v>2817</v>
      </c>
      <c r="D2183" s="32" t="s">
        <v>184</v>
      </c>
      <c r="E2183" s="32" t="s">
        <v>285</v>
      </c>
      <c r="F2183" s="32" t="s">
        <v>255</v>
      </c>
    </row>
    <row r="2184" ht="16.5" customHeight="1">
      <c r="A2184" s="32">
        <v>2180.0</v>
      </c>
      <c r="C2184" s="32" t="s">
        <v>2818</v>
      </c>
      <c r="D2184" s="32" t="s">
        <v>184</v>
      </c>
      <c r="E2184" s="32" t="s">
        <v>285</v>
      </c>
      <c r="F2184" s="32" t="s">
        <v>255</v>
      </c>
      <c r="G2184" s="32" t="s">
        <v>189</v>
      </c>
      <c r="H2184" s="32" t="s">
        <v>190</v>
      </c>
    </row>
    <row r="2185" ht="16.5" customHeight="1">
      <c r="A2185" s="32">
        <v>2181.0</v>
      </c>
      <c r="C2185" s="32" t="s">
        <v>2819</v>
      </c>
      <c r="D2185" s="32" t="s">
        <v>184</v>
      </c>
      <c r="E2185" s="35" t="s">
        <v>294</v>
      </c>
      <c r="F2185" s="32" t="s">
        <v>255</v>
      </c>
      <c r="G2185" s="32" t="s">
        <v>189</v>
      </c>
      <c r="H2185" s="32" t="s">
        <v>190</v>
      </c>
    </row>
    <row r="2186" ht="16.5" customHeight="1">
      <c r="A2186" s="32">
        <v>2182.0</v>
      </c>
      <c r="C2186" s="32" t="s">
        <v>2820</v>
      </c>
      <c r="D2186" s="32" t="s">
        <v>184</v>
      </c>
      <c r="E2186" s="32" t="s">
        <v>185</v>
      </c>
      <c r="F2186" s="32" t="s">
        <v>255</v>
      </c>
    </row>
    <row r="2187" ht="16.5" customHeight="1">
      <c r="A2187" s="32">
        <v>2183.0</v>
      </c>
      <c r="C2187" s="32" t="s">
        <v>2821</v>
      </c>
      <c r="D2187" s="32" t="s">
        <v>184</v>
      </c>
      <c r="E2187" s="35" t="s">
        <v>294</v>
      </c>
      <c r="F2187" s="32" t="s">
        <v>255</v>
      </c>
      <c r="G2187" s="32" t="s">
        <v>295</v>
      </c>
      <c r="H2187" s="32" t="s">
        <v>296</v>
      </c>
    </row>
    <row r="2188" ht="16.5" customHeight="1">
      <c r="A2188" s="32">
        <v>2184.0</v>
      </c>
      <c r="C2188" s="32" t="s">
        <v>2822</v>
      </c>
      <c r="D2188" s="32" t="s">
        <v>184</v>
      </c>
      <c r="E2188" s="32" t="s">
        <v>285</v>
      </c>
      <c r="F2188" s="32" t="s">
        <v>186</v>
      </c>
      <c r="G2188" s="32" t="s">
        <v>189</v>
      </c>
      <c r="H2188" s="32" t="s">
        <v>190</v>
      </c>
    </row>
    <row r="2189" ht="16.5" customHeight="1">
      <c r="A2189" s="32">
        <v>2185.0</v>
      </c>
      <c r="C2189" s="32" t="s">
        <v>2823</v>
      </c>
      <c r="D2189" s="32" t="s">
        <v>184</v>
      </c>
      <c r="E2189" s="32" t="s">
        <v>254</v>
      </c>
      <c r="F2189" s="32" t="s">
        <v>255</v>
      </c>
      <c r="G2189" s="32" t="s">
        <v>256</v>
      </c>
      <c r="H2189" s="32" t="s">
        <v>2824</v>
      </c>
    </row>
    <row r="2190" ht="16.5" customHeight="1">
      <c r="A2190" s="32">
        <v>2186.0</v>
      </c>
      <c r="C2190" s="32" t="s">
        <v>2825</v>
      </c>
      <c r="D2190" s="32" t="s">
        <v>184</v>
      </c>
      <c r="E2190" s="32" t="s">
        <v>254</v>
      </c>
      <c r="F2190" s="32" t="s">
        <v>255</v>
      </c>
      <c r="G2190" s="32" t="s">
        <v>305</v>
      </c>
      <c r="H2190" s="32" t="s">
        <v>311</v>
      </c>
    </row>
    <row r="2191" ht="16.5" customHeight="1">
      <c r="A2191" s="32">
        <v>2187.0</v>
      </c>
      <c r="C2191" s="32" t="s">
        <v>2826</v>
      </c>
      <c r="D2191" s="32" t="s">
        <v>184</v>
      </c>
      <c r="E2191" s="32" t="s">
        <v>185</v>
      </c>
      <c r="F2191" s="32" t="s">
        <v>255</v>
      </c>
      <c r="G2191" s="32" t="s">
        <v>1240</v>
      </c>
      <c r="H2191" s="32" t="s">
        <v>1241</v>
      </c>
    </row>
    <row r="2192" ht="16.5" customHeight="1">
      <c r="A2192" s="32">
        <v>2188.0</v>
      </c>
      <c r="C2192" s="32" t="s">
        <v>2827</v>
      </c>
      <c r="D2192" s="32" t="s">
        <v>184</v>
      </c>
      <c r="E2192" s="32" t="s">
        <v>185</v>
      </c>
      <c r="F2192" s="32" t="s">
        <v>255</v>
      </c>
      <c r="G2192" s="32" t="s">
        <v>1201</v>
      </c>
      <c r="H2192" s="32" t="s">
        <v>188</v>
      </c>
    </row>
    <row r="2193" ht="16.5" customHeight="1">
      <c r="A2193" s="32">
        <v>2189.0</v>
      </c>
      <c r="C2193" s="32" t="s">
        <v>2828</v>
      </c>
      <c r="D2193" s="32" t="s">
        <v>184</v>
      </c>
      <c r="E2193" s="32" t="s">
        <v>185</v>
      </c>
      <c r="F2193" s="32" t="s">
        <v>255</v>
      </c>
    </row>
    <row r="2194" ht="16.5" customHeight="1">
      <c r="A2194" s="32">
        <v>2190.0</v>
      </c>
      <c r="C2194" s="32" t="s">
        <v>2829</v>
      </c>
      <c r="D2194" s="32" t="s">
        <v>184</v>
      </c>
      <c r="E2194" s="32" t="s">
        <v>254</v>
      </c>
      <c r="F2194" s="32" t="s">
        <v>255</v>
      </c>
      <c r="G2194" s="32" t="s">
        <v>2830</v>
      </c>
      <c r="H2194" s="32" t="s">
        <v>2831</v>
      </c>
    </row>
    <row r="2195" ht="16.5" customHeight="1">
      <c r="A2195" s="32">
        <v>2191.0</v>
      </c>
      <c r="C2195" s="32" t="s">
        <v>2832</v>
      </c>
      <c r="D2195" s="32" t="s">
        <v>184</v>
      </c>
      <c r="E2195" s="32" t="s">
        <v>254</v>
      </c>
      <c r="F2195" s="32" t="s">
        <v>255</v>
      </c>
      <c r="G2195" s="32" t="s">
        <v>2833</v>
      </c>
      <c r="H2195" s="32" t="s">
        <v>2834</v>
      </c>
    </row>
    <row r="2196" ht="16.5" customHeight="1">
      <c r="A2196" s="32">
        <v>2192.0</v>
      </c>
      <c r="C2196" s="32" t="s">
        <v>2835</v>
      </c>
      <c r="D2196" s="32" t="s">
        <v>184</v>
      </c>
      <c r="E2196" s="32" t="s">
        <v>185</v>
      </c>
      <c r="F2196" s="32" t="s">
        <v>255</v>
      </c>
    </row>
    <row r="2197" ht="16.5" customHeight="1">
      <c r="A2197" s="32">
        <v>2193.0</v>
      </c>
      <c r="C2197" s="32" t="s">
        <v>2836</v>
      </c>
      <c r="D2197" s="32" t="s">
        <v>184</v>
      </c>
      <c r="E2197" s="32" t="s">
        <v>254</v>
      </c>
      <c r="F2197" s="32" t="s">
        <v>255</v>
      </c>
      <c r="G2197" s="32" t="s">
        <v>256</v>
      </c>
      <c r="H2197" s="32" t="s">
        <v>2837</v>
      </c>
    </row>
    <row r="2198" ht="16.5" customHeight="1">
      <c r="A2198" s="32">
        <v>2194.0</v>
      </c>
      <c r="C2198" s="32" t="s">
        <v>2838</v>
      </c>
      <c r="D2198" s="32" t="s">
        <v>184</v>
      </c>
      <c r="E2198" s="35" t="s">
        <v>361</v>
      </c>
      <c r="F2198" s="32" t="s">
        <v>255</v>
      </c>
    </row>
    <row r="2199" ht="16.5" customHeight="1">
      <c r="A2199" s="32">
        <v>2195.0</v>
      </c>
      <c r="C2199" s="32" t="s">
        <v>2839</v>
      </c>
      <c r="D2199" s="32" t="s">
        <v>184</v>
      </c>
      <c r="E2199" s="32" t="s">
        <v>254</v>
      </c>
      <c r="F2199" s="32" t="s">
        <v>255</v>
      </c>
      <c r="G2199" s="32" t="s">
        <v>256</v>
      </c>
      <c r="H2199" s="32" t="s">
        <v>2840</v>
      </c>
    </row>
    <row r="2200" ht="16.5" customHeight="1">
      <c r="A2200" s="32">
        <v>2196.0</v>
      </c>
      <c r="C2200" s="32" t="s">
        <v>2839</v>
      </c>
      <c r="D2200" s="32" t="s">
        <v>184</v>
      </c>
      <c r="E2200" s="32" t="s">
        <v>254</v>
      </c>
      <c r="F2200" s="32" t="s">
        <v>255</v>
      </c>
      <c r="G2200" s="32" t="s">
        <v>256</v>
      </c>
      <c r="H2200" s="32" t="s">
        <v>1314</v>
      </c>
    </row>
    <row r="2201" ht="16.5" customHeight="1">
      <c r="A2201" s="32">
        <v>2197.0</v>
      </c>
      <c r="C2201" s="32" t="s">
        <v>2841</v>
      </c>
      <c r="D2201" s="32" t="s">
        <v>184</v>
      </c>
      <c r="E2201" s="32" t="s">
        <v>254</v>
      </c>
      <c r="F2201" s="32" t="s">
        <v>255</v>
      </c>
    </row>
    <row r="2202" ht="16.5" customHeight="1">
      <c r="A2202" s="32">
        <v>2198.0</v>
      </c>
      <c r="C2202" s="32" t="s">
        <v>2842</v>
      </c>
      <c r="D2202" s="32" t="s">
        <v>184</v>
      </c>
      <c r="E2202" s="32" t="s">
        <v>254</v>
      </c>
      <c r="F2202" s="32" t="s">
        <v>255</v>
      </c>
    </row>
    <row r="2203" ht="16.5" customHeight="1">
      <c r="A2203" s="32">
        <v>2199.0</v>
      </c>
      <c r="C2203" s="32" t="s">
        <v>2843</v>
      </c>
      <c r="D2203" s="32" t="s">
        <v>184</v>
      </c>
      <c r="E2203" s="32" t="s">
        <v>185</v>
      </c>
      <c r="F2203" s="32" t="s">
        <v>255</v>
      </c>
    </row>
    <row r="2204" ht="16.5" customHeight="1">
      <c r="A2204" s="32">
        <v>2200.0</v>
      </c>
      <c r="C2204" s="32" t="s">
        <v>2844</v>
      </c>
      <c r="D2204" s="32" t="s">
        <v>184</v>
      </c>
      <c r="E2204" s="32" t="s">
        <v>254</v>
      </c>
      <c r="F2204" s="32" t="s">
        <v>255</v>
      </c>
      <c r="G2204" s="32" t="s">
        <v>2845</v>
      </c>
      <c r="H2204" s="32" t="s">
        <v>2846</v>
      </c>
    </row>
    <row r="2205" ht="16.5" customHeight="1">
      <c r="A2205" s="32">
        <v>2201.0</v>
      </c>
      <c r="C2205" s="32" t="s">
        <v>2847</v>
      </c>
      <c r="D2205" s="32" t="s">
        <v>184</v>
      </c>
      <c r="E2205" s="32" t="s">
        <v>254</v>
      </c>
      <c r="F2205" s="32" t="s">
        <v>255</v>
      </c>
      <c r="G2205" s="32" t="s">
        <v>2848</v>
      </c>
      <c r="H2205" s="32" t="s">
        <v>2849</v>
      </c>
    </row>
    <row r="2206" ht="16.5" customHeight="1">
      <c r="A2206" s="32">
        <v>2202.0</v>
      </c>
      <c r="C2206" s="32" t="s">
        <v>2850</v>
      </c>
      <c r="D2206" s="32" t="s">
        <v>184</v>
      </c>
      <c r="E2206" s="32" t="s">
        <v>254</v>
      </c>
      <c r="F2206" s="32" t="s">
        <v>255</v>
      </c>
    </row>
    <row r="2207" ht="16.5" customHeight="1">
      <c r="A2207" s="32">
        <v>2203.0</v>
      </c>
      <c r="C2207" s="32" t="s">
        <v>2851</v>
      </c>
      <c r="D2207" s="32" t="s">
        <v>184</v>
      </c>
      <c r="E2207" s="32" t="s">
        <v>254</v>
      </c>
      <c r="F2207" s="32" t="s">
        <v>255</v>
      </c>
    </row>
    <row r="2208" ht="16.5" customHeight="1">
      <c r="A2208" s="32">
        <v>2204.0</v>
      </c>
      <c r="C2208" s="32" t="s">
        <v>2852</v>
      </c>
      <c r="D2208" s="32" t="s">
        <v>184</v>
      </c>
      <c r="E2208" s="32" t="s">
        <v>254</v>
      </c>
      <c r="F2208" s="32" t="s">
        <v>255</v>
      </c>
    </row>
    <row r="2209" ht="16.5" customHeight="1">
      <c r="A2209" s="32">
        <v>2205.0</v>
      </c>
      <c r="C2209" s="32" t="s">
        <v>2853</v>
      </c>
      <c r="D2209" s="32" t="s">
        <v>184</v>
      </c>
      <c r="E2209" s="32" t="s">
        <v>254</v>
      </c>
      <c r="F2209" s="32" t="s">
        <v>255</v>
      </c>
      <c r="G2209" s="32" t="s">
        <v>2848</v>
      </c>
      <c r="H2209" s="32" t="s">
        <v>2854</v>
      </c>
    </row>
    <row r="2210" ht="16.5" customHeight="1">
      <c r="A2210" s="32">
        <v>2206.0</v>
      </c>
      <c r="C2210" s="32" t="s">
        <v>2855</v>
      </c>
      <c r="D2210" s="32" t="s">
        <v>184</v>
      </c>
      <c r="E2210" s="35" t="s">
        <v>310</v>
      </c>
      <c r="F2210" s="32" t="s">
        <v>255</v>
      </c>
      <c r="G2210" s="32" t="s">
        <v>2848</v>
      </c>
      <c r="H2210" s="32" t="s">
        <v>2856</v>
      </c>
    </row>
    <row r="2211" ht="16.5" customHeight="1">
      <c r="A2211" s="32">
        <v>2207.0</v>
      </c>
      <c r="C2211" s="32" t="s">
        <v>2857</v>
      </c>
      <c r="D2211" s="32" t="s">
        <v>184</v>
      </c>
      <c r="E2211" s="32" t="s">
        <v>254</v>
      </c>
      <c r="F2211" s="32" t="s">
        <v>255</v>
      </c>
      <c r="G2211" s="32" t="s">
        <v>260</v>
      </c>
      <c r="H2211" s="32" t="s">
        <v>2858</v>
      </c>
    </row>
    <row r="2212" ht="16.5" customHeight="1">
      <c r="A2212" s="32">
        <v>2208.0</v>
      </c>
      <c r="C2212" s="32" t="s">
        <v>2859</v>
      </c>
      <c r="D2212" s="32" t="s">
        <v>184</v>
      </c>
      <c r="E2212" s="32" t="s">
        <v>254</v>
      </c>
      <c r="F2212" s="32" t="s">
        <v>255</v>
      </c>
    </row>
    <row r="2213" ht="16.5" customHeight="1">
      <c r="A2213" s="32">
        <v>2209.0</v>
      </c>
      <c r="C2213" s="32" t="s">
        <v>2860</v>
      </c>
      <c r="D2213" s="32" t="s">
        <v>184</v>
      </c>
      <c r="E2213" s="35" t="s">
        <v>2861</v>
      </c>
      <c r="F2213" s="32" t="s">
        <v>255</v>
      </c>
      <c r="G2213" s="32" t="s">
        <v>2862</v>
      </c>
      <c r="H2213" s="32" t="s">
        <v>2863</v>
      </c>
    </row>
    <row r="2214" ht="16.5" customHeight="1">
      <c r="A2214" s="32">
        <v>2210.0</v>
      </c>
      <c r="C2214" s="32" t="s">
        <v>2864</v>
      </c>
      <c r="D2214" s="32" t="s">
        <v>184</v>
      </c>
      <c r="E2214" s="35" t="s">
        <v>294</v>
      </c>
      <c r="F2214" s="32" t="s">
        <v>255</v>
      </c>
      <c r="G2214" s="32" t="s">
        <v>189</v>
      </c>
      <c r="H2214" s="32" t="s">
        <v>190</v>
      </c>
    </row>
    <row r="2215" ht="16.5" customHeight="1">
      <c r="A2215" s="32">
        <v>2211.0</v>
      </c>
      <c r="C2215" s="32" t="s">
        <v>2865</v>
      </c>
      <c r="D2215" s="32" t="s">
        <v>184</v>
      </c>
      <c r="E2215" s="32" t="s">
        <v>192</v>
      </c>
      <c r="F2215" s="32" t="s">
        <v>255</v>
      </c>
      <c r="G2215" s="32" t="s">
        <v>300</v>
      </c>
      <c r="H2215" s="32" t="s">
        <v>1357</v>
      </c>
    </row>
    <row r="2216" ht="16.5" customHeight="1">
      <c r="A2216" s="32">
        <v>2212.0</v>
      </c>
      <c r="C2216" s="32" t="s">
        <v>2866</v>
      </c>
      <c r="D2216" s="32" t="s">
        <v>184</v>
      </c>
      <c r="E2216" s="35" t="s">
        <v>310</v>
      </c>
      <c r="F2216" s="32" t="s">
        <v>255</v>
      </c>
      <c r="G2216" s="32" t="s">
        <v>2848</v>
      </c>
      <c r="H2216" s="32" t="s">
        <v>1204</v>
      </c>
    </row>
    <row r="2217" ht="16.5" customHeight="1">
      <c r="A2217" s="32">
        <v>2213.0</v>
      </c>
      <c r="C2217" s="32" t="s">
        <v>2867</v>
      </c>
      <c r="D2217" s="32" t="s">
        <v>184</v>
      </c>
      <c r="E2217" s="32" t="s">
        <v>185</v>
      </c>
      <c r="F2217" s="32" t="s">
        <v>255</v>
      </c>
      <c r="G2217" s="32" t="s">
        <v>2868</v>
      </c>
      <c r="H2217" s="32" t="s">
        <v>1204</v>
      </c>
    </row>
    <row r="2218" ht="16.5" customHeight="1">
      <c r="A2218" s="32">
        <v>2214.0</v>
      </c>
      <c r="C2218" s="32" t="s">
        <v>2869</v>
      </c>
      <c r="D2218" s="32" t="s">
        <v>184</v>
      </c>
      <c r="E2218" s="32" t="s">
        <v>185</v>
      </c>
      <c r="F2218" s="32" t="s">
        <v>255</v>
      </c>
      <c r="G2218" s="32" t="s">
        <v>187</v>
      </c>
    </row>
    <row r="2219" ht="16.5" customHeight="1">
      <c r="A2219" s="32">
        <v>2215.0</v>
      </c>
      <c r="C2219" s="32" t="s">
        <v>2870</v>
      </c>
      <c r="D2219" s="32" t="s">
        <v>184</v>
      </c>
      <c r="E2219" s="32" t="s">
        <v>185</v>
      </c>
      <c r="F2219" s="32" t="s">
        <v>255</v>
      </c>
      <c r="G2219" s="32" t="s">
        <v>187</v>
      </c>
    </row>
    <row r="2220" ht="16.5" customHeight="1">
      <c r="A2220" s="32">
        <v>2216.0</v>
      </c>
      <c r="C2220" s="32" t="s">
        <v>2871</v>
      </c>
      <c r="D2220" s="32" t="s">
        <v>184</v>
      </c>
      <c r="E2220" s="32" t="s">
        <v>185</v>
      </c>
      <c r="F2220" s="32" t="s">
        <v>255</v>
      </c>
      <c r="G2220" s="32" t="s">
        <v>187</v>
      </c>
    </row>
    <row r="2221" ht="16.5" customHeight="1">
      <c r="A2221" s="32">
        <v>2217.0</v>
      </c>
      <c r="C2221" s="32" t="s">
        <v>2872</v>
      </c>
      <c r="D2221" s="32" t="s">
        <v>184</v>
      </c>
      <c r="E2221" s="32" t="s">
        <v>185</v>
      </c>
      <c r="F2221" s="32" t="s">
        <v>255</v>
      </c>
      <c r="G2221" s="32" t="s">
        <v>187</v>
      </c>
    </row>
    <row r="2222" ht="16.5" customHeight="1">
      <c r="A2222" s="32">
        <v>2218.0</v>
      </c>
      <c r="C2222" s="32" t="s">
        <v>2873</v>
      </c>
      <c r="D2222" s="32" t="s">
        <v>184</v>
      </c>
      <c r="E2222" s="32" t="s">
        <v>185</v>
      </c>
      <c r="F2222" s="32" t="s">
        <v>255</v>
      </c>
      <c r="G2222" s="32" t="s">
        <v>187</v>
      </c>
      <c r="H2222" s="32" t="s">
        <v>188</v>
      </c>
    </row>
    <row r="2223" ht="16.5" customHeight="1">
      <c r="A2223" s="32">
        <v>2219.0</v>
      </c>
      <c r="C2223" s="32" t="s">
        <v>2874</v>
      </c>
      <c r="D2223" s="32" t="s">
        <v>184</v>
      </c>
      <c r="E2223" s="32" t="s">
        <v>185</v>
      </c>
      <c r="F2223" s="32" t="s">
        <v>255</v>
      </c>
      <c r="G2223" s="32" t="s">
        <v>187</v>
      </c>
      <c r="H2223" s="32" t="s">
        <v>854</v>
      </c>
    </row>
    <row r="2224" ht="16.5" customHeight="1">
      <c r="A2224" s="32">
        <v>2220.0</v>
      </c>
      <c r="C2224" s="32" t="s">
        <v>2875</v>
      </c>
      <c r="D2224" s="32" t="s">
        <v>184</v>
      </c>
      <c r="E2224" s="32" t="s">
        <v>185</v>
      </c>
      <c r="F2224" s="32" t="s">
        <v>255</v>
      </c>
    </row>
    <row r="2225" ht="16.5" customHeight="1">
      <c r="A2225" s="32">
        <v>2221.0</v>
      </c>
      <c r="C2225" s="32" t="s">
        <v>2876</v>
      </c>
      <c r="D2225" s="32" t="s">
        <v>184</v>
      </c>
      <c r="E2225" s="32" t="s">
        <v>254</v>
      </c>
      <c r="F2225" s="32" t="s">
        <v>255</v>
      </c>
    </row>
    <row r="2226" ht="16.5" customHeight="1">
      <c r="A2226" s="32">
        <v>2222.0</v>
      </c>
      <c r="C2226" s="32" t="s">
        <v>2877</v>
      </c>
      <c r="D2226" s="32" t="s">
        <v>184</v>
      </c>
      <c r="E2226" s="32" t="s">
        <v>185</v>
      </c>
      <c r="F2226" s="32" t="s">
        <v>255</v>
      </c>
    </row>
    <row r="2227" ht="16.5" customHeight="1">
      <c r="A2227" s="32">
        <v>2223.0</v>
      </c>
      <c r="C2227" s="32" t="s">
        <v>2878</v>
      </c>
      <c r="D2227" s="32" t="s">
        <v>184</v>
      </c>
      <c r="E2227" s="32" t="s">
        <v>285</v>
      </c>
      <c r="F2227" s="32" t="s">
        <v>255</v>
      </c>
      <c r="G2227" s="32" t="s">
        <v>188</v>
      </c>
      <c r="H2227" s="32" t="s">
        <v>2879</v>
      </c>
    </row>
    <row r="2228" ht="16.5" customHeight="1">
      <c r="A2228" s="32">
        <v>2224.0</v>
      </c>
      <c r="C2228" s="32" t="s">
        <v>2880</v>
      </c>
      <c r="D2228" s="32" t="s">
        <v>184</v>
      </c>
      <c r="E2228" s="32" t="s">
        <v>285</v>
      </c>
      <c r="F2228" s="32" t="s">
        <v>255</v>
      </c>
    </row>
    <row r="2229" ht="16.5" customHeight="1">
      <c r="A2229" s="32">
        <v>2225.0</v>
      </c>
      <c r="C2229" s="32" t="s">
        <v>2881</v>
      </c>
      <c r="D2229" s="32" t="s">
        <v>184</v>
      </c>
      <c r="E2229" s="32" t="s">
        <v>185</v>
      </c>
      <c r="F2229" s="32" t="s">
        <v>255</v>
      </c>
    </row>
    <row r="2230" ht="16.5" customHeight="1">
      <c r="A2230" s="32">
        <v>2226.0</v>
      </c>
      <c r="C2230" s="32" t="s">
        <v>2882</v>
      </c>
      <c r="D2230" s="32" t="s">
        <v>184</v>
      </c>
      <c r="E2230" s="32" t="s">
        <v>254</v>
      </c>
      <c r="F2230" s="32" t="s">
        <v>255</v>
      </c>
    </row>
    <row r="2231" ht="16.5" customHeight="1">
      <c r="A2231" s="32">
        <v>2227.0</v>
      </c>
      <c r="C2231" s="32" t="s">
        <v>2883</v>
      </c>
      <c r="D2231" s="32" t="s">
        <v>184</v>
      </c>
      <c r="E2231" s="32" t="s">
        <v>185</v>
      </c>
      <c r="F2231" s="32" t="s">
        <v>255</v>
      </c>
      <c r="G2231" s="32" t="s">
        <v>2868</v>
      </c>
      <c r="H2231" s="32" t="s">
        <v>1202</v>
      </c>
    </row>
    <row r="2232" ht="16.5" customHeight="1">
      <c r="A2232" s="32">
        <v>2228.0</v>
      </c>
      <c r="C2232" s="32" t="s">
        <v>2884</v>
      </c>
      <c r="D2232" s="32" t="s">
        <v>184</v>
      </c>
      <c r="E2232" s="32" t="s">
        <v>285</v>
      </c>
      <c r="F2232" s="32" t="s">
        <v>255</v>
      </c>
      <c r="G2232" s="32" t="s">
        <v>188</v>
      </c>
      <c r="H2232" s="32" t="s">
        <v>2879</v>
      </c>
    </row>
    <row r="2233" ht="16.5" customHeight="1">
      <c r="A2233" s="32">
        <v>2229.0</v>
      </c>
      <c r="C2233" s="32" t="s">
        <v>2885</v>
      </c>
      <c r="D2233" s="32" t="s">
        <v>184</v>
      </c>
      <c r="E2233" s="32" t="s">
        <v>185</v>
      </c>
      <c r="F2233" s="32" t="s">
        <v>255</v>
      </c>
      <c r="G2233" s="32" t="s">
        <v>188</v>
      </c>
      <c r="H2233" s="32" t="s">
        <v>857</v>
      </c>
    </row>
    <row r="2234" ht="16.5" customHeight="1">
      <c r="A2234" s="32">
        <v>2230.0</v>
      </c>
      <c r="C2234" s="32" t="s">
        <v>2886</v>
      </c>
      <c r="D2234" s="32" t="s">
        <v>184</v>
      </c>
      <c r="E2234" s="32" t="s">
        <v>254</v>
      </c>
      <c r="F2234" s="32" t="s">
        <v>255</v>
      </c>
      <c r="G2234" s="32" t="s">
        <v>256</v>
      </c>
      <c r="H2234" s="32" t="s">
        <v>2887</v>
      </c>
    </row>
    <row r="2235" ht="16.5" customHeight="1">
      <c r="A2235" s="32">
        <v>2231.0</v>
      </c>
      <c r="C2235" s="32" t="s">
        <v>2888</v>
      </c>
      <c r="D2235" s="32" t="s">
        <v>184</v>
      </c>
      <c r="E2235" s="32" t="s">
        <v>192</v>
      </c>
      <c r="F2235" s="32" t="s">
        <v>255</v>
      </c>
    </row>
    <row r="2236" ht="16.5" customHeight="1">
      <c r="A2236" s="32">
        <v>2232.0</v>
      </c>
      <c r="C2236" s="32" t="s">
        <v>2889</v>
      </c>
      <c r="D2236" s="32" t="s">
        <v>184</v>
      </c>
      <c r="E2236" s="32" t="s">
        <v>192</v>
      </c>
      <c r="F2236" s="32" t="s">
        <v>255</v>
      </c>
      <c r="G2236" s="32" t="s">
        <v>2640</v>
      </c>
      <c r="H2236" s="32" t="s">
        <v>2890</v>
      </c>
    </row>
    <row r="2237" ht="16.5" customHeight="1">
      <c r="A2237" s="32">
        <v>2233.0</v>
      </c>
      <c r="C2237" s="32" t="s">
        <v>2891</v>
      </c>
      <c r="D2237" s="32" t="s">
        <v>184</v>
      </c>
      <c r="E2237" s="32" t="s">
        <v>254</v>
      </c>
      <c r="F2237" s="32" t="s">
        <v>255</v>
      </c>
      <c r="G2237" s="32" t="s">
        <v>256</v>
      </c>
      <c r="H2237" s="32" t="s">
        <v>257</v>
      </c>
    </row>
    <row r="2238" ht="16.5" customHeight="1">
      <c r="A2238" s="32">
        <v>2234.0</v>
      </c>
      <c r="C2238" s="32" t="s">
        <v>2892</v>
      </c>
      <c r="D2238" s="32" t="s">
        <v>184</v>
      </c>
      <c r="E2238" s="32" t="s">
        <v>254</v>
      </c>
      <c r="F2238" s="32" t="s">
        <v>255</v>
      </c>
    </row>
    <row r="2239" ht="16.5" customHeight="1">
      <c r="A2239" s="32">
        <v>2235.0</v>
      </c>
      <c r="C2239" s="32" t="s">
        <v>823</v>
      </c>
      <c r="D2239" s="32" t="s">
        <v>184</v>
      </c>
      <c r="E2239" s="32" t="s">
        <v>325</v>
      </c>
      <c r="F2239" s="32" t="s">
        <v>2893</v>
      </c>
      <c r="G2239" s="32" t="s">
        <v>368</v>
      </c>
      <c r="H2239" s="32" t="s">
        <v>463</v>
      </c>
    </row>
    <row r="2240" ht="16.5" customHeight="1">
      <c r="A2240" s="32">
        <v>2236.0</v>
      </c>
      <c r="C2240" s="32" t="s">
        <v>2894</v>
      </c>
      <c r="D2240" s="32" t="s">
        <v>184</v>
      </c>
      <c r="E2240" s="32" t="s">
        <v>325</v>
      </c>
      <c r="F2240" s="32" t="s">
        <v>2893</v>
      </c>
      <c r="G2240" s="32" t="s">
        <v>368</v>
      </c>
      <c r="H2240" s="32" t="s">
        <v>463</v>
      </c>
    </row>
    <row r="2241" ht="16.5" customHeight="1">
      <c r="A2241" s="32">
        <v>2237.0</v>
      </c>
      <c r="C2241" s="32" t="s">
        <v>2895</v>
      </c>
      <c r="D2241" s="32" t="s">
        <v>184</v>
      </c>
      <c r="E2241" s="32" t="s">
        <v>254</v>
      </c>
      <c r="F2241" s="32" t="s">
        <v>255</v>
      </c>
      <c r="G2241" s="32" t="s">
        <v>305</v>
      </c>
      <c r="H2241" s="32" t="s">
        <v>257</v>
      </c>
    </row>
    <row r="2242" ht="16.5" customHeight="1">
      <c r="A2242" s="32">
        <v>2238.0</v>
      </c>
      <c r="C2242" s="32" t="s">
        <v>2896</v>
      </c>
      <c r="D2242" s="32" t="s">
        <v>184</v>
      </c>
      <c r="E2242" s="32" t="s">
        <v>254</v>
      </c>
      <c r="F2242" s="32" t="s">
        <v>255</v>
      </c>
      <c r="G2242" s="32" t="s">
        <v>257</v>
      </c>
    </row>
    <row r="2243" ht="16.5" customHeight="1">
      <c r="A2243" s="32">
        <v>2239.0</v>
      </c>
      <c r="C2243" s="32" t="s">
        <v>2897</v>
      </c>
      <c r="D2243" s="32" t="s">
        <v>184</v>
      </c>
      <c r="E2243" s="32" t="s">
        <v>192</v>
      </c>
      <c r="F2243" s="32" t="s">
        <v>255</v>
      </c>
      <c r="G2243" s="32" t="s">
        <v>300</v>
      </c>
      <c r="H2243" s="32" t="s">
        <v>387</v>
      </c>
    </row>
    <row r="2244" ht="16.5" customHeight="1">
      <c r="A2244" s="32">
        <v>2240.0</v>
      </c>
      <c r="C2244" s="32" t="s">
        <v>2898</v>
      </c>
      <c r="D2244" s="32" t="s">
        <v>184</v>
      </c>
      <c r="E2244" s="32" t="s">
        <v>192</v>
      </c>
      <c r="F2244" s="32" t="s">
        <v>255</v>
      </c>
      <c r="G2244" s="32" t="s">
        <v>300</v>
      </c>
      <c r="H2244" s="32" t="s">
        <v>2899</v>
      </c>
    </row>
    <row r="2245" ht="16.5" customHeight="1">
      <c r="A2245" s="32">
        <v>2241.0</v>
      </c>
      <c r="C2245" s="32" t="s">
        <v>2900</v>
      </c>
      <c r="D2245" s="32" t="s">
        <v>184</v>
      </c>
      <c r="E2245" s="32" t="s">
        <v>254</v>
      </c>
      <c r="F2245" s="32" t="s">
        <v>255</v>
      </c>
      <c r="G2245" s="32" t="s">
        <v>260</v>
      </c>
    </row>
    <row r="2246" ht="16.5" customHeight="1">
      <c r="A2246" s="32">
        <v>2242.0</v>
      </c>
      <c r="C2246" s="32" t="s">
        <v>2901</v>
      </c>
      <c r="D2246" s="32" t="s">
        <v>184</v>
      </c>
      <c r="E2246" s="32" t="s">
        <v>214</v>
      </c>
      <c r="F2246" s="32" t="s">
        <v>396</v>
      </c>
      <c r="G2246" s="32" t="s">
        <v>720</v>
      </c>
    </row>
    <row r="2247" ht="16.5" customHeight="1">
      <c r="A2247" s="32">
        <v>2243.0</v>
      </c>
      <c r="C2247" s="32" t="s">
        <v>2902</v>
      </c>
      <c r="D2247" s="32" t="s">
        <v>184</v>
      </c>
      <c r="E2247" s="32" t="s">
        <v>234</v>
      </c>
      <c r="F2247" s="32" t="s">
        <v>255</v>
      </c>
    </row>
    <row r="2248" ht="16.5" customHeight="1">
      <c r="A2248" s="32">
        <v>2244.0</v>
      </c>
      <c r="C2248" s="32" t="s">
        <v>2903</v>
      </c>
      <c r="D2248" s="32" t="s">
        <v>184</v>
      </c>
      <c r="E2248" s="32" t="s">
        <v>228</v>
      </c>
      <c r="F2248" s="32" t="s">
        <v>255</v>
      </c>
      <c r="G2248" s="32" t="s">
        <v>223</v>
      </c>
      <c r="H2248" s="32" t="s">
        <v>2904</v>
      </c>
    </row>
    <row r="2249" ht="16.5" customHeight="1">
      <c r="A2249" s="32">
        <v>2245.0</v>
      </c>
      <c r="C2249" s="32" t="s">
        <v>2905</v>
      </c>
      <c r="D2249" s="32" t="s">
        <v>184</v>
      </c>
      <c r="E2249" s="32" t="s">
        <v>219</v>
      </c>
      <c r="F2249" s="32" t="s">
        <v>255</v>
      </c>
      <c r="G2249" s="32" t="s">
        <v>223</v>
      </c>
      <c r="H2249" s="32" t="s">
        <v>2906</v>
      </c>
    </row>
    <row r="2250" ht="16.5" customHeight="1">
      <c r="A2250" s="32">
        <v>2246.0</v>
      </c>
      <c r="C2250" s="32" t="s">
        <v>2907</v>
      </c>
      <c r="D2250" s="32" t="s">
        <v>184</v>
      </c>
      <c r="E2250" s="32" t="s">
        <v>228</v>
      </c>
      <c r="F2250" s="32" t="s">
        <v>255</v>
      </c>
    </row>
    <row r="2251" ht="16.5" customHeight="1">
      <c r="A2251" s="32">
        <v>2247.0</v>
      </c>
      <c r="C2251" s="32" t="s">
        <v>2908</v>
      </c>
      <c r="D2251" s="32" t="s">
        <v>184</v>
      </c>
      <c r="E2251" s="32" t="s">
        <v>185</v>
      </c>
      <c r="F2251" s="32" t="s">
        <v>255</v>
      </c>
      <c r="G2251" s="32" t="s">
        <v>305</v>
      </c>
      <c r="H2251" s="32" t="s">
        <v>1306</v>
      </c>
    </row>
    <row r="2252" ht="16.5" customHeight="1">
      <c r="A2252" s="32">
        <v>2248.0</v>
      </c>
      <c r="C2252" s="32" t="s">
        <v>2909</v>
      </c>
      <c r="D2252" s="32" t="s">
        <v>184</v>
      </c>
      <c r="E2252" s="32" t="s">
        <v>254</v>
      </c>
      <c r="F2252" s="32" t="s">
        <v>255</v>
      </c>
      <c r="G2252" s="32" t="s">
        <v>305</v>
      </c>
      <c r="H2252" s="32" t="s">
        <v>1306</v>
      </c>
    </row>
    <row r="2253" ht="16.5" customHeight="1">
      <c r="A2253" s="32">
        <v>2249.0</v>
      </c>
      <c r="C2253" s="32" t="s">
        <v>2910</v>
      </c>
      <c r="D2253" s="32" t="s">
        <v>184</v>
      </c>
      <c r="E2253" s="32" t="s">
        <v>254</v>
      </c>
      <c r="F2253" s="32" t="s">
        <v>255</v>
      </c>
    </row>
    <row r="2254" ht="16.5" customHeight="1">
      <c r="A2254" s="32">
        <v>2250.0</v>
      </c>
      <c r="C2254" s="32" t="s">
        <v>2911</v>
      </c>
      <c r="D2254" s="32" t="s">
        <v>184</v>
      </c>
      <c r="E2254" s="32" t="s">
        <v>185</v>
      </c>
      <c r="F2254" s="32" t="s">
        <v>255</v>
      </c>
    </row>
    <row r="2255" ht="16.5" customHeight="1">
      <c r="A2255" s="32">
        <v>2251.0</v>
      </c>
      <c r="C2255" s="32" t="s">
        <v>2912</v>
      </c>
      <c r="D2255" s="32" t="s">
        <v>184</v>
      </c>
      <c r="E2255" s="32" t="s">
        <v>254</v>
      </c>
      <c r="F2255" s="32" t="s">
        <v>255</v>
      </c>
      <c r="G2255" s="32" t="s">
        <v>305</v>
      </c>
      <c r="H2255" s="32" t="s">
        <v>319</v>
      </c>
    </row>
    <row r="2256" ht="16.5" customHeight="1">
      <c r="A2256" s="32">
        <v>2252.0</v>
      </c>
      <c r="C2256" s="32" t="s">
        <v>2913</v>
      </c>
      <c r="D2256" s="32" t="s">
        <v>184</v>
      </c>
      <c r="E2256" s="32" t="s">
        <v>254</v>
      </c>
      <c r="F2256" s="32" t="s">
        <v>255</v>
      </c>
      <c r="G2256" s="32" t="s">
        <v>305</v>
      </c>
      <c r="H2256" s="32" t="s">
        <v>600</v>
      </c>
    </row>
    <row r="2257" ht="16.5" customHeight="1">
      <c r="A2257" s="32">
        <v>2253.0</v>
      </c>
      <c r="C2257" s="32" t="s">
        <v>2914</v>
      </c>
      <c r="D2257" s="32" t="s">
        <v>184</v>
      </c>
      <c r="E2257" s="35" t="s">
        <v>310</v>
      </c>
      <c r="F2257" s="32" t="s">
        <v>255</v>
      </c>
      <c r="G2257" s="32" t="s">
        <v>305</v>
      </c>
      <c r="H2257" s="32" t="s">
        <v>600</v>
      </c>
    </row>
    <row r="2258" ht="16.5" customHeight="1">
      <c r="A2258" s="32">
        <v>2254.0</v>
      </c>
      <c r="C2258" s="32" t="s">
        <v>2915</v>
      </c>
      <c r="D2258" s="32" t="s">
        <v>184</v>
      </c>
      <c r="E2258" s="32" t="s">
        <v>185</v>
      </c>
      <c r="F2258" s="32" t="s">
        <v>255</v>
      </c>
      <c r="G2258" s="32" t="s">
        <v>271</v>
      </c>
      <c r="H2258" s="32" t="s">
        <v>2916</v>
      </c>
    </row>
    <row r="2259" ht="16.5" customHeight="1">
      <c r="A2259" s="32">
        <v>2255.0</v>
      </c>
      <c r="C2259" s="32" t="s">
        <v>2917</v>
      </c>
      <c r="D2259" s="32" t="s">
        <v>184</v>
      </c>
      <c r="E2259" s="32" t="s">
        <v>254</v>
      </c>
      <c r="F2259" s="32" t="s">
        <v>255</v>
      </c>
      <c r="G2259" s="32" t="s">
        <v>424</v>
      </c>
      <c r="H2259" s="32" t="s">
        <v>2918</v>
      </c>
    </row>
    <row r="2260" ht="16.5" customHeight="1">
      <c r="A2260" s="32">
        <v>2256.0</v>
      </c>
      <c r="C2260" s="32" t="s">
        <v>2919</v>
      </c>
      <c r="D2260" s="32" t="s">
        <v>184</v>
      </c>
      <c r="E2260" s="32" t="s">
        <v>254</v>
      </c>
      <c r="F2260" s="32" t="s">
        <v>255</v>
      </c>
      <c r="G2260" s="32" t="s">
        <v>263</v>
      </c>
      <c r="H2260" s="32" t="s">
        <v>2920</v>
      </c>
    </row>
    <row r="2261" ht="16.5" customHeight="1">
      <c r="A2261" s="32">
        <v>2257.0</v>
      </c>
      <c r="C2261" s="32" t="s">
        <v>2921</v>
      </c>
      <c r="D2261" s="32" t="s">
        <v>184</v>
      </c>
      <c r="E2261" s="32" t="s">
        <v>254</v>
      </c>
      <c r="F2261" s="32" t="s">
        <v>255</v>
      </c>
      <c r="G2261" s="32" t="s">
        <v>256</v>
      </c>
      <c r="H2261" s="32" t="s">
        <v>2922</v>
      </c>
    </row>
    <row r="2262" ht="16.5" customHeight="1">
      <c r="A2262" s="32">
        <v>2258.0</v>
      </c>
      <c r="C2262" s="32" t="s">
        <v>2923</v>
      </c>
      <c r="D2262" s="32" t="s">
        <v>184</v>
      </c>
      <c r="E2262" s="32" t="s">
        <v>254</v>
      </c>
      <c r="F2262" s="32" t="s">
        <v>255</v>
      </c>
    </row>
    <row r="2263" ht="16.5" customHeight="1">
      <c r="A2263" s="32">
        <v>2259.0</v>
      </c>
      <c r="C2263" s="32" t="s">
        <v>2924</v>
      </c>
      <c r="D2263" s="32" t="s">
        <v>184</v>
      </c>
      <c r="E2263" s="32" t="s">
        <v>192</v>
      </c>
      <c r="F2263" s="32" t="s">
        <v>255</v>
      </c>
    </row>
    <row r="2264" ht="16.5" customHeight="1">
      <c r="A2264" s="32">
        <v>2260.0</v>
      </c>
      <c r="C2264" s="32" t="s">
        <v>2925</v>
      </c>
      <c r="D2264" s="32" t="s">
        <v>184</v>
      </c>
      <c r="E2264" s="32" t="s">
        <v>254</v>
      </c>
      <c r="F2264" s="32" t="s">
        <v>255</v>
      </c>
      <c r="G2264" s="32" t="s">
        <v>256</v>
      </c>
      <c r="H2264" s="32" t="s">
        <v>2926</v>
      </c>
    </row>
    <row r="2265" ht="16.5" customHeight="1">
      <c r="A2265" s="32">
        <v>2261.0</v>
      </c>
      <c r="C2265" s="32" t="s">
        <v>2927</v>
      </c>
      <c r="D2265" s="32" t="s">
        <v>184</v>
      </c>
      <c r="E2265" s="35" t="s">
        <v>310</v>
      </c>
      <c r="F2265" s="32" t="s">
        <v>255</v>
      </c>
      <c r="G2265" s="32" t="s">
        <v>305</v>
      </c>
      <c r="H2265" s="32" t="s">
        <v>2928</v>
      </c>
    </row>
    <row r="2266" ht="16.5" customHeight="1">
      <c r="A2266" s="32">
        <v>2262.0</v>
      </c>
      <c r="C2266" s="32" t="s">
        <v>2929</v>
      </c>
      <c r="D2266" s="32" t="s">
        <v>184</v>
      </c>
      <c r="E2266" s="32" t="s">
        <v>185</v>
      </c>
      <c r="F2266" s="32" t="s">
        <v>255</v>
      </c>
      <c r="G2266" s="32" t="s">
        <v>271</v>
      </c>
      <c r="H2266" s="32" t="s">
        <v>566</v>
      </c>
    </row>
    <row r="2267" ht="16.5" customHeight="1">
      <c r="A2267" s="32">
        <v>2263.0</v>
      </c>
      <c r="C2267" s="32" t="s">
        <v>2930</v>
      </c>
      <c r="D2267" s="32" t="s">
        <v>184</v>
      </c>
      <c r="E2267" s="35" t="s">
        <v>310</v>
      </c>
      <c r="F2267" s="32" t="s">
        <v>255</v>
      </c>
      <c r="G2267" s="32" t="s">
        <v>305</v>
      </c>
      <c r="H2267" s="32" t="s">
        <v>1306</v>
      </c>
    </row>
    <row r="2268" ht="16.5" customHeight="1">
      <c r="A2268" s="32">
        <v>2264.0</v>
      </c>
      <c r="C2268" s="32" t="s">
        <v>2931</v>
      </c>
      <c r="D2268" s="32" t="s">
        <v>184</v>
      </c>
      <c r="E2268" s="32" t="s">
        <v>254</v>
      </c>
      <c r="F2268" s="32" t="s">
        <v>255</v>
      </c>
      <c r="G2268" s="32" t="s">
        <v>260</v>
      </c>
      <c r="H2268" s="32" t="s">
        <v>2932</v>
      </c>
    </row>
    <row r="2269" ht="16.5" customHeight="1">
      <c r="A2269" s="32">
        <v>2265.0</v>
      </c>
      <c r="C2269" s="32" t="s">
        <v>2933</v>
      </c>
      <c r="D2269" s="32" t="s">
        <v>184</v>
      </c>
      <c r="E2269" s="35" t="s">
        <v>310</v>
      </c>
      <c r="F2269" s="32" t="s">
        <v>255</v>
      </c>
    </row>
    <row r="2270" ht="16.5" customHeight="1">
      <c r="A2270" s="32">
        <v>2266.0</v>
      </c>
      <c r="C2270" s="32" t="s">
        <v>2934</v>
      </c>
      <c r="D2270" s="32" t="s">
        <v>184</v>
      </c>
      <c r="E2270" s="32" t="s">
        <v>254</v>
      </c>
      <c r="F2270" s="32" t="s">
        <v>255</v>
      </c>
      <c r="G2270" s="32" t="s">
        <v>305</v>
      </c>
      <c r="H2270" s="32" t="s">
        <v>600</v>
      </c>
    </row>
    <row r="2271" ht="16.5" customHeight="1">
      <c r="A2271" s="32">
        <v>2267.0</v>
      </c>
      <c r="C2271" s="32" t="s">
        <v>2935</v>
      </c>
      <c r="D2271" s="32" t="s">
        <v>184</v>
      </c>
      <c r="E2271" s="35" t="s">
        <v>294</v>
      </c>
      <c r="F2271" s="32" t="s">
        <v>255</v>
      </c>
      <c r="G2271" s="32" t="s">
        <v>189</v>
      </c>
      <c r="H2271" s="32" t="s">
        <v>2512</v>
      </c>
    </row>
    <row r="2272" ht="16.5" customHeight="1">
      <c r="A2272" s="32">
        <v>2268.0</v>
      </c>
      <c r="C2272" s="32" t="s">
        <v>2936</v>
      </c>
      <c r="D2272" s="32" t="s">
        <v>184</v>
      </c>
      <c r="E2272" s="32" t="s">
        <v>185</v>
      </c>
      <c r="F2272" s="32" t="s">
        <v>255</v>
      </c>
    </row>
    <row r="2273" ht="16.5" customHeight="1">
      <c r="A2273" s="32">
        <v>2269.0</v>
      </c>
      <c r="C2273" s="32" t="s">
        <v>2937</v>
      </c>
      <c r="D2273" s="32" t="s">
        <v>184</v>
      </c>
      <c r="E2273" s="32" t="s">
        <v>192</v>
      </c>
      <c r="F2273" s="32" t="s">
        <v>255</v>
      </c>
    </row>
    <row r="2274" ht="16.5" customHeight="1">
      <c r="A2274" s="32">
        <v>2270.0</v>
      </c>
      <c r="C2274" s="32" t="s">
        <v>2938</v>
      </c>
      <c r="D2274" s="32" t="s">
        <v>184</v>
      </c>
      <c r="E2274" s="32" t="s">
        <v>1162</v>
      </c>
      <c r="F2274" s="32" t="s">
        <v>255</v>
      </c>
    </row>
    <row r="2275" ht="16.5" customHeight="1">
      <c r="A2275" s="32">
        <v>2271.0</v>
      </c>
      <c r="C2275" s="32" t="s">
        <v>2939</v>
      </c>
      <c r="D2275" s="32" t="s">
        <v>184</v>
      </c>
      <c r="E2275" s="32" t="s">
        <v>321</v>
      </c>
      <c r="F2275" s="32" t="s">
        <v>255</v>
      </c>
    </row>
    <row r="2276" ht="16.5" customHeight="1">
      <c r="A2276" s="32">
        <v>2272.0</v>
      </c>
      <c r="C2276" s="32" t="s">
        <v>2940</v>
      </c>
      <c r="D2276" s="32" t="s">
        <v>184</v>
      </c>
      <c r="E2276" s="32" t="s">
        <v>185</v>
      </c>
      <c r="F2276" s="32" t="s">
        <v>255</v>
      </c>
      <c r="G2276" s="32" t="s">
        <v>475</v>
      </c>
      <c r="H2276" s="32" t="s">
        <v>476</v>
      </c>
    </row>
    <row r="2277" ht="16.5" customHeight="1">
      <c r="A2277" s="32">
        <v>2273.0</v>
      </c>
      <c r="C2277" s="32" t="s">
        <v>2941</v>
      </c>
      <c r="D2277" s="32" t="s">
        <v>184</v>
      </c>
      <c r="E2277" s="32" t="s">
        <v>254</v>
      </c>
      <c r="F2277" s="32" t="s">
        <v>255</v>
      </c>
      <c r="G2277" s="32" t="s">
        <v>305</v>
      </c>
      <c r="H2277" s="32" t="s">
        <v>371</v>
      </c>
    </row>
    <row r="2278" ht="16.5" customHeight="1">
      <c r="A2278" s="32">
        <v>2274.0</v>
      </c>
      <c r="C2278" s="32" t="s">
        <v>2942</v>
      </c>
      <c r="D2278" s="32" t="s">
        <v>184</v>
      </c>
      <c r="E2278" s="32" t="s">
        <v>254</v>
      </c>
      <c r="F2278" s="32" t="s">
        <v>255</v>
      </c>
    </row>
    <row r="2279" ht="16.5" customHeight="1">
      <c r="A2279" s="32">
        <v>2275.0</v>
      </c>
      <c r="C2279" s="32" t="s">
        <v>2943</v>
      </c>
      <c r="D2279" s="32" t="s">
        <v>184</v>
      </c>
      <c r="E2279" s="32" t="s">
        <v>254</v>
      </c>
      <c r="F2279" s="32" t="s">
        <v>255</v>
      </c>
      <c r="G2279" s="32" t="s">
        <v>305</v>
      </c>
      <c r="H2279" s="32" t="s">
        <v>371</v>
      </c>
    </row>
    <row r="2280" ht="16.5" customHeight="1">
      <c r="A2280" s="32">
        <v>2276.0</v>
      </c>
      <c r="C2280" s="32" t="s">
        <v>2944</v>
      </c>
      <c r="D2280" s="32" t="s">
        <v>184</v>
      </c>
      <c r="E2280" s="32" t="s">
        <v>254</v>
      </c>
      <c r="F2280" s="32" t="s">
        <v>255</v>
      </c>
    </row>
    <row r="2281" ht="16.5" customHeight="1">
      <c r="A2281" s="32">
        <v>2277.0</v>
      </c>
      <c r="C2281" s="32" t="s">
        <v>2945</v>
      </c>
      <c r="D2281" s="32" t="s">
        <v>184</v>
      </c>
      <c r="E2281" s="32" t="s">
        <v>254</v>
      </c>
      <c r="F2281" s="32" t="s">
        <v>255</v>
      </c>
      <c r="G2281" s="32" t="s">
        <v>256</v>
      </c>
      <c r="H2281" s="32" t="s">
        <v>2946</v>
      </c>
    </row>
    <row r="2282" ht="16.5" customHeight="1">
      <c r="A2282" s="32">
        <v>2278.0</v>
      </c>
      <c r="C2282" s="32" t="s">
        <v>2947</v>
      </c>
      <c r="D2282" s="32" t="s">
        <v>184</v>
      </c>
      <c r="E2282" s="32" t="s">
        <v>254</v>
      </c>
      <c r="F2282" s="32" t="s">
        <v>255</v>
      </c>
      <c r="G2282" s="32" t="s">
        <v>256</v>
      </c>
      <c r="H2282" s="32" t="s">
        <v>1330</v>
      </c>
    </row>
    <row r="2283" ht="16.5" customHeight="1">
      <c r="A2283" s="32">
        <v>2279.0</v>
      </c>
      <c r="C2283" s="32" t="s">
        <v>2948</v>
      </c>
      <c r="D2283" s="32" t="s">
        <v>184</v>
      </c>
      <c r="E2283" s="32" t="s">
        <v>185</v>
      </c>
      <c r="F2283" s="32" t="s">
        <v>255</v>
      </c>
      <c r="G2283" s="32" t="s">
        <v>256</v>
      </c>
      <c r="H2283" s="32" t="s">
        <v>2949</v>
      </c>
    </row>
    <row r="2284" ht="16.5" customHeight="1">
      <c r="A2284" s="32">
        <v>2280.0</v>
      </c>
      <c r="C2284" s="32" t="s">
        <v>2950</v>
      </c>
      <c r="D2284" s="32" t="s">
        <v>184</v>
      </c>
      <c r="E2284" s="32" t="s">
        <v>254</v>
      </c>
      <c r="F2284" s="32" t="s">
        <v>255</v>
      </c>
    </row>
    <row r="2285" ht="16.5" customHeight="1">
      <c r="A2285" s="32">
        <v>2281.0</v>
      </c>
      <c r="C2285" s="32" t="s">
        <v>2951</v>
      </c>
      <c r="D2285" s="32" t="s">
        <v>184</v>
      </c>
      <c r="E2285" s="32" t="s">
        <v>185</v>
      </c>
      <c r="F2285" s="32" t="s">
        <v>255</v>
      </c>
      <c r="G2285" s="32" t="s">
        <v>2952</v>
      </c>
      <c r="H2285" s="32" t="s">
        <v>2953</v>
      </c>
    </row>
    <row r="2286" ht="16.5" customHeight="1">
      <c r="A2286" s="32">
        <v>2282.0</v>
      </c>
      <c r="C2286" s="32" t="s">
        <v>2954</v>
      </c>
      <c r="D2286" s="32" t="s">
        <v>184</v>
      </c>
      <c r="E2286" s="32" t="s">
        <v>185</v>
      </c>
      <c r="F2286" s="32" t="s">
        <v>255</v>
      </c>
    </row>
    <row r="2287" ht="16.5" customHeight="1">
      <c r="A2287" s="32">
        <v>2283.0</v>
      </c>
      <c r="C2287" s="32" t="s">
        <v>2955</v>
      </c>
      <c r="D2287" s="32" t="s">
        <v>184</v>
      </c>
      <c r="E2287" s="32" t="s">
        <v>185</v>
      </c>
      <c r="F2287" s="32" t="s">
        <v>255</v>
      </c>
      <c r="G2287" s="32" t="s">
        <v>187</v>
      </c>
      <c r="H2287" s="32" t="s">
        <v>854</v>
      </c>
    </row>
    <row r="2288" ht="16.5" customHeight="1">
      <c r="A2288" s="32">
        <v>2284.0</v>
      </c>
      <c r="C2288" s="32" t="s">
        <v>2956</v>
      </c>
      <c r="D2288" s="32" t="s">
        <v>184</v>
      </c>
      <c r="E2288" s="32" t="s">
        <v>254</v>
      </c>
      <c r="F2288" s="32" t="s">
        <v>255</v>
      </c>
      <c r="G2288" s="32" t="s">
        <v>305</v>
      </c>
      <c r="H2288" s="32" t="s">
        <v>319</v>
      </c>
    </row>
    <row r="2289" ht="16.5" customHeight="1">
      <c r="A2289" s="32">
        <v>2285.0</v>
      </c>
      <c r="C2289" s="32" t="s">
        <v>2957</v>
      </c>
      <c r="D2289" s="32" t="s">
        <v>184</v>
      </c>
      <c r="E2289" s="32" t="s">
        <v>234</v>
      </c>
      <c r="F2289" s="32" t="s">
        <v>222</v>
      </c>
      <c r="G2289" s="32" t="s">
        <v>415</v>
      </c>
      <c r="H2289" s="32" t="s">
        <v>236</v>
      </c>
    </row>
    <row r="2290" ht="16.5" customHeight="1">
      <c r="A2290" s="32">
        <v>2286.0</v>
      </c>
      <c r="C2290" s="32" t="s">
        <v>2958</v>
      </c>
      <c r="D2290" s="32" t="s">
        <v>184</v>
      </c>
      <c r="E2290" s="32" t="s">
        <v>234</v>
      </c>
      <c r="F2290" s="32" t="s">
        <v>222</v>
      </c>
    </row>
    <row r="2291" ht="16.5" customHeight="1">
      <c r="A2291" s="32">
        <v>2287.0</v>
      </c>
      <c r="C2291" s="32" t="s">
        <v>2959</v>
      </c>
      <c r="D2291" s="32" t="s">
        <v>184</v>
      </c>
      <c r="E2291" s="32" t="s">
        <v>254</v>
      </c>
      <c r="F2291" s="32" t="s">
        <v>255</v>
      </c>
      <c r="G2291" s="32" t="s">
        <v>275</v>
      </c>
      <c r="H2291" s="32" t="s">
        <v>2412</v>
      </c>
    </row>
    <row r="2292" ht="16.5" customHeight="1">
      <c r="A2292" s="32">
        <v>2288.0</v>
      </c>
      <c r="C2292" s="32" t="s">
        <v>2960</v>
      </c>
      <c r="D2292" s="32" t="s">
        <v>184</v>
      </c>
      <c r="E2292" s="32" t="s">
        <v>185</v>
      </c>
      <c r="F2292" s="32" t="s">
        <v>255</v>
      </c>
    </row>
    <row r="2293" ht="16.5" customHeight="1">
      <c r="A2293" s="32">
        <v>2289.0</v>
      </c>
      <c r="C2293" s="32" t="s">
        <v>2961</v>
      </c>
      <c r="D2293" s="32" t="s">
        <v>184</v>
      </c>
      <c r="E2293" s="32" t="s">
        <v>254</v>
      </c>
      <c r="F2293" s="32" t="s">
        <v>255</v>
      </c>
      <c r="G2293" s="32" t="s">
        <v>275</v>
      </c>
      <c r="H2293" s="32" t="s">
        <v>2412</v>
      </c>
    </row>
    <row r="2294" ht="16.5" customHeight="1">
      <c r="A2294" s="32">
        <v>2290.0</v>
      </c>
      <c r="C2294" s="32" t="s">
        <v>2962</v>
      </c>
      <c r="D2294" s="32" t="s">
        <v>184</v>
      </c>
      <c r="E2294" s="32" t="s">
        <v>185</v>
      </c>
      <c r="F2294" s="32" t="s">
        <v>255</v>
      </c>
      <c r="G2294" s="32" t="s">
        <v>275</v>
      </c>
      <c r="H2294" s="32" t="s">
        <v>2412</v>
      </c>
    </row>
    <row r="2295" ht="16.5" customHeight="1">
      <c r="A2295" s="32">
        <v>2291.0</v>
      </c>
      <c r="C2295" s="32" t="s">
        <v>2963</v>
      </c>
      <c r="D2295" s="32" t="s">
        <v>184</v>
      </c>
      <c r="E2295" s="35" t="s">
        <v>2964</v>
      </c>
      <c r="F2295" s="32" t="s">
        <v>255</v>
      </c>
    </row>
    <row r="2296" ht="16.5" customHeight="1">
      <c r="A2296" s="32">
        <v>2292.0</v>
      </c>
      <c r="C2296" s="32" t="s">
        <v>2965</v>
      </c>
      <c r="D2296" s="32" t="s">
        <v>184</v>
      </c>
      <c r="E2296" s="32" t="s">
        <v>254</v>
      </c>
      <c r="F2296" s="32" t="s">
        <v>255</v>
      </c>
      <c r="G2296" s="32" t="s">
        <v>2966</v>
      </c>
      <c r="H2296" s="32" t="s">
        <v>2967</v>
      </c>
    </row>
    <row r="2297" ht="16.5" customHeight="1">
      <c r="A2297" s="32">
        <v>2293.0</v>
      </c>
      <c r="C2297" s="32" t="s">
        <v>2968</v>
      </c>
      <c r="D2297" s="32" t="s">
        <v>184</v>
      </c>
      <c r="E2297" s="32" t="s">
        <v>254</v>
      </c>
      <c r="F2297" s="32" t="s">
        <v>255</v>
      </c>
      <c r="G2297" s="32" t="s">
        <v>2969</v>
      </c>
      <c r="H2297" s="32" t="s">
        <v>2970</v>
      </c>
    </row>
    <row r="2298" ht="16.5" customHeight="1">
      <c r="A2298" s="32">
        <v>2294.0</v>
      </c>
      <c r="C2298" s="32" t="s">
        <v>2971</v>
      </c>
      <c r="D2298" s="32" t="s">
        <v>184</v>
      </c>
      <c r="E2298" s="32" t="s">
        <v>185</v>
      </c>
      <c r="F2298" s="32" t="s">
        <v>255</v>
      </c>
    </row>
    <row r="2299" ht="16.5" customHeight="1">
      <c r="A2299" s="32">
        <v>2295.0</v>
      </c>
      <c r="C2299" s="32" t="s">
        <v>2972</v>
      </c>
      <c r="D2299" s="32" t="s">
        <v>184</v>
      </c>
      <c r="E2299" s="32" t="s">
        <v>219</v>
      </c>
      <c r="F2299" s="32" t="s">
        <v>255</v>
      </c>
      <c r="G2299" s="32" t="s">
        <v>2400</v>
      </c>
      <c r="H2299" s="32" t="s">
        <v>229</v>
      </c>
    </row>
    <row r="2300" ht="16.5" customHeight="1">
      <c r="A2300" s="32">
        <v>2296.0</v>
      </c>
      <c r="C2300" s="32" t="s">
        <v>2973</v>
      </c>
      <c r="D2300" s="32" t="s">
        <v>184</v>
      </c>
      <c r="E2300" s="32" t="s">
        <v>228</v>
      </c>
      <c r="F2300" s="32" t="s">
        <v>255</v>
      </c>
      <c r="G2300" s="32" t="s">
        <v>223</v>
      </c>
      <c r="H2300" s="32" t="s">
        <v>472</v>
      </c>
    </row>
    <row r="2301" ht="16.5" customHeight="1">
      <c r="A2301" s="32">
        <v>2297.0</v>
      </c>
      <c r="C2301" s="32" t="s">
        <v>2974</v>
      </c>
      <c r="D2301" s="32" t="s">
        <v>184</v>
      </c>
      <c r="E2301" s="32" t="s">
        <v>254</v>
      </c>
      <c r="F2301" s="32" t="s">
        <v>255</v>
      </c>
      <c r="G2301" s="32" t="s">
        <v>305</v>
      </c>
      <c r="H2301" s="32" t="s">
        <v>317</v>
      </c>
    </row>
    <row r="2302" ht="16.5" customHeight="1">
      <c r="A2302" s="32">
        <v>2298.0</v>
      </c>
      <c r="C2302" s="32" t="s">
        <v>2975</v>
      </c>
      <c r="D2302" s="32" t="s">
        <v>184</v>
      </c>
      <c r="E2302" s="32" t="s">
        <v>254</v>
      </c>
      <c r="F2302" s="32" t="s">
        <v>255</v>
      </c>
      <c r="G2302" s="32" t="s">
        <v>305</v>
      </c>
      <c r="H2302" s="32" t="s">
        <v>319</v>
      </c>
    </row>
    <row r="2303" ht="16.5" customHeight="1">
      <c r="A2303" s="32">
        <v>2299.0</v>
      </c>
      <c r="C2303" s="32" t="s">
        <v>2976</v>
      </c>
      <c r="D2303" s="32" t="s">
        <v>184</v>
      </c>
      <c r="E2303" s="32" t="s">
        <v>234</v>
      </c>
      <c r="F2303" s="32" t="s">
        <v>255</v>
      </c>
      <c r="G2303" s="32" t="s">
        <v>347</v>
      </c>
      <c r="H2303" s="32" t="s">
        <v>382</v>
      </c>
    </row>
    <row r="2304" ht="16.5" customHeight="1">
      <c r="A2304" s="32">
        <v>2300.0</v>
      </c>
      <c r="C2304" s="32" t="s">
        <v>2977</v>
      </c>
      <c r="D2304" s="32" t="s">
        <v>184</v>
      </c>
      <c r="E2304" s="32" t="s">
        <v>234</v>
      </c>
      <c r="F2304" s="32" t="s">
        <v>255</v>
      </c>
      <c r="G2304" s="32" t="s">
        <v>347</v>
      </c>
      <c r="H2304" s="32" t="s">
        <v>382</v>
      </c>
    </row>
    <row r="2305" ht="16.5" customHeight="1">
      <c r="A2305" s="32">
        <v>2301.0</v>
      </c>
      <c r="C2305" s="32" t="s">
        <v>2978</v>
      </c>
      <c r="D2305" s="32" t="s">
        <v>184</v>
      </c>
      <c r="E2305" s="32" t="s">
        <v>234</v>
      </c>
      <c r="F2305" s="32" t="s">
        <v>255</v>
      </c>
      <c r="G2305" s="32" t="s">
        <v>235</v>
      </c>
      <c r="H2305" s="32" t="s">
        <v>243</v>
      </c>
    </row>
    <row r="2306" ht="16.5" customHeight="1">
      <c r="A2306" s="32">
        <v>2302.0</v>
      </c>
      <c r="C2306" s="32" t="s">
        <v>2979</v>
      </c>
      <c r="D2306" s="32" t="s">
        <v>184</v>
      </c>
      <c r="E2306" s="32" t="s">
        <v>234</v>
      </c>
      <c r="F2306" s="32" t="s">
        <v>255</v>
      </c>
      <c r="G2306" s="32" t="s">
        <v>235</v>
      </c>
      <c r="H2306" s="32" t="s">
        <v>243</v>
      </c>
    </row>
    <row r="2307" ht="16.5" customHeight="1">
      <c r="A2307" s="32">
        <v>2303.0</v>
      </c>
      <c r="C2307" s="32" t="s">
        <v>2980</v>
      </c>
      <c r="D2307" s="32" t="s">
        <v>184</v>
      </c>
      <c r="E2307" s="32" t="s">
        <v>234</v>
      </c>
      <c r="F2307" s="32" t="s">
        <v>255</v>
      </c>
      <c r="G2307" s="32" t="s">
        <v>347</v>
      </c>
      <c r="H2307" s="32" t="s">
        <v>2981</v>
      </c>
    </row>
    <row r="2308" ht="16.5" customHeight="1">
      <c r="A2308" s="32">
        <v>2304.0</v>
      </c>
      <c r="C2308" s="32" t="s">
        <v>2982</v>
      </c>
      <c r="D2308" s="32" t="s">
        <v>184</v>
      </c>
      <c r="E2308" s="32" t="s">
        <v>185</v>
      </c>
      <c r="F2308" s="32" t="s">
        <v>255</v>
      </c>
      <c r="G2308" s="32" t="s">
        <v>267</v>
      </c>
      <c r="H2308" s="32" t="s">
        <v>188</v>
      </c>
    </row>
    <row r="2309" ht="16.5" customHeight="1">
      <c r="A2309" s="32">
        <v>2305.0</v>
      </c>
      <c r="C2309" s="32" t="s">
        <v>2983</v>
      </c>
      <c r="D2309" s="32" t="s">
        <v>184</v>
      </c>
      <c r="E2309" s="32" t="s">
        <v>234</v>
      </c>
      <c r="F2309" s="32" t="s">
        <v>255</v>
      </c>
      <c r="G2309" s="32" t="s">
        <v>885</v>
      </c>
    </row>
    <row r="2310" ht="16.5" customHeight="1">
      <c r="A2310" s="32">
        <v>2306.0</v>
      </c>
      <c r="C2310" s="32" t="s">
        <v>2984</v>
      </c>
      <c r="D2310" s="32" t="s">
        <v>184</v>
      </c>
      <c r="E2310" s="32" t="s">
        <v>234</v>
      </c>
      <c r="F2310" s="32" t="s">
        <v>255</v>
      </c>
      <c r="G2310" s="32" t="s">
        <v>235</v>
      </c>
      <c r="H2310" s="32" t="s">
        <v>2985</v>
      </c>
    </row>
    <row r="2311" ht="16.5" customHeight="1">
      <c r="A2311" s="32">
        <v>2307.0</v>
      </c>
      <c r="C2311" s="32" t="s">
        <v>2986</v>
      </c>
      <c r="D2311" s="32" t="s">
        <v>184</v>
      </c>
      <c r="E2311" s="32" t="s">
        <v>254</v>
      </c>
      <c r="F2311" s="32" t="s">
        <v>255</v>
      </c>
      <c r="G2311" s="32" t="s">
        <v>424</v>
      </c>
      <c r="H2311" s="32" t="s">
        <v>425</v>
      </c>
    </row>
    <row r="2312" ht="16.5" customHeight="1">
      <c r="A2312" s="32">
        <v>2308.0</v>
      </c>
      <c r="C2312" s="32" t="s">
        <v>2987</v>
      </c>
      <c r="D2312" s="32" t="s">
        <v>184</v>
      </c>
      <c r="E2312" s="32" t="s">
        <v>254</v>
      </c>
      <c r="F2312" s="32" t="s">
        <v>255</v>
      </c>
      <c r="G2312" s="32" t="s">
        <v>424</v>
      </c>
      <c r="H2312" s="32" t="s">
        <v>2988</v>
      </c>
    </row>
    <row r="2313" ht="16.5" customHeight="1">
      <c r="A2313" s="32">
        <v>2309.0</v>
      </c>
      <c r="C2313" s="32" t="s">
        <v>2989</v>
      </c>
      <c r="D2313" s="32" t="s">
        <v>184</v>
      </c>
      <c r="E2313" s="32" t="s">
        <v>285</v>
      </c>
      <c r="F2313" s="32" t="s">
        <v>255</v>
      </c>
      <c r="G2313" s="32" t="s">
        <v>188</v>
      </c>
      <c r="H2313" s="32" t="s">
        <v>561</v>
      </c>
    </row>
    <row r="2314" ht="16.5" customHeight="1">
      <c r="A2314" s="32">
        <v>2310.0</v>
      </c>
      <c r="C2314" s="32" t="s">
        <v>2990</v>
      </c>
      <c r="D2314" s="32" t="s">
        <v>184</v>
      </c>
      <c r="E2314" s="32" t="s">
        <v>285</v>
      </c>
      <c r="F2314" s="32" t="s">
        <v>255</v>
      </c>
      <c r="G2314" s="32" t="s">
        <v>188</v>
      </c>
      <c r="H2314" s="32" t="s">
        <v>2991</v>
      </c>
    </row>
    <row r="2315" ht="16.5" customHeight="1">
      <c r="A2315" s="32">
        <v>2311.0</v>
      </c>
      <c r="C2315" s="32" t="s">
        <v>2992</v>
      </c>
      <c r="D2315" s="32" t="s">
        <v>184</v>
      </c>
      <c r="E2315" s="32" t="s">
        <v>285</v>
      </c>
      <c r="F2315" s="32" t="s">
        <v>255</v>
      </c>
    </row>
    <row r="2316" ht="16.5" customHeight="1">
      <c r="A2316" s="32">
        <v>2312.0</v>
      </c>
      <c r="C2316" s="32" t="s">
        <v>2993</v>
      </c>
      <c r="D2316" s="32" t="s">
        <v>184</v>
      </c>
      <c r="E2316" s="32" t="s">
        <v>219</v>
      </c>
      <c r="F2316" s="32" t="s">
        <v>255</v>
      </c>
      <c r="G2316" s="32" t="s">
        <v>241</v>
      </c>
      <c r="H2316" s="32" t="s">
        <v>292</v>
      </c>
    </row>
    <row r="2317" ht="16.5" customHeight="1">
      <c r="A2317" s="32">
        <v>2313.0</v>
      </c>
      <c r="C2317" s="32" t="s">
        <v>2994</v>
      </c>
      <c r="D2317" s="32" t="s">
        <v>184</v>
      </c>
      <c r="E2317" s="32" t="s">
        <v>192</v>
      </c>
      <c r="F2317" s="32" t="s">
        <v>255</v>
      </c>
      <c r="G2317" s="32" t="s">
        <v>329</v>
      </c>
      <c r="H2317" s="32" t="s">
        <v>457</v>
      </c>
    </row>
    <row r="2318" ht="16.5" customHeight="1">
      <c r="A2318" s="32">
        <v>2314.0</v>
      </c>
      <c r="C2318" s="32" t="s">
        <v>2995</v>
      </c>
      <c r="D2318" s="32" t="s">
        <v>184</v>
      </c>
      <c r="E2318" s="32" t="s">
        <v>192</v>
      </c>
      <c r="F2318" s="32" t="s">
        <v>255</v>
      </c>
      <c r="G2318" s="32" t="s">
        <v>329</v>
      </c>
      <c r="H2318" s="32" t="s">
        <v>457</v>
      </c>
    </row>
    <row r="2319" ht="16.5" customHeight="1">
      <c r="A2319" s="32">
        <v>2315.0</v>
      </c>
      <c r="C2319" s="32" t="s">
        <v>2996</v>
      </c>
      <c r="D2319" s="32" t="s">
        <v>184</v>
      </c>
      <c r="E2319" s="32" t="s">
        <v>192</v>
      </c>
      <c r="F2319" s="32" t="s">
        <v>255</v>
      </c>
      <c r="G2319" s="32" t="s">
        <v>329</v>
      </c>
      <c r="H2319" s="32" t="s">
        <v>457</v>
      </c>
    </row>
    <row r="2320" ht="16.5" customHeight="1">
      <c r="A2320" s="32">
        <v>2316.0</v>
      </c>
      <c r="C2320" s="32" t="s">
        <v>2997</v>
      </c>
      <c r="D2320" s="32" t="s">
        <v>184</v>
      </c>
      <c r="E2320" s="32" t="s">
        <v>192</v>
      </c>
      <c r="F2320" s="32" t="s">
        <v>255</v>
      </c>
      <c r="G2320" s="32" t="s">
        <v>329</v>
      </c>
      <c r="H2320" s="32" t="s">
        <v>357</v>
      </c>
    </row>
    <row r="2321" ht="16.5" customHeight="1">
      <c r="A2321" s="32">
        <v>2317.0</v>
      </c>
      <c r="C2321" s="32" t="s">
        <v>2998</v>
      </c>
      <c r="D2321" s="32" t="s">
        <v>184</v>
      </c>
      <c r="E2321" s="32" t="s">
        <v>192</v>
      </c>
      <c r="F2321" s="32" t="s">
        <v>255</v>
      </c>
      <c r="G2321" s="32" t="s">
        <v>329</v>
      </c>
      <c r="H2321" s="32" t="s">
        <v>457</v>
      </c>
    </row>
    <row r="2322" ht="16.5" customHeight="1">
      <c r="A2322" s="32">
        <v>2318.0</v>
      </c>
      <c r="C2322" s="32" t="s">
        <v>2999</v>
      </c>
      <c r="D2322" s="32" t="s">
        <v>184</v>
      </c>
      <c r="E2322" s="32" t="s">
        <v>192</v>
      </c>
      <c r="F2322" s="32" t="s">
        <v>255</v>
      </c>
      <c r="G2322" s="32" t="s">
        <v>329</v>
      </c>
      <c r="H2322" s="32" t="s">
        <v>357</v>
      </c>
    </row>
    <row r="2323" ht="16.5" customHeight="1">
      <c r="A2323" s="32">
        <v>2319.0</v>
      </c>
      <c r="C2323" s="32" t="s">
        <v>3000</v>
      </c>
      <c r="D2323" s="32" t="s">
        <v>184</v>
      </c>
      <c r="E2323" s="32" t="s">
        <v>192</v>
      </c>
      <c r="F2323" s="32" t="s">
        <v>255</v>
      </c>
      <c r="G2323" s="32" t="s">
        <v>329</v>
      </c>
      <c r="H2323" s="32" t="s">
        <v>357</v>
      </c>
    </row>
    <row r="2324" ht="16.5" customHeight="1">
      <c r="A2324" s="32">
        <v>2320.0</v>
      </c>
      <c r="C2324" s="32" t="s">
        <v>3001</v>
      </c>
      <c r="D2324" s="32" t="s">
        <v>184</v>
      </c>
      <c r="E2324" s="32" t="s">
        <v>192</v>
      </c>
      <c r="F2324" s="32" t="s">
        <v>255</v>
      </c>
      <c r="G2324" s="32" t="s">
        <v>329</v>
      </c>
      <c r="H2324" s="32" t="s">
        <v>457</v>
      </c>
    </row>
    <row r="2325" ht="16.5" customHeight="1">
      <c r="A2325" s="32">
        <v>2321.0</v>
      </c>
      <c r="C2325" s="32" t="s">
        <v>3002</v>
      </c>
      <c r="D2325" s="32" t="s">
        <v>184</v>
      </c>
      <c r="E2325" s="32" t="s">
        <v>192</v>
      </c>
      <c r="F2325" s="32" t="s">
        <v>255</v>
      </c>
    </row>
    <row r="2326" ht="16.5" customHeight="1">
      <c r="A2326" s="32">
        <v>2322.0</v>
      </c>
      <c r="C2326" s="32" t="s">
        <v>3003</v>
      </c>
      <c r="D2326" s="32" t="s">
        <v>184</v>
      </c>
      <c r="E2326" s="32" t="s">
        <v>192</v>
      </c>
      <c r="F2326" s="32" t="s">
        <v>255</v>
      </c>
    </row>
    <row r="2327" ht="16.5" customHeight="1">
      <c r="A2327" s="32">
        <v>2323.0</v>
      </c>
      <c r="C2327" s="32" t="s">
        <v>3004</v>
      </c>
      <c r="D2327" s="32" t="s">
        <v>184</v>
      </c>
      <c r="E2327" s="32" t="s">
        <v>192</v>
      </c>
      <c r="F2327" s="32" t="s">
        <v>255</v>
      </c>
      <c r="G2327" s="32" t="s">
        <v>329</v>
      </c>
      <c r="H2327" s="32" t="s">
        <v>357</v>
      </c>
    </row>
    <row r="2328" ht="16.5" customHeight="1">
      <c r="A2328" s="32">
        <v>2324.0</v>
      </c>
      <c r="C2328" s="32" t="s">
        <v>3005</v>
      </c>
      <c r="D2328" s="32" t="s">
        <v>184</v>
      </c>
      <c r="E2328" s="32" t="s">
        <v>192</v>
      </c>
      <c r="F2328" s="32" t="s">
        <v>255</v>
      </c>
      <c r="G2328" s="32" t="s">
        <v>329</v>
      </c>
      <c r="H2328" s="32" t="s">
        <v>447</v>
      </c>
    </row>
    <row r="2329" ht="16.5" customHeight="1">
      <c r="A2329" s="32">
        <v>2325.0</v>
      </c>
      <c r="C2329" s="32" t="s">
        <v>3006</v>
      </c>
      <c r="D2329" s="32" t="s">
        <v>184</v>
      </c>
      <c r="E2329" s="32" t="s">
        <v>192</v>
      </c>
      <c r="F2329" s="32" t="s">
        <v>255</v>
      </c>
      <c r="G2329" s="32" t="s">
        <v>329</v>
      </c>
      <c r="H2329" s="32" t="s">
        <v>357</v>
      </c>
    </row>
    <row r="2330" ht="16.5" customHeight="1">
      <c r="A2330" s="32">
        <v>2326.0</v>
      </c>
      <c r="C2330" s="32" t="s">
        <v>3007</v>
      </c>
      <c r="D2330" s="32" t="s">
        <v>184</v>
      </c>
      <c r="E2330" s="32" t="s">
        <v>192</v>
      </c>
      <c r="F2330" s="32" t="s">
        <v>255</v>
      </c>
      <c r="G2330" s="32" t="s">
        <v>329</v>
      </c>
      <c r="H2330" s="32" t="s">
        <v>447</v>
      </c>
    </row>
    <row r="2331" ht="16.5" customHeight="1">
      <c r="A2331" s="32">
        <v>2327.0</v>
      </c>
      <c r="C2331" s="32" t="s">
        <v>3008</v>
      </c>
      <c r="D2331" s="32" t="s">
        <v>184</v>
      </c>
      <c r="E2331" s="32" t="s">
        <v>192</v>
      </c>
      <c r="F2331" s="32" t="s">
        <v>3009</v>
      </c>
      <c r="G2331" s="32" t="s">
        <v>329</v>
      </c>
      <c r="H2331" s="32" t="s">
        <v>447</v>
      </c>
    </row>
    <row r="2332" ht="16.5" customHeight="1">
      <c r="A2332" s="32">
        <v>2328.0</v>
      </c>
      <c r="C2332" s="32" t="s">
        <v>3010</v>
      </c>
      <c r="D2332" s="32" t="s">
        <v>184</v>
      </c>
      <c r="E2332" s="32" t="s">
        <v>192</v>
      </c>
      <c r="F2332" s="32" t="s">
        <v>255</v>
      </c>
    </row>
    <row r="2333" ht="16.5" customHeight="1">
      <c r="A2333" s="32">
        <v>2329.0</v>
      </c>
      <c r="C2333" s="32" t="s">
        <v>3011</v>
      </c>
      <c r="D2333" s="32" t="s">
        <v>184</v>
      </c>
      <c r="E2333" s="32" t="s">
        <v>192</v>
      </c>
      <c r="F2333" s="32" t="s">
        <v>255</v>
      </c>
    </row>
    <row r="2334" ht="16.5" customHeight="1">
      <c r="A2334" s="32">
        <v>2330.0</v>
      </c>
      <c r="C2334" s="32" t="s">
        <v>3012</v>
      </c>
      <c r="D2334" s="32" t="s">
        <v>184</v>
      </c>
      <c r="E2334" s="32" t="s">
        <v>192</v>
      </c>
      <c r="F2334" s="32" t="s">
        <v>255</v>
      </c>
      <c r="G2334" s="32" t="s">
        <v>329</v>
      </c>
      <c r="H2334" s="32" t="s">
        <v>357</v>
      </c>
    </row>
    <row r="2335" ht="16.5" customHeight="1">
      <c r="A2335" s="32">
        <v>2331.0</v>
      </c>
      <c r="C2335" s="32" t="s">
        <v>3013</v>
      </c>
      <c r="D2335" s="32" t="s">
        <v>184</v>
      </c>
      <c r="E2335" s="32" t="s">
        <v>192</v>
      </c>
      <c r="F2335" s="32" t="s">
        <v>255</v>
      </c>
      <c r="G2335" s="32" t="s">
        <v>3014</v>
      </c>
      <c r="H2335" s="32" t="s">
        <v>447</v>
      </c>
    </row>
    <row r="2336" ht="16.5" customHeight="1">
      <c r="A2336" s="32">
        <v>2332.0</v>
      </c>
      <c r="C2336" s="32" t="s">
        <v>3015</v>
      </c>
      <c r="D2336" s="32" t="s">
        <v>184</v>
      </c>
      <c r="E2336" s="32" t="s">
        <v>192</v>
      </c>
      <c r="F2336" s="32" t="s">
        <v>255</v>
      </c>
    </row>
    <row r="2337" ht="16.5" customHeight="1">
      <c r="A2337" s="32">
        <v>2333.0</v>
      </c>
      <c r="C2337" s="32" t="s">
        <v>3016</v>
      </c>
      <c r="D2337" s="32" t="s">
        <v>184</v>
      </c>
      <c r="E2337" s="32" t="s">
        <v>192</v>
      </c>
      <c r="F2337" s="32" t="s">
        <v>255</v>
      </c>
      <c r="G2337" s="32" t="s">
        <v>3017</v>
      </c>
    </row>
    <row r="2338" ht="16.5" customHeight="1">
      <c r="A2338" s="32">
        <v>2334.0</v>
      </c>
      <c r="C2338" s="32" t="s">
        <v>3018</v>
      </c>
      <c r="D2338" s="32" t="s">
        <v>184</v>
      </c>
      <c r="E2338" s="32" t="s">
        <v>234</v>
      </c>
      <c r="F2338" s="32" t="s">
        <v>255</v>
      </c>
      <c r="G2338" s="32" t="s">
        <v>347</v>
      </c>
      <c r="H2338" s="32" t="s">
        <v>382</v>
      </c>
    </row>
    <row r="2339" ht="16.5" customHeight="1">
      <c r="A2339" s="32">
        <v>2335.0</v>
      </c>
      <c r="C2339" s="32" t="s">
        <v>3019</v>
      </c>
      <c r="D2339" s="32" t="s">
        <v>184</v>
      </c>
      <c r="E2339" s="32" t="s">
        <v>234</v>
      </c>
      <c r="F2339" s="32" t="s">
        <v>255</v>
      </c>
      <c r="G2339" s="32" t="s">
        <v>347</v>
      </c>
      <c r="H2339" s="32" t="s">
        <v>3020</v>
      </c>
    </row>
    <row r="2340" ht="16.5" customHeight="1">
      <c r="A2340" s="32">
        <v>2336.0</v>
      </c>
      <c r="C2340" s="32" t="s">
        <v>3021</v>
      </c>
      <c r="D2340" s="32" t="s">
        <v>184</v>
      </c>
      <c r="E2340" s="32" t="s">
        <v>254</v>
      </c>
      <c r="F2340" s="32" t="s">
        <v>255</v>
      </c>
      <c r="G2340" s="32" t="s">
        <v>256</v>
      </c>
      <c r="H2340" s="32" t="s">
        <v>1308</v>
      </c>
    </row>
    <row r="2341" ht="16.5" customHeight="1">
      <c r="A2341" s="32">
        <v>2337.0</v>
      </c>
      <c r="C2341" s="32" t="s">
        <v>3022</v>
      </c>
      <c r="D2341" s="32" t="s">
        <v>184</v>
      </c>
      <c r="E2341" s="32" t="s">
        <v>254</v>
      </c>
      <c r="F2341" s="32" t="s">
        <v>399</v>
      </c>
      <c r="G2341" s="32" t="s">
        <v>256</v>
      </c>
      <c r="H2341" s="32" t="s">
        <v>1308</v>
      </c>
    </row>
    <row r="2342" ht="16.5" customHeight="1">
      <c r="A2342" s="32">
        <v>2338.0</v>
      </c>
      <c r="C2342" s="32" t="s">
        <v>3023</v>
      </c>
      <c r="D2342" s="32" t="s">
        <v>184</v>
      </c>
      <c r="E2342" s="32" t="s">
        <v>254</v>
      </c>
      <c r="F2342" s="32" t="s">
        <v>255</v>
      </c>
    </row>
    <row r="2343" ht="16.5" customHeight="1">
      <c r="A2343" s="32">
        <v>2339.0</v>
      </c>
      <c r="C2343" s="32" t="s">
        <v>3024</v>
      </c>
      <c r="D2343" s="32" t="s">
        <v>184</v>
      </c>
      <c r="E2343" s="32" t="s">
        <v>254</v>
      </c>
      <c r="F2343" s="32" t="s">
        <v>255</v>
      </c>
      <c r="G2343" s="32" t="s">
        <v>1213</v>
      </c>
      <c r="H2343" s="32" t="s">
        <v>3025</v>
      </c>
    </row>
    <row r="2344" ht="16.5" customHeight="1">
      <c r="A2344" s="32">
        <v>2340.0</v>
      </c>
      <c r="C2344" s="32" t="s">
        <v>3026</v>
      </c>
      <c r="D2344" s="32" t="s">
        <v>184</v>
      </c>
      <c r="E2344" s="32" t="s">
        <v>254</v>
      </c>
      <c r="F2344" s="32" t="s">
        <v>373</v>
      </c>
    </row>
    <row r="2345" ht="16.5" customHeight="1">
      <c r="A2345" s="32">
        <v>2341.0</v>
      </c>
      <c r="C2345" s="32" t="s">
        <v>3027</v>
      </c>
      <c r="D2345" s="32" t="s">
        <v>184</v>
      </c>
      <c r="E2345" s="32" t="s">
        <v>254</v>
      </c>
      <c r="F2345" s="32" t="s">
        <v>255</v>
      </c>
      <c r="G2345" s="32" t="s">
        <v>305</v>
      </c>
      <c r="H2345" s="32" t="s">
        <v>3028</v>
      </c>
    </row>
    <row r="2346" ht="16.5" customHeight="1">
      <c r="A2346" s="32">
        <v>2342.0</v>
      </c>
      <c r="C2346" s="32" t="s">
        <v>3029</v>
      </c>
      <c r="D2346" s="32" t="s">
        <v>184</v>
      </c>
      <c r="E2346" s="32" t="s">
        <v>321</v>
      </c>
      <c r="F2346" s="32" t="s">
        <v>255</v>
      </c>
    </row>
    <row r="2347" ht="16.5" customHeight="1">
      <c r="A2347" s="32">
        <v>2343.0</v>
      </c>
      <c r="C2347" s="32" t="s">
        <v>3030</v>
      </c>
      <c r="D2347" s="32" t="s">
        <v>184</v>
      </c>
      <c r="E2347" s="32" t="s">
        <v>254</v>
      </c>
      <c r="F2347" s="32" t="s">
        <v>255</v>
      </c>
      <c r="G2347" s="32" t="s">
        <v>305</v>
      </c>
      <c r="H2347" s="32" t="s">
        <v>317</v>
      </c>
    </row>
    <row r="2348" ht="16.5" customHeight="1">
      <c r="A2348" s="32">
        <v>2344.0</v>
      </c>
      <c r="C2348" s="32" t="s">
        <v>3031</v>
      </c>
      <c r="D2348" s="32" t="s">
        <v>184</v>
      </c>
      <c r="E2348" s="32" t="s">
        <v>254</v>
      </c>
      <c r="F2348" s="32" t="s">
        <v>255</v>
      </c>
      <c r="G2348" s="32" t="s">
        <v>256</v>
      </c>
      <c r="H2348" s="32" t="s">
        <v>257</v>
      </c>
    </row>
    <row r="2349" ht="16.5" customHeight="1">
      <c r="A2349" s="32">
        <v>2345.0</v>
      </c>
      <c r="C2349" s="32" t="s">
        <v>3032</v>
      </c>
      <c r="D2349" s="32" t="s">
        <v>184</v>
      </c>
      <c r="E2349" s="32" t="s">
        <v>254</v>
      </c>
      <c r="F2349" s="32" t="s">
        <v>255</v>
      </c>
      <c r="G2349" s="32" t="s">
        <v>256</v>
      </c>
      <c r="H2349" s="32" t="s">
        <v>257</v>
      </c>
    </row>
    <row r="2350" ht="16.5" customHeight="1">
      <c r="A2350" s="32">
        <v>2346.0</v>
      </c>
      <c r="C2350" s="32" t="s">
        <v>3033</v>
      </c>
      <c r="D2350" s="32" t="s">
        <v>184</v>
      </c>
      <c r="E2350" s="32" t="s">
        <v>254</v>
      </c>
      <c r="F2350" s="32" t="s">
        <v>3034</v>
      </c>
      <c r="G2350" s="32" t="s">
        <v>424</v>
      </c>
    </row>
    <row r="2351" ht="16.5" customHeight="1">
      <c r="A2351" s="32">
        <v>2347.0</v>
      </c>
      <c r="C2351" s="32" t="s">
        <v>3035</v>
      </c>
      <c r="D2351" s="32" t="s">
        <v>184</v>
      </c>
      <c r="E2351" s="32" t="s">
        <v>214</v>
      </c>
      <c r="F2351" s="32" t="s">
        <v>3034</v>
      </c>
      <c r="G2351" s="32" t="s">
        <v>3036</v>
      </c>
      <c r="H2351" s="32" t="s">
        <v>882</v>
      </c>
    </row>
    <row r="2352" ht="16.5" customHeight="1">
      <c r="A2352" s="32">
        <v>2348.0</v>
      </c>
      <c r="C2352" s="32" t="s">
        <v>3037</v>
      </c>
      <c r="D2352" s="32" t="s">
        <v>184</v>
      </c>
      <c r="E2352" s="32" t="s">
        <v>228</v>
      </c>
      <c r="F2352" s="32" t="s">
        <v>3034</v>
      </c>
      <c r="G2352" s="32" t="s">
        <v>229</v>
      </c>
      <c r="H2352" s="32" t="s">
        <v>230</v>
      </c>
    </row>
    <row r="2353" ht="16.5" customHeight="1">
      <c r="A2353" s="32">
        <v>2349.0</v>
      </c>
      <c r="C2353" s="32" t="s">
        <v>3038</v>
      </c>
      <c r="D2353" s="32" t="s">
        <v>184</v>
      </c>
      <c r="E2353" s="32" t="s">
        <v>234</v>
      </c>
      <c r="F2353" s="32" t="s">
        <v>3034</v>
      </c>
      <c r="G2353" s="32" t="s">
        <v>235</v>
      </c>
      <c r="H2353" s="32" t="s">
        <v>243</v>
      </c>
    </row>
    <row r="2354" ht="16.5" customHeight="1">
      <c r="A2354" s="32">
        <v>2350.0</v>
      </c>
      <c r="C2354" s="32" t="s">
        <v>3039</v>
      </c>
      <c r="D2354" s="32" t="s">
        <v>184</v>
      </c>
      <c r="E2354" s="32" t="s">
        <v>234</v>
      </c>
      <c r="F2354" s="32" t="s">
        <v>3034</v>
      </c>
    </row>
    <row r="2355" ht="16.5" customHeight="1">
      <c r="A2355" s="32">
        <v>2351.0</v>
      </c>
      <c r="C2355" s="32" t="s">
        <v>3040</v>
      </c>
      <c r="D2355" s="32" t="s">
        <v>184</v>
      </c>
      <c r="E2355" s="32" t="s">
        <v>192</v>
      </c>
      <c r="F2355" s="32" t="s">
        <v>3034</v>
      </c>
      <c r="G2355" s="32" t="s">
        <v>3041</v>
      </c>
      <c r="H2355" s="32" t="s">
        <v>457</v>
      </c>
    </row>
    <row r="2356" ht="16.5" customHeight="1">
      <c r="A2356" s="32">
        <v>2352.0</v>
      </c>
      <c r="C2356" s="32" t="s">
        <v>3042</v>
      </c>
      <c r="D2356" s="32" t="s">
        <v>184</v>
      </c>
      <c r="E2356" s="32" t="s">
        <v>192</v>
      </c>
      <c r="F2356" s="32" t="s">
        <v>3034</v>
      </c>
    </row>
    <row r="2357" ht="16.5" customHeight="1">
      <c r="A2357" s="32">
        <v>2353.0</v>
      </c>
      <c r="C2357" s="32" t="s">
        <v>3043</v>
      </c>
      <c r="D2357" s="32" t="s">
        <v>184</v>
      </c>
      <c r="E2357" s="32" t="s">
        <v>192</v>
      </c>
      <c r="F2357" s="32" t="s">
        <v>3034</v>
      </c>
      <c r="G2357" s="32" t="s">
        <v>3044</v>
      </c>
      <c r="H2357" s="32" t="s">
        <v>457</v>
      </c>
    </row>
    <row r="2358" ht="16.5" customHeight="1">
      <c r="A2358" s="32">
        <v>2354.0</v>
      </c>
      <c r="C2358" s="32" t="s">
        <v>3045</v>
      </c>
      <c r="D2358" s="32" t="s">
        <v>184</v>
      </c>
      <c r="E2358" s="32" t="s">
        <v>192</v>
      </c>
      <c r="F2358" s="32" t="s">
        <v>3034</v>
      </c>
      <c r="G2358" s="32" t="s">
        <v>2135</v>
      </c>
      <c r="H2358" s="32" t="s">
        <v>2112</v>
      </c>
    </row>
    <row r="2359" ht="16.5" customHeight="1">
      <c r="A2359" s="32">
        <v>2355.0</v>
      </c>
      <c r="C2359" s="32" t="s">
        <v>3046</v>
      </c>
      <c r="D2359" s="32" t="s">
        <v>184</v>
      </c>
      <c r="E2359" s="32" t="s">
        <v>228</v>
      </c>
      <c r="F2359" s="32" t="s">
        <v>3034</v>
      </c>
      <c r="G2359" s="32" t="s">
        <v>229</v>
      </c>
      <c r="H2359" s="32" t="s">
        <v>230</v>
      </c>
    </row>
    <row r="2360" ht="16.5" customHeight="1">
      <c r="A2360" s="32">
        <v>2356.0</v>
      </c>
      <c r="C2360" s="32" t="s">
        <v>3047</v>
      </c>
      <c r="D2360" s="32" t="s">
        <v>184</v>
      </c>
      <c r="E2360" s="32" t="s">
        <v>228</v>
      </c>
      <c r="F2360" s="32" t="s">
        <v>3034</v>
      </c>
      <c r="G2360" s="32" t="s">
        <v>333</v>
      </c>
      <c r="H2360" s="32" t="s">
        <v>3048</v>
      </c>
    </row>
    <row r="2361" ht="16.5" customHeight="1">
      <c r="A2361" s="32">
        <v>2357.0</v>
      </c>
      <c r="C2361" s="32" t="s">
        <v>3049</v>
      </c>
      <c r="D2361" s="32" t="s">
        <v>184</v>
      </c>
      <c r="E2361" s="32" t="s">
        <v>285</v>
      </c>
      <c r="F2361" s="32" t="s">
        <v>3034</v>
      </c>
    </row>
    <row r="2362" ht="16.5" customHeight="1">
      <c r="A2362" s="32">
        <v>2358.0</v>
      </c>
      <c r="C2362" s="32" t="s">
        <v>3050</v>
      </c>
      <c r="D2362" s="32" t="s">
        <v>184</v>
      </c>
      <c r="E2362" s="35" t="s">
        <v>294</v>
      </c>
      <c r="F2362" s="32" t="s">
        <v>3034</v>
      </c>
      <c r="G2362" s="32" t="s">
        <v>189</v>
      </c>
      <c r="H2362" s="32" t="s">
        <v>190</v>
      </c>
    </row>
    <row r="2363" ht="16.5" customHeight="1">
      <c r="A2363" s="32">
        <v>2359.0</v>
      </c>
      <c r="C2363" s="32" t="s">
        <v>3051</v>
      </c>
      <c r="D2363" s="32" t="s">
        <v>184</v>
      </c>
      <c r="E2363" s="32" t="s">
        <v>185</v>
      </c>
      <c r="F2363" s="32" t="s">
        <v>3034</v>
      </c>
    </row>
    <row r="2364" ht="16.5" customHeight="1">
      <c r="A2364" s="32">
        <v>2360.0</v>
      </c>
      <c r="C2364" s="32" t="s">
        <v>3052</v>
      </c>
      <c r="D2364" s="32" t="s">
        <v>184</v>
      </c>
      <c r="E2364" s="32" t="s">
        <v>192</v>
      </c>
      <c r="F2364" s="32" t="s">
        <v>3034</v>
      </c>
    </row>
    <row r="2365" ht="16.5" customHeight="1">
      <c r="A2365" s="32">
        <v>2361.0</v>
      </c>
      <c r="C2365" s="32" t="s">
        <v>3053</v>
      </c>
      <c r="D2365" s="32" t="s">
        <v>184</v>
      </c>
      <c r="E2365" s="32" t="s">
        <v>192</v>
      </c>
      <c r="F2365" s="32" t="s">
        <v>3034</v>
      </c>
    </row>
    <row r="2366" ht="16.5" customHeight="1">
      <c r="A2366" s="32">
        <v>2362.0</v>
      </c>
      <c r="C2366" s="32" t="s">
        <v>3054</v>
      </c>
      <c r="D2366" s="32" t="s">
        <v>184</v>
      </c>
      <c r="E2366" s="32" t="s">
        <v>254</v>
      </c>
      <c r="F2366" s="32" t="s">
        <v>3034</v>
      </c>
      <c r="G2366" s="32" t="s">
        <v>741</v>
      </c>
      <c r="H2366" s="32" t="s">
        <v>3055</v>
      </c>
    </row>
    <row r="2367" ht="16.5" customHeight="1">
      <c r="A2367" s="32">
        <v>2363.0</v>
      </c>
      <c r="C2367" s="32" t="s">
        <v>3056</v>
      </c>
      <c r="D2367" s="32" t="s">
        <v>184</v>
      </c>
      <c r="E2367" s="32" t="s">
        <v>254</v>
      </c>
      <c r="F2367" s="32" t="s">
        <v>3034</v>
      </c>
      <c r="G2367" s="32" t="s">
        <v>741</v>
      </c>
      <c r="H2367" s="32" t="s">
        <v>3057</v>
      </c>
    </row>
    <row r="2368" ht="16.5" customHeight="1">
      <c r="A2368" s="32">
        <v>2364.0</v>
      </c>
      <c r="C2368" s="32" t="s">
        <v>3058</v>
      </c>
      <c r="D2368" s="32" t="s">
        <v>184</v>
      </c>
      <c r="E2368" s="32" t="s">
        <v>192</v>
      </c>
      <c r="F2368" s="32" t="s">
        <v>3034</v>
      </c>
    </row>
    <row r="2369" ht="16.5" customHeight="1">
      <c r="A2369" s="32">
        <v>2365.0</v>
      </c>
      <c r="C2369" s="32" t="s">
        <v>3059</v>
      </c>
      <c r="D2369" s="32" t="s">
        <v>184</v>
      </c>
      <c r="E2369" s="32" t="s">
        <v>219</v>
      </c>
      <c r="F2369" s="32" t="s">
        <v>3034</v>
      </c>
    </row>
    <row r="2370" ht="16.5" customHeight="1">
      <c r="A2370" s="32">
        <v>2366.0</v>
      </c>
      <c r="C2370" s="32" t="s">
        <v>3060</v>
      </c>
      <c r="D2370" s="32" t="s">
        <v>184</v>
      </c>
      <c r="E2370" s="32" t="s">
        <v>234</v>
      </c>
      <c r="F2370" s="32" t="s">
        <v>3034</v>
      </c>
      <c r="G2370" s="32" t="s">
        <v>235</v>
      </c>
      <c r="H2370" s="32" t="s">
        <v>243</v>
      </c>
    </row>
    <row r="2371" ht="16.5" customHeight="1">
      <c r="A2371" s="32">
        <v>2367.0</v>
      </c>
      <c r="C2371" s="32" t="s">
        <v>3061</v>
      </c>
      <c r="D2371" s="32" t="s">
        <v>184</v>
      </c>
      <c r="E2371" s="32" t="s">
        <v>214</v>
      </c>
      <c r="F2371" s="32" t="s">
        <v>3034</v>
      </c>
      <c r="G2371" s="32" t="s">
        <v>292</v>
      </c>
      <c r="H2371" s="32" t="s">
        <v>236</v>
      </c>
    </row>
    <row r="2372" ht="16.5" customHeight="1">
      <c r="A2372" s="32">
        <v>2368.0</v>
      </c>
      <c r="C2372" s="32" t="s">
        <v>3062</v>
      </c>
      <c r="D2372" s="32" t="s">
        <v>184</v>
      </c>
      <c r="E2372" s="32" t="s">
        <v>285</v>
      </c>
      <c r="F2372" s="32" t="s">
        <v>3034</v>
      </c>
    </row>
    <row r="2373" ht="16.5" customHeight="1">
      <c r="A2373" s="32">
        <v>2369.0</v>
      </c>
      <c r="C2373" s="32" t="s">
        <v>3063</v>
      </c>
      <c r="D2373" s="32" t="s">
        <v>184</v>
      </c>
      <c r="E2373" s="32" t="s">
        <v>185</v>
      </c>
      <c r="F2373" s="32" t="s">
        <v>3034</v>
      </c>
      <c r="G2373" s="32" t="s">
        <v>189</v>
      </c>
      <c r="H2373" s="32" t="s">
        <v>190</v>
      </c>
    </row>
    <row r="2374" ht="16.5" customHeight="1">
      <c r="A2374" s="32">
        <v>2370.0</v>
      </c>
      <c r="C2374" s="32" t="s">
        <v>3064</v>
      </c>
      <c r="D2374" s="32" t="s">
        <v>184</v>
      </c>
      <c r="E2374" s="32" t="s">
        <v>285</v>
      </c>
      <c r="F2374" s="32" t="s">
        <v>3034</v>
      </c>
    </row>
    <row r="2375" ht="16.5" customHeight="1">
      <c r="A2375" s="32">
        <v>2371.0</v>
      </c>
      <c r="C2375" s="32" t="s">
        <v>3065</v>
      </c>
      <c r="D2375" s="32" t="s">
        <v>184</v>
      </c>
      <c r="E2375" s="35" t="s">
        <v>691</v>
      </c>
      <c r="F2375" s="32" t="s">
        <v>3034</v>
      </c>
    </row>
    <row r="2376" ht="16.5" customHeight="1">
      <c r="A2376" s="32">
        <v>2372.0</v>
      </c>
      <c r="C2376" s="32" t="s">
        <v>3066</v>
      </c>
      <c r="D2376" s="32" t="s">
        <v>184</v>
      </c>
      <c r="E2376" s="32" t="s">
        <v>764</v>
      </c>
      <c r="F2376" s="32" t="s">
        <v>3034</v>
      </c>
    </row>
    <row r="2377" ht="16.5" customHeight="1">
      <c r="A2377" s="32">
        <v>2373.0</v>
      </c>
      <c r="C2377" s="32" t="s">
        <v>3067</v>
      </c>
      <c r="D2377" s="32" t="s">
        <v>184</v>
      </c>
      <c r="E2377" s="32" t="s">
        <v>219</v>
      </c>
      <c r="F2377" s="32" t="s">
        <v>3034</v>
      </c>
    </row>
    <row r="2378" ht="16.5" customHeight="1">
      <c r="A2378" s="32">
        <v>2374.0</v>
      </c>
      <c r="C2378" s="32" t="s">
        <v>3068</v>
      </c>
      <c r="D2378" s="32" t="s">
        <v>184</v>
      </c>
      <c r="E2378" s="32" t="s">
        <v>254</v>
      </c>
      <c r="F2378" s="32" t="s">
        <v>3034</v>
      </c>
    </row>
    <row r="2379" ht="16.5" customHeight="1">
      <c r="A2379" s="32">
        <v>2375.0</v>
      </c>
      <c r="C2379" s="32" t="s">
        <v>3069</v>
      </c>
      <c r="D2379" s="32" t="s">
        <v>184</v>
      </c>
      <c r="E2379" s="32" t="s">
        <v>764</v>
      </c>
      <c r="F2379" s="32" t="s">
        <v>3034</v>
      </c>
    </row>
    <row r="2380" ht="16.5" customHeight="1">
      <c r="A2380" s="32">
        <v>2376.0</v>
      </c>
      <c r="C2380" s="32" t="s">
        <v>3070</v>
      </c>
      <c r="D2380" s="32" t="s">
        <v>184</v>
      </c>
      <c r="E2380" s="35" t="s">
        <v>294</v>
      </c>
      <c r="F2380" s="32" t="s">
        <v>3034</v>
      </c>
      <c r="G2380" s="32" t="s">
        <v>189</v>
      </c>
      <c r="H2380" s="32" t="s">
        <v>314</v>
      </c>
    </row>
    <row r="2381" ht="16.5" customHeight="1">
      <c r="A2381" s="32">
        <v>2377.0</v>
      </c>
      <c r="C2381" s="32" t="s">
        <v>3071</v>
      </c>
      <c r="D2381" s="32" t="s">
        <v>184</v>
      </c>
      <c r="E2381" s="35" t="s">
        <v>294</v>
      </c>
      <c r="F2381" s="32" t="s">
        <v>3034</v>
      </c>
      <c r="G2381" s="32" t="s">
        <v>2010</v>
      </c>
      <c r="H2381" s="32" t="s">
        <v>2076</v>
      </c>
    </row>
    <row r="2382" ht="16.5" customHeight="1">
      <c r="A2382" s="32">
        <v>2378.0</v>
      </c>
      <c r="C2382" s="32" t="s">
        <v>3072</v>
      </c>
      <c r="D2382" s="32" t="s">
        <v>184</v>
      </c>
      <c r="E2382" s="35" t="s">
        <v>2396</v>
      </c>
      <c r="F2382" s="32" t="s">
        <v>3034</v>
      </c>
    </row>
    <row r="2383" ht="16.5" customHeight="1">
      <c r="A2383" s="32">
        <v>2379.0</v>
      </c>
      <c r="C2383" s="32" t="s">
        <v>3073</v>
      </c>
      <c r="D2383" s="32" t="s">
        <v>184</v>
      </c>
      <c r="E2383" s="32" t="s">
        <v>234</v>
      </c>
      <c r="F2383" s="32" t="s">
        <v>3034</v>
      </c>
      <c r="G2383" s="32" t="s">
        <v>235</v>
      </c>
      <c r="H2383" s="32" t="s">
        <v>243</v>
      </c>
    </row>
    <row r="2384" ht="16.5" customHeight="1">
      <c r="A2384" s="32">
        <v>2380.0</v>
      </c>
      <c r="C2384" s="32" t="s">
        <v>3074</v>
      </c>
      <c r="D2384" s="32" t="s">
        <v>184</v>
      </c>
      <c r="E2384" s="32" t="s">
        <v>214</v>
      </c>
      <c r="F2384" s="32" t="s">
        <v>3034</v>
      </c>
      <c r="G2384" s="32" t="s">
        <v>292</v>
      </c>
      <c r="H2384" s="32" t="s">
        <v>420</v>
      </c>
    </row>
    <row r="2385" ht="16.5" customHeight="1">
      <c r="A2385" s="32">
        <v>2381.0</v>
      </c>
      <c r="C2385" s="32" t="s">
        <v>3075</v>
      </c>
      <c r="D2385" s="32" t="s">
        <v>184</v>
      </c>
      <c r="E2385" s="32" t="s">
        <v>228</v>
      </c>
      <c r="F2385" s="32" t="s">
        <v>3034</v>
      </c>
    </row>
    <row r="2386" ht="16.5" customHeight="1">
      <c r="A2386" s="32">
        <v>2382.0</v>
      </c>
      <c r="C2386" s="32" t="s">
        <v>3076</v>
      </c>
      <c r="D2386" s="32" t="s">
        <v>184</v>
      </c>
      <c r="E2386" s="32" t="s">
        <v>228</v>
      </c>
      <c r="F2386" s="32" t="s">
        <v>3034</v>
      </c>
    </row>
    <row r="2387" ht="16.5" customHeight="1">
      <c r="A2387" s="32">
        <v>2383.0</v>
      </c>
      <c r="C2387" s="32" t="s">
        <v>3077</v>
      </c>
      <c r="D2387" s="32" t="s">
        <v>184</v>
      </c>
      <c r="E2387" s="35" t="s">
        <v>1129</v>
      </c>
      <c r="F2387" s="32" t="s">
        <v>3034</v>
      </c>
    </row>
    <row r="2388" ht="16.5" customHeight="1">
      <c r="A2388" s="32">
        <v>2384.0</v>
      </c>
      <c r="C2388" s="32" t="s">
        <v>3078</v>
      </c>
      <c r="D2388" s="32" t="s">
        <v>184</v>
      </c>
      <c r="E2388" s="32" t="s">
        <v>228</v>
      </c>
      <c r="F2388" s="32" t="s">
        <v>3034</v>
      </c>
    </row>
    <row r="2389" ht="16.5" customHeight="1">
      <c r="A2389" s="32">
        <v>2385.0</v>
      </c>
      <c r="C2389" s="32" t="s">
        <v>3079</v>
      </c>
      <c r="D2389" s="32" t="s">
        <v>184</v>
      </c>
      <c r="E2389" s="32" t="s">
        <v>254</v>
      </c>
      <c r="F2389" s="32" t="s">
        <v>3034</v>
      </c>
      <c r="G2389" s="32" t="s">
        <v>257</v>
      </c>
      <c r="H2389" s="32" t="s">
        <v>3080</v>
      </c>
    </row>
    <row r="2390" ht="16.5" customHeight="1">
      <c r="A2390" s="32">
        <v>2386.0</v>
      </c>
      <c r="C2390" s="32" t="s">
        <v>3081</v>
      </c>
      <c r="D2390" s="32" t="s">
        <v>184</v>
      </c>
      <c r="E2390" s="32" t="s">
        <v>254</v>
      </c>
      <c r="F2390" s="32" t="s">
        <v>3034</v>
      </c>
    </row>
    <row r="2391" ht="16.5" customHeight="1">
      <c r="A2391" s="32">
        <v>2387.0</v>
      </c>
      <c r="C2391" s="32" t="s">
        <v>3082</v>
      </c>
      <c r="D2391" s="32" t="s">
        <v>184</v>
      </c>
      <c r="E2391" s="32" t="s">
        <v>185</v>
      </c>
      <c r="F2391" s="32" t="s">
        <v>3034</v>
      </c>
    </row>
    <row r="2392" ht="16.5" customHeight="1">
      <c r="A2392" s="32">
        <v>2388.0</v>
      </c>
      <c r="C2392" s="32" t="s">
        <v>3083</v>
      </c>
      <c r="D2392" s="32" t="s">
        <v>184</v>
      </c>
      <c r="E2392" s="32" t="s">
        <v>285</v>
      </c>
      <c r="F2392" s="32" t="s">
        <v>3034</v>
      </c>
      <c r="G2392" s="32" t="s">
        <v>189</v>
      </c>
      <c r="H2392" s="32" t="s">
        <v>190</v>
      </c>
    </row>
    <row r="2393" ht="16.5" customHeight="1">
      <c r="A2393" s="32">
        <v>2389.0</v>
      </c>
      <c r="C2393" s="32" t="s">
        <v>3084</v>
      </c>
      <c r="D2393" s="32" t="s">
        <v>184</v>
      </c>
      <c r="E2393" s="32" t="s">
        <v>234</v>
      </c>
      <c r="F2393" s="32" t="s">
        <v>3034</v>
      </c>
      <c r="G2393" s="32" t="s">
        <v>235</v>
      </c>
      <c r="H2393" s="32" t="s">
        <v>243</v>
      </c>
    </row>
    <row r="2394" ht="16.5" customHeight="1">
      <c r="A2394" s="32">
        <v>2390.0</v>
      </c>
      <c r="C2394" s="32" t="s">
        <v>3085</v>
      </c>
      <c r="D2394" s="32" t="s">
        <v>184</v>
      </c>
      <c r="E2394" s="35" t="s">
        <v>294</v>
      </c>
      <c r="F2394" s="32" t="s">
        <v>3034</v>
      </c>
      <c r="G2394" s="32" t="s">
        <v>189</v>
      </c>
      <c r="H2394" s="32" t="s">
        <v>190</v>
      </c>
    </row>
    <row r="2395" ht="16.5" customHeight="1">
      <c r="A2395" s="32">
        <v>2391.0</v>
      </c>
      <c r="C2395" s="32" t="s">
        <v>3086</v>
      </c>
      <c r="D2395" s="32" t="s">
        <v>184</v>
      </c>
      <c r="E2395" s="32" t="s">
        <v>254</v>
      </c>
      <c r="F2395" s="32" t="s">
        <v>3034</v>
      </c>
      <c r="G2395" s="32" t="s">
        <v>257</v>
      </c>
      <c r="H2395" s="32" t="s">
        <v>256</v>
      </c>
    </row>
    <row r="2396" ht="16.5" customHeight="1">
      <c r="A2396" s="32">
        <v>2392.0</v>
      </c>
      <c r="C2396" s="32" t="s">
        <v>3087</v>
      </c>
      <c r="D2396" s="32" t="s">
        <v>184</v>
      </c>
      <c r="E2396" s="32" t="s">
        <v>254</v>
      </c>
      <c r="F2396" s="32" t="s">
        <v>3034</v>
      </c>
    </row>
    <row r="2397" ht="16.5" customHeight="1">
      <c r="A2397" s="32">
        <v>2393.0</v>
      </c>
      <c r="C2397" s="32" t="s">
        <v>3088</v>
      </c>
      <c r="D2397" s="32" t="s">
        <v>184</v>
      </c>
      <c r="E2397" s="32" t="s">
        <v>234</v>
      </c>
      <c r="F2397" s="32" t="s">
        <v>3034</v>
      </c>
    </row>
    <row r="2398" ht="16.5" customHeight="1">
      <c r="A2398" s="32">
        <v>2394.0</v>
      </c>
      <c r="C2398" s="32" t="s">
        <v>3089</v>
      </c>
      <c r="D2398" s="32" t="s">
        <v>184</v>
      </c>
      <c r="E2398" s="35" t="s">
        <v>294</v>
      </c>
      <c r="F2398" s="32" t="s">
        <v>3034</v>
      </c>
    </row>
    <row r="2399" ht="16.5" customHeight="1">
      <c r="A2399" s="32">
        <v>2395.0</v>
      </c>
      <c r="C2399" s="32" t="s">
        <v>3090</v>
      </c>
      <c r="D2399" s="32" t="s">
        <v>184</v>
      </c>
      <c r="E2399" s="32" t="s">
        <v>285</v>
      </c>
      <c r="F2399" s="32" t="s">
        <v>3034</v>
      </c>
    </row>
    <row r="2400" ht="16.5" customHeight="1">
      <c r="A2400" s="32">
        <v>2396.0</v>
      </c>
      <c r="C2400" s="32" t="s">
        <v>3091</v>
      </c>
      <c r="D2400" s="32" t="s">
        <v>184</v>
      </c>
      <c r="E2400" s="32" t="s">
        <v>285</v>
      </c>
      <c r="F2400" s="32" t="s">
        <v>3034</v>
      </c>
    </row>
    <row r="2401" ht="16.5" customHeight="1">
      <c r="A2401" s="32">
        <v>2397.0</v>
      </c>
      <c r="C2401" s="32" t="s">
        <v>3092</v>
      </c>
      <c r="D2401" s="32" t="s">
        <v>184</v>
      </c>
      <c r="E2401" s="32" t="s">
        <v>285</v>
      </c>
      <c r="F2401" s="32" t="s">
        <v>3034</v>
      </c>
    </row>
    <row r="2402" ht="16.5" customHeight="1">
      <c r="A2402" s="32">
        <v>2398.0</v>
      </c>
      <c r="C2402" s="32" t="s">
        <v>3093</v>
      </c>
      <c r="D2402" s="32" t="s">
        <v>184</v>
      </c>
      <c r="E2402" s="32" t="s">
        <v>228</v>
      </c>
      <c r="F2402" s="32" t="s">
        <v>3034</v>
      </c>
    </row>
    <row r="2403" ht="16.5" customHeight="1">
      <c r="A2403" s="32">
        <v>2399.0</v>
      </c>
      <c r="C2403" s="32" t="s">
        <v>3094</v>
      </c>
      <c r="D2403" s="32" t="s">
        <v>184</v>
      </c>
      <c r="E2403" s="32" t="s">
        <v>285</v>
      </c>
      <c r="F2403" s="32" t="s">
        <v>3034</v>
      </c>
      <c r="G2403" s="32" t="s">
        <v>189</v>
      </c>
      <c r="H2403" s="32" t="s">
        <v>190</v>
      </c>
    </row>
    <row r="2404" ht="16.5" customHeight="1">
      <c r="A2404" s="32">
        <v>2400.0</v>
      </c>
      <c r="C2404" s="32" t="s">
        <v>3095</v>
      </c>
      <c r="D2404" s="32" t="s">
        <v>184</v>
      </c>
      <c r="E2404" s="35" t="s">
        <v>294</v>
      </c>
      <c r="F2404" s="32" t="s">
        <v>3034</v>
      </c>
      <c r="G2404" s="32" t="s">
        <v>189</v>
      </c>
      <c r="H2404" s="32" t="s">
        <v>190</v>
      </c>
    </row>
    <row r="2405" ht="16.5" customHeight="1">
      <c r="A2405" s="32">
        <v>2401.0</v>
      </c>
      <c r="C2405" s="32" t="s">
        <v>3096</v>
      </c>
      <c r="D2405" s="32" t="s">
        <v>184</v>
      </c>
      <c r="E2405" s="35" t="s">
        <v>294</v>
      </c>
      <c r="F2405" s="32" t="s">
        <v>3034</v>
      </c>
      <c r="G2405" s="32" t="s">
        <v>189</v>
      </c>
      <c r="H2405" s="32" t="s">
        <v>190</v>
      </c>
    </row>
    <row r="2406" ht="16.5" customHeight="1">
      <c r="A2406" s="32">
        <v>2402.0</v>
      </c>
      <c r="C2406" s="32" t="s">
        <v>3097</v>
      </c>
      <c r="D2406" s="32" t="s">
        <v>184</v>
      </c>
      <c r="E2406" s="35" t="s">
        <v>3098</v>
      </c>
      <c r="F2406" s="32" t="s">
        <v>3034</v>
      </c>
      <c r="G2406" s="32" t="s">
        <v>1224</v>
      </c>
      <c r="H2406" s="32" t="s">
        <v>3099</v>
      </c>
    </row>
    <row r="2407" ht="16.5" customHeight="1">
      <c r="A2407" s="32">
        <v>2403.0</v>
      </c>
      <c r="C2407" s="32" t="s">
        <v>3100</v>
      </c>
      <c r="D2407" s="32" t="s">
        <v>184</v>
      </c>
      <c r="E2407" s="32" t="s">
        <v>285</v>
      </c>
      <c r="F2407" s="32" t="s">
        <v>3034</v>
      </c>
      <c r="G2407" s="32" t="s">
        <v>295</v>
      </c>
      <c r="H2407" s="32" t="s">
        <v>3101</v>
      </c>
    </row>
    <row r="2408" ht="16.5" customHeight="1">
      <c r="A2408" s="32">
        <v>2404.0</v>
      </c>
      <c r="C2408" s="32" t="s">
        <v>3102</v>
      </c>
      <c r="D2408" s="32" t="s">
        <v>184</v>
      </c>
      <c r="E2408" s="32" t="s">
        <v>285</v>
      </c>
      <c r="F2408" s="32" t="s">
        <v>3034</v>
      </c>
    </row>
    <row r="2409" ht="16.5" customHeight="1">
      <c r="A2409" s="32">
        <v>2405.0</v>
      </c>
      <c r="C2409" s="32" t="s">
        <v>3103</v>
      </c>
      <c r="D2409" s="32" t="s">
        <v>184</v>
      </c>
      <c r="E2409" s="32" t="s">
        <v>285</v>
      </c>
      <c r="F2409" s="32" t="s">
        <v>3034</v>
      </c>
      <c r="G2409" s="32" t="s">
        <v>189</v>
      </c>
      <c r="H2409" s="32" t="s">
        <v>1121</v>
      </c>
    </row>
    <row r="2410" ht="16.5" customHeight="1">
      <c r="A2410" s="32">
        <v>2406.0</v>
      </c>
      <c r="C2410" s="32" t="s">
        <v>3104</v>
      </c>
      <c r="D2410" s="32" t="s">
        <v>184</v>
      </c>
      <c r="E2410" s="32" t="s">
        <v>285</v>
      </c>
      <c r="F2410" s="32" t="s">
        <v>3034</v>
      </c>
      <c r="G2410" s="32" t="s">
        <v>552</v>
      </c>
      <c r="H2410" s="32" t="s">
        <v>3105</v>
      </c>
    </row>
    <row r="2411" ht="16.5" customHeight="1">
      <c r="A2411" s="32">
        <v>2407.0</v>
      </c>
      <c r="C2411" s="32" t="s">
        <v>3106</v>
      </c>
      <c r="D2411" s="32" t="s">
        <v>184</v>
      </c>
      <c r="E2411" s="32" t="s">
        <v>285</v>
      </c>
      <c r="F2411" s="32" t="s">
        <v>3034</v>
      </c>
      <c r="G2411" s="32" t="s">
        <v>189</v>
      </c>
      <c r="H2411" s="32" t="s">
        <v>2046</v>
      </c>
    </row>
    <row r="2412" ht="16.5" customHeight="1">
      <c r="A2412" s="32">
        <v>2408.0</v>
      </c>
      <c r="C2412" s="32" t="s">
        <v>3107</v>
      </c>
      <c r="D2412" s="32" t="s">
        <v>184</v>
      </c>
      <c r="E2412" s="32" t="s">
        <v>185</v>
      </c>
      <c r="F2412" s="32" t="s">
        <v>3034</v>
      </c>
      <c r="G2412" s="32" t="s">
        <v>188</v>
      </c>
      <c r="H2412" s="32" t="s">
        <v>857</v>
      </c>
    </row>
    <row r="2413" ht="16.5" customHeight="1">
      <c r="A2413" s="32">
        <v>2409.0</v>
      </c>
      <c r="C2413" s="32" t="s">
        <v>3108</v>
      </c>
      <c r="D2413" s="32" t="s">
        <v>184</v>
      </c>
      <c r="E2413" s="32" t="s">
        <v>228</v>
      </c>
      <c r="F2413" s="32" t="s">
        <v>3034</v>
      </c>
    </row>
    <row r="2414" ht="16.5" customHeight="1">
      <c r="A2414" s="32">
        <v>2410.0</v>
      </c>
      <c r="C2414" s="32" t="s">
        <v>3109</v>
      </c>
      <c r="D2414" s="32" t="s">
        <v>184</v>
      </c>
      <c r="E2414" s="32" t="s">
        <v>228</v>
      </c>
      <c r="F2414" s="32" t="s">
        <v>3034</v>
      </c>
    </row>
    <row r="2415" ht="16.5" customHeight="1">
      <c r="A2415" s="32">
        <v>2411.0</v>
      </c>
      <c r="C2415" s="32" t="s">
        <v>3110</v>
      </c>
      <c r="D2415" s="32" t="s">
        <v>184</v>
      </c>
      <c r="E2415" s="35" t="s">
        <v>3111</v>
      </c>
      <c r="F2415" s="32" t="s">
        <v>3034</v>
      </c>
      <c r="G2415" s="32" t="s">
        <v>524</v>
      </c>
    </row>
    <row r="2416" ht="16.5" customHeight="1">
      <c r="A2416" s="32">
        <v>2412.0</v>
      </c>
      <c r="C2416" s="32" t="s">
        <v>3112</v>
      </c>
      <c r="D2416" s="32" t="s">
        <v>184</v>
      </c>
      <c r="E2416" s="32" t="s">
        <v>285</v>
      </c>
      <c r="F2416" s="32" t="s">
        <v>3034</v>
      </c>
      <c r="G2416" s="32" t="s">
        <v>866</v>
      </c>
    </row>
    <row r="2417" ht="16.5" customHeight="1">
      <c r="A2417" s="32">
        <v>2413.0</v>
      </c>
      <c r="C2417" s="32" t="s">
        <v>3113</v>
      </c>
      <c r="D2417" s="32" t="s">
        <v>184</v>
      </c>
      <c r="E2417" s="35" t="s">
        <v>294</v>
      </c>
      <c r="F2417" s="32" t="s">
        <v>3034</v>
      </c>
      <c r="G2417" s="32" t="s">
        <v>2010</v>
      </c>
      <c r="H2417" s="32" t="s">
        <v>314</v>
      </c>
    </row>
    <row r="2418" ht="16.5" customHeight="1">
      <c r="A2418" s="32">
        <v>2414.0</v>
      </c>
      <c r="C2418" s="32" t="s">
        <v>3114</v>
      </c>
      <c r="D2418" s="32" t="s">
        <v>184</v>
      </c>
      <c r="E2418" s="32" t="s">
        <v>228</v>
      </c>
      <c r="F2418" s="32" t="s">
        <v>3034</v>
      </c>
    </row>
    <row r="2419" ht="16.5" customHeight="1">
      <c r="A2419" s="32">
        <v>2415.0</v>
      </c>
      <c r="C2419" s="32" t="s">
        <v>3115</v>
      </c>
      <c r="D2419" s="32" t="s">
        <v>184</v>
      </c>
      <c r="E2419" s="32" t="s">
        <v>228</v>
      </c>
      <c r="F2419" s="32" t="s">
        <v>3034</v>
      </c>
    </row>
    <row r="2420" ht="16.5" customHeight="1">
      <c r="A2420" s="32">
        <v>2416.0</v>
      </c>
      <c r="C2420" s="32" t="s">
        <v>3116</v>
      </c>
      <c r="D2420" s="32" t="s">
        <v>184</v>
      </c>
      <c r="E2420" s="32" t="s">
        <v>285</v>
      </c>
      <c r="F2420" s="32" t="s">
        <v>3034</v>
      </c>
    </row>
    <row r="2421" ht="16.5" customHeight="1">
      <c r="A2421" s="32">
        <v>2417.0</v>
      </c>
      <c r="C2421" s="32" t="s">
        <v>3117</v>
      </c>
      <c r="D2421" s="32" t="s">
        <v>184</v>
      </c>
      <c r="E2421" s="32" t="s">
        <v>228</v>
      </c>
      <c r="F2421" s="32" t="s">
        <v>3034</v>
      </c>
      <c r="G2421" s="32" t="s">
        <v>544</v>
      </c>
      <c r="H2421" s="32" t="s">
        <v>545</v>
      </c>
    </row>
    <row r="2422" ht="16.5" customHeight="1">
      <c r="A2422" s="32">
        <v>2418.0</v>
      </c>
      <c r="C2422" s="32" t="s">
        <v>3118</v>
      </c>
      <c r="D2422" s="32" t="s">
        <v>184</v>
      </c>
      <c r="E2422" s="35" t="s">
        <v>691</v>
      </c>
      <c r="F2422" s="32" t="s">
        <v>3034</v>
      </c>
      <c r="G2422" s="32" t="s">
        <v>793</v>
      </c>
      <c r="H2422" s="32" t="s">
        <v>2392</v>
      </c>
    </row>
    <row r="2423" ht="16.5" customHeight="1">
      <c r="A2423" s="32">
        <v>2419.0</v>
      </c>
      <c r="C2423" s="32" t="s">
        <v>3119</v>
      </c>
      <c r="D2423" s="32" t="s">
        <v>184</v>
      </c>
      <c r="E2423" s="32" t="s">
        <v>285</v>
      </c>
      <c r="F2423" s="32" t="s">
        <v>3034</v>
      </c>
      <c r="G2423" s="32" t="s">
        <v>189</v>
      </c>
      <c r="H2423" s="32" t="s">
        <v>3120</v>
      </c>
    </row>
    <row r="2424" ht="16.5" customHeight="1">
      <c r="A2424" s="32">
        <v>2420.0</v>
      </c>
      <c r="C2424" s="32" t="s">
        <v>3121</v>
      </c>
      <c r="D2424" s="32" t="s">
        <v>184</v>
      </c>
      <c r="E2424" s="35" t="s">
        <v>294</v>
      </c>
      <c r="F2424" s="32" t="s">
        <v>3034</v>
      </c>
    </row>
    <row r="2425" ht="16.5" customHeight="1">
      <c r="A2425" s="32">
        <v>2421.0</v>
      </c>
      <c r="C2425" s="32" t="s">
        <v>3122</v>
      </c>
      <c r="D2425" s="32" t="s">
        <v>184</v>
      </c>
      <c r="E2425" s="32" t="s">
        <v>285</v>
      </c>
      <c r="F2425" s="32" t="s">
        <v>3034</v>
      </c>
    </row>
    <row r="2426" ht="16.5" customHeight="1">
      <c r="A2426" s="32">
        <v>2422.0</v>
      </c>
      <c r="C2426" s="32" t="s">
        <v>3123</v>
      </c>
      <c r="D2426" s="32" t="s">
        <v>184</v>
      </c>
      <c r="E2426" s="32" t="s">
        <v>234</v>
      </c>
      <c r="F2426" s="32" t="s">
        <v>3034</v>
      </c>
    </row>
    <row r="2427" ht="16.5" customHeight="1">
      <c r="A2427" s="32">
        <v>2423.0</v>
      </c>
      <c r="C2427" s="32" t="s">
        <v>3124</v>
      </c>
      <c r="D2427" s="32" t="s">
        <v>184</v>
      </c>
      <c r="E2427" s="32" t="s">
        <v>234</v>
      </c>
      <c r="F2427" s="32" t="s">
        <v>3034</v>
      </c>
    </row>
    <row r="2428" ht="16.5" customHeight="1">
      <c r="A2428" s="32">
        <v>2424.0</v>
      </c>
      <c r="C2428" s="32" t="s">
        <v>3125</v>
      </c>
      <c r="D2428" s="32" t="s">
        <v>184</v>
      </c>
      <c r="E2428" s="32" t="s">
        <v>219</v>
      </c>
      <c r="F2428" s="32" t="s">
        <v>3034</v>
      </c>
    </row>
    <row r="2429" ht="16.5" customHeight="1">
      <c r="A2429" s="32">
        <v>2425.0</v>
      </c>
      <c r="C2429" s="32" t="s">
        <v>3126</v>
      </c>
      <c r="D2429" s="32" t="s">
        <v>184</v>
      </c>
      <c r="E2429" s="32" t="s">
        <v>234</v>
      </c>
      <c r="F2429" s="32" t="s">
        <v>3034</v>
      </c>
      <c r="G2429" s="32" t="s">
        <v>235</v>
      </c>
      <c r="H2429" s="32" t="s">
        <v>243</v>
      </c>
    </row>
    <row r="2430" ht="16.5" customHeight="1">
      <c r="A2430" s="32">
        <v>2426.0</v>
      </c>
      <c r="C2430" s="32" t="s">
        <v>3127</v>
      </c>
      <c r="D2430" s="32" t="s">
        <v>184</v>
      </c>
      <c r="E2430" s="35" t="s">
        <v>691</v>
      </c>
      <c r="F2430" s="32" t="s">
        <v>3034</v>
      </c>
    </row>
    <row r="2431" ht="16.5" customHeight="1">
      <c r="A2431" s="32">
        <v>2427.0</v>
      </c>
      <c r="C2431" s="32" t="s">
        <v>3128</v>
      </c>
      <c r="D2431" s="32" t="s">
        <v>184</v>
      </c>
      <c r="E2431" s="32" t="s">
        <v>228</v>
      </c>
      <c r="F2431" s="32" t="s">
        <v>3034</v>
      </c>
      <c r="G2431" s="32" t="s">
        <v>3129</v>
      </c>
    </row>
    <row r="2432" ht="16.5" customHeight="1">
      <c r="A2432" s="32">
        <v>2428.0</v>
      </c>
      <c r="C2432" s="32" t="s">
        <v>3130</v>
      </c>
      <c r="D2432" s="32" t="s">
        <v>184</v>
      </c>
      <c r="E2432" s="32" t="s">
        <v>234</v>
      </c>
      <c r="F2432" s="32" t="s">
        <v>3034</v>
      </c>
      <c r="G2432" s="32" t="s">
        <v>347</v>
      </c>
      <c r="H2432" s="32" t="s">
        <v>382</v>
      </c>
    </row>
    <row r="2433" ht="16.5" customHeight="1">
      <c r="A2433" s="32">
        <v>2429.0</v>
      </c>
      <c r="C2433" s="32" t="s">
        <v>3131</v>
      </c>
      <c r="D2433" s="32" t="s">
        <v>184</v>
      </c>
      <c r="E2433" s="32" t="s">
        <v>228</v>
      </c>
      <c r="F2433" s="32" t="s">
        <v>3034</v>
      </c>
      <c r="G2433" s="32" t="s">
        <v>3132</v>
      </c>
    </row>
    <row r="2434" ht="16.5" customHeight="1">
      <c r="A2434" s="32">
        <v>2430.0</v>
      </c>
      <c r="C2434" s="32" t="s">
        <v>3133</v>
      </c>
      <c r="D2434" s="32" t="s">
        <v>184</v>
      </c>
      <c r="E2434" s="32" t="s">
        <v>228</v>
      </c>
      <c r="F2434" s="32" t="s">
        <v>3034</v>
      </c>
      <c r="G2434" s="32" t="s">
        <v>229</v>
      </c>
      <c r="H2434" s="32" t="s">
        <v>3134</v>
      </c>
    </row>
    <row r="2435" ht="16.5" customHeight="1">
      <c r="A2435" s="32">
        <v>2431.0</v>
      </c>
      <c r="C2435" s="32" t="s">
        <v>3135</v>
      </c>
      <c r="D2435" s="32" t="s">
        <v>184</v>
      </c>
      <c r="E2435" s="32" t="s">
        <v>285</v>
      </c>
      <c r="F2435" s="32" t="s">
        <v>3034</v>
      </c>
      <c r="G2435" s="32" t="s">
        <v>189</v>
      </c>
      <c r="H2435" s="32" t="s">
        <v>190</v>
      </c>
    </row>
    <row r="2436" ht="16.5" customHeight="1">
      <c r="A2436" s="32">
        <v>2432.0</v>
      </c>
      <c r="C2436" s="32" t="s">
        <v>3136</v>
      </c>
      <c r="D2436" s="32" t="s">
        <v>184</v>
      </c>
      <c r="E2436" s="32" t="s">
        <v>228</v>
      </c>
      <c r="F2436" s="32" t="s">
        <v>3034</v>
      </c>
      <c r="G2436" s="32" t="s">
        <v>229</v>
      </c>
      <c r="H2436" s="32" t="s">
        <v>3137</v>
      </c>
    </row>
    <row r="2437" ht="16.5" customHeight="1">
      <c r="A2437" s="32">
        <v>2433.0</v>
      </c>
      <c r="C2437" s="32" t="s">
        <v>3138</v>
      </c>
      <c r="D2437" s="32" t="s">
        <v>184</v>
      </c>
      <c r="E2437" s="32" t="s">
        <v>192</v>
      </c>
      <c r="F2437" s="32" t="s">
        <v>3034</v>
      </c>
      <c r="G2437" s="32" t="s">
        <v>3139</v>
      </c>
      <c r="H2437" s="32" t="s">
        <v>330</v>
      </c>
    </row>
    <row r="2438" ht="16.5" customHeight="1">
      <c r="A2438" s="32">
        <v>2434.0</v>
      </c>
      <c r="C2438" s="32" t="s">
        <v>3140</v>
      </c>
      <c r="D2438" s="32" t="s">
        <v>184</v>
      </c>
      <c r="E2438" s="32" t="s">
        <v>228</v>
      </c>
      <c r="F2438" s="32" t="s">
        <v>3034</v>
      </c>
      <c r="G2438" s="32" t="s">
        <v>3141</v>
      </c>
    </row>
    <row r="2439" ht="16.5" customHeight="1">
      <c r="A2439" s="32">
        <v>2435.0</v>
      </c>
      <c r="C2439" s="32" t="s">
        <v>3142</v>
      </c>
      <c r="D2439" s="32" t="s">
        <v>184</v>
      </c>
      <c r="E2439" s="32" t="s">
        <v>764</v>
      </c>
      <c r="F2439" s="32" t="s">
        <v>3034</v>
      </c>
      <c r="G2439" s="32" t="s">
        <v>2060</v>
      </c>
      <c r="H2439" s="32" t="s">
        <v>2061</v>
      </c>
    </row>
    <row r="2440" ht="16.5" customHeight="1">
      <c r="A2440" s="32">
        <v>2436.0</v>
      </c>
      <c r="C2440" s="32" t="s">
        <v>3143</v>
      </c>
      <c r="D2440" s="32" t="s">
        <v>184</v>
      </c>
      <c r="E2440" s="35" t="s">
        <v>691</v>
      </c>
      <c r="F2440" s="32" t="s">
        <v>3034</v>
      </c>
    </row>
    <row r="2441" ht="16.5" customHeight="1">
      <c r="A2441" s="32">
        <v>2437.0</v>
      </c>
      <c r="C2441" s="32" t="s">
        <v>3144</v>
      </c>
      <c r="D2441" s="32" t="s">
        <v>184</v>
      </c>
      <c r="E2441" s="32" t="s">
        <v>185</v>
      </c>
      <c r="F2441" s="32" t="s">
        <v>3034</v>
      </c>
      <c r="G2441" s="32" t="s">
        <v>187</v>
      </c>
      <c r="H2441" s="32" t="s">
        <v>482</v>
      </c>
    </row>
    <row r="2442" ht="16.5" customHeight="1">
      <c r="A2442" s="32">
        <v>2438.0</v>
      </c>
      <c r="C2442" s="32" t="s">
        <v>3145</v>
      </c>
      <c r="D2442" s="32" t="s">
        <v>184</v>
      </c>
      <c r="E2442" s="32" t="s">
        <v>764</v>
      </c>
      <c r="F2442" s="32" t="s">
        <v>3034</v>
      </c>
    </row>
    <row r="2443" ht="16.5" customHeight="1">
      <c r="A2443" s="32">
        <v>2439.0</v>
      </c>
      <c r="C2443" s="32" t="s">
        <v>3146</v>
      </c>
      <c r="D2443" s="32" t="s">
        <v>184</v>
      </c>
      <c r="E2443" s="32" t="s">
        <v>185</v>
      </c>
      <c r="F2443" s="32" t="s">
        <v>3034</v>
      </c>
      <c r="G2443" s="32" t="s">
        <v>2060</v>
      </c>
      <c r="H2443" s="32" t="s">
        <v>3147</v>
      </c>
    </row>
    <row r="2444" ht="16.5" customHeight="1">
      <c r="A2444" s="32">
        <v>2440.0</v>
      </c>
      <c r="C2444" s="32" t="s">
        <v>3148</v>
      </c>
      <c r="D2444" s="32" t="s">
        <v>184</v>
      </c>
      <c r="E2444" s="32" t="s">
        <v>285</v>
      </c>
      <c r="F2444" s="32" t="s">
        <v>3034</v>
      </c>
    </row>
    <row r="2445" ht="16.5" customHeight="1">
      <c r="A2445" s="32">
        <v>2441.0</v>
      </c>
      <c r="C2445" s="32" t="s">
        <v>3149</v>
      </c>
      <c r="D2445" s="32" t="s">
        <v>184</v>
      </c>
      <c r="E2445" s="32" t="s">
        <v>219</v>
      </c>
      <c r="F2445" s="32" t="s">
        <v>3034</v>
      </c>
    </row>
    <row r="2446" ht="16.5" customHeight="1">
      <c r="A2446" s="32">
        <v>2442.0</v>
      </c>
      <c r="C2446" s="32" t="s">
        <v>3150</v>
      </c>
      <c r="D2446" s="32" t="s">
        <v>184</v>
      </c>
      <c r="E2446" s="32" t="s">
        <v>228</v>
      </c>
      <c r="F2446" s="32" t="s">
        <v>3034</v>
      </c>
      <c r="G2446" s="32" t="s">
        <v>408</v>
      </c>
      <c r="H2446" s="32" t="s">
        <v>3151</v>
      </c>
    </row>
    <row r="2447" ht="16.5" customHeight="1">
      <c r="A2447" s="32">
        <v>2443.0</v>
      </c>
      <c r="C2447" s="32" t="s">
        <v>3152</v>
      </c>
      <c r="D2447" s="32" t="s">
        <v>184</v>
      </c>
      <c r="E2447" s="32" t="s">
        <v>285</v>
      </c>
      <c r="F2447" s="32" t="s">
        <v>3034</v>
      </c>
      <c r="G2447" s="32" t="s">
        <v>189</v>
      </c>
      <c r="H2447" s="32" t="s">
        <v>190</v>
      </c>
    </row>
    <row r="2448" ht="16.5" customHeight="1">
      <c r="A2448" s="32">
        <v>2444.0</v>
      </c>
      <c r="C2448" s="32" t="s">
        <v>3153</v>
      </c>
      <c r="D2448" s="32" t="s">
        <v>184</v>
      </c>
      <c r="E2448" s="32" t="s">
        <v>234</v>
      </c>
      <c r="F2448" s="32" t="s">
        <v>3034</v>
      </c>
      <c r="G2448" s="32" t="s">
        <v>347</v>
      </c>
      <c r="H2448" s="32" t="s">
        <v>382</v>
      </c>
    </row>
    <row r="2449" ht="16.5" customHeight="1">
      <c r="A2449" s="32">
        <v>2445.0</v>
      </c>
      <c r="C2449" s="32" t="s">
        <v>3154</v>
      </c>
      <c r="D2449" s="32" t="s">
        <v>184</v>
      </c>
      <c r="E2449" s="32" t="s">
        <v>234</v>
      </c>
      <c r="F2449" s="32" t="s">
        <v>3034</v>
      </c>
    </row>
    <row r="2450" ht="16.5" customHeight="1">
      <c r="A2450" s="32">
        <v>2446.0</v>
      </c>
      <c r="C2450" s="32" t="s">
        <v>3155</v>
      </c>
      <c r="D2450" s="32" t="s">
        <v>184</v>
      </c>
      <c r="E2450" s="32" t="s">
        <v>192</v>
      </c>
      <c r="F2450" s="32" t="s">
        <v>3034</v>
      </c>
      <c r="G2450" s="32" t="s">
        <v>300</v>
      </c>
      <c r="H2450" s="32" t="s">
        <v>3156</v>
      </c>
    </row>
    <row r="2451" ht="16.5" customHeight="1">
      <c r="A2451" s="32">
        <v>2447.0</v>
      </c>
      <c r="C2451" s="32" t="s">
        <v>3157</v>
      </c>
      <c r="D2451" s="32" t="s">
        <v>184</v>
      </c>
      <c r="E2451" s="32" t="s">
        <v>192</v>
      </c>
      <c r="F2451" s="32" t="s">
        <v>3034</v>
      </c>
    </row>
    <row r="2452" ht="16.5" customHeight="1">
      <c r="A2452" s="32">
        <v>2448.0</v>
      </c>
      <c r="C2452" s="32" t="s">
        <v>3158</v>
      </c>
      <c r="D2452" s="32" t="s">
        <v>184</v>
      </c>
      <c r="E2452" s="32" t="s">
        <v>285</v>
      </c>
      <c r="F2452" s="32" t="s">
        <v>3034</v>
      </c>
    </row>
    <row r="2453" ht="16.5" customHeight="1">
      <c r="A2453" s="32">
        <v>2449.0</v>
      </c>
      <c r="C2453" s="32" t="s">
        <v>3159</v>
      </c>
      <c r="D2453" s="32" t="s">
        <v>184</v>
      </c>
      <c r="E2453" s="32" t="s">
        <v>185</v>
      </c>
      <c r="F2453" s="35" t="s">
        <v>3160</v>
      </c>
    </row>
    <row r="2454" ht="16.5" customHeight="1">
      <c r="A2454" s="32">
        <v>2450.0</v>
      </c>
      <c r="C2454" s="32" t="s">
        <v>3161</v>
      </c>
      <c r="D2454" s="32" t="s">
        <v>184</v>
      </c>
      <c r="E2454" s="32" t="s">
        <v>185</v>
      </c>
      <c r="F2454" s="32" t="s">
        <v>3034</v>
      </c>
    </row>
    <row r="2455" ht="16.5" customHeight="1">
      <c r="A2455" s="32">
        <v>2451.0</v>
      </c>
      <c r="C2455" s="32" t="s">
        <v>3162</v>
      </c>
      <c r="D2455" s="32" t="s">
        <v>184</v>
      </c>
      <c r="E2455" s="32" t="s">
        <v>185</v>
      </c>
      <c r="F2455" s="32" t="s">
        <v>3034</v>
      </c>
    </row>
    <row r="2456" ht="16.5" customHeight="1">
      <c r="A2456" s="32">
        <v>2452.0</v>
      </c>
      <c r="C2456" s="32" t="s">
        <v>3163</v>
      </c>
      <c r="D2456" s="32" t="s">
        <v>184</v>
      </c>
      <c r="E2456" s="32" t="s">
        <v>254</v>
      </c>
      <c r="F2456" s="32" t="s">
        <v>3034</v>
      </c>
    </row>
    <row r="2457" ht="16.5" customHeight="1">
      <c r="A2457" s="32">
        <v>2453.0</v>
      </c>
      <c r="C2457" s="32" t="s">
        <v>3164</v>
      </c>
      <c r="D2457" s="32" t="s">
        <v>184</v>
      </c>
      <c r="E2457" s="32" t="s">
        <v>228</v>
      </c>
      <c r="F2457" s="32" t="s">
        <v>3034</v>
      </c>
      <c r="G2457" s="32" t="s">
        <v>229</v>
      </c>
      <c r="H2457" s="32" t="s">
        <v>626</v>
      </c>
    </row>
    <row r="2458" ht="16.5" customHeight="1">
      <c r="A2458" s="32">
        <v>2454.0</v>
      </c>
      <c r="C2458" s="32" t="s">
        <v>3165</v>
      </c>
      <c r="D2458" s="32" t="s">
        <v>184</v>
      </c>
      <c r="E2458" s="32" t="s">
        <v>228</v>
      </c>
      <c r="F2458" s="32" t="s">
        <v>3034</v>
      </c>
      <c r="G2458" s="32" t="s">
        <v>229</v>
      </c>
      <c r="H2458" s="32" t="s">
        <v>626</v>
      </c>
    </row>
    <row r="2459" ht="16.5" customHeight="1">
      <c r="A2459" s="32">
        <v>2455.0</v>
      </c>
      <c r="C2459" s="32" t="s">
        <v>3166</v>
      </c>
      <c r="D2459" s="32" t="s">
        <v>184</v>
      </c>
      <c r="E2459" s="32" t="s">
        <v>228</v>
      </c>
      <c r="F2459" s="32" t="s">
        <v>3034</v>
      </c>
      <c r="G2459" s="32" t="s">
        <v>229</v>
      </c>
      <c r="H2459" s="32" t="s">
        <v>230</v>
      </c>
    </row>
    <row r="2460" ht="16.5" customHeight="1">
      <c r="A2460" s="32">
        <v>2456.0</v>
      </c>
      <c r="C2460" s="32" t="s">
        <v>3167</v>
      </c>
      <c r="D2460" s="32" t="s">
        <v>184</v>
      </c>
      <c r="E2460" s="32" t="s">
        <v>228</v>
      </c>
      <c r="F2460" s="32" t="s">
        <v>3034</v>
      </c>
      <c r="G2460" s="32" t="s">
        <v>229</v>
      </c>
      <c r="H2460" s="32" t="s">
        <v>3168</v>
      </c>
    </row>
    <row r="2461" ht="16.5" customHeight="1">
      <c r="A2461" s="32">
        <v>2457.0</v>
      </c>
      <c r="C2461" s="32" t="s">
        <v>3169</v>
      </c>
      <c r="D2461" s="32" t="s">
        <v>184</v>
      </c>
      <c r="E2461" s="32" t="s">
        <v>254</v>
      </c>
      <c r="F2461" s="32" t="s">
        <v>3034</v>
      </c>
    </row>
    <row r="2462" ht="16.5" customHeight="1">
      <c r="A2462" s="32">
        <v>2458.0</v>
      </c>
      <c r="C2462" s="32" t="s">
        <v>3170</v>
      </c>
      <c r="D2462" s="32" t="s">
        <v>184</v>
      </c>
      <c r="E2462" s="32" t="s">
        <v>285</v>
      </c>
      <c r="F2462" s="32" t="s">
        <v>3034</v>
      </c>
    </row>
    <row r="2463" ht="16.5" customHeight="1">
      <c r="A2463" s="32">
        <v>2459.0</v>
      </c>
      <c r="C2463" s="32" t="s">
        <v>3171</v>
      </c>
      <c r="D2463" s="32" t="s">
        <v>184</v>
      </c>
      <c r="E2463" s="32" t="s">
        <v>285</v>
      </c>
      <c r="F2463" s="32" t="s">
        <v>3034</v>
      </c>
    </row>
    <row r="2464" ht="16.5" customHeight="1">
      <c r="A2464" s="32">
        <v>2460.0</v>
      </c>
      <c r="C2464" s="32" t="s">
        <v>3172</v>
      </c>
      <c r="D2464" s="32" t="s">
        <v>184</v>
      </c>
      <c r="E2464" s="32" t="s">
        <v>254</v>
      </c>
      <c r="F2464" s="32" t="s">
        <v>3034</v>
      </c>
    </row>
    <row r="2465" ht="16.5" customHeight="1">
      <c r="A2465" s="32">
        <v>2461.0</v>
      </c>
      <c r="C2465" s="32" t="s">
        <v>3173</v>
      </c>
      <c r="D2465" s="32" t="s">
        <v>184</v>
      </c>
      <c r="E2465" s="32" t="s">
        <v>285</v>
      </c>
      <c r="F2465" s="32" t="s">
        <v>3034</v>
      </c>
    </row>
    <row r="2466" ht="16.5" customHeight="1">
      <c r="A2466" s="32">
        <v>2462.0</v>
      </c>
      <c r="C2466" s="32" t="s">
        <v>3174</v>
      </c>
      <c r="D2466" s="32" t="s">
        <v>184</v>
      </c>
      <c r="E2466" s="32" t="s">
        <v>764</v>
      </c>
      <c r="F2466" s="32" t="s">
        <v>3034</v>
      </c>
    </row>
    <row r="2467" ht="16.5" customHeight="1">
      <c r="A2467" s="32">
        <v>2463.0</v>
      </c>
      <c r="C2467" s="32" t="s">
        <v>3175</v>
      </c>
      <c r="D2467" s="32" t="s">
        <v>184</v>
      </c>
      <c r="E2467" s="32" t="s">
        <v>764</v>
      </c>
      <c r="F2467" s="32" t="s">
        <v>3034</v>
      </c>
    </row>
    <row r="2468" ht="16.5" customHeight="1">
      <c r="A2468" s="32">
        <v>2464.0</v>
      </c>
      <c r="C2468" s="32" t="s">
        <v>3176</v>
      </c>
      <c r="D2468" s="32" t="s">
        <v>184</v>
      </c>
      <c r="E2468" s="32" t="s">
        <v>285</v>
      </c>
      <c r="F2468" s="32" t="s">
        <v>3034</v>
      </c>
    </row>
    <row r="2469" ht="16.5" customHeight="1">
      <c r="A2469" s="32">
        <v>2465.0</v>
      </c>
      <c r="C2469" s="32" t="s">
        <v>3177</v>
      </c>
      <c r="D2469" s="32" t="s">
        <v>184</v>
      </c>
      <c r="E2469" s="32" t="s">
        <v>234</v>
      </c>
      <c r="F2469" s="32" t="s">
        <v>3034</v>
      </c>
    </row>
    <row r="2470" ht="16.5" customHeight="1">
      <c r="A2470" s="32">
        <v>2466.0</v>
      </c>
      <c r="C2470" s="32" t="s">
        <v>3178</v>
      </c>
      <c r="D2470" s="32" t="s">
        <v>184</v>
      </c>
      <c r="E2470" s="32" t="s">
        <v>185</v>
      </c>
      <c r="F2470" s="32" t="s">
        <v>3034</v>
      </c>
    </row>
    <row r="2471" ht="16.5" customHeight="1">
      <c r="A2471" s="32">
        <v>2467.0</v>
      </c>
      <c r="C2471" s="32" t="s">
        <v>3179</v>
      </c>
      <c r="D2471" s="32" t="s">
        <v>184</v>
      </c>
      <c r="E2471" s="32" t="s">
        <v>764</v>
      </c>
      <c r="F2471" s="32" t="s">
        <v>3034</v>
      </c>
    </row>
    <row r="2472" ht="16.5" customHeight="1">
      <c r="A2472" s="32">
        <v>2468.0</v>
      </c>
      <c r="C2472" s="32" t="s">
        <v>3180</v>
      </c>
      <c r="D2472" s="32" t="s">
        <v>184</v>
      </c>
      <c r="E2472" s="32" t="s">
        <v>285</v>
      </c>
      <c r="F2472" s="32" t="s">
        <v>3034</v>
      </c>
    </row>
    <row r="2473" ht="16.5" customHeight="1">
      <c r="A2473" s="32">
        <v>2469.0</v>
      </c>
      <c r="C2473" s="32" t="s">
        <v>3181</v>
      </c>
      <c r="D2473" s="32" t="s">
        <v>184</v>
      </c>
      <c r="E2473" s="32" t="s">
        <v>185</v>
      </c>
      <c r="F2473" s="32" t="s">
        <v>3034</v>
      </c>
    </row>
    <row r="2474" ht="16.5" customHeight="1">
      <c r="A2474" s="32">
        <v>2470.0</v>
      </c>
      <c r="C2474" s="32" t="s">
        <v>3182</v>
      </c>
      <c r="D2474" s="32" t="s">
        <v>184</v>
      </c>
      <c r="E2474" s="35" t="s">
        <v>3183</v>
      </c>
      <c r="F2474" s="32" t="s">
        <v>3034</v>
      </c>
      <c r="G2474" s="32" t="s">
        <v>3184</v>
      </c>
    </row>
    <row r="2475" ht="16.5" customHeight="1">
      <c r="A2475" s="32">
        <v>2471.0</v>
      </c>
      <c r="C2475" s="32" t="s">
        <v>3185</v>
      </c>
      <c r="D2475" s="32" t="s">
        <v>184</v>
      </c>
      <c r="E2475" s="32" t="s">
        <v>285</v>
      </c>
      <c r="F2475" s="32" t="s">
        <v>3034</v>
      </c>
    </row>
    <row r="2476" ht="16.5" customHeight="1">
      <c r="A2476" s="32">
        <v>2472.0</v>
      </c>
      <c r="C2476" s="32" t="s">
        <v>3186</v>
      </c>
      <c r="D2476" s="32" t="s">
        <v>184</v>
      </c>
      <c r="E2476" s="32" t="s">
        <v>254</v>
      </c>
      <c r="F2476" s="32" t="s">
        <v>3034</v>
      </c>
      <c r="G2476" s="32" t="s">
        <v>256</v>
      </c>
      <c r="H2476" s="32" t="s">
        <v>257</v>
      </c>
    </row>
    <row r="2477" ht="16.5" customHeight="1">
      <c r="A2477" s="32">
        <v>2473.0</v>
      </c>
      <c r="C2477" s="32" t="s">
        <v>3187</v>
      </c>
      <c r="D2477" s="32" t="s">
        <v>184</v>
      </c>
      <c r="E2477" s="32" t="s">
        <v>234</v>
      </c>
      <c r="F2477" s="32" t="s">
        <v>3034</v>
      </c>
    </row>
    <row r="2478" ht="16.5" customHeight="1">
      <c r="A2478" s="32">
        <v>2474.0</v>
      </c>
      <c r="C2478" s="32" t="s">
        <v>3188</v>
      </c>
      <c r="D2478" s="32" t="s">
        <v>184</v>
      </c>
      <c r="E2478" s="32" t="s">
        <v>254</v>
      </c>
      <c r="F2478" s="32" t="s">
        <v>3034</v>
      </c>
    </row>
    <row r="2479" ht="16.5" customHeight="1">
      <c r="A2479" s="32">
        <v>2475.0</v>
      </c>
      <c r="C2479" s="32" t="s">
        <v>3189</v>
      </c>
      <c r="D2479" s="32" t="s">
        <v>184</v>
      </c>
      <c r="E2479" s="32" t="s">
        <v>228</v>
      </c>
      <c r="F2479" s="32" t="s">
        <v>3034</v>
      </c>
      <c r="G2479" s="32" t="s">
        <v>333</v>
      </c>
    </row>
    <row r="2480" ht="16.5" customHeight="1">
      <c r="A2480" s="32">
        <v>2476.0</v>
      </c>
      <c r="C2480" s="32" t="s">
        <v>3190</v>
      </c>
      <c r="D2480" s="32" t="s">
        <v>184</v>
      </c>
      <c r="E2480" s="32" t="s">
        <v>764</v>
      </c>
      <c r="F2480" s="32" t="s">
        <v>3034</v>
      </c>
    </row>
    <row r="2481" ht="16.5" customHeight="1">
      <c r="A2481" s="32">
        <v>2477.0</v>
      </c>
      <c r="C2481" s="32" t="s">
        <v>3191</v>
      </c>
      <c r="D2481" s="32" t="s">
        <v>184</v>
      </c>
      <c r="E2481" s="35" t="s">
        <v>691</v>
      </c>
      <c r="F2481" s="32" t="s">
        <v>3034</v>
      </c>
      <c r="G2481" s="32" t="s">
        <v>793</v>
      </c>
      <c r="H2481" s="32" t="s">
        <v>1130</v>
      </c>
    </row>
    <row r="2482" ht="16.5" customHeight="1">
      <c r="A2482" s="32">
        <v>2478.0</v>
      </c>
      <c r="C2482" s="32" t="s">
        <v>3192</v>
      </c>
      <c r="D2482" s="32" t="s">
        <v>184</v>
      </c>
      <c r="E2482" s="32" t="s">
        <v>185</v>
      </c>
      <c r="F2482" s="32" t="s">
        <v>3034</v>
      </c>
    </row>
    <row r="2483" ht="16.5" customHeight="1">
      <c r="A2483" s="32">
        <v>2479.0</v>
      </c>
      <c r="C2483" s="32" t="s">
        <v>3193</v>
      </c>
      <c r="D2483" s="32" t="s">
        <v>184</v>
      </c>
      <c r="E2483" s="32" t="s">
        <v>285</v>
      </c>
      <c r="F2483" s="32" t="s">
        <v>3034</v>
      </c>
    </row>
    <row r="2484" ht="16.5" customHeight="1">
      <c r="A2484" s="32">
        <v>2480.0</v>
      </c>
      <c r="C2484" s="32" t="s">
        <v>3194</v>
      </c>
      <c r="D2484" s="32" t="s">
        <v>184</v>
      </c>
      <c r="E2484" s="32" t="s">
        <v>228</v>
      </c>
      <c r="F2484" s="32" t="s">
        <v>3034</v>
      </c>
      <c r="G2484" s="32" t="s">
        <v>229</v>
      </c>
      <c r="H2484" s="32" t="s">
        <v>626</v>
      </c>
    </row>
    <row r="2485" ht="16.5" customHeight="1">
      <c r="A2485" s="32">
        <v>2481.0</v>
      </c>
      <c r="C2485" s="32" t="s">
        <v>3195</v>
      </c>
      <c r="D2485" s="32" t="s">
        <v>184</v>
      </c>
      <c r="E2485" s="32" t="s">
        <v>325</v>
      </c>
      <c r="F2485" s="32" t="s">
        <v>3034</v>
      </c>
    </row>
    <row r="2486" ht="16.5" customHeight="1">
      <c r="A2486" s="32">
        <v>2482.0</v>
      </c>
      <c r="C2486" s="32" t="s">
        <v>3196</v>
      </c>
      <c r="D2486" s="32" t="s">
        <v>184</v>
      </c>
      <c r="E2486" s="32" t="s">
        <v>219</v>
      </c>
      <c r="F2486" s="32" t="s">
        <v>3034</v>
      </c>
    </row>
    <row r="2487" ht="16.5" customHeight="1">
      <c r="A2487" s="32">
        <v>2483.0</v>
      </c>
      <c r="C2487" s="32" t="s">
        <v>3197</v>
      </c>
      <c r="D2487" s="32" t="s">
        <v>184</v>
      </c>
      <c r="E2487" s="32" t="s">
        <v>228</v>
      </c>
      <c r="F2487" s="32" t="s">
        <v>3034</v>
      </c>
    </row>
    <row r="2488" ht="16.5" customHeight="1">
      <c r="A2488" s="32">
        <v>2484.0</v>
      </c>
      <c r="C2488" s="32" t="s">
        <v>3198</v>
      </c>
      <c r="D2488" s="32" t="s">
        <v>184</v>
      </c>
      <c r="E2488" s="32" t="s">
        <v>285</v>
      </c>
      <c r="F2488" s="32" t="s">
        <v>3034</v>
      </c>
    </row>
    <row r="2489" ht="16.5" customHeight="1">
      <c r="A2489" s="32">
        <v>2485.0</v>
      </c>
      <c r="C2489" s="32" t="s">
        <v>3199</v>
      </c>
      <c r="D2489" s="32" t="s">
        <v>184</v>
      </c>
      <c r="E2489" s="32" t="s">
        <v>285</v>
      </c>
      <c r="F2489" s="32" t="s">
        <v>3034</v>
      </c>
      <c r="G2489" s="32" t="s">
        <v>189</v>
      </c>
      <c r="H2489" s="32" t="s">
        <v>190</v>
      </c>
    </row>
    <row r="2490" ht="16.5" customHeight="1">
      <c r="A2490" s="32">
        <v>2486.0</v>
      </c>
      <c r="C2490" s="32" t="s">
        <v>3200</v>
      </c>
      <c r="D2490" s="32" t="s">
        <v>184</v>
      </c>
      <c r="E2490" s="32" t="s">
        <v>185</v>
      </c>
      <c r="F2490" s="32" t="s">
        <v>3034</v>
      </c>
      <c r="G2490" s="32" t="s">
        <v>267</v>
      </c>
      <c r="H2490" s="32" t="s">
        <v>3201</v>
      </c>
    </row>
    <row r="2491" ht="16.5" customHeight="1">
      <c r="A2491" s="32">
        <v>2487.0</v>
      </c>
      <c r="C2491" s="32" t="s">
        <v>3202</v>
      </c>
      <c r="D2491" s="32" t="s">
        <v>184</v>
      </c>
      <c r="E2491" s="32" t="s">
        <v>228</v>
      </c>
      <c r="F2491" s="32" t="s">
        <v>3034</v>
      </c>
      <c r="G2491" s="32" t="s">
        <v>229</v>
      </c>
      <c r="H2491" s="32" t="s">
        <v>626</v>
      </c>
    </row>
    <row r="2492" ht="16.5" customHeight="1">
      <c r="A2492" s="32">
        <v>2488.0</v>
      </c>
      <c r="C2492" s="32" t="s">
        <v>3203</v>
      </c>
      <c r="D2492" s="32" t="s">
        <v>184</v>
      </c>
      <c r="E2492" s="32" t="s">
        <v>185</v>
      </c>
      <c r="F2492" s="32" t="s">
        <v>3034</v>
      </c>
      <c r="G2492" s="32" t="s">
        <v>187</v>
      </c>
      <c r="H2492" s="32" t="s">
        <v>482</v>
      </c>
    </row>
    <row r="2493" ht="16.5" customHeight="1">
      <c r="A2493" s="32">
        <v>2489.0</v>
      </c>
      <c r="C2493" s="32" t="s">
        <v>3204</v>
      </c>
      <c r="D2493" s="32" t="s">
        <v>184</v>
      </c>
      <c r="E2493" s="32" t="s">
        <v>185</v>
      </c>
      <c r="F2493" s="32" t="s">
        <v>3034</v>
      </c>
    </row>
    <row r="2494" ht="16.5" customHeight="1">
      <c r="A2494" s="32">
        <v>2490.0</v>
      </c>
      <c r="C2494" s="32" t="s">
        <v>3205</v>
      </c>
      <c r="D2494" s="32" t="s">
        <v>184</v>
      </c>
      <c r="E2494" s="32" t="s">
        <v>185</v>
      </c>
      <c r="F2494" s="32" t="s">
        <v>3034</v>
      </c>
      <c r="G2494" s="32" t="s">
        <v>189</v>
      </c>
      <c r="H2494" s="32" t="s">
        <v>1121</v>
      </c>
    </row>
    <row r="2495" ht="16.5" customHeight="1">
      <c r="A2495" s="32">
        <v>2491.0</v>
      </c>
      <c r="C2495" s="32" t="s">
        <v>3206</v>
      </c>
      <c r="D2495" s="32" t="s">
        <v>184</v>
      </c>
      <c r="E2495" s="32" t="s">
        <v>192</v>
      </c>
      <c r="F2495" s="32" t="s">
        <v>3034</v>
      </c>
      <c r="G2495" s="32" t="s">
        <v>3207</v>
      </c>
    </row>
    <row r="2496" ht="16.5" customHeight="1">
      <c r="A2496" s="32">
        <v>2492.0</v>
      </c>
      <c r="C2496" s="32" t="s">
        <v>3208</v>
      </c>
      <c r="D2496" s="32" t="s">
        <v>184</v>
      </c>
      <c r="E2496" s="32" t="s">
        <v>185</v>
      </c>
      <c r="F2496" s="32" t="s">
        <v>3034</v>
      </c>
    </row>
    <row r="2497" ht="16.5" customHeight="1">
      <c r="A2497" s="32">
        <v>2493.0</v>
      </c>
      <c r="C2497" s="32" t="s">
        <v>3209</v>
      </c>
      <c r="D2497" s="32" t="s">
        <v>184</v>
      </c>
      <c r="E2497" s="32" t="s">
        <v>185</v>
      </c>
      <c r="F2497" s="32" t="s">
        <v>3034</v>
      </c>
    </row>
    <row r="2498" ht="16.5" customHeight="1">
      <c r="A2498" s="32">
        <v>2494.0</v>
      </c>
      <c r="C2498" s="32" t="s">
        <v>3210</v>
      </c>
      <c r="D2498" s="32" t="s">
        <v>184</v>
      </c>
      <c r="E2498" s="32" t="s">
        <v>285</v>
      </c>
      <c r="F2498" s="32" t="s">
        <v>3034</v>
      </c>
      <c r="G2498" s="32" t="s">
        <v>2060</v>
      </c>
      <c r="H2498" s="32" t="s">
        <v>2061</v>
      </c>
    </row>
    <row r="2499" ht="16.5" customHeight="1">
      <c r="A2499" s="32">
        <v>2495.0</v>
      </c>
      <c r="C2499" s="32" t="s">
        <v>3211</v>
      </c>
      <c r="D2499" s="32" t="s">
        <v>184</v>
      </c>
      <c r="E2499" s="35" t="s">
        <v>691</v>
      </c>
      <c r="F2499" s="32" t="s">
        <v>3034</v>
      </c>
      <c r="G2499" s="32" t="s">
        <v>2060</v>
      </c>
      <c r="H2499" s="32" t="s">
        <v>2061</v>
      </c>
    </row>
    <row r="2500" ht="16.5" customHeight="1">
      <c r="A2500" s="32">
        <v>2496.0</v>
      </c>
      <c r="C2500" s="32" t="s">
        <v>3212</v>
      </c>
      <c r="D2500" s="32" t="s">
        <v>184</v>
      </c>
      <c r="E2500" s="32" t="s">
        <v>185</v>
      </c>
      <c r="F2500" s="32" t="s">
        <v>3034</v>
      </c>
    </row>
    <row r="2501" ht="16.5" customHeight="1">
      <c r="A2501" s="32">
        <v>2497.0</v>
      </c>
      <c r="C2501" s="32" t="s">
        <v>3213</v>
      </c>
      <c r="D2501" s="32" t="s">
        <v>184</v>
      </c>
      <c r="E2501" s="32" t="s">
        <v>228</v>
      </c>
      <c r="F2501" s="32" t="s">
        <v>3034</v>
      </c>
      <c r="G2501" s="32" t="s">
        <v>3214</v>
      </c>
    </row>
    <row r="2502" ht="16.5" customHeight="1">
      <c r="A2502" s="32">
        <v>2498.0</v>
      </c>
      <c r="C2502" s="32" t="s">
        <v>3215</v>
      </c>
      <c r="D2502" s="32" t="s">
        <v>184</v>
      </c>
      <c r="E2502" s="32" t="s">
        <v>764</v>
      </c>
      <c r="F2502" s="32" t="s">
        <v>3034</v>
      </c>
    </row>
    <row r="2503" ht="16.5" customHeight="1">
      <c r="A2503" s="32">
        <v>2499.0</v>
      </c>
      <c r="C2503" s="32" t="s">
        <v>3216</v>
      </c>
      <c r="D2503" s="32" t="s">
        <v>184</v>
      </c>
      <c r="E2503" s="32" t="s">
        <v>285</v>
      </c>
      <c r="F2503" s="32" t="s">
        <v>3034</v>
      </c>
      <c r="G2503" s="32" t="s">
        <v>3217</v>
      </c>
    </row>
    <row r="2504" ht="16.5" customHeight="1">
      <c r="A2504" s="32">
        <v>2500.0</v>
      </c>
      <c r="C2504" s="32" t="s">
        <v>3218</v>
      </c>
      <c r="D2504" s="32" t="s">
        <v>184</v>
      </c>
      <c r="E2504" s="32" t="s">
        <v>285</v>
      </c>
      <c r="F2504" s="32" t="s">
        <v>3034</v>
      </c>
    </row>
    <row r="2505" ht="16.5" customHeight="1">
      <c r="A2505" s="32">
        <v>2501.0</v>
      </c>
      <c r="C2505" s="32" t="s">
        <v>3219</v>
      </c>
      <c r="D2505" s="32" t="s">
        <v>184</v>
      </c>
      <c r="E2505" s="32" t="s">
        <v>228</v>
      </c>
      <c r="F2505" s="32" t="s">
        <v>3034</v>
      </c>
    </row>
    <row r="2506" ht="16.5" customHeight="1">
      <c r="A2506" s="32">
        <v>2502.0</v>
      </c>
      <c r="C2506" s="32" t="s">
        <v>3220</v>
      </c>
      <c r="D2506" s="32" t="s">
        <v>184</v>
      </c>
      <c r="E2506" s="32" t="s">
        <v>228</v>
      </c>
      <c r="F2506" s="32" t="s">
        <v>3034</v>
      </c>
      <c r="G2506" s="32" t="s">
        <v>229</v>
      </c>
      <c r="H2506" s="32" t="s">
        <v>230</v>
      </c>
    </row>
    <row r="2507" ht="16.5" customHeight="1">
      <c r="A2507" s="32">
        <v>2503.0</v>
      </c>
      <c r="C2507" s="32" t="s">
        <v>3221</v>
      </c>
      <c r="D2507" s="32" t="s">
        <v>184</v>
      </c>
      <c r="E2507" s="32" t="s">
        <v>192</v>
      </c>
      <c r="F2507" s="32" t="s">
        <v>3034</v>
      </c>
      <c r="G2507" s="32" t="s">
        <v>329</v>
      </c>
      <c r="H2507" s="32" t="s">
        <v>457</v>
      </c>
    </row>
    <row r="2508" ht="16.5" customHeight="1">
      <c r="A2508" s="32">
        <v>2504.0</v>
      </c>
      <c r="C2508" s="32" t="s">
        <v>3222</v>
      </c>
      <c r="D2508" s="32" t="s">
        <v>184</v>
      </c>
      <c r="E2508" s="32" t="s">
        <v>228</v>
      </c>
      <c r="F2508" s="32" t="s">
        <v>3034</v>
      </c>
      <c r="G2508" s="32" t="s">
        <v>544</v>
      </c>
      <c r="H2508" s="32" t="s">
        <v>713</v>
      </c>
    </row>
    <row r="2509" ht="16.5" customHeight="1">
      <c r="A2509" s="32">
        <v>2505.0</v>
      </c>
      <c r="C2509" s="32" t="s">
        <v>3223</v>
      </c>
      <c r="D2509" s="32" t="s">
        <v>184</v>
      </c>
      <c r="E2509" s="32" t="s">
        <v>254</v>
      </c>
      <c r="F2509" s="32" t="s">
        <v>3034</v>
      </c>
      <c r="G2509" s="32" t="s">
        <v>424</v>
      </c>
      <c r="H2509" s="32" t="s">
        <v>476</v>
      </c>
    </row>
    <row r="2510" ht="16.5" customHeight="1">
      <c r="A2510" s="32">
        <v>2506.0</v>
      </c>
      <c r="C2510" s="32" t="s">
        <v>3224</v>
      </c>
      <c r="D2510" s="32" t="s">
        <v>184</v>
      </c>
      <c r="E2510" s="32" t="s">
        <v>254</v>
      </c>
      <c r="F2510" s="32" t="s">
        <v>3034</v>
      </c>
    </row>
    <row r="2511" ht="16.5" customHeight="1">
      <c r="A2511" s="32">
        <v>2507.0</v>
      </c>
      <c r="C2511" s="32" t="s">
        <v>3225</v>
      </c>
      <c r="D2511" s="32" t="s">
        <v>184</v>
      </c>
      <c r="E2511" s="32" t="s">
        <v>214</v>
      </c>
      <c r="F2511" s="32" t="s">
        <v>3034</v>
      </c>
    </row>
    <row r="2512" ht="16.5" customHeight="1">
      <c r="A2512" s="32">
        <v>2508.0</v>
      </c>
      <c r="C2512" s="32" t="s">
        <v>3226</v>
      </c>
      <c r="D2512" s="32" t="s">
        <v>184</v>
      </c>
      <c r="E2512" s="32" t="s">
        <v>185</v>
      </c>
      <c r="F2512" s="32" t="s">
        <v>3034</v>
      </c>
    </row>
    <row r="2513" ht="16.5" customHeight="1">
      <c r="A2513" s="32">
        <v>2509.0</v>
      </c>
      <c r="C2513" s="32" t="s">
        <v>3227</v>
      </c>
      <c r="D2513" s="32" t="s">
        <v>184</v>
      </c>
      <c r="E2513" s="32" t="s">
        <v>285</v>
      </c>
      <c r="F2513" s="32" t="s">
        <v>255</v>
      </c>
      <c r="G2513" s="32" t="s">
        <v>854</v>
      </c>
      <c r="H2513" s="32" t="s">
        <v>190</v>
      </c>
    </row>
    <row r="2514" ht="16.5" customHeight="1">
      <c r="A2514" s="32">
        <v>2510.0</v>
      </c>
      <c r="C2514" s="32" t="s">
        <v>3228</v>
      </c>
      <c r="D2514" s="32" t="s">
        <v>184</v>
      </c>
      <c r="E2514" s="32" t="s">
        <v>185</v>
      </c>
      <c r="F2514" s="32" t="s">
        <v>255</v>
      </c>
      <c r="G2514" s="32" t="s">
        <v>187</v>
      </c>
      <c r="H2514" s="32" t="s">
        <v>3229</v>
      </c>
    </row>
    <row r="2515" ht="16.5" customHeight="1">
      <c r="A2515" s="32">
        <v>2511.0</v>
      </c>
      <c r="C2515" s="32" t="s">
        <v>3230</v>
      </c>
      <c r="D2515" s="32" t="s">
        <v>184</v>
      </c>
      <c r="E2515" s="32" t="s">
        <v>185</v>
      </c>
      <c r="F2515" s="32" t="s">
        <v>255</v>
      </c>
      <c r="G2515" s="32" t="s">
        <v>187</v>
      </c>
      <c r="H2515" s="32" t="s">
        <v>3229</v>
      </c>
    </row>
    <row r="2516" ht="16.5" customHeight="1">
      <c r="A2516" s="32">
        <v>2512.0</v>
      </c>
      <c r="C2516" s="32" t="s">
        <v>3231</v>
      </c>
      <c r="D2516" s="32" t="s">
        <v>184</v>
      </c>
      <c r="E2516" s="32" t="s">
        <v>228</v>
      </c>
      <c r="F2516" s="32" t="s">
        <v>255</v>
      </c>
    </row>
    <row r="2517" ht="16.5" customHeight="1">
      <c r="A2517" s="32">
        <v>2513.0</v>
      </c>
      <c r="C2517" s="32" t="s">
        <v>3232</v>
      </c>
      <c r="D2517" s="32" t="s">
        <v>184</v>
      </c>
      <c r="E2517" s="32" t="s">
        <v>192</v>
      </c>
      <c r="F2517" s="32" t="s">
        <v>255</v>
      </c>
      <c r="G2517" s="32" t="s">
        <v>1230</v>
      </c>
      <c r="H2517" s="32" t="s">
        <v>3233</v>
      </c>
    </row>
    <row r="2518" ht="16.5" customHeight="1">
      <c r="A2518" s="32">
        <v>2514.0</v>
      </c>
      <c r="C2518" s="32" t="s">
        <v>3234</v>
      </c>
      <c r="D2518" s="32" t="s">
        <v>184</v>
      </c>
      <c r="E2518" s="32" t="s">
        <v>285</v>
      </c>
      <c r="F2518" s="32" t="s">
        <v>255</v>
      </c>
      <c r="G2518" s="32" t="s">
        <v>189</v>
      </c>
    </row>
    <row r="2519" ht="16.5" customHeight="1">
      <c r="A2519" s="32">
        <v>2515.0</v>
      </c>
      <c r="C2519" s="32" t="s">
        <v>3235</v>
      </c>
      <c r="D2519" s="32" t="s">
        <v>184</v>
      </c>
      <c r="E2519" s="32" t="s">
        <v>254</v>
      </c>
      <c r="F2519" s="32" t="s">
        <v>255</v>
      </c>
      <c r="G2519" s="32" t="s">
        <v>256</v>
      </c>
      <c r="H2519" s="32" t="s">
        <v>257</v>
      </c>
    </row>
    <row r="2520" ht="16.5" customHeight="1">
      <c r="A2520" s="32">
        <v>2516.0</v>
      </c>
      <c r="C2520" s="32" t="s">
        <v>3236</v>
      </c>
      <c r="D2520" s="32" t="s">
        <v>184</v>
      </c>
      <c r="E2520" s="32" t="s">
        <v>254</v>
      </c>
      <c r="F2520" s="32" t="s">
        <v>255</v>
      </c>
    </row>
    <row r="2521" ht="16.5" customHeight="1">
      <c r="A2521" s="32">
        <v>2517.0</v>
      </c>
      <c r="C2521" s="32" t="s">
        <v>3237</v>
      </c>
      <c r="D2521" s="32" t="s">
        <v>184</v>
      </c>
      <c r="E2521" s="32" t="s">
        <v>254</v>
      </c>
      <c r="F2521" s="32" t="s">
        <v>255</v>
      </c>
    </row>
    <row r="2522" ht="16.5" customHeight="1">
      <c r="A2522" s="32">
        <v>2518.0</v>
      </c>
      <c r="C2522" s="32" t="s">
        <v>3238</v>
      </c>
      <c r="D2522" s="32" t="s">
        <v>184</v>
      </c>
      <c r="E2522" s="32" t="s">
        <v>254</v>
      </c>
      <c r="F2522" s="32" t="s">
        <v>255</v>
      </c>
      <c r="G2522" s="32" t="s">
        <v>256</v>
      </c>
    </row>
    <row r="2523" ht="16.5" customHeight="1">
      <c r="A2523" s="32">
        <v>2519.0</v>
      </c>
      <c r="C2523" s="32" t="s">
        <v>3239</v>
      </c>
      <c r="D2523" s="32" t="s">
        <v>184</v>
      </c>
      <c r="E2523" s="32" t="s">
        <v>192</v>
      </c>
      <c r="F2523" s="32" t="s">
        <v>255</v>
      </c>
      <c r="G2523" s="32" t="s">
        <v>329</v>
      </c>
      <c r="H2523" s="32" t="s">
        <v>3240</v>
      </c>
    </row>
    <row r="2524" ht="16.5" customHeight="1">
      <c r="A2524" s="32">
        <v>2520.0</v>
      </c>
      <c r="C2524" s="32" t="s">
        <v>3241</v>
      </c>
      <c r="D2524" s="32" t="s">
        <v>184</v>
      </c>
      <c r="E2524" s="32" t="s">
        <v>321</v>
      </c>
      <c r="F2524" s="32" t="s">
        <v>1160</v>
      </c>
    </row>
    <row r="2525" ht="16.5" customHeight="1">
      <c r="A2525" s="32">
        <v>2521.0</v>
      </c>
      <c r="C2525" s="32" t="s">
        <v>3242</v>
      </c>
      <c r="D2525" s="32" t="s">
        <v>184</v>
      </c>
      <c r="E2525" s="35" t="s">
        <v>1798</v>
      </c>
      <c r="F2525" s="32" t="s">
        <v>255</v>
      </c>
      <c r="G2525" s="32" t="s">
        <v>1799</v>
      </c>
      <c r="H2525" s="32" t="s">
        <v>382</v>
      </c>
    </row>
    <row r="2526" ht="16.5" customHeight="1">
      <c r="A2526" s="32">
        <v>2522.0</v>
      </c>
      <c r="C2526" s="32" t="s">
        <v>3243</v>
      </c>
      <c r="D2526" s="32" t="s">
        <v>184</v>
      </c>
      <c r="E2526" s="32" t="s">
        <v>185</v>
      </c>
      <c r="F2526" s="32" t="s">
        <v>255</v>
      </c>
    </row>
    <row r="2527" ht="16.5" customHeight="1">
      <c r="A2527" s="32">
        <v>2523.0</v>
      </c>
      <c r="C2527" s="32" t="s">
        <v>3244</v>
      </c>
      <c r="D2527" s="32" t="s">
        <v>184</v>
      </c>
      <c r="E2527" s="32" t="s">
        <v>219</v>
      </c>
      <c r="F2527" s="32" t="s">
        <v>255</v>
      </c>
    </row>
    <row r="2528" ht="16.5" customHeight="1">
      <c r="A2528" s="32">
        <v>2524.0</v>
      </c>
      <c r="C2528" s="32" t="s">
        <v>3245</v>
      </c>
      <c r="D2528" s="32" t="s">
        <v>184</v>
      </c>
      <c r="E2528" s="32" t="s">
        <v>285</v>
      </c>
      <c r="F2528" s="32" t="s">
        <v>255</v>
      </c>
      <c r="G2528" s="32" t="s">
        <v>189</v>
      </c>
    </row>
    <row r="2529" ht="16.5" customHeight="1">
      <c r="A2529" s="32">
        <v>2525.0</v>
      </c>
      <c r="C2529" s="32" t="s">
        <v>3246</v>
      </c>
      <c r="D2529" s="32" t="s">
        <v>184</v>
      </c>
      <c r="E2529" s="32" t="s">
        <v>185</v>
      </c>
      <c r="F2529" s="32" t="s">
        <v>255</v>
      </c>
      <c r="G2529" s="32" t="s">
        <v>187</v>
      </c>
      <c r="H2529" s="32" t="s">
        <v>854</v>
      </c>
    </row>
    <row r="2530" ht="16.5" customHeight="1">
      <c r="A2530" s="32">
        <v>2526.0</v>
      </c>
      <c r="C2530" s="32" t="s">
        <v>3247</v>
      </c>
      <c r="D2530" s="32" t="s">
        <v>184</v>
      </c>
      <c r="E2530" s="32" t="s">
        <v>185</v>
      </c>
      <c r="F2530" s="32" t="s">
        <v>255</v>
      </c>
      <c r="G2530" s="32" t="s">
        <v>3248</v>
      </c>
      <c r="H2530" s="32" t="s">
        <v>1323</v>
      </c>
    </row>
    <row r="2531" ht="16.5" customHeight="1">
      <c r="A2531" s="32">
        <v>2527.0</v>
      </c>
      <c r="C2531" s="32" t="s">
        <v>3249</v>
      </c>
      <c r="D2531" s="32" t="s">
        <v>184</v>
      </c>
      <c r="E2531" s="32" t="s">
        <v>185</v>
      </c>
      <c r="F2531" s="32" t="s">
        <v>255</v>
      </c>
      <c r="G2531" s="32" t="s">
        <v>3248</v>
      </c>
      <c r="H2531" s="32" t="s">
        <v>1323</v>
      </c>
    </row>
    <row r="2532" ht="16.5" customHeight="1">
      <c r="A2532" s="32">
        <v>2528.0</v>
      </c>
      <c r="C2532" s="32" t="s">
        <v>3250</v>
      </c>
      <c r="D2532" s="32" t="s">
        <v>184</v>
      </c>
      <c r="E2532" s="32" t="s">
        <v>254</v>
      </c>
      <c r="F2532" s="32" t="s">
        <v>255</v>
      </c>
    </row>
    <row r="2533" ht="16.5" customHeight="1">
      <c r="A2533" s="32">
        <v>2529.0</v>
      </c>
      <c r="C2533" s="32" t="s">
        <v>3251</v>
      </c>
      <c r="D2533" s="32" t="s">
        <v>184</v>
      </c>
      <c r="E2533" s="32" t="s">
        <v>254</v>
      </c>
      <c r="F2533" s="32" t="s">
        <v>255</v>
      </c>
      <c r="G2533" s="32" t="s">
        <v>305</v>
      </c>
      <c r="H2533" s="32" t="s">
        <v>3252</v>
      </c>
    </row>
    <row r="2534" ht="16.5" customHeight="1">
      <c r="A2534" s="32">
        <v>2530.0</v>
      </c>
      <c r="C2534" s="32" t="s">
        <v>3253</v>
      </c>
      <c r="D2534" s="32" t="s">
        <v>184</v>
      </c>
      <c r="E2534" s="32" t="s">
        <v>254</v>
      </c>
      <c r="F2534" s="32" t="s">
        <v>255</v>
      </c>
      <c r="G2534" s="32" t="s">
        <v>256</v>
      </c>
      <c r="H2534" s="32" t="s">
        <v>3254</v>
      </c>
    </row>
    <row r="2535" ht="16.5" customHeight="1">
      <c r="A2535" s="32">
        <v>2531.0</v>
      </c>
      <c r="C2535" s="32" t="s">
        <v>3255</v>
      </c>
      <c r="D2535" s="32" t="s">
        <v>184</v>
      </c>
      <c r="E2535" s="32" t="s">
        <v>254</v>
      </c>
      <c r="F2535" s="32" t="s">
        <v>255</v>
      </c>
    </row>
    <row r="2536" ht="16.5" customHeight="1">
      <c r="A2536" s="32">
        <v>2532.0</v>
      </c>
      <c r="C2536" s="32" t="s">
        <v>3256</v>
      </c>
      <c r="D2536" s="32" t="s">
        <v>184</v>
      </c>
      <c r="E2536" s="32" t="s">
        <v>185</v>
      </c>
      <c r="F2536" s="32" t="s">
        <v>255</v>
      </c>
      <c r="G2536" s="32" t="s">
        <v>267</v>
      </c>
      <c r="H2536" s="32" t="s">
        <v>188</v>
      </c>
    </row>
    <row r="2537" ht="16.5" customHeight="1">
      <c r="A2537" s="32">
        <v>2533.0</v>
      </c>
      <c r="C2537" s="32" t="s">
        <v>3257</v>
      </c>
      <c r="D2537" s="32" t="s">
        <v>184</v>
      </c>
      <c r="E2537" s="32" t="s">
        <v>185</v>
      </c>
      <c r="F2537" s="32" t="s">
        <v>255</v>
      </c>
      <c r="G2537" s="32" t="s">
        <v>267</v>
      </c>
      <c r="H2537" s="32" t="s">
        <v>188</v>
      </c>
    </row>
    <row r="2538" ht="16.5" customHeight="1">
      <c r="A2538" s="32">
        <v>2534.0</v>
      </c>
      <c r="C2538" s="32" t="s">
        <v>3258</v>
      </c>
      <c r="D2538" s="32" t="s">
        <v>184</v>
      </c>
      <c r="E2538" s="32" t="s">
        <v>234</v>
      </c>
      <c r="F2538" s="32" t="s">
        <v>255</v>
      </c>
      <c r="G2538" s="32" t="s">
        <v>235</v>
      </c>
      <c r="H2538" s="32" t="s">
        <v>243</v>
      </c>
    </row>
    <row r="2539" ht="16.5" customHeight="1">
      <c r="A2539" s="32">
        <v>2535.0</v>
      </c>
      <c r="C2539" s="32" t="s">
        <v>3259</v>
      </c>
      <c r="D2539" s="32" t="s">
        <v>184</v>
      </c>
      <c r="E2539" s="35" t="s">
        <v>3260</v>
      </c>
      <c r="F2539" s="32" t="s">
        <v>255</v>
      </c>
      <c r="G2539" s="32" t="s">
        <v>1874</v>
      </c>
      <c r="H2539" s="32" t="s">
        <v>3261</v>
      </c>
    </row>
    <row r="2540" ht="16.5" customHeight="1">
      <c r="A2540" s="32">
        <v>2536.0</v>
      </c>
      <c r="C2540" s="32" t="s">
        <v>3262</v>
      </c>
      <c r="D2540" s="32" t="s">
        <v>184</v>
      </c>
      <c r="E2540" s="32" t="s">
        <v>192</v>
      </c>
      <c r="F2540" s="32" t="s">
        <v>255</v>
      </c>
    </row>
    <row r="2541" ht="16.5" customHeight="1">
      <c r="A2541" s="32">
        <v>2537.0</v>
      </c>
      <c r="C2541" s="32" t="s">
        <v>3263</v>
      </c>
      <c r="D2541" s="32" t="s">
        <v>184</v>
      </c>
      <c r="E2541" s="32" t="s">
        <v>234</v>
      </c>
      <c r="F2541" s="32" t="s">
        <v>255</v>
      </c>
      <c r="G2541" s="32" t="s">
        <v>235</v>
      </c>
      <c r="H2541" s="32" t="s">
        <v>2985</v>
      </c>
    </row>
    <row r="2542" ht="16.5" customHeight="1">
      <c r="A2542" s="32">
        <v>2538.0</v>
      </c>
      <c r="C2542" s="32" t="s">
        <v>3264</v>
      </c>
      <c r="D2542" s="32" t="s">
        <v>184</v>
      </c>
      <c r="E2542" s="32" t="s">
        <v>254</v>
      </c>
      <c r="F2542" s="32" t="s">
        <v>255</v>
      </c>
      <c r="G2542" s="32" t="s">
        <v>235</v>
      </c>
      <c r="H2542" s="32" t="s">
        <v>3265</v>
      </c>
    </row>
    <row r="2543" ht="16.5" customHeight="1">
      <c r="A2543" s="32">
        <v>2539.0</v>
      </c>
      <c r="C2543" s="32" t="s">
        <v>3266</v>
      </c>
      <c r="D2543" s="32" t="s">
        <v>184</v>
      </c>
      <c r="E2543" s="32" t="s">
        <v>321</v>
      </c>
      <c r="F2543" s="32" t="s">
        <v>255</v>
      </c>
      <c r="G2543" s="32" t="s">
        <v>235</v>
      </c>
      <c r="H2543" s="32" t="s">
        <v>3267</v>
      </c>
    </row>
    <row r="2544" ht="16.5" customHeight="1">
      <c r="A2544" s="32">
        <v>2540.0</v>
      </c>
      <c r="C2544" s="32" t="s">
        <v>3268</v>
      </c>
      <c r="D2544" s="32" t="s">
        <v>184</v>
      </c>
      <c r="E2544" s="32" t="s">
        <v>185</v>
      </c>
      <c r="F2544" s="32" t="s">
        <v>255</v>
      </c>
      <c r="G2544" s="32" t="s">
        <v>3269</v>
      </c>
      <c r="H2544" s="32" t="s">
        <v>3270</v>
      </c>
    </row>
    <row r="2545" ht="16.5" customHeight="1">
      <c r="A2545" s="32">
        <v>2541.0</v>
      </c>
      <c r="C2545" s="32" t="s">
        <v>3271</v>
      </c>
      <c r="D2545" s="32" t="s">
        <v>184</v>
      </c>
      <c r="E2545" s="32" t="s">
        <v>185</v>
      </c>
      <c r="F2545" s="32" t="s">
        <v>255</v>
      </c>
      <c r="G2545" s="32" t="s">
        <v>295</v>
      </c>
      <c r="H2545" s="32" t="s">
        <v>476</v>
      </c>
    </row>
    <row r="2546" ht="16.5" customHeight="1">
      <c r="A2546" s="32">
        <v>2542.0</v>
      </c>
      <c r="C2546" s="32" t="s">
        <v>3272</v>
      </c>
      <c r="D2546" s="32" t="s">
        <v>184</v>
      </c>
      <c r="E2546" s="32" t="s">
        <v>234</v>
      </c>
      <c r="F2546" s="32" t="s">
        <v>255</v>
      </c>
    </row>
    <row r="2547" ht="16.5" customHeight="1">
      <c r="A2547" s="32">
        <v>2543.0</v>
      </c>
      <c r="C2547" s="32" t="s">
        <v>3273</v>
      </c>
      <c r="D2547" s="32" t="s">
        <v>184</v>
      </c>
      <c r="E2547" s="32" t="s">
        <v>185</v>
      </c>
      <c r="F2547" s="32" t="s">
        <v>255</v>
      </c>
    </row>
    <row r="2548" ht="16.5" customHeight="1">
      <c r="A2548" s="32">
        <v>2544.0</v>
      </c>
      <c r="C2548" s="32" t="s">
        <v>3274</v>
      </c>
      <c r="D2548" s="32" t="s">
        <v>184</v>
      </c>
      <c r="E2548" s="32" t="s">
        <v>185</v>
      </c>
      <c r="F2548" s="32" t="s">
        <v>255</v>
      </c>
    </row>
    <row r="2549" ht="16.5" customHeight="1">
      <c r="A2549" s="32">
        <v>2545.0</v>
      </c>
      <c r="C2549" s="32" t="s">
        <v>3275</v>
      </c>
      <c r="D2549" s="32" t="s">
        <v>184</v>
      </c>
      <c r="E2549" s="32" t="s">
        <v>234</v>
      </c>
      <c r="F2549" s="32" t="s">
        <v>255</v>
      </c>
      <c r="G2549" s="32" t="s">
        <v>347</v>
      </c>
      <c r="H2549" s="32" t="s">
        <v>382</v>
      </c>
    </row>
    <row r="2550" ht="16.5" customHeight="1">
      <c r="A2550" s="32">
        <v>2546.0</v>
      </c>
      <c r="C2550" s="32" t="s">
        <v>3276</v>
      </c>
      <c r="D2550" s="32" t="s">
        <v>184</v>
      </c>
      <c r="E2550" s="32" t="s">
        <v>234</v>
      </c>
      <c r="F2550" s="32" t="s">
        <v>255</v>
      </c>
    </row>
    <row r="2551" ht="16.5" customHeight="1">
      <c r="A2551" s="32">
        <v>2547.0</v>
      </c>
      <c r="C2551" s="32" t="s">
        <v>3277</v>
      </c>
      <c r="D2551" s="32" t="s">
        <v>184</v>
      </c>
      <c r="E2551" s="32" t="s">
        <v>234</v>
      </c>
      <c r="F2551" s="32" t="s">
        <v>255</v>
      </c>
      <c r="G2551" s="32" t="s">
        <v>235</v>
      </c>
      <c r="H2551" s="32" t="s">
        <v>3278</v>
      </c>
    </row>
    <row r="2552" ht="16.5" customHeight="1">
      <c r="A2552" s="32">
        <v>2548.0</v>
      </c>
      <c r="C2552" s="32" t="s">
        <v>3279</v>
      </c>
      <c r="D2552" s="32" t="s">
        <v>184</v>
      </c>
      <c r="E2552" s="35" t="s">
        <v>361</v>
      </c>
      <c r="F2552" s="32" t="s">
        <v>255</v>
      </c>
    </row>
    <row r="2553" ht="16.5" customHeight="1">
      <c r="A2553" s="32">
        <v>2549.0</v>
      </c>
      <c r="C2553" s="32" t="s">
        <v>3280</v>
      </c>
      <c r="D2553" s="32" t="s">
        <v>184</v>
      </c>
      <c r="E2553" s="32" t="s">
        <v>254</v>
      </c>
      <c r="F2553" s="32" t="s">
        <v>255</v>
      </c>
      <c r="G2553" s="32" t="s">
        <v>3281</v>
      </c>
    </row>
    <row r="2554" ht="16.5" customHeight="1">
      <c r="A2554" s="32">
        <v>2550.0</v>
      </c>
      <c r="C2554" s="32" t="s">
        <v>3282</v>
      </c>
      <c r="D2554" s="32" t="s">
        <v>184</v>
      </c>
      <c r="E2554" s="32" t="s">
        <v>254</v>
      </c>
      <c r="F2554" s="32" t="s">
        <v>186</v>
      </c>
      <c r="G2554" s="32" t="s">
        <v>257</v>
      </c>
      <c r="H2554" s="32" t="s">
        <v>256</v>
      </c>
    </row>
    <row r="2555" ht="16.5" customHeight="1">
      <c r="A2555" s="32">
        <v>2551.0</v>
      </c>
      <c r="C2555" s="32" t="s">
        <v>3283</v>
      </c>
      <c r="D2555" s="32" t="s">
        <v>184</v>
      </c>
      <c r="E2555" s="32" t="s">
        <v>254</v>
      </c>
      <c r="F2555" s="32" t="s">
        <v>346</v>
      </c>
      <c r="G2555" s="32" t="s">
        <v>257</v>
      </c>
      <c r="H2555" s="32" t="s">
        <v>256</v>
      </c>
    </row>
    <row r="2556" ht="16.5" customHeight="1">
      <c r="A2556" s="32">
        <v>2552.0</v>
      </c>
      <c r="C2556" s="32" t="s">
        <v>3284</v>
      </c>
      <c r="D2556" s="32" t="s">
        <v>184</v>
      </c>
      <c r="E2556" s="32" t="s">
        <v>234</v>
      </c>
      <c r="F2556" s="32" t="s">
        <v>346</v>
      </c>
      <c r="G2556" s="32" t="s">
        <v>235</v>
      </c>
      <c r="H2556" s="32" t="s">
        <v>236</v>
      </c>
    </row>
    <row r="2557" ht="16.5" customHeight="1">
      <c r="A2557" s="32">
        <v>2553.0</v>
      </c>
      <c r="C2557" s="32" t="s">
        <v>3285</v>
      </c>
      <c r="D2557" s="32" t="s">
        <v>184</v>
      </c>
      <c r="E2557" s="35" t="s">
        <v>294</v>
      </c>
      <c r="F2557" s="32" t="s">
        <v>186</v>
      </c>
      <c r="G2557" s="32" t="s">
        <v>189</v>
      </c>
      <c r="H2557" s="32" t="s">
        <v>190</v>
      </c>
    </row>
    <row r="2558" ht="16.5" customHeight="1">
      <c r="A2558" s="32">
        <v>2554.0</v>
      </c>
      <c r="C2558" s="32" t="s">
        <v>3286</v>
      </c>
      <c r="D2558" s="32" t="s">
        <v>184</v>
      </c>
      <c r="E2558" s="32" t="s">
        <v>285</v>
      </c>
      <c r="F2558" s="32" t="s">
        <v>186</v>
      </c>
      <c r="G2558" s="32" t="s">
        <v>189</v>
      </c>
      <c r="H2558" s="32" t="s">
        <v>190</v>
      </c>
    </row>
    <row r="2559" ht="16.5" customHeight="1">
      <c r="A2559" s="32">
        <v>2555.0</v>
      </c>
      <c r="C2559" s="32" t="s">
        <v>3287</v>
      </c>
      <c r="D2559" s="32" t="s">
        <v>184</v>
      </c>
      <c r="E2559" s="32" t="s">
        <v>228</v>
      </c>
      <c r="F2559" s="32" t="s">
        <v>346</v>
      </c>
      <c r="G2559" s="32" t="s">
        <v>229</v>
      </c>
      <c r="H2559" s="32" t="s">
        <v>626</v>
      </c>
    </row>
    <row r="2560" ht="16.5" customHeight="1">
      <c r="A2560" s="32">
        <v>2556.0</v>
      </c>
      <c r="C2560" s="32" t="s">
        <v>3288</v>
      </c>
      <c r="D2560" s="32" t="s">
        <v>184</v>
      </c>
      <c r="E2560" s="32" t="s">
        <v>228</v>
      </c>
      <c r="F2560" s="32" t="s">
        <v>222</v>
      </c>
      <c r="G2560" s="32" t="s">
        <v>229</v>
      </c>
      <c r="H2560" s="32" t="s">
        <v>626</v>
      </c>
    </row>
    <row r="2561" ht="16.5" customHeight="1">
      <c r="A2561" s="32">
        <v>2557.0</v>
      </c>
      <c r="C2561" s="32" t="s">
        <v>3289</v>
      </c>
      <c r="D2561" s="32" t="s">
        <v>184</v>
      </c>
      <c r="E2561" s="32" t="s">
        <v>234</v>
      </c>
      <c r="F2561" s="32" t="s">
        <v>346</v>
      </c>
      <c r="G2561" s="32" t="s">
        <v>415</v>
      </c>
      <c r="H2561" s="32" t="s">
        <v>2329</v>
      </c>
    </row>
    <row r="2562" ht="16.5" customHeight="1">
      <c r="A2562" s="32">
        <v>2558.0</v>
      </c>
      <c r="C2562" s="32" t="s">
        <v>3290</v>
      </c>
      <c r="D2562" s="32" t="s">
        <v>184</v>
      </c>
      <c r="E2562" s="35" t="s">
        <v>691</v>
      </c>
      <c r="F2562" s="32" t="s">
        <v>186</v>
      </c>
      <c r="G2562" s="32" t="s">
        <v>793</v>
      </c>
      <c r="H2562" s="32" t="s">
        <v>3291</v>
      </c>
    </row>
    <row r="2563" ht="16.5" customHeight="1">
      <c r="A2563" s="32">
        <v>2559.0</v>
      </c>
      <c r="C2563" s="32" t="s">
        <v>3292</v>
      </c>
      <c r="D2563" s="32" t="s">
        <v>184</v>
      </c>
      <c r="E2563" s="32" t="s">
        <v>228</v>
      </c>
      <c r="F2563" s="32" t="s">
        <v>186</v>
      </c>
      <c r="G2563" s="32" t="s">
        <v>544</v>
      </c>
      <c r="H2563" s="32" t="s">
        <v>3293</v>
      </c>
    </row>
    <row r="2564" ht="16.5" customHeight="1">
      <c r="A2564" s="32">
        <v>2560.0</v>
      </c>
      <c r="C2564" s="32" t="s">
        <v>3294</v>
      </c>
      <c r="D2564" s="32" t="s">
        <v>184</v>
      </c>
      <c r="E2564" s="32" t="s">
        <v>192</v>
      </c>
      <c r="F2564" s="32" t="s">
        <v>186</v>
      </c>
      <c r="G2564" s="32" t="s">
        <v>570</v>
      </c>
      <c r="H2564" s="32" t="s">
        <v>447</v>
      </c>
    </row>
    <row r="2565" ht="16.5" customHeight="1">
      <c r="A2565" s="32">
        <v>2561.0</v>
      </c>
      <c r="C2565" s="32" t="s">
        <v>3295</v>
      </c>
      <c r="D2565" s="32" t="s">
        <v>184</v>
      </c>
      <c r="E2565" s="32" t="s">
        <v>192</v>
      </c>
      <c r="F2565" s="32" t="s">
        <v>346</v>
      </c>
      <c r="G2565" s="32" t="s">
        <v>329</v>
      </c>
      <c r="H2565" s="32" t="s">
        <v>447</v>
      </c>
    </row>
    <row r="2566" ht="16.5" customHeight="1">
      <c r="A2566" s="32">
        <v>2562.0</v>
      </c>
      <c r="C2566" s="32" t="s">
        <v>3296</v>
      </c>
      <c r="D2566" s="32" t="s">
        <v>184</v>
      </c>
      <c r="E2566" s="32" t="s">
        <v>192</v>
      </c>
      <c r="F2566" s="32" t="s">
        <v>346</v>
      </c>
      <c r="G2566" s="32" t="s">
        <v>329</v>
      </c>
      <c r="H2566" s="32" t="s">
        <v>447</v>
      </c>
    </row>
    <row r="2567" ht="16.5" customHeight="1">
      <c r="A2567" s="32">
        <v>2563.0</v>
      </c>
      <c r="C2567" s="32" t="s">
        <v>3297</v>
      </c>
      <c r="D2567" s="32" t="s">
        <v>184</v>
      </c>
      <c r="E2567" s="32" t="s">
        <v>185</v>
      </c>
      <c r="F2567" s="32" t="s">
        <v>255</v>
      </c>
    </row>
    <row r="2568" ht="16.5" customHeight="1">
      <c r="A2568" s="32">
        <v>2564.0</v>
      </c>
      <c r="C2568" s="32" t="s">
        <v>3298</v>
      </c>
      <c r="D2568" s="32" t="s">
        <v>184</v>
      </c>
      <c r="E2568" s="32" t="s">
        <v>228</v>
      </c>
      <c r="F2568" s="32" t="s">
        <v>255</v>
      </c>
    </row>
    <row r="2569" ht="16.5" customHeight="1">
      <c r="A2569" s="32">
        <v>2565.0</v>
      </c>
      <c r="C2569" s="32" t="s">
        <v>3299</v>
      </c>
      <c r="D2569" s="32" t="s">
        <v>184</v>
      </c>
      <c r="E2569" s="35" t="s">
        <v>294</v>
      </c>
      <c r="F2569" s="32" t="s">
        <v>346</v>
      </c>
      <c r="G2569" s="32" t="s">
        <v>189</v>
      </c>
      <c r="H2569" s="32" t="s">
        <v>190</v>
      </c>
    </row>
    <row r="2570" ht="16.5" customHeight="1">
      <c r="A2570" s="32">
        <v>2566.0</v>
      </c>
      <c r="C2570" s="32" t="s">
        <v>3300</v>
      </c>
      <c r="D2570" s="32" t="s">
        <v>184</v>
      </c>
      <c r="E2570" s="35" t="s">
        <v>294</v>
      </c>
      <c r="F2570" s="32" t="s">
        <v>346</v>
      </c>
      <c r="G2570" s="32" t="s">
        <v>189</v>
      </c>
      <c r="H2570" s="32" t="s">
        <v>190</v>
      </c>
    </row>
    <row r="2571" ht="16.5" customHeight="1">
      <c r="A2571" s="32">
        <v>2567.0</v>
      </c>
      <c r="C2571" s="32" t="s">
        <v>3301</v>
      </c>
      <c r="D2571" s="32" t="s">
        <v>184</v>
      </c>
      <c r="E2571" s="32" t="s">
        <v>228</v>
      </c>
      <c r="F2571" s="32" t="s">
        <v>523</v>
      </c>
    </row>
    <row r="2572" ht="16.5" customHeight="1">
      <c r="A2572" s="32">
        <v>2568.0</v>
      </c>
      <c r="C2572" s="32" t="s">
        <v>3302</v>
      </c>
      <c r="D2572" s="32" t="s">
        <v>184</v>
      </c>
      <c r="E2572" s="32" t="s">
        <v>185</v>
      </c>
      <c r="F2572" s="32" t="s">
        <v>186</v>
      </c>
      <c r="G2572" s="32" t="s">
        <v>267</v>
      </c>
      <c r="H2572" s="32" t="s">
        <v>975</v>
      </c>
    </row>
    <row r="2573" ht="16.5" customHeight="1">
      <c r="A2573" s="32">
        <v>2569.0</v>
      </c>
      <c r="C2573" s="32" t="s">
        <v>3303</v>
      </c>
      <c r="D2573" s="32" t="s">
        <v>184</v>
      </c>
      <c r="E2573" s="32" t="s">
        <v>185</v>
      </c>
      <c r="F2573" s="32" t="s">
        <v>186</v>
      </c>
      <c r="G2573" s="32" t="s">
        <v>267</v>
      </c>
      <c r="H2573" s="32" t="s">
        <v>3201</v>
      </c>
    </row>
    <row r="2574" ht="16.5" customHeight="1">
      <c r="A2574" s="32">
        <v>2570.0</v>
      </c>
      <c r="C2574" s="32" t="s">
        <v>3304</v>
      </c>
      <c r="D2574" s="32" t="s">
        <v>184</v>
      </c>
      <c r="E2574" s="32" t="s">
        <v>228</v>
      </c>
      <c r="F2574" s="32" t="s">
        <v>255</v>
      </c>
      <c r="G2574" s="32" t="s">
        <v>347</v>
      </c>
      <c r="H2574" s="32" t="s">
        <v>382</v>
      </c>
    </row>
    <row r="2575" ht="16.5" customHeight="1">
      <c r="A2575" s="32">
        <v>2571.0</v>
      </c>
      <c r="C2575" s="32" t="s">
        <v>3305</v>
      </c>
      <c r="D2575" s="32" t="s">
        <v>184</v>
      </c>
      <c r="E2575" s="32" t="s">
        <v>185</v>
      </c>
      <c r="F2575" s="32" t="s">
        <v>346</v>
      </c>
      <c r="G2575" s="32" t="s">
        <v>267</v>
      </c>
      <c r="H2575" s="32" t="s">
        <v>188</v>
      </c>
    </row>
    <row r="2576" ht="16.5" customHeight="1">
      <c r="A2576" s="32">
        <v>2572.0</v>
      </c>
      <c r="C2576" s="32" t="s">
        <v>3306</v>
      </c>
      <c r="D2576" s="32" t="s">
        <v>184</v>
      </c>
      <c r="E2576" s="35" t="s">
        <v>1129</v>
      </c>
      <c r="F2576" s="32" t="s">
        <v>346</v>
      </c>
      <c r="G2576" s="32" t="s">
        <v>793</v>
      </c>
    </row>
    <row r="2577" ht="16.5" customHeight="1">
      <c r="A2577" s="32">
        <v>2573.0</v>
      </c>
      <c r="C2577" s="32" t="s">
        <v>3307</v>
      </c>
      <c r="D2577" s="32" t="s">
        <v>184</v>
      </c>
      <c r="E2577" s="35" t="s">
        <v>691</v>
      </c>
      <c r="F2577" s="32" t="s">
        <v>346</v>
      </c>
    </row>
    <row r="2578" ht="16.5" customHeight="1">
      <c r="A2578" s="32">
        <v>2574.0</v>
      </c>
      <c r="C2578" s="32" t="s">
        <v>3308</v>
      </c>
      <c r="D2578" s="32" t="s">
        <v>184</v>
      </c>
      <c r="E2578" s="32" t="s">
        <v>185</v>
      </c>
      <c r="F2578" s="32" t="s">
        <v>186</v>
      </c>
      <c r="G2578" s="32" t="s">
        <v>189</v>
      </c>
      <c r="H2578" s="32" t="s">
        <v>902</v>
      </c>
    </row>
    <row r="2579" ht="16.5" customHeight="1">
      <c r="A2579" s="32">
        <v>2575.0</v>
      </c>
      <c r="C2579" s="32" t="s">
        <v>3309</v>
      </c>
      <c r="D2579" s="32" t="s">
        <v>184</v>
      </c>
      <c r="E2579" s="32" t="s">
        <v>228</v>
      </c>
      <c r="F2579" s="32" t="s">
        <v>222</v>
      </c>
    </row>
    <row r="2580" ht="16.5" customHeight="1">
      <c r="A2580" s="32">
        <v>2576.0</v>
      </c>
      <c r="C2580" s="32" t="s">
        <v>3310</v>
      </c>
      <c r="D2580" s="32" t="s">
        <v>184</v>
      </c>
      <c r="E2580" s="32" t="s">
        <v>228</v>
      </c>
      <c r="F2580" s="32" t="s">
        <v>255</v>
      </c>
      <c r="G2580" s="32" t="s">
        <v>544</v>
      </c>
      <c r="H2580" s="32" t="s">
        <v>545</v>
      </c>
    </row>
    <row r="2581" ht="16.5" customHeight="1">
      <c r="A2581" s="32">
        <v>2577.0</v>
      </c>
      <c r="C2581" s="32" t="s">
        <v>3311</v>
      </c>
      <c r="D2581" s="32" t="s">
        <v>184</v>
      </c>
      <c r="E2581" s="32" t="s">
        <v>185</v>
      </c>
      <c r="F2581" s="32" t="s">
        <v>255</v>
      </c>
      <c r="G2581" s="32" t="s">
        <v>508</v>
      </c>
      <c r="H2581" s="32" t="s">
        <v>2802</v>
      </c>
    </row>
    <row r="2582" ht="16.5" customHeight="1">
      <c r="A2582" s="32">
        <v>2578.0</v>
      </c>
      <c r="C2582" s="32" t="s">
        <v>3312</v>
      </c>
      <c r="D2582" s="32" t="s">
        <v>184</v>
      </c>
      <c r="E2582" s="32" t="s">
        <v>185</v>
      </c>
      <c r="F2582" s="32" t="s">
        <v>255</v>
      </c>
      <c r="G2582" s="32" t="s">
        <v>508</v>
      </c>
      <c r="H2582" s="32" t="s">
        <v>424</v>
      </c>
    </row>
    <row r="2583" ht="16.5" customHeight="1">
      <c r="A2583" s="32">
        <v>2579.0</v>
      </c>
      <c r="C2583" s="32" t="s">
        <v>3313</v>
      </c>
      <c r="D2583" s="32" t="s">
        <v>184</v>
      </c>
      <c r="E2583" s="32" t="s">
        <v>185</v>
      </c>
      <c r="F2583" s="32" t="s">
        <v>255</v>
      </c>
      <c r="G2583" s="32" t="s">
        <v>189</v>
      </c>
      <c r="H2583" s="32" t="s">
        <v>2046</v>
      </c>
    </row>
    <row r="2584" ht="16.5" customHeight="1">
      <c r="A2584" s="32">
        <v>2580.0</v>
      </c>
      <c r="C2584" s="32" t="s">
        <v>3313</v>
      </c>
      <c r="D2584" s="32" t="s">
        <v>184</v>
      </c>
      <c r="E2584" s="32" t="s">
        <v>285</v>
      </c>
      <c r="F2584" s="32" t="s">
        <v>255</v>
      </c>
      <c r="G2584" s="32" t="s">
        <v>189</v>
      </c>
      <c r="H2584" s="32" t="s">
        <v>190</v>
      </c>
    </row>
    <row r="2585" ht="16.5" customHeight="1">
      <c r="A2585" s="32">
        <v>2581.0</v>
      </c>
      <c r="C2585" s="32" t="s">
        <v>3314</v>
      </c>
      <c r="D2585" s="32" t="s">
        <v>184</v>
      </c>
      <c r="E2585" s="32" t="s">
        <v>285</v>
      </c>
      <c r="F2585" s="32" t="s">
        <v>255</v>
      </c>
      <c r="G2585" s="32" t="s">
        <v>2952</v>
      </c>
      <c r="H2585" s="32" t="s">
        <v>3315</v>
      </c>
    </row>
    <row r="2586" ht="16.5" customHeight="1">
      <c r="A2586" s="32">
        <v>2582.0</v>
      </c>
      <c r="C2586" s="32" t="s">
        <v>3316</v>
      </c>
      <c r="D2586" s="32" t="s">
        <v>184</v>
      </c>
      <c r="E2586" s="32" t="s">
        <v>192</v>
      </c>
      <c r="F2586" s="32" t="s">
        <v>255</v>
      </c>
    </row>
    <row r="2587" ht="16.5" customHeight="1">
      <c r="A2587" s="32">
        <v>2583.0</v>
      </c>
      <c r="C2587" s="32" t="s">
        <v>3317</v>
      </c>
      <c r="D2587" s="32" t="s">
        <v>184</v>
      </c>
      <c r="E2587" s="32" t="s">
        <v>254</v>
      </c>
      <c r="F2587" s="32" t="s">
        <v>255</v>
      </c>
      <c r="G2587" s="32" t="s">
        <v>257</v>
      </c>
      <c r="H2587" s="32" t="s">
        <v>3318</v>
      </c>
    </row>
    <row r="2588" ht="16.5" customHeight="1">
      <c r="A2588" s="32">
        <v>2584.0</v>
      </c>
      <c r="C2588" s="32" t="s">
        <v>3319</v>
      </c>
      <c r="D2588" s="32" t="s">
        <v>184</v>
      </c>
      <c r="E2588" s="32" t="s">
        <v>285</v>
      </c>
      <c r="F2588" s="32" t="s">
        <v>399</v>
      </c>
      <c r="G2588" s="32" t="s">
        <v>188</v>
      </c>
      <c r="H2588" s="32" t="s">
        <v>665</v>
      </c>
    </row>
    <row r="2589" ht="16.5" customHeight="1">
      <c r="A2589" s="32">
        <v>2585.0</v>
      </c>
      <c r="C2589" s="32" t="s">
        <v>3320</v>
      </c>
      <c r="D2589" s="32" t="s">
        <v>184</v>
      </c>
      <c r="E2589" s="35" t="s">
        <v>3321</v>
      </c>
      <c r="F2589" s="32" t="s">
        <v>399</v>
      </c>
      <c r="G2589" s="32" t="s">
        <v>3322</v>
      </c>
      <c r="H2589" s="32" t="s">
        <v>3323</v>
      </c>
    </row>
    <row r="2590" ht="16.5" customHeight="1">
      <c r="A2590" s="32">
        <v>2586.0</v>
      </c>
      <c r="C2590" s="32" t="s">
        <v>3324</v>
      </c>
      <c r="D2590" s="32" t="s">
        <v>184</v>
      </c>
      <c r="E2590" s="32" t="s">
        <v>254</v>
      </c>
      <c r="F2590" s="32" t="s">
        <v>255</v>
      </c>
    </row>
    <row r="2591" ht="16.5" customHeight="1">
      <c r="A2591" s="32">
        <v>2587.0</v>
      </c>
      <c r="C2591" s="32" t="s">
        <v>3325</v>
      </c>
      <c r="D2591" s="32" t="s">
        <v>184</v>
      </c>
      <c r="E2591" s="32" t="s">
        <v>185</v>
      </c>
      <c r="F2591" s="32" t="s">
        <v>255</v>
      </c>
      <c r="G2591" s="32" t="s">
        <v>187</v>
      </c>
      <c r="H2591" s="32" t="s">
        <v>854</v>
      </c>
    </row>
    <row r="2592" ht="16.5" customHeight="1">
      <c r="A2592" s="32">
        <v>2588.0</v>
      </c>
      <c r="C2592" s="32" t="s">
        <v>3326</v>
      </c>
      <c r="D2592" s="32" t="s">
        <v>184</v>
      </c>
      <c r="E2592" s="32" t="s">
        <v>185</v>
      </c>
      <c r="F2592" s="32" t="s">
        <v>255</v>
      </c>
      <c r="G2592" s="32" t="s">
        <v>187</v>
      </c>
      <c r="H2592" s="32" t="s">
        <v>854</v>
      </c>
    </row>
    <row r="2593" ht="16.5" customHeight="1">
      <c r="A2593" s="32">
        <v>2589.0</v>
      </c>
      <c r="C2593" s="32" t="s">
        <v>3327</v>
      </c>
      <c r="D2593" s="32" t="s">
        <v>184</v>
      </c>
      <c r="E2593" s="32" t="s">
        <v>254</v>
      </c>
      <c r="F2593" s="32" t="s">
        <v>255</v>
      </c>
      <c r="G2593" s="32" t="s">
        <v>256</v>
      </c>
      <c r="H2593" s="32" t="s">
        <v>1707</v>
      </c>
    </row>
    <row r="2594" ht="16.5" customHeight="1">
      <c r="A2594" s="32">
        <v>2590.0</v>
      </c>
      <c r="C2594" s="32" t="s">
        <v>3328</v>
      </c>
      <c r="D2594" s="32" t="s">
        <v>184</v>
      </c>
      <c r="E2594" s="32" t="s">
        <v>254</v>
      </c>
      <c r="F2594" s="32" t="s">
        <v>255</v>
      </c>
    </row>
    <row r="2595" ht="16.5" customHeight="1">
      <c r="A2595" s="32">
        <v>2591.0</v>
      </c>
      <c r="C2595" s="32" t="s">
        <v>3329</v>
      </c>
      <c r="D2595" s="32" t="s">
        <v>184</v>
      </c>
      <c r="E2595" s="32" t="s">
        <v>254</v>
      </c>
      <c r="F2595" s="32" t="s">
        <v>255</v>
      </c>
      <c r="G2595" s="32" t="s">
        <v>305</v>
      </c>
      <c r="H2595" s="32" t="s">
        <v>311</v>
      </c>
    </row>
    <row r="2596" ht="16.5" customHeight="1">
      <c r="A2596" s="32">
        <v>2592.0</v>
      </c>
      <c r="C2596" s="32" t="s">
        <v>3330</v>
      </c>
      <c r="D2596" s="32" t="s">
        <v>184</v>
      </c>
      <c r="E2596" s="32" t="s">
        <v>254</v>
      </c>
      <c r="F2596" s="32" t="s">
        <v>255</v>
      </c>
      <c r="G2596" s="32" t="s">
        <v>305</v>
      </c>
      <c r="H2596" s="32" t="s">
        <v>600</v>
      </c>
    </row>
    <row r="2597" ht="16.5" customHeight="1">
      <c r="A2597" s="32">
        <v>2593.0</v>
      </c>
      <c r="C2597" s="32" t="s">
        <v>3331</v>
      </c>
      <c r="D2597" s="32" t="s">
        <v>184</v>
      </c>
      <c r="E2597" s="32" t="s">
        <v>254</v>
      </c>
      <c r="F2597" s="32" t="s">
        <v>255</v>
      </c>
      <c r="G2597" s="32" t="s">
        <v>3332</v>
      </c>
      <c r="H2597" s="32" t="s">
        <v>3333</v>
      </c>
    </row>
    <row r="2598" ht="16.5" customHeight="1">
      <c r="A2598" s="32">
        <v>2594.0</v>
      </c>
      <c r="C2598" s="32" t="s">
        <v>3334</v>
      </c>
      <c r="D2598" s="32" t="s">
        <v>184</v>
      </c>
      <c r="E2598" s="32" t="s">
        <v>254</v>
      </c>
      <c r="F2598" s="32" t="s">
        <v>255</v>
      </c>
    </row>
    <row r="2599" ht="16.5" customHeight="1">
      <c r="A2599" s="32">
        <v>2595.0</v>
      </c>
      <c r="C2599" s="32" t="s">
        <v>3335</v>
      </c>
      <c r="D2599" s="32" t="s">
        <v>184</v>
      </c>
      <c r="E2599" s="32" t="s">
        <v>254</v>
      </c>
      <c r="F2599" s="32" t="s">
        <v>346</v>
      </c>
    </row>
    <row r="2600" ht="16.5" customHeight="1">
      <c r="A2600" s="32">
        <v>2596.0</v>
      </c>
      <c r="C2600" s="32" t="s">
        <v>3336</v>
      </c>
      <c r="D2600" s="32" t="s">
        <v>184</v>
      </c>
      <c r="E2600" s="32" t="s">
        <v>185</v>
      </c>
      <c r="F2600" s="32" t="s">
        <v>346</v>
      </c>
    </row>
    <row r="2601" ht="16.5" customHeight="1">
      <c r="A2601" s="32">
        <v>2597.0</v>
      </c>
      <c r="C2601" s="32" t="s">
        <v>3337</v>
      </c>
      <c r="D2601" s="32" t="s">
        <v>184</v>
      </c>
      <c r="E2601" s="32" t="s">
        <v>185</v>
      </c>
      <c r="F2601" s="32" t="s">
        <v>346</v>
      </c>
    </row>
    <row r="2602" ht="16.5" customHeight="1">
      <c r="A2602" s="32">
        <v>2598.0</v>
      </c>
      <c r="C2602" s="32" t="s">
        <v>3338</v>
      </c>
      <c r="D2602" s="32" t="s">
        <v>184</v>
      </c>
      <c r="E2602" s="32" t="s">
        <v>219</v>
      </c>
      <c r="F2602" s="32" t="s">
        <v>346</v>
      </c>
      <c r="G2602" s="32" t="s">
        <v>508</v>
      </c>
    </row>
    <row r="2603" ht="16.5" customHeight="1">
      <c r="A2603" s="32">
        <v>2599.0</v>
      </c>
      <c r="C2603" s="32" t="s">
        <v>3339</v>
      </c>
      <c r="D2603" s="32" t="s">
        <v>184</v>
      </c>
      <c r="E2603" s="32" t="s">
        <v>285</v>
      </c>
      <c r="F2603" s="32" t="s">
        <v>346</v>
      </c>
      <c r="G2603" s="32" t="s">
        <v>552</v>
      </c>
    </row>
    <row r="2604" ht="16.5" customHeight="1">
      <c r="A2604" s="32">
        <v>2600.0</v>
      </c>
      <c r="C2604" s="32" t="s">
        <v>3340</v>
      </c>
      <c r="D2604" s="32" t="s">
        <v>184</v>
      </c>
      <c r="E2604" s="35" t="s">
        <v>294</v>
      </c>
      <c r="F2604" s="32" t="s">
        <v>346</v>
      </c>
    </row>
    <row r="2605" ht="16.5" customHeight="1">
      <c r="A2605" s="32">
        <v>2601.0</v>
      </c>
      <c r="C2605" s="32" t="s">
        <v>3341</v>
      </c>
      <c r="D2605" s="32" t="s">
        <v>184</v>
      </c>
      <c r="E2605" s="32" t="s">
        <v>192</v>
      </c>
      <c r="F2605" s="32" t="s">
        <v>346</v>
      </c>
    </row>
    <row r="2606" ht="16.5" customHeight="1">
      <c r="A2606" s="32">
        <v>2602.0</v>
      </c>
      <c r="C2606" s="32" t="s">
        <v>3342</v>
      </c>
      <c r="D2606" s="32" t="s">
        <v>184</v>
      </c>
      <c r="E2606" s="32" t="s">
        <v>192</v>
      </c>
      <c r="F2606" s="32" t="s">
        <v>346</v>
      </c>
      <c r="G2606" s="32" t="s">
        <v>300</v>
      </c>
      <c r="H2606" s="32" t="s">
        <v>3343</v>
      </c>
    </row>
    <row r="2607" ht="16.5" customHeight="1">
      <c r="A2607" s="32">
        <v>2603.0</v>
      </c>
      <c r="C2607" s="32" t="s">
        <v>3344</v>
      </c>
      <c r="D2607" s="32" t="s">
        <v>184</v>
      </c>
      <c r="E2607" s="32" t="s">
        <v>185</v>
      </c>
      <c r="F2607" s="32" t="s">
        <v>346</v>
      </c>
    </row>
    <row r="2608" ht="16.5" customHeight="1">
      <c r="A2608" s="32">
        <v>2604.0</v>
      </c>
      <c r="C2608" s="32" t="s">
        <v>3345</v>
      </c>
      <c r="D2608" s="32" t="s">
        <v>184</v>
      </c>
      <c r="E2608" s="32" t="s">
        <v>254</v>
      </c>
      <c r="F2608" s="32" t="s">
        <v>346</v>
      </c>
      <c r="G2608" s="32" t="s">
        <v>275</v>
      </c>
    </row>
    <row r="2609" ht="16.5" customHeight="1">
      <c r="A2609" s="32">
        <v>2605.0</v>
      </c>
      <c r="C2609" s="32" t="s">
        <v>3346</v>
      </c>
      <c r="D2609" s="32" t="s">
        <v>184</v>
      </c>
      <c r="E2609" s="32" t="s">
        <v>185</v>
      </c>
      <c r="F2609" s="32" t="s">
        <v>346</v>
      </c>
      <c r="G2609" s="32" t="s">
        <v>275</v>
      </c>
    </row>
    <row r="2610" ht="16.5" customHeight="1">
      <c r="A2610" s="32">
        <v>2606.0</v>
      </c>
      <c r="C2610" s="32" t="s">
        <v>3347</v>
      </c>
      <c r="D2610" s="32" t="s">
        <v>184</v>
      </c>
      <c r="E2610" s="35" t="s">
        <v>3183</v>
      </c>
      <c r="F2610" s="32" t="s">
        <v>346</v>
      </c>
    </row>
    <row r="2611" ht="16.5" customHeight="1">
      <c r="A2611" s="32">
        <v>2607.0</v>
      </c>
      <c r="C2611" s="32" t="s">
        <v>3348</v>
      </c>
      <c r="D2611" s="32" t="s">
        <v>184</v>
      </c>
      <c r="E2611" s="32" t="s">
        <v>234</v>
      </c>
      <c r="F2611" s="32" t="s">
        <v>346</v>
      </c>
    </row>
    <row r="2612" ht="16.5" customHeight="1">
      <c r="A2612" s="32">
        <v>2608.0</v>
      </c>
      <c r="C2612" s="32" t="s">
        <v>3349</v>
      </c>
      <c r="D2612" s="32" t="s">
        <v>184</v>
      </c>
      <c r="E2612" s="32" t="s">
        <v>285</v>
      </c>
      <c r="F2612" s="32" t="s">
        <v>346</v>
      </c>
    </row>
    <row r="2613" ht="16.5" customHeight="1">
      <c r="A2613" s="32">
        <v>2609.0</v>
      </c>
      <c r="C2613" s="32" t="s">
        <v>3350</v>
      </c>
      <c r="D2613" s="32" t="s">
        <v>184</v>
      </c>
      <c r="E2613" s="32" t="s">
        <v>192</v>
      </c>
      <c r="F2613" s="32" t="s">
        <v>186</v>
      </c>
      <c r="G2613" s="32" t="s">
        <v>329</v>
      </c>
      <c r="H2613" s="32" t="s">
        <v>457</v>
      </c>
    </row>
    <row r="2614" ht="16.5" customHeight="1">
      <c r="A2614" s="32">
        <v>2610.0</v>
      </c>
      <c r="C2614" s="32" t="s">
        <v>3351</v>
      </c>
      <c r="D2614" s="32" t="s">
        <v>184</v>
      </c>
      <c r="E2614" s="32" t="s">
        <v>192</v>
      </c>
      <c r="F2614" s="32" t="s">
        <v>346</v>
      </c>
    </row>
    <row r="2615" ht="16.5" customHeight="1">
      <c r="A2615" s="32">
        <v>2611.0</v>
      </c>
      <c r="C2615" s="32" t="s">
        <v>3352</v>
      </c>
      <c r="D2615" s="32" t="s">
        <v>184</v>
      </c>
      <c r="E2615" s="32" t="s">
        <v>192</v>
      </c>
      <c r="F2615" s="32" t="s">
        <v>346</v>
      </c>
    </row>
    <row r="2616" ht="16.5" customHeight="1">
      <c r="A2616" s="32">
        <v>2612.0</v>
      </c>
      <c r="C2616" s="32" t="s">
        <v>3353</v>
      </c>
      <c r="D2616" s="32" t="s">
        <v>184</v>
      </c>
      <c r="E2616" s="32" t="s">
        <v>192</v>
      </c>
      <c r="F2616" s="32" t="s">
        <v>346</v>
      </c>
      <c r="G2616" s="32" t="s">
        <v>329</v>
      </c>
      <c r="H2616" s="32" t="s">
        <v>447</v>
      </c>
    </row>
    <row r="2617" ht="16.5" customHeight="1">
      <c r="A2617" s="32">
        <v>2613.0</v>
      </c>
      <c r="C2617" s="32" t="s">
        <v>3354</v>
      </c>
      <c r="D2617" s="32" t="s">
        <v>184</v>
      </c>
      <c r="E2617" s="32" t="s">
        <v>219</v>
      </c>
      <c r="F2617" s="32" t="s">
        <v>346</v>
      </c>
      <c r="G2617" s="32" t="s">
        <v>232</v>
      </c>
      <c r="H2617" s="32" t="s">
        <v>241</v>
      </c>
    </row>
    <row r="2618" ht="16.5" customHeight="1">
      <c r="A2618" s="32">
        <v>2614.0</v>
      </c>
      <c r="C2618" s="32" t="s">
        <v>3355</v>
      </c>
      <c r="D2618" s="32" t="s">
        <v>184</v>
      </c>
      <c r="E2618" s="32" t="s">
        <v>219</v>
      </c>
      <c r="F2618" s="32" t="s">
        <v>346</v>
      </c>
    </row>
    <row r="2619" ht="16.5" customHeight="1">
      <c r="A2619" s="32">
        <v>2615.0</v>
      </c>
      <c r="C2619" s="32" t="s">
        <v>3356</v>
      </c>
      <c r="D2619" s="32" t="s">
        <v>184</v>
      </c>
      <c r="E2619" s="32" t="s">
        <v>219</v>
      </c>
      <c r="F2619" s="32" t="s">
        <v>346</v>
      </c>
    </row>
    <row r="2620" ht="16.5" customHeight="1">
      <c r="A2620" s="32">
        <v>2616.0</v>
      </c>
      <c r="C2620" s="32" t="s">
        <v>3357</v>
      </c>
      <c r="D2620" s="32" t="s">
        <v>184</v>
      </c>
      <c r="E2620" s="32" t="s">
        <v>192</v>
      </c>
      <c r="F2620" s="32" t="s">
        <v>346</v>
      </c>
    </row>
    <row r="2621" ht="16.5" customHeight="1">
      <c r="A2621" s="32">
        <v>2617.0</v>
      </c>
      <c r="C2621" s="32" t="s">
        <v>3358</v>
      </c>
      <c r="D2621" s="32" t="s">
        <v>184</v>
      </c>
      <c r="E2621" s="32" t="s">
        <v>228</v>
      </c>
      <c r="F2621" s="32" t="s">
        <v>346</v>
      </c>
    </row>
    <row r="2622" ht="16.5" customHeight="1">
      <c r="A2622" s="32">
        <v>2618.0</v>
      </c>
      <c r="C2622" s="32" t="s">
        <v>3359</v>
      </c>
      <c r="D2622" s="32" t="s">
        <v>184</v>
      </c>
      <c r="E2622" s="32" t="s">
        <v>325</v>
      </c>
      <c r="F2622" s="32" t="s">
        <v>346</v>
      </c>
    </row>
    <row r="2623" ht="16.5" customHeight="1">
      <c r="A2623" s="32">
        <v>2619.0</v>
      </c>
      <c r="C2623" s="32" t="s">
        <v>3360</v>
      </c>
      <c r="D2623" s="32" t="s">
        <v>184</v>
      </c>
      <c r="E2623" s="32" t="s">
        <v>325</v>
      </c>
      <c r="F2623" s="32" t="s">
        <v>346</v>
      </c>
      <c r="G2623" s="32" t="s">
        <v>368</v>
      </c>
      <c r="H2623" s="32" t="s">
        <v>463</v>
      </c>
    </row>
    <row r="2624" ht="16.5" customHeight="1">
      <c r="A2624" s="32">
        <v>2620.0</v>
      </c>
      <c r="C2624" s="32" t="s">
        <v>3361</v>
      </c>
      <c r="D2624" s="32" t="s">
        <v>184</v>
      </c>
      <c r="E2624" s="32" t="s">
        <v>285</v>
      </c>
      <c r="F2624" s="32" t="s">
        <v>346</v>
      </c>
      <c r="G2624" s="32" t="s">
        <v>189</v>
      </c>
      <c r="H2624" s="32" t="s">
        <v>190</v>
      </c>
    </row>
    <row r="2625" ht="16.5" customHeight="1">
      <c r="A2625" s="32">
        <v>2621.0</v>
      </c>
      <c r="C2625" s="32" t="s">
        <v>3362</v>
      </c>
      <c r="D2625" s="32" t="s">
        <v>184</v>
      </c>
      <c r="E2625" s="32" t="s">
        <v>234</v>
      </c>
      <c r="F2625" s="32" t="s">
        <v>346</v>
      </c>
      <c r="G2625" s="32" t="s">
        <v>347</v>
      </c>
      <c r="H2625" s="32" t="s">
        <v>382</v>
      </c>
    </row>
    <row r="2626" ht="16.5" customHeight="1">
      <c r="A2626" s="32">
        <v>2622.0</v>
      </c>
      <c r="C2626" s="32" t="s">
        <v>3363</v>
      </c>
      <c r="D2626" s="32" t="s">
        <v>184</v>
      </c>
      <c r="E2626" s="32" t="s">
        <v>234</v>
      </c>
      <c r="F2626" s="32" t="s">
        <v>346</v>
      </c>
    </row>
    <row r="2627" ht="16.5" customHeight="1">
      <c r="A2627" s="32">
        <v>2623.0</v>
      </c>
      <c r="C2627" s="32" t="s">
        <v>3364</v>
      </c>
      <c r="D2627" s="32" t="s">
        <v>184</v>
      </c>
      <c r="E2627" s="32" t="s">
        <v>234</v>
      </c>
      <c r="F2627" s="32" t="s">
        <v>346</v>
      </c>
      <c r="G2627" s="32" t="s">
        <v>347</v>
      </c>
      <c r="H2627" s="32" t="s">
        <v>382</v>
      </c>
    </row>
    <row r="2628" ht="16.5" customHeight="1">
      <c r="A2628" s="32">
        <v>2624.0</v>
      </c>
      <c r="C2628" s="32" t="s">
        <v>3365</v>
      </c>
      <c r="D2628" s="32" t="s">
        <v>184</v>
      </c>
      <c r="E2628" s="32" t="s">
        <v>234</v>
      </c>
      <c r="F2628" s="32" t="s">
        <v>346</v>
      </c>
      <c r="G2628" s="32" t="s">
        <v>347</v>
      </c>
      <c r="H2628" s="32" t="s">
        <v>382</v>
      </c>
    </row>
    <row r="2629" ht="16.5" customHeight="1">
      <c r="A2629" s="32">
        <v>2625.0</v>
      </c>
      <c r="C2629" s="32" t="s">
        <v>3366</v>
      </c>
      <c r="D2629" s="32" t="s">
        <v>184</v>
      </c>
      <c r="E2629" s="32" t="s">
        <v>234</v>
      </c>
      <c r="F2629" s="32" t="s">
        <v>346</v>
      </c>
      <c r="G2629" s="32" t="s">
        <v>347</v>
      </c>
      <c r="H2629" s="32" t="s">
        <v>382</v>
      </c>
    </row>
    <row r="2630" ht="16.5" customHeight="1">
      <c r="A2630" s="32">
        <v>2626.0</v>
      </c>
      <c r="C2630" s="32" t="s">
        <v>3367</v>
      </c>
      <c r="D2630" s="32" t="s">
        <v>184</v>
      </c>
      <c r="E2630" s="32" t="s">
        <v>234</v>
      </c>
      <c r="F2630" s="32" t="s">
        <v>346</v>
      </c>
      <c r="G2630" s="32" t="s">
        <v>347</v>
      </c>
      <c r="H2630" s="32" t="s">
        <v>382</v>
      </c>
    </row>
    <row r="2631" ht="16.5" customHeight="1">
      <c r="A2631" s="32">
        <v>2627.0</v>
      </c>
      <c r="C2631" s="32" t="s">
        <v>3368</v>
      </c>
      <c r="D2631" s="32" t="s">
        <v>184</v>
      </c>
      <c r="E2631" s="32" t="s">
        <v>234</v>
      </c>
      <c r="F2631" s="32" t="s">
        <v>346</v>
      </c>
      <c r="G2631" s="32" t="s">
        <v>347</v>
      </c>
    </row>
    <row r="2632" ht="16.5" customHeight="1">
      <c r="A2632" s="32">
        <v>2628.0</v>
      </c>
      <c r="C2632" s="32" t="s">
        <v>3369</v>
      </c>
      <c r="D2632" s="32" t="s">
        <v>184</v>
      </c>
      <c r="E2632" s="32" t="s">
        <v>285</v>
      </c>
      <c r="F2632" s="32" t="s">
        <v>346</v>
      </c>
      <c r="G2632" s="32" t="s">
        <v>189</v>
      </c>
      <c r="H2632" s="32" t="s">
        <v>190</v>
      </c>
    </row>
    <row r="2633" ht="16.5" customHeight="1">
      <c r="A2633" s="32">
        <v>2629.0</v>
      </c>
      <c r="C2633" s="32" t="s">
        <v>3370</v>
      </c>
      <c r="D2633" s="32" t="s">
        <v>184</v>
      </c>
      <c r="E2633" s="35" t="s">
        <v>294</v>
      </c>
      <c r="F2633" s="32" t="s">
        <v>346</v>
      </c>
    </row>
    <row r="2634" ht="16.5" customHeight="1">
      <c r="A2634" s="32">
        <v>2630.0</v>
      </c>
      <c r="C2634" s="32" t="s">
        <v>3371</v>
      </c>
      <c r="D2634" s="32" t="s">
        <v>184</v>
      </c>
      <c r="E2634" s="32" t="s">
        <v>234</v>
      </c>
      <c r="F2634" s="32" t="s">
        <v>346</v>
      </c>
      <c r="G2634" s="32" t="s">
        <v>347</v>
      </c>
      <c r="H2634" s="32" t="s">
        <v>382</v>
      </c>
    </row>
    <row r="2635" ht="16.5" customHeight="1">
      <c r="A2635" s="32">
        <v>2631.0</v>
      </c>
      <c r="C2635" s="32" t="s">
        <v>3372</v>
      </c>
      <c r="D2635" s="32" t="s">
        <v>184</v>
      </c>
      <c r="E2635" s="32" t="s">
        <v>234</v>
      </c>
      <c r="F2635" s="32" t="s">
        <v>346</v>
      </c>
    </row>
    <row r="2636" ht="16.5" customHeight="1">
      <c r="A2636" s="32">
        <v>2632.0</v>
      </c>
      <c r="C2636" s="32" t="s">
        <v>3373</v>
      </c>
      <c r="D2636" s="32" t="s">
        <v>184</v>
      </c>
      <c r="E2636" s="32" t="s">
        <v>234</v>
      </c>
      <c r="F2636" s="32" t="s">
        <v>346</v>
      </c>
      <c r="G2636" s="32" t="s">
        <v>347</v>
      </c>
      <c r="H2636" s="32" t="s">
        <v>382</v>
      </c>
    </row>
    <row r="2637" ht="16.5" customHeight="1">
      <c r="A2637" s="32">
        <v>2633.0</v>
      </c>
      <c r="C2637" s="32" t="s">
        <v>3374</v>
      </c>
      <c r="D2637" s="32" t="s">
        <v>184</v>
      </c>
      <c r="E2637" s="32" t="s">
        <v>254</v>
      </c>
      <c r="F2637" s="32" t="s">
        <v>346</v>
      </c>
    </row>
    <row r="2638" ht="16.5" customHeight="1">
      <c r="A2638" s="32">
        <v>2634.0</v>
      </c>
      <c r="C2638" s="32" t="s">
        <v>3375</v>
      </c>
      <c r="D2638" s="32" t="s">
        <v>184</v>
      </c>
      <c r="E2638" s="32" t="s">
        <v>325</v>
      </c>
      <c r="F2638" s="32" t="s">
        <v>346</v>
      </c>
      <c r="G2638" s="32" t="s">
        <v>368</v>
      </c>
      <c r="H2638" s="32" t="s">
        <v>463</v>
      </c>
    </row>
    <row r="2639" ht="16.5" customHeight="1">
      <c r="A2639" s="32">
        <v>2635.0</v>
      </c>
      <c r="C2639" s="32" t="s">
        <v>3376</v>
      </c>
      <c r="D2639" s="32" t="s">
        <v>184</v>
      </c>
      <c r="E2639" s="32" t="s">
        <v>192</v>
      </c>
      <c r="F2639" s="32" t="s">
        <v>346</v>
      </c>
      <c r="G2639" s="32" t="s">
        <v>300</v>
      </c>
      <c r="H2639" s="32" t="s">
        <v>387</v>
      </c>
    </row>
    <row r="2640" ht="16.5" customHeight="1">
      <c r="A2640" s="32">
        <v>2636.0</v>
      </c>
      <c r="C2640" s="32" t="s">
        <v>3377</v>
      </c>
      <c r="D2640" s="32" t="s">
        <v>184</v>
      </c>
      <c r="E2640" s="32" t="s">
        <v>285</v>
      </c>
      <c r="F2640" s="32" t="s">
        <v>346</v>
      </c>
      <c r="G2640" s="32" t="s">
        <v>347</v>
      </c>
      <c r="H2640" s="32" t="s">
        <v>382</v>
      </c>
    </row>
    <row r="2641" ht="16.5" customHeight="1">
      <c r="A2641" s="32">
        <v>2637.0</v>
      </c>
      <c r="C2641" s="32" t="s">
        <v>3378</v>
      </c>
      <c r="D2641" s="32" t="s">
        <v>184</v>
      </c>
      <c r="E2641" s="32" t="s">
        <v>192</v>
      </c>
      <c r="F2641" s="32" t="s">
        <v>346</v>
      </c>
      <c r="G2641" s="32" t="s">
        <v>238</v>
      </c>
      <c r="H2641" s="32" t="s">
        <v>1621</v>
      </c>
    </row>
    <row r="2642" ht="16.5" customHeight="1">
      <c r="A2642" s="32">
        <v>2638.0</v>
      </c>
      <c r="C2642" s="32" t="s">
        <v>3379</v>
      </c>
      <c r="D2642" s="32" t="s">
        <v>184</v>
      </c>
      <c r="E2642" s="32" t="s">
        <v>192</v>
      </c>
      <c r="F2642" s="32" t="s">
        <v>346</v>
      </c>
      <c r="G2642" s="32" t="s">
        <v>238</v>
      </c>
      <c r="H2642" s="32" t="s">
        <v>618</v>
      </c>
    </row>
    <row r="2643" ht="16.5" customHeight="1">
      <c r="A2643" s="32">
        <v>2639.0</v>
      </c>
      <c r="C2643" s="32" t="s">
        <v>3380</v>
      </c>
      <c r="D2643" s="32" t="s">
        <v>184</v>
      </c>
      <c r="E2643" s="32" t="s">
        <v>214</v>
      </c>
      <c r="F2643" s="32" t="s">
        <v>346</v>
      </c>
    </row>
    <row r="2644" ht="16.5" customHeight="1">
      <c r="A2644" s="32">
        <v>2640.0</v>
      </c>
      <c r="C2644" s="32" t="s">
        <v>3381</v>
      </c>
      <c r="D2644" s="32" t="s">
        <v>184</v>
      </c>
      <c r="E2644" s="32" t="s">
        <v>219</v>
      </c>
      <c r="F2644" s="32" t="s">
        <v>346</v>
      </c>
    </row>
    <row r="2645" ht="16.5" customHeight="1">
      <c r="A2645" s="32">
        <v>2641.0</v>
      </c>
      <c r="C2645" s="32" t="s">
        <v>3382</v>
      </c>
      <c r="D2645" s="32" t="s">
        <v>184</v>
      </c>
      <c r="E2645" s="32" t="s">
        <v>192</v>
      </c>
      <c r="F2645" s="32" t="s">
        <v>346</v>
      </c>
      <c r="G2645" s="32" t="s">
        <v>329</v>
      </c>
      <c r="H2645" s="32" t="s">
        <v>457</v>
      </c>
    </row>
    <row r="2646" ht="16.5" customHeight="1">
      <c r="A2646" s="32">
        <v>2642.0</v>
      </c>
      <c r="C2646" s="32" t="s">
        <v>3382</v>
      </c>
      <c r="D2646" s="32" t="s">
        <v>184</v>
      </c>
      <c r="E2646" s="32" t="s">
        <v>192</v>
      </c>
      <c r="F2646" s="32" t="s">
        <v>346</v>
      </c>
      <c r="G2646" s="32" t="s">
        <v>570</v>
      </c>
      <c r="H2646" s="32" t="s">
        <v>447</v>
      </c>
    </row>
    <row r="2647" ht="16.5" customHeight="1">
      <c r="A2647" s="32">
        <v>2643.0</v>
      </c>
      <c r="C2647" s="32" t="s">
        <v>3383</v>
      </c>
      <c r="D2647" s="32" t="s">
        <v>184</v>
      </c>
      <c r="E2647" s="32" t="s">
        <v>192</v>
      </c>
      <c r="F2647" s="32" t="s">
        <v>346</v>
      </c>
      <c r="G2647" s="32" t="s">
        <v>570</v>
      </c>
      <c r="H2647" s="32" t="s">
        <v>447</v>
      </c>
    </row>
    <row r="2648" ht="16.5" customHeight="1">
      <c r="A2648" s="32">
        <v>2644.0</v>
      </c>
      <c r="C2648" s="32" t="s">
        <v>3384</v>
      </c>
      <c r="D2648" s="32" t="s">
        <v>184</v>
      </c>
      <c r="E2648" s="32" t="s">
        <v>192</v>
      </c>
      <c r="F2648" s="32" t="s">
        <v>346</v>
      </c>
      <c r="G2648" s="32" t="s">
        <v>570</v>
      </c>
      <c r="H2648" s="32" t="s">
        <v>447</v>
      </c>
    </row>
    <row r="2649" ht="16.5" customHeight="1">
      <c r="A2649" s="32">
        <v>2645.0</v>
      </c>
      <c r="C2649" s="32" t="s">
        <v>3385</v>
      </c>
      <c r="D2649" s="32" t="s">
        <v>184</v>
      </c>
      <c r="E2649" s="32" t="s">
        <v>185</v>
      </c>
      <c r="F2649" s="32" t="s">
        <v>346</v>
      </c>
    </row>
    <row r="2650" ht="16.5" customHeight="1">
      <c r="A2650" s="32">
        <v>2646.0</v>
      </c>
      <c r="C2650" s="32" t="s">
        <v>3386</v>
      </c>
      <c r="D2650" s="32" t="s">
        <v>184</v>
      </c>
      <c r="E2650" s="32" t="s">
        <v>185</v>
      </c>
      <c r="F2650" s="32" t="s">
        <v>346</v>
      </c>
      <c r="G2650" s="32" t="s">
        <v>187</v>
      </c>
      <c r="H2650" s="32" t="s">
        <v>2646</v>
      </c>
    </row>
    <row r="2651" ht="16.5" customHeight="1">
      <c r="A2651" s="32">
        <v>2647.0</v>
      </c>
      <c r="C2651" s="32" t="s">
        <v>3387</v>
      </c>
      <c r="D2651" s="32" t="s">
        <v>184</v>
      </c>
      <c r="E2651" s="32" t="s">
        <v>185</v>
      </c>
      <c r="F2651" s="32" t="s">
        <v>346</v>
      </c>
      <c r="G2651" s="32" t="s">
        <v>187</v>
      </c>
      <c r="H2651" s="32" t="s">
        <v>188</v>
      </c>
    </row>
    <row r="2652" ht="16.5" customHeight="1">
      <c r="A2652" s="32">
        <v>2648.0</v>
      </c>
      <c r="C2652" s="32" t="s">
        <v>3388</v>
      </c>
      <c r="D2652" s="32" t="s">
        <v>184</v>
      </c>
      <c r="E2652" s="32" t="s">
        <v>185</v>
      </c>
      <c r="F2652" s="32" t="s">
        <v>346</v>
      </c>
      <c r="G2652" s="32" t="s">
        <v>187</v>
      </c>
      <c r="H2652" s="32" t="s">
        <v>188</v>
      </c>
    </row>
    <row r="2653" ht="16.5" customHeight="1">
      <c r="A2653" s="32">
        <v>2649.0</v>
      </c>
      <c r="C2653" s="32" t="s">
        <v>3389</v>
      </c>
      <c r="D2653" s="32" t="s">
        <v>184</v>
      </c>
      <c r="E2653" s="32" t="s">
        <v>185</v>
      </c>
      <c r="F2653" s="32" t="s">
        <v>346</v>
      </c>
      <c r="G2653" s="32" t="s">
        <v>187</v>
      </c>
      <c r="H2653" s="32" t="s">
        <v>188</v>
      </c>
    </row>
    <row r="2654" ht="16.5" customHeight="1">
      <c r="A2654" s="32">
        <v>2650.0</v>
      </c>
      <c r="C2654" s="32" t="s">
        <v>3390</v>
      </c>
      <c r="D2654" s="32" t="s">
        <v>184</v>
      </c>
      <c r="E2654" s="32" t="s">
        <v>185</v>
      </c>
      <c r="F2654" s="35" t="s">
        <v>3391</v>
      </c>
      <c r="G2654" s="32" t="s">
        <v>187</v>
      </c>
      <c r="H2654" s="32" t="s">
        <v>854</v>
      </c>
    </row>
    <row r="2655" ht="16.5" customHeight="1">
      <c r="A2655" s="32">
        <v>2651.0</v>
      </c>
      <c r="C2655" s="32" t="s">
        <v>3392</v>
      </c>
      <c r="D2655" s="32" t="s">
        <v>184</v>
      </c>
      <c r="E2655" s="32" t="s">
        <v>285</v>
      </c>
      <c r="F2655" s="32" t="s">
        <v>346</v>
      </c>
    </row>
    <row r="2656" ht="16.5" customHeight="1">
      <c r="A2656" s="32">
        <v>2652.0</v>
      </c>
      <c r="C2656" s="32" t="s">
        <v>3393</v>
      </c>
      <c r="D2656" s="32" t="s">
        <v>184</v>
      </c>
      <c r="E2656" s="32" t="s">
        <v>285</v>
      </c>
      <c r="F2656" s="32" t="s">
        <v>346</v>
      </c>
      <c r="G2656" s="32" t="s">
        <v>189</v>
      </c>
      <c r="H2656" s="32" t="s">
        <v>190</v>
      </c>
    </row>
    <row r="2657" ht="16.5" customHeight="1">
      <c r="A2657" s="32">
        <v>2653.0</v>
      </c>
      <c r="C2657" s="32" t="s">
        <v>3394</v>
      </c>
      <c r="D2657" s="32" t="s">
        <v>184</v>
      </c>
      <c r="E2657" s="32" t="s">
        <v>185</v>
      </c>
      <c r="F2657" s="32" t="s">
        <v>346</v>
      </c>
      <c r="G2657" s="32" t="s">
        <v>1878</v>
      </c>
      <c r="H2657" s="32" t="s">
        <v>857</v>
      </c>
    </row>
    <row r="2658" ht="16.5" customHeight="1">
      <c r="A2658" s="32">
        <v>2654.0</v>
      </c>
      <c r="C2658" s="32" t="s">
        <v>3394</v>
      </c>
      <c r="D2658" s="32" t="s">
        <v>184</v>
      </c>
      <c r="E2658" s="32" t="s">
        <v>285</v>
      </c>
      <c r="F2658" s="32" t="s">
        <v>346</v>
      </c>
      <c r="G2658" s="32" t="s">
        <v>189</v>
      </c>
      <c r="H2658" s="32" t="s">
        <v>1939</v>
      </c>
    </row>
    <row r="2659" ht="16.5" customHeight="1">
      <c r="A2659" s="32">
        <v>2655.0</v>
      </c>
      <c r="C2659" s="32" t="s">
        <v>3395</v>
      </c>
      <c r="D2659" s="32" t="s">
        <v>184</v>
      </c>
      <c r="E2659" s="32" t="s">
        <v>234</v>
      </c>
      <c r="F2659" s="32" t="s">
        <v>346</v>
      </c>
      <c r="G2659" s="32" t="s">
        <v>415</v>
      </c>
      <c r="H2659" s="32" t="s">
        <v>243</v>
      </c>
    </row>
    <row r="2660" ht="16.5" customHeight="1">
      <c r="A2660" s="32">
        <v>2656.0</v>
      </c>
      <c r="C2660" s="32" t="s">
        <v>3396</v>
      </c>
      <c r="D2660" s="32" t="s">
        <v>184</v>
      </c>
      <c r="E2660" s="32" t="s">
        <v>234</v>
      </c>
      <c r="F2660" s="32" t="s">
        <v>346</v>
      </c>
    </row>
    <row r="2661" ht="16.5" customHeight="1">
      <c r="A2661" s="32">
        <v>2657.0</v>
      </c>
      <c r="C2661" s="32" t="s">
        <v>3397</v>
      </c>
      <c r="D2661" s="32" t="s">
        <v>184</v>
      </c>
      <c r="E2661" s="32" t="s">
        <v>234</v>
      </c>
      <c r="F2661" s="32" t="s">
        <v>346</v>
      </c>
      <c r="G2661" s="32" t="s">
        <v>415</v>
      </c>
      <c r="H2661" s="32" t="s">
        <v>243</v>
      </c>
    </row>
    <row r="2662" ht="16.5" customHeight="1">
      <c r="A2662" s="32">
        <v>2658.0</v>
      </c>
      <c r="C2662" s="32" t="s">
        <v>3398</v>
      </c>
      <c r="D2662" s="32" t="s">
        <v>184</v>
      </c>
      <c r="E2662" s="32" t="s">
        <v>234</v>
      </c>
      <c r="F2662" s="32" t="s">
        <v>346</v>
      </c>
      <c r="G2662" s="32" t="s">
        <v>415</v>
      </c>
      <c r="H2662" s="32" t="s">
        <v>243</v>
      </c>
    </row>
    <row r="2663" ht="16.5" customHeight="1">
      <c r="A2663" s="32">
        <v>2659.0</v>
      </c>
      <c r="C2663" s="32" t="s">
        <v>3399</v>
      </c>
      <c r="D2663" s="32" t="s">
        <v>184</v>
      </c>
      <c r="E2663" s="32" t="s">
        <v>234</v>
      </c>
      <c r="F2663" s="32" t="s">
        <v>346</v>
      </c>
      <c r="G2663" s="32" t="s">
        <v>235</v>
      </c>
      <c r="H2663" s="32" t="s">
        <v>229</v>
      </c>
    </row>
    <row r="2664" ht="16.5" customHeight="1">
      <c r="A2664" s="32">
        <v>2660.0</v>
      </c>
      <c r="C2664" s="32" t="s">
        <v>3400</v>
      </c>
      <c r="D2664" s="32" t="s">
        <v>184</v>
      </c>
      <c r="E2664" s="32" t="s">
        <v>234</v>
      </c>
      <c r="F2664" s="32" t="s">
        <v>346</v>
      </c>
      <c r="G2664" s="32" t="s">
        <v>415</v>
      </c>
      <c r="H2664" s="32" t="s">
        <v>2329</v>
      </c>
    </row>
    <row r="2665" ht="16.5" customHeight="1">
      <c r="A2665" s="32">
        <v>2661.0</v>
      </c>
      <c r="C2665" s="32" t="s">
        <v>3401</v>
      </c>
      <c r="D2665" s="32" t="s">
        <v>184</v>
      </c>
      <c r="E2665" s="32" t="s">
        <v>234</v>
      </c>
      <c r="F2665" s="32" t="s">
        <v>346</v>
      </c>
      <c r="G2665" s="32" t="s">
        <v>415</v>
      </c>
      <c r="H2665" s="32" t="s">
        <v>243</v>
      </c>
    </row>
    <row r="2666" ht="16.5" customHeight="1">
      <c r="A2666" s="32">
        <v>2662.0</v>
      </c>
      <c r="C2666" s="32" t="s">
        <v>3402</v>
      </c>
      <c r="D2666" s="32" t="s">
        <v>184</v>
      </c>
      <c r="E2666" s="32" t="s">
        <v>234</v>
      </c>
      <c r="F2666" s="32" t="s">
        <v>346</v>
      </c>
    </row>
    <row r="2667" ht="16.5" customHeight="1">
      <c r="A2667" s="32">
        <v>2663.0</v>
      </c>
      <c r="C2667" s="32" t="s">
        <v>3403</v>
      </c>
      <c r="D2667" s="32" t="s">
        <v>184</v>
      </c>
      <c r="E2667" s="32" t="s">
        <v>285</v>
      </c>
      <c r="F2667" s="32" t="s">
        <v>346</v>
      </c>
      <c r="G2667" s="32" t="s">
        <v>188</v>
      </c>
      <c r="H2667" s="32" t="s">
        <v>561</v>
      </c>
    </row>
    <row r="2668" ht="16.5" customHeight="1">
      <c r="A2668" s="32">
        <v>2664.0</v>
      </c>
      <c r="C2668" s="32" t="s">
        <v>3404</v>
      </c>
      <c r="D2668" s="32" t="s">
        <v>184</v>
      </c>
      <c r="E2668" s="32" t="s">
        <v>285</v>
      </c>
      <c r="F2668" s="32" t="s">
        <v>346</v>
      </c>
      <c r="G2668" s="32" t="s">
        <v>188</v>
      </c>
      <c r="H2668" s="32" t="s">
        <v>368</v>
      </c>
    </row>
    <row r="2669" ht="16.5" customHeight="1">
      <c r="A2669" s="32">
        <v>2665.0</v>
      </c>
      <c r="C2669" s="32" t="s">
        <v>3405</v>
      </c>
      <c r="D2669" s="32" t="s">
        <v>184</v>
      </c>
      <c r="E2669" s="32" t="s">
        <v>185</v>
      </c>
      <c r="F2669" s="32" t="s">
        <v>346</v>
      </c>
    </row>
    <row r="2670" ht="16.5" customHeight="1">
      <c r="A2670" s="32">
        <v>2666.0</v>
      </c>
      <c r="C2670" s="32" t="s">
        <v>3406</v>
      </c>
      <c r="D2670" s="32" t="s">
        <v>184</v>
      </c>
      <c r="E2670" s="32" t="s">
        <v>254</v>
      </c>
      <c r="F2670" s="32" t="s">
        <v>346</v>
      </c>
      <c r="G2670" s="32" t="s">
        <v>257</v>
      </c>
    </row>
    <row r="2671" ht="16.5" customHeight="1">
      <c r="A2671" s="32">
        <v>2667.0</v>
      </c>
      <c r="C2671" s="32" t="s">
        <v>3407</v>
      </c>
      <c r="D2671" s="32" t="s">
        <v>184</v>
      </c>
      <c r="E2671" s="32" t="s">
        <v>192</v>
      </c>
      <c r="F2671" s="32" t="s">
        <v>346</v>
      </c>
      <c r="G2671" s="32" t="s">
        <v>300</v>
      </c>
      <c r="H2671" s="32" t="s">
        <v>387</v>
      </c>
    </row>
    <row r="2672" ht="16.5" customHeight="1">
      <c r="A2672" s="32">
        <v>2668.0</v>
      </c>
      <c r="C2672" s="32" t="s">
        <v>3408</v>
      </c>
      <c r="D2672" s="32" t="s">
        <v>184</v>
      </c>
      <c r="E2672" s="32" t="s">
        <v>228</v>
      </c>
      <c r="F2672" s="32" t="s">
        <v>346</v>
      </c>
      <c r="G2672" s="32" t="s">
        <v>544</v>
      </c>
      <c r="H2672" s="32" t="s">
        <v>545</v>
      </c>
    </row>
    <row r="2673" ht="16.5" customHeight="1">
      <c r="A2673" s="32">
        <v>2669.0</v>
      </c>
      <c r="C2673" s="32" t="s">
        <v>3409</v>
      </c>
      <c r="D2673" s="32" t="s">
        <v>184</v>
      </c>
      <c r="E2673" s="32" t="s">
        <v>228</v>
      </c>
      <c r="F2673" s="32" t="s">
        <v>346</v>
      </c>
      <c r="G2673" s="32" t="s">
        <v>544</v>
      </c>
      <c r="H2673" s="32" t="s">
        <v>545</v>
      </c>
    </row>
    <row r="2674" ht="16.5" customHeight="1">
      <c r="A2674" s="32">
        <v>2670.0</v>
      </c>
      <c r="C2674" s="32" t="s">
        <v>3410</v>
      </c>
      <c r="D2674" s="32" t="s">
        <v>184</v>
      </c>
      <c r="E2674" s="32" t="s">
        <v>228</v>
      </c>
      <c r="F2674" s="32" t="s">
        <v>346</v>
      </c>
      <c r="G2674" s="32" t="s">
        <v>544</v>
      </c>
      <c r="H2674" s="32" t="s">
        <v>545</v>
      </c>
    </row>
    <row r="2675" ht="16.5" customHeight="1">
      <c r="A2675" s="32">
        <v>2671.0</v>
      </c>
      <c r="C2675" s="32" t="s">
        <v>3411</v>
      </c>
      <c r="D2675" s="32" t="s">
        <v>184</v>
      </c>
      <c r="E2675" s="32" t="s">
        <v>228</v>
      </c>
      <c r="F2675" s="32" t="s">
        <v>346</v>
      </c>
      <c r="G2675" s="32" t="s">
        <v>544</v>
      </c>
    </row>
    <row r="2676" ht="16.5" customHeight="1">
      <c r="A2676" s="32">
        <v>2672.0</v>
      </c>
      <c r="C2676" s="32" t="s">
        <v>3412</v>
      </c>
      <c r="D2676" s="32" t="s">
        <v>184</v>
      </c>
      <c r="E2676" s="32" t="s">
        <v>192</v>
      </c>
      <c r="F2676" s="32" t="s">
        <v>346</v>
      </c>
      <c r="G2676" s="32" t="s">
        <v>300</v>
      </c>
      <c r="H2676" s="32" t="s">
        <v>3413</v>
      </c>
    </row>
    <row r="2677" ht="16.5" customHeight="1">
      <c r="A2677" s="32">
        <v>2673.0</v>
      </c>
      <c r="C2677" s="32" t="s">
        <v>3414</v>
      </c>
      <c r="D2677" s="32" t="s">
        <v>184</v>
      </c>
      <c r="E2677" s="32" t="s">
        <v>285</v>
      </c>
      <c r="F2677" s="32" t="s">
        <v>346</v>
      </c>
      <c r="G2677" s="32" t="s">
        <v>552</v>
      </c>
    </row>
    <row r="2678" ht="16.5" customHeight="1">
      <c r="A2678" s="32">
        <v>2674.0</v>
      </c>
      <c r="C2678" s="32" t="s">
        <v>3415</v>
      </c>
      <c r="D2678" s="32" t="s">
        <v>184</v>
      </c>
      <c r="E2678" s="32" t="s">
        <v>285</v>
      </c>
      <c r="F2678" s="32" t="s">
        <v>346</v>
      </c>
      <c r="G2678" s="32" t="s">
        <v>552</v>
      </c>
    </row>
    <row r="2679" ht="16.5" customHeight="1">
      <c r="A2679" s="32">
        <v>2675.0</v>
      </c>
      <c r="C2679" s="32" t="s">
        <v>3416</v>
      </c>
      <c r="D2679" s="32" t="s">
        <v>184</v>
      </c>
      <c r="E2679" s="32" t="s">
        <v>285</v>
      </c>
      <c r="F2679" s="32" t="s">
        <v>346</v>
      </c>
    </row>
    <row r="2680" ht="16.5" customHeight="1">
      <c r="A2680" s="32">
        <v>2676.0</v>
      </c>
      <c r="C2680" s="32" t="s">
        <v>3417</v>
      </c>
      <c r="D2680" s="32" t="s">
        <v>184</v>
      </c>
      <c r="E2680" s="32" t="s">
        <v>192</v>
      </c>
      <c r="F2680" s="32" t="s">
        <v>346</v>
      </c>
      <c r="G2680" s="32" t="s">
        <v>570</v>
      </c>
      <c r="H2680" s="32" t="s">
        <v>447</v>
      </c>
    </row>
    <row r="2681" ht="16.5" customHeight="1">
      <c r="A2681" s="32">
        <v>2677.0</v>
      </c>
      <c r="C2681" s="32" t="s">
        <v>3418</v>
      </c>
      <c r="D2681" s="32" t="s">
        <v>184</v>
      </c>
      <c r="E2681" s="32" t="s">
        <v>192</v>
      </c>
      <c r="F2681" s="32" t="s">
        <v>346</v>
      </c>
    </row>
    <row r="2682" ht="16.5" customHeight="1">
      <c r="A2682" s="32">
        <v>2678.0</v>
      </c>
      <c r="C2682" s="32" t="s">
        <v>3419</v>
      </c>
      <c r="D2682" s="32" t="s">
        <v>184</v>
      </c>
      <c r="E2682" s="32" t="s">
        <v>234</v>
      </c>
      <c r="F2682" s="32" t="s">
        <v>346</v>
      </c>
      <c r="G2682" s="32" t="s">
        <v>347</v>
      </c>
      <c r="H2682" s="32" t="s">
        <v>382</v>
      </c>
    </row>
    <row r="2683" ht="16.5" customHeight="1">
      <c r="A2683" s="32">
        <v>2679.0</v>
      </c>
      <c r="C2683" s="32" t="s">
        <v>3420</v>
      </c>
      <c r="D2683" s="32" t="s">
        <v>184</v>
      </c>
      <c r="E2683" s="32" t="s">
        <v>234</v>
      </c>
      <c r="F2683" s="32" t="s">
        <v>346</v>
      </c>
      <c r="G2683" s="32" t="s">
        <v>235</v>
      </c>
      <c r="H2683" s="32" t="s">
        <v>243</v>
      </c>
    </row>
    <row r="2684" ht="16.5" customHeight="1">
      <c r="A2684" s="32">
        <v>2680.0</v>
      </c>
      <c r="C2684" s="32" t="s">
        <v>3421</v>
      </c>
      <c r="D2684" s="32" t="s">
        <v>184</v>
      </c>
      <c r="E2684" s="32" t="s">
        <v>254</v>
      </c>
      <c r="F2684" s="32" t="s">
        <v>346</v>
      </c>
      <c r="G2684" s="32" t="s">
        <v>256</v>
      </c>
      <c r="H2684" s="32" t="s">
        <v>257</v>
      </c>
    </row>
    <row r="2685" ht="16.5" customHeight="1">
      <c r="A2685" s="32">
        <v>2681.0</v>
      </c>
      <c r="C2685" s="32" t="s">
        <v>3422</v>
      </c>
      <c r="D2685" s="32" t="s">
        <v>184</v>
      </c>
      <c r="E2685" s="32" t="s">
        <v>254</v>
      </c>
      <c r="F2685" s="32" t="s">
        <v>346</v>
      </c>
      <c r="G2685" s="32" t="s">
        <v>256</v>
      </c>
      <c r="H2685" s="32" t="s">
        <v>257</v>
      </c>
    </row>
    <row r="2686" ht="16.5" customHeight="1">
      <c r="A2686" s="32">
        <v>2682.0</v>
      </c>
      <c r="C2686" s="32" t="s">
        <v>3423</v>
      </c>
      <c r="D2686" s="32" t="s">
        <v>184</v>
      </c>
      <c r="E2686" s="32" t="s">
        <v>285</v>
      </c>
      <c r="F2686" s="32" t="s">
        <v>346</v>
      </c>
      <c r="G2686" s="32" t="s">
        <v>188</v>
      </c>
      <c r="H2686" s="32" t="s">
        <v>561</v>
      </c>
    </row>
    <row r="2687" ht="16.5" customHeight="1">
      <c r="A2687" s="32">
        <v>2683.0</v>
      </c>
      <c r="C2687" s="32" t="s">
        <v>3424</v>
      </c>
      <c r="D2687" s="32" t="s">
        <v>184</v>
      </c>
      <c r="E2687" s="32" t="s">
        <v>285</v>
      </c>
      <c r="F2687" s="32" t="s">
        <v>346</v>
      </c>
      <c r="G2687" s="32" t="s">
        <v>188</v>
      </c>
      <c r="H2687" s="32" t="s">
        <v>665</v>
      </c>
    </row>
    <row r="2688" ht="16.5" customHeight="1">
      <c r="A2688" s="32">
        <v>2684.0</v>
      </c>
      <c r="C2688" s="32" t="s">
        <v>3425</v>
      </c>
      <c r="D2688" s="32" t="s">
        <v>184</v>
      </c>
      <c r="E2688" s="32" t="s">
        <v>254</v>
      </c>
      <c r="F2688" s="32" t="s">
        <v>346</v>
      </c>
      <c r="G2688" s="32" t="s">
        <v>305</v>
      </c>
      <c r="H2688" s="32" t="s">
        <v>289</v>
      </c>
    </row>
    <row r="2689" ht="16.5" customHeight="1">
      <c r="A2689" s="32">
        <v>2685.0</v>
      </c>
      <c r="C2689" s="32" t="s">
        <v>3426</v>
      </c>
      <c r="D2689" s="32" t="s">
        <v>184</v>
      </c>
      <c r="E2689" s="32" t="s">
        <v>285</v>
      </c>
      <c r="F2689" s="32" t="s">
        <v>346</v>
      </c>
      <c r="G2689" s="32" t="s">
        <v>188</v>
      </c>
      <c r="H2689" s="32" t="s">
        <v>665</v>
      </c>
    </row>
    <row r="2690" ht="16.5" customHeight="1">
      <c r="A2690" s="32">
        <v>2686.0</v>
      </c>
      <c r="C2690" s="32" t="s">
        <v>3427</v>
      </c>
      <c r="D2690" s="32" t="s">
        <v>184</v>
      </c>
      <c r="E2690" s="32" t="s">
        <v>285</v>
      </c>
      <c r="F2690" s="32" t="s">
        <v>346</v>
      </c>
      <c r="G2690" s="32" t="s">
        <v>188</v>
      </c>
      <c r="H2690" s="32" t="s">
        <v>665</v>
      </c>
    </row>
    <row r="2691" ht="16.5" customHeight="1">
      <c r="A2691" s="32">
        <v>2687.0</v>
      </c>
      <c r="C2691" s="32" t="s">
        <v>3428</v>
      </c>
      <c r="D2691" s="32" t="s">
        <v>184</v>
      </c>
      <c r="E2691" s="32" t="s">
        <v>192</v>
      </c>
      <c r="F2691" s="32" t="s">
        <v>346</v>
      </c>
      <c r="G2691" s="32" t="s">
        <v>329</v>
      </c>
      <c r="H2691" s="32" t="s">
        <v>3429</v>
      </c>
    </row>
    <row r="2692" ht="16.5" customHeight="1">
      <c r="A2692" s="32">
        <v>2688.0</v>
      </c>
      <c r="C2692" s="32" t="s">
        <v>3430</v>
      </c>
      <c r="D2692" s="32" t="s">
        <v>184</v>
      </c>
      <c r="E2692" s="32" t="s">
        <v>285</v>
      </c>
      <c r="F2692" s="32" t="s">
        <v>346</v>
      </c>
      <c r="G2692" s="32" t="s">
        <v>188</v>
      </c>
      <c r="H2692" s="32" t="s">
        <v>368</v>
      </c>
    </row>
    <row r="2693" ht="16.5" customHeight="1">
      <c r="A2693" s="32">
        <v>2689.0</v>
      </c>
      <c r="C2693" s="32" t="s">
        <v>3431</v>
      </c>
      <c r="D2693" s="32" t="s">
        <v>184</v>
      </c>
      <c r="E2693" s="32" t="s">
        <v>228</v>
      </c>
      <c r="F2693" s="32" t="s">
        <v>346</v>
      </c>
      <c r="G2693" s="32" t="s">
        <v>229</v>
      </c>
      <c r="H2693" s="32" t="s">
        <v>626</v>
      </c>
    </row>
    <row r="2694" ht="16.5" customHeight="1">
      <c r="A2694" s="32">
        <v>2690.0</v>
      </c>
      <c r="C2694" s="32" t="s">
        <v>3432</v>
      </c>
      <c r="D2694" s="32" t="s">
        <v>184</v>
      </c>
      <c r="E2694" s="32" t="s">
        <v>228</v>
      </c>
      <c r="F2694" s="32" t="s">
        <v>346</v>
      </c>
      <c r="G2694" s="32" t="s">
        <v>229</v>
      </c>
      <c r="H2694" s="32" t="s">
        <v>230</v>
      </c>
    </row>
    <row r="2695" ht="16.5" customHeight="1">
      <c r="A2695" s="32">
        <v>2691.0</v>
      </c>
      <c r="C2695" s="32" t="s">
        <v>3433</v>
      </c>
      <c r="D2695" s="32" t="s">
        <v>184</v>
      </c>
      <c r="E2695" s="32" t="s">
        <v>192</v>
      </c>
      <c r="F2695" s="32" t="s">
        <v>346</v>
      </c>
    </row>
    <row r="2696" ht="16.5" customHeight="1">
      <c r="A2696" s="32">
        <v>2692.0</v>
      </c>
      <c r="C2696" s="32" t="s">
        <v>3434</v>
      </c>
      <c r="D2696" s="32" t="s">
        <v>184</v>
      </c>
      <c r="E2696" s="32" t="s">
        <v>351</v>
      </c>
      <c r="F2696" s="32" t="s">
        <v>346</v>
      </c>
    </row>
    <row r="2697" ht="16.5" customHeight="1">
      <c r="A2697" s="32">
        <v>2693.0</v>
      </c>
      <c r="C2697" s="32" t="s">
        <v>3435</v>
      </c>
      <c r="D2697" s="32" t="s">
        <v>184</v>
      </c>
      <c r="E2697" s="32" t="s">
        <v>351</v>
      </c>
      <c r="F2697" s="32" t="s">
        <v>346</v>
      </c>
    </row>
    <row r="2698" ht="16.5" customHeight="1">
      <c r="A2698" s="32">
        <v>2694.0</v>
      </c>
      <c r="C2698" s="32" t="s">
        <v>3436</v>
      </c>
      <c r="D2698" s="32" t="s">
        <v>184</v>
      </c>
      <c r="E2698" s="32" t="s">
        <v>351</v>
      </c>
      <c r="F2698" s="32" t="s">
        <v>346</v>
      </c>
    </row>
    <row r="2699" ht="16.5" customHeight="1">
      <c r="A2699" s="32">
        <v>2695.0</v>
      </c>
      <c r="C2699" s="32" t="s">
        <v>3437</v>
      </c>
      <c r="D2699" s="32" t="s">
        <v>184</v>
      </c>
      <c r="E2699" s="32" t="s">
        <v>192</v>
      </c>
      <c r="F2699" s="32" t="s">
        <v>346</v>
      </c>
      <c r="G2699" s="32" t="s">
        <v>329</v>
      </c>
      <c r="H2699" s="32" t="s">
        <v>457</v>
      </c>
    </row>
    <row r="2700" ht="16.5" customHeight="1">
      <c r="A2700" s="32">
        <v>2696.0</v>
      </c>
      <c r="C2700" s="32" t="s">
        <v>3438</v>
      </c>
      <c r="D2700" s="32" t="s">
        <v>184</v>
      </c>
      <c r="E2700" s="32" t="s">
        <v>192</v>
      </c>
      <c r="F2700" s="32" t="s">
        <v>186</v>
      </c>
      <c r="G2700" s="32" t="s">
        <v>329</v>
      </c>
      <c r="H2700" s="32" t="s">
        <v>457</v>
      </c>
    </row>
    <row r="2701" ht="16.5" customHeight="1">
      <c r="A2701" s="32">
        <v>2697.0</v>
      </c>
      <c r="C2701" s="32" t="s">
        <v>3439</v>
      </c>
      <c r="D2701" s="32" t="s">
        <v>184</v>
      </c>
      <c r="E2701" s="32" t="s">
        <v>234</v>
      </c>
      <c r="F2701" s="32" t="s">
        <v>346</v>
      </c>
    </row>
    <row r="2702" ht="16.5" customHeight="1">
      <c r="A2702" s="32">
        <v>2698.0</v>
      </c>
      <c r="C2702" s="32" t="s">
        <v>3440</v>
      </c>
      <c r="D2702" s="32" t="s">
        <v>184</v>
      </c>
      <c r="E2702" s="32" t="s">
        <v>234</v>
      </c>
      <c r="F2702" s="32" t="s">
        <v>346</v>
      </c>
    </row>
    <row r="2703" ht="16.5" customHeight="1">
      <c r="A2703" s="32">
        <v>2699.0</v>
      </c>
      <c r="C2703" s="32" t="s">
        <v>3441</v>
      </c>
      <c r="D2703" s="32" t="s">
        <v>184</v>
      </c>
      <c r="E2703" s="32" t="s">
        <v>234</v>
      </c>
      <c r="F2703" s="32" t="s">
        <v>346</v>
      </c>
    </row>
    <row r="2704" ht="16.5" customHeight="1">
      <c r="A2704" s="32">
        <v>2700.0</v>
      </c>
      <c r="C2704" s="32" t="s">
        <v>3442</v>
      </c>
      <c r="D2704" s="32" t="s">
        <v>184</v>
      </c>
      <c r="E2704" s="32" t="s">
        <v>192</v>
      </c>
      <c r="F2704" s="32" t="s">
        <v>346</v>
      </c>
      <c r="G2704" s="32" t="s">
        <v>329</v>
      </c>
      <c r="H2704" s="32" t="s">
        <v>457</v>
      </c>
    </row>
    <row r="2705" ht="16.5" customHeight="1">
      <c r="A2705" s="32">
        <v>2701.0</v>
      </c>
      <c r="C2705" s="32" t="s">
        <v>3443</v>
      </c>
      <c r="D2705" s="32" t="s">
        <v>184</v>
      </c>
      <c r="E2705" s="32" t="s">
        <v>192</v>
      </c>
      <c r="F2705" s="32" t="s">
        <v>346</v>
      </c>
      <c r="G2705" s="32" t="s">
        <v>300</v>
      </c>
      <c r="H2705" s="32" t="s">
        <v>3444</v>
      </c>
    </row>
    <row r="2706" ht="16.5" customHeight="1">
      <c r="A2706" s="32">
        <v>2702.0</v>
      </c>
      <c r="C2706" s="32" t="s">
        <v>3445</v>
      </c>
      <c r="D2706" s="32" t="s">
        <v>184</v>
      </c>
      <c r="E2706" s="32" t="s">
        <v>192</v>
      </c>
      <c r="F2706" s="32" t="s">
        <v>346</v>
      </c>
    </row>
    <row r="2707" ht="16.5" customHeight="1">
      <c r="A2707" s="32">
        <v>2703.0</v>
      </c>
      <c r="C2707" s="32" t="s">
        <v>3446</v>
      </c>
      <c r="D2707" s="32" t="s">
        <v>184</v>
      </c>
      <c r="E2707" s="32" t="s">
        <v>192</v>
      </c>
      <c r="F2707" s="32" t="s">
        <v>346</v>
      </c>
      <c r="G2707" s="32" t="s">
        <v>329</v>
      </c>
      <c r="H2707" s="32" t="s">
        <v>457</v>
      </c>
    </row>
    <row r="2708" ht="16.5" customHeight="1">
      <c r="A2708" s="32">
        <v>2704.0</v>
      </c>
      <c r="C2708" s="32" t="s">
        <v>3447</v>
      </c>
      <c r="D2708" s="32" t="s">
        <v>184</v>
      </c>
      <c r="E2708" s="32" t="s">
        <v>228</v>
      </c>
      <c r="F2708" s="32" t="s">
        <v>346</v>
      </c>
      <c r="G2708" s="32" t="s">
        <v>229</v>
      </c>
      <c r="H2708" s="32" t="s">
        <v>3448</v>
      </c>
    </row>
    <row r="2709" ht="16.5" customHeight="1">
      <c r="A2709" s="32">
        <v>2705.0</v>
      </c>
      <c r="C2709" s="32" t="s">
        <v>3449</v>
      </c>
      <c r="D2709" s="32" t="s">
        <v>184</v>
      </c>
      <c r="E2709" s="32" t="s">
        <v>234</v>
      </c>
      <c r="F2709" s="32" t="s">
        <v>346</v>
      </c>
    </row>
    <row r="2710" ht="16.5" customHeight="1">
      <c r="A2710" s="32">
        <v>2706.0</v>
      </c>
      <c r="C2710" s="32" t="s">
        <v>3450</v>
      </c>
      <c r="D2710" s="32" t="s">
        <v>184</v>
      </c>
      <c r="E2710" s="32" t="s">
        <v>285</v>
      </c>
      <c r="F2710" s="32" t="s">
        <v>346</v>
      </c>
      <c r="G2710" s="32" t="s">
        <v>552</v>
      </c>
    </row>
    <row r="2711" ht="16.5" customHeight="1">
      <c r="A2711" s="32">
        <v>2707.0</v>
      </c>
      <c r="C2711" s="32" t="s">
        <v>3451</v>
      </c>
      <c r="D2711" s="32" t="s">
        <v>184</v>
      </c>
      <c r="E2711" s="32" t="s">
        <v>219</v>
      </c>
      <c r="F2711" s="32" t="s">
        <v>346</v>
      </c>
      <c r="G2711" s="32" t="s">
        <v>223</v>
      </c>
      <c r="H2711" s="32" t="s">
        <v>394</v>
      </c>
    </row>
    <row r="2712" ht="16.5" customHeight="1">
      <c r="A2712" s="32">
        <v>2708.0</v>
      </c>
      <c r="C2712" s="32" t="s">
        <v>3452</v>
      </c>
      <c r="D2712" s="32" t="s">
        <v>184</v>
      </c>
      <c r="E2712" s="32" t="s">
        <v>234</v>
      </c>
      <c r="F2712" s="32" t="s">
        <v>346</v>
      </c>
      <c r="G2712" s="32" t="s">
        <v>187</v>
      </c>
      <c r="H2712" s="32" t="s">
        <v>188</v>
      </c>
    </row>
    <row r="2713" ht="16.5" customHeight="1">
      <c r="A2713" s="32">
        <v>2709.0</v>
      </c>
      <c r="C2713" s="32" t="s">
        <v>3453</v>
      </c>
      <c r="D2713" s="32" t="s">
        <v>184</v>
      </c>
      <c r="E2713" s="32" t="s">
        <v>234</v>
      </c>
      <c r="F2713" s="32" t="s">
        <v>346</v>
      </c>
      <c r="G2713" s="32" t="s">
        <v>241</v>
      </c>
      <c r="H2713" s="32" t="s">
        <v>292</v>
      </c>
    </row>
    <row r="2714" ht="16.5" customHeight="1">
      <c r="A2714" s="32">
        <v>2710.0</v>
      </c>
      <c r="C2714" s="32" t="s">
        <v>3454</v>
      </c>
      <c r="D2714" s="32" t="s">
        <v>184</v>
      </c>
      <c r="E2714" s="32" t="s">
        <v>234</v>
      </c>
      <c r="F2714" s="32" t="s">
        <v>346</v>
      </c>
      <c r="G2714" s="32" t="s">
        <v>347</v>
      </c>
      <c r="H2714" s="32" t="s">
        <v>389</v>
      </c>
    </row>
    <row r="2715" ht="16.5" customHeight="1">
      <c r="A2715" s="32">
        <v>2711.0</v>
      </c>
      <c r="C2715" s="32" t="s">
        <v>3455</v>
      </c>
      <c r="D2715" s="32" t="s">
        <v>184</v>
      </c>
      <c r="E2715" s="35" t="s">
        <v>294</v>
      </c>
      <c r="F2715" s="32" t="s">
        <v>346</v>
      </c>
      <c r="G2715" s="32" t="s">
        <v>189</v>
      </c>
      <c r="H2715" s="32" t="s">
        <v>190</v>
      </c>
    </row>
    <row r="2716" ht="16.5" customHeight="1">
      <c r="A2716" s="32">
        <v>2712.0</v>
      </c>
      <c r="C2716" s="32" t="s">
        <v>3456</v>
      </c>
      <c r="D2716" s="32" t="s">
        <v>184</v>
      </c>
      <c r="E2716" s="32" t="s">
        <v>285</v>
      </c>
      <c r="F2716" s="32" t="s">
        <v>346</v>
      </c>
      <c r="G2716" s="32" t="s">
        <v>3457</v>
      </c>
      <c r="H2716" s="32" t="s">
        <v>3458</v>
      </c>
    </row>
    <row r="2717" ht="16.5" customHeight="1">
      <c r="A2717" s="32">
        <v>2713.0</v>
      </c>
      <c r="C2717" s="32" t="s">
        <v>3459</v>
      </c>
      <c r="D2717" s="32" t="s">
        <v>184</v>
      </c>
      <c r="E2717" s="32" t="s">
        <v>219</v>
      </c>
      <c r="F2717" s="32" t="s">
        <v>346</v>
      </c>
      <c r="G2717" s="32" t="s">
        <v>232</v>
      </c>
      <c r="H2717" s="32" t="s">
        <v>233</v>
      </c>
    </row>
    <row r="2718" ht="16.5" customHeight="1">
      <c r="A2718" s="32">
        <v>2714.0</v>
      </c>
      <c r="C2718" s="32" t="s">
        <v>3460</v>
      </c>
      <c r="D2718" s="32" t="s">
        <v>184</v>
      </c>
      <c r="E2718" s="32" t="s">
        <v>219</v>
      </c>
      <c r="F2718" s="32" t="s">
        <v>346</v>
      </c>
      <c r="G2718" s="32" t="s">
        <v>232</v>
      </c>
      <c r="H2718" s="32" t="s">
        <v>233</v>
      </c>
    </row>
    <row r="2719" ht="16.5" customHeight="1">
      <c r="A2719" s="32">
        <v>2715.0</v>
      </c>
      <c r="C2719" s="32" t="s">
        <v>3460</v>
      </c>
      <c r="D2719" s="32" t="s">
        <v>184</v>
      </c>
      <c r="E2719" s="32" t="s">
        <v>219</v>
      </c>
      <c r="F2719" s="32" t="s">
        <v>346</v>
      </c>
      <c r="G2719" s="32" t="s">
        <v>232</v>
      </c>
      <c r="H2719" s="32" t="s">
        <v>233</v>
      </c>
    </row>
    <row r="2720" ht="16.5" customHeight="1">
      <c r="A2720" s="32">
        <v>2716.0</v>
      </c>
      <c r="C2720" s="32" t="s">
        <v>3461</v>
      </c>
      <c r="D2720" s="32" t="s">
        <v>184</v>
      </c>
      <c r="E2720" s="32" t="s">
        <v>219</v>
      </c>
      <c r="F2720" s="32" t="s">
        <v>346</v>
      </c>
    </row>
    <row r="2721" ht="16.5" customHeight="1">
      <c r="A2721" s="32">
        <v>2717.0</v>
      </c>
      <c r="C2721" s="32" t="s">
        <v>3462</v>
      </c>
      <c r="D2721" s="32" t="s">
        <v>184</v>
      </c>
      <c r="E2721" s="32" t="s">
        <v>219</v>
      </c>
      <c r="F2721" s="32" t="s">
        <v>346</v>
      </c>
      <c r="G2721" s="32" t="s">
        <v>232</v>
      </c>
      <c r="H2721" s="32" t="s">
        <v>233</v>
      </c>
    </row>
    <row r="2722" ht="16.5" customHeight="1">
      <c r="A2722" s="32">
        <v>2718.0</v>
      </c>
      <c r="C2722" s="32" t="s">
        <v>3463</v>
      </c>
      <c r="D2722" s="32" t="s">
        <v>184</v>
      </c>
      <c r="E2722" s="32" t="s">
        <v>219</v>
      </c>
      <c r="F2722" s="32" t="s">
        <v>346</v>
      </c>
      <c r="G2722" s="32" t="s">
        <v>232</v>
      </c>
      <c r="H2722" s="32" t="s">
        <v>233</v>
      </c>
    </row>
    <row r="2723" ht="16.5" customHeight="1">
      <c r="A2723" s="32">
        <v>2719.0</v>
      </c>
      <c r="C2723" s="32" t="s">
        <v>3464</v>
      </c>
      <c r="D2723" s="32" t="s">
        <v>184</v>
      </c>
      <c r="E2723" s="32" t="s">
        <v>219</v>
      </c>
      <c r="F2723" s="32" t="s">
        <v>346</v>
      </c>
      <c r="G2723" s="32" t="s">
        <v>232</v>
      </c>
      <c r="H2723" s="32" t="s">
        <v>233</v>
      </c>
    </row>
    <row r="2724" ht="16.5" customHeight="1">
      <c r="A2724" s="32">
        <v>2720.0</v>
      </c>
      <c r="C2724" s="32" t="s">
        <v>3465</v>
      </c>
      <c r="D2724" s="32" t="s">
        <v>184</v>
      </c>
      <c r="E2724" s="32" t="s">
        <v>192</v>
      </c>
      <c r="F2724" s="32" t="s">
        <v>346</v>
      </c>
      <c r="G2724" s="32" t="s">
        <v>570</v>
      </c>
      <c r="H2724" s="32" t="s">
        <v>447</v>
      </c>
    </row>
    <row r="2725" ht="16.5" customHeight="1">
      <c r="A2725" s="32">
        <v>2721.0</v>
      </c>
      <c r="C2725" s="32" t="s">
        <v>3466</v>
      </c>
      <c r="D2725" s="32" t="s">
        <v>184</v>
      </c>
      <c r="E2725" s="32" t="s">
        <v>192</v>
      </c>
      <c r="F2725" s="32" t="s">
        <v>346</v>
      </c>
      <c r="G2725" s="32" t="s">
        <v>3467</v>
      </c>
      <c r="H2725" s="32" t="s">
        <v>3468</v>
      </c>
    </row>
    <row r="2726" ht="16.5" customHeight="1">
      <c r="A2726" s="32">
        <v>2722.0</v>
      </c>
      <c r="C2726" s="32" t="s">
        <v>3469</v>
      </c>
      <c r="D2726" s="32" t="s">
        <v>184</v>
      </c>
      <c r="E2726" s="32" t="s">
        <v>192</v>
      </c>
      <c r="F2726" s="32" t="s">
        <v>346</v>
      </c>
      <c r="G2726" s="32" t="s">
        <v>347</v>
      </c>
      <c r="H2726" s="32" t="s">
        <v>2362</v>
      </c>
    </row>
    <row r="2727" ht="16.5" customHeight="1">
      <c r="A2727" s="32">
        <v>2723.0</v>
      </c>
      <c r="C2727" s="32" t="s">
        <v>3470</v>
      </c>
      <c r="D2727" s="32" t="s">
        <v>184</v>
      </c>
      <c r="E2727" s="32" t="s">
        <v>192</v>
      </c>
      <c r="F2727" s="32" t="s">
        <v>346</v>
      </c>
    </row>
    <row r="2728" ht="16.5" customHeight="1">
      <c r="A2728" s="32">
        <v>2724.0</v>
      </c>
      <c r="C2728" s="32" t="s">
        <v>3471</v>
      </c>
      <c r="D2728" s="32" t="s">
        <v>184</v>
      </c>
      <c r="E2728" s="32" t="s">
        <v>192</v>
      </c>
      <c r="F2728" s="32" t="s">
        <v>346</v>
      </c>
      <c r="G2728" s="32" t="s">
        <v>300</v>
      </c>
      <c r="H2728" s="32" t="s">
        <v>708</v>
      </c>
    </row>
    <row r="2729" ht="16.5" customHeight="1">
      <c r="A2729" s="32">
        <v>2725.0</v>
      </c>
      <c r="C2729" s="32" t="s">
        <v>3472</v>
      </c>
      <c r="D2729" s="32" t="s">
        <v>184</v>
      </c>
      <c r="E2729" s="32" t="s">
        <v>219</v>
      </c>
      <c r="F2729" s="32" t="s">
        <v>346</v>
      </c>
    </row>
    <row r="2730" ht="16.5" customHeight="1">
      <c r="A2730" s="32">
        <v>2726.0</v>
      </c>
      <c r="C2730" s="32" t="s">
        <v>3473</v>
      </c>
      <c r="D2730" s="32" t="s">
        <v>184</v>
      </c>
      <c r="E2730" s="32" t="s">
        <v>192</v>
      </c>
      <c r="F2730" s="32" t="s">
        <v>346</v>
      </c>
      <c r="G2730" s="32" t="s">
        <v>329</v>
      </c>
      <c r="H2730" s="32" t="s">
        <v>457</v>
      </c>
    </row>
    <row r="2731" ht="16.5" customHeight="1">
      <c r="A2731" s="32">
        <v>2727.0</v>
      </c>
      <c r="C2731" s="32" t="s">
        <v>3474</v>
      </c>
      <c r="D2731" s="32" t="s">
        <v>184</v>
      </c>
      <c r="E2731" s="32" t="s">
        <v>192</v>
      </c>
      <c r="F2731" s="32" t="s">
        <v>346</v>
      </c>
    </row>
    <row r="2732" ht="16.5" customHeight="1">
      <c r="A2732" s="32">
        <v>2728.0</v>
      </c>
      <c r="C2732" s="32" t="s">
        <v>3475</v>
      </c>
      <c r="D2732" s="32" t="s">
        <v>184</v>
      </c>
      <c r="E2732" s="32" t="s">
        <v>185</v>
      </c>
      <c r="F2732" s="32" t="s">
        <v>346</v>
      </c>
      <c r="G2732" s="32" t="s">
        <v>187</v>
      </c>
      <c r="H2732" s="32" t="s">
        <v>188</v>
      </c>
    </row>
    <row r="2733" ht="16.5" customHeight="1">
      <c r="A2733" s="32">
        <v>2729.0</v>
      </c>
      <c r="C2733" s="32" t="s">
        <v>3476</v>
      </c>
      <c r="D2733" s="32" t="s">
        <v>184</v>
      </c>
      <c r="E2733" s="32" t="s">
        <v>185</v>
      </c>
      <c r="F2733" s="32" t="s">
        <v>346</v>
      </c>
      <c r="G2733" s="32" t="s">
        <v>267</v>
      </c>
      <c r="H2733" s="32" t="s">
        <v>188</v>
      </c>
    </row>
    <row r="2734" ht="16.5" customHeight="1">
      <c r="A2734" s="32">
        <v>2730.0</v>
      </c>
      <c r="C2734" s="32" t="s">
        <v>3477</v>
      </c>
      <c r="D2734" s="32" t="s">
        <v>184</v>
      </c>
      <c r="E2734" s="32" t="s">
        <v>228</v>
      </c>
      <c r="F2734" s="32" t="s">
        <v>346</v>
      </c>
    </row>
    <row r="2735" ht="16.5" customHeight="1">
      <c r="A2735" s="32">
        <v>2731.0</v>
      </c>
      <c r="C2735" s="32" t="s">
        <v>3478</v>
      </c>
      <c r="D2735" s="32" t="s">
        <v>184</v>
      </c>
      <c r="E2735" s="32" t="s">
        <v>192</v>
      </c>
      <c r="F2735" s="32" t="s">
        <v>346</v>
      </c>
      <c r="G2735" s="32" t="s">
        <v>329</v>
      </c>
      <c r="H2735" s="32" t="s">
        <v>457</v>
      </c>
    </row>
    <row r="2736" ht="16.5" customHeight="1">
      <c r="A2736" s="32">
        <v>2732.0</v>
      </c>
      <c r="C2736" s="32" t="s">
        <v>3479</v>
      </c>
      <c r="D2736" s="32" t="s">
        <v>184</v>
      </c>
      <c r="E2736" s="32" t="s">
        <v>192</v>
      </c>
      <c r="F2736" s="32" t="s">
        <v>346</v>
      </c>
      <c r="G2736" s="32" t="s">
        <v>570</v>
      </c>
      <c r="H2736" s="32" t="s">
        <v>447</v>
      </c>
    </row>
    <row r="2737" ht="16.5" customHeight="1">
      <c r="A2737" s="32">
        <v>2733.0</v>
      </c>
      <c r="C2737" s="32" t="s">
        <v>3480</v>
      </c>
      <c r="D2737" s="32" t="s">
        <v>184</v>
      </c>
      <c r="E2737" s="32" t="s">
        <v>185</v>
      </c>
      <c r="F2737" s="32" t="s">
        <v>346</v>
      </c>
      <c r="G2737" s="32" t="s">
        <v>189</v>
      </c>
      <c r="H2737" s="32" t="s">
        <v>190</v>
      </c>
    </row>
    <row r="2738" ht="16.5" customHeight="1">
      <c r="A2738" s="32">
        <v>2734.0</v>
      </c>
      <c r="C2738" s="32" t="s">
        <v>3481</v>
      </c>
      <c r="D2738" s="32" t="s">
        <v>184</v>
      </c>
      <c r="E2738" s="32" t="s">
        <v>325</v>
      </c>
      <c r="F2738" s="32" t="s">
        <v>346</v>
      </c>
      <c r="G2738" s="32" t="s">
        <v>368</v>
      </c>
      <c r="H2738" s="32" t="s">
        <v>463</v>
      </c>
    </row>
    <row r="2739" ht="16.5" customHeight="1">
      <c r="A2739" s="32">
        <v>2735.0</v>
      </c>
      <c r="C2739" s="32" t="s">
        <v>3482</v>
      </c>
      <c r="D2739" s="32" t="s">
        <v>184</v>
      </c>
      <c r="E2739" s="32" t="s">
        <v>325</v>
      </c>
      <c r="F2739" s="32" t="s">
        <v>346</v>
      </c>
      <c r="G2739" s="32" t="s">
        <v>368</v>
      </c>
      <c r="H2739" s="32" t="s">
        <v>463</v>
      </c>
    </row>
    <row r="2740" ht="16.5" customHeight="1">
      <c r="A2740" s="32">
        <v>2736.0</v>
      </c>
      <c r="C2740" s="32" t="s">
        <v>3483</v>
      </c>
      <c r="D2740" s="32" t="s">
        <v>184</v>
      </c>
      <c r="E2740" s="32" t="s">
        <v>192</v>
      </c>
      <c r="F2740" s="32" t="s">
        <v>346</v>
      </c>
      <c r="G2740" s="32" t="s">
        <v>329</v>
      </c>
      <c r="H2740" s="32" t="s">
        <v>457</v>
      </c>
    </row>
    <row r="2741" ht="16.5" customHeight="1">
      <c r="A2741" s="32">
        <v>2737.0</v>
      </c>
      <c r="C2741" s="32" t="s">
        <v>3484</v>
      </c>
      <c r="D2741" s="32" t="s">
        <v>184</v>
      </c>
      <c r="E2741" s="32" t="s">
        <v>325</v>
      </c>
      <c r="F2741" s="32" t="s">
        <v>346</v>
      </c>
      <c r="G2741" s="32" t="s">
        <v>368</v>
      </c>
      <c r="H2741" s="32" t="s">
        <v>463</v>
      </c>
    </row>
    <row r="2742" ht="16.5" customHeight="1">
      <c r="A2742" s="32">
        <v>2738.0</v>
      </c>
      <c r="C2742" s="32" t="s">
        <v>3485</v>
      </c>
      <c r="D2742" s="32" t="s">
        <v>184</v>
      </c>
      <c r="E2742" s="32" t="s">
        <v>325</v>
      </c>
      <c r="F2742" s="32" t="s">
        <v>346</v>
      </c>
      <c r="G2742" s="32" t="s">
        <v>368</v>
      </c>
      <c r="H2742" s="32" t="s">
        <v>463</v>
      </c>
    </row>
    <row r="2743" ht="16.5" customHeight="1">
      <c r="A2743" s="32">
        <v>2739.0</v>
      </c>
      <c r="C2743" s="32" t="s">
        <v>3486</v>
      </c>
      <c r="D2743" s="32" t="s">
        <v>184</v>
      </c>
      <c r="E2743" s="32" t="s">
        <v>325</v>
      </c>
      <c r="F2743" s="32" t="s">
        <v>346</v>
      </c>
      <c r="G2743" s="32" t="s">
        <v>463</v>
      </c>
      <c r="H2743" s="32" t="s">
        <v>368</v>
      </c>
    </row>
    <row r="2744" ht="16.5" customHeight="1">
      <c r="A2744" s="32">
        <v>2740.0</v>
      </c>
      <c r="C2744" s="32" t="s">
        <v>3487</v>
      </c>
      <c r="D2744" s="32" t="s">
        <v>184</v>
      </c>
      <c r="E2744" s="32" t="s">
        <v>325</v>
      </c>
      <c r="F2744" s="32" t="s">
        <v>346</v>
      </c>
      <c r="G2744" s="32" t="s">
        <v>368</v>
      </c>
      <c r="H2744" s="32" t="s">
        <v>463</v>
      </c>
    </row>
    <row r="2745" ht="16.5" customHeight="1">
      <c r="A2745" s="32">
        <v>2741.0</v>
      </c>
      <c r="C2745" s="32" t="s">
        <v>3488</v>
      </c>
      <c r="D2745" s="32" t="s">
        <v>184</v>
      </c>
      <c r="E2745" s="32" t="s">
        <v>325</v>
      </c>
      <c r="F2745" s="32" t="s">
        <v>346</v>
      </c>
      <c r="G2745" s="32" t="s">
        <v>368</v>
      </c>
      <c r="H2745" s="32" t="s">
        <v>463</v>
      </c>
    </row>
    <row r="2746" ht="16.5" customHeight="1">
      <c r="A2746" s="32">
        <v>2742.0</v>
      </c>
      <c r="C2746" s="32" t="s">
        <v>3489</v>
      </c>
      <c r="D2746" s="32" t="s">
        <v>184</v>
      </c>
      <c r="E2746" s="32" t="s">
        <v>254</v>
      </c>
      <c r="F2746" s="32" t="s">
        <v>346</v>
      </c>
      <c r="G2746" s="32" t="s">
        <v>256</v>
      </c>
      <c r="H2746" s="32" t="s">
        <v>257</v>
      </c>
    </row>
    <row r="2747" ht="16.5" customHeight="1">
      <c r="A2747" s="32">
        <v>2743.0</v>
      </c>
      <c r="C2747" s="32" t="s">
        <v>3490</v>
      </c>
      <c r="D2747" s="32" t="s">
        <v>184</v>
      </c>
      <c r="E2747" s="32" t="s">
        <v>254</v>
      </c>
      <c r="F2747" s="32" t="s">
        <v>346</v>
      </c>
      <c r="G2747" s="32" t="s">
        <v>256</v>
      </c>
      <c r="H2747" s="32" t="s">
        <v>257</v>
      </c>
    </row>
    <row r="2748" ht="16.5" customHeight="1">
      <c r="A2748" s="32">
        <v>2744.0</v>
      </c>
      <c r="C2748" s="32" t="s">
        <v>3491</v>
      </c>
      <c r="D2748" s="32" t="s">
        <v>184</v>
      </c>
      <c r="E2748" s="32" t="s">
        <v>254</v>
      </c>
      <c r="F2748" s="32" t="s">
        <v>346</v>
      </c>
      <c r="G2748" s="32" t="s">
        <v>256</v>
      </c>
      <c r="H2748" s="32" t="s">
        <v>257</v>
      </c>
    </row>
    <row r="2749" ht="16.5" customHeight="1">
      <c r="A2749" s="32">
        <v>2745.0</v>
      </c>
      <c r="C2749" s="32" t="s">
        <v>3492</v>
      </c>
      <c r="D2749" s="32" t="s">
        <v>184</v>
      </c>
      <c r="E2749" s="32" t="s">
        <v>254</v>
      </c>
      <c r="F2749" s="32" t="s">
        <v>346</v>
      </c>
      <c r="G2749" s="32" t="s">
        <v>256</v>
      </c>
      <c r="H2749" s="32" t="s">
        <v>257</v>
      </c>
    </row>
    <row r="2750" ht="16.5" customHeight="1">
      <c r="A2750" s="32">
        <v>2746.0</v>
      </c>
      <c r="C2750" s="32" t="s">
        <v>3493</v>
      </c>
      <c r="D2750" s="32" t="s">
        <v>184</v>
      </c>
      <c r="E2750" s="32" t="s">
        <v>254</v>
      </c>
      <c r="F2750" s="32" t="s">
        <v>346</v>
      </c>
      <c r="G2750" s="32" t="s">
        <v>256</v>
      </c>
      <c r="H2750" s="32" t="s">
        <v>257</v>
      </c>
    </row>
    <row r="2751" ht="16.5" customHeight="1">
      <c r="A2751" s="32">
        <v>2747.0</v>
      </c>
      <c r="C2751" s="32" t="s">
        <v>3494</v>
      </c>
      <c r="D2751" s="32" t="s">
        <v>184</v>
      </c>
      <c r="E2751" s="32" t="s">
        <v>254</v>
      </c>
      <c r="F2751" s="32" t="s">
        <v>346</v>
      </c>
      <c r="G2751" s="32" t="s">
        <v>256</v>
      </c>
      <c r="H2751" s="32" t="s">
        <v>257</v>
      </c>
    </row>
    <row r="2752" ht="16.5" customHeight="1">
      <c r="A2752" s="32">
        <v>2748.0</v>
      </c>
      <c r="C2752" s="32" t="s">
        <v>3495</v>
      </c>
      <c r="D2752" s="32" t="s">
        <v>184</v>
      </c>
      <c r="E2752" s="32" t="s">
        <v>219</v>
      </c>
      <c r="F2752" s="32" t="s">
        <v>346</v>
      </c>
      <c r="G2752" s="32" t="s">
        <v>223</v>
      </c>
      <c r="H2752" s="32" t="s">
        <v>394</v>
      </c>
    </row>
    <row r="2753" ht="16.5" customHeight="1">
      <c r="A2753" s="32">
        <v>2749.0</v>
      </c>
      <c r="C2753" s="32" t="s">
        <v>3496</v>
      </c>
      <c r="D2753" s="32" t="s">
        <v>184</v>
      </c>
      <c r="E2753" s="32" t="s">
        <v>219</v>
      </c>
      <c r="F2753" s="32" t="s">
        <v>346</v>
      </c>
      <c r="G2753" s="32" t="s">
        <v>223</v>
      </c>
      <c r="H2753" s="32" t="s">
        <v>394</v>
      </c>
    </row>
    <row r="2754" ht="16.5" customHeight="1">
      <c r="A2754" s="32">
        <v>2750.0</v>
      </c>
      <c r="C2754" s="32" t="s">
        <v>3497</v>
      </c>
      <c r="D2754" s="32" t="s">
        <v>184</v>
      </c>
      <c r="E2754" s="32" t="s">
        <v>234</v>
      </c>
      <c r="F2754" s="32" t="s">
        <v>346</v>
      </c>
      <c r="G2754" s="32" t="s">
        <v>347</v>
      </c>
      <c r="H2754" s="32" t="s">
        <v>2466</v>
      </c>
    </row>
    <row r="2755" ht="16.5" customHeight="1">
      <c r="A2755" s="32">
        <v>2751.0</v>
      </c>
      <c r="C2755" s="32" t="s">
        <v>3498</v>
      </c>
      <c r="D2755" s="32" t="s">
        <v>184</v>
      </c>
      <c r="E2755" s="32" t="s">
        <v>234</v>
      </c>
      <c r="F2755" s="32" t="s">
        <v>346</v>
      </c>
      <c r="G2755" s="32" t="s">
        <v>235</v>
      </c>
      <c r="H2755" s="32" t="s">
        <v>236</v>
      </c>
    </row>
    <row r="2756" ht="16.5" customHeight="1">
      <c r="A2756" s="32">
        <v>2752.0</v>
      </c>
      <c r="C2756" s="32" t="s">
        <v>3499</v>
      </c>
      <c r="D2756" s="32" t="s">
        <v>184</v>
      </c>
      <c r="E2756" s="32" t="s">
        <v>254</v>
      </c>
      <c r="F2756" s="32" t="s">
        <v>346</v>
      </c>
    </row>
    <row r="2757" ht="16.5" customHeight="1">
      <c r="A2757" s="32">
        <v>2753.0</v>
      </c>
      <c r="C2757" s="32" t="s">
        <v>3500</v>
      </c>
      <c r="D2757" s="32" t="s">
        <v>184</v>
      </c>
      <c r="E2757" s="32" t="s">
        <v>185</v>
      </c>
      <c r="F2757" s="32" t="s">
        <v>346</v>
      </c>
      <c r="G2757" s="32" t="s">
        <v>267</v>
      </c>
    </row>
    <row r="2758" ht="16.5" customHeight="1">
      <c r="A2758" s="32">
        <v>2754.0</v>
      </c>
      <c r="C2758" s="32" t="s">
        <v>3501</v>
      </c>
      <c r="D2758" s="32" t="s">
        <v>184</v>
      </c>
      <c r="E2758" s="32" t="s">
        <v>228</v>
      </c>
      <c r="F2758" s="32" t="s">
        <v>346</v>
      </c>
      <c r="G2758" s="32" t="s">
        <v>229</v>
      </c>
      <c r="H2758" s="32" t="s">
        <v>3502</v>
      </c>
    </row>
    <row r="2759" ht="16.5" customHeight="1">
      <c r="A2759" s="32">
        <v>2755.0</v>
      </c>
      <c r="C2759" s="32" t="s">
        <v>3503</v>
      </c>
      <c r="D2759" s="32" t="s">
        <v>184</v>
      </c>
      <c r="E2759" s="32" t="s">
        <v>185</v>
      </c>
      <c r="F2759" s="32" t="s">
        <v>346</v>
      </c>
      <c r="G2759" s="32" t="s">
        <v>1240</v>
      </c>
      <c r="H2759" s="32" t="s">
        <v>476</v>
      </c>
    </row>
    <row r="2760" ht="16.5" customHeight="1">
      <c r="A2760" s="32">
        <v>2756.0</v>
      </c>
      <c r="C2760" s="32" t="s">
        <v>3504</v>
      </c>
      <c r="D2760" s="32" t="s">
        <v>184</v>
      </c>
      <c r="E2760" s="32" t="s">
        <v>185</v>
      </c>
      <c r="F2760" s="32" t="s">
        <v>346</v>
      </c>
      <c r="G2760" s="32" t="s">
        <v>475</v>
      </c>
      <c r="H2760" s="32" t="s">
        <v>476</v>
      </c>
    </row>
    <row r="2761" ht="16.5" customHeight="1">
      <c r="A2761" s="32">
        <v>2757.0</v>
      </c>
      <c r="C2761" s="32" t="s">
        <v>3505</v>
      </c>
      <c r="D2761" s="32" t="s">
        <v>184</v>
      </c>
      <c r="E2761" s="32" t="s">
        <v>185</v>
      </c>
      <c r="F2761" s="32" t="s">
        <v>346</v>
      </c>
    </row>
    <row r="2762" ht="16.5" customHeight="1">
      <c r="A2762" s="32">
        <v>2758.0</v>
      </c>
      <c r="C2762" s="32" t="s">
        <v>3506</v>
      </c>
      <c r="D2762" s="32" t="s">
        <v>184</v>
      </c>
      <c r="E2762" s="32" t="s">
        <v>185</v>
      </c>
      <c r="F2762" s="32" t="s">
        <v>346</v>
      </c>
    </row>
    <row r="2763" ht="16.5" customHeight="1">
      <c r="A2763" s="32">
        <v>2759.0</v>
      </c>
      <c r="C2763" s="32" t="s">
        <v>3507</v>
      </c>
      <c r="D2763" s="32" t="s">
        <v>184</v>
      </c>
      <c r="E2763" s="32" t="s">
        <v>285</v>
      </c>
      <c r="F2763" s="32" t="s">
        <v>346</v>
      </c>
      <c r="G2763" s="32" t="s">
        <v>511</v>
      </c>
      <c r="H2763" s="32" t="s">
        <v>3508</v>
      </c>
    </row>
    <row r="2764" ht="16.5" customHeight="1">
      <c r="A2764" s="32">
        <v>2760.0</v>
      </c>
      <c r="C2764" s="32" t="s">
        <v>3509</v>
      </c>
      <c r="D2764" s="32" t="s">
        <v>184</v>
      </c>
      <c r="E2764" s="32" t="s">
        <v>185</v>
      </c>
      <c r="F2764" s="32" t="s">
        <v>346</v>
      </c>
      <c r="G2764" s="32" t="s">
        <v>514</v>
      </c>
      <c r="H2764" s="32" t="s">
        <v>515</v>
      </c>
    </row>
    <row r="2765" ht="16.5" customHeight="1">
      <c r="A2765" s="32">
        <v>2761.0</v>
      </c>
      <c r="C2765" s="32" t="s">
        <v>3510</v>
      </c>
      <c r="D2765" s="32" t="s">
        <v>184</v>
      </c>
      <c r="E2765" s="32" t="s">
        <v>185</v>
      </c>
      <c r="F2765" s="32" t="s">
        <v>346</v>
      </c>
    </row>
    <row r="2766" ht="16.5" customHeight="1">
      <c r="A2766" s="32">
        <v>2762.0</v>
      </c>
      <c r="C2766" s="32" t="s">
        <v>3511</v>
      </c>
      <c r="D2766" s="32" t="s">
        <v>184</v>
      </c>
      <c r="E2766" s="32" t="s">
        <v>185</v>
      </c>
      <c r="F2766" s="32" t="s">
        <v>346</v>
      </c>
    </row>
    <row r="2767" ht="16.5" customHeight="1">
      <c r="A2767" s="32">
        <v>2763.0</v>
      </c>
      <c r="C2767" s="32" t="s">
        <v>3512</v>
      </c>
      <c r="D2767" s="32" t="s">
        <v>184</v>
      </c>
      <c r="E2767" s="35" t="s">
        <v>294</v>
      </c>
      <c r="F2767" s="32" t="s">
        <v>346</v>
      </c>
      <c r="G2767" s="32" t="s">
        <v>189</v>
      </c>
      <c r="H2767" s="32" t="s">
        <v>190</v>
      </c>
    </row>
    <row r="2768" ht="16.5" customHeight="1">
      <c r="A2768" s="32">
        <v>2764.0</v>
      </c>
      <c r="C2768" s="32" t="s">
        <v>3513</v>
      </c>
      <c r="D2768" s="32" t="s">
        <v>184</v>
      </c>
      <c r="E2768" s="32" t="s">
        <v>254</v>
      </c>
      <c r="F2768" s="32" t="s">
        <v>346</v>
      </c>
    </row>
    <row r="2769" ht="16.5" customHeight="1">
      <c r="A2769" s="32">
        <v>2765.0</v>
      </c>
      <c r="C2769" s="32" t="s">
        <v>3514</v>
      </c>
      <c r="D2769" s="32" t="s">
        <v>184</v>
      </c>
      <c r="E2769" s="32" t="s">
        <v>285</v>
      </c>
      <c r="F2769" s="32" t="s">
        <v>346</v>
      </c>
      <c r="G2769" s="32" t="s">
        <v>188</v>
      </c>
      <c r="H2769" s="32" t="s">
        <v>2733</v>
      </c>
    </row>
    <row r="2770" ht="16.5" customHeight="1">
      <c r="A2770" s="32">
        <v>2766.0</v>
      </c>
      <c r="C2770" s="32" t="s">
        <v>3515</v>
      </c>
      <c r="D2770" s="32" t="s">
        <v>184</v>
      </c>
      <c r="E2770" s="32" t="s">
        <v>285</v>
      </c>
      <c r="F2770" s="32" t="s">
        <v>346</v>
      </c>
      <c r="G2770" s="32" t="s">
        <v>188</v>
      </c>
      <c r="H2770" s="32" t="s">
        <v>2733</v>
      </c>
    </row>
    <row r="2771" ht="16.5" customHeight="1">
      <c r="A2771" s="32">
        <v>2767.0</v>
      </c>
      <c r="C2771" s="32" t="s">
        <v>3516</v>
      </c>
      <c r="D2771" s="32" t="s">
        <v>184</v>
      </c>
      <c r="E2771" s="32" t="s">
        <v>285</v>
      </c>
      <c r="F2771" s="32" t="s">
        <v>346</v>
      </c>
      <c r="G2771" s="32" t="s">
        <v>552</v>
      </c>
    </row>
    <row r="2772" ht="16.5" customHeight="1">
      <c r="A2772" s="32">
        <v>2768.0</v>
      </c>
      <c r="C2772" s="32" t="s">
        <v>3517</v>
      </c>
      <c r="D2772" s="32" t="s">
        <v>184</v>
      </c>
      <c r="E2772" s="35" t="s">
        <v>294</v>
      </c>
      <c r="F2772" s="32" t="s">
        <v>346</v>
      </c>
      <c r="G2772" s="32" t="s">
        <v>189</v>
      </c>
      <c r="H2772" s="32" t="s">
        <v>190</v>
      </c>
    </row>
    <row r="2773" ht="16.5" customHeight="1">
      <c r="A2773" s="32">
        <v>2769.0</v>
      </c>
      <c r="C2773" s="32" t="s">
        <v>3518</v>
      </c>
      <c r="D2773" s="32" t="s">
        <v>184</v>
      </c>
      <c r="E2773" s="35" t="s">
        <v>294</v>
      </c>
      <c r="F2773" s="32" t="s">
        <v>346</v>
      </c>
    </row>
    <row r="2774" ht="16.5" customHeight="1">
      <c r="A2774" s="32">
        <v>2770.0</v>
      </c>
      <c r="C2774" s="32" t="s">
        <v>3519</v>
      </c>
      <c r="D2774" s="32" t="s">
        <v>184</v>
      </c>
      <c r="E2774" s="35" t="s">
        <v>294</v>
      </c>
      <c r="F2774" s="32" t="s">
        <v>346</v>
      </c>
      <c r="G2774" s="32" t="s">
        <v>189</v>
      </c>
      <c r="H2774" s="32" t="s">
        <v>190</v>
      </c>
    </row>
    <row r="2775" ht="16.5" customHeight="1">
      <c r="A2775" s="32">
        <v>2771.0</v>
      </c>
      <c r="C2775" s="32" t="s">
        <v>3520</v>
      </c>
      <c r="D2775" s="32" t="s">
        <v>184</v>
      </c>
      <c r="E2775" s="32" t="s">
        <v>254</v>
      </c>
      <c r="F2775" s="32" t="s">
        <v>346</v>
      </c>
      <c r="G2775" s="32" t="s">
        <v>256</v>
      </c>
      <c r="H2775" s="32" t="s">
        <v>257</v>
      </c>
    </row>
    <row r="2776" ht="16.5" customHeight="1">
      <c r="A2776" s="32">
        <v>2772.0</v>
      </c>
      <c r="C2776" s="32" t="s">
        <v>3521</v>
      </c>
      <c r="D2776" s="32" t="s">
        <v>184</v>
      </c>
      <c r="E2776" s="32" t="s">
        <v>254</v>
      </c>
      <c r="F2776" s="32" t="s">
        <v>346</v>
      </c>
      <c r="G2776" s="32" t="s">
        <v>256</v>
      </c>
      <c r="H2776" s="32" t="s">
        <v>257</v>
      </c>
    </row>
    <row r="2777" ht="16.5" customHeight="1">
      <c r="A2777" s="32">
        <v>2773.0</v>
      </c>
      <c r="C2777" s="32" t="s">
        <v>3522</v>
      </c>
      <c r="D2777" s="32" t="s">
        <v>184</v>
      </c>
      <c r="E2777" s="32" t="s">
        <v>325</v>
      </c>
      <c r="F2777" s="32" t="s">
        <v>346</v>
      </c>
      <c r="G2777" s="32" t="s">
        <v>463</v>
      </c>
      <c r="H2777" s="32" t="s">
        <v>368</v>
      </c>
    </row>
    <row r="2778" ht="16.5" customHeight="1">
      <c r="A2778" s="32">
        <v>2774.0</v>
      </c>
      <c r="C2778" s="32" t="s">
        <v>3523</v>
      </c>
      <c r="D2778" s="32" t="s">
        <v>184</v>
      </c>
      <c r="E2778" s="32" t="s">
        <v>285</v>
      </c>
      <c r="F2778" s="32" t="s">
        <v>346</v>
      </c>
      <c r="G2778" s="32" t="s">
        <v>188</v>
      </c>
      <c r="H2778" s="32" t="s">
        <v>665</v>
      </c>
    </row>
    <row r="2779" ht="16.5" customHeight="1">
      <c r="A2779" s="32">
        <v>2775.0</v>
      </c>
      <c r="C2779" s="32" t="s">
        <v>3524</v>
      </c>
      <c r="D2779" s="32" t="s">
        <v>184</v>
      </c>
      <c r="E2779" s="32" t="s">
        <v>285</v>
      </c>
      <c r="F2779" s="32" t="s">
        <v>346</v>
      </c>
    </row>
    <row r="2780" ht="16.5" customHeight="1">
      <c r="A2780" s="32">
        <v>2776.0</v>
      </c>
      <c r="C2780" s="32" t="s">
        <v>3525</v>
      </c>
      <c r="D2780" s="32" t="s">
        <v>184</v>
      </c>
      <c r="E2780" s="32" t="s">
        <v>285</v>
      </c>
      <c r="F2780" s="32" t="s">
        <v>346</v>
      </c>
    </row>
    <row r="2781" ht="16.5" customHeight="1">
      <c r="A2781" s="32">
        <v>2777.0</v>
      </c>
      <c r="C2781" s="32" t="s">
        <v>3526</v>
      </c>
      <c r="D2781" s="32" t="s">
        <v>184</v>
      </c>
      <c r="E2781" s="32" t="s">
        <v>228</v>
      </c>
      <c r="F2781" s="32" t="s">
        <v>346</v>
      </c>
      <c r="G2781" s="32" t="s">
        <v>408</v>
      </c>
      <c r="H2781" s="32" t="s">
        <v>452</v>
      </c>
    </row>
    <row r="2782" ht="16.5" customHeight="1">
      <c r="A2782" s="32">
        <v>2778.0</v>
      </c>
      <c r="C2782" s="32" t="s">
        <v>3527</v>
      </c>
      <c r="D2782" s="32" t="s">
        <v>184</v>
      </c>
      <c r="E2782" s="32" t="s">
        <v>228</v>
      </c>
      <c r="F2782" s="32" t="s">
        <v>346</v>
      </c>
      <c r="G2782" s="32" t="s">
        <v>408</v>
      </c>
      <c r="H2782" s="32" t="s">
        <v>452</v>
      </c>
    </row>
    <row r="2783" ht="16.5" customHeight="1">
      <c r="A2783" s="32">
        <v>2779.0</v>
      </c>
      <c r="C2783" s="32" t="s">
        <v>3528</v>
      </c>
      <c r="D2783" s="32" t="s">
        <v>184</v>
      </c>
      <c r="E2783" s="32" t="s">
        <v>228</v>
      </c>
      <c r="F2783" s="32" t="s">
        <v>346</v>
      </c>
      <c r="G2783" s="32" t="s">
        <v>408</v>
      </c>
      <c r="H2783" s="32" t="s">
        <v>731</v>
      </c>
    </row>
    <row r="2784" ht="16.5" customHeight="1">
      <c r="A2784" s="32">
        <v>2780.0</v>
      </c>
      <c r="C2784" s="32" t="s">
        <v>3529</v>
      </c>
      <c r="D2784" s="32" t="s">
        <v>184</v>
      </c>
      <c r="E2784" s="32" t="s">
        <v>254</v>
      </c>
      <c r="F2784" s="32" t="s">
        <v>346</v>
      </c>
    </row>
    <row r="2785" ht="16.5" customHeight="1">
      <c r="A2785" s="32">
        <v>2781.0</v>
      </c>
      <c r="C2785" s="32" t="s">
        <v>3530</v>
      </c>
      <c r="D2785" s="32" t="s">
        <v>184</v>
      </c>
      <c r="E2785" s="32" t="s">
        <v>192</v>
      </c>
      <c r="F2785" s="32" t="s">
        <v>346</v>
      </c>
      <c r="G2785" s="32" t="s">
        <v>329</v>
      </c>
      <c r="H2785" s="32" t="s">
        <v>457</v>
      </c>
    </row>
    <row r="2786" ht="16.5" customHeight="1">
      <c r="A2786" s="32">
        <v>2782.0</v>
      </c>
      <c r="C2786" s="32" t="s">
        <v>3531</v>
      </c>
      <c r="D2786" s="32" t="s">
        <v>184</v>
      </c>
      <c r="E2786" s="32" t="s">
        <v>192</v>
      </c>
      <c r="F2786" s="32" t="s">
        <v>346</v>
      </c>
      <c r="G2786" s="32" t="s">
        <v>570</v>
      </c>
      <c r="H2786" s="32" t="s">
        <v>447</v>
      </c>
    </row>
    <row r="2787" ht="16.5" customHeight="1">
      <c r="A2787" s="32">
        <v>2783.0</v>
      </c>
      <c r="C2787" s="32" t="s">
        <v>3532</v>
      </c>
      <c r="D2787" s="32" t="s">
        <v>184</v>
      </c>
      <c r="E2787" s="32" t="s">
        <v>192</v>
      </c>
      <c r="F2787" s="32" t="s">
        <v>346</v>
      </c>
      <c r="G2787" s="32" t="s">
        <v>570</v>
      </c>
      <c r="H2787" s="32" t="s">
        <v>447</v>
      </c>
    </row>
    <row r="2788" ht="16.5" customHeight="1">
      <c r="A2788" s="32">
        <v>2784.0</v>
      </c>
      <c r="C2788" s="32" t="s">
        <v>3533</v>
      </c>
      <c r="D2788" s="32" t="s">
        <v>184</v>
      </c>
      <c r="E2788" s="32" t="s">
        <v>192</v>
      </c>
      <c r="F2788" s="32" t="s">
        <v>346</v>
      </c>
      <c r="G2788" s="32" t="s">
        <v>570</v>
      </c>
      <c r="H2788" s="32" t="s">
        <v>447</v>
      </c>
    </row>
    <row r="2789" ht="16.5" customHeight="1">
      <c r="A2789" s="32">
        <v>2785.0</v>
      </c>
      <c r="C2789" s="32" t="s">
        <v>3534</v>
      </c>
      <c r="D2789" s="32" t="s">
        <v>184</v>
      </c>
      <c r="E2789" s="32" t="s">
        <v>228</v>
      </c>
      <c r="F2789" s="32" t="s">
        <v>346</v>
      </c>
      <c r="G2789" s="32" t="s">
        <v>229</v>
      </c>
      <c r="H2789" s="32" t="s">
        <v>626</v>
      </c>
    </row>
    <row r="2790" ht="16.5" customHeight="1">
      <c r="A2790" s="32">
        <v>2786.0</v>
      </c>
      <c r="C2790" s="32" t="s">
        <v>3535</v>
      </c>
      <c r="D2790" s="32" t="s">
        <v>184</v>
      </c>
      <c r="E2790" s="32" t="s">
        <v>228</v>
      </c>
      <c r="F2790" s="32" t="s">
        <v>346</v>
      </c>
      <c r="G2790" s="32" t="s">
        <v>229</v>
      </c>
      <c r="H2790" s="32" t="s">
        <v>230</v>
      </c>
    </row>
    <row r="2791" ht="16.5" customHeight="1">
      <c r="A2791" s="32">
        <v>2787.0</v>
      </c>
      <c r="C2791" s="32" t="s">
        <v>3536</v>
      </c>
      <c r="D2791" s="32" t="s">
        <v>184</v>
      </c>
      <c r="E2791" s="32" t="s">
        <v>285</v>
      </c>
      <c r="F2791" s="32" t="s">
        <v>346</v>
      </c>
      <c r="G2791" s="32" t="s">
        <v>189</v>
      </c>
      <c r="H2791" s="32" t="s">
        <v>190</v>
      </c>
    </row>
    <row r="2792" ht="16.5" customHeight="1">
      <c r="A2792" s="32">
        <v>2788.0</v>
      </c>
      <c r="C2792" s="32" t="s">
        <v>3537</v>
      </c>
      <c r="D2792" s="32" t="s">
        <v>184</v>
      </c>
      <c r="E2792" s="35" t="s">
        <v>294</v>
      </c>
      <c r="F2792" s="32" t="s">
        <v>346</v>
      </c>
    </row>
    <row r="2793" ht="16.5" customHeight="1">
      <c r="A2793" s="32">
        <v>2789.0</v>
      </c>
      <c r="C2793" s="32" t="s">
        <v>3538</v>
      </c>
      <c r="D2793" s="32" t="s">
        <v>184</v>
      </c>
      <c r="E2793" s="32" t="s">
        <v>325</v>
      </c>
      <c r="F2793" s="32" t="s">
        <v>346</v>
      </c>
      <c r="G2793" s="32" t="s">
        <v>3539</v>
      </c>
      <c r="H2793" s="32" t="s">
        <v>3540</v>
      </c>
    </row>
    <row r="2794" ht="16.5" customHeight="1">
      <c r="A2794" s="32">
        <v>2790.0</v>
      </c>
      <c r="C2794" s="32" t="s">
        <v>3541</v>
      </c>
      <c r="D2794" s="32" t="s">
        <v>184</v>
      </c>
      <c r="E2794" s="32" t="s">
        <v>254</v>
      </c>
      <c r="F2794" s="32" t="s">
        <v>346</v>
      </c>
      <c r="G2794" s="32" t="s">
        <v>257</v>
      </c>
    </row>
    <row r="2795" ht="16.5" customHeight="1">
      <c r="A2795" s="32">
        <v>2791.0</v>
      </c>
      <c r="C2795" s="32" t="s">
        <v>3542</v>
      </c>
      <c r="D2795" s="32" t="s">
        <v>184</v>
      </c>
      <c r="E2795" s="32" t="s">
        <v>254</v>
      </c>
      <c r="F2795" s="32" t="s">
        <v>346</v>
      </c>
    </row>
    <row r="2796" ht="16.5" customHeight="1">
      <c r="A2796" s="32">
        <v>2792.0</v>
      </c>
      <c r="C2796" s="32" t="s">
        <v>3543</v>
      </c>
      <c r="D2796" s="32" t="s">
        <v>184</v>
      </c>
      <c r="E2796" s="32" t="s">
        <v>285</v>
      </c>
      <c r="F2796" s="32" t="s">
        <v>346</v>
      </c>
    </row>
    <row r="2797" ht="16.5" customHeight="1">
      <c r="A2797" s="32">
        <v>2793.0</v>
      </c>
      <c r="C2797" s="32" t="s">
        <v>3544</v>
      </c>
      <c r="D2797" s="32" t="s">
        <v>184</v>
      </c>
      <c r="E2797" s="32" t="s">
        <v>228</v>
      </c>
      <c r="F2797" s="32" t="s">
        <v>346</v>
      </c>
      <c r="G2797" s="32" t="s">
        <v>1224</v>
      </c>
      <c r="H2797" s="32" t="s">
        <v>3545</v>
      </c>
    </row>
    <row r="2798" ht="16.5" customHeight="1">
      <c r="A2798" s="32">
        <v>2794.0</v>
      </c>
      <c r="C2798" s="32" t="s">
        <v>3546</v>
      </c>
      <c r="D2798" s="32" t="s">
        <v>184</v>
      </c>
      <c r="E2798" s="32" t="s">
        <v>228</v>
      </c>
      <c r="F2798" s="32" t="s">
        <v>346</v>
      </c>
      <c r="G2798" s="32" t="s">
        <v>229</v>
      </c>
      <c r="H2798" s="32" t="s">
        <v>626</v>
      </c>
    </row>
    <row r="2799" ht="16.5" customHeight="1">
      <c r="A2799" s="32">
        <v>2795.0</v>
      </c>
      <c r="C2799" s="32" t="s">
        <v>3547</v>
      </c>
      <c r="D2799" s="32" t="s">
        <v>184</v>
      </c>
      <c r="E2799" s="32" t="s">
        <v>228</v>
      </c>
      <c r="F2799" s="32" t="s">
        <v>346</v>
      </c>
      <c r="G2799" s="32" t="s">
        <v>229</v>
      </c>
      <c r="H2799" s="32" t="s">
        <v>626</v>
      </c>
    </row>
    <row r="2800" ht="16.5" customHeight="1">
      <c r="A2800" s="32">
        <v>2796.0</v>
      </c>
      <c r="C2800" s="32" t="s">
        <v>3548</v>
      </c>
      <c r="D2800" s="32" t="s">
        <v>184</v>
      </c>
      <c r="E2800" s="32" t="s">
        <v>192</v>
      </c>
      <c r="F2800" s="32" t="s">
        <v>346</v>
      </c>
      <c r="G2800" s="32" t="s">
        <v>238</v>
      </c>
      <c r="H2800" s="32" t="s">
        <v>618</v>
      </c>
    </row>
    <row r="2801" ht="16.5" customHeight="1">
      <c r="A2801" s="32">
        <v>2797.0</v>
      </c>
      <c r="C2801" s="32" t="s">
        <v>3549</v>
      </c>
      <c r="D2801" s="32" t="s">
        <v>184</v>
      </c>
      <c r="E2801" s="32" t="s">
        <v>192</v>
      </c>
      <c r="F2801" s="32" t="s">
        <v>346</v>
      </c>
      <c r="G2801" s="32" t="s">
        <v>238</v>
      </c>
      <c r="H2801" s="32" t="s">
        <v>618</v>
      </c>
    </row>
    <row r="2802" ht="16.5" customHeight="1">
      <c r="A2802" s="32">
        <v>2798.0</v>
      </c>
      <c r="C2802" s="32" t="s">
        <v>3550</v>
      </c>
      <c r="D2802" s="32" t="s">
        <v>184</v>
      </c>
      <c r="E2802" s="32" t="s">
        <v>192</v>
      </c>
      <c r="F2802" s="32" t="s">
        <v>346</v>
      </c>
      <c r="G2802" s="32" t="s">
        <v>238</v>
      </c>
      <c r="H2802" s="32" t="s">
        <v>618</v>
      </c>
    </row>
    <row r="2803" ht="16.5" customHeight="1">
      <c r="A2803" s="32">
        <v>2799.0</v>
      </c>
      <c r="C2803" s="32" t="s">
        <v>3551</v>
      </c>
      <c r="D2803" s="32" t="s">
        <v>184</v>
      </c>
      <c r="E2803" s="32" t="s">
        <v>185</v>
      </c>
      <c r="F2803" s="32" t="s">
        <v>346</v>
      </c>
      <c r="G2803" s="32" t="s">
        <v>271</v>
      </c>
      <c r="H2803" s="32" t="s">
        <v>3552</v>
      </c>
    </row>
    <row r="2804" ht="16.5" customHeight="1">
      <c r="A2804" s="32">
        <v>2800.0</v>
      </c>
      <c r="C2804" s="32" t="s">
        <v>3553</v>
      </c>
      <c r="D2804" s="32" t="s">
        <v>184</v>
      </c>
      <c r="E2804" s="32" t="s">
        <v>185</v>
      </c>
      <c r="F2804" s="32" t="s">
        <v>346</v>
      </c>
      <c r="G2804" s="32" t="s">
        <v>508</v>
      </c>
    </row>
    <row r="2805" ht="16.5" customHeight="1">
      <c r="A2805" s="32">
        <v>2801.0</v>
      </c>
      <c r="C2805" s="32" t="s">
        <v>3554</v>
      </c>
      <c r="D2805" s="32" t="s">
        <v>184</v>
      </c>
      <c r="E2805" s="32" t="s">
        <v>185</v>
      </c>
      <c r="F2805" s="32" t="s">
        <v>346</v>
      </c>
      <c r="G2805" s="32" t="s">
        <v>187</v>
      </c>
    </row>
    <row r="2806" ht="16.5" customHeight="1">
      <c r="A2806" s="32">
        <v>2802.0</v>
      </c>
      <c r="C2806" s="32" t="s">
        <v>3555</v>
      </c>
      <c r="D2806" s="32" t="s">
        <v>184</v>
      </c>
      <c r="E2806" s="32" t="s">
        <v>192</v>
      </c>
      <c r="F2806" s="32" t="s">
        <v>346</v>
      </c>
      <c r="G2806" s="32" t="s">
        <v>329</v>
      </c>
      <c r="H2806" s="32" t="s">
        <v>457</v>
      </c>
    </row>
    <row r="2807" ht="16.5" customHeight="1">
      <c r="A2807" s="32">
        <v>2803.0</v>
      </c>
      <c r="C2807" s="32" t="s">
        <v>3556</v>
      </c>
      <c r="D2807" s="32" t="s">
        <v>184</v>
      </c>
      <c r="E2807" s="32" t="s">
        <v>285</v>
      </c>
      <c r="F2807" s="32" t="s">
        <v>346</v>
      </c>
      <c r="G2807" s="32" t="s">
        <v>552</v>
      </c>
    </row>
    <row r="2808" ht="16.5" customHeight="1">
      <c r="A2808" s="32">
        <v>2804.0</v>
      </c>
      <c r="C2808" s="32" t="s">
        <v>3557</v>
      </c>
      <c r="D2808" s="32" t="s">
        <v>184</v>
      </c>
      <c r="E2808" s="32" t="s">
        <v>185</v>
      </c>
      <c r="F2808" s="32" t="s">
        <v>346</v>
      </c>
      <c r="G2808" s="32" t="s">
        <v>187</v>
      </c>
      <c r="H2808" s="32" t="s">
        <v>854</v>
      </c>
    </row>
    <row r="2809" ht="16.5" customHeight="1">
      <c r="A2809" s="32">
        <v>2805.0</v>
      </c>
      <c r="C2809" s="32" t="s">
        <v>3558</v>
      </c>
      <c r="D2809" s="32" t="s">
        <v>184</v>
      </c>
      <c r="E2809" s="32" t="s">
        <v>285</v>
      </c>
      <c r="F2809" s="32" t="s">
        <v>346</v>
      </c>
      <c r="G2809" s="32" t="s">
        <v>189</v>
      </c>
      <c r="H2809" s="32" t="s">
        <v>190</v>
      </c>
    </row>
    <row r="2810" ht="16.5" customHeight="1">
      <c r="A2810" s="32">
        <v>2806.0</v>
      </c>
      <c r="C2810" s="32" t="s">
        <v>3559</v>
      </c>
      <c r="D2810" s="32" t="s">
        <v>184</v>
      </c>
      <c r="E2810" s="32" t="s">
        <v>325</v>
      </c>
      <c r="F2810" s="32" t="s">
        <v>346</v>
      </c>
      <c r="G2810" s="32" t="s">
        <v>368</v>
      </c>
      <c r="H2810" s="32" t="s">
        <v>463</v>
      </c>
    </row>
    <row r="2811" ht="16.5" customHeight="1">
      <c r="A2811" s="32">
        <v>2807.0</v>
      </c>
      <c r="C2811" s="32" t="s">
        <v>3560</v>
      </c>
      <c r="D2811" s="32" t="s">
        <v>184</v>
      </c>
      <c r="E2811" s="32" t="s">
        <v>325</v>
      </c>
      <c r="F2811" s="32" t="s">
        <v>346</v>
      </c>
      <c r="G2811" s="32" t="s">
        <v>368</v>
      </c>
      <c r="H2811" s="32" t="s">
        <v>463</v>
      </c>
    </row>
    <row r="2812" ht="16.5" customHeight="1">
      <c r="A2812" s="32">
        <v>2808.0</v>
      </c>
      <c r="C2812" s="32" t="s">
        <v>3561</v>
      </c>
      <c r="D2812" s="32" t="s">
        <v>184</v>
      </c>
      <c r="E2812" s="32" t="s">
        <v>234</v>
      </c>
      <c r="F2812" s="32" t="s">
        <v>346</v>
      </c>
      <c r="G2812" s="32" t="s">
        <v>235</v>
      </c>
      <c r="H2812" s="32" t="s">
        <v>243</v>
      </c>
    </row>
    <row r="2813" ht="16.5" customHeight="1">
      <c r="A2813" s="32">
        <v>2809.0</v>
      </c>
      <c r="C2813" s="32" t="s">
        <v>3562</v>
      </c>
      <c r="D2813" s="32" t="s">
        <v>184</v>
      </c>
      <c r="E2813" s="32" t="s">
        <v>185</v>
      </c>
      <c r="F2813" s="32" t="s">
        <v>346</v>
      </c>
      <c r="G2813" s="32" t="s">
        <v>223</v>
      </c>
    </row>
    <row r="2814" ht="16.5" customHeight="1">
      <c r="A2814" s="32">
        <v>2810.0</v>
      </c>
      <c r="C2814" s="32" t="s">
        <v>3563</v>
      </c>
      <c r="D2814" s="32" t="s">
        <v>184</v>
      </c>
      <c r="E2814" s="32" t="s">
        <v>185</v>
      </c>
      <c r="F2814" s="32" t="s">
        <v>346</v>
      </c>
      <c r="G2814" s="32" t="s">
        <v>187</v>
      </c>
      <c r="H2814" s="32" t="s">
        <v>188</v>
      </c>
    </row>
    <row r="2815" ht="16.5" customHeight="1">
      <c r="A2815" s="32">
        <v>2811.0</v>
      </c>
      <c r="C2815" s="32" t="s">
        <v>3564</v>
      </c>
      <c r="D2815" s="32" t="s">
        <v>184</v>
      </c>
      <c r="E2815" s="32" t="s">
        <v>285</v>
      </c>
      <c r="F2815" s="32" t="s">
        <v>346</v>
      </c>
    </row>
    <row r="2816" ht="16.5" customHeight="1">
      <c r="A2816" s="32">
        <v>2812.0</v>
      </c>
      <c r="C2816" s="32" t="s">
        <v>3565</v>
      </c>
      <c r="D2816" s="32" t="s">
        <v>184</v>
      </c>
      <c r="E2816" s="32" t="s">
        <v>185</v>
      </c>
      <c r="F2816" s="32" t="s">
        <v>346</v>
      </c>
      <c r="G2816" s="32" t="s">
        <v>189</v>
      </c>
      <c r="H2816" s="32" t="s">
        <v>190</v>
      </c>
    </row>
    <row r="2817" ht="16.5" customHeight="1">
      <c r="A2817" s="32">
        <v>2813.0</v>
      </c>
      <c r="C2817" s="32" t="s">
        <v>3566</v>
      </c>
      <c r="D2817" s="32" t="s">
        <v>184</v>
      </c>
      <c r="E2817" s="32" t="s">
        <v>185</v>
      </c>
      <c r="F2817" s="32" t="s">
        <v>346</v>
      </c>
      <c r="G2817" s="32" t="s">
        <v>189</v>
      </c>
      <c r="H2817" s="32" t="s">
        <v>190</v>
      </c>
    </row>
    <row r="2818" ht="16.5" customHeight="1">
      <c r="A2818" s="32">
        <v>2814.0</v>
      </c>
      <c r="C2818" s="32" t="s">
        <v>3567</v>
      </c>
      <c r="D2818" s="32" t="s">
        <v>184</v>
      </c>
      <c r="E2818" s="32" t="s">
        <v>185</v>
      </c>
      <c r="F2818" s="32" t="s">
        <v>346</v>
      </c>
      <c r="G2818" s="32" t="s">
        <v>187</v>
      </c>
    </row>
    <row r="2819" ht="16.5" customHeight="1">
      <c r="A2819" s="32">
        <v>2815.0</v>
      </c>
      <c r="C2819" s="32" t="s">
        <v>3568</v>
      </c>
      <c r="D2819" s="32" t="s">
        <v>184</v>
      </c>
      <c r="E2819" s="32" t="s">
        <v>192</v>
      </c>
      <c r="F2819" s="32" t="s">
        <v>346</v>
      </c>
      <c r="G2819" s="32" t="s">
        <v>329</v>
      </c>
      <c r="H2819" s="32" t="s">
        <v>457</v>
      </c>
    </row>
    <row r="2820" ht="16.5" customHeight="1">
      <c r="A2820" s="32">
        <v>2816.0</v>
      </c>
      <c r="C2820" s="32" t="s">
        <v>3569</v>
      </c>
      <c r="D2820" s="32" t="s">
        <v>184</v>
      </c>
      <c r="E2820" s="32" t="s">
        <v>192</v>
      </c>
      <c r="F2820" s="32" t="s">
        <v>346</v>
      </c>
      <c r="G2820" s="32" t="s">
        <v>329</v>
      </c>
      <c r="H2820" s="32" t="s">
        <v>457</v>
      </c>
    </row>
    <row r="2821" ht="16.5" customHeight="1">
      <c r="A2821" s="32">
        <v>2817.0</v>
      </c>
      <c r="C2821" s="32" t="s">
        <v>3570</v>
      </c>
      <c r="D2821" s="32" t="s">
        <v>184</v>
      </c>
      <c r="E2821" s="32" t="s">
        <v>185</v>
      </c>
      <c r="F2821" s="32" t="s">
        <v>346</v>
      </c>
    </row>
    <row r="2822" ht="16.5" customHeight="1">
      <c r="A2822" s="32">
        <v>2818.0</v>
      </c>
      <c r="C2822" s="32" t="s">
        <v>3571</v>
      </c>
      <c r="D2822" s="32" t="s">
        <v>184</v>
      </c>
      <c r="E2822" s="32" t="s">
        <v>192</v>
      </c>
      <c r="F2822" s="32" t="s">
        <v>346</v>
      </c>
      <c r="G2822" s="32" t="s">
        <v>570</v>
      </c>
      <c r="H2822" s="32" t="s">
        <v>447</v>
      </c>
    </row>
    <row r="2823" ht="16.5" customHeight="1">
      <c r="A2823" s="32">
        <v>2819.0</v>
      </c>
      <c r="C2823" s="32" t="s">
        <v>3572</v>
      </c>
      <c r="D2823" s="32" t="s">
        <v>184</v>
      </c>
      <c r="E2823" s="32" t="s">
        <v>254</v>
      </c>
      <c r="F2823" s="32" t="s">
        <v>346</v>
      </c>
      <c r="G2823" s="32" t="s">
        <v>256</v>
      </c>
      <c r="H2823" s="32" t="s">
        <v>257</v>
      </c>
    </row>
    <row r="2824" ht="16.5" customHeight="1">
      <c r="A2824" s="32">
        <v>2820.0</v>
      </c>
      <c r="C2824" s="32" t="s">
        <v>3573</v>
      </c>
      <c r="D2824" s="32" t="s">
        <v>184</v>
      </c>
      <c r="E2824" s="32" t="s">
        <v>219</v>
      </c>
      <c r="F2824" s="32" t="s">
        <v>346</v>
      </c>
      <c r="G2824" s="32" t="s">
        <v>223</v>
      </c>
      <c r="H2824" s="32" t="s">
        <v>394</v>
      </c>
    </row>
    <row r="2825" ht="16.5" customHeight="1">
      <c r="A2825" s="32">
        <v>2821.0</v>
      </c>
      <c r="C2825" s="32" t="s">
        <v>3574</v>
      </c>
      <c r="D2825" s="32" t="s">
        <v>184</v>
      </c>
      <c r="E2825" s="32" t="s">
        <v>219</v>
      </c>
      <c r="F2825" s="32" t="s">
        <v>346</v>
      </c>
      <c r="G2825" s="32" t="s">
        <v>223</v>
      </c>
    </row>
    <row r="2826" ht="16.5" customHeight="1">
      <c r="A2826" s="32">
        <v>2822.0</v>
      </c>
      <c r="C2826" s="32" t="s">
        <v>3574</v>
      </c>
      <c r="D2826" s="32" t="s">
        <v>184</v>
      </c>
      <c r="E2826" s="32" t="s">
        <v>219</v>
      </c>
      <c r="F2826" s="32" t="s">
        <v>346</v>
      </c>
      <c r="G2826" s="32" t="s">
        <v>511</v>
      </c>
      <c r="H2826" s="32" t="s">
        <v>3575</v>
      </c>
    </row>
    <row r="2827" ht="16.5" customHeight="1">
      <c r="A2827" s="32">
        <v>2823.0</v>
      </c>
      <c r="C2827" s="32" t="s">
        <v>3576</v>
      </c>
      <c r="D2827" s="32" t="s">
        <v>184</v>
      </c>
      <c r="E2827" s="32" t="s">
        <v>219</v>
      </c>
      <c r="F2827" s="32" t="s">
        <v>346</v>
      </c>
      <c r="G2827" s="32" t="s">
        <v>223</v>
      </c>
    </row>
    <row r="2828" ht="16.5" customHeight="1">
      <c r="A2828" s="32">
        <v>2824.0</v>
      </c>
      <c r="C2828" s="32" t="s">
        <v>3577</v>
      </c>
      <c r="D2828" s="32" t="s">
        <v>184</v>
      </c>
      <c r="E2828" s="32" t="s">
        <v>219</v>
      </c>
      <c r="F2828" s="32" t="s">
        <v>346</v>
      </c>
      <c r="G2828" s="32" t="s">
        <v>223</v>
      </c>
    </row>
    <row r="2829" ht="16.5" customHeight="1">
      <c r="A2829" s="32">
        <v>2825.0</v>
      </c>
      <c r="C2829" s="32" t="s">
        <v>3578</v>
      </c>
      <c r="D2829" s="32" t="s">
        <v>184</v>
      </c>
      <c r="E2829" s="32" t="s">
        <v>254</v>
      </c>
      <c r="F2829" s="32" t="s">
        <v>346</v>
      </c>
      <c r="G2829" s="32" t="s">
        <v>257</v>
      </c>
      <c r="H2829" s="32" t="s">
        <v>256</v>
      </c>
    </row>
    <row r="2830" ht="16.5" customHeight="1">
      <c r="A2830" s="32">
        <v>2826.0</v>
      </c>
      <c r="C2830" s="32" t="s">
        <v>3579</v>
      </c>
      <c r="D2830" s="32" t="s">
        <v>184</v>
      </c>
      <c r="E2830" s="32" t="s">
        <v>254</v>
      </c>
      <c r="F2830" s="32" t="s">
        <v>346</v>
      </c>
      <c r="G2830" s="32" t="s">
        <v>257</v>
      </c>
      <c r="H2830" s="32" t="s">
        <v>271</v>
      </c>
    </row>
    <row r="2831" ht="16.5" customHeight="1">
      <c r="A2831" s="32">
        <v>2827.0</v>
      </c>
      <c r="C2831" s="32" t="s">
        <v>3580</v>
      </c>
      <c r="D2831" s="32" t="s">
        <v>184</v>
      </c>
      <c r="E2831" s="32" t="s">
        <v>192</v>
      </c>
      <c r="F2831" s="32" t="s">
        <v>346</v>
      </c>
      <c r="G2831" s="32" t="s">
        <v>329</v>
      </c>
      <c r="H2831" s="32" t="s">
        <v>457</v>
      </c>
    </row>
    <row r="2832" ht="16.5" customHeight="1">
      <c r="A2832" s="32">
        <v>2828.0</v>
      </c>
      <c r="C2832" s="32" t="s">
        <v>3581</v>
      </c>
      <c r="D2832" s="32" t="s">
        <v>184</v>
      </c>
      <c r="E2832" s="32" t="s">
        <v>192</v>
      </c>
      <c r="F2832" s="32" t="s">
        <v>346</v>
      </c>
      <c r="G2832" s="32" t="s">
        <v>300</v>
      </c>
      <c r="H2832" s="32" t="s">
        <v>3582</v>
      </c>
    </row>
    <row r="2833" ht="16.5" customHeight="1">
      <c r="A2833" s="32">
        <v>2829.0</v>
      </c>
      <c r="C2833" s="32" t="s">
        <v>3583</v>
      </c>
      <c r="D2833" s="32" t="s">
        <v>184</v>
      </c>
      <c r="E2833" s="32" t="s">
        <v>192</v>
      </c>
      <c r="F2833" s="32" t="s">
        <v>1160</v>
      </c>
      <c r="G2833" s="32" t="s">
        <v>329</v>
      </c>
      <c r="H2833" s="32" t="s">
        <v>457</v>
      </c>
    </row>
    <row r="2834" ht="16.5" customHeight="1">
      <c r="A2834" s="32">
        <v>2830.0</v>
      </c>
      <c r="C2834" s="32" t="s">
        <v>3584</v>
      </c>
      <c r="D2834" s="32" t="s">
        <v>184</v>
      </c>
      <c r="E2834" s="32" t="s">
        <v>254</v>
      </c>
      <c r="F2834" s="32" t="s">
        <v>255</v>
      </c>
      <c r="G2834" s="32" t="s">
        <v>256</v>
      </c>
      <c r="H2834" s="32" t="s">
        <v>257</v>
      </c>
    </row>
    <row r="2835" ht="16.5" customHeight="1">
      <c r="A2835" s="32">
        <v>2831.0</v>
      </c>
      <c r="C2835" s="32" t="s">
        <v>3585</v>
      </c>
      <c r="D2835" s="32" t="s">
        <v>184</v>
      </c>
      <c r="E2835" s="32" t="s">
        <v>254</v>
      </c>
      <c r="F2835" s="32" t="s">
        <v>255</v>
      </c>
    </row>
    <row r="2836" ht="16.5" customHeight="1">
      <c r="A2836" s="32">
        <v>2832.0</v>
      </c>
      <c r="C2836" s="32" t="s">
        <v>3586</v>
      </c>
      <c r="D2836" s="32" t="s">
        <v>184</v>
      </c>
      <c r="E2836" s="32" t="s">
        <v>254</v>
      </c>
      <c r="F2836" s="32" t="s">
        <v>346</v>
      </c>
    </row>
    <row r="2837" ht="16.5" customHeight="1">
      <c r="A2837" s="32">
        <v>2833.0</v>
      </c>
      <c r="C2837" s="32" t="s">
        <v>3587</v>
      </c>
      <c r="D2837" s="32" t="s">
        <v>184</v>
      </c>
      <c r="E2837" s="32" t="s">
        <v>185</v>
      </c>
      <c r="F2837" s="32" t="s">
        <v>346</v>
      </c>
    </row>
    <row r="2838" ht="16.5" customHeight="1">
      <c r="A2838" s="32">
        <v>2834.0</v>
      </c>
      <c r="C2838" s="32" t="s">
        <v>3588</v>
      </c>
      <c r="D2838" s="32" t="s">
        <v>184</v>
      </c>
      <c r="E2838" s="32" t="s">
        <v>185</v>
      </c>
      <c r="F2838" s="32" t="s">
        <v>255</v>
      </c>
      <c r="G2838" s="32" t="s">
        <v>187</v>
      </c>
    </row>
    <row r="2839" ht="16.5" customHeight="1">
      <c r="A2839" s="32">
        <v>2835.0</v>
      </c>
      <c r="C2839" s="32" t="s">
        <v>3589</v>
      </c>
      <c r="D2839" s="32" t="s">
        <v>184</v>
      </c>
      <c r="E2839" s="32" t="s">
        <v>185</v>
      </c>
      <c r="F2839" s="32" t="s">
        <v>255</v>
      </c>
      <c r="G2839" s="32" t="s">
        <v>187</v>
      </c>
    </row>
    <row r="2840" ht="16.5" customHeight="1">
      <c r="A2840" s="32">
        <v>2836.0</v>
      </c>
      <c r="C2840" s="32" t="s">
        <v>3590</v>
      </c>
      <c r="D2840" s="32" t="s">
        <v>184</v>
      </c>
      <c r="E2840" s="32" t="s">
        <v>192</v>
      </c>
      <c r="F2840" s="32" t="s">
        <v>255</v>
      </c>
      <c r="G2840" s="32" t="s">
        <v>275</v>
      </c>
    </row>
    <row r="2841" ht="16.5" customHeight="1">
      <c r="A2841" s="32">
        <v>2837.0</v>
      </c>
      <c r="C2841" s="32" t="s">
        <v>3591</v>
      </c>
      <c r="D2841" s="32" t="s">
        <v>184</v>
      </c>
      <c r="E2841" s="32" t="s">
        <v>185</v>
      </c>
      <c r="F2841" s="32" t="s">
        <v>255</v>
      </c>
      <c r="G2841" s="32" t="s">
        <v>189</v>
      </c>
      <c r="H2841" s="32" t="s">
        <v>190</v>
      </c>
    </row>
    <row r="2842" ht="16.5" customHeight="1">
      <c r="A2842" s="32">
        <v>2838.0</v>
      </c>
      <c r="C2842" s="32" t="s">
        <v>3592</v>
      </c>
      <c r="D2842" s="32" t="s">
        <v>184</v>
      </c>
      <c r="E2842" s="32" t="s">
        <v>285</v>
      </c>
      <c r="F2842" s="32" t="s">
        <v>255</v>
      </c>
    </row>
    <row r="2843" ht="16.5" customHeight="1">
      <c r="A2843" s="32">
        <v>2839.0</v>
      </c>
      <c r="C2843" s="32" t="s">
        <v>3593</v>
      </c>
      <c r="D2843" s="32" t="s">
        <v>184</v>
      </c>
      <c r="E2843" s="32" t="s">
        <v>285</v>
      </c>
      <c r="F2843" s="32" t="s">
        <v>255</v>
      </c>
      <c r="G2843" s="32" t="s">
        <v>3594</v>
      </c>
      <c r="H2843" s="32" t="s">
        <v>3595</v>
      </c>
    </row>
    <row r="2844" ht="16.5" customHeight="1">
      <c r="A2844" s="32">
        <v>2840.0</v>
      </c>
      <c r="C2844" s="32" t="s">
        <v>3596</v>
      </c>
      <c r="D2844" s="32" t="s">
        <v>184</v>
      </c>
      <c r="E2844" s="32" t="s">
        <v>285</v>
      </c>
      <c r="F2844" s="32" t="s">
        <v>255</v>
      </c>
      <c r="G2844" s="32" t="s">
        <v>189</v>
      </c>
      <c r="H2844" s="32" t="s">
        <v>190</v>
      </c>
    </row>
    <row r="2845" ht="16.5" customHeight="1">
      <c r="A2845" s="32">
        <v>2841.0</v>
      </c>
      <c r="C2845" s="32" t="s">
        <v>3597</v>
      </c>
      <c r="D2845" s="32" t="s">
        <v>184</v>
      </c>
      <c r="E2845" s="32" t="s">
        <v>254</v>
      </c>
      <c r="F2845" s="32" t="s">
        <v>255</v>
      </c>
      <c r="G2845" s="32" t="s">
        <v>524</v>
      </c>
      <c r="H2845" s="32" t="s">
        <v>190</v>
      </c>
    </row>
    <row r="2846" ht="16.5" customHeight="1">
      <c r="A2846" s="32">
        <v>2842.0</v>
      </c>
      <c r="C2846" s="32" t="s">
        <v>3598</v>
      </c>
      <c r="D2846" s="32" t="s">
        <v>184</v>
      </c>
      <c r="E2846" s="32" t="s">
        <v>254</v>
      </c>
      <c r="F2846" s="32" t="s">
        <v>255</v>
      </c>
      <c r="G2846" s="32" t="s">
        <v>256</v>
      </c>
      <c r="H2846" s="32" t="s">
        <v>271</v>
      </c>
    </row>
    <row r="2847" ht="16.5" customHeight="1">
      <c r="A2847" s="32">
        <v>2843.0</v>
      </c>
      <c r="C2847" s="32" t="s">
        <v>3599</v>
      </c>
      <c r="D2847" s="32" t="s">
        <v>184</v>
      </c>
      <c r="E2847" s="32" t="s">
        <v>254</v>
      </c>
      <c r="F2847" s="32" t="s">
        <v>255</v>
      </c>
      <c r="G2847" s="32" t="s">
        <v>256</v>
      </c>
      <c r="H2847" s="32" t="s">
        <v>271</v>
      </c>
    </row>
    <row r="2848" ht="16.5" customHeight="1">
      <c r="A2848" s="32">
        <v>2844.0</v>
      </c>
      <c r="C2848" s="32" t="s">
        <v>3600</v>
      </c>
      <c r="D2848" s="32" t="s">
        <v>184</v>
      </c>
      <c r="E2848" s="32" t="s">
        <v>321</v>
      </c>
      <c r="F2848" s="32" t="s">
        <v>255</v>
      </c>
    </row>
    <row r="2849" ht="16.5" customHeight="1">
      <c r="A2849" s="32">
        <v>2845.0</v>
      </c>
      <c r="C2849" s="32" t="s">
        <v>3601</v>
      </c>
      <c r="D2849" s="32" t="s">
        <v>184</v>
      </c>
      <c r="E2849" s="32" t="s">
        <v>321</v>
      </c>
      <c r="F2849" s="32" t="s">
        <v>255</v>
      </c>
    </row>
    <row r="2850" ht="16.5" customHeight="1">
      <c r="A2850" s="32">
        <v>2846.0</v>
      </c>
      <c r="C2850" s="32" t="s">
        <v>3602</v>
      </c>
      <c r="D2850" s="32" t="s">
        <v>184</v>
      </c>
      <c r="E2850" s="32" t="s">
        <v>185</v>
      </c>
      <c r="F2850" s="32" t="s">
        <v>255</v>
      </c>
      <c r="G2850" s="32" t="s">
        <v>187</v>
      </c>
      <c r="H2850" s="32" t="s">
        <v>188</v>
      </c>
    </row>
    <row r="2851" ht="16.5" customHeight="1">
      <c r="A2851" s="32">
        <v>2847.0</v>
      </c>
      <c r="C2851" s="32" t="s">
        <v>3603</v>
      </c>
      <c r="D2851" s="32" t="s">
        <v>184</v>
      </c>
      <c r="E2851" s="32" t="s">
        <v>185</v>
      </c>
      <c r="F2851" s="32" t="s">
        <v>255</v>
      </c>
    </row>
    <row r="2852" ht="16.5" customHeight="1">
      <c r="A2852" s="32">
        <v>2848.0</v>
      </c>
      <c r="C2852" s="32" t="s">
        <v>3604</v>
      </c>
      <c r="D2852" s="32" t="s">
        <v>184</v>
      </c>
      <c r="E2852" s="32" t="s">
        <v>228</v>
      </c>
      <c r="F2852" s="32" t="s">
        <v>255</v>
      </c>
      <c r="G2852" s="32" t="s">
        <v>1997</v>
      </c>
      <c r="H2852" s="32" t="s">
        <v>3605</v>
      </c>
    </row>
    <row r="2853" ht="16.5" customHeight="1">
      <c r="A2853" s="32">
        <v>2849.0</v>
      </c>
      <c r="C2853" s="32" t="s">
        <v>3606</v>
      </c>
      <c r="D2853" s="32" t="s">
        <v>184</v>
      </c>
      <c r="E2853" s="32" t="s">
        <v>228</v>
      </c>
      <c r="F2853" s="32" t="s">
        <v>255</v>
      </c>
      <c r="G2853" s="32" t="s">
        <v>408</v>
      </c>
      <c r="H2853" s="32" t="s">
        <v>3607</v>
      </c>
    </row>
    <row r="2854" ht="16.5" customHeight="1">
      <c r="A2854" s="32">
        <v>2850.0</v>
      </c>
      <c r="C2854" s="32" t="s">
        <v>3608</v>
      </c>
      <c r="D2854" s="32" t="s">
        <v>184</v>
      </c>
      <c r="E2854" s="32" t="s">
        <v>185</v>
      </c>
      <c r="F2854" s="32" t="s">
        <v>255</v>
      </c>
      <c r="G2854" s="32" t="s">
        <v>3609</v>
      </c>
      <c r="H2854" s="32" t="s">
        <v>3610</v>
      </c>
    </row>
    <row r="2855" ht="16.5" customHeight="1">
      <c r="A2855" s="32">
        <v>2851.0</v>
      </c>
      <c r="C2855" s="32" t="s">
        <v>3611</v>
      </c>
      <c r="D2855" s="32" t="s">
        <v>184</v>
      </c>
      <c r="E2855" s="32" t="s">
        <v>254</v>
      </c>
      <c r="F2855" s="32" t="s">
        <v>255</v>
      </c>
    </row>
    <row r="2856" ht="16.5" customHeight="1">
      <c r="A2856" s="32">
        <v>2852.0</v>
      </c>
      <c r="C2856" s="32" t="s">
        <v>3612</v>
      </c>
      <c r="D2856" s="32" t="s">
        <v>184</v>
      </c>
      <c r="E2856" s="32" t="s">
        <v>219</v>
      </c>
      <c r="F2856" s="32" t="s">
        <v>396</v>
      </c>
      <c r="G2856" s="32" t="s">
        <v>217</v>
      </c>
      <c r="H2856" s="32" t="s">
        <v>216</v>
      </c>
    </row>
    <row r="2857" ht="16.5" customHeight="1">
      <c r="A2857" s="32">
        <v>2853.0</v>
      </c>
      <c r="C2857" s="32" t="s">
        <v>3613</v>
      </c>
      <c r="D2857" s="32" t="s">
        <v>184</v>
      </c>
      <c r="E2857" s="32" t="s">
        <v>254</v>
      </c>
      <c r="F2857" s="32" t="s">
        <v>255</v>
      </c>
      <c r="G2857" s="32" t="s">
        <v>2868</v>
      </c>
      <c r="H2857" s="32" t="s">
        <v>1306</v>
      </c>
    </row>
    <row r="2858" ht="16.5" customHeight="1">
      <c r="A2858" s="32">
        <v>2854.0</v>
      </c>
      <c r="C2858" s="32" t="s">
        <v>3614</v>
      </c>
      <c r="D2858" s="32" t="s">
        <v>184</v>
      </c>
      <c r="E2858" s="32" t="s">
        <v>351</v>
      </c>
      <c r="F2858" s="32" t="s">
        <v>255</v>
      </c>
    </row>
    <row r="2859" ht="16.5" customHeight="1">
      <c r="A2859" s="32">
        <v>2855.0</v>
      </c>
      <c r="C2859" s="32" t="s">
        <v>3615</v>
      </c>
      <c r="D2859" s="32" t="s">
        <v>184</v>
      </c>
      <c r="E2859" s="32" t="s">
        <v>185</v>
      </c>
      <c r="F2859" s="32" t="s">
        <v>255</v>
      </c>
      <c r="G2859" s="32" t="s">
        <v>3616</v>
      </c>
      <c r="H2859" s="32" t="s">
        <v>3617</v>
      </c>
    </row>
    <row r="2860" ht="16.5" customHeight="1">
      <c r="A2860" s="32">
        <v>2856.0</v>
      </c>
      <c r="C2860" s="32" t="s">
        <v>3618</v>
      </c>
      <c r="D2860" s="32" t="s">
        <v>184</v>
      </c>
      <c r="E2860" s="32" t="s">
        <v>219</v>
      </c>
      <c r="F2860" s="32" t="s">
        <v>255</v>
      </c>
      <c r="G2860" s="32" t="s">
        <v>241</v>
      </c>
      <c r="H2860" s="32" t="s">
        <v>292</v>
      </c>
    </row>
    <row r="2861" ht="16.5" customHeight="1">
      <c r="A2861" s="32">
        <v>2857.0</v>
      </c>
      <c r="C2861" s="32" t="s">
        <v>3619</v>
      </c>
      <c r="D2861" s="32" t="s">
        <v>184</v>
      </c>
      <c r="E2861" s="32" t="s">
        <v>219</v>
      </c>
      <c r="F2861" s="32" t="s">
        <v>255</v>
      </c>
      <c r="G2861" s="32" t="s">
        <v>216</v>
      </c>
      <c r="H2861" s="32" t="s">
        <v>217</v>
      </c>
    </row>
    <row r="2862" ht="16.5" customHeight="1">
      <c r="A2862" s="32">
        <v>2858.0</v>
      </c>
      <c r="C2862" s="32" t="s">
        <v>3620</v>
      </c>
      <c r="D2862" s="32" t="s">
        <v>184</v>
      </c>
      <c r="E2862" s="32" t="s">
        <v>254</v>
      </c>
      <c r="F2862" s="32" t="s">
        <v>255</v>
      </c>
      <c r="G2862" s="32" t="s">
        <v>257</v>
      </c>
      <c r="H2862" s="32" t="s">
        <v>256</v>
      </c>
    </row>
    <row r="2863" ht="16.5" customHeight="1">
      <c r="A2863" s="32">
        <v>2859.0</v>
      </c>
      <c r="C2863" s="32" t="s">
        <v>3621</v>
      </c>
      <c r="D2863" s="32" t="s">
        <v>184</v>
      </c>
      <c r="E2863" s="32" t="s">
        <v>254</v>
      </c>
      <c r="F2863" s="32" t="s">
        <v>255</v>
      </c>
    </row>
    <row r="2864" ht="16.5" customHeight="1">
      <c r="A2864" s="32">
        <v>2860.0</v>
      </c>
      <c r="C2864" s="32" t="s">
        <v>3622</v>
      </c>
      <c r="D2864" s="32" t="s">
        <v>184</v>
      </c>
      <c r="E2864" s="32" t="s">
        <v>234</v>
      </c>
      <c r="F2864" s="32" t="s">
        <v>255</v>
      </c>
    </row>
    <row r="2865" ht="16.5" customHeight="1">
      <c r="A2865" s="32">
        <v>2861.0</v>
      </c>
      <c r="C2865" s="32" t="s">
        <v>3623</v>
      </c>
      <c r="D2865" s="32" t="s">
        <v>184</v>
      </c>
      <c r="E2865" s="32" t="s">
        <v>185</v>
      </c>
      <c r="F2865" s="32" t="s">
        <v>255</v>
      </c>
      <c r="G2865" s="32" t="s">
        <v>275</v>
      </c>
      <c r="H2865" s="32" t="s">
        <v>2412</v>
      </c>
    </row>
    <row r="2866" ht="16.5" customHeight="1">
      <c r="A2866" s="32">
        <v>2862.0</v>
      </c>
      <c r="C2866" s="32" t="s">
        <v>3624</v>
      </c>
      <c r="D2866" s="32" t="s">
        <v>184</v>
      </c>
      <c r="E2866" s="32" t="s">
        <v>185</v>
      </c>
      <c r="F2866" s="32" t="s">
        <v>255</v>
      </c>
      <c r="G2866" s="32" t="s">
        <v>275</v>
      </c>
      <c r="H2866" s="32" t="s">
        <v>2412</v>
      </c>
    </row>
    <row r="2867" ht="16.5" customHeight="1">
      <c r="A2867" s="32">
        <v>2863.0</v>
      </c>
      <c r="C2867" s="32" t="s">
        <v>3625</v>
      </c>
      <c r="D2867" s="32" t="s">
        <v>184</v>
      </c>
      <c r="E2867" s="32" t="s">
        <v>192</v>
      </c>
      <c r="F2867" s="32" t="s">
        <v>255</v>
      </c>
      <c r="G2867" s="32" t="s">
        <v>3626</v>
      </c>
      <c r="H2867" s="32" t="s">
        <v>408</v>
      </c>
    </row>
    <row r="2868" ht="16.5" customHeight="1">
      <c r="A2868" s="32">
        <v>2864.0</v>
      </c>
      <c r="C2868" s="32" t="s">
        <v>3627</v>
      </c>
      <c r="D2868" s="32" t="s">
        <v>184</v>
      </c>
      <c r="E2868" s="32" t="s">
        <v>185</v>
      </c>
      <c r="F2868" s="32" t="s">
        <v>255</v>
      </c>
      <c r="G2868" s="32" t="s">
        <v>271</v>
      </c>
      <c r="H2868" s="32" t="s">
        <v>3552</v>
      </c>
    </row>
    <row r="2869" ht="16.5" customHeight="1">
      <c r="A2869" s="32">
        <v>2865.0</v>
      </c>
      <c r="C2869" s="32" t="s">
        <v>3628</v>
      </c>
      <c r="D2869" s="32" t="s">
        <v>184</v>
      </c>
      <c r="E2869" s="32" t="s">
        <v>185</v>
      </c>
      <c r="F2869" s="32" t="s">
        <v>399</v>
      </c>
      <c r="G2869" s="32" t="s">
        <v>187</v>
      </c>
      <c r="H2869" s="32" t="s">
        <v>188</v>
      </c>
    </row>
    <row r="2870" ht="16.5" customHeight="1">
      <c r="A2870" s="32">
        <v>2866.0</v>
      </c>
      <c r="C2870" s="32" t="s">
        <v>3629</v>
      </c>
      <c r="D2870" s="32" t="s">
        <v>184</v>
      </c>
      <c r="E2870" s="32" t="s">
        <v>185</v>
      </c>
      <c r="F2870" s="32" t="s">
        <v>399</v>
      </c>
      <c r="G2870" s="32" t="s">
        <v>187</v>
      </c>
      <c r="H2870" s="32" t="s">
        <v>188</v>
      </c>
    </row>
    <row r="2871" ht="16.5" customHeight="1">
      <c r="A2871" s="32">
        <v>2867.0</v>
      </c>
      <c r="C2871" s="32" t="s">
        <v>3630</v>
      </c>
      <c r="D2871" s="32" t="s">
        <v>184</v>
      </c>
      <c r="E2871" s="32" t="s">
        <v>185</v>
      </c>
      <c r="F2871" s="32" t="s">
        <v>255</v>
      </c>
      <c r="G2871" s="32" t="s">
        <v>271</v>
      </c>
      <c r="H2871" s="32" t="s">
        <v>566</v>
      </c>
    </row>
    <row r="2872" ht="16.5" customHeight="1">
      <c r="A2872" s="32">
        <v>2868.0</v>
      </c>
      <c r="C2872" s="32" t="s">
        <v>3631</v>
      </c>
      <c r="D2872" s="32" t="s">
        <v>184</v>
      </c>
      <c r="E2872" s="32" t="s">
        <v>254</v>
      </c>
      <c r="F2872" s="32" t="s">
        <v>255</v>
      </c>
    </row>
    <row r="2873" ht="16.5" customHeight="1">
      <c r="A2873" s="32">
        <v>2869.0</v>
      </c>
      <c r="C2873" s="32" t="s">
        <v>3632</v>
      </c>
      <c r="D2873" s="32" t="s">
        <v>184</v>
      </c>
      <c r="E2873" s="32" t="s">
        <v>192</v>
      </c>
      <c r="F2873" s="32" t="s">
        <v>255</v>
      </c>
      <c r="G2873" s="32" t="s">
        <v>404</v>
      </c>
      <c r="H2873" s="32" t="s">
        <v>447</v>
      </c>
    </row>
    <row r="2874" ht="16.5" customHeight="1">
      <c r="A2874" s="32">
        <v>2870.0</v>
      </c>
      <c r="C2874" s="32" t="s">
        <v>3633</v>
      </c>
      <c r="D2874" s="32" t="s">
        <v>184</v>
      </c>
      <c r="E2874" s="32" t="s">
        <v>254</v>
      </c>
      <c r="F2874" s="32" t="s">
        <v>255</v>
      </c>
      <c r="G2874" s="32" t="s">
        <v>3634</v>
      </c>
      <c r="H2874" s="32" t="s">
        <v>3635</v>
      </c>
    </row>
    <row r="2875" ht="16.5" customHeight="1">
      <c r="A2875" s="32">
        <v>2871.0</v>
      </c>
      <c r="C2875" s="32" t="s">
        <v>3636</v>
      </c>
      <c r="D2875" s="32" t="s">
        <v>184</v>
      </c>
      <c r="E2875" s="32" t="s">
        <v>254</v>
      </c>
      <c r="F2875" s="32" t="s">
        <v>255</v>
      </c>
    </row>
    <row r="2876" ht="16.5" customHeight="1">
      <c r="A2876" s="32">
        <v>2872.0</v>
      </c>
      <c r="C2876" s="32" t="s">
        <v>3637</v>
      </c>
      <c r="D2876" s="32" t="s">
        <v>184</v>
      </c>
      <c r="E2876" s="32" t="s">
        <v>254</v>
      </c>
      <c r="F2876" s="32" t="s">
        <v>255</v>
      </c>
      <c r="G2876" s="32" t="s">
        <v>305</v>
      </c>
      <c r="H2876" s="32" t="s">
        <v>600</v>
      </c>
    </row>
    <row r="2877" ht="16.5" customHeight="1">
      <c r="A2877" s="32">
        <v>2873.0</v>
      </c>
      <c r="C2877" s="32" t="s">
        <v>3638</v>
      </c>
      <c r="D2877" s="32" t="s">
        <v>184</v>
      </c>
      <c r="E2877" s="32" t="s">
        <v>254</v>
      </c>
      <c r="F2877" s="32" t="s">
        <v>255</v>
      </c>
      <c r="G2877" s="32" t="s">
        <v>305</v>
      </c>
    </row>
    <row r="2878" ht="16.5" customHeight="1">
      <c r="A2878" s="32">
        <v>2874.0</v>
      </c>
      <c r="C2878" s="32" t="s">
        <v>3639</v>
      </c>
      <c r="D2878" s="32" t="s">
        <v>184</v>
      </c>
      <c r="E2878" s="32" t="s">
        <v>254</v>
      </c>
      <c r="F2878" s="32" t="s">
        <v>255</v>
      </c>
      <c r="G2878" s="32" t="s">
        <v>305</v>
      </c>
      <c r="H2878" s="32" t="s">
        <v>600</v>
      </c>
    </row>
    <row r="2879" ht="16.5" customHeight="1">
      <c r="A2879" s="32">
        <v>2875.0</v>
      </c>
      <c r="C2879" s="32" t="s">
        <v>3640</v>
      </c>
      <c r="D2879" s="32" t="s">
        <v>184</v>
      </c>
      <c r="E2879" s="35" t="s">
        <v>310</v>
      </c>
      <c r="F2879" s="32" t="s">
        <v>255</v>
      </c>
      <c r="G2879" s="32" t="s">
        <v>263</v>
      </c>
      <c r="H2879" s="32" t="s">
        <v>3641</v>
      </c>
    </row>
    <row r="2880" ht="16.5" customHeight="1">
      <c r="A2880" s="32">
        <v>2876.0</v>
      </c>
      <c r="C2880" s="32" t="s">
        <v>3642</v>
      </c>
      <c r="D2880" s="32" t="s">
        <v>184</v>
      </c>
      <c r="E2880" s="32" t="s">
        <v>254</v>
      </c>
      <c r="F2880" s="32" t="s">
        <v>255</v>
      </c>
      <c r="G2880" s="32" t="s">
        <v>256</v>
      </c>
      <c r="H2880" s="32" t="s">
        <v>3643</v>
      </c>
    </row>
    <row r="2881" ht="16.5" customHeight="1">
      <c r="A2881" s="32">
        <v>2877.0</v>
      </c>
      <c r="C2881" s="32" t="s">
        <v>3644</v>
      </c>
      <c r="D2881" s="32" t="s">
        <v>184</v>
      </c>
      <c r="E2881" s="32" t="s">
        <v>254</v>
      </c>
      <c r="F2881" s="32" t="s">
        <v>255</v>
      </c>
    </row>
    <row r="2882" ht="16.5" customHeight="1">
      <c r="A2882" s="32">
        <v>2878.0</v>
      </c>
      <c r="C2882" s="32" t="s">
        <v>3644</v>
      </c>
      <c r="D2882" s="32" t="s">
        <v>184</v>
      </c>
      <c r="E2882" s="32" t="s">
        <v>254</v>
      </c>
      <c r="F2882" s="32" t="s">
        <v>255</v>
      </c>
    </row>
    <row r="2883" ht="16.5" customHeight="1">
      <c r="A2883" s="32">
        <v>2879.0</v>
      </c>
      <c r="C2883" s="32" t="s">
        <v>3645</v>
      </c>
      <c r="D2883" s="32" t="s">
        <v>184</v>
      </c>
      <c r="E2883" s="32" t="s">
        <v>185</v>
      </c>
      <c r="F2883" s="32" t="s">
        <v>255</v>
      </c>
      <c r="G2883" s="32" t="s">
        <v>305</v>
      </c>
      <c r="H2883" s="32" t="s">
        <v>289</v>
      </c>
    </row>
    <row r="2884" ht="16.5" customHeight="1">
      <c r="A2884" s="32">
        <v>2880.0</v>
      </c>
      <c r="C2884" s="32" t="s">
        <v>3646</v>
      </c>
      <c r="D2884" s="32" t="s">
        <v>184</v>
      </c>
      <c r="E2884" s="32" t="s">
        <v>185</v>
      </c>
      <c r="F2884" s="32" t="s">
        <v>255</v>
      </c>
      <c r="G2884" s="32" t="s">
        <v>271</v>
      </c>
      <c r="H2884" s="32" t="s">
        <v>3322</v>
      </c>
    </row>
    <row r="2885" ht="16.5" customHeight="1">
      <c r="A2885" s="32">
        <v>2881.0</v>
      </c>
      <c r="C2885" s="32" t="s">
        <v>3647</v>
      </c>
      <c r="D2885" s="32" t="s">
        <v>184</v>
      </c>
      <c r="E2885" s="32" t="s">
        <v>254</v>
      </c>
      <c r="F2885" s="32" t="s">
        <v>255</v>
      </c>
      <c r="G2885" s="32" t="s">
        <v>305</v>
      </c>
      <c r="H2885" s="32" t="s">
        <v>3648</v>
      </c>
    </row>
    <row r="2886" ht="16.5" customHeight="1">
      <c r="A2886" s="32">
        <v>2882.0</v>
      </c>
      <c r="C2886" s="32" t="s">
        <v>3649</v>
      </c>
      <c r="D2886" s="32" t="s">
        <v>184</v>
      </c>
      <c r="E2886" s="32" t="s">
        <v>254</v>
      </c>
      <c r="F2886" s="32" t="s">
        <v>255</v>
      </c>
      <c r="G2886" s="32" t="s">
        <v>305</v>
      </c>
      <c r="H2886" s="32" t="s">
        <v>371</v>
      </c>
    </row>
    <row r="2887" ht="16.5" customHeight="1">
      <c r="A2887" s="32">
        <v>2883.0</v>
      </c>
      <c r="C2887" s="32" t="s">
        <v>3650</v>
      </c>
      <c r="D2887" s="32" t="s">
        <v>184</v>
      </c>
      <c r="E2887" s="32" t="s">
        <v>192</v>
      </c>
      <c r="F2887" s="32" t="s">
        <v>255</v>
      </c>
    </row>
    <row r="2888" ht="16.5" customHeight="1">
      <c r="A2888" s="32">
        <v>2884.0</v>
      </c>
      <c r="C2888" s="32" t="s">
        <v>3651</v>
      </c>
      <c r="D2888" s="32" t="s">
        <v>184</v>
      </c>
      <c r="E2888" s="32" t="s">
        <v>192</v>
      </c>
      <c r="F2888" s="32" t="s">
        <v>255</v>
      </c>
    </row>
    <row r="2889" ht="16.5" customHeight="1">
      <c r="A2889" s="32">
        <v>2885.0</v>
      </c>
      <c r="C2889" s="32" t="s">
        <v>3652</v>
      </c>
      <c r="D2889" s="32" t="s">
        <v>184</v>
      </c>
      <c r="E2889" s="32" t="s">
        <v>192</v>
      </c>
      <c r="F2889" s="32" t="s">
        <v>255</v>
      </c>
    </row>
    <row r="2890" ht="16.5" customHeight="1">
      <c r="A2890" s="32">
        <v>2886.0</v>
      </c>
      <c r="C2890" s="32" t="s">
        <v>3653</v>
      </c>
      <c r="D2890" s="32" t="s">
        <v>184</v>
      </c>
      <c r="E2890" s="32" t="s">
        <v>192</v>
      </c>
      <c r="F2890" s="32" t="s">
        <v>255</v>
      </c>
    </row>
    <row r="2891" ht="16.5" customHeight="1">
      <c r="A2891" s="32">
        <v>2887.0</v>
      </c>
      <c r="C2891" s="32" t="s">
        <v>3654</v>
      </c>
      <c r="D2891" s="32" t="s">
        <v>184</v>
      </c>
      <c r="E2891" s="32" t="s">
        <v>192</v>
      </c>
      <c r="F2891" s="32" t="s">
        <v>255</v>
      </c>
    </row>
    <row r="2892" ht="16.5" customHeight="1">
      <c r="A2892" s="32">
        <v>2888.0</v>
      </c>
      <c r="C2892" s="32" t="s">
        <v>3655</v>
      </c>
      <c r="D2892" s="32" t="s">
        <v>184</v>
      </c>
      <c r="E2892" s="32" t="s">
        <v>228</v>
      </c>
      <c r="F2892" s="32" t="s">
        <v>255</v>
      </c>
      <c r="G2892" s="32" t="s">
        <v>408</v>
      </c>
      <c r="H2892" s="32" t="s">
        <v>731</v>
      </c>
    </row>
    <row r="2893" ht="16.5" customHeight="1">
      <c r="A2893" s="32">
        <v>2889.0</v>
      </c>
      <c r="C2893" s="32" t="s">
        <v>3656</v>
      </c>
      <c r="D2893" s="32" t="s">
        <v>184</v>
      </c>
      <c r="E2893" s="32" t="s">
        <v>254</v>
      </c>
      <c r="F2893" s="32" t="s">
        <v>255</v>
      </c>
      <c r="G2893" s="32" t="s">
        <v>305</v>
      </c>
      <c r="H2893" s="32" t="s">
        <v>2482</v>
      </c>
    </row>
    <row r="2894" ht="16.5" customHeight="1">
      <c r="A2894" s="32">
        <v>2890.0</v>
      </c>
      <c r="C2894" s="32" t="s">
        <v>3657</v>
      </c>
      <c r="D2894" s="32" t="s">
        <v>184</v>
      </c>
      <c r="E2894" s="32" t="s">
        <v>185</v>
      </c>
      <c r="F2894" s="32" t="s">
        <v>255</v>
      </c>
      <c r="G2894" s="32" t="s">
        <v>271</v>
      </c>
      <c r="H2894" s="32" t="s">
        <v>303</v>
      </c>
    </row>
    <row r="2895" ht="16.5" customHeight="1">
      <c r="A2895" s="32">
        <v>2891.0</v>
      </c>
      <c r="C2895" s="32" t="s">
        <v>3658</v>
      </c>
      <c r="D2895" s="32" t="s">
        <v>184</v>
      </c>
      <c r="E2895" s="32" t="s">
        <v>185</v>
      </c>
      <c r="F2895" s="32" t="s">
        <v>255</v>
      </c>
      <c r="G2895" s="32" t="s">
        <v>3634</v>
      </c>
      <c r="H2895" s="32" t="s">
        <v>3659</v>
      </c>
    </row>
    <row r="2896" ht="16.5" customHeight="1">
      <c r="A2896" s="32">
        <v>2892.0</v>
      </c>
      <c r="C2896" s="32" t="s">
        <v>3660</v>
      </c>
      <c r="D2896" s="32" t="s">
        <v>184</v>
      </c>
      <c r="E2896" s="32" t="s">
        <v>185</v>
      </c>
      <c r="F2896" s="32" t="s">
        <v>255</v>
      </c>
      <c r="G2896" s="32" t="s">
        <v>271</v>
      </c>
      <c r="H2896" s="32" t="s">
        <v>563</v>
      </c>
    </row>
    <row r="2897" ht="16.5" customHeight="1">
      <c r="A2897" s="32">
        <v>2893.0</v>
      </c>
      <c r="C2897" s="32" t="s">
        <v>3661</v>
      </c>
      <c r="D2897" s="32" t="s">
        <v>184</v>
      </c>
      <c r="E2897" s="32" t="s">
        <v>185</v>
      </c>
      <c r="F2897" s="32" t="s">
        <v>255</v>
      </c>
      <c r="G2897" s="32" t="s">
        <v>271</v>
      </c>
      <c r="H2897" s="32" t="s">
        <v>566</v>
      </c>
    </row>
    <row r="2898" ht="16.5" customHeight="1">
      <c r="A2898" s="32">
        <v>2894.0</v>
      </c>
      <c r="C2898" s="32" t="s">
        <v>3662</v>
      </c>
      <c r="D2898" s="32" t="s">
        <v>184</v>
      </c>
      <c r="E2898" s="32" t="s">
        <v>214</v>
      </c>
      <c r="F2898" s="32" t="s">
        <v>255</v>
      </c>
      <c r="G2898" s="32" t="s">
        <v>216</v>
      </c>
      <c r="H2898" s="32" t="s">
        <v>217</v>
      </c>
    </row>
    <row r="2899" ht="16.5" customHeight="1">
      <c r="A2899" s="32">
        <v>2895.0</v>
      </c>
      <c r="C2899" s="32" t="s">
        <v>3663</v>
      </c>
      <c r="D2899" s="32" t="s">
        <v>184</v>
      </c>
      <c r="E2899" s="32" t="s">
        <v>285</v>
      </c>
      <c r="F2899" s="32" t="s">
        <v>255</v>
      </c>
    </row>
    <row r="2900" ht="16.5" customHeight="1">
      <c r="A2900" s="32">
        <v>2896.0</v>
      </c>
      <c r="C2900" s="32" t="s">
        <v>3664</v>
      </c>
      <c r="D2900" s="32" t="s">
        <v>184</v>
      </c>
      <c r="E2900" s="35" t="s">
        <v>310</v>
      </c>
      <c r="F2900" s="32" t="s">
        <v>255</v>
      </c>
      <c r="G2900" s="32" t="s">
        <v>2868</v>
      </c>
      <c r="H2900" s="32" t="s">
        <v>1204</v>
      </c>
    </row>
    <row r="2901" ht="16.5" customHeight="1">
      <c r="A2901" s="32">
        <v>2897.0</v>
      </c>
      <c r="C2901" s="32" t="s">
        <v>3665</v>
      </c>
      <c r="D2901" s="32" t="s">
        <v>184</v>
      </c>
      <c r="E2901" s="32" t="s">
        <v>185</v>
      </c>
      <c r="F2901" s="32" t="s">
        <v>255</v>
      </c>
      <c r="G2901" s="32" t="s">
        <v>271</v>
      </c>
      <c r="H2901" s="32" t="s">
        <v>566</v>
      </c>
    </row>
    <row r="2902" ht="16.5" customHeight="1">
      <c r="A2902" s="32">
        <v>2898.0</v>
      </c>
      <c r="C2902" s="32" t="s">
        <v>3666</v>
      </c>
      <c r="D2902" s="32" t="s">
        <v>184</v>
      </c>
      <c r="E2902" s="32" t="s">
        <v>234</v>
      </c>
      <c r="F2902" s="32" t="s">
        <v>346</v>
      </c>
      <c r="G2902" s="32" t="s">
        <v>347</v>
      </c>
      <c r="H2902" s="32" t="s">
        <v>382</v>
      </c>
    </row>
    <row r="2903" ht="16.5" customHeight="1">
      <c r="A2903" s="32">
        <v>2899.0</v>
      </c>
      <c r="C2903" s="32" t="s">
        <v>3667</v>
      </c>
      <c r="D2903" s="32" t="s">
        <v>184</v>
      </c>
      <c r="E2903" s="32" t="s">
        <v>285</v>
      </c>
      <c r="F2903" s="32" t="s">
        <v>255</v>
      </c>
      <c r="G2903" s="32" t="s">
        <v>189</v>
      </c>
      <c r="H2903" s="32" t="s">
        <v>190</v>
      </c>
    </row>
    <row r="2904" ht="16.5" customHeight="1">
      <c r="A2904" s="32">
        <v>2900.0</v>
      </c>
      <c r="C2904" s="32" t="s">
        <v>3668</v>
      </c>
      <c r="D2904" s="32" t="s">
        <v>184</v>
      </c>
      <c r="E2904" s="32" t="s">
        <v>1162</v>
      </c>
      <c r="F2904" s="32" t="s">
        <v>255</v>
      </c>
    </row>
    <row r="2905" ht="16.5" customHeight="1">
      <c r="A2905" s="32">
        <v>2901.0</v>
      </c>
      <c r="C2905" s="32" t="s">
        <v>3669</v>
      </c>
      <c r="D2905" s="32" t="s">
        <v>184</v>
      </c>
      <c r="E2905" s="32" t="s">
        <v>228</v>
      </c>
      <c r="F2905" s="32" t="s">
        <v>373</v>
      </c>
    </row>
    <row r="2906" ht="16.5" customHeight="1">
      <c r="A2906" s="32">
        <v>2902.0</v>
      </c>
      <c r="C2906" s="32" t="s">
        <v>3670</v>
      </c>
      <c r="D2906" s="32" t="s">
        <v>184</v>
      </c>
      <c r="E2906" s="32" t="s">
        <v>185</v>
      </c>
      <c r="F2906" s="32" t="s">
        <v>373</v>
      </c>
      <c r="G2906" s="32" t="s">
        <v>1114</v>
      </c>
    </row>
    <row r="2907" ht="16.5" customHeight="1">
      <c r="A2907" s="32">
        <v>2903.0</v>
      </c>
      <c r="C2907" s="32" t="s">
        <v>3671</v>
      </c>
      <c r="D2907" s="32" t="s">
        <v>184</v>
      </c>
      <c r="E2907" s="32" t="s">
        <v>192</v>
      </c>
      <c r="F2907" s="32" t="s">
        <v>373</v>
      </c>
      <c r="G2907" s="32" t="s">
        <v>3672</v>
      </c>
      <c r="H2907" s="32" t="s">
        <v>3673</v>
      </c>
    </row>
    <row r="2908" ht="16.5" customHeight="1">
      <c r="A2908" s="32">
        <v>2904.0</v>
      </c>
      <c r="C2908" s="32" t="s">
        <v>3674</v>
      </c>
      <c r="D2908" s="32" t="s">
        <v>184</v>
      </c>
      <c r="E2908" s="32" t="s">
        <v>234</v>
      </c>
      <c r="F2908" s="32" t="s">
        <v>373</v>
      </c>
      <c r="G2908" s="32" t="s">
        <v>347</v>
      </c>
      <c r="H2908" s="32" t="s">
        <v>382</v>
      </c>
    </row>
    <row r="2909" ht="16.5" customHeight="1">
      <c r="A2909" s="32">
        <v>2905.0</v>
      </c>
      <c r="C2909" s="32" t="s">
        <v>3675</v>
      </c>
      <c r="D2909" s="32" t="s">
        <v>184</v>
      </c>
      <c r="E2909" s="32" t="s">
        <v>234</v>
      </c>
      <c r="F2909" s="32" t="s">
        <v>373</v>
      </c>
    </row>
    <row r="2910" ht="16.5" customHeight="1">
      <c r="A2910" s="32">
        <v>2906.0</v>
      </c>
      <c r="C2910" s="32" t="s">
        <v>3676</v>
      </c>
      <c r="D2910" s="32" t="s">
        <v>184</v>
      </c>
      <c r="E2910" s="32" t="s">
        <v>234</v>
      </c>
      <c r="F2910" s="32" t="s">
        <v>373</v>
      </c>
      <c r="G2910" s="32" t="s">
        <v>347</v>
      </c>
      <c r="H2910" s="32" t="s">
        <v>3677</v>
      </c>
    </row>
    <row r="2911" ht="16.5" customHeight="1">
      <c r="A2911" s="32">
        <v>2907.0</v>
      </c>
      <c r="C2911" s="32" t="s">
        <v>3678</v>
      </c>
      <c r="D2911" s="32" t="s">
        <v>184</v>
      </c>
      <c r="E2911" s="32" t="s">
        <v>234</v>
      </c>
      <c r="F2911" s="32" t="s">
        <v>373</v>
      </c>
      <c r="G2911" s="32" t="s">
        <v>347</v>
      </c>
      <c r="H2911" s="32" t="s">
        <v>3679</v>
      </c>
    </row>
    <row r="2912" ht="16.5" customHeight="1">
      <c r="A2912" s="32">
        <v>2908.0</v>
      </c>
      <c r="C2912" s="32" t="s">
        <v>823</v>
      </c>
      <c r="D2912" s="32" t="s">
        <v>184</v>
      </c>
      <c r="E2912" s="32" t="s">
        <v>234</v>
      </c>
      <c r="F2912" s="32" t="s">
        <v>373</v>
      </c>
      <c r="G2912" s="32" t="s">
        <v>347</v>
      </c>
      <c r="H2912" s="32" t="s">
        <v>3680</v>
      </c>
    </row>
    <row r="2913" ht="16.5" customHeight="1">
      <c r="A2913" s="32">
        <v>2909.0</v>
      </c>
      <c r="C2913" s="32" t="s">
        <v>3681</v>
      </c>
      <c r="D2913" s="32" t="s">
        <v>184</v>
      </c>
      <c r="E2913" s="32" t="s">
        <v>234</v>
      </c>
      <c r="F2913" s="32" t="s">
        <v>373</v>
      </c>
      <c r="G2913" s="32" t="s">
        <v>347</v>
      </c>
      <c r="H2913" s="32" t="s">
        <v>3673</v>
      </c>
    </row>
    <row r="2914" ht="16.5" customHeight="1">
      <c r="A2914" s="32">
        <v>2910.0</v>
      </c>
      <c r="C2914" s="32" t="s">
        <v>3682</v>
      </c>
      <c r="D2914" s="32" t="s">
        <v>184</v>
      </c>
      <c r="E2914" s="32" t="s">
        <v>219</v>
      </c>
      <c r="F2914" s="32" t="s">
        <v>373</v>
      </c>
      <c r="G2914" s="32" t="s">
        <v>223</v>
      </c>
      <c r="H2914" s="32" t="s">
        <v>472</v>
      </c>
    </row>
    <row r="2915" ht="16.5" customHeight="1">
      <c r="A2915" s="32">
        <v>2911.0</v>
      </c>
      <c r="C2915" s="32" t="s">
        <v>3683</v>
      </c>
      <c r="D2915" s="32" t="s">
        <v>184</v>
      </c>
      <c r="E2915" s="32" t="s">
        <v>254</v>
      </c>
      <c r="F2915" s="32" t="s">
        <v>373</v>
      </c>
    </row>
    <row r="2916" ht="16.5" customHeight="1">
      <c r="A2916" s="32">
        <v>2912.0</v>
      </c>
      <c r="C2916" s="32" t="s">
        <v>3684</v>
      </c>
      <c r="D2916" s="32" t="s">
        <v>184</v>
      </c>
      <c r="E2916" s="32" t="s">
        <v>234</v>
      </c>
      <c r="F2916" s="32" t="s">
        <v>373</v>
      </c>
    </row>
    <row r="2917" ht="16.5" customHeight="1">
      <c r="A2917" s="32">
        <v>2913.0</v>
      </c>
      <c r="C2917" s="32" t="s">
        <v>3685</v>
      </c>
      <c r="D2917" s="32" t="s">
        <v>184</v>
      </c>
      <c r="E2917" s="35" t="s">
        <v>3686</v>
      </c>
      <c r="F2917" s="32" t="s">
        <v>373</v>
      </c>
      <c r="G2917" s="32" t="s">
        <v>2779</v>
      </c>
      <c r="H2917" s="32" t="s">
        <v>3687</v>
      </c>
    </row>
    <row r="2918" ht="16.5" customHeight="1">
      <c r="A2918" s="32">
        <v>2914.0</v>
      </c>
      <c r="C2918" s="32" t="s">
        <v>3688</v>
      </c>
      <c r="D2918" s="32" t="s">
        <v>184</v>
      </c>
      <c r="E2918" s="32" t="s">
        <v>254</v>
      </c>
      <c r="F2918" s="32" t="s">
        <v>373</v>
      </c>
      <c r="G2918" s="32" t="s">
        <v>305</v>
      </c>
      <c r="H2918" s="32" t="s">
        <v>1306</v>
      </c>
    </row>
    <row r="2919" ht="16.5" customHeight="1">
      <c r="A2919" s="32">
        <v>2915.0</v>
      </c>
      <c r="C2919" s="32" t="s">
        <v>3689</v>
      </c>
      <c r="D2919" s="32" t="s">
        <v>184</v>
      </c>
      <c r="E2919" s="32" t="s">
        <v>192</v>
      </c>
      <c r="F2919" s="32" t="s">
        <v>373</v>
      </c>
      <c r="G2919" s="32" t="s">
        <v>329</v>
      </c>
      <c r="H2919" s="32" t="s">
        <v>3690</v>
      </c>
    </row>
    <row r="2920" ht="16.5" customHeight="1">
      <c r="A2920" s="32">
        <v>2916.0</v>
      </c>
      <c r="C2920" s="32" t="s">
        <v>3691</v>
      </c>
      <c r="D2920" s="32" t="s">
        <v>184</v>
      </c>
      <c r="E2920" s="35" t="s">
        <v>310</v>
      </c>
      <c r="F2920" s="32" t="s">
        <v>373</v>
      </c>
      <c r="G2920" s="32" t="s">
        <v>1230</v>
      </c>
      <c r="H2920" s="32" t="s">
        <v>3692</v>
      </c>
    </row>
    <row r="2921" ht="16.5" customHeight="1">
      <c r="A2921" s="32">
        <v>2917.0</v>
      </c>
      <c r="C2921" s="32" t="s">
        <v>3693</v>
      </c>
      <c r="D2921" s="32" t="s">
        <v>184</v>
      </c>
      <c r="E2921" s="32" t="s">
        <v>254</v>
      </c>
      <c r="F2921" s="32" t="s">
        <v>373</v>
      </c>
    </row>
    <row r="2922" ht="16.5" customHeight="1">
      <c r="A2922" s="32">
        <v>2918.0</v>
      </c>
      <c r="C2922" s="32" t="s">
        <v>3694</v>
      </c>
      <c r="D2922" s="32" t="s">
        <v>184</v>
      </c>
      <c r="E2922" s="32" t="s">
        <v>254</v>
      </c>
      <c r="F2922" s="32" t="s">
        <v>373</v>
      </c>
    </row>
    <row r="2923" ht="16.5" customHeight="1">
      <c r="A2923" s="32">
        <v>2919.0</v>
      </c>
      <c r="C2923" s="32" t="s">
        <v>3695</v>
      </c>
      <c r="D2923" s="32" t="s">
        <v>184</v>
      </c>
      <c r="E2923" s="32" t="s">
        <v>185</v>
      </c>
      <c r="F2923" s="32" t="s">
        <v>373</v>
      </c>
    </row>
    <row r="2924" ht="16.5" customHeight="1">
      <c r="A2924" s="32">
        <v>2920.0</v>
      </c>
      <c r="C2924" s="32" t="s">
        <v>3696</v>
      </c>
      <c r="D2924" s="32" t="s">
        <v>184</v>
      </c>
      <c r="E2924" s="32" t="s">
        <v>254</v>
      </c>
      <c r="F2924" s="32" t="s">
        <v>373</v>
      </c>
      <c r="G2924" s="32" t="s">
        <v>305</v>
      </c>
      <c r="H2924" s="32" t="s">
        <v>3697</v>
      </c>
    </row>
    <row r="2925" ht="16.5" customHeight="1">
      <c r="A2925" s="32">
        <v>2921.0</v>
      </c>
      <c r="C2925" s="32" t="s">
        <v>3698</v>
      </c>
      <c r="D2925" s="32" t="s">
        <v>184</v>
      </c>
      <c r="E2925" s="35" t="s">
        <v>1894</v>
      </c>
      <c r="F2925" s="32" t="s">
        <v>373</v>
      </c>
      <c r="G2925" s="32" t="s">
        <v>2400</v>
      </c>
      <c r="H2925" s="32" t="s">
        <v>545</v>
      </c>
    </row>
    <row r="2926" ht="16.5" customHeight="1">
      <c r="A2926" s="32">
        <v>2922.0</v>
      </c>
      <c r="C2926" s="32" t="s">
        <v>3699</v>
      </c>
      <c r="D2926" s="32" t="s">
        <v>184</v>
      </c>
      <c r="E2926" s="32" t="s">
        <v>219</v>
      </c>
      <c r="F2926" s="32" t="s">
        <v>373</v>
      </c>
    </row>
    <row r="2927" ht="16.5" customHeight="1">
      <c r="A2927" s="32">
        <v>2923.0</v>
      </c>
      <c r="C2927" s="32" t="s">
        <v>3700</v>
      </c>
      <c r="D2927" s="32" t="s">
        <v>184</v>
      </c>
      <c r="E2927" s="32" t="s">
        <v>228</v>
      </c>
      <c r="F2927" s="32" t="s">
        <v>373</v>
      </c>
    </row>
    <row r="2928" ht="16.5" customHeight="1">
      <c r="A2928" s="32">
        <v>2924.0</v>
      </c>
      <c r="C2928" s="32" t="s">
        <v>3701</v>
      </c>
      <c r="D2928" s="32" t="s">
        <v>184</v>
      </c>
      <c r="E2928" s="32" t="s">
        <v>228</v>
      </c>
      <c r="F2928" s="32" t="s">
        <v>255</v>
      </c>
      <c r="G2928" s="32" t="s">
        <v>544</v>
      </c>
      <c r="H2928" s="32" t="s">
        <v>545</v>
      </c>
    </row>
    <row r="2929" ht="16.5" customHeight="1">
      <c r="A2929" s="32">
        <v>2925.0</v>
      </c>
      <c r="C2929" s="32" t="s">
        <v>3702</v>
      </c>
      <c r="D2929" s="32" t="s">
        <v>184</v>
      </c>
      <c r="E2929" s="32" t="s">
        <v>192</v>
      </c>
      <c r="F2929" s="32" t="s">
        <v>255</v>
      </c>
      <c r="G2929" s="32" t="s">
        <v>300</v>
      </c>
      <c r="H2929" s="32" t="s">
        <v>3703</v>
      </c>
    </row>
    <row r="2930" ht="16.5" customHeight="1">
      <c r="A2930" s="32">
        <v>2926.0</v>
      </c>
      <c r="C2930" s="32" t="s">
        <v>3704</v>
      </c>
      <c r="D2930" s="32" t="s">
        <v>184</v>
      </c>
      <c r="E2930" s="32" t="s">
        <v>214</v>
      </c>
      <c r="F2930" s="32" t="s">
        <v>255</v>
      </c>
      <c r="G2930" s="32" t="s">
        <v>3705</v>
      </c>
      <c r="H2930" s="32" t="s">
        <v>804</v>
      </c>
    </row>
    <row r="2931" ht="16.5" customHeight="1">
      <c r="A2931" s="32">
        <v>2927.0</v>
      </c>
      <c r="C2931" s="32" t="s">
        <v>3706</v>
      </c>
      <c r="D2931" s="32" t="s">
        <v>184</v>
      </c>
      <c r="E2931" s="32" t="s">
        <v>192</v>
      </c>
      <c r="F2931" s="32" t="s">
        <v>255</v>
      </c>
      <c r="G2931" s="32" t="s">
        <v>300</v>
      </c>
      <c r="H2931" s="32" t="s">
        <v>3707</v>
      </c>
    </row>
    <row r="2932" ht="16.5" customHeight="1">
      <c r="A2932" s="32">
        <v>2928.0</v>
      </c>
      <c r="C2932" s="32" t="s">
        <v>3708</v>
      </c>
      <c r="D2932" s="32" t="s">
        <v>184</v>
      </c>
      <c r="E2932" s="32" t="s">
        <v>192</v>
      </c>
      <c r="F2932" s="32" t="s">
        <v>255</v>
      </c>
      <c r="G2932" s="32" t="s">
        <v>3709</v>
      </c>
    </row>
    <row r="2933" ht="16.5" customHeight="1">
      <c r="A2933" s="32">
        <v>2929.0</v>
      </c>
      <c r="C2933" s="32" t="s">
        <v>3710</v>
      </c>
      <c r="D2933" s="32" t="s">
        <v>184</v>
      </c>
      <c r="E2933" s="32" t="s">
        <v>254</v>
      </c>
      <c r="F2933" s="32" t="s">
        <v>316</v>
      </c>
      <c r="G2933" s="32" t="s">
        <v>256</v>
      </c>
      <c r="H2933" s="32" t="s">
        <v>257</v>
      </c>
    </row>
    <row r="2934" ht="16.5" customHeight="1">
      <c r="A2934" s="32">
        <v>2930.0</v>
      </c>
      <c r="C2934" s="32" t="s">
        <v>3711</v>
      </c>
      <c r="D2934" s="32" t="s">
        <v>184</v>
      </c>
      <c r="E2934" s="32" t="s">
        <v>254</v>
      </c>
      <c r="F2934" s="32" t="s">
        <v>255</v>
      </c>
      <c r="G2934" s="32" t="s">
        <v>256</v>
      </c>
      <c r="H2934" s="32" t="s">
        <v>1316</v>
      </c>
    </row>
    <row r="2935" ht="16.5" customHeight="1">
      <c r="A2935" s="32">
        <v>2931.0</v>
      </c>
      <c r="C2935" s="32" t="s">
        <v>3712</v>
      </c>
      <c r="D2935" s="32" t="s">
        <v>184</v>
      </c>
      <c r="E2935" s="32" t="s">
        <v>219</v>
      </c>
      <c r="F2935" s="32" t="s">
        <v>399</v>
      </c>
      <c r="G2935" s="32" t="s">
        <v>223</v>
      </c>
      <c r="H2935" s="32" t="s">
        <v>472</v>
      </c>
    </row>
    <row r="2936" ht="16.5" customHeight="1">
      <c r="A2936" s="32">
        <v>2932.0</v>
      </c>
      <c r="C2936" s="32" t="s">
        <v>3713</v>
      </c>
      <c r="D2936" s="32" t="s">
        <v>184</v>
      </c>
      <c r="E2936" s="32" t="s">
        <v>192</v>
      </c>
      <c r="F2936" s="32" t="s">
        <v>255</v>
      </c>
      <c r="G2936" s="32" t="s">
        <v>329</v>
      </c>
      <c r="H2936" s="32" t="s">
        <v>357</v>
      </c>
    </row>
    <row r="2937" ht="16.5" customHeight="1">
      <c r="A2937" s="32">
        <v>2933.0</v>
      </c>
      <c r="C2937" s="32" t="s">
        <v>3714</v>
      </c>
      <c r="D2937" s="32" t="s">
        <v>184</v>
      </c>
      <c r="E2937" s="35" t="s">
        <v>294</v>
      </c>
      <c r="F2937" s="32" t="s">
        <v>255</v>
      </c>
      <c r="G2937" s="32" t="s">
        <v>189</v>
      </c>
      <c r="H2937" s="32" t="s">
        <v>190</v>
      </c>
    </row>
    <row r="2938" ht="16.5" customHeight="1">
      <c r="A2938" s="32">
        <v>2934.0</v>
      </c>
      <c r="C2938" s="32" t="s">
        <v>3715</v>
      </c>
      <c r="D2938" s="32" t="s">
        <v>184</v>
      </c>
      <c r="E2938" s="32" t="s">
        <v>192</v>
      </c>
      <c r="F2938" s="32" t="s">
        <v>255</v>
      </c>
    </row>
    <row r="2939" ht="16.5" customHeight="1">
      <c r="A2939" s="32">
        <v>2935.0</v>
      </c>
      <c r="C2939" s="32" t="s">
        <v>3716</v>
      </c>
      <c r="D2939" s="32" t="s">
        <v>184</v>
      </c>
      <c r="E2939" s="32" t="s">
        <v>351</v>
      </c>
      <c r="F2939" s="32" t="s">
        <v>255</v>
      </c>
      <c r="G2939" s="32" t="s">
        <v>3717</v>
      </c>
      <c r="H2939" s="32" t="s">
        <v>238</v>
      </c>
    </row>
    <row r="2940" ht="16.5" customHeight="1">
      <c r="A2940" s="32">
        <v>2936.0</v>
      </c>
      <c r="C2940" s="32" t="s">
        <v>3718</v>
      </c>
      <c r="D2940" s="32" t="s">
        <v>184</v>
      </c>
      <c r="E2940" s="32" t="s">
        <v>254</v>
      </c>
      <c r="F2940" s="32" t="s">
        <v>255</v>
      </c>
      <c r="G2940" s="32" t="s">
        <v>256</v>
      </c>
      <c r="H2940" s="32" t="s">
        <v>257</v>
      </c>
    </row>
    <row r="2941" ht="16.5" customHeight="1">
      <c r="A2941" s="32">
        <v>2937.0</v>
      </c>
      <c r="C2941" s="32" t="s">
        <v>3719</v>
      </c>
      <c r="D2941" s="32" t="s">
        <v>184</v>
      </c>
      <c r="E2941" s="32" t="s">
        <v>254</v>
      </c>
      <c r="F2941" s="32" t="s">
        <v>255</v>
      </c>
      <c r="G2941" s="32" t="s">
        <v>305</v>
      </c>
      <c r="H2941" s="32" t="s">
        <v>600</v>
      </c>
    </row>
    <row r="2942" ht="16.5" customHeight="1">
      <c r="A2942" s="32">
        <v>2938.0</v>
      </c>
      <c r="C2942" s="32" t="s">
        <v>3720</v>
      </c>
      <c r="D2942" s="32" t="s">
        <v>184</v>
      </c>
      <c r="E2942" s="32" t="s">
        <v>254</v>
      </c>
      <c r="F2942" s="32" t="s">
        <v>255</v>
      </c>
      <c r="G2942" s="32" t="s">
        <v>3721</v>
      </c>
      <c r="H2942" s="32" t="s">
        <v>3722</v>
      </c>
    </row>
    <row r="2943" ht="16.5" customHeight="1">
      <c r="A2943" s="32">
        <v>2939.0</v>
      </c>
      <c r="C2943" s="32" t="s">
        <v>3723</v>
      </c>
      <c r="D2943" s="32" t="s">
        <v>184</v>
      </c>
      <c r="E2943" s="32" t="s">
        <v>234</v>
      </c>
      <c r="F2943" s="32" t="s">
        <v>255</v>
      </c>
    </row>
    <row r="2944" ht="16.5" customHeight="1">
      <c r="A2944" s="32">
        <v>2940.0</v>
      </c>
      <c r="C2944" s="32" t="s">
        <v>3724</v>
      </c>
      <c r="D2944" s="32" t="s">
        <v>184</v>
      </c>
      <c r="E2944" s="32" t="s">
        <v>254</v>
      </c>
      <c r="F2944" s="32" t="s">
        <v>255</v>
      </c>
      <c r="G2944" s="32" t="s">
        <v>257</v>
      </c>
      <c r="H2944" s="32" t="s">
        <v>256</v>
      </c>
    </row>
    <row r="2945" ht="16.5" customHeight="1">
      <c r="A2945" s="32">
        <v>2941.0</v>
      </c>
      <c r="C2945" s="32" t="s">
        <v>3725</v>
      </c>
      <c r="D2945" s="32" t="s">
        <v>184</v>
      </c>
      <c r="E2945" s="32" t="s">
        <v>254</v>
      </c>
      <c r="F2945" s="32" t="s">
        <v>255</v>
      </c>
    </row>
    <row r="2946" ht="16.5" customHeight="1">
      <c r="A2946" s="32">
        <v>2942.0</v>
      </c>
      <c r="C2946" s="32" t="s">
        <v>3726</v>
      </c>
      <c r="D2946" s="32" t="s">
        <v>184</v>
      </c>
      <c r="E2946" s="32" t="s">
        <v>254</v>
      </c>
      <c r="F2946" s="32" t="s">
        <v>255</v>
      </c>
      <c r="G2946" s="32" t="s">
        <v>257</v>
      </c>
      <c r="H2946" s="32" t="s">
        <v>256</v>
      </c>
    </row>
    <row r="2947" ht="16.5" customHeight="1">
      <c r="A2947" s="32">
        <v>2943.0</v>
      </c>
      <c r="C2947" s="32" t="s">
        <v>3727</v>
      </c>
      <c r="D2947" s="32" t="s">
        <v>184</v>
      </c>
      <c r="E2947" s="32" t="s">
        <v>254</v>
      </c>
      <c r="F2947" s="32" t="s">
        <v>255</v>
      </c>
      <c r="G2947" s="32" t="s">
        <v>3728</v>
      </c>
      <c r="H2947" s="32" t="s">
        <v>3729</v>
      </c>
    </row>
    <row r="2948" ht="16.5" customHeight="1">
      <c r="A2948" s="32">
        <v>2944.0</v>
      </c>
      <c r="C2948" s="32" t="s">
        <v>3730</v>
      </c>
      <c r="D2948" s="32" t="s">
        <v>184</v>
      </c>
      <c r="E2948" s="32" t="s">
        <v>254</v>
      </c>
      <c r="F2948" s="32" t="s">
        <v>255</v>
      </c>
      <c r="G2948" s="32" t="s">
        <v>3731</v>
      </c>
      <c r="H2948" s="32" t="s">
        <v>256</v>
      </c>
    </row>
    <row r="2949" ht="16.5" customHeight="1">
      <c r="A2949" s="32">
        <v>2945.0</v>
      </c>
      <c r="C2949" s="32" t="s">
        <v>3732</v>
      </c>
      <c r="D2949" s="32" t="s">
        <v>184</v>
      </c>
      <c r="E2949" s="35" t="s">
        <v>310</v>
      </c>
      <c r="F2949" s="32" t="s">
        <v>255</v>
      </c>
      <c r="G2949" s="32" t="s">
        <v>3733</v>
      </c>
      <c r="H2949" s="32" t="s">
        <v>3734</v>
      </c>
    </row>
    <row r="2950" ht="16.5" customHeight="1">
      <c r="A2950" s="32">
        <v>2946.0</v>
      </c>
      <c r="C2950" s="32" t="s">
        <v>3735</v>
      </c>
      <c r="D2950" s="32" t="s">
        <v>184</v>
      </c>
      <c r="E2950" s="35" t="s">
        <v>3736</v>
      </c>
      <c r="F2950" s="32" t="s">
        <v>186</v>
      </c>
      <c r="G2950" s="32" t="s">
        <v>3737</v>
      </c>
      <c r="H2950" s="32" t="s">
        <v>3738</v>
      </c>
    </row>
    <row r="2951" ht="16.5" customHeight="1">
      <c r="A2951" s="32">
        <v>2947.0</v>
      </c>
      <c r="C2951" s="32" t="s">
        <v>3739</v>
      </c>
      <c r="D2951" s="32" t="s">
        <v>184</v>
      </c>
      <c r="E2951" s="35" t="s">
        <v>3736</v>
      </c>
      <c r="F2951" s="32" t="s">
        <v>186</v>
      </c>
      <c r="G2951" s="32" t="s">
        <v>3737</v>
      </c>
      <c r="H2951" s="32" t="s">
        <v>3740</v>
      </c>
    </row>
    <row r="2952" ht="16.5" customHeight="1">
      <c r="A2952" s="32">
        <v>2948.0</v>
      </c>
      <c r="C2952" s="32" t="s">
        <v>3741</v>
      </c>
      <c r="D2952" s="32" t="s">
        <v>184</v>
      </c>
      <c r="E2952" s="32" t="s">
        <v>214</v>
      </c>
      <c r="F2952" s="32" t="s">
        <v>3742</v>
      </c>
      <c r="G2952" s="32" t="s">
        <v>216</v>
      </c>
      <c r="H2952" s="32" t="s">
        <v>217</v>
      </c>
    </row>
    <row r="2953" ht="16.5" customHeight="1">
      <c r="A2953" s="32">
        <v>2949.0</v>
      </c>
      <c r="C2953" s="32" t="s">
        <v>3743</v>
      </c>
      <c r="D2953" s="32" t="s">
        <v>184</v>
      </c>
      <c r="E2953" s="32" t="s">
        <v>219</v>
      </c>
      <c r="F2953" s="32" t="s">
        <v>3742</v>
      </c>
      <c r="G2953" s="32" t="s">
        <v>223</v>
      </c>
    </row>
    <row r="2954" ht="16.5" customHeight="1">
      <c r="A2954" s="32">
        <v>2950.0</v>
      </c>
      <c r="C2954" s="32" t="s">
        <v>3744</v>
      </c>
      <c r="D2954" s="32" t="s">
        <v>184</v>
      </c>
      <c r="E2954" s="32" t="s">
        <v>192</v>
      </c>
      <c r="F2954" s="32" t="s">
        <v>255</v>
      </c>
      <c r="G2954" s="32" t="s">
        <v>1934</v>
      </c>
    </row>
    <row r="2955" ht="16.5" customHeight="1">
      <c r="A2955" s="32">
        <v>2951.0</v>
      </c>
      <c r="C2955" s="32" t="s">
        <v>3745</v>
      </c>
      <c r="D2955" s="32" t="s">
        <v>184</v>
      </c>
      <c r="E2955" s="32" t="s">
        <v>192</v>
      </c>
      <c r="F2955" s="32" t="s">
        <v>255</v>
      </c>
      <c r="G2955" s="32" t="s">
        <v>300</v>
      </c>
      <c r="H2955" s="32" t="s">
        <v>535</v>
      </c>
    </row>
    <row r="2956" ht="16.5" customHeight="1">
      <c r="A2956" s="32">
        <v>2952.0</v>
      </c>
      <c r="C2956" s="32" t="s">
        <v>3746</v>
      </c>
      <c r="D2956" s="32" t="s">
        <v>184</v>
      </c>
      <c r="E2956" s="32" t="s">
        <v>219</v>
      </c>
      <c r="F2956" s="32" t="s">
        <v>255</v>
      </c>
      <c r="G2956" s="32" t="s">
        <v>223</v>
      </c>
      <c r="H2956" s="32" t="s">
        <v>3747</v>
      </c>
    </row>
    <row r="2957" ht="16.5" customHeight="1">
      <c r="A2957" s="32">
        <v>2953.0</v>
      </c>
      <c r="C2957" s="32" t="s">
        <v>3748</v>
      </c>
      <c r="D2957" s="32" t="s">
        <v>184</v>
      </c>
      <c r="E2957" s="32" t="s">
        <v>254</v>
      </c>
      <c r="F2957" s="32" t="s">
        <v>255</v>
      </c>
      <c r="G2957" s="32" t="s">
        <v>260</v>
      </c>
      <c r="H2957" s="32" t="s">
        <v>3749</v>
      </c>
    </row>
    <row r="2958" ht="16.5" customHeight="1">
      <c r="A2958" s="32">
        <v>2954.0</v>
      </c>
      <c r="C2958" s="32" t="s">
        <v>3750</v>
      </c>
      <c r="D2958" s="32" t="s">
        <v>184</v>
      </c>
      <c r="E2958" s="32" t="s">
        <v>254</v>
      </c>
      <c r="F2958" s="32" t="s">
        <v>373</v>
      </c>
      <c r="G2958" s="32" t="s">
        <v>260</v>
      </c>
    </row>
    <row r="2959" ht="16.5" customHeight="1">
      <c r="A2959" s="32">
        <v>2955.0</v>
      </c>
      <c r="C2959" s="32" t="s">
        <v>3751</v>
      </c>
      <c r="D2959" s="32" t="s">
        <v>184</v>
      </c>
      <c r="E2959" s="32" t="s">
        <v>192</v>
      </c>
      <c r="F2959" s="32" t="s">
        <v>255</v>
      </c>
    </row>
    <row r="2960" ht="16.5" customHeight="1">
      <c r="A2960" s="32">
        <v>2956.0</v>
      </c>
      <c r="C2960" s="32" t="s">
        <v>3752</v>
      </c>
      <c r="D2960" s="32" t="s">
        <v>184</v>
      </c>
      <c r="E2960" s="32" t="s">
        <v>764</v>
      </c>
      <c r="F2960" s="32" t="s">
        <v>186</v>
      </c>
    </row>
    <row r="2961" ht="16.5" customHeight="1">
      <c r="A2961" s="32">
        <v>2957.0</v>
      </c>
      <c r="C2961" s="32" t="s">
        <v>3753</v>
      </c>
      <c r="D2961" s="32" t="s">
        <v>184</v>
      </c>
      <c r="E2961" s="32" t="s">
        <v>192</v>
      </c>
      <c r="F2961" s="32" t="s">
        <v>255</v>
      </c>
      <c r="G2961" s="32" t="s">
        <v>1934</v>
      </c>
    </row>
    <row r="2962" ht="16.5" customHeight="1">
      <c r="A2962" s="32">
        <v>2958.0</v>
      </c>
      <c r="C2962" s="32" t="s">
        <v>3754</v>
      </c>
      <c r="D2962" s="32" t="s">
        <v>184</v>
      </c>
      <c r="E2962" s="32" t="s">
        <v>325</v>
      </c>
      <c r="F2962" s="32" t="s">
        <v>255</v>
      </c>
      <c r="G2962" s="32" t="s">
        <v>368</v>
      </c>
      <c r="H2962" s="32" t="s">
        <v>463</v>
      </c>
    </row>
    <row r="2963" ht="16.5" customHeight="1">
      <c r="A2963" s="32">
        <v>2959.0</v>
      </c>
      <c r="C2963" s="32" t="s">
        <v>3755</v>
      </c>
      <c r="D2963" s="32" t="s">
        <v>184</v>
      </c>
      <c r="E2963" s="32" t="s">
        <v>325</v>
      </c>
      <c r="F2963" s="32" t="s">
        <v>255</v>
      </c>
      <c r="G2963" s="32" t="s">
        <v>368</v>
      </c>
      <c r="H2963" s="32" t="s">
        <v>463</v>
      </c>
    </row>
    <row r="2964" ht="16.5" customHeight="1">
      <c r="A2964" s="32">
        <v>2960.0</v>
      </c>
      <c r="C2964" s="32" t="s">
        <v>3756</v>
      </c>
      <c r="D2964" s="32" t="s">
        <v>184</v>
      </c>
      <c r="E2964" s="32" t="s">
        <v>325</v>
      </c>
      <c r="F2964" s="32" t="s">
        <v>255</v>
      </c>
      <c r="G2964" s="32" t="s">
        <v>368</v>
      </c>
      <c r="H2964" s="32" t="s">
        <v>463</v>
      </c>
    </row>
    <row r="2965" ht="16.5" customHeight="1">
      <c r="A2965" s="32">
        <v>2961.0</v>
      </c>
      <c r="C2965" s="32" t="s">
        <v>3757</v>
      </c>
      <c r="D2965" s="32" t="s">
        <v>184</v>
      </c>
      <c r="E2965" s="32" t="s">
        <v>185</v>
      </c>
      <c r="F2965" s="32" t="s">
        <v>255</v>
      </c>
      <c r="G2965" s="32" t="s">
        <v>187</v>
      </c>
      <c r="H2965" s="32" t="s">
        <v>188</v>
      </c>
    </row>
    <row r="2966" ht="16.5" customHeight="1">
      <c r="A2966" s="32">
        <v>2962.0</v>
      </c>
      <c r="C2966" s="32" t="s">
        <v>3758</v>
      </c>
      <c r="D2966" s="32" t="s">
        <v>184</v>
      </c>
      <c r="E2966" s="32" t="s">
        <v>285</v>
      </c>
      <c r="F2966" s="32" t="s">
        <v>255</v>
      </c>
      <c r="G2966" s="32" t="s">
        <v>189</v>
      </c>
      <c r="H2966" s="32" t="s">
        <v>190</v>
      </c>
    </row>
    <row r="2967" ht="16.5" customHeight="1">
      <c r="A2967" s="32">
        <v>2963.0</v>
      </c>
      <c r="C2967" s="32" t="s">
        <v>3759</v>
      </c>
      <c r="D2967" s="32" t="s">
        <v>184</v>
      </c>
      <c r="E2967" s="32" t="s">
        <v>185</v>
      </c>
      <c r="F2967" s="32" t="s">
        <v>255</v>
      </c>
      <c r="G2967" s="32" t="s">
        <v>189</v>
      </c>
      <c r="H2967" s="32" t="s">
        <v>190</v>
      </c>
    </row>
    <row r="2968" ht="16.5" customHeight="1">
      <c r="A2968" s="32">
        <v>2964.0</v>
      </c>
      <c r="C2968" s="32" t="s">
        <v>3760</v>
      </c>
      <c r="D2968" s="32" t="s">
        <v>184</v>
      </c>
      <c r="E2968" s="32" t="s">
        <v>234</v>
      </c>
      <c r="F2968" s="32" t="s">
        <v>255</v>
      </c>
      <c r="G2968" s="32" t="s">
        <v>235</v>
      </c>
      <c r="H2968" s="32" t="s">
        <v>3267</v>
      </c>
    </row>
    <row r="2969" ht="16.5" customHeight="1">
      <c r="A2969" s="32">
        <v>2965.0</v>
      </c>
      <c r="C2969" s="32" t="s">
        <v>3761</v>
      </c>
      <c r="D2969" s="32" t="s">
        <v>184</v>
      </c>
      <c r="E2969" s="32" t="s">
        <v>254</v>
      </c>
      <c r="F2969" s="32" t="s">
        <v>255</v>
      </c>
      <c r="G2969" s="32" t="s">
        <v>263</v>
      </c>
      <c r="H2969" s="32" t="s">
        <v>1306</v>
      </c>
    </row>
    <row r="2970" ht="16.5" customHeight="1">
      <c r="A2970" s="32">
        <v>2966.0</v>
      </c>
      <c r="C2970" s="32" t="s">
        <v>3762</v>
      </c>
      <c r="D2970" s="32" t="s">
        <v>184</v>
      </c>
      <c r="E2970" s="32" t="s">
        <v>254</v>
      </c>
      <c r="F2970" s="32" t="s">
        <v>396</v>
      </c>
      <c r="G2970" s="32" t="s">
        <v>305</v>
      </c>
      <c r="H2970" s="32" t="s">
        <v>3763</v>
      </c>
    </row>
    <row r="2971" ht="16.5" customHeight="1">
      <c r="A2971" s="32">
        <v>2967.0</v>
      </c>
      <c r="C2971" s="32" t="s">
        <v>3764</v>
      </c>
      <c r="D2971" s="32" t="s">
        <v>184</v>
      </c>
      <c r="E2971" s="35" t="s">
        <v>3765</v>
      </c>
      <c r="F2971" s="32" t="s">
        <v>396</v>
      </c>
      <c r="G2971" s="32" t="s">
        <v>3766</v>
      </c>
      <c r="H2971" s="32" t="s">
        <v>3767</v>
      </c>
    </row>
    <row r="2972" ht="16.5" customHeight="1">
      <c r="A2972" s="32">
        <v>2968.0</v>
      </c>
      <c r="C2972" s="32" t="s">
        <v>3768</v>
      </c>
      <c r="D2972" s="32" t="s">
        <v>184</v>
      </c>
      <c r="E2972" s="32" t="s">
        <v>185</v>
      </c>
      <c r="F2972" s="32" t="s">
        <v>255</v>
      </c>
      <c r="G2972" s="32" t="s">
        <v>2364</v>
      </c>
      <c r="H2972" s="32" t="s">
        <v>3769</v>
      </c>
    </row>
    <row r="2973" ht="16.5" customHeight="1">
      <c r="A2973" s="32">
        <v>2969.0</v>
      </c>
      <c r="C2973" s="32" t="s">
        <v>3770</v>
      </c>
      <c r="D2973" s="32" t="s">
        <v>184</v>
      </c>
      <c r="E2973" s="32" t="s">
        <v>228</v>
      </c>
      <c r="F2973" s="32" t="s">
        <v>255</v>
      </c>
      <c r="G2973" s="32" t="s">
        <v>454</v>
      </c>
      <c r="H2973" s="32" t="s">
        <v>389</v>
      </c>
    </row>
    <row r="2974" ht="16.5" customHeight="1">
      <c r="A2974" s="32">
        <v>2970.0</v>
      </c>
      <c r="C2974" s="32" t="s">
        <v>3771</v>
      </c>
      <c r="D2974" s="32" t="s">
        <v>184</v>
      </c>
      <c r="E2974" s="32" t="s">
        <v>219</v>
      </c>
      <c r="F2974" s="32" t="s">
        <v>255</v>
      </c>
      <c r="G2974" s="32" t="s">
        <v>223</v>
      </c>
    </row>
    <row r="2975" ht="16.5" customHeight="1">
      <c r="A2975" s="32">
        <v>2971.0</v>
      </c>
      <c r="C2975" s="32" t="s">
        <v>3772</v>
      </c>
      <c r="D2975" s="32" t="s">
        <v>184</v>
      </c>
      <c r="E2975" s="32" t="s">
        <v>228</v>
      </c>
      <c r="F2975" s="32" t="s">
        <v>255</v>
      </c>
      <c r="G2975" s="32" t="s">
        <v>3773</v>
      </c>
    </row>
    <row r="2976" ht="16.5" customHeight="1">
      <c r="A2976" s="32">
        <v>2972.0</v>
      </c>
      <c r="C2976" s="32" t="s">
        <v>3774</v>
      </c>
      <c r="D2976" s="32" t="s">
        <v>184</v>
      </c>
      <c r="E2976" s="32" t="s">
        <v>228</v>
      </c>
      <c r="F2976" s="32" t="s">
        <v>255</v>
      </c>
    </row>
    <row r="2977" ht="16.5" customHeight="1">
      <c r="A2977" s="32">
        <v>2973.0</v>
      </c>
      <c r="C2977" s="32" t="s">
        <v>3775</v>
      </c>
      <c r="D2977" s="32" t="s">
        <v>184</v>
      </c>
      <c r="E2977" s="32" t="s">
        <v>254</v>
      </c>
      <c r="F2977" s="32" t="s">
        <v>255</v>
      </c>
      <c r="G2977" s="32" t="s">
        <v>2848</v>
      </c>
      <c r="H2977" s="32" t="s">
        <v>3776</v>
      </c>
    </row>
    <row r="2978" ht="16.5" customHeight="1">
      <c r="A2978" s="32">
        <v>2974.0</v>
      </c>
      <c r="C2978" s="32" t="s">
        <v>3777</v>
      </c>
      <c r="D2978" s="32" t="s">
        <v>184</v>
      </c>
      <c r="E2978" s="35" t="s">
        <v>310</v>
      </c>
      <c r="F2978" s="32" t="s">
        <v>255</v>
      </c>
      <c r="G2978" s="32" t="s">
        <v>2848</v>
      </c>
      <c r="H2978" s="32" t="s">
        <v>3776</v>
      </c>
    </row>
    <row r="2979" ht="16.5" customHeight="1">
      <c r="A2979" s="32">
        <v>2975.0</v>
      </c>
      <c r="C2979" s="32" t="s">
        <v>3778</v>
      </c>
      <c r="D2979" s="32" t="s">
        <v>184</v>
      </c>
      <c r="E2979" s="32" t="s">
        <v>228</v>
      </c>
      <c r="F2979" s="32" t="s">
        <v>255</v>
      </c>
      <c r="G2979" s="32" t="s">
        <v>229</v>
      </c>
      <c r="H2979" s="32" t="s">
        <v>3779</v>
      </c>
    </row>
    <row r="2980" ht="16.5" customHeight="1">
      <c r="A2980" s="32">
        <v>2976.0</v>
      </c>
      <c r="C2980" s="32" t="s">
        <v>3780</v>
      </c>
      <c r="D2980" s="32" t="s">
        <v>184</v>
      </c>
      <c r="E2980" s="32" t="s">
        <v>234</v>
      </c>
      <c r="F2980" s="32" t="s">
        <v>255</v>
      </c>
      <c r="G2980" s="32" t="s">
        <v>229</v>
      </c>
      <c r="H2980" s="32" t="s">
        <v>3781</v>
      </c>
    </row>
    <row r="2981" ht="16.5" customHeight="1">
      <c r="A2981" s="32">
        <v>2977.0</v>
      </c>
      <c r="C2981" s="32" t="s">
        <v>3782</v>
      </c>
      <c r="D2981" s="32" t="s">
        <v>184</v>
      </c>
      <c r="E2981" s="32" t="s">
        <v>234</v>
      </c>
      <c r="F2981" s="32" t="s">
        <v>255</v>
      </c>
      <c r="G2981" s="32" t="s">
        <v>235</v>
      </c>
      <c r="H2981" s="32" t="s">
        <v>3783</v>
      </c>
    </row>
    <row r="2982" ht="16.5" customHeight="1">
      <c r="A2982" s="32">
        <v>2978.0</v>
      </c>
      <c r="C2982" s="32" t="s">
        <v>3784</v>
      </c>
      <c r="D2982" s="32" t="s">
        <v>184</v>
      </c>
      <c r="E2982" s="32" t="s">
        <v>228</v>
      </c>
      <c r="F2982" s="32" t="s">
        <v>255</v>
      </c>
      <c r="G2982" s="32" t="s">
        <v>229</v>
      </c>
      <c r="H2982" s="32" t="s">
        <v>3785</v>
      </c>
    </row>
    <row r="2983" ht="16.5" customHeight="1">
      <c r="A2983" s="32">
        <v>2979.0</v>
      </c>
      <c r="C2983" s="32" t="s">
        <v>3786</v>
      </c>
      <c r="D2983" s="32" t="s">
        <v>184</v>
      </c>
      <c r="E2983" s="32" t="s">
        <v>228</v>
      </c>
      <c r="F2983" s="32" t="s">
        <v>255</v>
      </c>
      <c r="G2983" s="32" t="s">
        <v>229</v>
      </c>
      <c r="H2983" s="32" t="s">
        <v>3787</v>
      </c>
    </row>
    <row r="2984" ht="16.5" customHeight="1">
      <c r="A2984" s="32">
        <v>2980.0</v>
      </c>
      <c r="C2984" s="32" t="s">
        <v>3788</v>
      </c>
      <c r="D2984" s="32" t="s">
        <v>184</v>
      </c>
      <c r="E2984" s="32" t="s">
        <v>234</v>
      </c>
      <c r="F2984" s="32" t="s">
        <v>255</v>
      </c>
      <c r="G2984" s="32" t="s">
        <v>472</v>
      </c>
      <c r="H2984" s="32" t="s">
        <v>3789</v>
      </c>
    </row>
    <row r="2985" ht="16.5" customHeight="1">
      <c r="A2985" s="32">
        <v>2981.0</v>
      </c>
      <c r="C2985" s="32" t="s">
        <v>3790</v>
      </c>
      <c r="D2985" s="32" t="s">
        <v>184</v>
      </c>
      <c r="E2985" s="32" t="s">
        <v>234</v>
      </c>
      <c r="F2985" s="32" t="s">
        <v>255</v>
      </c>
    </row>
    <row r="2986" ht="16.5" customHeight="1">
      <c r="A2986" s="32">
        <v>2982.0</v>
      </c>
      <c r="C2986" s="32" t="s">
        <v>3791</v>
      </c>
      <c r="D2986" s="32" t="s">
        <v>184</v>
      </c>
      <c r="E2986" s="32" t="s">
        <v>234</v>
      </c>
      <c r="F2986" s="32" t="s">
        <v>255</v>
      </c>
    </row>
    <row r="2987" ht="16.5" customHeight="1">
      <c r="A2987" s="32">
        <v>2983.0</v>
      </c>
      <c r="C2987" s="32" t="s">
        <v>3792</v>
      </c>
      <c r="D2987" s="32" t="s">
        <v>184</v>
      </c>
      <c r="E2987" s="32" t="s">
        <v>285</v>
      </c>
      <c r="F2987" s="32" t="s">
        <v>255</v>
      </c>
    </row>
    <row r="2988" ht="16.5" customHeight="1">
      <c r="A2988" s="32">
        <v>2984.0</v>
      </c>
      <c r="C2988" s="32" t="s">
        <v>3793</v>
      </c>
      <c r="D2988" s="32" t="s">
        <v>184</v>
      </c>
      <c r="E2988" s="32" t="s">
        <v>285</v>
      </c>
      <c r="F2988" s="32" t="s">
        <v>255</v>
      </c>
    </row>
    <row r="2989" ht="16.5" customHeight="1">
      <c r="A2989" s="32">
        <v>2985.0</v>
      </c>
      <c r="C2989" s="32" t="s">
        <v>3794</v>
      </c>
      <c r="D2989" s="32" t="s">
        <v>184</v>
      </c>
      <c r="E2989" s="32" t="s">
        <v>254</v>
      </c>
      <c r="F2989" s="32" t="s">
        <v>255</v>
      </c>
    </row>
    <row r="2990" ht="16.5" customHeight="1">
      <c r="A2990" s="32">
        <v>2986.0</v>
      </c>
      <c r="C2990" s="32" t="s">
        <v>3795</v>
      </c>
      <c r="D2990" s="32" t="s">
        <v>184</v>
      </c>
      <c r="E2990" s="32" t="s">
        <v>192</v>
      </c>
      <c r="F2990" s="32" t="s">
        <v>255</v>
      </c>
      <c r="G2990" s="32" t="s">
        <v>256</v>
      </c>
      <c r="H2990" s="32" t="s">
        <v>300</v>
      </c>
    </row>
    <row r="2991" ht="16.5" customHeight="1">
      <c r="A2991" s="32">
        <v>2987.0</v>
      </c>
      <c r="C2991" s="32" t="s">
        <v>3796</v>
      </c>
      <c r="D2991" s="32" t="s">
        <v>184</v>
      </c>
      <c r="E2991" s="32" t="s">
        <v>254</v>
      </c>
      <c r="F2991" s="32" t="s">
        <v>255</v>
      </c>
    </row>
    <row r="2992" ht="16.5" customHeight="1">
      <c r="A2992" s="32">
        <v>2988.0</v>
      </c>
      <c r="C2992" s="32" t="s">
        <v>3797</v>
      </c>
      <c r="D2992" s="32" t="s">
        <v>184</v>
      </c>
      <c r="E2992" s="32" t="s">
        <v>254</v>
      </c>
      <c r="F2992" s="32" t="s">
        <v>255</v>
      </c>
      <c r="G2992" s="32" t="s">
        <v>3798</v>
      </c>
      <c r="H2992" s="32" t="s">
        <v>3799</v>
      </c>
    </row>
    <row r="2993" ht="16.5" customHeight="1">
      <c r="A2993" s="32">
        <v>2989.0</v>
      </c>
      <c r="C2993" s="32" t="s">
        <v>3800</v>
      </c>
      <c r="D2993" s="32" t="s">
        <v>184</v>
      </c>
      <c r="E2993" s="32" t="s">
        <v>254</v>
      </c>
      <c r="F2993" s="32" t="s">
        <v>255</v>
      </c>
      <c r="G2993" s="32" t="s">
        <v>2845</v>
      </c>
      <c r="H2993" s="32" t="s">
        <v>3801</v>
      </c>
    </row>
    <row r="2994" ht="16.5" customHeight="1">
      <c r="A2994" s="32">
        <v>2990.0</v>
      </c>
      <c r="C2994" s="32" t="s">
        <v>3802</v>
      </c>
      <c r="D2994" s="32" t="s">
        <v>184</v>
      </c>
      <c r="E2994" s="32" t="s">
        <v>254</v>
      </c>
      <c r="F2994" s="32" t="s">
        <v>255</v>
      </c>
    </row>
    <row r="2995" ht="16.5" customHeight="1">
      <c r="A2995" s="32">
        <v>2991.0</v>
      </c>
      <c r="C2995" s="32" t="s">
        <v>3803</v>
      </c>
      <c r="D2995" s="32" t="s">
        <v>184</v>
      </c>
      <c r="E2995" s="32" t="s">
        <v>254</v>
      </c>
      <c r="F2995" s="32" t="s">
        <v>255</v>
      </c>
      <c r="G2995" s="32" t="s">
        <v>256</v>
      </c>
      <c r="H2995" s="32" t="s">
        <v>3801</v>
      </c>
    </row>
    <row r="2996" ht="16.5" customHeight="1">
      <c r="A2996" s="32">
        <v>2992.0</v>
      </c>
      <c r="C2996" s="32" t="s">
        <v>3804</v>
      </c>
      <c r="D2996" s="32" t="s">
        <v>184</v>
      </c>
      <c r="E2996" s="32" t="s">
        <v>185</v>
      </c>
      <c r="F2996" s="32" t="s">
        <v>396</v>
      </c>
      <c r="G2996" s="32" t="s">
        <v>275</v>
      </c>
      <c r="H2996" s="32" t="s">
        <v>2412</v>
      </c>
    </row>
    <row r="2997" ht="16.5" customHeight="1">
      <c r="A2997" s="32">
        <v>2993.0</v>
      </c>
      <c r="C2997" s="32" t="s">
        <v>3805</v>
      </c>
      <c r="D2997" s="32" t="s">
        <v>184</v>
      </c>
      <c r="E2997" s="32" t="s">
        <v>214</v>
      </c>
      <c r="F2997" s="32" t="s">
        <v>396</v>
      </c>
      <c r="G2997" s="32" t="s">
        <v>604</v>
      </c>
      <c r="H2997" s="32" t="s">
        <v>3806</v>
      </c>
    </row>
    <row r="2998" ht="16.5" customHeight="1">
      <c r="A2998" s="32">
        <v>2994.0</v>
      </c>
      <c r="C2998" s="32" t="s">
        <v>3807</v>
      </c>
      <c r="D2998" s="32" t="s">
        <v>184</v>
      </c>
      <c r="E2998" s="32" t="s">
        <v>234</v>
      </c>
      <c r="F2998" s="32" t="s">
        <v>255</v>
      </c>
      <c r="G2998" s="32" t="s">
        <v>347</v>
      </c>
      <c r="H2998" s="32" t="s">
        <v>3808</v>
      </c>
    </row>
    <row r="2999" ht="16.5" customHeight="1">
      <c r="A2999" s="32">
        <v>2995.0</v>
      </c>
      <c r="C2999" s="32" t="s">
        <v>3809</v>
      </c>
      <c r="D2999" s="32" t="s">
        <v>184</v>
      </c>
      <c r="E2999" s="32" t="s">
        <v>285</v>
      </c>
      <c r="F2999" s="32" t="s">
        <v>255</v>
      </c>
      <c r="G2999" s="32" t="s">
        <v>3810</v>
      </c>
      <c r="H2999" s="32" t="s">
        <v>1115</v>
      </c>
    </row>
    <row r="3000" ht="16.5" customHeight="1">
      <c r="A3000" s="32">
        <v>2996.0</v>
      </c>
      <c r="C3000" s="32" t="s">
        <v>3811</v>
      </c>
      <c r="D3000" s="32" t="s">
        <v>184</v>
      </c>
      <c r="E3000" s="32" t="s">
        <v>351</v>
      </c>
      <c r="F3000" s="32" t="s">
        <v>255</v>
      </c>
      <c r="G3000" s="32" t="s">
        <v>3717</v>
      </c>
    </row>
    <row r="3001" ht="16.5" customHeight="1">
      <c r="A3001" s="32">
        <v>2997.0</v>
      </c>
      <c r="C3001" s="32" t="s">
        <v>3812</v>
      </c>
      <c r="D3001" s="32" t="s">
        <v>184</v>
      </c>
      <c r="E3001" s="32" t="s">
        <v>254</v>
      </c>
      <c r="F3001" s="32" t="s">
        <v>255</v>
      </c>
      <c r="G3001" s="32" t="s">
        <v>256</v>
      </c>
      <c r="H3001" s="32" t="s">
        <v>257</v>
      </c>
    </row>
    <row r="3002" ht="16.5" customHeight="1">
      <c r="A3002" s="32">
        <v>2998.0</v>
      </c>
      <c r="C3002" s="32" t="s">
        <v>3813</v>
      </c>
      <c r="D3002" s="32" t="s">
        <v>184</v>
      </c>
      <c r="E3002" s="32" t="s">
        <v>254</v>
      </c>
      <c r="F3002" s="32" t="s">
        <v>255</v>
      </c>
      <c r="G3002" s="32" t="s">
        <v>256</v>
      </c>
      <c r="H3002" s="32" t="s">
        <v>257</v>
      </c>
    </row>
    <row r="3003" ht="16.5" customHeight="1">
      <c r="A3003" s="32">
        <v>2999.0</v>
      </c>
      <c r="C3003" s="32" t="s">
        <v>3814</v>
      </c>
      <c r="D3003" s="32" t="s">
        <v>184</v>
      </c>
      <c r="E3003" s="32" t="s">
        <v>185</v>
      </c>
      <c r="F3003" s="32" t="s">
        <v>255</v>
      </c>
      <c r="G3003" s="32" t="s">
        <v>189</v>
      </c>
      <c r="H3003" s="32" t="s">
        <v>190</v>
      </c>
    </row>
    <row r="3004" ht="16.5" customHeight="1">
      <c r="A3004" s="32">
        <v>3000.0</v>
      </c>
      <c r="C3004" s="32" t="s">
        <v>3815</v>
      </c>
      <c r="D3004" s="32" t="s">
        <v>184</v>
      </c>
      <c r="E3004" s="32" t="s">
        <v>185</v>
      </c>
      <c r="F3004" s="32" t="s">
        <v>255</v>
      </c>
      <c r="G3004" s="32" t="s">
        <v>189</v>
      </c>
      <c r="H3004" s="32" t="s">
        <v>190</v>
      </c>
    </row>
    <row r="3005" ht="16.5" customHeight="1">
      <c r="A3005" s="32">
        <v>3001.0</v>
      </c>
      <c r="C3005" s="32" t="s">
        <v>3816</v>
      </c>
      <c r="D3005" s="32" t="s">
        <v>184</v>
      </c>
      <c r="E3005" s="32" t="s">
        <v>285</v>
      </c>
      <c r="F3005" s="32" t="s">
        <v>186</v>
      </c>
      <c r="G3005" s="32" t="s">
        <v>795</v>
      </c>
    </row>
    <row r="3006" ht="16.5" customHeight="1">
      <c r="A3006" s="32">
        <v>3002.0</v>
      </c>
      <c r="C3006" s="32" t="s">
        <v>3817</v>
      </c>
      <c r="D3006" s="32" t="s">
        <v>184</v>
      </c>
      <c r="E3006" s="32" t="s">
        <v>285</v>
      </c>
      <c r="F3006" s="32" t="s">
        <v>255</v>
      </c>
      <c r="G3006" s="32" t="s">
        <v>3818</v>
      </c>
    </row>
    <row r="3007" ht="16.5" customHeight="1">
      <c r="A3007" s="32">
        <v>3003.0</v>
      </c>
      <c r="C3007" s="32" t="s">
        <v>3819</v>
      </c>
      <c r="D3007" s="32" t="s">
        <v>184</v>
      </c>
      <c r="E3007" s="35" t="s">
        <v>1888</v>
      </c>
      <c r="F3007" s="32" t="s">
        <v>255</v>
      </c>
      <c r="G3007" s="32" t="s">
        <v>3820</v>
      </c>
      <c r="H3007" s="32" t="s">
        <v>3821</v>
      </c>
    </row>
    <row r="3008" ht="16.5" customHeight="1">
      <c r="A3008" s="32">
        <v>3004.0</v>
      </c>
      <c r="C3008" s="32" t="s">
        <v>3822</v>
      </c>
      <c r="D3008" s="32" t="s">
        <v>184</v>
      </c>
      <c r="E3008" s="32" t="s">
        <v>285</v>
      </c>
      <c r="F3008" s="32" t="s">
        <v>3823</v>
      </c>
    </row>
    <row r="3009" ht="16.5" customHeight="1">
      <c r="A3009" s="32">
        <v>3005.0</v>
      </c>
      <c r="C3009" s="32" t="s">
        <v>3824</v>
      </c>
      <c r="D3009" s="32" t="s">
        <v>184</v>
      </c>
      <c r="E3009" s="32" t="s">
        <v>219</v>
      </c>
      <c r="F3009" s="32" t="s">
        <v>3823</v>
      </c>
    </row>
    <row r="3010" ht="16.5" customHeight="1">
      <c r="A3010" s="32">
        <v>3006.0</v>
      </c>
      <c r="C3010" s="32" t="s">
        <v>3825</v>
      </c>
      <c r="D3010" s="32" t="s">
        <v>184</v>
      </c>
      <c r="E3010" s="32" t="s">
        <v>764</v>
      </c>
      <c r="F3010" s="32" t="s">
        <v>3823</v>
      </c>
    </row>
    <row r="3011" ht="16.5" customHeight="1">
      <c r="A3011" s="32">
        <v>3007.0</v>
      </c>
      <c r="C3011" s="32" t="s">
        <v>3826</v>
      </c>
      <c r="D3011" s="32" t="s">
        <v>184</v>
      </c>
      <c r="E3011" s="32" t="s">
        <v>228</v>
      </c>
      <c r="F3011" s="32" t="s">
        <v>3823</v>
      </c>
    </row>
    <row r="3012" ht="16.5" customHeight="1">
      <c r="A3012" s="32">
        <v>3008.0</v>
      </c>
      <c r="C3012" s="32" t="s">
        <v>3827</v>
      </c>
      <c r="D3012" s="32" t="s">
        <v>184</v>
      </c>
      <c r="E3012" s="35" t="s">
        <v>484</v>
      </c>
      <c r="F3012" s="32" t="s">
        <v>3823</v>
      </c>
    </row>
    <row r="3013" ht="16.5" customHeight="1">
      <c r="A3013" s="32">
        <v>3009.0</v>
      </c>
      <c r="C3013" s="32" t="s">
        <v>3828</v>
      </c>
      <c r="D3013" s="32" t="s">
        <v>184</v>
      </c>
      <c r="E3013" s="32" t="s">
        <v>285</v>
      </c>
      <c r="F3013" s="32" t="s">
        <v>3823</v>
      </c>
      <c r="G3013" s="32" t="s">
        <v>3829</v>
      </c>
    </row>
    <row r="3014" ht="16.5" customHeight="1">
      <c r="A3014" s="32">
        <v>3010.0</v>
      </c>
      <c r="C3014" s="32" t="s">
        <v>3830</v>
      </c>
      <c r="D3014" s="32" t="s">
        <v>184</v>
      </c>
      <c r="E3014" s="32" t="s">
        <v>285</v>
      </c>
      <c r="F3014" s="32" t="s">
        <v>3823</v>
      </c>
    </row>
    <row r="3015" ht="16.5" customHeight="1">
      <c r="A3015" s="32">
        <v>3011.0</v>
      </c>
      <c r="C3015" s="32" t="s">
        <v>3831</v>
      </c>
      <c r="D3015" s="32" t="s">
        <v>184</v>
      </c>
      <c r="E3015" s="32" t="s">
        <v>285</v>
      </c>
      <c r="F3015" s="32" t="s">
        <v>3823</v>
      </c>
    </row>
    <row r="3016" ht="16.5" customHeight="1">
      <c r="A3016" s="32">
        <v>3012.0</v>
      </c>
      <c r="C3016" s="32" t="s">
        <v>3832</v>
      </c>
      <c r="D3016" s="32" t="s">
        <v>184</v>
      </c>
      <c r="E3016" s="32" t="s">
        <v>228</v>
      </c>
      <c r="F3016" s="32" t="s">
        <v>3823</v>
      </c>
    </row>
    <row r="3017" ht="16.5" customHeight="1">
      <c r="A3017" s="32">
        <v>3013.0</v>
      </c>
      <c r="C3017" s="32" t="s">
        <v>3833</v>
      </c>
      <c r="D3017" s="32" t="s">
        <v>184</v>
      </c>
      <c r="E3017" s="32" t="s">
        <v>285</v>
      </c>
      <c r="F3017" s="32" t="s">
        <v>3823</v>
      </c>
    </row>
    <row r="3018" ht="16.5" customHeight="1">
      <c r="A3018" s="32">
        <v>3014.0</v>
      </c>
      <c r="C3018" s="32" t="s">
        <v>3833</v>
      </c>
      <c r="D3018" s="32" t="s">
        <v>184</v>
      </c>
      <c r="E3018" s="32" t="s">
        <v>185</v>
      </c>
      <c r="F3018" s="32" t="s">
        <v>3823</v>
      </c>
    </row>
    <row r="3019" ht="16.5" customHeight="1">
      <c r="A3019" s="32">
        <v>3015.0</v>
      </c>
      <c r="C3019" s="32" t="s">
        <v>3834</v>
      </c>
      <c r="D3019" s="32" t="s">
        <v>184</v>
      </c>
      <c r="E3019" s="32" t="s">
        <v>285</v>
      </c>
      <c r="F3019" s="32" t="s">
        <v>3823</v>
      </c>
    </row>
    <row r="3020" ht="16.5" customHeight="1">
      <c r="A3020" s="32">
        <v>3016.0</v>
      </c>
      <c r="C3020" s="32" t="s">
        <v>3835</v>
      </c>
      <c r="D3020" s="32" t="s">
        <v>184</v>
      </c>
      <c r="E3020" s="32" t="s">
        <v>192</v>
      </c>
      <c r="F3020" s="32" t="s">
        <v>3823</v>
      </c>
    </row>
    <row r="3021" ht="16.5" customHeight="1">
      <c r="A3021" s="32">
        <v>3017.0</v>
      </c>
      <c r="C3021" s="32" t="s">
        <v>3836</v>
      </c>
      <c r="D3021" s="32" t="s">
        <v>184</v>
      </c>
      <c r="E3021" s="32" t="s">
        <v>219</v>
      </c>
      <c r="F3021" s="32" t="s">
        <v>3823</v>
      </c>
    </row>
    <row r="3022" ht="16.5" customHeight="1">
      <c r="A3022" s="32">
        <v>3018.0</v>
      </c>
      <c r="C3022" s="32" t="s">
        <v>3837</v>
      </c>
      <c r="D3022" s="32" t="s">
        <v>184</v>
      </c>
      <c r="E3022" s="32" t="s">
        <v>228</v>
      </c>
      <c r="F3022" s="32" t="s">
        <v>255</v>
      </c>
      <c r="G3022" s="32" t="s">
        <v>454</v>
      </c>
      <c r="H3022" s="32" t="s">
        <v>3448</v>
      </c>
    </row>
    <row r="3023" ht="16.5" customHeight="1">
      <c r="A3023" s="32">
        <v>3019.0</v>
      </c>
      <c r="C3023" s="32" t="s">
        <v>3838</v>
      </c>
      <c r="D3023" s="32" t="s">
        <v>184</v>
      </c>
      <c r="E3023" s="32" t="s">
        <v>219</v>
      </c>
      <c r="F3023" s="32" t="s">
        <v>2745</v>
      </c>
    </row>
    <row r="3024" ht="16.5" customHeight="1">
      <c r="A3024" s="32">
        <v>3020.0</v>
      </c>
      <c r="C3024" s="32" t="s">
        <v>3839</v>
      </c>
      <c r="D3024" s="32" t="s">
        <v>184</v>
      </c>
      <c r="E3024" s="32" t="s">
        <v>764</v>
      </c>
      <c r="F3024" s="32" t="s">
        <v>255</v>
      </c>
    </row>
    <row r="3025" ht="16.5" customHeight="1">
      <c r="A3025" s="32">
        <v>3021.0</v>
      </c>
      <c r="C3025" s="32" t="s">
        <v>3840</v>
      </c>
      <c r="D3025" s="32" t="s">
        <v>184</v>
      </c>
      <c r="E3025" s="32" t="s">
        <v>285</v>
      </c>
      <c r="F3025" s="32" t="s">
        <v>255</v>
      </c>
    </row>
    <row r="3026" ht="16.5" customHeight="1">
      <c r="A3026" s="32">
        <v>3022.0</v>
      </c>
      <c r="C3026" s="32" t="s">
        <v>3841</v>
      </c>
      <c r="D3026" s="32" t="s">
        <v>184</v>
      </c>
      <c r="E3026" s="32" t="s">
        <v>254</v>
      </c>
      <c r="F3026" s="32" t="s">
        <v>255</v>
      </c>
      <c r="G3026" s="32" t="s">
        <v>305</v>
      </c>
      <c r="H3026" s="32" t="s">
        <v>3842</v>
      </c>
    </row>
    <row r="3027" ht="16.5" customHeight="1">
      <c r="A3027" s="32">
        <v>3023.0</v>
      </c>
      <c r="C3027" s="32" t="s">
        <v>3843</v>
      </c>
      <c r="D3027" s="32" t="s">
        <v>184</v>
      </c>
      <c r="E3027" s="32" t="s">
        <v>285</v>
      </c>
      <c r="F3027" s="32" t="s">
        <v>255</v>
      </c>
    </row>
    <row r="3028" ht="16.5" customHeight="1">
      <c r="A3028" s="32">
        <v>3024.0</v>
      </c>
      <c r="C3028" s="32" t="s">
        <v>3844</v>
      </c>
      <c r="D3028" s="32" t="s">
        <v>184</v>
      </c>
      <c r="E3028" s="32" t="s">
        <v>351</v>
      </c>
      <c r="F3028" s="32" t="s">
        <v>255</v>
      </c>
    </row>
    <row r="3029" ht="16.5" customHeight="1">
      <c r="A3029" s="32">
        <v>3025.0</v>
      </c>
      <c r="C3029" s="32" t="s">
        <v>3845</v>
      </c>
      <c r="D3029" s="32" t="s">
        <v>184</v>
      </c>
      <c r="E3029" s="32" t="s">
        <v>351</v>
      </c>
      <c r="F3029" s="32" t="s">
        <v>255</v>
      </c>
    </row>
    <row r="3030" ht="16.5" customHeight="1">
      <c r="A3030" s="32">
        <v>3026.0</v>
      </c>
      <c r="C3030" s="32" t="s">
        <v>3846</v>
      </c>
      <c r="D3030" s="32" t="s">
        <v>184</v>
      </c>
      <c r="E3030" s="32" t="s">
        <v>192</v>
      </c>
      <c r="F3030" s="32" t="s">
        <v>255</v>
      </c>
    </row>
    <row r="3031" ht="16.5" customHeight="1">
      <c r="A3031" s="32">
        <v>3027.0</v>
      </c>
      <c r="C3031" s="32" t="s">
        <v>3847</v>
      </c>
      <c r="D3031" s="32" t="s">
        <v>184</v>
      </c>
      <c r="E3031" s="32" t="s">
        <v>254</v>
      </c>
      <c r="F3031" s="32" t="s">
        <v>399</v>
      </c>
    </row>
    <row r="3032" ht="16.5" customHeight="1">
      <c r="A3032" s="32">
        <v>3028.0</v>
      </c>
      <c r="C3032" s="32" t="s">
        <v>3848</v>
      </c>
      <c r="D3032" s="32" t="s">
        <v>184</v>
      </c>
      <c r="E3032" s="32" t="s">
        <v>192</v>
      </c>
      <c r="F3032" s="32" t="s">
        <v>255</v>
      </c>
    </row>
    <row r="3033" ht="16.5" customHeight="1">
      <c r="A3033" s="32">
        <v>3029.0</v>
      </c>
      <c r="C3033" s="32" t="s">
        <v>3849</v>
      </c>
      <c r="D3033" s="32" t="s">
        <v>184</v>
      </c>
      <c r="E3033" s="32" t="s">
        <v>234</v>
      </c>
      <c r="F3033" s="32" t="s">
        <v>255</v>
      </c>
      <c r="G3033" s="32" t="s">
        <v>3850</v>
      </c>
      <c r="H3033" s="32" t="s">
        <v>3851</v>
      </c>
    </row>
    <row r="3034" ht="16.5" customHeight="1">
      <c r="A3034" s="32">
        <v>3030.0</v>
      </c>
      <c r="C3034" s="32" t="s">
        <v>3852</v>
      </c>
      <c r="D3034" s="32" t="s">
        <v>184</v>
      </c>
      <c r="E3034" s="32" t="s">
        <v>192</v>
      </c>
      <c r="F3034" s="32" t="s">
        <v>255</v>
      </c>
      <c r="G3034" s="32" t="s">
        <v>300</v>
      </c>
      <c r="H3034" s="32" t="s">
        <v>3853</v>
      </c>
    </row>
    <row r="3035" ht="16.5" customHeight="1">
      <c r="A3035" s="32">
        <v>3031.0</v>
      </c>
      <c r="C3035" s="32" t="s">
        <v>3854</v>
      </c>
      <c r="D3035" s="32" t="s">
        <v>184</v>
      </c>
      <c r="E3035" s="32" t="s">
        <v>254</v>
      </c>
      <c r="F3035" s="32" t="s">
        <v>399</v>
      </c>
      <c r="G3035" s="32" t="s">
        <v>305</v>
      </c>
      <c r="H3035" s="32" t="s">
        <v>3855</v>
      </c>
    </row>
    <row r="3036" ht="16.5" customHeight="1">
      <c r="A3036" s="32">
        <v>3032.0</v>
      </c>
      <c r="C3036" s="32" t="s">
        <v>3856</v>
      </c>
      <c r="D3036" s="32" t="s">
        <v>184</v>
      </c>
      <c r="E3036" s="32" t="s">
        <v>192</v>
      </c>
      <c r="F3036" s="32" t="s">
        <v>255</v>
      </c>
      <c r="G3036" s="32" t="s">
        <v>300</v>
      </c>
      <c r="H3036" s="32" t="s">
        <v>387</v>
      </c>
    </row>
    <row r="3037" ht="16.5" customHeight="1">
      <c r="A3037" s="32">
        <v>3033.0</v>
      </c>
      <c r="C3037" s="32" t="s">
        <v>3857</v>
      </c>
      <c r="D3037" s="32" t="s">
        <v>184</v>
      </c>
      <c r="E3037" s="32" t="s">
        <v>192</v>
      </c>
      <c r="F3037" s="32" t="s">
        <v>255</v>
      </c>
    </row>
    <row r="3038" ht="16.5" customHeight="1">
      <c r="A3038" s="32">
        <v>3034.0</v>
      </c>
      <c r="C3038" s="32" t="s">
        <v>3858</v>
      </c>
      <c r="D3038" s="32" t="s">
        <v>184</v>
      </c>
      <c r="E3038" s="32" t="s">
        <v>192</v>
      </c>
      <c r="F3038" s="32" t="s">
        <v>255</v>
      </c>
      <c r="G3038" s="32" t="s">
        <v>300</v>
      </c>
      <c r="H3038" s="32" t="s">
        <v>445</v>
      </c>
    </row>
    <row r="3039" ht="16.5" customHeight="1">
      <c r="A3039" s="32">
        <v>3035.0</v>
      </c>
      <c r="C3039" s="32" t="s">
        <v>3859</v>
      </c>
      <c r="D3039" s="32" t="s">
        <v>184</v>
      </c>
      <c r="E3039" s="32" t="s">
        <v>192</v>
      </c>
      <c r="F3039" s="32" t="s">
        <v>255</v>
      </c>
      <c r="G3039" s="32" t="s">
        <v>570</v>
      </c>
      <c r="H3039" s="32" t="s">
        <v>447</v>
      </c>
    </row>
    <row r="3040" ht="16.5" customHeight="1">
      <c r="A3040" s="32">
        <v>3036.0</v>
      </c>
      <c r="C3040" s="32" t="s">
        <v>3860</v>
      </c>
      <c r="D3040" s="32" t="s">
        <v>184</v>
      </c>
      <c r="E3040" s="32" t="s">
        <v>192</v>
      </c>
      <c r="F3040" s="32" t="s">
        <v>255</v>
      </c>
      <c r="G3040" s="32" t="s">
        <v>731</v>
      </c>
      <c r="H3040" s="32" t="s">
        <v>408</v>
      </c>
    </row>
    <row r="3041" ht="16.5" customHeight="1">
      <c r="A3041" s="32">
        <v>3037.0</v>
      </c>
      <c r="C3041" s="32" t="s">
        <v>3861</v>
      </c>
      <c r="D3041" s="32" t="s">
        <v>184</v>
      </c>
      <c r="E3041" s="32" t="s">
        <v>254</v>
      </c>
      <c r="F3041" s="32" t="s">
        <v>255</v>
      </c>
      <c r="G3041" s="32" t="s">
        <v>256</v>
      </c>
      <c r="H3041" s="32" t="s">
        <v>3862</v>
      </c>
    </row>
    <row r="3042" ht="16.5" customHeight="1">
      <c r="A3042" s="32">
        <v>3038.0</v>
      </c>
      <c r="C3042" s="32" t="s">
        <v>3863</v>
      </c>
      <c r="D3042" s="32" t="s">
        <v>184</v>
      </c>
      <c r="E3042" s="32" t="s">
        <v>228</v>
      </c>
      <c r="F3042" s="32" t="s">
        <v>186</v>
      </c>
      <c r="G3042" s="32" t="s">
        <v>3864</v>
      </c>
    </row>
    <row r="3043" ht="16.5" customHeight="1">
      <c r="A3043" s="32">
        <v>3039.0</v>
      </c>
      <c r="C3043" s="32" t="s">
        <v>3865</v>
      </c>
      <c r="D3043" s="32" t="s">
        <v>184</v>
      </c>
      <c r="E3043" s="32" t="s">
        <v>234</v>
      </c>
      <c r="F3043" s="32" t="s">
        <v>399</v>
      </c>
    </row>
    <row r="3044" ht="16.5" customHeight="1">
      <c r="A3044" s="32">
        <v>3040.0</v>
      </c>
      <c r="C3044" s="32" t="s">
        <v>3866</v>
      </c>
      <c r="D3044" s="32" t="s">
        <v>184</v>
      </c>
      <c r="E3044" s="32" t="s">
        <v>234</v>
      </c>
      <c r="F3044" s="32" t="s">
        <v>316</v>
      </c>
      <c r="G3044" s="32" t="s">
        <v>347</v>
      </c>
      <c r="H3044" s="32" t="s">
        <v>3020</v>
      </c>
    </row>
    <row r="3045" ht="16.5" customHeight="1">
      <c r="A3045" s="32">
        <v>3041.0</v>
      </c>
      <c r="C3045" s="32" t="s">
        <v>3867</v>
      </c>
      <c r="D3045" s="32" t="s">
        <v>184</v>
      </c>
      <c r="E3045" s="32" t="s">
        <v>234</v>
      </c>
      <c r="F3045" s="32" t="s">
        <v>255</v>
      </c>
    </row>
    <row r="3046" ht="16.5" customHeight="1">
      <c r="A3046" s="32">
        <v>3042.0</v>
      </c>
      <c r="C3046" s="32" t="s">
        <v>3868</v>
      </c>
      <c r="D3046" s="32" t="s">
        <v>184</v>
      </c>
      <c r="E3046" s="32" t="s">
        <v>234</v>
      </c>
      <c r="F3046" s="32" t="s">
        <v>255</v>
      </c>
      <c r="G3046" s="32" t="s">
        <v>347</v>
      </c>
      <c r="H3046" s="32" t="s">
        <v>382</v>
      </c>
    </row>
    <row r="3047" ht="16.5" customHeight="1">
      <c r="A3047" s="32">
        <v>3043.0</v>
      </c>
      <c r="C3047" s="32" t="s">
        <v>3868</v>
      </c>
      <c r="D3047" s="32" t="s">
        <v>184</v>
      </c>
      <c r="E3047" s="32" t="s">
        <v>234</v>
      </c>
      <c r="F3047" s="32" t="s">
        <v>255</v>
      </c>
      <c r="G3047" s="32" t="s">
        <v>347</v>
      </c>
      <c r="H3047" s="32" t="s">
        <v>382</v>
      </c>
    </row>
    <row r="3048" ht="16.5" customHeight="1">
      <c r="A3048" s="32">
        <v>3044.0</v>
      </c>
      <c r="C3048" s="32" t="s">
        <v>3869</v>
      </c>
      <c r="D3048" s="32" t="s">
        <v>184</v>
      </c>
      <c r="E3048" s="32" t="s">
        <v>234</v>
      </c>
      <c r="F3048" s="32" t="s">
        <v>316</v>
      </c>
      <c r="G3048" s="32" t="s">
        <v>347</v>
      </c>
      <c r="H3048" s="32" t="s">
        <v>382</v>
      </c>
    </row>
    <row r="3049" ht="16.5" customHeight="1">
      <c r="A3049" s="32">
        <v>3045.0</v>
      </c>
      <c r="C3049" s="32" t="s">
        <v>3870</v>
      </c>
      <c r="D3049" s="32" t="s">
        <v>184</v>
      </c>
      <c r="E3049" s="32" t="s">
        <v>234</v>
      </c>
      <c r="F3049" s="32" t="s">
        <v>255</v>
      </c>
      <c r="G3049" s="32" t="s">
        <v>347</v>
      </c>
      <c r="H3049" s="32" t="s">
        <v>382</v>
      </c>
    </row>
    <row r="3050" ht="16.5" customHeight="1">
      <c r="A3050" s="32">
        <v>3046.0</v>
      </c>
      <c r="C3050" s="32" t="s">
        <v>3871</v>
      </c>
      <c r="D3050" s="32" t="s">
        <v>184</v>
      </c>
      <c r="E3050" s="32" t="s">
        <v>234</v>
      </c>
      <c r="F3050" s="32" t="s">
        <v>399</v>
      </c>
      <c r="G3050" s="32" t="s">
        <v>347</v>
      </c>
      <c r="H3050" s="32" t="s">
        <v>382</v>
      </c>
    </row>
    <row r="3051" ht="16.5" customHeight="1">
      <c r="A3051" s="32">
        <v>3047.0</v>
      </c>
      <c r="C3051" s="32" t="s">
        <v>3872</v>
      </c>
      <c r="D3051" s="32" t="s">
        <v>184</v>
      </c>
      <c r="E3051" s="32" t="s">
        <v>234</v>
      </c>
      <c r="F3051" s="32" t="s">
        <v>399</v>
      </c>
      <c r="G3051" s="32" t="s">
        <v>235</v>
      </c>
      <c r="H3051" s="32" t="s">
        <v>243</v>
      </c>
    </row>
    <row r="3052" ht="16.5" customHeight="1">
      <c r="A3052" s="32">
        <v>3048.0</v>
      </c>
      <c r="C3052" s="32" t="s">
        <v>3873</v>
      </c>
      <c r="D3052" s="32" t="s">
        <v>184</v>
      </c>
      <c r="E3052" s="32" t="s">
        <v>234</v>
      </c>
      <c r="F3052" s="32" t="s">
        <v>399</v>
      </c>
      <c r="G3052" s="32" t="s">
        <v>347</v>
      </c>
      <c r="H3052" s="32" t="s">
        <v>382</v>
      </c>
    </row>
    <row r="3053" ht="16.5" customHeight="1">
      <c r="A3053" s="32">
        <v>3049.0</v>
      </c>
      <c r="C3053" s="32" t="s">
        <v>3874</v>
      </c>
      <c r="D3053" s="32" t="s">
        <v>184</v>
      </c>
      <c r="E3053" s="32" t="s">
        <v>234</v>
      </c>
      <c r="F3053" s="32" t="s">
        <v>255</v>
      </c>
      <c r="G3053" s="32" t="s">
        <v>347</v>
      </c>
      <c r="H3053" s="32" t="s">
        <v>382</v>
      </c>
    </row>
    <row r="3054" ht="16.5" customHeight="1">
      <c r="A3054" s="32">
        <v>3050.0</v>
      </c>
      <c r="C3054" s="32" t="s">
        <v>3875</v>
      </c>
      <c r="D3054" s="32" t="s">
        <v>184</v>
      </c>
      <c r="E3054" s="32" t="s">
        <v>234</v>
      </c>
      <c r="F3054" s="32" t="s">
        <v>255</v>
      </c>
      <c r="G3054" s="32" t="s">
        <v>235</v>
      </c>
      <c r="H3054" s="32" t="s">
        <v>243</v>
      </c>
    </row>
    <row r="3055" ht="16.5" customHeight="1">
      <c r="A3055" s="32">
        <v>3051.0</v>
      </c>
      <c r="C3055" s="32" t="s">
        <v>3876</v>
      </c>
      <c r="D3055" s="32" t="s">
        <v>184</v>
      </c>
      <c r="E3055" s="32" t="s">
        <v>234</v>
      </c>
      <c r="F3055" s="32" t="s">
        <v>255</v>
      </c>
      <c r="G3055" s="32" t="s">
        <v>347</v>
      </c>
      <c r="H3055" s="32" t="s">
        <v>382</v>
      </c>
    </row>
    <row r="3056" ht="16.5" customHeight="1">
      <c r="A3056" s="32">
        <v>3052.0</v>
      </c>
      <c r="C3056" s="32" t="s">
        <v>3877</v>
      </c>
      <c r="D3056" s="32" t="s">
        <v>184</v>
      </c>
      <c r="E3056" s="32" t="s">
        <v>234</v>
      </c>
      <c r="F3056" s="32" t="s">
        <v>255</v>
      </c>
      <c r="G3056" s="32" t="s">
        <v>347</v>
      </c>
      <c r="H3056" s="32" t="s">
        <v>382</v>
      </c>
    </row>
    <row r="3057" ht="16.5" customHeight="1">
      <c r="A3057" s="32">
        <v>3053.0</v>
      </c>
      <c r="C3057" s="32" t="s">
        <v>3878</v>
      </c>
      <c r="D3057" s="32" t="s">
        <v>184</v>
      </c>
      <c r="E3057" s="32" t="s">
        <v>234</v>
      </c>
      <c r="F3057" s="32" t="s">
        <v>255</v>
      </c>
    </row>
    <row r="3058" ht="16.5" customHeight="1">
      <c r="A3058" s="32">
        <v>3054.0</v>
      </c>
      <c r="C3058" s="32" t="s">
        <v>3879</v>
      </c>
      <c r="D3058" s="32" t="s">
        <v>184</v>
      </c>
      <c r="E3058" s="32" t="s">
        <v>234</v>
      </c>
      <c r="F3058" s="32" t="s">
        <v>255</v>
      </c>
    </row>
    <row r="3059" ht="16.5" customHeight="1">
      <c r="A3059" s="32">
        <v>3055.0</v>
      </c>
      <c r="C3059" s="32" t="s">
        <v>3880</v>
      </c>
      <c r="D3059" s="32" t="s">
        <v>184</v>
      </c>
      <c r="E3059" s="32" t="s">
        <v>234</v>
      </c>
      <c r="F3059" s="32" t="s">
        <v>255</v>
      </c>
    </row>
    <row r="3060" ht="16.5" customHeight="1">
      <c r="A3060" s="32">
        <v>3056.0</v>
      </c>
      <c r="C3060" s="32" t="s">
        <v>3881</v>
      </c>
      <c r="D3060" s="32" t="s">
        <v>184</v>
      </c>
      <c r="E3060" s="32" t="s">
        <v>228</v>
      </c>
      <c r="F3060" s="32" t="s">
        <v>222</v>
      </c>
      <c r="G3060" s="32" t="s">
        <v>223</v>
      </c>
      <c r="H3060" s="32" t="s">
        <v>472</v>
      </c>
    </row>
    <row r="3061" ht="16.5" customHeight="1">
      <c r="A3061" s="32">
        <v>3057.0</v>
      </c>
      <c r="C3061" s="32" t="s">
        <v>3882</v>
      </c>
      <c r="D3061" s="32" t="s">
        <v>184</v>
      </c>
      <c r="E3061" s="35" t="s">
        <v>1894</v>
      </c>
      <c r="F3061" s="32" t="s">
        <v>255</v>
      </c>
      <c r="G3061" s="32" t="s">
        <v>2400</v>
      </c>
      <c r="H3061" s="32" t="s">
        <v>229</v>
      </c>
    </row>
    <row r="3062" ht="16.5" customHeight="1">
      <c r="A3062" s="32">
        <v>3058.0</v>
      </c>
      <c r="C3062" s="32" t="s">
        <v>3883</v>
      </c>
      <c r="D3062" s="32" t="s">
        <v>184</v>
      </c>
      <c r="E3062" s="32" t="s">
        <v>234</v>
      </c>
      <c r="F3062" s="32" t="s">
        <v>255</v>
      </c>
    </row>
    <row r="3063" ht="16.5" customHeight="1">
      <c r="A3063" s="32">
        <v>3059.0</v>
      </c>
      <c r="C3063" s="32" t="s">
        <v>3884</v>
      </c>
      <c r="D3063" s="32" t="s">
        <v>184</v>
      </c>
      <c r="E3063" s="32" t="s">
        <v>185</v>
      </c>
      <c r="F3063" s="32" t="s">
        <v>255</v>
      </c>
      <c r="G3063" s="32" t="s">
        <v>3885</v>
      </c>
      <c r="H3063" s="32" t="s">
        <v>382</v>
      </c>
    </row>
    <row r="3064" ht="16.5" customHeight="1">
      <c r="A3064" s="32">
        <v>3060.0</v>
      </c>
      <c r="C3064" s="32" t="s">
        <v>3886</v>
      </c>
      <c r="D3064" s="32" t="s">
        <v>184</v>
      </c>
      <c r="E3064" s="32" t="s">
        <v>234</v>
      </c>
      <c r="F3064" s="32" t="s">
        <v>255</v>
      </c>
    </row>
    <row r="3065" ht="16.5" customHeight="1">
      <c r="A3065" s="32">
        <v>3061.0</v>
      </c>
      <c r="C3065" s="32" t="s">
        <v>3887</v>
      </c>
      <c r="D3065" s="32" t="s">
        <v>184</v>
      </c>
      <c r="E3065" s="32" t="s">
        <v>234</v>
      </c>
      <c r="F3065" s="32" t="s">
        <v>373</v>
      </c>
      <c r="G3065" s="32" t="s">
        <v>347</v>
      </c>
      <c r="H3065" s="32" t="s">
        <v>382</v>
      </c>
    </row>
    <row r="3066" ht="16.5" customHeight="1">
      <c r="A3066" s="32">
        <v>3062.0</v>
      </c>
      <c r="C3066" s="32" t="s">
        <v>3888</v>
      </c>
      <c r="D3066" s="32" t="s">
        <v>184</v>
      </c>
      <c r="E3066" s="32" t="s">
        <v>219</v>
      </c>
      <c r="F3066" s="32" t="s">
        <v>255</v>
      </c>
      <c r="G3066" s="32" t="s">
        <v>223</v>
      </c>
      <c r="H3066" s="32" t="s">
        <v>472</v>
      </c>
    </row>
    <row r="3067" ht="16.5" customHeight="1">
      <c r="A3067" s="32">
        <v>3063.0</v>
      </c>
      <c r="C3067" s="32" t="s">
        <v>3889</v>
      </c>
      <c r="D3067" s="32" t="s">
        <v>184</v>
      </c>
      <c r="E3067" s="32" t="s">
        <v>234</v>
      </c>
      <c r="F3067" s="32" t="s">
        <v>255</v>
      </c>
      <c r="G3067" s="32" t="s">
        <v>3890</v>
      </c>
      <c r="H3067" s="32" t="s">
        <v>3891</v>
      </c>
    </row>
    <row r="3068" ht="16.5" customHeight="1">
      <c r="A3068" s="32">
        <v>3064.0</v>
      </c>
      <c r="C3068" s="32" t="s">
        <v>3892</v>
      </c>
      <c r="D3068" s="32" t="s">
        <v>184</v>
      </c>
      <c r="E3068" s="32" t="s">
        <v>234</v>
      </c>
      <c r="F3068" s="32" t="s">
        <v>255</v>
      </c>
      <c r="G3068" s="32" t="s">
        <v>3890</v>
      </c>
      <c r="H3068" s="32" t="s">
        <v>3891</v>
      </c>
    </row>
    <row r="3069" ht="16.5" customHeight="1">
      <c r="A3069" s="32">
        <v>3065.0</v>
      </c>
      <c r="C3069" s="32" t="s">
        <v>3893</v>
      </c>
      <c r="D3069" s="32" t="s">
        <v>184</v>
      </c>
      <c r="E3069" s="32" t="s">
        <v>234</v>
      </c>
      <c r="F3069" s="32" t="s">
        <v>255</v>
      </c>
      <c r="G3069" s="32" t="s">
        <v>1874</v>
      </c>
      <c r="H3069" s="32" t="s">
        <v>3894</v>
      </c>
    </row>
    <row r="3070" ht="16.5" customHeight="1">
      <c r="A3070" s="32">
        <v>3066.0</v>
      </c>
      <c r="C3070" s="32" t="s">
        <v>3895</v>
      </c>
      <c r="D3070" s="32" t="s">
        <v>184</v>
      </c>
      <c r="E3070" s="32" t="s">
        <v>234</v>
      </c>
      <c r="F3070" s="32" t="s">
        <v>255</v>
      </c>
    </row>
    <row r="3071" ht="16.5" customHeight="1">
      <c r="A3071" s="32">
        <v>3067.0</v>
      </c>
      <c r="C3071" s="32" t="s">
        <v>3896</v>
      </c>
      <c r="D3071" s="32" t="s">
        <v>184</v>
      </c>
      <c r="E3071" s="32" t="s">
        <v>254</v>
      </c>
      <c r="F3071" s="32" t="s">
        <v>255</v>
      </c>
    </row>
    <row r="3072" ht="16.5" customHeight="1">
      <c r="A3072" s="32">
        <v>3068.0</v>
      </c>
      <c r="C3072" s="32" t="s">
        <v>3897</v>
      </c>
      <c r="D3072" s="32" t="s">
        <v>184</v>
      </c>
      <c r="E3072" s="32" t="s">
        <v>192</v>
      </c>
      <c r="F3072" s="32" t="s">
        <v>255</v>
      </c>
      <c r="G3072" s="32" t="s">
        <v>3898</v>
      </c>
    </row>
    <row r="3073" ht="16.5" customHeight="1">
      <c r="A3073" s="32">
        <v>3069.0</v>
      </c>
      <c r="C3073" s="32" t="s">
        <v>3899</v>
      </c>
      <c r="D3073" s="32" t="s">
        <v>184</v>
      </c>
      <c r="E3073" s="32" t="s">
        <v>185</v>
      </c>
      <c r="F3073" s="32" t="s">
        <v>727</v>
      </c>
      <c r="G3073" s="32" t="s">
        <v>188</v>
      </c>
      <c r="H3073" s="32" t="s">
        <v>857</v>
      </c>
    </row>
    <row r="3074" ht="16.5" customHeight="1">
      <c r="A3074" s="32">
        <v>3070.0</v>
      </c>
      <c r="C3074" s="32" t="s">
        <v>3900</v>
      </c>
      <c r="D3074" s="32" t="s">
        <v>184</v>
      </c>
      <c r="E3074" s="32" t="s">
        <v>185</v>
      </c>
      <c r="F3074" s="32" t="s">
        <v>727</v>
      </c>
      <c r="G3074" s="32" t="s">
        <v>187</v>
      </c>
      <c r="H3074" s="32" t="s">
        <v>188</v>
      </c>
    </row>
    <row r="3075" ht="16.5" customHeight="1">
      <c r="A3075" s="32">
        <v>3071.0</v>
      </c>
      <c r="C3075" s="32" t="s">
        <v>3901</v>
      </c>
      <c r="D3075" s="32" t="s">
        <v>184</v>
      </c>
      <c r="E3075" s="32" t="s">
        <v>285</v>
      </c>
      <c r="F3075" s="32" t="s">
        <v>255</v>
      </c>
      <c r="G3075" s="32" t="s">
        <v>189</v>
      </c>
      <c r="H3075" s="32" t="s">
        <v>190</v>
      </c>
    </row>
    <row r="3076" ht="16.5" customHeight="1">
      <c r="A3076" s="32">
        <v>3072.0</v>
      </c>
      <c r="C3076" s="32" t="s">
        <v>3902</v>
      </c>
      <c r="D3076" s="32" t="s">
        <v>184</v>
      </c>
      <c r="E3076" s="32" t="s">
        <v>228</v>
      </c>
      <c r="F3076" s="32" t="s">
        <v>255</v>
      </c>
      <c r="G3076" s="32" t="s">
        <v>333</v>
      </c>
      <c r="H3076" s="32" t="s">
        <v>3903</v>
      </c>
    </row>
    <row r="3077" ht="16.5" customHeight="1">
      <c r="A3077" s="32">
        <v>3073.0</v>
      </c>
      <c r="C3077" s="32" t="s">
        <v>3904</v>
      </c>
      <c r="D3077" s="32" t="s">
        <v>184</v>
      </c>
      <c r="E3077" s="32" t="s">
        <v>285</v>
      </c>
      <c r="F3077" s="32" t="s">
        <v>255</v>
      </c>
      <c r="G3077" s="32" t="s">
        <v>188</v>
      </c>
      <c r="H3077" s="32" t="s">
        <v>665</v>
      </c>
    </row>
    <row r="3078" ht="16.5" customHeight="1">
      <c r="A3078" s="32">
        <v>3074.0</v>
      </c>
      <c r="C3078" s="32" t="s">
        <v>3905</v>
      </c>
      <c r="D3078" s="32" t="s">
        <v>184</v>
      </c>
      <c r="E3078" s="32" t="s">
        <v>254</v>
      </c>
      <c r="F3078" s="32" t="s">
        <v>255</v>
      </c>
      <c r="G3078" s="32" t="s">
        <v>256</v>
      </c>
      <c r="H3078" s="32" t="s">
        <v>257</v>
      </c>
    </row>
    <row r="3079" ht="16.5" customHeight="1">
      <c r="A3079" s="32">
        <v>3075.0</v>
      </c>
      <c r="C3079" s="32" t="s">
        <v>3906</v>
      </c>
      <c r="D3079" s="32" t="s">
        <v>184</v>
      </c>
      <c r="E3079" s="32" t="s">
        <v>234</v>
      </c>
      <c r="F3079" s="32" t="s">
        <v>255</v>
      </c>
      <c r="G3079" s="32" t="s">
        <v>347</v>
      </c>
      <c r="H3079" s="32" t="s">
        <v>3907</v>
      </c>
    </row>
    <row r="3080" ht="16.5" customHeight="1">
      <c r="A3080" s="32">
        <v>3076.0</v>
      </c>
      <c r="C3080" s="32" t="s">
        <v>3908</v>
      </c>
      <c r="D3080" s="32" t="s">
        <v>184</v>
      </c>
      <c r="E3080" s="32" t="s">
        <v>234</v>
      </c>
      <c r="F3080" s="32" t="s">
        <v>255</v>
      </c>
      <c r="G3080" s="32" t="s">
        <v>347</v>
      </c>
      <c r="H3080" s="32" t="s">
        <v>3909</v>
      </c>
    </row>
    <row r="3081" ht="16.5" customHeight="1">
      <c r="A3081" s="32">
        <v>3077.0</v>
      </c>
      <c r="C3081" s="32" t="s">
        <v>3910</v>
      </c>
      <c r="D3081" s="32" t="s">
        <v>184</v>
      </c>
      <c r="E3081" s="32" t="s">
        <v>254</v>
      </c>
      <c r="F3081" s="32" t="s">
        <v>255</v>
      </c>
      <c r="G3081" s="32" t="s">
        <v>187</v>
      </c>
      <c r="H3081" s="32" t="s">
        <v>854</v>
      </c>
    </row>
    <row r="3082" ht="16.5" customHeight="1">
      <c r="A3082" s="32">
        <v>3078.0</v>
      </c>
      <c r="C3082" s="32" t="s">
        <v>3911</v>
      </c>
      <c r="D3082" s="32" t="s">
        <v>184</v>
      </c>
      <c r="E3082" s="32" t="s">
        <v>228</v>
      </c>
      <c r="F3082" s="32" t="s">
        <v>255</v>
      </c>
      <c r="G3082" s="32" t="s">
        <v>408</v>
      </c>
      <c r="H3082" s="32" t="s">
        <v>452</v>
      </c>
    </row>
    <row r="3083" ht="16.5" customHeight="1">
      <c r="A3083" s="32">
        <v>3079.0</v>
      </c>
      <c r="C3083" s="32" t="s">
        <v>3912</v>
      </c>
      <c r="D3083" s="32" t="s">
        <v>184</v>
      </c>
      <c r="E3083" s="32" t="s">
        <v>192</v>
      </c>
      <c r="F3083" s="32" t="s">
        <v>255</v>
      </c>
      <c r="G3083" s="32" t="s">
        <v>329</v>
      </c>
      <c r="H3083" s="32" t="s">
        <v>447</v>
      </c>
    </row>
    <row r="3084" ht="16.5" customHeight="1">
      <c r="A3084" s="32">
        <v>3080.0</v>
      </c>
      <c r="C3084" s="32" t="s">
        <v>3913</v>
      </c>
      <c r="D3084" s="32" t="s">
        <v>184</v>
      </c>
      <c r="E3084" s="35" t="s">
        <v>294</v>
      </c>
      <c r="F3084" s="32" t="s">
        <v>255</v>
      </c>
      <c r="G3084" s="32" t="s">
        <v>189</v>
      </c>
      <c r="H3084" s="32" t="s">
        <v>190</v>
      </c>
    </row>
    <row r="3085" ht="16.5" customHeight="1">
      <c r="A3085" s="32">
        <v>3081.0</v>
      </c>
      <c r="C3085" s="32" t="s">
        <v>3914</v>
      </c>
      <c r="D3085" s="32" t="s">
        <v>184</v>
      </c>
      <c r="E3085" s="32" t="s">
        <v>321</v>
      </c>
      <c r="F3085" s="32" t="s">
        <v>1160</v>
      </c>
    </row>
    <row r="3086" ht="16.5" customHeight="1">
      <c r="A3086" s="32">
        <v>3082.0</v>
      </c>
      <c r="C3086" s="32" t="s">
        <v>3915</v>
      </c>
      <c r="D3086" s="32" t="s">
        <v>184</v>
      </c>
      <c r="E3086" s="32" t="s">
        <v>192</v>
      </c>
      <c r="F3086" s="32" t="s">
        <v>255</v>
      </c>
      <c r="G3086" s="32" t="s">
        <v>300</v>
      </c>
      <c r="H3086" s="32" t="s">
        <v>3916</v>
      </c>
    </row>
    <row r="3087" ht="16.5" customHeight="1">
      <c r="A3087" s="32">
        <v>3083.0</v>
      </c>
      <c r="C3087" s="32" t="s">
        <v>3917</v>
      </c>
      <c r="D3087" s="32" t="s">
        <v>184</v>
      </c>
      <c r="E3087" s="32" t="s">
        <v>285</v>
      </c>
      <c r="F3087" s="32" t="s">
        <v>255</v>
      </c>
    </row>
    <row r="3088" ht="16.5" customHeight="1">
      <c r="A3088" s="32">
        <v>3084.0</v>
      </c>
      <c r="C3088" s="32" t="s">
        <v>3918</v>
      </c>
      <c r="D3088" s="32" t="s">
        <v>184</v>
      </c>
      <c r="E3088" s="32" t="s">
        <v>185</v>
      </c>
      <c r="F3088" s="32" t="s">
        <v>523</v>
      </c>
    </row>
    <row r="3089" ht="16.5" customHeight="1">
      <c r="A3089" s="32">
        <v>3085.0</v>
      </c>
      <c r="C3089" s="32" t="s">
        <v>3919</v>
      </c>
      <c r="D3089" s="32" t="s">
        <v>184</v>
      </c>
      <c r="E3089" s="32" t="s">
        <v>285</v>
      </c>
      <c r="F3089" s="32" t="s">
        <v>523</v>
      </c>
    </row>
    <row r="3090" ht="16.5" customHeight="1">
      <c r="A3090" s="32">
        <v>3086.0</v>
      </c>
      <c r="C3090" s="32" t="s">
        <v>3920</v>
      </c>
      <c r="D3090" s="32" t="s">
        <v>184</v>
      </c>
      <c r="E3090" s="32" t="s">
        <v>254</v>
      </c>
      <c r="F3090" s="32" t="s">
        <v>523</v>
      </c>
      <c r="G3090" s="32" t="s">
        <v>1328</v>
      </c>
      <c r="H3090" s="32" t="s">
        <v>3921</v>
      </c>
    </row>
    <row r="3091" ht="16.5" customHeight="1">
      <c r="A3091" s="32">
        <v>3087.0</v>
      </c>
      <c r="C3091" s="32" t="s">
        <v>3922</v>
      </c>
      <c r="D3091" s="32" t="s">
        <v>184</v>
      </c>
      <c r="E3091" s="32" t="s">
        <v>254</v>
      </c>
      <c r="F3091" s="32" t="s">
        <v>523</v>
      </c>
    </row>
    <row r="3092" ht="16.5" customHeight="1">
      <c r="A3092" s="32">
        <v>3088.0</v>
      </c>
      <c r="C3092" s="32" t="s">
        <v>3923</v>
      </c>
      <c r="D3092" s="32" t="s">
        <v>184</v>
      </c>
      <c r="E3092" s="32" t="s">
        <v>285</v>
      </c>
      <c r="F3092" s="32" t="s">
        <v>523</v>
      </c>
    </row>
    <row r="3093" ht="16.5" customHeight="1">
      <c r="A3093" s="32">
        <v>3089.0</v>
      </c>
      <c r="C3093" s="32" t="s">
        <v>3924</v>
      </c>
      <c r="D3093" s="32" t="s">
        <v>184</v>
      </c>
      <c r="E3093" s="32" t="s">
        <v>185</v>
      </c>
      <c r="F3093" s="32" t="s">
        <v>523</v>
      </c>
      <c r="G3093" s="32" t="s">
        <v>187</v>
      </c>
      <c r="H3093" s="32" t="s">
        <v>188</v>
      </c>
    </row>
    <row r="3094" ht="16.5" customHeight="1">
      <c r="A3094" s="32">
        <v>3090.0</v>
      </c>
      <c r="C3094" s="32" t="s">
        <v>3925</v>
      </c>
      <c r="D3094" s="32" t="s">
        <v>184</v>
      </c>
      <c r="E3094" s="32" t="s">
        <v>185</v>
      </c>
      <c r="F3094" s="32" t="s">
        <v>523</v>
      </c>
      <c r="G3094" s="32" t="s">
        <v>475</v>
      </c>
      <c r="H3094" s="32" t="s">
        <v>1206</v>
      </c>
    </row>
    <row r="3095" ht="16.5" customHeight="1">
      <c r="A3095" s="32">
        <v>3091.0</v>
      </c>
      <c r="C3095" s="32" t="s">
        <v>3926</v>
      </c>
      <c r="D3095" s="32" t="s">
        <v>184</v>
      </c>
      <c r="E3095" s="32" t="s">
        <v>192</v>
      </c>
      <c r="F3095" s="32" t="s">
        <v>523</v>
      </c>
      <c r="G3095" s="32" t="s">
        <v>329</v>
      </c>
      <c r="H3095" s="32" t="s">
        <v>357</v>
      </c>
    </row>
    <row r="3096" ht="16.5" customHeight="1">
      <c r="A3096" s="32">
        <v>3092.0</v>
      </c>
      <c r="C3096" s="32" t="s">
        <v>3927</v>
      </c>
      <c r="D3096" s="32" t="s">
        <v>184</v>
      </c>
      <c r="E3096" s="32" t="s">
        <v>228</v>
      </c>
      <c r="F3096" s="32" t="s">
        <v>523</v>
      </c>
    </row>
    <row r="3097" ht="16.5" customHeight="1">
      <c r="A3097" s="32">
        <v>3093.0</v>
      </c>
      <c r="C3097" s="32" t="s">
        <v>3928</v>
      </c>
      <c r="D3097" s="32" t="s">
        <v>184</v>
      </c>
      <c r="E3097" s="32" t="s">
        <v>192</v>
      </c>
      <c r="F3097" s="32" t="s">
        <v>523</v>
      </c>
    </row>
    <row r="3098" ht="16.5" customHeight="1">
      <c r="A3098" s="32">
        <v>3094.0</v>
      </c>
      <c r="C3098" s="32" t="s">
        <v>3929</v>
      </c>
      <c r="D3098" s="32" t="s">
        <v>184</v>
      </c>
      <c r="E3098" s="32" t="s">
        <v>185</v>
      </c>
      <c r="F3098" s="32" t="s">
        <v>523</v>
      </c>
      <c r="G3098" s="32" t="s">
        <v>267</v>
      </c>
    </row>
    <row r="3099" ht="16.5" customHeight="1">
      <c r="A3099" s="32">
        <v>3095.0</v>
      </c>
      <c r="C3099" s="32" t="s">
        <v>3930</v>
      </c>
      <c r="D3099" s="32" t="s">
        <v>184</v>
      </c>
      <c r="E3099" s="32" t="s">
        <v>285</v>
      </c>
      <c r="F3099" s="32" t="s">
        <v>215</v>
      </c>
    </row>
    <row r="3100" ht="16.5" customHeight="1">
      <c r="A3100" s="32">
        <v>3096.0</v>
      </c>
      <c r="C3100" s="32" t="s">
        <v>3931</v>
      </c>
      <c r="D3100" s="32" t="s">
        <v>184</v>
      </c>
      <c r="E3100" s="32" t="s">
        <v>325</v>
      </c>
      <c r="F3100" s="32" t="s">
        <v>523</v>
      </c>
      <c r="G3100" s="32" t="s">
        <v>368</v>
      </c>
      <c r="H3100" s="32" t="s">
        <v>463</v>
      </c>
    </row>
    <row r="3101" ht="16.5" customHeight="1">
      <c r="A3101" s="32">
        <v>3097.0</v>
      </c>
      <c r="C3101" s="32" t="s">
        <v>3932</v>
      </c>
      <c r="D3101" s="32" t="s">
        <v>184</v>
      </c>
      <c r="E3101" s="32" t="s">
        <v>185</v>
      </c>
      <c r="F3101" s="32" t="s">
        <v>523</v>
      </c>
      <c r="G3101" s="32" t="s">
        <v>475</v>
      </c>
      <c r="H3101" s="32" t="s">
        <v>476</v>
      </c>
    </row>
    <row r="3102" ht="16.5" customHeight="1">
      <c r="A3102" s="32">
        <v>3098.0</v>
      </c>
      <c r="C3102" s="32" t="s">
        <v>3933</v>
      </c>
      <c r="D3102" s="32" t="s">
        <v>184</v>
      </c>
      <c r="E3102" s="32" t="s">
        <v>192</v>
      </c>
      <c r="F3102" s="32" t="s">
        <v>523</v>
      </c>
    </row>
    <row r="3103" ht="16.5" customHeight="1">
      <c r="A3103" s="32">
        <v>3099.0</v>
      </c>
      <c r="C3103" s="32" t="s">
        <v>3934</v>
      </c>
      <c r="D3103" s="32" t="s">
        <v>184</v>
      </c>
      <c r="E3103" s="32" t="s">
        <v>185</v>
      </c>
      <c r="F3103" s="32" t="s">
        <v>523</v>
      </c>
    </row>
    <row r="3104" ht="16.5" customHeight="1">
      <c r="A3104" s="32">
        <v>3100.0</v>
      </c>
      <c r="C3104" s="32" t="s">
        <v>3935</v>
      </c>
      <c r="D3104" s="32" t="s">
        <v>184</v>
      </c>
      <c r="E3104" s="32" t="s">
        <v>192</v>
      </c>
      <c r="F3104" s="32" t="s">
        <v>523</v>
      </c>
      <c r="G3104" s="32" t="s">
        <v>2197</v>
      </c>
      <c r="H3104" s="32" t="s">
        <v>1541</v>
      </c>
    </row>
    <row r="3105" ht="16.5" customHeight="1">
      <c r="A3105" s="32">
        <v>3101.0</v>
      </c>
      <c r="C3105" s="32" t="s">
        <v>3936</v>
      </c>
      <c r="D3105" s="32" t="s">
        <v>184</v>
      </c>
      <c r="E3105" s="32" t="s">
        <v>192</v>
      </c>
      <c r="F3105" s="32" t="s">
        <v>523</v>
      </c>
      <c r="G3105" s="32" t="s">
        <v>275</v>
      </c>
      <c r="H3105" s="32" t="s">
        <v>2412</v>
      </c>
    </row>
    <row r="3106" ht="16.5" customHeight="1">
      <c r="A3106" s="32">
        <v>3102.0</v>
      </c>
      <c r="C3106" s="32" t="s">
        <v>3937</v>
      </c>
      <c r="D3106" s="32" t="s">
        <v>184</v>
      </c>
      <c r="E3106" s="32" t="s">
        <v>325</v>
      </c>
      <c r="F3106" s="32" t="s">
        <v>523</v>
      </c>
    </row>
    <row r="3107" ht="16.5" customHeight="1">
      <c r="A3107" s="32">
        <v>3103.0</v>
      </c>
      <c r="C3107" s="32" t="s">
        <v>3938</v>
      </c>
      <c r="D3107" s="32" t="s">
        <v>184</v>
      </c>
      <c r="E3107" s="32" t="s">
        <v>325</v>
      </c>
      <c r="F3107" s="32" t="s">
        <v>523</v>
      </c>
    </row>
    <row r="3108" ht="16.5" customHeight="1">
      <c r="A3108" s="32">
        <v>3104.0</v>
      </c>
      <c r="C3108" s="32" t="s">
        <v>3939</v>
      </c>
      <c r="D3108" s="32" t="s">
        <v>184</v>
      </c>
      <c r="E3108" s="32" t="s">
        <v>325</v>
      </c>
      <c r="F3108" s="32" t="s">
        <v>523</v>
      </c>
    </row>
    <row r="3109" ht="16.5" customHeight="1">
      <c r="A3109" s="32">
        <v>3105.0</v>
      </c>
      <c r="C3109" s="32" t="s">
        <v>3940</v>
      </c>
      <c r="D3109" s="32" t="s">
        <v>184</v>
      </c>
      <c r="E3109" s="32" t="s">
        <v>325</v>
      </c>
      <c r="F3109" s="32" t="s">
        <v>523</v>
      </c>
    </row>
    <row r="3110" ht="16.5" customHeight="1">
      <c r="A3110" s="32">
        <v>3106.0</v>
      </c>
      <c r="C3110" s="32" t="s">
        <v>3941</v>
      </c>
      <c r="D3110" s="32" t="s">
        <v>184</v>
      </c>
      <c r="E3110" s="35" t="s">
        <v>310</v>
      </c>
      <c r="F3110" s="32" t="s">
        <v>523</v>
      </c>
      <c r="G3110" s="32" t="s">
        <v>3942</v>
      </c>
      <c r="H3110" s="32" t="s">
        <v>3943</v>
      </c>
    </row>
    <row r="3111" ht="16.5" customHeight="1">
      <c r="A3111" s="32">
        <v>3107.0</v>
      </c>
      <c r="C3111" s="32" t="s">
        <v>3944</v>
      </c>
      <c r="D3111" s="32" t="s">
        <v>184</v>
      </c>
      <c r="E3111" s="32" t="s">
        <v>192</v>
      </c>
      <c r="F3111" s="32" t="s">
        <v>523</v>
      </c>
    </row>
    <row r="3112" ht="16.5" customHeight="1">
      <c r="A3112" s="32">
        <v>3108.0</v>
      </c>
      <c r="C3112" s="32" t="s">
        <v>3945</v>
      </c>
      <c r="D3112" s="32" t="s">
        <v>184</v>
      </c>
      <c r="E3112" s="35" t="s">
        <v>294</v>
      </c>
      <c r="F3112" s="35" t="s">
        <v>3946</v>
      </c>
      <c r="G3112" s="32" t="s">
        <v>189</v>
      </c>
      <c r="H3112" s="32" t="s">
        <v>190</v>
      </c>
    </row>
    <row r="3113" ht="16.5" customHeight="1">
      <c r="A3113" s="32">
        <v>3109.0</v>
      </c>
      <c r="C3113" s="32" t="s">
        <v>3947</v>
      </c>
      <c r="D3113" s="32" t="s">
        <v>184</v>
      </c>
      <c r="E3113" s="32" t="s">
        <v>185</v>
      </c>
      <c r="F3113" s="32" t="s">
        <v>523</v>
      </c>
      <c r="G3113" s="32" t="s">
        <v>187</v>
      </c>
      <c r="H3113" s="32" t="s">
        <v>854</v>
      </c>
    </row>
    <row r="3114" ht="16.5" customHeight="1">
      <c r="A3114" s="32">
        <v>3110.0</v>
      </c>
      <c r="C3114" s="32" t="s">
        <v>3948</v>
      </c>
      <c r="D3114" s="32" t="s">
        <v>184</v>
      </c>
      <c r="E3114" s="32" t="s">
        <v>185</v>
      </c>
      <c r="F3114" s="32" t="s">
        <v>523</v>
      </c>
    </row>
    <row r="3115" ht="16.5" customHeight="1">
      <c r="A3115" s="32">
        <v>3111.0</v>
      </c>
      <c r="C3115" s="32" t="s">
        <v>3949</v>
      </c>
      <c r="D3115" s="32" t="s">
        <v>184</v>
      </c>
      <c r="E3115" s="32" t="s">
        <v>228</v>
      </c>
      <c r="F3115" s="32" t="s">
        <v>523</v>
      </c>
      <c r="G3115" s="32" t="s">
        <v>408</v>
      </c>
      <c r="H3115" s="32" t="s">
        <v>3950</v>
      </c>
    </row>
    <row r="3116" ht="16.5" customHeight="1">
      <c r="A3116" s="32">
        <v>3112.0</v>
      </c>
      <c r="C3116" s="32" t="s">
        <v>3951</v>
      </c>
      <c r="D3116" s="32" t="s">
        <v>184</v>
      </c>
      <c r="E3116" s="32" t="s">
        <v>214</v>
      </c>
      <c r="F3116" s="32" t="s">
        <v>523</v>
      </c>
      <c r="G3116" s="32" t="s">
        <v>216</v>
      </c>
      <c r="H3116" s="32" t="s">
        <v>217</v>
      </c>
    </row>
    <row r="3117" ht="16.5" customHeight="1">
      <c r="A3117" s="32">
        <v>3113.0</v>
      </c>
      <c r="C3117" s="32" t="s">
        <v>3952</v>
      </c>
      <c r="D3117" s="32" t="s">
        <v>184</v>
      </c>
      <c r="E3117" s="32" t="s">
        <v>185</v>
      </c>
      <c r="F3117" s="32" t="s">
        <v>523</v>
      </c>
      <c r="G3117" s="32" t="s">
        <v>187</v>
      </c>
      <c r="H3117" s="32" t="s">
        <v>188</v>
      </c>
    </row>
    <row r="3118" ht="16.5" customHeight="1">
      <c r="A3118" s="32">
        <v>3114.0</v>
      </c>
      <c r="C3118" s="32" t="s">
        <v>3953</v>
      </c>
      <c r="D3118" s="32" t="s">
        <v>184</v>
      </c>
      <c r="E3118" s="32" t="s">
        <v>185</v>
      </c>
      <c r="F3118" s="32" t="s">
        <v>523</v>
      </c>
      <c r="G3118" s="32" t="s">
        <v>187</v>
      </c>
      <c r="H3118" s="32" t="s">
        <v>854</v>
      </c>
    </row>
    <row r="3119" ht="16.5" customHeight="1">
      <c r="A3119" s="32">
        <v>3115.0</v>
      </c>
      <c r="C3119" s="32" t="s">
        <v>3954</v>
      </c>
      <c r="D3119" s="32" t="s">
        <v>184</v>
      </c>
      <c r="E3119" s="32" t="s">
        <v>185</v>
      </c>
      <c r="F3119" s="32" t="s">
        <v>523</v>
      </c>
      <c r="G3119" s="32" t="s">
        <v>187</v>
      </c>
      <c r="H3119" s="32" t="s">
        <v>188</v>
      </c>
    </row>
    <row r="3120" ht="16.5" customHeight="1">
      <c r="A3120" s="32">
        <v>3116.0</v>
      </c>
      <c r="C3120" s="32" t="s">
        <v>3955</v>
      </c>
      <c r="D3120" s="32" t="s">
        <v>184</v>
      </c>
      <c r="E3120" s="32" t="s">
        <v>254</v>
      </c>
      <c r="F3120" s="32" t="s">
        <v>523</v>
      </c>
      <c r="G3120" s="32" t="s">
        <v>257</v>
      </c>
    </row>
    <row r="3121" ht="16.5" customHeight="1">
      <c r="A3121" s="32">
        <v>3117.0</v>
      </c>
      <c r="C3121" s="32" t="s">
        <v>3956</v>
      </c>
      <c r="D3121" s="32" t="s">
        <v>184</v>
      </c>
      <c r="E3121" s="32" t="s">
        <v>192</v>
      </c>
      <c r="F3121" s="32" t="s">
        <v>523</v>
      </c>
    </row>
    <row r="3122" ht="16.5" customHeight="1">
      <c r="A3122" s="32">
        <v>3118.0</v>
      </c>
      <c r="C3122" s="32" t="s">
        <v>3957</v>
      </c>
      <c r="D3122" s="32" t="s">
        <v>184</v>
      </c>
      <c r="E3122" s="32" t="s">
        <v>254</v>
      </c>
      <c r="F3122" s="32" t="s">
        <v>523</v>
      </c>
      <c r="G3122" s="32" t="s">
        <v>256</v>
      </c>
      <c r="H3122" s="32" t="s">
        <v>257</v>
      </c>
    </row>
    <row r="3123" ht="16.5" customHeight="1">
      <c r="A3123" s="32">
        <v>3119.0</v>
      </c>
      <c r="C3123" s="32" t="s">
        <v>3958</v>
      </c>
      <c r="D3123" s="32" t="s">
        <v>184</v>
      </c>
      <c r="E3123" s="32" t="s">
        <v>254</v>
      </c>
      <c r="F3123" s="32" t="s">
        <v>523</v>
      </c>
      <c r="G3123" s="32" t="s">
        <v>256</v>
      </c>
      <c r="H3123" s="32" t="s">
        <v>257</v>
      </c>
    </row>
    <row r="3124" ht="16.5" customHeight="1">
      <c r="A3124" s="32">
        <v>3120.0</v>
      </c>
      <c r="C3124" s="32" t="s">
        <v>3959</v>
      </c>
      <c r="D3124" s="32" t="s">
        <v>184</v>
      </c>
      <c r="E3124" s="32" t="s">
        <v>185</v>
      </c>
      <c r="F3124" s="32" t="s">
        <v>523</v>
      </c>
      <c r="G3124" s="32" t="s">
        <v>475</v>
      </c>
      <c r="H3124" s="32" t="s">
        <v>1206</v>
      </c>
    </row>
    <row r="3125" ht="16.5" customHeight="1">
      <c r="A3125" s="32">
        <v>3121.0</v>
      </c>
      <c r="C3125" s="32" t="s">
        <v>3960</v>
      </c>
      <c r="D3125" s="32" t="s">
        <v>184</v>
      </c>
      <c r="E3125" s="32" t="s">
        <v>254</v>
      </c>
      <c r="F3125" s="32" t="s">
        <v>523</v>
      </c>
      <c r="G3125" s="32" t="s">
        <v>1697</v>
      </c>
      <c r="H3125" s="32" t="s">
        <v>3961</v>
      </c>
    </row>
    <row r="3126" ht="16.5" customHeight="1">
      <c r="A3126" s="32">
        <v>3122.0</v>
      </c>
      <c r="C3126" s="32" t="s">
        <v>3962</v>
      </c>
      <c r="D3126" s="32" t="s">
        <v>184</v>
      </c>
      <c r="E3126" s="32" t="s">
        <v>285</v>
      </c>
      <c r="F3126" s="32" t="s">
        <v>523</v>
      </c>
      <c r="G3126" s="32" t="s">
        <v>188</v>
      </c>
      <c r="H3126" s="32" t="s">
        <v>552</v>
      </c>
    </row>
    <row r="3127" ht="16.5" customHeight="1">
      <c r="A3127" s="32">
        <v>3123.0</v>
      </c>
      <c r="C3127" s="32" t="s">
        <v>3963</v>
      </c>
      <c r="D3127" s="32" t="s">
        <v>184</v>
      </c>
      <c r="E3127" s="32" t="s">
        <v>285</v>
      </c>
      <c r="F3127" s="32" t="s">
        <v>523</v>
      </c>
      <c r="G3127" s="32" t="s">
        <v>188</v>
      </c>
      <c r="H3127" s="32" t="s">
        <v>561</v>
      </c>
    </row>
    <row r="3128" ht="16.5" customHeight="1">
      <c r="A3128" s="32">
        <v>3124.0</v>
      </c>
      <c r="C3128" s="32" t="s">
        <v>3964</v>
      </c>
      <c r="D3128" s="32" t="s">
        <v>184</v>
      </c>
      <c r="E3128" s="32" t="s">
        <v>285</v>
      </c>
      <c r="F3128" s="32" t="s">
        <v>523</v>
      </c>
      <c r="G3128" s="32" t="s">
        <v>552</v>
      </c>
      <c r="H3128" s="32" t="s">
        <v>3965</v>
      </c>
    </row>
    <row r="3129" ht="16.5" customHeight="1">
      <c r="A3129" s="32">
        <v>3125.0</v>
      </c>
      <c r="C3129" s="32" t="s">
        <v>3966</v>
      </c>
      <c r="D3129" s="32" t="s">
        <v>184</v>
      </c>
      <c r="E3129" s="32" t="s">
        <v>285</v>
      </c>
      <c r="F3129" s="32" t="s">
        <v>523</v>
      </c>
      <c r="G3129" s="32" t="s">
        <v>552</v>
      </c>
      <c r="H3129" s="32" t="s">
        <v>3965</v>
      </c>
    </row>
    <row r="3130" ht="16.5" customHeight="1">
      <c r="A3130" s="32">
        <v>3126.0</v>
      </c>
      <c r="C3130" s="32" t="s">
        <v>3967</v>
      </c>
      <c r="D3130" s="32" t="s">
        <v>184</v>
      </c>
      <c r="E3130" s="32" t="s">
        <v>185</v>
      </c>
      <c r="F3130" s="32" t="s">
        <v>523</v>
      </c>
      <c r="G3130" s="32" t="s">
        <v>187</v>
      </c>
      <c r="H3130" s="32" t="s">
        <v>188</v>
      </c>
    </row>
    <row r="3131" ht="16.5" customHeight="1">
      <c r="A3131" s="32">
        <v>3127.0</v>
      </c>
      <c r="C3131" s="32" t="s">
        <v>3968</v>
      </c>
      <c r="D3131" s="32" t="s">
        <v>184</v>
      </c>
      <c r="E3131" s="32" t="s">
        <v>285</v>
      </c>
      <c r="F3131" s="32" t="s">
        <v>523</v>
      </c>
      <c r="G3131" s="32" t="s">
        <v>552</v>
      </c>
      <c r="H3131" s="32" t="s">
        <v>553</v>
      </c>
    </row>
    <row r="3132" ht="16.5" customHeight="1">
      <c r="A3132" s="32">
        <v>3128.0</v>
      </c>
      <c r="C3132" s="32" t="s">
        <v>3969</v>
      </c>
      <c r="D3132" s="32" t="s">
        <v>184</v>
      </c>
      <c r="E3132" s="32" t="s">
        <v>285</v>
      </c>
      <c r="F3132" s="32" t="s">
        <v>523</v>
      </c>
      <c r="G3132" s="32" t="s">
        <v>189</v>
      </c>
      <c r="H3132" s="32" t="s">
        <v>190</v>
      </c>
    </row>
    <row r="3133" ht="16.5" customHeight="1">
      <c r="A3133" s="32">
        <v>3129.0</v>
      </c>
      <c r="C3133" s="32" t="s">
        <v>3970</v>
      </c>
      <c r="D3133" s="32" t="s">
        <v>184</v>
      </c>
      <c r="E3133" s="32" t="s">
        <v>185</v>
      </c>
      <c r="F3133" s="32" t="s">
        <v>523</v>
      </c>
      <c r="G3133" s="32" t="s">
        <v>475</v>
      </c>
      <c r="H3133" s="32" t="s">
        <v>476</v>
      </c>
    </row>
    <row r="3134" ht="16.5" customHeight="1">
      <c r="A3134" s="32">
        <v>3130.0</v>
      </c>
      <c r="C3134" s="32" t="s">
        <v>3971</v>
      </c>
      <c r="D3134" s="32" t="s">
        <v>184</v>
      </c>
      <c r="E3134" s="32" t="s">
        <v>185</v>
      </c>
      <c r="F3134" s="32" t="s">
        <v>523</v>
      </c>
      <c r="G3134" s="32" t="s">
        <v>475</v>
      </c>
      <c r="H3134" s="32" t="s">
        <v>476</v>
      </c>
    </row>
    <row r="3135" ht="16.5" customHeight="1">
      <c r="A3135" s="32">
        <v>3131.0</v>
      </c>
      <c r="C3135" s="32" t="s">
        <v>3972</v>
      </c>
      <c r="D3135" s="32" t="s">
        <v>184</v>
      </c>
      <c r="E3135" s="32" t="s">
        <v>192</v>
      </c>
      <c r="F3135" s="32" t="s">
        <v>523</v>
      </c>
      <c r="G3135" s="32" t="s">
        <v>329</v>
      </c>
      <c r="H3135" s="32" t="s">
        <v>447</v>
      </c>
    </row>
    <row r="3136" ht="16.5" customHeight="1">
      <c r="A3136" s="32">
        <v>3132.0</v>
      </c>
      <c r="C3136" s="32" t="s">
        <v>3973</v>
      </c>
      <c r="D3136" s="32" t="s">
        <v>184</v>
      </c>
      <c r="E3136" s="32" t="s">
        <v>185</v>
      </c>
      <c r="F3136" s="32" t="s">
        <v>523</v>
      </c>
      <c r="G3136" s="32" t="s">
        <v>187</v>
      </c>
      <c r="H3136" s="32" t="s">
        <v>854</v>
      </c>
    </row>
    <row r="3137" ht="16.5" customHeight="1">
      <c r="A3137" s="32">
        <v>3133.0</v>
      </c>
      <c r="C3137" s="32" t="s">
        <v>3974</v>
      </c>
      <c r="D3137" s="32" t="s">
        <v>184</v>
      </c>
      <c r="E3137" s="32" t="s">
        <v>185</v>
      </c>
      <c r="F3137" s="32" t="s">
        <v>523</v>
      </c>
    </row>
    <row r="3138" ht="16.5" customHeight="1">
      <c r="A3138" s="32">
        <v>3134.0</v>
      </c>
      <c r="C3138" s="32" t="s">
        <v>3975</v>
      </c>
      <c r="D3138" s="32" t="s">
        <v>184</v>
      </c>
      <c r="E3138" s="32" t="s">
        <v>185</v>
      </c>
      <c r="F3138" s="32" t="s">
        <v>523</v>
      </c>
      <c r="G3138" s="32" t="s">
        <v>187</v>
      </c>
      <c r="H3138" s="32" t="s">
        <v>854</v>
      </c>
    </row>
    <row r="3139" ht="16.5" customHeight="1">
      <c r="A3139" s="32">
        <v>3135.0</v>
      </c>
      <c r="C3139" s="32" t="s">
        <v>3976</v>
      </c>
      <c r="D3139" s="32" t="s">
        <v>184</v>
      </c>
      <c r="E3139" s="32" t="s">
        <v>185</v>
      </c>
      <c r="F3139" s="32" t="s">
        <v>523</v>
      </c>
      <c r="G3139" s="32" t="s">
        <v>187</v>
      </c>
      <c r="H3139" s="32" t="s">
        <v>188</v>
      </c>
    </row>
    <row r="3140" ht="16.5" customHeight="1">
      <c r="A3140" s="32">
        <v>3136.0</v>
      </c>
      <c r="C3140" s="32" t="s">
        <v>3977</v>
      </c>
      <c r="D3140" s="32" t="s">
        <v>184</v>
      </c>
      <c r="E3140" s="32" t="s">
        <v>185</v>
      </c>
      <c r="F3140" s="32" t="s">
        <v>523</v>
      </c>
      <c r="G3140" s="32" t="s">
        <v>187</v>
      </c>
      <c r="H3140" s="32" t="s">
        <v>188</v>
      </c>
    </row>
    <row r="3141" ht="16.5" customHeight="1">
      <c r="A3141" s="32">
        <v>3137.0</v>
      </c>
      <c r="C3141" s="32" t="s">
        <v>3978</v>
      </c>
      <c r="D3141" s="32" t="s">
        <v>184</v>
      </c>
      <c r="E3141" s="32" t="s">
        <v>185</v>
      </c>
      <c r="F3141" s="32" t="s">
        <v>523</v>
      </c>
      <c r="G3141" s="32" t="s">
        <v>187</v>
      </c>
      <c r="H3141" s="32" t="s">
        <v>188</v>
      </c>
    </row>
    <row r="3142" ht="16.5" customHeight="1">
      <c r="A3142" s="32">
        <v>3138.0</v>
      </c>
      <c r="C3142" s="32" t="s">
        <v>3979</v>
      </c>
      <c r="D3142" s="32" t="s">
        <v>184</v>
      </c>
      <c r="E3142" s="32" t="s">
        <v>228</v>
      </c>
      <c r="F3142" s="32" t="s">
        <v>523</v>
      </c>
      <c r="G3142" s="32" t="s">
        <v>229</v>
      </c>
      <c r="H3142" s="32" t="s">
        <v>626</v>
      </c>
    </row>
    <row r="3143" ht="16.5" customHeight="1">
      <c r="A3143" s="32">
        <v>3139.0</v>
      </c>
      <c r="C3143" s="32" t="s">
        <v>3980</v>
      </c>
      <c r="D3143" s="32" t="s">
        <v>184</v>
      </c>
      <c r="E3143" s="32" t="s">
        <v>185</v>
      </c>
      <c r="F3143" s="32" t="s">
        <v>523</v>
      </c>
    </row>
    <row r="3144" ht="16.5" customHeight="1">
      <c r="A3144" s="32">
        <v>3140.0</v>
      </c>
      <c r="C3144" s="32" t="s">
        <v>3981</v>
      </c>
      <c r="D3144" s="32" t="s">
        <v>184</v>
      </c>
      <c r="E3144" s="32" t="s">
        <v>285</v>
      </c>
      <c r="F3144" s="32" t="s">
        <v>523</v>
      </c>
      <c r="G3144" s="32" t="s">
        <v>188</v>
      </c>
      <c r="H3144" s="32" t="s">
        <v>1332</v>
      </c>
    </row>
    <row r="3145" ht="16.5" customHeight="1">
      <c r="A3145" s="32">
        <v>3141.0</v>
      </c>
      <c r="C3145" s="32" t="s">
        <v>3982</v>
      </c>
      <c r="D3145" s="32" t="s">
        <v>184</v>
      </c>
      <c r="E3145" s="32" t="s">
        <v>185</v>
      </c>
      <c r="F3145" s="32" t="s">
        <v>523</v>
      </c>
    </row>
    <row r="3146" ht="16.5" customHeight="1">
      <c r="A3146" s="32">
        <v>3142.0</v>
      </c>
      <c r="C3146" s="32" t="s">
        <v>3983</v>
      </c>
      <c r="D3146" s="32" t="s">
        <v>184</v>
      </c>
      <c r="E3146" s="32" t="s">
        <v>228</v>
      </c>
      <c r="F3146" s="32" t="s">
        <v>523</v>
      </c>
      <c r="G3146" s="32" t="s">
        <v>408</v>
      </c>
      <c r="H3146" s="32" t="s">
        <v>731</v>
      </c>
    </row>
    <row r="3147" ht="16.5" customHeight="1">
      <c r="A3147" s="32">
        <v>3143.0</v>
      </c>
      <c r="C3147" s="32" t="s">
        <v>3984</v>
      </c>
      <c r="D3147" s="32" t="s">
        <v>184</v>
      </c>
      <c r="E3147" s="32" t="s">
        <v>228</v>
      </c>
      <c r="F3147" s="32" t="s">
        <v>523</v>
      </c>
      <c r="G3147" s="32" t="s">
        <v>408</v>
      </c>
      <c r="H3147" s="32" t="s">
        <v>731</v>
      </c>
    </row>
    <row r="3148" ht="16.5" customHeight="1">
      <c r="A3148" s="32">
        <v>3144.0</v>
      </c>
      <c r="C3148" s="32" t="s">
        <v>3985</v>
      </c>
      <c r="D3148" s="32" t="s">
        <v>184</v>
      </c>
      <c r="E3148" s="32" t="s">
        <v>185</v>
      </c>
      <c r="F3148" s="32" t="s">
        <v>523</v>
      </c>
      <c r="G3148" s="32" t="s">
        <v>187</v>
      </c>
      <c r="H3148" s="32" t="s">
        <v>188</v>
      </c>
    </row>
    <row r="3149" ht="16.5" customHeight="1">
      <c r="A3149" s="32">
        <v>3145.0</v>
      </c>
      <c r="C3149" s="32" t="s">
        <v>3986</v>
      </c>
      <c r="D3149" s="32" t="s">
        <v>184</v>
      </c>
      <c r="E3149" s="32" t="s">
        <v>228</v>
      </c>
      <c r="F3149" s="32" t="s">
        <v>523</v>
      </c>
    </row>
    <row r="3150" ht="16.5" customHeight="1">
      <c r="A3150" s="32">
        <v>3146.0</v>
      </c>
      <c r="C3150" s="32" t="s">
        <v>3987</v>
      </c>
      <c r="D3150" s="32" t="s">
        <v>184</v>
      </c>
      <c r="E3150" s="32" t="s">
        <v>192</v>
      </c>
      <c r="F3150" s="32" t="s">
        <v>523</v>
      </c>
    </row>
    <row r="3151" ht="16.5" customHeight="1">
      <c r="A3151" s="32">
        <v>3147.0</v>
      </c>
      <c r="C3151" s="32" t="s">
        <v>3988</v>
      </c>
      <c r="D3151" s="32" t="s">
        <v>184</v>
      </c>
      <c r="E3151" s="32" t="s">
        <v>234</v>
      </c>
      <c r="F3151" s="32" t="s">
        <v>523</v>
      </c>
    </row>
    <row r="3152" ht="16.5" customHeight="1">
      <c r="A3152" s="32">
        <v>3148.0</v>
      </c>
      <c r="C3152" s="32" t="s">
        <v>3989</v>
      </c>
      <c r="D3152" s="32" t="s">
        <v>184</v>
      </c>
      <c r="E3152" s="32" t="s">
        <v>234</v>
      </c>
      <c r="F3152" s="32" t="s">
        <v>523</v>
      </c>
      <c r="G3152" s="32" t="s">
        <v>235</v>
      </c>
      <c r="H3152" s="32" t="s">
        <v>1907</v>
      </c>
    </row>
    <row r="3153" ht="16.5" customHeight="1">
      <c r="A3153" s="32">
        <v>3149.0</v>
      </c>
      <c r="C3153" s="32" t="s">
        <v>3990</v>
      </c>
      <c r="D3153" s="32" t="s">
        <v>184</v>
      </c>
      <c r="E3153" s="32" t="s">
        <v>192</v>
      </c>
      <c r="F3153" s="32" t="s">
        <v>523</v>
      </c>
    </row>
    <row r="3154" ht="16.5" customHeight="1">
      <c r="A3154" s="32">
        <v>3150.0</v>
      </c>
      <c r="C3154" s="32" t="s">
        <v>3991</v>
      </c>
      <c r="D3154" s="32" t="s">
        <v>184</v>
      </c>
      <c r="E3154" s="32" t="s">
        <v>228</v>
      </c>
      <c r="F3154" s="32" t="s">
        <v>523</v>
      </c>
      <c r="G3154" s="32" t="s">
        <v>408</v>
      </c>
      <c r="H3154" s="32" t="s">
        <v>3992</v>
      </c>
    </row>
    <row r="3155" ht="16.5" customHeight="1">
      <c r="A3155" s="32">
        <v>3151.0</v>
      </c>
      <c r="C3155" s="32" t="s">
        <v>3993</v>
      </c>
      <c r="D3155" s="32" t="s">
        <v>184</v>
      </c>
      <c r="E3155" s="32" t="s">
        <v>185</v>
      </c>
      <c r="F3155" s="32" t="s">
        <v>523</v>
      </c>
      <c r="G3155" s="32" t="s">
        <v>187</v>
      </c>
      <c r="H3155" s="32" t="s">
        <v>188</v>
      </c>
    </row>
    <row r="3156" ht="16.5" customHeight="1">
      <c r="A3156" s="32">
        <v>3152.0</v>
      </c>
      <c r="C3156" s="32" t="s">
        <v>3994</v>
      </c>
      <c r="D3156" s="32" t="s">
        <v>184</v>
      </c>
      <c r="E3156" s="32" t="s">
        <v>219</v>
      </c>
      <c r="F3156" s="32" t="s">
        <v>523</v>
      </c>
    </row>
    <row r="3157" ht="16.5" customHeight="1">
      <c r="A3157" s="32">
        <v>3153.0</v>
      </c>
      <c r="C3157" s="32" t="s">
        <v>3995</v>
      </c>
      <c r="D3157" s="32" t="s">
        <v>184</v>
      </c>
      <c r="E3157" s="32" t="s">
        <v>219</v>
      </c>
      <c r="F3157" s="32" t="s">
        <v>523</v>
      </c>
      <c r="G3157" s="32" t="s">
        <v>241</v>
      </c>
      <c r="H3157" s="32" t="s">
        <v>292</v>
      </c>
    </row>
    <row r="3158" ht="16.5" customHeight="1">
      <c r="A3158" s="32">
        <v>3154.0</v>
      </c>
      <c r="C3158" s="32" t="s">
        <v>3996</v>
      </c>
      <c r="D3158" s="32" t="s">
        <v>184</v>
      </c>
      <c r="E3158" s="32" t="s">
        <v>234</v>
      </c>
      <c r="F3158" s="32" t="s">
        <v>523</v>
      </c>
    </row>
    <row r="3159" ht="16.5" customHeight="1">
      <c r="A3159" s="32">
        <v>3155.0</v>
      </c>
      <c r="C3159" s="32" t="s">
        <v>3997</v>
      </c>
      <c r="D3159" s="32" t="s">
        <v>184</v>
      </c>
      <c r="E3159" s="32" t="s">
        <v>234</v>
      </c>
      <c r="F3159" s="32" t="s">
        <v>523</v>
      </c>
      <c r="G3159" s="32" t="s">
        <v>235</v>
      </c>
      <c r="H3159" s="32" t="s">
        <v>243</v>
      </c>
    </row>
    <row r="3160" ht="16.5" customHeight="1">
      <c r="A3160" s="32">
        <v>3156.0</v>
      </c>
      <c r="C3160" s="32" t="s">
        <v>3998</v>
      </c>
      <c r="D3160" s="32" t="s">
        <v>184</v>
      </c>
      <c r="E3160" s="32" t="s">
        <v>228</v>
      </c>
      <c r="F3160" s="32" t="s">
        <v>523</v>
      </c>
    </row>
    <row r="3161" ht="16.5" customHeight="1">
      <c r="A3161" s="32">
        <v>3157.0</v>
      </c>
      <c r="C3161" s="32" t="s">
        <v>3999</v>
      </c>
      <c r="D3161" s="32" t="s">
        <v>184</v>
      </c>
      <c r="E3161" s="32" t="s">
        <v>185</v>
      </c>
      <c r="F3161" s="32" t="s">
        <v>523</v>
      </c>
      <c r="G3161" s="32" t="s">
        <v>475</v>
      </c>
      <c r="H3161" s="32" t="s">
        <v>476</v>
      </c>
    </row>
    <row r="3162" ht="16.5" customHeight="1">
      <c r="A3162" s="32">
        <v>3158.0</v>
      </c>
      <c r="C3162" s="32" t="s">
        <v>4000</v>
      </c>
      <c r="D3162" s="32" t="s">
        <v>184</v>
      </c>
      <c r="E3162" s="32" t="s">
        <v>185</v>
      </c>
      <c r="F3162" s="32" t="s">
        <v>523</v>
      </c>
      <c r="G3162" s="32" t="s">
        <v>475</v>
      </c>
      <c r="H3162" s="32" t="s">
        <v>476</v>
      </c>
    </row>
    <row r="3163" ht="16.5" customHeight="1">
      <c r="A3163" s="32">
        <v>3159.0</v>
      </c>
      <c r="C3163" s="32" t="s">
        <v>4001</v>
      </c>
      <c r="D3163" s="32" t="s">
        <v>184</v>
      </c>
      <c r="E3163" s="32" t="s">
        <v>285</v>
      </c>
      <c r="F3163" s="32" t="s">
        <v>523</v>
      </c>
      <c r="G3163" s="32" t="s">
        <v>188</v>
      </c>
      <c r="H3163" s="32" t="s">
        <v>561</v>
      </c>
    </row>
    <row r="3164" ht="16.5" customHeight="1">
      <c r="A3164" s="32">
        <v>3160.0</v>
      </c>
      <c r="C3164" s="32" t="s">
        <v>4002</v>
      </c>
      <c r="D3164" s="32" t="s">
        <v>184</v>
      </c>
      <c r="E3164" s="32" t="s">
        <v>228</v>
      </c>
      <c r="F3164" s="32" t="s">
        <v>523</v>
      </c>
    </row>
    <row r="3165" ht="16.5" customHeight="1">
      <c r="A3165" s="32">
        <v>3161.0</v>
      </c>
      <c r="C3165" s="32" t="s">
        <v>4003</v>
      </c>
      <c r="D3165" s="32" t="s">
        <v>184</v>
      </c>
      <c r="E3165" s="32" t="s">
        <v>228</v>
      </c>
      <c r="F3165" s="32" t="s">
        <v>523</v>
      </c>
      <c r="G3165" s="32" t="s">
        <v>229</v>
      </c>
      <c r="H3165" s="32" t="s">
        <v>626</v>
      </c>
    </row>
    <row r="3166" ht="16.5" customHeight="1">
      <c r="A3166" s="32">
        <v>3162.0</v>
      </c>
      <c r="C3166" s="32" t="s">
        <v>4004</v>
      </c>
      <c r="D3166" s="32" t="s">
        <v>184</v>
      </c>
      <c r="E3166" s="32" t="s">
        <v>285</v>
      </c>
      <c r="F3166" s="32" t="s">
        <v>523</v>
      </c>
      <c r="G3166" s="32" t="s">
        <v>188</v>
      </c>
      <c r="H3166" s="32" t="s">
        <v>3539</v>
      </c>
    </row>
    <row r="3167" ht="16.5" customHeight="1">
      <c r="A3167" s="32">
        <v>3163.0</v>
      </c>
      <c r="C3167" s="32" t="s">
        <v>4005</v>
      </c>
      <c r="D3167" s="32" t="s">
        <v>184</v>
      </c>
      <c r="E3167" s="32" t="s">
        <v>192</v>
      </c>
      <c r="F3167" s="32" t="s">
        <v>523</v>
      </c>
      <c r="G3167" s="32" t="s">
        <v>329</v>
      </c>
      <c r="H3167" s="32" t="s">
        <v>447</v>
      </c>
    </row>
    <row r="3168" ht="16.5" customHeight="1">
      <c r="A3168" s="32">
        <v>3164.0</v>
      </c>
      <c r="C3168" s="32" t="s">
        <v>4006</v>
      </c>
      <c r="D3168" s="32" t="s">
        <v>184</v>
      </c>
      <c r="E3168" s="32" t="s">
        <v>192</v>
      </c>
      <c r="F3168" s="32" t="s">
        <v>523</v>
      </c>
      <c r="G3168" s="32" t="s">
        <v>329</v>
      </c>
      <c r="H3168" s="32" t="s">
        <v>447</v>
      </c>
    </row>
    <row r="3169" ht="16.5" customHeight="1">
      <c r="A3169" s="32">
        <v>3165.0</v>
      </c>
      <c r="C3169" s="32" t="s">
        <v>4007</v>
      </c>
      <c r="D3169" s="32" t="s">
        <v>184</v>
      </c>
      <c r="E3169" s="32" t="s">
        <v>192</v>
      </c>
      <c r="F3169" s="32" t="s">
        <v>523</v>
      </c>
      <c r="G3169" s="32" t="s">
        <v>4008</v>
      </c>
      <c r="H3169" s="32" t="s">
        <v>1621</v>
      </c>
    </row>
    <row r="3170" ht="16.5" customHeight="1">
      <c r="A3170" s="32">
        <v>3166.0</v>
      </c>
      <c r="C3170" s="32" t="s">
        <v>4009</v>
      </c>
      <c r="D3170" s="32" t="s">
        <v>184</v>
      </c>
      <c r="E3170" s="32" t="s">
        <v>185</v>
      </c>
      <c r="F3170" s="32" t="s">
        <v>523</v>
      </c>
    </row>
    <row r="3171" ht="16.5" customHeight="1">
      <c r="A3171" s="32">
        <v>3167.0</v>
      </c>
      <c r="C3171" s="32" t="s">
        <v>4010</v>
      </c>
      <c r="D3171" s="32" t="s">
        <v>184</v>
      </c>
      <c r="E3171" s="35" t="s">
        <v>310</v>
      </c>
      <c r="F3171" s="32" t="s">
        <v>523</v>
      </c>
      <c r="G3171" s="32" t="s">
        <v>4011</v>
      </c>
      <c r="H3171" s="32" t="s">
        <v>476</v>
      </c>
    </row>
    <row r="3172" ht="16.5" customHeight="1">
      <c r="A3172" s="32">
        <v>3168.0</v>
      </c>
      <c r="C3172" s="32" t="s">
        <v>4012</v>
      </c>
      <c r="D3172" s="32" t="s">
        <v>184</v>
      </c>
      <c r="E3172" s="32" t="s">
        <v>254</v>
      </c>
      <c r="F3172" s="32" t="s">
        <v>523</v>
      </c>
    </row>
    <row r="3173" ht="16.5" customHeight="1">
      <c r="A3173" s="32">
        <v>3169.0</v>
      </c>
      <c r="C3173" s="32" t="s">
        <v>4013</v>
      </c>
      <c r="D3173" s="32" t="s">
        <v>184</v>
      </c>
      <c r="E3173" s="32" t="s">
        <v>228</v>
      </c>
      <c r="F3173" s="32" t="s">
        <v>523</v>
      </c>
      <c r="G3173" s="32" t="s">
        <v>229</v>
      </c>
      <c r="H3173" s="32" t="s">
        <v>626</v>
      </c>
    </row>
    <row r="3174" ht="16.5" customHeight="1">
      <c r="A3174" s="32">
        <v>3170.0</v>
      </c>
      <c r="C3174" s="32" t="s">
        <v>4014</v>
      </c>
      <c r="D3174" s="32" t="s">
        <v>184</v>
      </c>
      <c r="E3174" s="32" t="s">
        <v>192</v>
      </c>
      <c r="F3174" s="32" t="s">
        <v>523</v>
      </c>
    </row>
    <row r="3175" ht="16.5" customHeight="1">
      <c r="A3175" s="32">
        <v>3171.0</v>
      </c>
      <c r="C3175" s="32" t="s">
        <v>4015</v>
      </c>
      <c r="D3175" s="32" t="s">
        <v>184</v>
      </c>
      <c r="E3175" s="32" t="s">
        <v>192</v>
      </c>
      <c r="F3175" s="32" t="s">
        <v>523</v>
      </c>
    </row>
    <row r="3176" ht="16.5" customHeight="1">
      <c r="A3176" s="32">
        <v>3172.0</v>
      </c>
      <c r="C3176" s="32" t="s">
        <v>4016</v>
      </c>
      <c r="D3176" s="32" t="s">
        <v>184</v>
      </c>
      <c r="E3176" s="32" t="s">
        <v>285</v>
      </c>
      <c r="F3176" s="32" t="s">
        <v>4017</v>
      </c>
    </row>
    <row r="3177" ht="16.5" customHeight="1">
      <c r="A3177" s="32">
        <v>3173.0</v>
      </c>
      <c r="C3177" s="32" t="s">
        <v>4018</v>
      </c>
      <c r="D3177" s="32" t="s">
        <v>184</v>
      </c>
      <c r="E3177" s="32" t="s">
        <v>192</v>
      </c>
      <c r="F3177" s="32" t="s">
        <v>523</v>
      </c>
    </row>
    <row r="3178" ht="16.5" customHeight="1">
      <c r="A3178" s="32">
        <v>3174.0</v>
      </c>
      <c r="C3178" s="32" t="s">
        <v>4019</v>
      </c>
      <c r="D3178" s="32" t="s">
        <v>184</v>
      </c>
      <c r="E3178" s="32" t="s">
        <v>285</v>
      </c>
      <c r="F3178" s="32" t="s">
        <v>523</v>
      </c>
      <c r="G3178" s="32" t="s">
        <v>189</v>
      </c>
      <c r="H3178" s="32" t="s">
        <v>190</v>
      </c>
    </row>
    <row r="3179" ht="16.5" customHeight="1">
      <c r="A3179" s="32">
        <v>3175.0</v>
      </c>
      <c r="C3179" s="32" t="s">
        <v>4020</v>
      </c>
      <c r="D3179" s="32" t="s">
        <v>184</v>
      </c>
      <c r="E3179" s="32" t="s">
        <v>254</v>
      </c>
      <c r="F3179" s="32" t="s">
        <v>523</v>
      </c>
    </row>
    <row r="3180" ht="16.5" customHeight="1">
      <c r="A3180" s="32">
        <v>3176.0</v>
      </c>
      <c r="C3180" s="32" t="s">
        <v>4021</v>
      </c>
      <c r="D3180" s="32" t="s">
        <v>184</v>
      </c>
      <c r="E3180" s="32" t="s">
        <v>285</v>
      </c>
      <c r="F3180" s="32" t="s">
        <v>523</v>
      </c>
    </row>
    <row r="3181" ht="16.5" customHeight="1">
      <c r="A3181" s="32">
        <v>3177.0</v>
      </c>
      <c r="C3181" s="32" t="s">
        <v>4022</v>
      </c>
      <c r="D3181" s="32" t="s">
        <v>184</v>
      </c>
      <c r="E3181" s="32" t="s">
        <v>254</v>
      </c>
      <c r="F3181" s="32" t="s">
        <v>523</v>
      </c>
    </row>
    <row r="3182" ht="16.5" customHeight="1">
      <c r="A3182" s="32">
        <v>3178.0</v>
      </c>
      <c r="C3182" s="32" t="s">
        <v>4023</v>
      </c>
      <c r="D3182" s="32" t="s">
        <v>184</v>
      </c>
      <c r="E3182" s="32" t="s">
        <v>192</v>
      </c>
      <c r="F3182" s="32" t="s">
        <v>523</v>
      </c>
    </row>
    <row r="3183" ht="16.5" customHeight="1">
      <c r="A3183" s="32">
        <v>3179.0</v>
      </c>
      <c r="C3183" s="32" t="s">
        <v>4024</v>
      </c>
      <c r="D3183" s="32" t="s">
        <v>184</v>
      </c>
      <c r="E3183" s="32" t="s">
        <v>254</v>
      </c>
      <c r="F3183" s="32" t="s">
        <v>523</v>
      </c>
      <c r="G3183" s="32" t="s">
        <v>256</v>
      </c>
      <c r="H3183" s="32" t="s">
        <v>257</v>
      </c>
    </row>
    <row r="3184" ht="16.5" customHeight="1">
      <c r="A3184" s="32">
        <v>3180.0</v>
      </c>
      <c r="C3184" s="32" t="s">
        <v>4025</v>
      </c>
      <c r="D3184" s="32" t="s">
        <v>184</v>
      </c>
      <c r="E3184" s="32" t="s">
        <v>185</v>
      </c>
      <c r="F3184" s="32" t="s">
        <v>523</v>
      </c>
    </row>
    <row r="3185" ht="16.5" customHeight="1">
      <c r="A3185" s="32">
        <v>3181.0</v>
      </c>
      <c r="C3185" s="32" t="s">
        <v>4026</v>
      </c>
      <c r="D3185" s="32" t="s">
        <v>184</v>
      </c>
      <c r="E3185" s="35" t="s">
        <v>294</v>
      </c>
      <c r="F3185" s="32" t="s">
        <v>523</v>
      </c>
      <c r="G3185" s="32" t="s">
        <v>2412</v>
      </c>
      <c r="H3185" s="32" t="s">
        <v>552</v>
      </c>
    </row>
    <row r="3186" ht="16.5" customHeight="1">
      <c r="A3186" s="32">
        <v>3182.0</v>
      </c>
      <c r="C3186" s="32" t="s">
        <v>4027</v>
      </c>
      <c r="D3186" s="32" t="s">
        <v>184</v>
      </c>
      <c r="E3186" s="32" t="s">
        <v>185</v>
      </c>
      <c r="F3186" s="32" t="s">
        <v>523</v>
      </c>
      <c r="G3186" s="32" t="s">
        <v>1240</v>
      </c>
    </row>
    <row r="3187" ht="16.5" customHeight="1">
      <c r="A3187" s="32">
        <v>3183.0</v>
      </c>
      <c r="C3187" s="32" t="s">
        <v>4028</v>
      </c>
      <c r="D3187" s="32" t="s">
        <v>184</v>
      </c>
      <c r="E3187" s="32" t="s">
        <v>219</v>
      </c>
      <c r="F3187" s="32" t="s">
        <v>523</v>
      </c>
      <c r="G3187" s="32" t="s">
        <v>223</v>
      </c>
    </row>
    <row r="3188" ht="16.5" customHeight="1">
      <c r="A3188" s="32">
        <v>3184.0</v>
      </c>
      <c r="C3188" s="32" t="s">
        <v>4029</v>
      </c>
      <c r="D3188" s="32" t="s">
        <v>184</v>
      </c>
      <c r="E3188" s="32" t="s">
        <v>219</v>
      </c>
      <c r="F3188" s="32" t="s">
        <v>523</v>
      </c>
      <c r="G3188" s="32" t="s">
        <v>223</v>
      </c>
    </row>
    <row r="3189" ht="16.5" customHeight="1">
      <c r="A3189" s="32">
        <v>3185.0</v>
      </c>
      <c r="C3189" s="32" t="s">
        <v>4030</v>
      </c>
      <c r="D3189" s="32" t="s">
        <v>184</v>
      </c>
      <c r="E3189" s="35" t="s">
        <v>310</v>
      </c>
      <c r="F3189" s="32" t="s">
        <v>523</v>
      </c>
      <c r="G3189" s="32" t="s">
        <v>305</v>
      </c>
      <c r="H3189" s="32" t="s">
        <v>4031</v>
      </c>
    </row>
    <row r="3190" ht="16.5" customHeight="1">
      <c r="A3190" s="32">
        <v>3186.0</v>
      </c>
      <c r="C3190" s="32" t="s">
        <v>4032</v>
      </c>
      <c r="D3190" s="32" t="s">
        <v>184</v>
      </c>
      <c r="E3190" s="32" t="s">
        <v>254</v>
      </c>
      <c r="F3190" s="32" t="s">
        <v>523</v>
      </c>
    </row>
    <row r="3191" ht="16.5" customHeight="1">
      <c r="A3191" s="32">
        <v>3187.0</v>
      </c>
      <c r="C3191" s="32" t="s">
        <v>4033</v>
      </c>
      <c r="D3191" s="32" t="s">
        <v>184</v>
      </c>
      <c r="E3191" s="32" t="s">
        <v>185</v>
      </c>
      <c r="F3191" s="32" t="s">
        <v>255</v>
      </c>
    </row>
    <row r="3192" ht="16.5" customHeight="1">
      <c r="A3192" s="32">
        <v>3188.0</v>
      </c>
      <c r="C3192" s="32" t="s">
        <v>4034</v>
      </c>
      <c r="D3192" s="32" t="s">
        <v>184</v>
      </c>
      <c r="E3192" s="32" t="s">
        <v>254</v>
      </c>
      <c r="F3192" s="32" t="s">
        <v>255</v>
      </c>
      <c r="G3192" s="32" t="s">
        <v>256</v>
      </c>
      <c r="H3192" s="32" t="s">
        <v>257</v>
      </c>
    </row>
    <row r="3193" ht="16.5" customHeight="1">
      <c r="A3193" s="32">
        <v>3189.0</v>
      </c>
      <c r="C3193" s="32" t="s">
        <v>4034</v>
      </c>
      <c r="D3193" s="32" t="s">
        <v>184</v>
      </c>
      <c r="E3193" s="32" t="s">
        <v>254</v>
      </c>
      <c r="F3193" s="32" t="s">
        <v>255</v>
      </c>
      <c r="G3193" s="32" t="s">
        <v>256</v>
      </c>
      <c r="H3193" s="32" t="s">
        <v>257</v>
      </c>
    </row>
    <row r="3194" ht="16.5" customHeight="1">
      <c r="A3194" s="32">
        <v>3190.0</v>
      </c>
      <c r="C3194" s="32" t="s">
        <v>4035</v>
      </c>
      <c r="D3194" s="32" t="s">
        <v>184</v>
      </c>
      <c r="E3194" s="32" t="s">
        <v>254</v>
      </c>
      <c r="F3194" s="32" t="s">
        <v>255</v>
      </c>
      <c r="G3194" s="32" t="s">
        <v>305</v>
      </c>
      <c r="H3194" s="32" t="s">
        <v>600</v>
      </c>
    </row>
    <row r="3195" ht="16.5" customHeight="1">
      <c r="A3195" s="32">
        <v>3191.0</v>
      </c>
      <c r="C3195" s="32" t="s">
        <v>4036</v>
      </c>
      <c r="D3195" s="32" t="s">
        <v>184</v>
      </c>
      <c r="E3195" s="32" t="s">
        <v>254</v>
      </c>
      <c r="F3195" s="32" t="s">
        <v>255</v>
      </c>
    </row>
    <row r="3196" ht="16.5" customHeight="1">
      <c r="A3196" s="32">
        <v>3192.0</v>
      </c>
      <c r="C3196" s="32" t="s">
        <v>4037</v>
      </c>
      <c r="D3196" s="32" t="s">
        <v>184</v>
      </c>
      <c r="E3196" s="32" t="s">
        <v>254</v>
      </c>
      <c r="F3196" s="32" t="s">
        <v>255</v>
      </c>
      <c r="G3196" s="32" t="s">
        <v>2640</v>
      </c>
      <c r="H3196" s="32" t="s">
        <v>1840</v>
      </c>
    </row>
    <row r="3197" ht="16.5" customHeight="1">
      <c r="A3197" s="32">
        <v>3193.0</v>
      </c>
      <c r="C3197" s="32" t="s">
        <v>4038</v>
      </c>
      <c r="D3197" s="32" t="s">
        <v>184</v>
      </c>
      <c r="E3197" s="32" t="s">
        <v>254</v>
      </c>
      <c r="F3197" s="32" t="s">
        <v>255</v>
      </c>
    </row>
    <row r="3198" ht="16.5" customHeight="1">
      <c r="A3198" s="32">
        <v>3194.0</v>
      </c>
      <c r="C3198" s="32" t="s">
        <v>4039</v>
      </c>
      <c r="D3198" s="32" t="s">
        <v>184</v>
      </c>
      <c r="E3198" s="32" t="s">
        <v>219</v>
      </c>
      <c r="F3198" s="32" t="s">
        <v>255</v>
      </c>
      <c r="G3198" s="32" t="s">
        <v>223</v>
      </c>
      <c r="H3198" s="32" t="s">
        <v>472</v>
      </c>
    </row>
    <row r="3199" ht="16.5" customHeight="1">
      <c r="A3199" s="32">
        <v>3195.0</v>
      </c>
      <c r="C3199" s="32" t="s">
        <v>4040</v>
      </c>
      <c r="D3199" s="32" t="s">
        <v>184</v>
      </c>
      <c r="E3199" s="32" t="s">
        <v>219</v>
      </c>
      <c r="F3199" s="32" t="s">
        <v>255</v>
      </c>
      <c r="G3199" s="32" t="s">
        <v>223</v>
      </c>
      <c r="H3199" s="32" t="s">
        <v>394</v>
      </c>
    </row>
    <row r="3200" ht="16.5" customHeight="1">
      <c r="A3200" s="32">
        <v>3196.0</v>
      </c>
      <c r="C3200" s="32" t="s">
        <v>4041</v>
      </c>
      <c r="D3200" s="32" t="s">
        <v>184</v>
      </c>
      <c r="E3200" s="32" t="s">
        <v>185</v>
      </c>
      <c r="F3200" s="32" t="s">
        <v>255</v>
      </c>
    </row>
    <row r="3201" ht="16.5" customHeight="1">
      <c r="A3201" s="32">
        <v>3197.0</v>
      </c>
      <c r="C3201" s="32" t="s">
        <v>4041</v>
      </c>
      <c r="D3201" s="32" t="s">
        <v>184</v>
      </c>
      <c r="E3201" s="32" t="s">
        <v>185</v>
      </c>
      <c r="F3201" s="32" t="s">
        <v>255</v>
      </c>
    </row>
    <row r="3202" ht="16.5" customHeight="1">
      <c r="A3202" s="32">
        <v>3198.0</v>
      </c>
      <c r="C3202" s="32" t="s">
        <v>4042</v>
      </c>
      <c r="D3202" s="32" t="s">
        <v>184</v>
      </c>
      <c r="E3202" s="32" t="s">
        <v>192</v>
      </c>
      <c r="F3202" s="32" t="s">
        <v>346</v>
      </c>
      <c r="G3202" s="32" t="s">
        <v>300</v>
      </c>
      <c r="H3202" s="32" t="s">
        <v>1733</v>
      </c>
    </row>
    <row r="3203" ht="16.5" customHeight="1">
      <c r="A3203" s="32">
        <v>3199.0</v>
      </c>
      <c r="C3203" s="32" t="s">
        <v>4043</v>
      </c>
      <c r="D3203" s="32" t="s">
        <v>184</v>
      </c>
      <c r="E3203" s="32" t="s">
        <v>192</v>
      </c>
      <c r="F3203" s="32" t="s">
        <v>346</v>
      </c>
      <c r="G3203" s="32" t="s">
        <v>300</v>
      </c>
      <c r="H3203" s="32" t="s">
        <v>1733</v>
      </c>
    </row>
    <row r="3204" ht="16.5" customHeight="1">
      <c r="A3204" s="32">
        <v>3200.0</v>
      </c>
      <c r="C3204" s="32" t="s">
        <v>4044</v>
      </c>
      <c r="D3204" s="32" t="s">
        <v>184</v>
      </c>
      <c r="E3204" s="32" t="s">
        <v>192</v>
      </c>
      <c r="F3204" s="32" t="s">
        <v>255</v>
      </c>
      <c r="G3204" s="32" t="s">
        <v>300</v>
      </c>
      <c r="H3204" s="32" t="s">
        <v>4045</v>
      </c>
    </row>
    <row r="3205" ht="16.5" customHeight="1">
      <c r="A3205" s="32">
        <v>3201.0</v>
      </c>
      <c r="C3205" s="32" t="s">
        <v>4046</v>
      </c>
      <c r="D3205" s="32" t="s">
        <v>184</v>
      </c>
      <c r="E3205" s="32" t="s">
        <v>192</v>
      </c>
      <c r="F3205" s="32" t="s">
        <v>255</v>
      </c>
      <c r="G3205" s="32" t="s">
        <v>329</v>
      </c>
      <c r="H3205" s="32" t="s">
        <v>357</v>
      </c>
    </row>
    <row r="3206" ht="16.5" customHeight="1">
      <c r="A3206" s="32">
        <v>3202.0</v>
      </c>
      <c r="C3206" s="32" t="s">
        <v>4047</v>
      </c>
      <c r="D3206" s="32" t="s">
        <v>184</v>
      </c>
      <c r="E3206" s="32" t="s">
        <v>285</v>
      </c>
      <c r="F3206" s="32" t="s">
        <v>399</v>
      </c>
      <c r="G3206" s="32" t="s">
        <v>267</v>
      </c>
      <c r="H3206" s="32" t="s">
        <v>188</v>
      </c>
    </row>
    <row r="3207" ht="16.5" customHeight="1">
      <c r="A3207" s="32">
        <v>3203.0</v>
      </c>
      <c r="C3207" s="32" t="s">
        <v>4048</v>
      </c>
      <c r="D3207" s="32" t="s">
        <v>184</v>
      </c>
      <c r="E3207" s="32" t="s">
        <v>185</v>
      </c>
      <c r="F3207" s="32" t="s">
        <v>255</v>
      </c>
      <c r="G3207" s="32" t="s">
        <v>187</v>
      </c>
      <c r="H3207" s="32" t="s">
        <v>188</v>
      </c>
    </row>
    <row r="3208" ht="16.5" customHeight="1">
      <c r="A3208" s="32">
        <v>3204.0</v>
      </c>
      <c r="C3208" s="32" t="s">
        <v>4049</v>
      </c>
      <c r="D3208" s="32" t="s">
        <v>184</v>
      </c>
      <c r="E3208" s="32" t="s">
        <v>185</v>
      </c>
      <c r="F3208" s="32" t="s">
        <v>255</v>
      </c>
    </row>
    <row r="3209" ht="16.5" customHeight="1">
      <c r="A3209" s="32">
        <v>3205.0</v>
      </c>
      <c r="C3209" s="32" t="s">
        <v>4050</v>
      </c>
      <c r="D3209" s="32" t="s">
        <v>184</v>
      </c>
      <c r="E3209" s="32" t="s">
        <v>285</v>
      </c>
      <c r="F3209" s="32" t="s">
        <v>255</v>
      </c>
      <c r="G3209" s="32" t="s">
        <v>189</v>
      </c>
      <c r="H3209" s="32" t="s">
        <v>683</v>
      </c>
    </row>
    <row r="3210" ht="16.5" customHeight="1">
      <c r="A3210" s="32">
        <v>3206.0</v>
      </c>
      <c r="C3210" s="32" t="s">
        <v>4051</v>
      </c>
      <c r="D3210" s="32" t="s">
        <v>184</v>
      </c>
      <c r="E3210" s="32" t="s">
        <v>192</v>
      </c>
      <c r="F3210" s="32" t="s">
        <v>255</v>
      </c>
      <c r="G3210" s="32" t="s">
        <v>2848</v>
      </c>
      <c r="H3210" s="32" t="s">
        <v>4052</v>
      </c>
    </row>
    <row r="3211" ht="16.5" customHeight="1">
      <c r="A3211" s="32">
        <v>3207.0</v>
      </c>
      <c r="C3211" s="32" t="s">
        <v>4053</v>
      </c>
      <c r="D3211" s="32" t="s">
        <v>184</v>
      </c>
      <c r="E3211" s="32" t="s">
        <v>254</v>
      </c>
      <c r="F3211" s="32" t="s">
        <v>255</v>
      </c>
    </row>
    <row r="3212" ht="16.5" customHeight="1">
      <c r="A3212" s="32">
        <v>3208.0</v>
      </c>
      <c r="C3212" s="32" t="s">
        <v>4054</v>
      </c>
      <c r="D3212" s="32" t="s">
        <v>184</v>
      </c>
      <c r="E3212" s="32" t="s">
        <v>254</v>
      </c>
      <c r="F3212" s="32" t="s">
        <v>255</v>
      </c>
    </row>
    <row r="3213" ht="16.5" customHeight="1">
      <c r="A3213" s="32">
        <v>3209.0</v>
      </c>
      <c r="C3213" s="32" t="s">
        <v>4055</v>
      </c>
      <c r="D3213" s="32" t="s">
        <v>184</v>
      </c>
      <c r="E3213" s="32" t="s">
        <v>219</v>
      </c>
      <c r="F3213" s="32" t="s">
        <v>255</v>
      </c>
      <c r="G3213" s="32" t="s">
        <v>223</v>
      </c>
      <c r="H3213" s="32" t="s">
        <v>1817</v>
      </c>
    </row>
    <row r="3214" ht="16.5" customHeight="1">
      <c r="A3214" s="32">
        <v>3210.0</v>
      </c>
      <c r="C3214" s="32" t="s">
        <v>4056</v>
      </c>
      <c r="D3214" s="32" t="s">
        <v>184</v>
      </c>
      <c r="E3214" s="32" t="s">
        <v>285</v>
      </c>
      <c r="F3214" s="32" t="s">
        <v>255</v>
      </c>
    </row>
    <row r="3215" ht="16.5" customHeight="1">
      <c r="A3215" s="32">
        <v>3211.0</v>
      </c>
      <c r="C3215" s="32" t="s">
        <v>4057</v>
      </c>
      <c r="D3215" s="32" t="s">
        <v>184</v>
      </c>
      <c r="E3215" s="32" t="s">
        <v>254</v>
      </c>
      <c r="F3215" s="32" t="s">
        <v>255</v>
      </c>
    </row>
    <row r="3216" ht="16.5" customHeight="1">
      <c r="A3216" s="32">
        <v>3212.0</v>
      </c>
      <c r="C3216" s="32" t="s">
        <v>4058</v>
      </c>
      <c r="D3216" s="32" t="s">
        <v>184</v>
      </c>
      <c r="E3216" s="32" t="s">
        <v>234</v>
      </c>
      <c r="F3216" s="32" t="s">
        <v>255</v>
      </c>
    </row>
    <row r="3217" ht="16.5" customHeight="1">
      <c r="A3217" s="32">
        <v>3213.0</v>
      </c>
      <c r="C3217" s="32" t="s">
        <v>4059</v>
      </c>
      <c r="D3217" s="32" t="s">
        <v>184</v>
      </c>
      <c r="E3217" s="32" t="s">
        <v>219</v>
      </c>
      <c r="F3217" s="32" t="s">
        <v>255</v>
      </c>
      <c r="G3217" s="32" t="s">
        <v>223</v>
      </c>
      <c r="H3217" s="32" t="s">
        <v>472</v>
      </c>
    </row>
    <row r="3218" ht="16.5" customHeight="1">
      <c r="A3218" s="32">
        <v>3214.0</v>
      </c>
      <c r="C3218" s="32" t="s">
        <v>4060</v>
      </c>
      <c r="D3218" s="32" t="s">
        <v>184</v>
      </c>
      <c r="E3218" s="32" t="s">
        <v>192</v>
      </c>
      <c r="F3218" s="32" t="s">
        <v>255</v>
      </c>
    </row>
    <row r="3219" ht="16.5" customHeight="1">
      <c r="A3219" s="32">
        <v>3215.0</v>
      </c>
      <c r="C3219" s="32" t="s">
        <v>4061</v>
      </c>
      <c r="D3219" s="32" t="s">
        <v>184</v>
      </c>
      <c r="E3219" s="32" t="s">
        <v>192</v>
      </c>
      <c r="F3219" s="32" t="s">
        <v>3009</v>
      </c>
      <c r="G3219" s="32" t="s">
        <v>329</v>
      </c>
      <c r="H3219" s="32" t="s">
        <v>447</v>
      </c>
    </row>
    <row r="3220" ht="16.5" customHeight="1">
      <c r="A3220" s="32">
        <v>3216.0</v>
      </c>
      <c r="C3220" s="32" t="s">
        <v>4062</v>
      </c>
      <c r="D3220" s="32" t="s">
        <v>184</v>
      </c>
      <c r="E3220" s="32" t="s">
        <v>192</v>
      </c>
      <c r="F3220" s="32" t="s">
        <v>3009</v>
      </c>
      <c r="G3220" s="32" t="s">
        <v>329</v>
      </c>
      <c r="H3220" s="32" t="s">
        <v>447</v>
      </c>
    </row>
    <row r="3221" ht="16.5" customHeight="1">
      <c r="A3221" s="32">
        <v>3217.0</v>
      </c>
      <c r="C3221" s="32" t="s">
        <v>4063</v>
      </c>
      <c r="D3221" s="32" t="s">
        <v>184</v>
      </c>
      <c r="E3221" s="32" t="s">
        <v>254</v>
      </c>
      <c r="F3221" s="32" t="s">
        <v>3009</v>
      </c>
      <c r="G3221" s="32" t="s">
        <v>260</v>
      </c>
    </row>
    <row r="3222" ht="16.5" customHeight="1">
      <c r="A3222" s="32">
        <v>3218.0</v>
      </c>
      <c r="C3222" s="32" t="s">
        <v>4064</v>
      </c>
      <c r="D3222" s="32" t="s">
        <v>184</v>
      </c>
      <c r="E3222" s="32" t="s">
        <v>285</v>
      </c>
      <c r="F3222" s="32" t="s">
        <v>255</v>
      </c>
    </row>
    <row r="3223" ht="16.5" customHeight="1">
      <c r="A3223" s="32">
        <v>3219.0</v>
      </c>
      <c r="C3223" s="32" t="s">
        <v>4065</v>
      </c>
      <c r="D3223" s="32" t="s">
        <v>184</v>
      </c>
      <c r="E3223" s="32" t="s">
        <v>285</v>
      </c>
      <c r="F3223" s="32" t="s">
        <v>255</v>
      </c>
    </row>
    <row r="3224" ht="16.5" customHeight="1">
      <c r="A3224" s="32">
        <v>3220.0</v>
      </c>
      <c r="C3224" s="32" t="s">
        <v>4066</v>
      </c>
      <c r="D3224" s="32" t="s">
        <v>184</v>
      </c>
      <c r="E3224" s="32" t="s">
        <v>254</v>
      </c>
      <c r="F3224" s="32" t="s">
        <v>255</v>
      </c>
    </row>
    <row r="3225" ht="16.5" customHeight="1">
      <c r="A3225" s="32">
        <v>3221.0</v>
      </c>
      <c r="C3225" s="32" t="s">
        <v>4067</v>
      </c>
      <c r="D3225" s="32" t="s">
        <v>184</v>
      </c>
      <c r="E3225" s="32" t="s">
        <v>228</v>
      </c>
      <c r="F3225" s="32" t="s">
        <v>255</v>
      </c>
    </row>
    <row r="3226" ht="16.5" customHeight="1">
      <c r="A3226" s="32">
        <v>3222.0</v>
      </c>
      <c r="C3226" s="32" t="s">
        <v>4068</v>
      </c>
      <c r="D3226" s="32" t="s">
        <v>184</v>
      </c>
      <c r="E3226" s="32" t="s">
        <v>254</v>
      </c>
      <c r="F3226" s="32" t="s">
        <v>3009</v>
      </c>
      <c r="G3226" s="32" t="s">
        <v>260</v>
      </c>
    </row>
    <row r="3227" ht="16.5" customHeight="1">
      <c r="A3227" s="32">
        <v>3223.0</v>
      </c>
      <c r="C3227" s="32" t="s">
        <v>4069</v>
      </c>
      <c r="D3227" s="32" t="s">
        <v>184</v>
      </c>
      <c r="E3227" s="32" t="s">
        <v>192</v>
      </c>
      <c r="F3227" s="32" t="s">
        <v>255</v>
      </c>
    </row>
    <row r="3228" ht="16.5" customHeight="1">
      <c r="A3228" s="32">
        <v>3224.0</v>
      </c>
      <c r="C3228" s="32" t="s">
        <v>4070</v>
      </c>
      <c r="D3228" s="32" t="s">
        <v>184</v>
      </c>
      <c r="E3228" s="32" t="s">
        <v>192</v>
      </c>
      <c r="F3228" s="32" t="s">
        <v>255</v>
      </c>
      <c r="G3228" s="32" t="s">
        <v>300</v>
      </c>
      <c r="H3228" s="32" t="s">
        <v>535</v>
      </c>
    </row>
    <row r="3229" ht="16.5" customHeight="1">
      <c r="A3229" s="32">
        <v>3225.0</v>
      </c>
      <c r="C3229" s="32" t="s">
        <v>4071</v>
      </c>
      <c r="D3229" s="32" t="s">
        <v>184</v>
      </c>
      <c r="E3229" s="32" t="s">
        <v>254</v>
      </c>
      <c r="F3229" s="32" t="s">
        <v>255</v>
      </c>
      <c r="G3229" s="32" t="s">
        <v>260</v>
      </c>
      <c r="H3229" s="32" t="s">
        <v>4072</v>
      </c>
    </row>
    <row r="3230" ht="16.5" customHeight="1">
      <c r="A3230" s="32">
        <v>3226.0</v>
      </c>
      <c r="C3230" s="32" t="s">
        <v>4073</v>
      </c>
      <c r="D3230" s="32" t="s">
        <v>184</v>
      </c>
      <c r="E3230" s="32" t="s">
        <v>254</v>
      </c>
      <c r="F3230" s="32" t="s">
        <v>255</v>
      </c>
      <c r="G3230" s="32" t="s">
        <v>256</v>
      </c>
      <c r="H3230" s="32" t="s">
        <v>257</v>
      </c>
    </row>
    <row r="3231" ht="16.5" customHeight="1">
      <c r="A3231" s="32">
        <v>3227.0</v>
      </c>
      <c r="C3231" s="32" t="s">
        <v>4074</v>
      </c>
      <c r="D3231" s="32" t="s">
        <v>184</v>
      </c>
      <c r="E3231" s="32" t="s">
        <v>185</v>
      </c>
      <c r="F3231" s="32" t="s">
        <v>255</v>
      </c>
    </row>
    <row r="3232" ht="16.5" customHeight="1">
      <c r="A3232" s="32">
        <v>3228.0</v>
      </c>
      <c r="C3232" s="32" t="s">
        <v>4075</v>
      </c>
      <c r="D3232" s="32" t="s">
        <v>184</v>
      </c>
      <c r="E3232" s="32" t="s">
        <v>192</v>
      </c>
      <c r="F3232" s="32" t="s">
        <v>1160</v>
      </c>
      <c r="G3232" s="32" t="s">
        <v>329</v>
      </c>
      <c r="H3232" s="32" t="s">
        <v>457</v>
      </c>
    </row>
    <row r="3233" ht="16.5" customHeight="1">
      <c r="A3233" s="32">
        <v>3229.0</v>
      </c>
      <c r="C3233" s="32" t="s">
        <v>4076</v>
      </c>
      <c r="D3233" s="32" t="s">
        <v>184</v>
      </c>
      <c r="E3233" s="32" t="s">
        <v>254</v>
      </c>
      <c r="F3233" s="32" t="s">
        <v>255</v>
      </c>
      <c r="G3233" s="32" t="s">
        <v>1874</v>
      </c>
      <c r="H3233" s="32" t="s">
        <v>4077</v>
      </c>
    </row>
    <row r="3234" ht="16.5" customHeight="1">
      <c r="A3234" s="32">
        <v>3230.0</v>
      </c>
      <c r="C3234" s="32" t="s">
        <v>4078</v>
      </c>
      <c r="D3234" s="32" t="s">
        <v>184</v>
      </c>
      <c r="E3234" s="32" t="s">
        <v>254</v>
      </c>
      <c r="F3234" s="32" t="s">
        <v>255</v>
      </c>
      <c r="G3234" s="32" t="s">
        <v>4079</v>
      </c>
      <c r="H3234" s="32" t="s">
        <v>4080</v>
      </c>
    </row>
    <row r="3235" ht="16.5" customHeight="1">
      <c r="A3235" s="32">
        <v>3231.0</v>
      </c>
      <c r="C3235" s="32" t="s">
        <v>4081</v>
      </c>
      <c r="D3235" s="32" t="s">
        <v>184</v>
      </c>
      <c r="E3235" s="35" t="s">
        <v>3260</v>
      </c>
      <c r="F3235" s="32" t="s">
        <v>255</v>
      </c>
      <c r="G3235" s="32" t="s">
        <v>1874</v>
      </c>
      <c r="H3235" s="32" t="s">
        <v>3261</v>
      </c>
    </row>
    <row r="3236" ht="16.5" customHeight="1">
      <c r="A3236" s="32">
        <v>3232.0</v>
      </c>
      <c r="C3236" s="32" t="s">
        <v>4082</v>
      </c>
      <c r="D3236" s="32" t="s">
        <v>184</v>
      </c>
      <c r="E3236" s="32" t="s">
        <v>185</v>
      </c>
      <c r="F3236" s="32" t="s">
        <v>255</v>
      </c>
    </row>
    <row r="3237" ht="16.5" customHeight="1">
      <c r="A3237" s="32">
        <v>3233.0</v>
      </c>
      <c r="C3237" s="32" t="s">
        <v>4083</v>
      </c>
      <c r="D3237" s="32" t="s">
        <v>184</v>
      </c>
      <c r="E3237" s="32" t="s">
        <v>254</v>
      </c>
      <c r="F3237" s="32" t="s">
        <v>255</v>
      </c>
      <c r="G3237" s="32" t="s">
        <v>257</v>
      </c>
      <c r="H3237" s="32" t="s">
        <v>271</v>
      </c>
    </row>
    <row r="3238" ht="16.5" customHeight="1">
      <c r="A3238" s="32">
        <v>3234.0</v>
      </c>
      <c r="C3238" s="32" t="s">
        <v>4084</v>
      </c>
      <c r="D3238" s="32" t="s">
        <v>184</v>
      </c>
      <c r="E3238" s="32" t="s">
        <v>254</v>
      </c>
      <c r="F3238" s="32" t="s">
        <v>255</v>
      </c>
      <c r="G3238" s="32" t="s">
        <v>257</v>
      </c>
      <c r="H3238" s="32" t="s">
        <v>271</v>
      </c>
    </row>
    <row r="3239" ht="16.5" customHeight="1">
      <c r="A3239" s="32">
        <v>3235.0</v>
      </c>
      <c r="C3239" s="32" t="s">
        <v>4085</v>
      </c>
      <c r="D3239" s="32" t="s">
        <v>184</v>
      </c>
      <c r="E3239" s="32" t="s">
        <v>254</v>
      </c>
      <c r="F3239" s="32" t="s">
        <v>399</v>
      </c>
      <c r="G3239" s="32" t="s">
        <v>257</v>
      </c>
      <c r="H3239" s="32" t="s">
        <v>271</v>
      </c>
    </row>
    <row r="3240" ht="16.5" customHeight="1">
      <c r="A3240" s="32">
        <v>3236.0</v>
      </c>
      <c r="C3240" s="32" t="s">
        <v>4086</v>
      </c>
      <c r="D3240" s="32" t="s">
        <v>184</v>
      </c>
      <c r="E3240" s="32" t="s">
        <v>254</v>
      </c>
      <c r="F3240" s="32" t="s">
        <v>373</v>
      </c>
      <c r="G3240" s="32" t="s">
        <v>257</v>
      </c>
      <c r="H3240" s="32" t="s">
        <v>256</v>
      </c>
    </row>
    <row r="3241" ht="16.5" customHeight="1">
      <c r="A3241" s="32">
        <v>3237.0</v>
      </c>
      <c r="C3241" s="32" t="s">
        <v>4087</v>
      </c>
      <c r="D3241" s="32" t="s">
        <v>184</v>
      </c>
      <c r="E3241" s="32" t="s">
        <v>254</v>
      </c>
      <c r="F3241" s="32" t="s">
        <v>255</v>
      </c>
      <c r="G3241" s="32" t="s">
        <v>257</v>
      </c>
      <c r="H3241" s="32" t="s">
        <v>271</v>
      </c>
    </row>
    <row r="3242" ht="16.5" customHeight="1">
      <c r="A3242" s="32">
        <v>3238.0</v>
      </c>
      <c r="C3242" s="32" t="s">
        <v>4088</v>
      </c>
      <c r="D3242" s="32" t="s">
        <v>184</v>
      </c>
      <c r="E3242" s="32" t="s">
        <v>285</v>
      </c>
      <c r="F3242" s="32" t="s">
        <v>255</v>
      </c>
    </row>
    <row r="3243" ht="16.5" customHeight="1">
      <c r="A3243" s="32">
        <v>3239.0</v>
      </c>
      <c r="C3243" s="32" t="s">
        <v>4089</v>
      </c>
      <c r="D3243" s="32" t="s">
        <v>184</v>
      </c>
      <c r="E3243" s="32" t="s">
        <v>285</v>
      </c>
      <c r="F3243" s="32" t="s">
        <v>255</v>
      </c>
    </row>
    <row r="3244" ht="16.5" customHeight="1">
      <c r="A3244" s="32">
        <v>3240.0</v>
      </c>
      <c r="C3244" s="32" t="s">
        <v>4090</v>
      </c>
      <c r="D3244" s="32" t="s">
        <v>184</v>
      </c>
      <c r="E3244" s="32" t="s">
        <v>185</v>
      </c>
      <c r="F3244" s="32" t="s">
        <v>255</v>
      </c>
    </row>
    <row r="3245" ht="16.5" customHeight="1">
      <c r="A3245" s="32">
        <v>3241.0</v>
      </c>
      <c r="C3245" s="32" t="s">
        <v>4091</v>
      </c>
      <c r="D3245" s="32" t="s">
        <v>184</v>
      </c>
      <c r="E3245" s="32" t="s">
        <v>285</v>
      </c>
      <c r="F3245" s="32" t="s">
        <v>373</v>
      </c>
    </row>
    <row r="3246" ht="16.5" customHeight="1">
      <c r="A3246" s="32">
        <v>3242.0</v>
      </c>
      <c r="C3246" s="32" t="s">
        <v>4092</v>
      </c>
      <c r="D3246" s="32" t="s">
        <v>184</v>
      </c>
      <c r="E3246" s="32" t="s">
        <v>192</v>
      </c>
      <c r="F3246" s="32" t="s">
        <v>255</v>
      </c>
      <c r="G3246" s="32" t="s">
        <v>239</v>
      </c>
      <c r="H3246" s="32" t="s">
        <v>4008</v>
      </c>
    </row>
    <row r="3247" ht="16.5" customHeight="1">
      <c r="A3247" s="32">
        <v>3243.0</v>
      </c>
      <c r="C3247" s="32" t="s">
        <v>4093</v>
      </c>
      <c r="D3247" s="32" t="s">
        <v>184</v>
      </c>
      <c r="E3247" s="32" t="s">
        <v>192</v>
      </c>
      <c r="F3247" s="32" t="s">
        <v>255</v>
      </c>
      <c r="G3247" s="32" t="s">
        <v>239</v>
      </c>
      <c r="H3247" s="32" t="s">
        <v>4008</v>
      </c>
    </row>
    <row r="3248" ht="16.5" customHeight="1">
      <c r="A3248" s="32">
        <v>3244.0</v>
      </c>
      <c r="C3248" s="32" t="s">
        <v>4094</v>
      </c>
      <c r="D3248" s="32" t="s">
        <v>184</v>
      </c>
      <c r="E3248" s="32" t="s">
        <v>234</v>
      </c>
      <c r="F3248" s="32" t="s">
        <v>255</v>
      </c>
      <c r="G3248" s="32" t="s">
        <v>885</v>
      </c>
      <c r="H3248" s="32" t="s">
        <v>1621</v>
      </c>
    </row>
    <row r="3249" ht="16.5" customHeight="1">
      <c r="A3249" s="32">
        <v>3245.0</v>
      </c>
      <c r="C3249" s="32" t="s">
        <v>4095</v>
      </c>
      <c r="D3249" s="32" t="s">
        <v>184</v>
      </c>
      <c r="E3249" s="32" t="s">
        <v>192</v>
      </c>
      <c r="F3249" s="32" t="s">
        <v>255</v>
      </c>
      <c r="G3249" s="32" t="s">
        <v>4096</v>
      </c>
      <c r="H3249" s="32" t="s">
        <v>300</v>
      </c>
    </row>
    <row r="3250" ht="16.5" customHeight="1">
      <c r="A3250" s="32">
        <v>3246.0</v>
      </c>
      <c r="C3250" s="32" t="s">
        <v>4097</v>
      </c>
      <c r="D3250" s="32" t="s">
        <v>184</v>
      </c>
      <c r="E3250" s="32" t="s">
        <v>192</v>
      </c>
      <c r="F3250" s="32" t="s">
        <v>255</v>
      </c>
      <c r="G3250" s="32" t="s">
        <v>4008</v>
      </c>
      <c r="H3250" s="32" t="s">
        <v>408</v>
      </c>
    </row>
    <row r="3251" ht="16.5" customHeight="1">
      <c r="A3251" s="32">
        <v>3247.0</v>
      </c>
      <c r="C3251" s="32" t="s">
        <v>4098</v>
      </c>
      <c r="D3251" s="32" t="s">
        <v>184</v>
      </c>
      <c r="E3251" s="32" t="s">
        <v>254</v>
      </c>
      <c r="F3251" s="32" t="s">
        <v>255</v>
      </c>
    </row>
    <row r="3252" ht="16.5" customHeight="1">
      <c r="A3252" s="32">
        <v>3248.0</v>
      </c>
      <c r="C3252" s="32" t="s">
        <v>4099</v>
      </c>
      <c r="D3252" s="32" t="s">
        <v>184</v>
      </c>
      <c r="E3252" s="35" t="s">
        <v>310</v>
      </c>
      <c r="F3252" s="32" t="s">
        <v>255</v>
      </c>
      <c r="G3252" s="32" t="s">
        <v>2845</v>
      </c>
      <c r="H3252" s="32" t="s">
        <v>4100</v>
      </c>
    </row>
    <row r="3253" ht="16.5" customHeight="1">
      <c r="A3253" s="32">
        <v>3249.0</v>
      </c>
      <c r="C3253" s="32" t="s">
        <v>4101</v>
      </c>
      <c r="D3253" s="32" t="s">
        <v>184</v>
      </c>
      <c r="E3253" s="32" t="s">
        <v>185</v>
      </c>
      <c r="F3253" s="32" t="s">
        <v>255</v>
      </c>
    </row>
    <row r="3254" ht="16.5" customHeight="1">
      <c r="A3254" s="32">
        <v>3250.0</v>
      </c>
      <c r="C3254" s="32" t="s">
        <v>4102</v>
      </c>
      <c r="D3254" s="32" t="s">
        <v>184</v>
      </c>
      <c r="E3254" s="32" t="s">
        <v>254</v>
      </c>
      <c r="F3254" s="32" t="s">
        <v>255</v>
      </c>
      <c r="G3254" s="32" t="s">
        <v>4103</v>
      </c>
      <c r="H3254" s="32" t="s">
        <v>4104</v>
      </c>
    </row>
    <row r="3255" ht="16.5" customHeight="1">
      <c r="A3255" s="32">
        <v>3251.0</v>
      </c>
      <c r="C3255" s="32" t="s">
        <v>4105</v>
      </c>
      <c r="D3255" s="32" t="s">
        <v>184</v>
      </c>
      <c r="E3255" s="35" t="s">
        <v>310</v>
      </c>
      <c r="F3255" s="32" t="s">
        <v>255</v>
      </c>
      <c r="G3255" s="32" t="s">
        <v>305</v>
      </c>
      <c r="H3255" s="32" t="s">
        <v>1306</v>
      </c>
    </row>
    <row r="3256" ht="16.5" customHeight="1">
      <c r="A3256" s="32">
        <v>3252.0</v>
      </c>
      <c r="C3256" s="32" t="s">
        <v>4106</v>
      </c>
      <c r="D3256" s="32" t="s">
        <v>184</v>
      </c>
      <c r="E3256" s="32" t="s">
        <v>192</v>
      </c>
      <c r="F3256" s="32" t="s">
        <v>2745</v>
      </c>
    </row>
    <row r="3257" ht="16.5" customHeight="1">
      <c r="A3257" s="32">
        <v>3253.0</v>
      </c>
      <c r="C3257" s="32" t="s">
        <v>4107</v>
      </c>
      <c r="D3257" s="32" t="s">
        <v>184</v>
      </c>
      <c r="E3257" s="32" t="s">
        <v>254</v>
      </c>
      <c r="F3257" s="32" t="s">
        <v>255</v>
      </c>
    </row>
    <row r="3258" ht="16.5" customHeight="1">
      <c r="A3258" s="32">
        <v>3254.0</v>
      </c>
      <c r="C3258" s="32" t="s">
        <v>4108</v>
      </c>
      <c r="D3258" s="32" t="s">
        <v>184</v>
      </c>
      <c r="E3258" s="32" t="s">
        <v>228</v>
      </c>
      <c r="F3258" s="32" t="s">
        <v>399</v>
      </c>
    </row>
    <row r="3259" ht="16.5" customHeight="1">
      <c r="A3259" s="32">
        <v>3255.0</v>
      </c>
      <c r="C3259" s="32" t="s">
        <v>4109</v>
      </c>
      <c r="D3259" s="32" t="s">
        <v>184</v>
      </c>
      <c r="E3259" s="32" t="s">
        <v>192</v>
      </c>
      <c r="F3259" s="32" t="s">
        <v>255</v>
      </c>
    </row>
    <row r="3260" ht="16.5" customHeight="1">
      <c r="A3260" s="32">
        <v>3256.0</v>
      </c>
      <c r="C3260" s="32" t="s">
        <v>4110</v>
      </c>
      <c r="D3260" s="32" t="s">
        <v>184</v>
      </c>
      <c r="E3260" s="32" t="s">
        <v>234</v>
      </c>
      <c r="F3260" s="32" t="s">
        <v>255</v>
      </c>
      <c r="G3260" s="32" t="s">
        <v>472</v>
      </c>
    </row>
    <row r="3261" ht="16.5" customHeight="1">
      <c r="A3261" s="32">
        <v>3257.0</v>
      </c>
      <c r="C3261" s="32" t="s">
        <v>4111</v>
      </c>
      <c r="D3261" s="32" t="s">
        <v>184</v>
      </c>
      <c r="E3261" s="32" t="s">
        <v>351</v>
      </c>
      <c r="F3261" s="32" t="s">
        <v>255</v>
      </c>
    </row>
    <row r="3262" ht="16.5" customHeight="1">
      <c r="A3262" s="32">
        <v>3258.0</v>
      </c>
      <c r="C3262" s="32" t="s">
        <v>4112</v>
      </c>
      <c r="D3262" s="32" t="s">
        <v>184</v>
      </c>
      <c r="E3262" s="32" t="s">
        <v>192</v>
      </c>
      <c r="F3262" s="32" t="s">
        <v>255</v>
      </c>
      <c r="G3262" s="32" t="s">
        <v>329</v>
      </c>
      <c r="H3262" s="32" t="s">
        <v>447</v>
      </c>
    </row>
    <row r="3263" ht="16.5" customHeight="1">
      <c r="A3263" s="32">
        <v>3259.0</v>
      </c>
      <c r="C3263" s="32" t="s">
        <v>4113</v>
      </c>
      <c r="D3263" s="32" t="s">
        <v>184</v>
      </c>
      <c r="E3263" s="32" t="s">
        <v>192</v>
      </c>
      <c r="F3263" s="32" t="s">
        <v>255</v>
      </c>
      <c r="G3263" s="32" t="s">
        <v>329</v>
      </c>
      <c r="H3263" s="32" t="s">
        <v>447</v>
      </c>
    </row>
    <row r="3264" ht="16.5" customHeight="1">
      <c r="A3264" s="32">
        <v>3260.0</v>
      </c>
      <c r="C3264" s="32" t="s">
        <v>4114</v>
      </c>
      <c r="D3264" s="32" t="s">
        <v>184</v>
      </c>
      <c r="E3264" s="35" t="s">
        <v>361</v>
      </c>
      <c r="F3264" s="32" t="s">
        <v>255</v>
      </c>
      <c r="G3264" s="32" t="s">
        <v>329</v>
      </c>
      <c r="H3264" s="32" t="s">
        <v>357</v>
      </c>
    </row>
    <row r="3265" ht="16.5" customHeight="1">
      <c r="A3265" s="32">
        <v>3261.0</v>
      </c>
      <c r="C3265" s="32" t="s">
        <v>4115</v>
      </c>
      <c r="D3265" s="32" t="s">
        <v>184</v>
      </c>
      <c r="E3265" s="32" t="s">
        <v>351</v>
      </c>
      <c r="F3265" s="32" t="s">
        <v>255</v>
      </c>
      <c r="G3265" s="32" t="s">
        <v>4116</v>
      </c>
    </row>
    <row r="3266" ht="16.5" customHeight="1">
      <c r="A3266" s="32">
        <v>3262.0</v>
      </c>
      <c r="C3266" s="32" t="s">
        <v>4117</v>
      </c>
      <c r="D3266" s="32" t="s">
        <v>184</v>
      </c>
      <c r="E3266" s="32" t="s">
        <v>254</v>
      </c>
      <c r="F3266" s="32" t="s">
        <v>255</v>
      </c>
      <c r="G3266" s="32" t="s">
        <v>305</v>
      </c>
      <c r="H3266" s="32" t="s">
        <v>600</v>
      </c>
    </row>
    <row r="3267" ht="16.5" customHeight="1">
      <c r="A3267" s="32">
        <v>3263.0</v>
      </c>
      <c r="C3267" s="32" t="s">
        <v>4118</v>
      </c>
      <c r="D3267" s="32" t="s">
        <v>184</v>
      </c>
      <c r="E3267" s="32" t="s">
        <v>325</v>
      </c>
      <c r="F3267" s="32" t="s">
        <v>255</v>
      </c>
    </row>
    <row r="3268" ht="16.5" customHeight="1">
      <c r="A3268" s="32">
        <v>3264.0</v>
      </c>
      <c r="C3268" s="32" t="s">
        <v>4119</v>
      </c>
      <c r="D3268" s="32" t="s">
        <v>184</v>
      </c>
      <c r="E3268" s="35" t="s">
        <v>522</v>
      </c>
      <c r="F3268" s="32" t="s">
        <v>255</v>
      </c>
      <c r="G3268" s="32" t="s">
        <v>2640</v>
      </c>
      <c r="H3268" s="32" t="s">
        <v>1206</v>
      </c>
    </row>
    <row r="3269" ht="16.5" customHeight="1">
      <c r="A3269" s="32">
        <v>3265.0</v>
      </c>
      <c r="C3269" s="32" t="s">
        <v>4120</v>
      </c>
      <c r="D3269" s="32" t="s">
        <v>184</v>
      </c>
      <c r="E3269" s="32" t="s">
        <v>254</v>
      </c>
      <c r="F3269" s="32" t="s">
        <v>255</v>
      </c>
      <c r="G3269" s="32" t="s">
        <v>305</v>
      </c>
      <c r="H3269" s="32" t="s">
        <v>600</v>
      </c>
    </row>
    <row r="3270" ht="16.5" customHeight="1">
      <c r="A3270" s="32">
        <v>3266.0</v>
      </c>
      <c r="C3270" s="32" t="s">
        <v>4121</v>
      </c>
      <c r="D3270" s="32" t="s">
        <v>184</v>
      </c>
      <c r="E3270" s="32" t="s">
        <v>254</v>
      </c>
      <c r="F3270" s="32" t="s">
        <v>255</v>
      </c>
      <c r="G3270" s="32" t="s">
        <v>256</v>
      </c>
      <c r="H3270" s="32" t="s">
        <v>424</v>
      </c>
    </row>
    <row r="3271" ht="16.5" customHeight="1">
      <c r="A3271" s="32">
        <v>3267.0</v>
      </c>
      <c r="C3271" s="32" t="s">
        <v>4122</v>
      </c>
      <c r="D3271" s="32" t="s">
        <v>184</v>
      </c>
      <c r="E3271" s="35" t="s">
        <v>310</v>
      </c>
      <c r="F3271" s="32" t="s">
        <v>255</v>
      </c>
    </row>
    <row r="3272" ht="16.5" customHeight="1">
      <c r="A3272" s="32">
        <v>3268.0</v>
      </c>
      <c r="C3272" s="32" t="s">
        <v>4123</v>
      </c>
      <c r="D3272" s="32" t="s">
        <v>184</v>
      </c>
      <c r="E3272" s="32" t="s">
        <v>219</v>
      </c>
      <c r="F3272" s="32" t="s">
        <v>255</v>
      </c>
    </row>
    <row r="3273" ht="16.5" customHeight="1">
      <c r="A3273" s="32">
        <v>3269.0</v>
      </c>
      <c r="C3273" s="32" t="s">
        <v>4124</v>
      </c>
      <c r="D3273" s="32" t="s">
        <v>184</v>
      </c>
      <c r="E3273" s="32" t="s">
        <v>192</v>
      </c>
      <c r="F3273" s="32" t="s">
        <v>255</v>
      </c>
      <c r="G3273" s="32" t="s">
        <v>329</v>
      </c>
      <c r="H3273" s="32" t="s">
        <v>447</v>
      </c>
    </row>
    <row r="3274" ht="16.5" customHeight="1">
      <c r="A3274" s="32">
        <v>3270.0</v>
      </c>
      <c r="C3274" s="32" t="s">
        <v>4125</v>
      </c>
      <c r="D3274" s="32" t="s">
        <v>184</v>
      </c>
      <c r="E3274" s="32" t="s">
        <v>192</v>
      </c>
      <c r="F3274" s="32" t="s">
        <v>255</v>
      </c>
    </row>
    <row r="3275" ht="16.5" customHeight="1">
      <c r="A3275" s="32">
        <v>3271.0</v>
      </c>
      <c r="C3275" s="32" t="s">
        <v>4126</v>
      </c>
      <c r="D3275" s="32" t="s">
        <v>184</v>
      </c>
      <c r="E3275" s="32" t="s">
        <v>192</v>
      </c>
      <c r="F3275" s="32" t="s">
        <v>255</v>
      </c>
      <c r="G3275" s="32" t="s">
        <v>329</v>
      </c>
      <c r="H3275" s="32" t="s">
        <v>447</v>
      </c>
    </row>
    <row r="3276" ht="16.5" customHeight="1">
      <c r="A3276" s="32">
        <v>3272.0</v>
      </c>
      <c r="C3276" s="32" t="s">
        <v>4127</v>
      </c>
      <c r="D3276" s="32" t="s">
        <v>184</v>
      </c>
      <c r="E3276" s="32" t="s">
        <v>192</v>
      </c>
      <c r="F3276" s="32" t="s">
        <v>255</v>
      </c>
      <c r="G3276" s="32" t="s">
        <v>300</v>
      </c>
      <c r="H3276" s="32" t="s">
        <v>3413</v>
      </c>
    </row>
    <row r="3277" ht="16.5" customHeight="1">
      <c r="A3277" s="32">
        <v>3273.0</v>
      </c>
      <c r="C3277" s="32" t="s">
        <v>4128</v>
      </c>
      <c r="D3277" s="32" t="s">
        <v>184</v>
      </c>
      <c r="E3277" s="32" t="s">
        <v>192</v>
      </c>
      <c r="F3277" s="32" t="s">
        <v>2745</v>
      </c>
    </row>
    <row r="3278" ht="16.5" customHeight="1">
      <c r="A3278" s="32">
        <v>3274.0</v>
      </c>
      <c r="C3278" s="32" t="s">
        <v>4129</v>
      </c>
      <c r="D3278" s="32" t="s">
        <v>184</v>
      </c>
      <c r="E3278" s="32" t="s">
        <v>192</v>
      </c>
      <c r="F3278" s="32" t="s">
        <v>255</v>
      </c>
      <c r="G3278" s="32" t="s">
        <v>570</v>
      </c>
      <c r="H3278" s="32" t="s">
        <v>447</v>
      </c>
    </row>
    <row r="3279" ht="16.5" customHeight="1">
      <c r="A3279" s="32">
        <v>3275.0</v>
      </c>
      <c r="C3279" s="32" t="s">
        <v>4130</v>
      </c>
      <c r="D3279" s="32" t="s">
        <v>184</v>
      </c>
      <c r="E3279" s="32" t="s">
        <v>254</v>
      </c>
      <c r="F3279" s="32" t="s">
        <v>255</v>
      </c>
      <c r="G3279" s="32" t="s">
        <v>1328</v>
      </c>
      <c r="H3279" s="32" t="s">
        <v>190</v>
      </c>
    </row>
    <row r="3280" ht="16.5" customHeight="1">
      <c r="A3280" s="32">
        <v>3276.0</v>
      </c>
      <c r="C3280" s="32" t="s">
        <v>4131</v>
      </c>
      <c r="D3280" s="32" t="s">
        <v>184</v>
      </c>
      <c r="E3280" s="32" t="s">
        <v>254</v>
      </c>
      <c r="F3280" s="32" t="s">
        <v>255</v>
      </c>
      <c r="G3280" s="32" t="s">
        <v>263</v>
      </c>
      <c r="H3280" s="32" t="s">
        <v>4132</v>
      </c>
    </row>
    <row r="3281" ht="16.5" customHeight="1">
      <c r="A3281" s="32">
        <v>3277.0</v>
      </c>
      <c r="C3281" s="32" t="s">
        <v>4133</v>
      </c>
      <c r="D3281" s="32" t="s">
        <v>184</v>
      </c>
      <c r="E3281" s="32" t="s">
        <v>234</v>
      </c>
      <c r="F3281" s="32" t="s">
        <v>255</v>
      </c>
      <c r="G3281" s="32" t="s">
        <v>472</v>
      </c>
    </row>
    <row r="3282" ht="16.5" customHeight="1">
      <c r="A3282" s="32">
        <v>3278.0</v>
      </c>
      <c r="C3282" s="32" t="s">
        <v>4134</v>
      </c>
      <c r="D3282" s="32" t="s">
        <v>184</v>
      </c>
      <c r="E3282" s="32" t="s">
        <v>254</v>
      </c>
      <c r="F3282" s="32" t="s">
        <v>399</v>
      </c>
      <c r="G3282" s="32" t="s">
        <v>257</v>
      </c>
      <c r="H3282" s="32" t="s">
        <v>271</v>
      </c>
    </row>
    <row r="3283" ht="16.5" customHeight="1">
      <c r="A3283" s="32">
        <v>3279.0</v>
      </c>
      <c r="C3283" s="32" t="s">
        <v>4135</v>
      </c>
      <c r="D3283" s="32" t="s">
        <v>184</v>
      </c>
      <c r="E3283" s="32" t="s">
        <v>254</v>
      </c>
      <c r="F3283" s="32" t="s">
        <v>255</v>
      </c>
      <c r="G3283" s="32" t="s">
        <v>257</v>
      </c>
      <c r="H3283" s="32" t="s">
        <v>256</v>
      </c>
    </row>
    <row r="3284" ht="16.5" customHeight="1">
      <c r="A3284" s="32">
        <v>3280.0</v>
      </c>
      <c r="C3284" s="32" t="s">
        <v>4136</v>
      </c>
      <c r="D3284" s="32" t="s">
        <v>184</v>
      </c>
      <c r="E3284" s="32" t="s">
        <v>254</v>
      </c>
      <c r="F3284" s="32" t="s">
        <v>255</v>
      </c>
      <c r="G3284" s="32" t="s">
        <v>257</v>
      </c>
      <c r="H3284" s="32" t="s">
        <v>256</v>
      </c>
    </row>
    <row r="3285" ht="16.5" customHeight="1">
      <c r="A3285" s="32">
        <v>3281.0</v>
      </c>
      <c r="C3285" s="32" t="s">
        <v>4137</v>
      </c>
      <c r="D3285" s="32" t="s">
        <v>184</v>
      </c>
      <c r="E3285" s="32" t="s">
        <v>254</v>
      </c>
      <c r="F3285" s="32" t="s">
        <v>255</v>
      </c>
    </row>
    <row r="3286" ht="16.5" customHeight="1">
      <c r="A3286" s="32">
        <v>3282.0</v>
      </c>
      <c r="C3286" s="32" t="s">
        <v>4138</v>
      </c>
      <c r="D3286" s="32" t="s">
        <v>184</v>
      </c>
      <c r="E3286" s="32" t="s">
        <v>285</v>
      </c>
      <c r="F3286" s="32" t="s">
        <v>255</v>
      </c>
      <c r="G3286" s="32" t="s">
        <v>188</v>
      </c>
      <c r="H3286" s="32" t="s">
        <v>4139</v>
      </c>
    </row>
    <row r="3287" ht="16.5" customHeight="1">
      <c r="A3287" s="32">
        <v>3283.0</v>
      </c>
      <c r="C3287" s="32" t="s">
        <v>4138</v>
      </c>
      <c r="D3287" s="32" t="s">
        <v>184</v>
      </c>
      <c r="E3287" s="32" t="s">
        <v>285</v>
      </c>
      <c r="F3287" s="32" t="s">
        <v>255</v>
      </c>
    </row>
    <row r="3288" ht="16.5" customHeight="1">
      <c r="A3288" s="32">
        <v>3284.0</v>
      </c>
      <c r="C3288" s="32" t="s">
        <v>4140</v>
      </c>
      <c r="D3288" s="32" t="s">
        <v>184</v>
      </c>
      <c r="E3288" s="32" t="s">
        <v>285</v>
      </c>
      <c r="F3288" s="32" t="s">
        <v>255</v>
      </c>
      <c r="G3288" s="32" t="s">
        <v>188</v>
      </c>
      <c r="H3288" s="32" t="s">
        <v>4141</v>
      </c>
    </row>
    <row r="3289" ht="16.5" customHeight="1">
      <c r="A3289" s="32">
        <v>3285.0</v>
      </c>
      <c r="C3289" s="32" t="s">
        <v>4142</v>
      </c>
      <c r="D3289" s="32" t="s">
        <v>184</v>
      </c>
      <c r="E3289" s="35" t="s">
        <v>361</v>
      </c>
      <c r="F3289" s="32" t="s">
        <v>255</v>
      </c>
      <c r="G3289" s="32" t="s">
        <v>1230</v>
      </c>
    </row>
    <row r="3290" ht="16.5" customHeight="1">
      <c r="A3290" s="32">
        <v>3286.0</v>
      </c>
      <c r="C3290" s="32" t="s">
        <v>4143</v>
      </c>
      <c r="D3290" s="32" t="s">
        <v>184</v>
      </c>
      <c r="E3290" s="32" t="s">
        <v>285</v>
      </c>
      <c r="F3290" s="32" t="s">
        <v>255</v>
      </c>
      <c r="G3290" s="32" t="s">
        <v>188</v>
      </c>
      <c r="H3290" s="32" t="s">
        <v>368</v>
      </c>
    </row>
    <row r="3291" ht="16.5" customHeight="1">
      <c r="A3291" s="32">
        <v>3287.0</v>
      </c>
      <c r="C3291" s="32" t="s">
        <v>4144</v>
      </c>
      <c r="D3291" s="32" t="s">
        <v>184</v>
      </c>
      <c r="E3291" s="32" t="s">
        <v>192</v>
      </c>
      <c r="F3291" s="32" t="s">
        <v>255</v>
      </c>
      <c r="G3291" s="32" t="s">
        <v>4008</v>
      </c>
      <c r="H3291" s="32" t="s">
        <v>1621</v>
      </c>
    </row>
    <row r="3292" ht="16.5" customHeight="1">
      <c r="A3292" s="32">
        <v>3288.0</v>
      </c>
      <c r="C3292" s="32" t="s">
        <v>4145</v>
      </c>
      <c r="D3292" s="32" t="s">
        <v>184</v>
      </c>
      <c r="E3292" s="32" t="s">
        <v>192</v>
      </c>
      <c r="F3292" s="32" t="s">
        <v>255</v>
      </c>
    </row>
    <row r="3293" ht="16.5" customHeight="1">
      <c r="A3293" s="32">
        <v>3289.0</v>
      </c>
      <c r="C3293" s="32" t="s">
        <v>4146</v>
      </c>
      <c r="D3293" s="32" t="s">
        <v>184</v>
      </c>
      <c r="E3293" s="32" t="s">
        <v>192</v>
      </c>
      <c r="F3293" s="32" t="s">
        <v>255</v>
      </c>
      <c r="G3293" s="32" t="s">
        <v>300</v>
      </c>
      <c r="H3293" s="32" t="s">
        <v>387</v>
      </c>
    </row>
    <row r="3294" ht="16.5" customHeight="1">
      <c r="A3294" s="32">
        <v>3290.0</v>
      </c>
      <c r="C3294" s="32" t="s">
        <v>4147</v>
      </c>
      <c r="D3294" s="32" t="s">
        <v>184</v>
      </c>
      <c r="E3294" s="32" t="s">
        <v>192</v>
      </c>
      <c r="F3294" s="32" t="s">
        <v>255</v>
      </c>
      <c r="G3294" s="32" t="s">
        <v>300</v>
      </c>
      <c r="H3294" s="32" t="s">
        <v>535</v>
      </c>
    </row>
    <row r="3295" ht="16.5" customHeight="1">
      <c r="A3295" s="32">
        <v>3291.0</v>
      </c>
      <c r="C3295" s="32" t="s">
        <v>4148</v>
      </c>
      <c r="D3295" s="32" t="s">
        <v>184</v>
      </c>
      <c r="E3295" s="32" t="s">
        <v>228</v>
      </c>
      <c r="F3295" s="32" t="s">
        <v>291</v>
      </c>
      <c r="G3295" s="32" t="s">
        <v>229</v>
      </c>
      <c r="H3295" s="32" t="s">
        <v>626</v>
      </c>
    </row>
    <row r="3296" ht="16.5" customHeight="1">
      <c r="A3296" s="32">
        <v>3292.0</v>
      </c>
      <c r="C3296" s="32" t="s">
        <v>4149</v>
      </c>
      <c r="D3296" s="32" t="s">
        <v>184</v>
      </c>
      <c r="E3296" s="35" t="s">
        <v>3260</v>
      </c>
      <c r="F3296" s="32" t="s">
        <v>255</v>
      </c>
      <c r="G3296" s="32" t="s">
        <v>4150</v>
      </c>
      <c r="H3296" s="32" t="s">
        <v>3267</v>
      </c>
    </row>
    <row r="3297" ht="16.5" customHeight="1">
      <c r="A3297" s="32">
        <v>3293.0</v>
      </c>
      <c r="C3297" s="32" t="s">
        <v>4151</v>
      </c>
      <c r="D3297" s="32" t="s">
        <v>184</v>
      </c>
      <c r="E3297" s="32" t="s">
        <v>254</v>
      </c>
      <c r="F3297" s="32" t="s">
        <v>255</v>
      </c>
      <c r="G3297" s="32" t="s">
        <v>235</v>
      </c>
      <c r="H3297" s="32" t="s">
        <v>3265</v>
      </c>
    </row>
    <row r="3298" ht="16.5" customHeight="1">
      <c r="A3298" s="32">
        <v>3294.0</v>
      </c>
      <c r="C3298" s="32" t="s">
        <v>4152</v>
      </c>
      <c r="D3298" s="32" t="s">
        <v>184</v>
      </c>
      <c r="E3298" s="32" t="s">
        <v>234</v>
      </c>
      <c r="F3298" s="32" t="s">
        <v>255</v>
      </c>
      <c r="G3298" s="32" t="s">
        <v>235</v>
      </c>
      <c r="H3298" s="32" t="s">
        <v>3267</v>
      </c>
    </row>
    <row r="3299" ht="16.5" customHeight="1">
      <c r="A3299" s="32">
        <v>3295.0</v>
      </c>
      <c r="C3299" s="32" t="s">
        <v>4153</v>
      </c>
      <c r="D3299" s="32" t="s">
        <v>184</v>
      </c>
      <c r="E3299" s="32" t="s">
        <v>192</v>
      </c>
      <c r="F3299" s="32" t="s">
        <v>255</v>
      </c>
    </row>
    <row r="3300" ht="16.5" customHeight="1">
      <c r="A3300" s="32">
        <v>3296.0</v>
      </c>
      <c r="C3300" s="32" t="s">
        <v>4154</v>
      </c>
      <c r="D3300" s="32" t="s">
        <v>184</v>
      </c>
      <c r="E3300" s="35" t="s">
        <v>294</v>
      </c>
      <c r="F3300" s="32" t="s">
        <v>255</v>
      </c>
      <c r="G3300" s="32" t="s">
        <v>189</v>
      </c>
      <c r="H3300" s="32" t="s">
        <v>190</v>
      </c>
    </row>
    <row r="3301" ht="16.5" customHeight="1">
      <c r="A3301" s="32">
        <v>3297.0</v>
      </c>
      <c r="C3301" s="32" t="s">
        <v>4155</v>
      </c>
      <c r="D3301" s="32" t="s">
        <v>184</v>
      </c>
      <c r="E3301" s="32" t="s">
        <v>192</v>
      </c>
      <c r="F3301" s="32" t="s">
        <v>255</v>
      </c>
    </row>
    <row r="3302" ht="16.5" customHeight="1">
      <c r="A3302" s="32">
        <v>3298.0</v>
      </c>
      <c r="C3302" s="32" t="s">
        <v>4156</v>
      </c>
      <c r="D3302" s="32" t="s">
        <v>184</v>
      </c>
      <c r="E3302" s="32" t="s">
        <v>285</v>
      </c>
      <c r="F3302" s="32" t="s">
        <v>255</v>
      </c>
    </row>
    <row r="3303" ht="16.5" customHeight="1">
      <c r="A3303" s="32">
        <v>3299.0</v>
      </c>
      <c r="C3303" s="32" t="s">
        <v>4157</v>
      </c>
      <c r="D3303" s="32" t="s">
        <v>184</v>
      </c>
      <c r="E3303" s="32" t="s">
        <v>254</v>
      </c>
      <c r="F3303" s="32" t="s">
        <v>399</v>
      </c>
      <c r="G3303" s="32" t="s">
        <v>257</v>
      </c>
      <c r="H3303" s="32" t="s">
        <v>271</v>
      </c>
    </row>
    <row r="3304" ht="16.5" customHeight="1">
      <c r="A3304" s="32">
        <v>3300.0</v>
      </c>
      <c r="C3304" s="32" t="s">
        <v>4158</v>
      </c>
      <c r="D3304" s="32" t="s">
        <v>184</v>
      </c>
      <c r="E3304" s="32" t="s">
        <v>254</v>
      </c>
      <c r="F3304" s="32" t="s">
        <v>255</v>
      </c>
      <c r="G3304" s="32" t="s">
        <v>257</v>
      </c>
      <c r="H3304" s="32" t="s">
        <v>4159</v>
      </c>
    </row>
    <row r="3305" ht="16.5" customHeight="1">
      <c r="A3305" s="32">
        <v>3301.0</v>
      </c>
      <c r="C3305" s="32" t="s">
        <v>4160</v>
      </c>
      <c r="D3305" s="32" t="s">
        <v>184</v>
      </c>
      <c r="E3305" s="32" t="s">
        <v>285</v>
      </c>
      <c r="F3305" s="32" t="s">
        <v>255</v>
      </c>
      <c r="G3305" s="32" t="s">
        <v>2482</v>
      </c>
      <c r="H3305" s="32" t="s">
        <v>4161</v>
      </c>
    </row>
    <row r="3306" ht="16.5" customHeight="1">
      <c r="A3306" s="32">
        <v>3302.0</v>
      </c>
      <c r="C3306" s="32" t="s">
        <v>4162</v>
      </c>
      <c r="D3306" s="32" t="s">
        <v>184</v>
      </c>
      <c r="E3306" s="32" t="s">
        <v>285</v>
      </c>
      <c r="F3306" s="32" t="s">
        <v>255</v>
      </c>
      <c r="G3306" s="32" t="s">
        <v>1328</v>
      </c>
      <c r="H3306" s="32" t="s">
        <v>4163</v>
      </c>
    </row>
    <row r="3307" ht="16.5" customHeight="1">
      <c r="A3307" s="32">
        <v>3303.0</v>
      </c>
      <c r="C3307" s="32" t="s">
        <v>4164</v>
      </c>
      <c r="D3307" s="32" t="s">
        <v>184</v>
      </c>
      <c r="E3307" s="32" t="s">
        <v>254</v>
      </c>
      <c r="F3307" s="32" t="s">
        <v>255</v>
      </c>
      <c r="G3307" s="32" t="s">
        <v>257</v>
      </c>
      <c r="H3307" s="32" t="s">
        <v>4165</v>
      </c>
    </row>
    <row r="3308" ht="16.5" customHeight="1">
      <c r="A3308" s="32">
        <v>3304.0</v>
      </c>
      <c r="C3308" s="32" t="s">
        <v>4166</v>
      </c>
      <c r="D3308" s="32" t="s">
        <v>184</v>
      </c>
      <c r="E3308" s="32" t="s">
        <v>185</v>
      </c>
      <c r="F3308" s="32" t="s">
        <v>255</v>
      </c>
      <c r="G3308" s="32" t="s">
        <v>508</v>
      </c>
      <c r="H3308" s="32" t="s">
        <v>424</v>
      </c>
    </row>
    <row r="3309" ht="16.5" customHeight="1">
      <c r="A3309" s="32">
        <v>3305.0</v>
      </c>
      <c r="C3309" s="32" t="s">
        <v>4166</v>
      </c>
      <c r="D3309" s="32" t="s">
        <v>184</v>
      </c>
      <c r="E3309" s="32" t="s">
        <v>185</v>
      </c>
      <c r="F3309" s="32" t="s">
        <v>255</v>
      </c>
      <c r="G3309" s="32" t="s">
        <v>257</v>
      </c>
      <c r="H3309" s="32" t="s">
        <v>734</v>
      </c>
    </row>
    <row r="3310" ht="16.5" customHeight="1">
      <c r="A3310" s="32">
        <v>3306.0</v>
      </c>
      <c r="C3310" s="32" t="s">
        <v>4167</v>
      </c>
      <c r="D3310" s="32" t="s">
        <v>184</v>
      </c>
      <c r="E3310" s="32" t="s">
        <v>185</v>
      </c>
      <c r="F3310" s="32" t="s">
        <v>255</v>
      </c>
      <c r="G3310" s="32" t="s">
        <v>1206</v>
      </c>
    </row>
    <row r="3311" ht="16.5" customHeight="1">
      <c r="A3311" s="32">
        <v>3307.0</v>
      </c>
      <c r="C3311" s="32" t="s">
        <v>4168</v>
      </c>
      <c r="D3311" s="32" t="s">
        <v>184</v>
      </c>
      <c r="E3311" s="35" t="s">
        <v>1720</v>
      </c>
      <c r="F3311" s="32" t="s">
        <v>255</v>
      </c>
      <c r="G3311" s="32" t="s">
        <v>4169</v>
      </c>
      <c r="H3311" s="32" t="s">
        <v>4170</v>
      </c>
    </row>
    <row r="3312" ht="16.5" customHeight="1">
      <c r="A3312" s="32">
        <v>3308.0</v>
      </c>
      <c r="C3312" s="32" t="s">
        <v>4171</v>
      </c>
      <c r="D3312" s="32" t="s">
        <v>184</v>
      </c>
      <c r="E3312" s="32" t="s">
        <v>254</v>
      </c>
      <c r="F3312" s="32" t="s">
        <v>255</v>
      </c>
      <c r="G3312" s="32" t="s">
        <v>257</v>
      </c>
    </row>
    <row r="3313" ht="16.5" customHeight="1">
      <c r="A3313" s="32">
        <v>3309.0</v>
      </c>
      <c r="C3313" s="32" t="s">
        <v>4172</v>
      </c>
      <c r="D3313" s="32" t="s">
        <v>184</v>
      </c>
      <c r="E3313" s="32" t="s">
        <v>185</v>
      </c>
      <c r="F3313" s="32" t="s">
        <v>255</v>
      </c>
    </row>
    <row r="3314" ht="16.5" customHeight="1">
      <c r="A3314" s="32">
        <v>3310.0</v>
      </c>
      <c r="C3314" s="32" t="s">
        <v>4173</v>
      </c>
      <c r="D3314" s="32" t="s">
        <v>184</v>
      </c>
      <c r="E3314" s="32" t="s">
        <v>254</v>
      </c>
      <c r="F3314" s="32" t="s">
        <v>255</v>
      </c>
      <c r="G3314" s="32" t="s">
        <v>257</v>
      </c>
    </row>
    <row r="3315" ht="16.5" customHeight="1">
      <c r="A3315" s="32">
        <v>3311.0</v>
      </c>
      <c r="C3315" s="32" t="s">
        <v>4174</v>
      </c>
      <c r="D3315" s="32" t="s">
        <v>184</v>
      </c>
      <c r="E3315" s="32" t="s">
        <v>254</v>
      </c>
      <c r="F3315" s="32" t="s">
        <v>255</v>
      </c>
      <c r="G3315" s="32" t="s">
        <v>257</v>
      </c>
      <c r="H3315" s="32" t="s">
        <v>256</v>
      </c>
    </row>
    <row r="3316" ht="16.5" customHeight="1">
      <c r="A3316" s="32">
        <v>3312.0</v>
      </c>
      <c r="C3316" s="32" t="s">
        <v>4175</v>
      </c>
      <c r="D3316" s="32" t="s">
        <v>184</v>
      </c>
      <c r="E3316" s="32" t="s">
        <v>254</v>
      </c>
      <c r="F3316" s="32" t="s">
        <v>255</v>
      </c>
      <c r="G3316" s="32" t="s">
        <v>257</v>
      </c>
      <c r="H3316" s="32" t="s">
        <v>256</v>
      </c>
    </row>
    <row r="3317" ht="16.5" customHeight="1">
      <c r="A3317" s="32">
        <v>3313.0</v>
      </c>
      <c r="C3317" s="32" t="s">
        <v>4176</v>
      </c>
      <c r="D3317" s="32" t="s">
        <v>184</v>
      </c>
      <c r="E3317" s="32" t="s">
        <v>254</v>
      </c>
      <c r="F3317" s="32" t="s">
        <v>255</v>
      </c>
      <c r="G3317" s="32" t="s">
        <v>256</v>
      </c>
      <c r="H3317" s="32" t="s">
        <v>257</v>
      </c>
    </row>
    <row r="3318" ht="16.5" customHeight="1">
      <c r="A3318" s="32">
        <v>3314.0</v>
      </c>
      <c r="C3318" s="32" t="s">
        <v>4177</v>
      </c>
      <c r="D3318" s="32" t="s">
        <v>184</v>
      </c>
      <c r="E3318" s="32" t="s">
        <v>254</v>
      </c>
      <c r="F3318" s="32" t="s">
        <v>255</v>
      </c>
    </row>
    <row r="3319" ht="16.5" customHeight="1">
      <c r="A3319" s="32">
        <v>3315.0</v>
      </c>
      <c r="C3319" s="32" t="s">
        <v>4178</v>
      </c>
      <c r="D3319" s="32" t="s">
        <v>184</v>
      </c>
      <c r="E3319" s="32" t="s">
        <v>254</v>
      </c>
      <c r="F3319" s="32" t="s">
        <v>255</v>
      </c>
      <c r="G3319" s="32" t="s">
        <v>257</v>
      </c>
    </row>
    <row r="3320" ht="16.5" customHeight="1">
      <c r="A3320" s="32">
        <v>3316.0</v>
      </c>
      <c r="C3320" s="32" t="s">
        <v>4179</v>
      </c>
      <c r="D3320" s="32" t="s">
        <v>184</v>
      </c>
      <c r="E3320" s="32" t="s">
        <v>185</v>
      </c>
      <c r="F3320" s="32" t="s">
        <v>255</v>
      </c>
      <c r="G3320" s="32" t="s">
        <v>475</v>
      </c>
    </row>
    <row r="3321" ht="16.5" customHeight="1">
      <c r="A3321" s="32">
        <v>3317.0</v>
      </c>
      <c r="C3321" s="32" t="s">
        <v>4180</v>
      </c>
      <c r="D3321" s="32" t="s">
        <v>184</v>
      </c>
      <c r="E3321" s="35" t="s">
        <v>294</v>
      </c>
      <c r="F3321" s="32" t="s">
        <v>255</v>
      </c>
      <c r="G3321" s="32" t="s">
        <v>189</v>
      </c>
      <c r="H3321" s="32" t="s">
        <v>902</v>
      </c>
    </row>
    <row r="3322" ht="16.5" customHeight="1">
      <c r="A3322" s="32">
        <v>3318.0</v>
      </c>
      <c r="C3322" s="32" t="s">
        <v>4181</v>
      </c>
      <c r="D3322" s="32" t="s">
        <v>184</v>
      </c>
      <c r="E3322" s="35" t="s">
        <v>294</v>
      </c>
      <c r="F3322" s="32" t="s">
        <v>255</v>
      </c>
      <c r="G3322" s="32" t="s">
        <v>189</v>
      </c>
      <c r="H3322" s="32" t="s">
        <v>902</v>
      </c>
    </row>
    <row r="3323" ht="16.5" customHeight="1">
      <c r="A3323" s="32">
        <v>3319.0</v>
      </c>
      <c r="C3323" s="32" t="s">
        <v>4182</v>
      </c>
      <c r="D3323" s="32" t="s">
        <v>184</v>
      </c>
      <c r="E3323" s="32" t="s">
        <v>185</v>
      </c>
      <c r="F3323" s="32" t="s">
        <v>255</v>
      </c>
      <c r="G3323" s="32" t="s">
        <v>475</v>
      </c>
      <c r="H3323" s="32" t="s">
        <v>476</v>
      </c>
    </row>
    <row r="3324" ht="16.5" customHeight="1">
      <c r="A3324" s="32">
        <v>3320.0</v>
      </c>
      <c r="C3324" s="32" t="s">
        <v>4183</v>
      </c>
      <c r="D3324" s="32" t="s">
        <v>184</v>
      </c>
      <c r="E3324" s="32" t="s">
        <v>285</v>
      </c>
      <c r="F3324" s="32" t="s">
        <v>255</v>
      </c>
      <c r="G3324" s="32" t="s">
        <v>4184</v>
      </c>
      <c r="H3324" s="32" t="s">
        <v>4185</v>
      </c>
    </row>
    <row r="3325" ht="16.5" customHeight="1">
      <c r="A3325" s="32">
        <v>3321.0</v>
      </c>
      <c r="C3325" s="32" t="s">
        <v>4186</v>
      </c>
      <c r="D3325" s="32" t="s">
        <v>184</v>
      </c>
      <c r="E3325" s="32" t="s">
        <v>185</v>
      </c>
      <c r="F3325" s="32" t="s">
        <v>255</v>
      </c>
      <c r="G3325" s="32" t="s">
        <v>4187</v>
      </c>
    </row>
    <row r="3326" ht="16.5" customHeight="1">
      <c r="A3326" s="32">
        <v>3322.0</v>
      </c>
      <c r="C3326" s="32" t="s">
        <v>4188</v>
      </c>
      <c r="D3326" s="32" t="s">
        <v>184</v>
      </c>
      <c r="E3326" s="32" t="s">
        <v>185</v>
      </c>
      <c r="F3326" s="32" t="s">
        <v>255</v>
      </c>
      <c r="G3326" s="32" t="s">
        <v>4187</v>
      </c>
      <c r="H3326" s="32" t="s">
        <v>3965</v>
      </c>
    </row>
    <row r="3327" ht="16.5" customHeight="1">
      <c r="A3327" s="32">
        <v>3323.0</v>
      </c>
      <c r="C3327" s="32" t="s">
        <v>4189</v>
      </c>
      <c r="D3327" s="32" t="s">
        <v>184</v>
      </c>
      <c r="E3327" s="32" t="s">
        <v>185</v>
      </c>
      <c r="F3327" s="32" t="s">
        <v>255</v>
      </c>
      <c r="G3327" s="32" t="s">
        <v>1322</v>
      </c>
      <c r="H3327" s="32" t="s">
        <v>3617</v>
      </c>
    </row>
    <row r="3328" ht="16.5" customHeight="1">
      <c r="A3328" s="32">
        <v>3324.0</v>
      </c>
      <c r="C3328" s="32" t="s">
        <v>4190</v>
      </c>
      <c r="D3328" s="32" t="s">
        <v>184</v>
      </c>
      <c r="E3328" s="32" t="s">
        <v>185</v>
      </c>
      <c r="F3328" s="32" t="s">
        <v>255</v>
      </c>
    </row>
    <row r="3329" ht="16.5" customHeight="1">
      <c r="A3329" s="32">
        <v>3325.0</v>
      </c>
      <c r="C3329" s="32" t="s">
        <v>4191</v>
      </c>
      <c r="D3329" s="32" t="s">
        <v>184</v>
      </c>
      <c r="E3329" s="32" t="s">
        <v>185</v>
      </c>
      <c r="F3329" s="32" t="s">
        <v>255</v>
      </c>
      <c r="G3329" s="32" t="s">
        <v>295</v>
      </c>
      <c r="H3329" s="32" t="s">
        <v>476</v>
      </c>
    </row>
    <row r="3330" ht="16.5" customHeight="1">
      <c r="A3330" s="32">
        <v>3326.0</v>
      </c>
      <c r="C3330" s="32" t="s">
        <v>4192</v>
      </c>
      <c r="D3330" s="32" t="s">
        <v>184</v>
      </c>
      <c r="E3330" s="32" t="s">
        <v>185</v>
      </c>
      <c r="F3330" s="32" t="s">
        <v>255</v>
      </c>
      <c r="G3330" s="32" t="s">
        <v>475</v>
      </c>
      <c r="H3330" s="32" t="s">
        <v>476</v>
      </c>
    </row>
    <row r="3331" ht="16.5" customHeight="1">
      <c r="A3331" s="32">
        <v>3327.0</v>
      </c>
      <c r="C3331" s="32" t="s">
        <v>4193</v>
      </c>
      <c r="D3331" s="32" t="s">
        <v>184</v>
      </c>
      <c r="E3331" s="32" t="s">
        <v>185</v>
      </c>
      <c r="F3331" s="32" t="s">
        <v>255</v>
      </c>
      <c r="G3331" s="32" t="s">
        <v>475</v>
      </c>
      <c r="H3331" s="32" t="s">
        <v>476</v>
      </c>
    </row>
    <row r="3332" ht="16.5" customHeight="1">
      <c r="A3332" s="32">
        <v>3328.0</v>
      </c>
      <c r="C3332" s="32" t="s">
        <v>4194</v>
      </c>
      <c r="D3332" s="32" t="s">
        <v>184</v>
      </c>
      <c r="E3332" s="32" t="s">
        <v>254</v>
      </c>
      <c r="F3332" s="32" t="s">
        <v>255</v>
      </c>
      <c r="G3332" s="32" t="s">
        <v>257</v>
      </c>
    </row>
    <row r="3333" ht="16.5" customHeight="1">
      <c r="A3333" s="32">
        <v>3329.0</v>
      </c>
      <c r="C3333" s="32" t="s">
        <v>4195</v>
      </c>
      <c r="D3333" s="32" t="s">
        <v>184</v>
      </c>
      <c r="E3333" s="32" t="s">
        <v>254</v>
      </c>
      <c r="F3333" s="32" t="s">
        <v>255</v>
      </c>
      <c r="G3333" s="32" t="s">
        <v>257</v>
      </c>
      <c r="H3333" s="32" t="s">
        <v>2066</v>
      </c>
    </row>
    <row r="3334" ht="16.5" customHeight="1">
      <c r="A3334" s="32">
        <v>3330.0</v>
      </c>
      <c r="C3334" s="32" t="s">
        <v>4196</v>
      </c>
      <c r="D3334" s="32" t="s">
        <v>184</v>
      </c>
      <c r="E3334" s="32" t="s">
        <v>254</v>
      </c>
      <c r="F3334" s="32" t="s">
        <v>255</v>
      </c>
      <c r="G3334" s="32" t="s">
        <v>257</v>
      </c>
    </row>
    <row r="3335" ht="16.5" customHeight="1">
      <c r="A3335" s="32">
        <v>3331.0</v>
      </c>
      <c r="C3335" s="32" t="s">
        <v>4197</v>
      </c>
      <c r="D3335" s="32" t="s">
        <v>184</v>
      </c>
      <c r="E3335" s="32" t="s">
        <v>254</v>
      </c>
      <c r="F3335" s="32" t="s">
        <v>255</v>
      </c>
      <c r="G3335" s="32" t="s">
        <v>4011</v>
      </c>
      <c r="H3335" s="32" t="s">
        <v>4198</v>
      </c>
    </row>
    <row r="3336" ht="16.5" customHeight="1">
      <c r="A3336" s="32">
        <v>3332.0</v>
      </c>
      <c r="C3336" s="32" t="s">
        <v>4199</v>
      </c>
      <c r="D3336" s="32" t="s">
        <v>184</v>
      </c>
      <c r="E3336" s="32" t="s">
        <v>254</v>
      </c>
      <c r="F3336" s="32" t="s">
        <v>255</v>
      </c>
    </row>
    <row r="3337" ht="16.5" customHeight="1">
      <c r="A3337" s="32">
        <v>3333.0</v>
      </c>
      <c r="C3337" s="32" t="s">
        <v>4200</v>
      </c>
      <c r="D3337" s="32" t="s">
        <v>184</v>
      </c>
      <c r="E3337" s="32" t="s">
        <v>185</v>
      </c>
      <c r="F3337" s="32" t="s">
        <v>255</v>
      </c>
      <c r="G3337" s="32" t="s">
        <v>3634</v>
      </c>
      <c r="H3337" s="32" t="s">
        <v>3617</v>
      </c>
    </row>
    <row r="3338" ht="16.5" customHeight="1">
      <c r="A3338" s="32">
        <v>3334.0</v>
      </c>
      <c r="C3338" s="32" t="s">
        <v>4201</v>
      </c>
      <c r="D3338" s="32" t="s">
        <v>184</v>
      </c>
      <c r="E3338" s="32" t="s">
        <v>185</v>
      </c>
      <c r="F3338" s="32" t="s">
        <v>255</v>
      </c>
      <c r="G3338" s="32" t="s">
        <v>4202</v>
      </c>
      <c r="H3338" s="32" t="s">
        <v>4203</v>
      </c>
    </row>
    <row r="3339" ht="16.5" customHeight="1">
      <c r="A3339" s="32">
        <v>3335.0</v>
      </c>
      <c r="C3339" s="32" t="s">
        <v>4204</v>
      </c>
      <c r="D3339" s="32" t="s">
        <v>184</v>
      </c>
      <c r="E3339" s="32" t="s">
        <v>254</v>
      </c>
      <c r="F3339" s="32" t="s">
        <v>255</v>
      </c>
    </row>
    <row r="3340" ht="16.5" customHeight="1">
      <c r="A3340" s="32">
        <v>3336.0</v>
      </c>
      <c r="C3340" s="32" t="s">
        <v>4205</v>
      </c>
      <c r="D3340" s="32" t="s">
        <v>184</v>
      </c>
      <c r="E3340" s="32" t="s">
        <v>254</v>
      </c>
      <c r="F3340" s="32" t="s">
        <v>255</v>
      </c>
      <c r="G3340" s="32" t="s">
        <v>3728</v>
      </c>
      <c r="H3340" s="32" t="s">
        <v>4206</v>
      </c>
    </row>
    <row r="3341" ht="16.5" customHeight="1">
      <c r="A3341" s="32">
        <v>3337.0</v>
      </c>
      <c r="C3341" s="32" t="s">
        <v>4207</v>
      </c>
      <c r="D3341" s="32" t="s">
        <v>184</v>
      </c>
      <c r="E3341" s="32" t="s">
        <v>254</v>
      </c>
      <c r="F3341" s="32" t="s">
        <v>255</v>
      </c>
    </row>
    <row r="3342" ht="16.5" customHeight="1">
      <c r="A3342" s="32">
        <v>3338.0</v>
      </c>
      <c r="C3342" s="32" t="s">
        <v>4208</v>
      </c>
      <c r="D3342" s="32" t="s">
        <v>184</v>
      </c>
      <c r="E3342" s="32" t="s">
        <v>219</v>
      </c>
      <c r="F3342" s="32" t="s">
        <v>255</v>
      </c>
      <c r="G3342" s="32" t="s">
        <v>223</v>
      </c>
    </row>
    <row r="3343" ht="16.5" customHeight="1">
      <c r="A3343" s="32">
        <v>3339.0</v>
      </c>
      <c r="C3343" s="32" t="s">
        <v>4209</v>
      </c>
      <c r="D3343" s="32" t="s">
        <v>184</v>
      </c>
      <c r="E3343" s="32" t="s">
        <v>234</v>
      </c>
      <c r="F3343" s="32" t="s">
        <v>255</v>
      </c>
      <c r="G3343" s="32" t="s">
        <v>235</v>
      </c>
      <c r="H3343" s="32" t="s">
        <v>4210</v>
      </c>
    </row>
    <row r="3344" ht="16.5" customHeight="1">
      <c r="A3344" s="32">
        <v>3340.0</v>
      </c>
      <c r="C3344" s="32" t="s">
        <v>4211</v>
      </c>
      <c r="D3344" s="32" t="s">
        <v>184</v>
      </c>
      <c r="E3344" s="32" t="s">
        <v>254</v>
      </c>
      <c r="F3344" s="32" t="s">
        <v>255</v>
      </c>
      <c r="G3344" s="32" t="s">
        <v>257</v>
      </c>
      <c r="H3344" s="32" t="s">
        <v>256</v>
      </c>
    </row>
    <row r="3345" ht="16.5" customHeight="1">
      <c r="A3345" s="32">
        <v>3341.0</v>
      </c>
      <c r="C3345" s="32" t="s">
        <v>4212</v>
      </c>
      <c r="D3345" s="32" t="s">
        <v>184</v>
      </c>
      <c r="E3345" s="32" t="s">
        <v>285</v>
      </c>
      <c r="F3345" s="32" t="s">
        <v>255</v>
      </c>
    </row>
    <row r="3346" ht="16.5" customHeight="1">
      <c r="A3346" s="32">
        <v>3342.0</v>
      </c>
      <c r="C3346" s="32" t="s">
        <v>4213</v>
      </c>
      <c r="D3346" s="32" t="s">
        <v>184</v>
      </c>
      <c r="E3346" s="32" t="s">
        <v>285</v>
      </c>
      <c r="F3346" s="32" t="s">
        <v>255</v>
      </c>
      <c r="G3346" s="32" t="s">
        <v>189</v>
      </c>
      <c r="H3346" s="32" t="s">
        <v>902</v>
      </c>
    </row>
    <row r="3347" ht="16.5" customHeight="1">
      <c r="A3347" s="32">
        <v>3343.0</v>
      </c>
      <c r="C3347" s="32" t="s">
        <v>4214</v>
      </c>
      <c r="D3347" s="32" t="s">
        <v>184</v>
      </c>
      <c r="E3347" s="32" t="s">
        <v>185</v>
      </c>
      <c r="F3347" s="32" t="s">
        <v>255</v>
      </c>
    </row>
    <row r="3348" ht="16.5" customHeight="1">
      <c r="A3348" s="32">
        <v>3344.0</v>
      </c>
      <c r="C3348" s="32" t="s">
        <v>4215</v>
      </c>
      <c r="D3348" s="32" t="s">
        <v>184</v>
      </c>
      <c r="E3348" s="32" t="s">
        <v>185</v>
      </c>
      <c r="F3348" s="32" t="s">
        <v>255</v>
      </c>
      <c r="G3348" s="32" t="s">
        <v>3616</v>
      </c>
      <c r="H3348" s="32" t="s">
        <v>3617</v>
      </c>
    </row>
    <row r="3349" ht="16.5" customHeight="1">
      <c r="A3349" s="32">
        <v>3345.0</v>
      </c>
      <c r="C3349" s="32" t="s">
        <v>4216</v>
      </c>
      <c r="D3349" s="32" t="s">
        <v>184</v>
      </c>
      <c r="E3349" s="32" t="s">
        <v>185</v>
      </c>
      <c r="F3349" s="32" t="s">
        <v>255</v>
      </c>
      <c r="G3349" s="32" t="s">
        <v>3616</v>
      </c>
      <c r="H3349" s="32" t="s">
        <v>3617</v>
      </c>
    </row>
    <row r="3350" ht="16.5" customHeight="1">
      <c r="A3350" s="32">
        <v>3346.0</v>
      </c>
      <c r="C3350" s="32" t="s">
        <v>4217</v>
      </c>
      <c r="D3350" s="32" t="s">
        <v>184</v>
      </c>
      <c r="E3350" s="32" t="s">
        <v>185</v>
      </c>
      <c r="F3350" s="32" t="s">
        <v>255</v>
      </c>
    </row>
    <row r="3351" ht="16.5" customHeight="1">
      <c r="A3351" s="32">
        <v>3347.0</v>
      </c>
      <c r="C3351" s="32" t="s">
        <v>4218</v>
      </c>
      <c r="D3351" s="32" t="s">
        <v>184</v>
      </c>
      <c r="E3351" s="32" t="s">
        <v>192</v>
      </c>
      <c r="F3351" s="32" t="s">
        <v>255</v>
      </c>
      <c r="G3351" s="32" t="s">
        <v>300</v>
      </c>
      <c r="H3351" s="32" t="s">
        <v>535</v>
      </c>
    </row>
    <row r="3352" ht="16.5" customHeight="1">
      <c r="A3352" s="32">
        <v>3348.0</v>
      </c>
      <c r="C3352" s="32" t="s">
        <v>4219</v>
      </c>
      <c r="D3352" s="32" t="s">
        <v>184</v>
      </c>
      <c r="E3352" s="32" t="s">
        <v>185</v>
      </c>
      <c r="F3352" s="32" t="s">
        <v>255</v>
      </c>
      <c r="G3352" s="32" t="s">
        <v>4220</v>
      </c>
      <c r="H3352" s="32" t="s">
        <v>4221</v>
      </c>
    </row>
    <row r="3353" ht="16.5" customHeight="1">
      <c r="A3353" s="32">
        <v>3349.0</v>
      </c>
      <c r="C3353" s="32" t="s">
        <v>4222</v>
      </c>
      <c r="D3353" s="32" t="s">
        <v>184</v>
      </c>
      <c r="E3353" s="32" t="s">
        <v>254</v>
      </c>
      <c r="F3353" s="32" t="s">
        <v>255</v>
      </c>
      <c r="G3353" s="32" t="s">
        <v>256</v>
      </c>
      <c r="H3353" s="32" t="s">
        <v>257</v>
      </c>
    </row>
    <row r="3354" ht="16.5" customHeight="1">
      <c r="A3354" s="32">
        <v>3350.0</v>
      </c>
      <c r="C3354" s="32" t="s">
        <v>4223</v>
      </c>
      <c r="D3354" s="32" t="s">
        <v>184</v>
      </c>
      <c r="E3354" s="32" t="s">
        <v>254</v>
      </c>
      <c r="F3354" s="32" t="s">
        <v>255</v>
      </c>
      <c r="G3354" s="32" t="s">
        <v>257</v>
      </c>
      <c r="H3354" s="32" t="s">
        <v>256</v>
      </c>
    </row>
    <row r="3355" ht="16.5" customHeight="1">
      <c r="A3355" s="32">
        <v>3351.0</v>
      </c>
      <c r="C3355" s="32" t="s">
        <v>4224</v>
      </c>
      <c r="D3355" s="32" t="s">
        <v>184</v>
      </c>
      <c r="E3355" s="32" t="s">
        <v>285</v>
      </c>
      <c r="F3355" s="32" t="s">
        <v>222</v>
      </c>
      <c r="G3355" s="32" t="s">
        <v>189</v>
      </c>
      <c r="H3355" s="32" t="s">
        <v>190</v>
      </c>
    </row>
    <row r="3356" ht="16.5" customHeight="1">
      <c r="A3356" s="32">
        <v>3352.0</v>
      </c>
      <c r="C3356" s="32" t="s">
        <v>4225</v>
      </c>
      <c r="D3356" s="32" t="s">
        <v>184</v>
      </c>
      <c r="E3356" s="32" t="s">
        <v>234</v>
      </c>
      <c r="F3356" s="32" t="s">
        <v>255</v>
      </c>
      <c r="G3356" s="32" t="s">
        <v>1895</v>
      </c>
      <c r="H3356" s="32" t="s">
        <v>2981</v>
      </c>
    </row>
    <row r="3357" ht="16.5" customHeight="1">
      <c r="A3357" s="32">
        <v>3353.0</v>
      </c>
      <c r="C3357" s="32" t="s">
        <v>4226</v>
      </c>
      <c r="D3357" s="32" t="s">
        <v>184</v>
      </c>
      <c r="E3357" s="32" t="s">
        <v>234</v>
      </c>
      <c r="F3357" s="32" t="s">
        <v>255</v>
      </c>
      <c r="G3357" s="32" t="s">
        <v>347</v>
      </c>
      <c r="H3357" s="32" t="s">
        <v>382</v>
      </c>
    </row>
    <row r="3358" ht="16.5" customHeight="1">
      <c r="A3358" s="32">
        <v>3354.0</v>
      </c>
      <c r="C3358" s="32" t="s">
        <v>4227</v>
      </c>
      <c r="D3358" s="32" t="s">
        <v>184</v>
      </c>
      <c r="E3358" s="32" t="s">
        <v>234</v>
      </c>
      <c r="F3358" s="32" t="s">
        <v>373</v>
      </c>
    </row>
    <row r="3359" ht="16.5" customHeight="1">
      <c r="A3359" s="32">
        <v>3355.0</v>
      </c>
      <c r="C3359" s="32" t="s">
        <v>4228</v>
      </c>
      <c r="D3359" s="32" t="s">
        <v>184</v>
      </c>
      <c r="E3359" s="32" t="s">
        <v>234</v>
      </c>
      <c r="F3359" s="32" t="s">
        <v>255</v>
      </c>
      <c r="G3359" s="32" t="s">
        <v>235</v>
      </c>
      <c r="H3359" s="32" t="s">
        <v>243</v>
      </c>
    </row>
    <row r="3360" ht="16.5" customHeight="1">
      <c r="A3360" s="32">
        <v>3356.0</v>
      </c>
      <c r="C3360" s="32" t="s">
        <v>4229</v>
      </c>
      <c r="D3360" s="32" t="s">
        <v>184</v>
      </c>
      <c r="E3360" s="32" t="s">
        <v>192</v>
      </c>
      <c r="F3360" s="32" t="s">
        <v>255</v>
      </c>
    </row>
    <row r="3361" ht="16.5" customHeight="1">
      <c r="A3361" s="32">
        <v>3357.0</v>
      </c>
      <c r="C3361" s="32" t="s">
        <v>4230</v>
      </c>
      <c r="D3361" s="32" t="s">
        <v>184</v>
      </c>
      <c r="E3361" s="32" t="s">
        <v>192</v>
      </c>
      <c r="F3361" s="32" t="s">
        <v>215</v>
      </c>
      <c r="G3361" s="32" t="s">
        <v>300</v>
      </c>
      <c r="H3361" s="32" t="s">
        <v>4231</v>
      </c>
    </row>
    <row r="3362" ht="16.5" customHeight="1">
      <c r="A3362" s="32">
        <v>3358.0</v>
      </c>
      <c r="C3362" s="32" t="s">
        <v>4232</v>
      </c>
      <c r="D3362" s="32" t="s">
        <v>184</v>
      </c>
      <c r="E3362" s="32" t="s">
        <v>254</v>
      </c>
      <c r="F3362" s="32" t="s">
        <v>222</v>
      </c>
    </row>
    <row r="3363" ht="16.5" customHeight="1">
      <c r="A3363" s="32">
        <v>3359.0</v>
      </c>
      <c r="C3363" s="32" t="s">
        <v>4233</v>
      </c>
      <c r="D3363" s="32" t="s">
        <v>184</v>
      </c>
      <c r="E3363" s="32" t="s">
        <v>285</v>
      </c>
      <c r="F3363" s="32" t="s">
        <v>255</v>
      </c>
      <c r="G3363" s="32" t="s">
        <v>189</v>
      </c>
      <c r="H3363" s="32" t="s">
        <v>190</v>
      </c>
    </row>
    <row r="3364" ht="16.5" customHeight="1">
      <c r="A3364" s="32">
        <v>3360.0</v>
      </c>
      <c r="C3364" s="32" t="s">
        <v>4234</v>
      </c>
      <c r="D3364" s="32" t="s">
        <v>184</v>
      </c>
      <c r="E3364" s="32" t="s">
        <v>185</v>
      </c>
      <c r="F3364" s="32" t="s">
        <v>255</v>
      </c>
      <c r="G3364" s="32" t="s">
        <v>187</v>
      </c>
      <c r="H3364" s="32" t="s">
        <v>4235</v>
      </c>
    </row>
    <row r="3365" ht="16.5" customHeight="1">
      <c r="A3365" s="32">
        <v>3361.0</v>
      </c>
      <c r="C3365" s="32" t="s">
        <v>4236</v>
      </c>
      <c r="D3365" s="32" t="s">
        <v>184</v>
      </c>
      <c r="E3365" s="32" t="s">
        <v>185</v>
      </c>
      <c r="F3365" s="32" t="s">
        <v>255</v>
      </c>
      <c r="G3365" s="32" t="s">
        <v>2848</v>
      </c>
      <c r="H3365" s="32" t="s">
        <v>4237</v>
      </c>
    </row>
    <row r="3366" ht="16.5" customHeight="1">
      <c r="A3366" s="32">
        <v>3362.0</v>
      </c>
      <c r="C3366" s="32" t="s">
        <v>4238</v>
      </c>
      <c r="D3366" s="32" t="s">
        <v>184</v>
      </c>
      <c r="E3366" s="32" t="s">
        <v>185</v>
      </c>
      <c r="F3366" s="32" t="s">
        <v>255</v>
      </c>
      <c r="G3366" s="32" t="s">
        <v>1332</v>
      </c>
      <c r="H3366" s="32" t="s">
        <v>188</v>
      </c>
    </row>
    <row r="3367" ht="16.5" customHeight="1">
      <c r="A3367" s="32">
        <v>3363.0</v>
      </c>
      <c r="C3367" s="32" t="s">
        <v>4239</v>
      </c>
      <c r="D3367" s="32" t="s">
        <v>184</v>
      </c>
      <c r="E3367" s="32" t="s">
        <v>325</v>
      </c>
      <c r="F3367" s="32" t="s">
        <v>222</v>
      </c>
      <c r="G3367" s="32" t="s">
        <v>368</v>
      </c>
      <c r="H3367" s="32" t="s">
        <v>463</v>
      </c>
    </row>
    <row r="3368" ht="16.5" customHeight="1">
      <c r="A3368" s="32">
        <v>3364.0</v>
      </c>
      <c r="C3368" s="32" t="s">
        <v>4240</v>
      </c>
      <c r="D3368" s="32" t="s">
        <v>184</v>
      </c>
      <c r="E3368" s="32" t="s">
        <v>325</v>
      </c>
      <c r="F3368" s="32" t="s">
        <v>255</v>
      </c>
      <c r="G3368" s="32" t="s">
        <v>368</v>
      </c>
      <c r="H3368" s="32" t="s">
        <v>463</v>
      </c>
    </row>
    <row r="3369" ht="16.5" customHeight="1">
      <c r="A3369" s="32">
        <v>3365.0</v>
      </c>
      <c r="C3369" s="32" t="s">
        <v>4241</v>
      </c>
      <c r="D3369" s="32" t="s">
        <v>184</v>
      </c>
      <c r="E3369" s="35" t="s">
        <v>691</v>
      </c>
      <c r="F3369" s="32" t="s">
        <v>255</v>
      </c>
      <c r="G3369" s="32" t="s">
        <v>2288</v>
      </c>
      <c r="H3369" s="32" t="s">
        <v>4242</v>
      </c>
    </row>
    <row r="3370" ht="16.5" customHeight="1">
      <c r="A3370" s="32">
        <v>3366.0</v>
      </c>
      <c r="C3370" s="32" t="s">
        <v>4243</v>
      </c>
      <c r="D3370" s="32" t="s">
        <v>184</v>
      </c>
      <c r="E3370" s="32" t="s">
        <v>219</v>
      </c>
      <c r="F3370" s="32" t="s">
        <v>255</v>
      </c>
      <c r="G3370" s="32" t="s">
        <v>223</v>
      </c>
      <c r="H3370" s="32" t="s">
        <v>394</v>
      </c>
    </row>
    <row r="3371" ht="16.5" customHeight="1">
      <c r="A3371" s="32">
        <v>3367.0</v>
      </c>
      <c r="C3371" s="32" t="s">
        <v>4244</v>
      </c>
      <c r="D3371" s="32" t="s">
        <v>184</v>
      </c>
      <c r="E3371" s="32" t="s">
        <v>285</v>
      </c>
      <c r="F3371" s="32" t="s">
        <v>399</v>
      </c>
      <c r="G3371" s="32" t="s">
        <v>188</v>
      </c>
      <c r="H3371" s="32" t="s">
        <v>2733</v>
      </c>
    </row>
    <row r="3372" ht="16.5" customHeight="1">
      <c r="A3372" s="32">
        <v>3368.0</v>
      </c>
      <c r="C3372" s="32" t="s">
        <v>4245</v>
      </c>
      <c r="D3372" s="32" t="s">
        <v>184</v>
      </c>
      <c r="E3372" s="32" t="s">
        <v>185</v>
      </c>
      <c r="F3372" s="32" t="s">
        <v>255</v>
      </c>
      <c r="G3372" s="32" t="s">
        <v>267</v>
      </c>
      <c r="H3372" s="32" t="s">
        <v>188</v>
      </c>
    </row>
    <row r="3373" ht="16.5" customHeight="1">
      <c r="A3373" s="32">
        <v>3369.0</v>
      </c>
      <c r="C3373" s="32" t="s">
        <v>4246</v>
      </c>
      <c r="D3373" s="32" t="s">
        <v>184</v>
      </c>
      <c r="E3373" s="32" t="s">
        <v>185</v>
      </c>
      <c r="F3373" s="32" t="s">
        <v>255</v>
      </c>
    </row>
    <row r="3374" ht="16.5" customHeight="1">
      <c r="A3374" s="32">
        <v>3370.0</v>
      </c>
      <c r="C3374" s="32" t="s">
        <v>4247</v>
      </c>
      <c r="D3374" s="32" t="s">
        <v>184</v>
      </c>
      <c r="E3374" s="32" t="s">
        <v>185</v>
      </c>
      <c r="F3374" s="32" t="s">
        <v>255</v>
      </c>
      <c r="G3374" s="32" t="s">
        <v>1322</v>
      </c>
      <c r="H3374" s="32" t="s">
        <v>3610</v>
      </c>
    </row>
    <row r="3375" ht="16.5" customHeight="1">
      <c r="A3375" s="32">
        <v>3371.0</v>
      </c>
      <c r="C3375" s="32" t="s">
        <v>4248</v>
      </c>
      <c r="D3375" s="32" t="s">
        <v>184</v>
      </c>
      <c r="E3375" s="32" t="s">
        <v>185</v>
      </c>
      <c r="F3375" s="32" t="s">
        <v>255</v>
      </c>
      <c r="G3375" s="32" t="s">
        <v>187</v>
      </c>
      <c r="H3375" s="32" t="s">
        <v>854</v>
      </c>
    </row>
    <row r="3376" ht="16.5" customHeight="1">
      <c r="A3376" s="32">
        <v>3372.0</v>
      </c>
      <c r="C3376" s="32" t="s">
        <v>4249</v>
      </c>
      <c r="D3376" s="32" t="s">
        <v>184</v>
      </c>
      <c r="E3376" s="35" t="s">
        <v>294</v>
      </c>
      <c r="F3376" s="32" t="s">
        <v>255</v>
      </c>
      <c r="G3376" s="32" t="s">
        <v>189</v>
      </c>
      <c r="H3376" s="32" t="s">
        <v>2046</v>
      </c>
    </row>
    <row r="3377" ht="16.5" customHeight="1">
      <c r="A3377" s="32">
        <v>3373.0</v>
      </c>
      <c r="C3377" s="32" t="s">
        <v>4250</v>
      </c>
      <c r="D3377" s="32" t="s">
        <v>184</v>
      </c>
      <c r="E3377" s="32" t="s">
        <v>185</v>
      </c>
      <c r="F3377" s="32" t="s">
        <v>255</v>
      </c>
      <c r="G3377" s="32" t="s">
        <v>187</v>
      </c>
      <c r="H3377" s="32" t="s">
        <v>552</v>
      </c>
    </row>
    <row r="3378" ht="16.5" customHeight="1">
      <c r="A3378" s="32">
        <v>3374.0</v>
      </c>
      <c r="C3378" s="32" t="s">
        <v>4251</v>
      </c>
      <c r="D3378" s="32" t="s">
        <v>184</v>
      </c>
      <c r="E3378" s="32" t="s">
        <v>185</v>
      </c>
      <c r="F3378" s="32" t="s">
        <v>255</v>
      </c>
      <c r="G3378" s="32" t="s">
        <v>187</v>
      </c>
      <c r="H3378" s="32" t="s">
        <v>188</v>
      </c>
    </row>
    <row r="3379" ht="16.5" customHeight="1">
      <c r="A3379" s="32">
        <v>3375.0</v>
      </c>
      <c r="C3379" s="32" t="s">
        <v>4252</v>
      </c>
      <c r="D3379" s="32" t="s">
        <v>184</v>
      </c>
      <c r="E3379" s="32" t="s">
        <v>185</v>
      </c>
      <c r="F3379" s="32" t="s">
        <v>255</v>
      </c>
      <c r="G3379" s="32" t="s">
        <v>187</v>
      </c>
      <c r="H3379" s="32" t="s">
        <v>854</v>
      </c>
    </row>
    <row r="3380" ht="16.5" customHeight="1">
      <c r="A3380" s="32">
        <v>3376.0</v>
      </c>
      <c r="C3380" s="32" t="s">
        <v>4253</v>
      </c>
      <c r="D3380" s="32" t="s">
        <v>184</v>
      </c>
      <c r="E3380" s="32" t="s">
        <v>185</v>
      </c>
      <c r="F3380" s="32" t="s">
        <v>255</v>
      </c>
      <c r="G3380" s="32" t="s">
        <v>187</v>
      </c>
      <c r="H3380" s="32" t="s">
        <v>854</v>
      </c>
    </row>
    <row r="3381" ht="16.5" customHeight="1">
      <c r="A3381" s="32">
        <v>3377.0</v>
      </c>
      <c r="C3381" s="32" t="s">
        <v>4254</v>
      </c>
      <c r="D3381" s="32" t="s">
        <v>184</v>
      </c>
      <c r="E3381" s="35" t="s">
        <v>294</v>
      </c>
      <c r="F3381" s="32" t="s">
        <v>255</v>
      </c>
      <c r="G3381" s="32" t="s">
        <v>189</v>
      </c>
      <c r="H3381" s="32" t="s">
        <v>190</v>
      </c>
    </row>
    <row r="3382" ht="16.5" customHeight="1">
      <c r="A3382" s="32">
        <v>3378.0</v>
      </c>
      <c r="C3382" s="32" t="s">
        <v>4255</v>
      </c>
      <c r="D3382" s="32" t="s">
        <v>184</v>
      </c>
      <c r="E3382" s="32" t="s">
        <v>285</v>
      </c>
      <c r="F3382" s="32" t="s">
        <v>255</v>
      </c>
      <c r="G3382" s="32" t="s">
        <v>188</v>
      </c>
      <c r="H3382" s="32" t="s">
        <v>368</v>
      </c>
    </row>
    <row r="3383" ht="16.5" customHeight="1">
      <c r="A3383" s="32">
        <v>3379.0</v>
      </c>
      <c r="C3383" s="32" t="s">
        <v>4256</v>
      </c>
      <c r="D3383" s="32" t="s">
        <v>184</v>
      </c>
      <c r="E3383" s="32" t="s">
        <v>285</v>
      </c>
      <c r="F3383" s="32" t="s">
        <v>255</v>
      </c>
    </row>
    <row r="3384" ht="16.5" customHeight="1">
      <c r="A3384" s="32">
        <v>3380.0</v>
      </c>
      <c r="C3384" s="32" t="s">
        <v>4257</v>
      </c>
      <c r="D3384" s="32" t="s">
        <v>184</v>
      </c>
      <c r="E3384" s="32" t="s">
        <v>285</v>
      </c>
      <c r="F3384" s="32" t="s">
        <v>255</v>
      </c>
      <c r="G3384" s="32" t="s">
        <v>552</v>
      </c>
      <c r="H3384" s="32" t="s">
        <v>4258</v>
      </c>
    </row>
    <row r="3385" ht="16.5" customHeight="1">
      <c r="A3385" s="32">
        <v>3381.0</v>
      </c>
      <c r="C3385" s="32" t="s">
        <v>4259</v>
      </c>
      <c r="D3385" s="32" t="s">
        <v>184</v>
      </c>
      <c r="E3385" s="35" t="s">
        <v>522</v>
      </c>
      <c r="F3385" s="32" t="s">
        <v>255</v>
      </c>
      <c r="G3385" s="32" t="s">
        <v>4260</v>
      </c>
    </row>
    <row r="3386" ht="16.5" customHeight="1">
      <c r="A3386" s="32">
        <v>3382.0</v>
      </c>
      <c r="C3386" s="32" t="s">
        <v>4261</v>
      </c>
      <c r="D3386" s="32" t="s">
        <v>184</v>
      </c>
      <c r="E3386" s="32" t="s">
        <v>185</v>
      </c>
      <c r="F3386" s="32" t="s">
        <v>255</v>
      </c>
      <c r="G3386" s="32" t="s">
        <v>189</v>
      </c>
      <c r="H3386" s="32" t="s">
        <v>190</v>
      </c>
    </row>
    <row r="3387" ht="16.5" customHeight="1">
      <c r="A3387" s="32">
        <v>3383.0</v>
      </c>
      <c r="C3387" s="32" t="s">
        <v>4262</v>
      </c>
      <c r="D3387" s="32" t="s">
        <v>184</v>
      </c>
      <c r="E3387" s="32" t="s">
        <v>285</v>
      </c>
      <c r="F3387" s="32" t="s">
        <v>255</v>
      </c>
      <c r="G3387" s="32" t="s">
        <v>189</v>
      </c>
      <c r="H3387" s="32" t="s">
        <v>190</v>
      </c>
    </row>
    <row r="3388" ht="16.5" customHeight="1">
      <c r="A3388" s="32">
        <v>3384.0</v>
      </c>
      <c r="C3388" s="32" t="s">
        <v>4263</v>
      </c>
      <c r="D3388" s="32" t="s">
        <v>184</v>
      </c>
      <c r="E3388" s="32" t="s">
        <v>285</v>
      </c>
      <c r="F3388" s="32" t="s">
        <v>255</v>
      </c>
      <c r="G3388" s="32" t="s">
        <v>189</v>
      </c>
      <c r="H3388" s="32" t="s">
        <v>190</v>
      </c>
    </row>
    <row r="3389" ht="16.5" customHeight="1">
      <c r="A3389" s="32">
        <v>3385.0</v>
      </c>
      <c r="C3389" s="32" t="s">
        <v>4264</v>
      </c>
      <c r="D3389" s="32" t="s">
        <v>184</v>
      </c>
      <c r="E3389" s="32" t="s">
        <v>285</v>
      </c>
      <c r="F3389" s="32" t="s">
        <v>255</v>
      </c>
      <c r="G3389" s="32" t="s">
        <v>189</v>
      </c>
      <c r="H3389" s="32" t="s">
        <v>190</v>
      </c>
    </row>
    <row r="3390" ht="16.5" customHeight="1">
      <c r="A3390" s="32">
        <v>3386.0</v>
      </c>
      <c r="C3390" s="32" t="s">
        <v>4265</v>
      </c>
      <c r="D3390" s="32" t="s">
        <v>184</v>
      </c>
      <c r="E3390" s="35" t="s">
        <v>294</v>
      </c>
      <c r="F3390" s="32" t="s">
        <v>255</v>
      </c>
      <c r="G3390" s="32" t="s">
        <v>189</v>
      </c>
      <c r="H3390" s="32" t="s">
        <v>190</v>
      </c>
    </row>
    <row r="3391" ht="16.5" customHeight="1">
      <c r="A3391" s="32">
        <v>3387.0</v>
      </c>
      <c r="C3391" s="32" t="s">
        <v>4266</v>
      </c>
      <c r="D3391" s="32" t="s">
        <v>184</v>
      </c>
      <c r="E3391" s="32" t="s">
        <v>285</v>
      </c>
      <c r="F3391" s="32" t="s">
        <v>255</v>
      </c>
      <c r="G3391" s="32" t="s">
        <v>189</v>
      </c>
      <c r="H3391" s="32" t="s">
        <v>2046</v>
      </c>
    </row>
    <row r="3392" ht="16.5" customHeight="1">
      <c r="A3392" s="32">
        <v>3388.0</v>
      </c>
      <c r="C3392" s="32" t="s">
        <v>4267</v>
      </c>
      <c r="D3392" s="32" t="s">
        <v>184</v>
      </c>
      <c r="E3392" s="32" t="s">
        <v>285</v>
      </c>
      <c r="F3392" s="32" t="s">
        <v>255</v>
      </c>
    </row>
    <row r="3393" ht="16.5" customHeight="1">
      <c r="A3393" s="32">
        <v>3389.0</v>
      </c>
      <c r="C3393" s="32" t="s">
        <v>4268</v>
      </c>
      <c r="D3393" s="32" t="s">
        <v>184</v>
      </c>
      <c r="E3393" s="32" t="s">
        <v>185</v>
      </c>
      <c r="F3393" s="32" t="s">
        <v>255</v>
      </c>
    </row>
    <row r="3394" ht="16.5" customHeight="1">
      <c r="A3394" s="32">
        <v>3390.0</v>
      </c>
      <c r="C3394" s="32" t="s">
        <v>4269</v>
      </c>
      <c r="D3394" s="32" t="s">
        <v>184</v>
      </c>
      <c r="E3394" s="32" t="s">
        <v>285</v>
      </c>
      <c r="F3394" s="32" t="s">
        <v>255</v>
      </c>
      <c r="G3394" s="32" t="s">
        <v>552</v>
      </c>
    </row>
    <row r="3395" ht="16.5" customHeight="1">
      <c r="A3395" s="32">
        <v>3391.0</v>
      </c>
      <c r="C3395" s="32" t="s">
        <v>4270</v>
      </c>
      <c r="D3395" s="32" t="s">
        <v>184</v>
      </c>
      <c r="E3395" s="32" t="s">
        <v>285</v>
      </c>
      <c r="F3395" s="32" t="s">
        <v>255</v>
      </c>
      <c r="G3395" s="32" t="s">
        <v>189</v>
      </c>
      <c r="H3395" s="32" t="s">
        <v>190</v>
      </c>
    </row>
    <row r="3396" ht="16.5" customHeight="1">
      <c r="A3396" s="32">
        <v>3392.0</v>
      </c>
      <c r="C3396" s="32" t="s">
        <v>4271</v>
      </c>
      <c r="D3396" s="32" t="s">
        <v>184</v>
      </c>
      <c r="E3396" s="32" t="s">
        <v>285</v>
      </c>
      <c r="F3396" s="32" t="s">
        <v>255</v>
      </c>
    </row>
    <row r="3397" ht="16.5" customHeight="1">
      <c r="A3397" s="32">
        <v>3393.0</v>
      </c>
      <c r="C3397" s="32" t="s">
        <v>4272</v>
      </c>
      <c r="D3397" s="32" t="s">
        <v>184</v>
      </c>
      <c r="E3397" s="32" t="s">
        <v>254</v>
      </c>
      <c r="F3397" s="32" t="s">
        <v>255</v>
      </c>
      <c r="G3397" s="32" t="s">
        <v>256</v>
      </c>
      <c r="H3397" s="32" t="s">
        <v>257</v>
      </c>
    </row>
    <row r="3398" ht="16.5" customHeight="1">
      <c r="A3398" s="32">
        <v>3394.0</v>
      </c>
      <c r="C3398" s="32" t="s">
        <v>4273</v>
      </c>
      <c r="D3398" s="32" t="s">
        <v>184</v>
      </c>
      <c r="E3398" s="32" t="s">
        <v>254</v>
      </c>
      <c r="F3398" s="32" t="s">
        <v>255</v>
      </c>
      <c r="G3398" s="32" t="s">
        <v>256</v>
      </c>
      <c r="H3398" s="32" t="s">
        <v>424</v>
      </c>
    </row>
    <row r="3399" ht="16.5" customHeight="1">
      <c r="A3399" s="32">
        <v>3395.0</v>
      </c>
      <c r="C3399" s="32" t="s">
        <v>4274</v>
      </c>
      <c r="D3399" s="32" t="s">
        <v>184</v>
      </c>
      <c r="E3399" s="32" t="s">
        <v>254</v>
      </c>
      <c r="F3399" s="32" t="s">
        <v>255</v>
      </c>
      <c r="G3399" s="32" t="s">
        <v>305</v>
      </c>
      <c r="H3399" s="32" t="s">
        <v>593</v>
      </c>
    </row>
    <row r="3400" ht="16.5" customHeight="1">
      <c r="A3400" s="32">
        <v>3396.0</v>
      </c>
      <c r="C3400" s="32" t="s">
        <v>4275</v>
      </c>
      <c r="D3400" s="32" t="s">
        <v>184</v>
      </c>
      <c r="E3400" s="32" t="s">
        <v>254</v>
      </c>
      <c r="F3400" s="32" t="s">
        <v>255</v>
      </c>
      <c r="G3400" s="32" t="s">
        <v>305</v>
      </c>
      <c r="H3400" s="32" t="s">
        <v>257</v>
      </c>
    </row>
    <row r="3401" ht="16.5" customHeight="1">
      <c r="A3401" s="32">
        <v>3397.0</v>
      </c>
      <c r="C3401" s="32" t="s">
        <v>4276</v>
      </c>
      <c r="D3401" s="32" t="s">
        <v>184</v>
      </c>
      <c r="E3401" s="35" t="s">
        <v>294</v>
      </c>
      <c r="F3401" s="32" t="s">
        <v>255</v>
      </c>
      <c r="G3401" s="32" t="s">
        <v>189</v>
      </c>
      <c r="H3401" s="32" t="s">
        <v>190</v>
      </c>
    </row>
    <row r="3402" ht="16.5" customHeight="1">
      <c r="A3402" s="32">
        <v>3398.0</v>
      </c>
      <c r="C3402" s="32" t="s">
        <v>4277</v>
      </c>
      <c r="D3402" s="32" t="s">
        <v>184</v>
      </c>
      <c r="E3402" s="35" t="s">
        <v>294</v>
      </c>
      <c r="F3402" s="32" t="s">
        <v>2893</v>
      </c>
      <c r="G3402" s="32" t="s">
        <v>189</v>
      </c>
      <c r="H3402" s="32" t="s">
        <v>190</v>
      </c>
    </row>
    <row r="3403" ht="16.5" customHeight="1">
      <c r="A3403" s="32">
        <v>3399.0</v>
      </c>
      <c r="C3403" s="32" t="s">
        <v>4278</v>
      </c>
      <c r="D3403" s="32" t="s">
        <v>184</v>
      </c>
      <c r="E3403" s="35" t="s">
        <v>294</v>
      </c>
      <c r="F3403" s="32" t="s">
        <v>2893</v>
      </c>
      <c r="G3403" s="32" t="s">
        <v>189</v>
      </c>
      <c r="H3403" s="32" t="s">
        <v>190</v>
      </c>
    </row>
    <row r="3404" ht="16.5" customHeight="1">
      <c r="A3404" s="32">
        <v>3400.0</v>
      </c>
      <c r="C3404" s="32" t="s">
        <v>4279</v>
      </c>
      <c r="D3404" s="32" t="s">
        <v>184</v>
      </c>
      <c r="E3404" s="32" t="s">
        <v>185</v>
      </c>
      <c r="F3404" s="32" t="s">
        <v>2893</v>
      </c>
      <c r="G3404" s="32" t="s">
        <v>189</v>
      </c>
      <c r="H3404" s="32" t="s">
        <v>190</v>
      </c>
    </row>
    <row r="3405" ht="16.5" customHeight="1">
      <c r="A3405" s="32">
        <v>3401.0</v>
      </c>
      <c r="C3405" s="32" t="s">
        <v>4280</v>
      </c>
      <c r="D3405" s="32" t="s">
        <v>184</v>
      </c>
      <c r="E3405" s="35" t="s">
        <v>294</v>
      </c>
      <c r="F3405" s="32" t="s">
        <v>2893</v>
      </c>
    </row>
    <row r="3406" ht="16.5" customHeight="1">
      <c r="A3406" s="32">
        <v>3402.0</v>
      </c>
      <c r="C3406" s="32" t="s">
        <v>4281</v>
      </c>
      <c r="D3406" s="32" t="s">
        <v>184</v>
      </c>
      <c r="E3406" s="35" t="s">
        <v>294</v>
      </c>
      <c r="F3406" s="32" t="s">
        <v>2893</v>
      </c>
      <c r="G3406" s="32" t="s">
        <v>189</v>
      </c>
      <c r="H3406" s="32" t="s">
        <v>190</v>
      </c>
    </row>
    <row r="3407" ht="16.5" customHeight="1">
      <c r="A3407" s="32">
        <v>3403.0</v>
      </c>
      <c r="C3407" s="32" t="s">
        <v>4282</v>
      </c>
      <c r="D3407" s="32" t="s">
        <v>184</v>
      </c>
      <c r="E3407" s="32" t="s">
        <v>325</v>
      </c>
      <c r="F3407" s="32" t="s">
        <v>2893</v>
      </c>
      <c r="G3407" s="32" t="s">
        <v>368</v>
      </c>
      <c r="H3407" s="32" t="s">
        <v>463</v>
      </c>
    </row>
    <row r="3408" ht="16.5" customHeight="1">
      <c r="A3408" s="32">
        <v>3404.0</v>
      </c>
      <c r="C3408" s="32" t="s">
        <v>4283</v>
      </c>
      <c r="D3408" s="32" t="s">
        <v>184</v>
      </c>
      <c r="E3408" s="32" t="s">
        <v>185</v>
      </c>
      <c r="F3408" s="32" t="s">
        <v>2893</v>
      </c>
      <c r="G3408" s="32" t="s">
        <v>189</v>
      </c>
      <c r="H3408" s="32" t="s">
        <v>190</v>
      </c>
    </row>
    <row r="3409" ht="16.5" customHeight="1">
      <c r="A3409" s="32">
        <v>3405.0</v>
      </c>
      <c r="C3409" s="32" t="s">
        <v>4284</v>
      </c>
      <c r="D3409" s="32" t="s">
        <v>184</v>
      </c>
      <c r="E3409" s="32" t="s">
        <v>285</v>
      </c>
      <c r="F3409" s="32" t="s">
        <v>2893</v>
      </c>
      <c r="G3409" s="32" t="s">
        <v>189</v>
      </c>
      <c r="H3409" s="32" t="s">
        <v>190</v>
      </c>
    </row>
    <row r="3410" ht="16.5" customHeight="1">
      <c r="A3410" s="32">
        <v>3406.0</v>
      </c>
      <c r="C3410" s="32" t="s">
        <v>4285</v>
      </c>
      <c r="D3410" s="32" t="s">
        <v>184</v>
      </c>
      <c r="E3410" s="32" t="s">
        <v>285</v>
      </c>
      <c r="F3410" s="32" t="s">
        <v>2893</v>
      </c>
      <c r="G3410" s="32" t="s">
        <v>189</v>
      </c>
      <c r="H3410" s="32" t="s">
        <v>190</v>
      </c>
    </row>
    <row r="3411" ht="16.5" customHeight="1">
      <c r="A3411" s="32">
        <v>3407.0</v>
      </c>
      <c r="C3411" s="32" t="s">
        <v>4286</v>
      </c>
      <c r="D3411" s="32" t="s">
        <v>184</v>
      </c>
      <c r="E3411" s="32" t="s">
        <v>285</v>
      </c>
      <c r="F3411" s="32" t="s">
        <v>2893</v>
      </c>
      <c r="G3411" s="32" t="s">
        <v>189</v>
      </c>
      <c r="H3411" s="32" t="s">
        <v>1121</v>
      </c>
    </row>
    <row r="3412" ht="16.5" customHeight="1">
      <c r="A3412" s="32">
        <v>3408.0</v>
      </c>
      <c r="C3412" s="32" t="s">
        <v>4287</v>
      </c>
      <c r="D3412" s="32" t="s">
        <v>184</v>
      </c>
      <c r="E3412" s="32" t="s">
        <v>285</v>
      </c>
      <c r="F3412" s="32" t="s">
        <v>2893</v>
      </c>
      <c r="G3412" s="32" t="s">
        <v>189</v>
      </c>
      <c r="H3412" s="32" t="s">
        <v>190</v>
      </c>
    </row>
    <row r="3413" ht="16.5" customHeight="1">
      <c r="A3413" s="32">
        <v>3409.0</v>
      </c>
      <c r="C3413" s="32" t="s">
        <v>4288</v>
      </c>
      <c r="D3413" s="32" t="s">
        <v>184</v>
      </c>
      <c r="E3413" s="32" t="s">
        <v>325</v>
      </c>
      <c r="F3413" s="32" t="s">
        <v>2893</v>
      </c>
      <c r="G3413" s="32" t="s">
        <v>368</v>
      </c>
      <c r="H3413" s="32" t="s">
        <v>463</v>
      </c>
    </row>
    <row r="3414" ht="16.5" customHeight="1">
      <c r="A3414" s="32">
        <v>3410.0</v>
      </c>
      <c r="C3414" s="32" t="s">
        <v>4289</v>
      </c>
      <c r="D3414" s="32" t="s">
        <v>184</v>
      </c>
      <c r="E3414" s="32" t="s">
        <v>325</v>
      </c>
      <c r="F3414" s="32" t="s">
        <v>2893</v>
      </c>
      <c r="G3414" s="32" t="s">
        <v>368</v>
      </c>
      <c r="H3414" s="32" t="s">
        <v>463</v>
      </c>
    </row>
    <row r="3415" ht="16.5" customHeight="1">
      <c r="A3415" s="32">
        <v>3411.0</v>
      </c>
      <c r="C3415" s="32" t="s">
        <v>4290</v>
      </c>
      <c r="D3415" s="32" t="s">
        <v>184</v>
      </c>
      <c r="E3415" s="32" t="s">
        <v>285</v>
      </c>
      <c r="F3415" s="32" t="s">
        <v>2893</v>
      </c>
      <c r="G3415" s="32" t="s">
        <v>189</v>
      </c>
      <c r="H3415" s="32" t="s">
        <v>190</v>
      </c>
    </row>
    <row r="3416" ht="16.5" customHeight="1">
      <c r="A3416" s="32">
        <v>3412.0</v>
      </c>
      <c r="C3416" s="32" t="s">
        <v>4291</v>
      </c>
      <c r="D3416" s="32" t="s">
        <v>184</v>
      </c>
      <c r="G3416" s="32" t="s">
        <v>368</v>
      </c>
      <c r="H3416" s="32" t="s">
        <v>463</v>
      </c>
    </row>
    <row r="3417" ht="16.5" customHeight="1">
      <c r="A3417" s="32">
        <v>3413.0</v>
      </c>
      <c r="C3417" s="32" t="s">
        <v>4292</v>
      </c>
      <c r="D3417" s="32" t="s">
        <v>184</v>
      </c>
      <c r="E3417" s="32" t="s">
        <v>285</v>
      </c>
      <c r="F3417" s="32" t="s">
        <v>2893</v>
      </c>
    </row>
    <row r="3418" ht="16.5" customHeight="1">
      <c r="A3418" s="32">
        <v>3414.0</v>
      </c>
      <c r="C3418" s="32" t="s">
        <v>4293</v>
      </c>
      <c r="D3418" s="32" t="s">
        <v>184</v>
      </c>
      <c r="E3418" s="35" t="s">
        <v>294</v>
      </c>
      <c r="F3418" s="32" t="s">
        <v>2893</v>
      </c>
    </row>
    <row r="3419" ht="16.5" customHeight="1">
      <c r="A3419" s="32">
        <v>3415.0</v>
      </c>
      <c r="C3419" s="32" t="s">
        <v>4294</v>
      </c>
      <c r="D3419" s="32" t="s">
        <v>184</v>
      </c>
      <c r="E3419" s="32" t="s">
        <v>185</v>
      </c>
      <c r="F3419" s="32" t="s">
        <v>2893</v>
      </c>
      <c r="G3419" s="32" t="s">
        <v>189</v>
      </c>
      <c r="H3419" s="32" t="s">
        <v>190</v>
      </c>
    </row>
    <row r="3420" ht="16.5" customHeight="1">
      <c r="A3420" s="32">
        <v>3416.0</v>
      </c>
      <c r="C3420" s="32" t="s">
        <v>4295</v>
      </c>
      <c r="D3420" s="32" t="s">
        <v>184</v>
      </c>
      <c r="E3420" s="32" t="s">
        <v>285</v>
      </c>
      <c r="F3420" s="32" t="s">
        <v>2893</v>
      </c>
      <c r="G3420" s="32" t="s">
        <v>189</v>
      </c>
      <c r="H3420" s="32" t="s">
        <v>190</v>
      </c>
    </row>
    <row r="3421" ht="16.5" customHeight="1">
      <c r="A3421" s="32">
        <v>3417.0</v>
      </c>
      <c r="C3421" s="32" t="s">
        <v>4296</v>
      </c>
      <c r="D3421" s="32" t="s">
        <v>184</v>
      </c>
      <c r="E3421" s="32" t="s">
        <v>285</v>
      </c>
      <c r="F3421" s="32" t="s">
        <v>2893</v>
      </c>
    </row>
    <row r="3422" ht="16.5" customHeight="1">
      <c r="A3422" s="32">
        <v>3418.0</v>
      </c>
      <c r="C3422" s="32" t="s">
        <v>4297</v>
      </c>
      <c r="D3422" s="32" t="s">
        <v>184</v>
      </c>
      <c r="E3422" s="32" t="s">
        <v>325</v>
      </c>
      <c r="F3422" s="32" t="s">
        <v>2893</v>
      </c>
      <c r="G3422" s="32" t="s">
        <v>368</v>
      </c>
      <c r="H3422" s="32" t="s">
        <v>463</v>
      </c>
    </row>
    <row r="3423" ht="16.5" customHeight="1">
      <c r="A3423" s="32">
        <v>3419.0</v>
      </c>
      <c r="C3423" s="32" t="s">
        <v>4298</v>
      </c>
      <c r="D3423" s="32" t="s">
        <v>184</v>
      </c>
      <c r="E3423" s="32" t="s">
        <v>285</v>
      </c>
      <c r="F3423" s="32" t="s">
        <v>2893</v>
      </c>
      <c r="G3423" s="32" t="s">
        <v>189</v>
      </c>
      <c r="H3423" s="32" t="s">
        <v>190</v>
      </c>
    </row>
    <row r="3424" ht="16.5" customHeight="1">
      <c r="A3424" s="32">
        <v>3420.0</v>
      </c>
      <c r="C3424" s="32" t="s">
        <v>4299</v>
      </c>
      <c r="D3424" s="32" t="s">
        <v>184</v>
      </c>
      <c r="E3424" s="32" t="s">
        <v>325</v>
      </c>
      <c r="F3424" s="32" t="s">
        <v>2893</v>
      </c>
      <c r="G3424" s="32" t="s">
        <v>368</v>
      </c>
      <c r="H3424" s="32" t="s">
        <v>463</v>
      </c>
    </row>
    <row r="3425" ht="16.5" customHeight="1">
      <c r="A3425" s="32">
        <v>3421.0</v>
      </c>
      <c r="C3425" s="32" t="s">
        <v>4300</v>
      </c>
      <c r="D3425" s="32" t="s">
        <v>184</v>
      </c>
      <c r="E3425" s="32" t="s">
        <v>285</v>
      </c>
      <c r="F3425" s="32" t="s">
        <v>2893</v>
      </c>
    </row>
    <row r="3426" ht="16.5" customHeight="1">
      <c r="A3426" s="32">
        <v>3422.0</v>
      </c>
      <c r="C3426" s="32" t="s">
        <v>4301</v>
      </c>
      <c r="D3426" s="32" t="s">
        <v>184</v>
      </c>
      <c r="E3426" s="32" t="s">
        <v>285</v>
      </c>
      <c r="F3426" s="32" t="s">
        <v>2893</v>
      </c>
      <c r="G3426" s="32" t="s">
        <v>189</v>
      </c>
      <c r="H3426" s="32" t="s">
        <v>190</v>
      </c>
    </row>
    <row r="3427" ht="16.5" customHeight="1">
      <c r="A3427" s="32">
        <v>3423.0</v>
      </c>
      <c r="C3427" s="32" t="s">
        <v>4302</v>
      </c>
      <c r="D3427" s="32" t="s">
        <v>184</v>
      </c>
      <c r="E3427" s="32" t="s">
        <v>285</v>
      </c>
      <c r="F3427" s="32" t="s">
        <v>2893</v>
      </c>
    </row>
    <row r="3428" ht="16.5" customHeight="1">
      <c r="A3428" s="32">
        <v>3424.0</v>
      </c>
      <c r="C3428" s="32" t="s">
        <v>4303</v>
      </c>
      <c r="D3428" s="32" t="s">
        <v>184</v>
      </c>
      <c r="E3428" s="32" t="s">
        <v>285</v>
      </c>
      <c r="F3428" s="32" t="s">
        <v>2893</v>
      </c>
      <c r="G3428" s="32" t="s">
        <v>189</v>
      </c>
      <c r="H3428" s="32" t="s">
        <v>902</v>
      </c>
    </row>
    <row r="3429" ht="16.5" customHeight="1">
      <c r="A3429" s="32">
        <v>3425.0</v>
      </c>
      <c r="C3429" s="32" t="s">
        <v>4304</v>
      </c>
      <c r="D3429" s="32" t="s">
        <v>184</v>
      </c>
      <c r="E3429" s="32" t="s">
        <v>254</v>
      </c>
      <c r="F3429" s="32" t="s">
        <v>4305</v>
      </c>
      <c r="G3429" s="32" t="s">
        <v>260</v>
      </c>
      <c r="H3429" s="32" t="s">
        <v>4306</v>
      </c>
    </row>
    <row r="3430" ht="16.5" customHeight="1">
      <c r="A3430" s="32">
        <v>3426.0</v>
      </c>
      <c r="C3430" s="32" t="s">
        <v>4307</v>
      </c>
      <c r="D3430" s="32" t="s">
        <v>184</v>
      </c>
      <c r="E3430" s="35" t="s">
        <v>522</v>
      </c>
      <c r="F3430" s="32" t="s">
        <v>255</v>
      </c>
      <c r="G3430" s="32" t="s">
        <v>4260</v>
      </c>
    </row>
    <row r="3431" ht="16.5" customHeight="1">
      <c r="A3431" s="32">
        <v>3427.0</v>
      </c>
      <c r="C3431" s="32" t="s">
        <v>4308</v>
      </c>
      <c r="D3431" s="32" t="s">
        <v>184</v>
      </c>
      <c r="E3431" s="32" t="s">
        <v>192</v>
      </c>
      <c r="F3431" s="32" t="s">
        <v>255</v>
      </c>
      <c r="G3431" s="32" t="s">
        <v>300</v>
      </c>
      <c r="H3431" s="32" t="s">
        <v>4309</v>
      </c>
    </row>
    <row r="3432" ht="16.5" customHeight="1">
      <c r="A3432" s="32">
        <v>3428.0</v>
      </c>
      <c r="C3432" s="32" t="s">
        <v>4310</v>
      </c>
      <c r="D3432" s="32" t="s">
        <v>184</v>
      </c>
      <c r="E3432" s="32" t="s">
        <v>192</v>
      </c>
      <c r="F3432" s="32" t="s">
        <v>255</v>
      </c>
      <c r="G3432" s="32" t="s">
        <v>300</v>
      </c>
      <c r="H3432" s="32" t="s">
        <v>4311</v>
      </c>
    </row>
    <row r="3433" ht="16.5" customHeight="1">
      <c r="A3433" s="32">
        <v>3429.0</v>
      </c>
      <c r="C3433" s="32" t="s">
        <v>4312</v>
      </c>
      <c r="D3433" s="32" t="s">
        <v>184</v>
      </c>
      <c r="E3433" s="32" t="s">
        <v>192</v>
      </c>
      <c r="F3433" s="32" t="s">
        <v>255</v>
      </c>
    </row>
    <row r="3434" ht="16.5" customHeight="1">
      <c r="A3434" s="32">
        <v>3430.0</v>
      </c>
      <c r="C3434" s="32" t="s">
        <v>4313</v>
      </c>
      <c r="D3434" s="32" t="s">
        <v>184</v>
      </c>
      <c r="E3434" s="32" t="s">
        <v>285</v>
      </c>
      <c r="F3434" s="32" t="s">
        <v>255</v>
      </c>
      <c r="G3434" s="32" t="s">
        <v>2412</v>
      </c>
      <c r="H3434" s="32" t="s">
        <v>561</v>
      </c>
    </row>
    <row r="3435" ht="16.5" customHeight="1">
      <c r="A3435" s="32">
        <v>3431.0</v>
      </c>
      <c r="C3435" s="32" t="s">
        <v>4313</v>
      </c>
      <c r="D3435" s="32" t="s">
        <v>184</v>
      </c>
      <c r="E3435" s="32" t="s">
        <v>185</v>
      </c>
      <c r="F3435" s="32" t="s">
        <v>255</v>
      </c>
      <c r="G3435" s="32" t="s">
        <v>188</v>
      </c>
      <c r="H3435" s="32" t="s">
        <v>665</v>
      </c>
    </row>
    <row r="3436" ht="16.5" customHeight="1">
      <c r="A3436" s="32">
        <v>3432.0</v>
      </c>
      <c r="C3436" s="32" t="s">
        <v>4314</v>
      </c>
      <c r="D3436" s="32" t="s">
        <v>184</v>
      </c>
      <c r="E3436" s="32" t="s">
        <v>192</v>
      </c>
      <c r="F3436" s="32" t="s">
        <v>4017</v>
      </c>
      <c r="G3436" s="32" t="s">
        <v>238</v>
      </c>
      <c r="H3436" s="32" t="s">
        <v>618</v>
      </c>
    </row>
    <row r="3437" ht="16.5" customHeight="1">
      <c r="A3437" s="32">
        <v>3433.0</v>
      </c>
      <c r="C3437" s="32" t="s">
        <v>4315</v>
      </c>
      <c r="D3437" s="32" t="s">
        <v>184</v>
      </c>
      <c r="E3437" s="32" t="s">
        <v>192</v>
      </c>
      <c r="F3437" s="32" t="s">
        <v>4017</v>
      </c>
      <c r="G3437" s="32" t="s">
        <v>238</v>
      </c>
      <c r="H3437" s="32" t="s">
        <v>239</v>
      </c>
    </row>
    <row r="3438" ht="16.5" customHeight="1">
      <c r="A3438" s="32">
        <v>3434.0</v>
      </c>
      <c r="C3438" s="32" t="s">
        <v>4316</v>
      </c>
      <c r="D3438" s="32" t="s">
        <v>184</v>
      </c>
      <c r="E3438" s="32" t="s">
        <v>285</v>
      </c>
      <c r="F3438" s="32" t="s">
        <v>4017</v>
      </c>
    </row>
    <row r="3439" ht="16.5" customHeight="1">
      <c r="A3439" s="32">
        <v>3435.0</v>
      </c>
      <c r="C3439" s="32" t="s">
        <v>4317</v>
      </c>
      <c r="D3439" s="32" t="s">
        <v>184</v>
      </c>
      <c r="E3439" s="32" t="s">
        <v>228</v>
      </c>
      <c r="F3439" s="32" t="s">
        <v>4017</v>
      </c>
      <c r="G3439" s="32" t="s">
        <v>229</v>
      </c>
      <c r="H3439" s="32" t="s">
        <v>230</v>
      </c>
    </row>
    <row r="3440" ht="16.5" customHeight="1">
      <c r="A3440" s="32">
        <v>3436.0</v>
      </c>
      <c r="C3440" s="32" t="s">
        <v>4318</v>
      </c>
      <c r="D3440" s="32" t="s">
        <v>184</v>
      </c>
      <c r="E3440" s="32" t="s">
        <v>234</v>
      </c>
      <c r="F3440" s="32" t="s">
        <v>4017</v>
      </c>
      <c r="G3440" s="32" t="s">
        <v>235</v>
      </c>
      <c r="H3440" s="32" t="s">
        <v>243</v>
      </c>
    </row>
    <row r="3441" ht="16.5" customHeight="1">
      <c r="A3441" s="32">
        <v>3437.0</v>
      </c>
      <c r="C3441" s="32" t="s">
        <v>4319</v>
      </c>
      <c r="D3441" s="32" t="s">
        <v>184</v>
      </c>
      <c r="E3441" s="32" t="s">
        <v>185</v>
      </c>
      <c r="F3441" s="32" t="s">
        <v>4017</v>
      </c>
      <c r="G3441" s="32" t="s">
        <v>267</v>
      </c>
      <c r="H3441" s="32" t="s">
        <v>188</v>
      </c>
    </row>
    <row r="3442" ht="16.5" customHeight="1">
      <c r="A3442" s="32">
        <v>3438.0</v>
      </c>
      <c r="C3442" s="32" t="s">
        <v>4320</v>
      </c>
      <c r="D3442" s="32" t="s">
        <v>184</v>
      </c>
      <c r="E3442" s="32" t="s">
        <v>192</v>
      </c>
      <c r="F3442" s="32" t="s">
        <v>4017</v>
      </c>
      <c r="G3442" s="32" t="s">
        <v>329</v>
      </c>
      <c r="H3442" s="32" t="s">
        <v>447</v>
      </c>
    </row>
    <row r="3443" ht="16.5" customHeight="1">
      <c r="A3443" s="32">
        <v>3439.0</v>
      </c>
      <c r="C3443" s="32" t="s">
        <v>4321</v>
      </c>
      <c r="D3443" s="32" t="s">
        <v>184</v>
      </c>
      <c r="E3443" s="32" t="s">
        <v>192</v>
      </c>
      <c r="F3443" s="32" t="s">
        <v>4017</v>
      </c>
      <c r="G3443" s="32" t="s">
        <v>329</v>
      </c>
      <c r="H3443" s="32" t="s">
        <v>457</v>
      </c>
    </row>
    <row r="3444" ht="16.5" customHeight="1">
      <c r="A3444" s="32">
        <v>3440.0</v>
      </c>
      <c r="C3444" s="32" t="s">
        <v>4322</v>
      </c>
      <c r="D3444" s="32" t="s">
        <v>184</v>
      </c>
      <c r="E3444" s="32" t="s">
        <v>192</v>
      </c>
      <c r="F3444" s="32" t="s">
        <v>4017</v>
      </c>
      <c r="G3444" s="32" t="s">
        <v>329</v>
      </c>
      <c r="H3444" s="32" t="s">
        <v>457</v>
      </c>
    </row>
    <row r="3445" ht="16.5" customHeight="1">
      <c r="A3445" s="32">
        <v>3441.0</v>
      </c>
      <c r="C3445" s="32" t="s">
        <v>4323</v>
      </c>
      <c r="D3445" s="32" t="s">
        <v>184</v>
      </c>
      <c r="E3445" s="32" t="s">
        <v>228</v>
      </c>
      <c r="F3445" s="32" t="s">
        <v>4017</v>
      </c>
      <c r="G3445" s="32" t="s">
        <v>408</v>
      </c>
      <c r="H3445" s="32" t="s">
        <v>490</v>
      </c>
    </row>
    <row r="3446" ht="16.5" customHeight="1">
      <c r="A3446" s="32">
        <v>3442.0</v>
      </c>
      <c r="C3446" s="32" t="s">
        <v>4324</v>
      </c>
      <c r="D3446" s="32" t="s">
        <v>184</v>
      </c>
      <c r="E3446" s="32" t="s">
        <v>325</v>
      </c>
      <c r="F3446" s="32" t="s">
        <v>4017</v>
      </c>
      <c r="G3446" s="32" t="s">
        <v>368</v>
      </c>
      <c r="H3446" s="32" t="s">
        <v>463</v>
      </c>
    </row>
    <row r="3447" ht="16.5" customHeight="1">
      <c r="A3447" s="32">
        <v>3443.0</v>
      </c>
      <c r="C3447" s="32" t="s">
        <v>4325</v>
      </c>
      <c r="D3447" s="32" t="s">
        <v>184</v>
      </c>
      <c r="E3447" s="32" t="s">
        <v>325</v>
      </c>
      <c r="F3447" s="32" t="s">
        <v>4017</v>
      </c>
      <c r="G3447" s="32" t="s">
        <v>368</v>
      </c>
      <c r="H3447" s="32" t="s">
        <v>463</v>
      </c>
    </row>
    <row r="3448" ht="16.5" customHeight="1">
      <c r="A3448" s="32">
        <v>3444.0</v>
      </c>
      <c r="C3448" s="32" t="s">
        <v>4326</v>
      </c>
      <c r="D3448" s="32" t="s">
        <v>184</v>
      </c>
      <c r="E3448" s="32" t="s">
        <v>285</v>
      </c>
      <c r="F3448" s="32" t="s">
        <v>4017</v>
      </c>
      <c r="G3448" s="32" t="s">
        <v>2413</v>
      </c>
      <c r="H3448" s="32" t="s">
        <v>857</v>
      </c>
    </row>
    <row r="3449" ht="16.5" customHeight="1">
      <c r="A3449" s="32">
        <v>3445.0</v>
      </c>
      <c r="C3449" s="32" t="s">
        <v>4327</v>
      </c>
      <c r="D3449" s="32" t="s">
        <v>184</v>
      </c>
      <c r="E3449" s="32" t="s">
        <v>285</v>
      </c>
      <c r="F3449" s="32" t="s">
        <v>4017</v>
      </c>
      <c r="G3449" s="32" t="s">
        <v>189</v>
      </c>
      <c r="H3449" s="32" t="s">
        <v>190</v>
      </c>
    </row>
    <row r="3450" ht="16.5" customHeight="1">
      <c r="A3450" s="32">
        <v>3446.0</v>
      </c>
      <c r="C3450" s="32" t="s">
        <v>4328</v>
      </c>
      <c r="D3450" s="32" t="s">
        <v>184</v>
      </c>
      <c r="E3450" s="32" t="s">
        <v>219</v>
      </c>
      <c r="F3450" s="32" t="s">
        <v>4017</v>
      </c>
      <c r="G3450" s="32" t="s">
        <v>223</v>
      </c>
      <c r="H3450" s="32" t="s">
        <v>472</v>
      </c>
    </row>
    <row r="3451" ht="16.5" customHeight="1">
      <c r="A3451" s="32">
        <v>3447.0</v>
      </c>
      <c r="C3451" s="32" t="s">
        <v>4329</v>
      </c>
      <c r="D3451" s="32" t="s">
        <v>184</v>
      </c>
      <c r="E3451" s="32" t="s">
        <v>185</v>
      </c>
      <c r="F3451" s="32" t="s">
        <v>4017</v>
      </c>
      <c r="G3451" s="32" t="s">
        <v>267</v>
      </c>
      <c r="H3451" s="32" t="s">
        <v>975</v>
      </c>
    </row>
    <row r="3452" ht="16.5" customHeight="1">
      <c r="A3452" s="32">
        <v>3448.0</v>
      </c>
      <c r="C3452" s="32" t="s">
        <v>4330</v>
      </c>
      <c r="D3452" s="32" t="s">
        <v>184</v>
      </c>
      <c r="E3452" s="35" t="s">
        <v>294</v>
      </c>
      <c r="F3452" s="32" t="s">
        <v>4017</v>
      </c>
      <c r="G3452" s="32" t="s">
        <v>2010</v>
      </c>
      <c r="H3452" s="32" t="s">
        <v>2076</v>
      </c>
    </row>
    <row r="3453" ht="16.5" customHeight="1">
      <c r="A3453" s="32">
        <v>3449.0</v>
      </c>
      <c r="C3453" s="32" t="s">
        <v>4331</v>
      </c>
      <c r="D3453" s="32" t="s">
        <v>184</v>
      </c>
      <c r="E3453" s="32" t="s">
        <v>234</v>
      </c>
      <c r="F3453" s="32" t="s">
        <v>4017</v>
      </c>
      <c r="G3453" s="32" t="s">
        <v>347</v>
      </c>
      <c r="H3453" s="32" t="s">
        <v>382</v>
      </c>
    </row>
    <row r="3454" ht="16.5" customHeight="1">
      <c r="A3454" s="32">
        <v>3450.0</v>
      </c>
      <c r="C3454" s="32" t="s">
        <v>4332</v>
      </c>
      <c r="D3454" s="32" t="s">
        <v>184</v>
      </c>
      <c r="E3454" s="32" t="s">
        <v>234</v>
      </c>
      <c r="F3454" s="32" t="s">
        <v>4017</v>
      </c>
      <c r="G3454" s="32" t="s">
        <v>347</v>
      </c>
      <c r="H3454" s="32" t="s">
        <v>382</v>
      </c>
    </row>
    <row r="3455" ht="16.5" customHeight="1">
      <c r="A3455" s="32">
        <v>3451.0</v>
      </c>
      <c r="C3455" s="32" t="s">
        <v>4333</v>
      </c>
      <c r="D3455" s="32" t="s">
        <v>184</v>
      </c>
      <c r="E3455" s="32" t="s">
        <v>219</v>
      </c>
      <c r="F3455" s="32" t="s">
        <v>4017</v>
      </c>
    </row>
    <row r="3456" ht="16.5" customHeight="1">
      <c r="A3456" s="32">
        <v>3452.0</v>
      </c>
      <c r="C3456" s="32" t="s">
        <v>4334</v>
      </c>
      <c r="D3456" s="32" t="s">
        <v>184</v>
      </c>
      <c r="E3456" s="32" t="s">
        <v>285</v>
      </c>
      <c r="F3456" s="32" t="s">
        <v>4017</v>
      </c>
    </row>
    <row r="3457" ht="16.5" customHeight="1">
      <c r="A3457" s="32">
        <v>3453.0</v>
      </c>
      <c r="C3457" s="32" t="s">
        <v>4335</v>
      </c>
      <c r="D3457" s="32" t="s">
        <v>184</v>
      </c>
      <c r="E3457" s="32" t="s">
        <v>285</v>
      </c>
      <c r="F3457" s="32" t="s">
        <v>4017</v>
      </c>
    </row>
    <row r="3458" ht="16.5" customHeight="1">
      <c r="A3458" s="32">
        <v>3454.0</v>
      </c>
      <c r="C3458" s="32" t="s">
        <v>4336</v>
      </c>
      <c r="D3458" s="32" t="s">
        <v>184</v>
      </c>
      <c r="E3458" s="32" t="s">
        <v>285</v>
      </c>
      <c r="F3458" s="32" t="s">
        <v>4017</v>
      </c>
      <c r="G3458" s="32" t="s">
        <v>189</v>
      </c>
      <c r="H3458" s="32" t="s">
        <v>190</v>
      </c>
    </row>
    <row r="3459" ht="16.5" customHeight="1">
      <c r="A3459" s="32">
        <v>3455.0</v>
      </c>
      <c r="C3459" s="32" t="s">
        <v>4337</v>
      </c>
      <c r="D3459" s="32" t="s">
        <v>184</v>
      </c>
      <c r="E3459" s="32" t="s">
        <v>285</v>
      </c>
      <c r="F3459" s="32" t="s">
        <v>4017</v>
      </c>
    </row>
    <row r="3460" ht="16.5" customHeight="1">
      <c r="A3460" s="32">
        <v>3456.0</v>
      </c>
      <c r="C3460" s="32" t="s">
        <v>4338</v>
      </c>
      <c r="D3460" s="32" t="s">
        <v>184</v>
      </c>
      <c r="E3460" s="32" t="s">
        <v>285</v>
      </c>
      <c r="F3460" s="32" t="s">
        <v>4017</v>
      </c>
      <c r="G3460" s="32" t="s">
        <v>189</v>
      </c>
      <c r="H3460" s="32" t="s">
        <v>190</v>
      </c>
    </row>
    <row r="3461" ht="16.5" customHeight="1">
      <c r="A3461" s="32">
        <v>3457.0</v>
      </c>
      <c r="C3461" s="32" t="s">
        <v>4339</v>
      </c>
      <c r="D3461" s="32" t="s">
        <v>184</v>
      </c>
      <c r="E3461" s="32" t="s">
        <v>185</v>
      </c>
      <c r="F3461" s="32" t="s">
        <v>4017</v>
      </c>
    </row>
    <row r="3462" ht="16.5" customHeight="1">
      <c r="A3462" s="32">
        <v>3458.0</v>
      </c>
      <c r="C3462" s="32" t="s">
        <v>4340</v>
      </c>
      <c r="D3462" s="32" t="s">
        <v>184</v>
      </c>
      <c r="E3462" s="32" t="s">
        <v>185</v>
      </c>
      <c r="F3462" s="32" t="s">
        <v>4017</v>
      </c>
      <c r="G3462" s="32" t="s">
        <v>189</v>
      </c>
      <c r="H3462" s="32" t="s">
        <v>190</v>
      </c>
    </row>
    <row r="3463" ht="16.5" customHeight="1">
      <c r="A3463" s="32">
        <v>3459.0</v>
      </c>
      <c r="C3463" s="32" t="s">
        <v>4341</v>
      </c>
      <c r="D3463" s="32" t="s">
        <v>184</v>
      </c>
      <c r="E3463" s="32" t="s">
        <v>764</v>
      </c>
      <c r="F3463" s="32" t="s">
        <v>4017</v>
      </c>
    </row>
    <row r="3464" ht="16.5" customHeight="1">
      <c r="A3464" s="32">
        <v>3460.0</v>
      </c>
      <c r="C3464" s="32" t="s">
        <v>4342</v>
      </c>
      <c r="D3464" s="32" t="s">
        <v>184</v>
      </c>
      <c r="E3464" s="32" t="s">
        <v>234</v>
      </c>
      <c r="F3464" s="32" t="s">
        <v>4017</v>
      </c>
      <c r="G3464" s="32" t="s">
        <v>347</v>
      </c>
      <c r="H3464" s="32" t="s">
        <v>382</v>
      </c>
    </row>
    <row r="3465" ht="16.5" customHeight="1">
      <c r="A3465" s="32">
        <v>3461.0</v>
      </c>
      <c r="C3465" s="32" t="s">
        <v>4343</v>
      </c>
      <c r="D3465" s="32" t="s">
        <v>184</v>
      </c>
      <c r="E3465" s="32" t="s">
        <v>254</v>
      </c>
      <c r="F3465" s="32" t="s">
        <v>4017</v>
      </c>
      <c r="G3465" s="32" t="s">
        <v>256</v>
      </c>
      <c r="H3465" s="32" t="s">
        <v>257</v>
      </c>
    </row>
    <row r="3466" ht="16.5" customHeight="1">
      <c r="A3466" s="32">
        <v>3462.0</v>
      </c>
      <c r="C3466" s="32" t="s">
        <v>4344</v>
      </c>
      <c r="D3466" s="32" t="s">
        <v>184</v>
      </c>
      <c r="E3466" s="32" t="s">
        <v>185</v>
      </c>
      <c r="F3466" s="32" t="s">
        <v>4017</v>
      </c>
      <c r="G3466" s="32" t="s">
        <v>187</v>
      </c>
      <c r="H3466" s="32" t="s">
        <v>854</v>
      </c>
    </row>
    <row r="3467" ht="16.5" customHeight="1">
      <c r="A3467" s="32">
        <v>3463.0</v>
      </c>
      <c r="C3467" s="32" t="s">
        <v>4345</v>
      </c>
      <c r="D3467" s="32" t="s">
        <v>184</v>
      </c>
      <c r="E3467" s="32" t="s">
        <v>234</v>
      </c>
      <c r="F3467" s="32" t="s">
        <v>4017</v>
      </c>
      <c r="G3467" s="32" t="s">
        <v>415</v>
      </c>
      <c r="H3467" s="32" t="s">
        <v>243</v>
      </c>
    </row>
    <row r="3468" ht="16.5" customHeight="1">
      <c r="A3468" s="32">
        <v>3464.0</v>
      </c>
      <c r="C3468" s="32" t="s">
        <v>4346</v>
      </c>
      <c r="D3468" s="32" t="s">
        <v>184</v>
      </c>
      <c r="E3468" s="32" t="s">
        <v>234</v>
      </c>
      <c r="F3468" s="32" t="s">
        <v>4017</v>
      </c>
      <c r="G3468" s="32" t="s">
        <v>415</v>
      </c>
      <c r="H3468" s="32" t="s">
        <v>243</v>
      </c>
    </row>
    <row r="3469" ht="16.5" customHeight="1">
      <c r="A3469" s="32">
        <v>3465.0</v>
      </c>
      <c r="C3469" s="32" t="s">
        <v>4347</v>
      </c>
      <c r="D3469" s="32" t="s">
        <v>184</v>
      </c>
      <c r="E3469" s="32" t="s">
        <v>234</v>
      </c>
      <c r="F3469" s="32" t="s">
        <v>4017</v>
      </c>
      <c r="G3469" s="32" t="s">
        <v>885</v>
      </c>
      <c r="H3469" s="32" t="s">
        <v>882</v>
      </c>
    </row>
    <row r="3470" ht="16.5" customHeight="1">
      <c r="A3470" s="32">
        <v>3466.0</v>
      </c>
      <c r="C3470" s="32" t="s">
        <v>4348</v>
      </c>
      <c r="D3470" s="32" t="s">
        <v>184</v>
      </c>
      <c r="E3470" s="32" t="s">
        <v>185</v>
      </c>
      <c r="F3470" s="32" t="s">
        <v>4017</v>
      </c>
    </row>
    <row r="3471" ht="16.5" customHeight="1">
      <c r="A3471" s="32">
        <v>3467.0</v>
      </c>
      <c r="C3471" s="32" t="s">
        <v>4349</v>
      </c>
      <c r="D3471" s="32" t="s">
        <v>184</v>
      </c>
      <c r="E3471" s="32" t="s">
        <v>185</v>
      </c>
      <c r="F3471" s="32" t="s">
        <v>4017</v>
      </c>
      <c r="G3471" s="32" t="s">
        <v>187</v>
      </c>
      <c r="H3471" s="32" t="s">
        <v>188</v>
      </c>
    </row>
    <row r="3472" ht="16.5" customHeight="1">
      <c r="A3472" s="32">
        <v>3468.0</v>
      </c>
      <c r="C3472" s="32" t="s">
        <v>4350</v>
      </c>
      <c r="D3472" s="32" t="s">
        <v>184</v>
      </c>
      <c r="E3472" s="32" t="s">
        <v>185</v>
      </c>
      <c r="F3472" s="32" t="s">
        <v>4017</v>
      </c>
    </row>
    <row r="3473" ht="16.5" customHeight="1">
      <c r="A3473" s="32">
        <v>3469.0</v>
      </c>
      <c r="C3473" s="32" t="s">
        <v>4351</v>
      </c>
      <c r="D3473" s="32" t="s">
        <v>184</v>
      </c>
      <c r="E3473" s="32" t="s">
        <v>285</v>
      </c>
      <c r="F3473" s="32" t="s">
        <v>4017</v>
      </c>
      <c r="G3473" s="32" t="s">
        <v>189</v>
      </c>
      <c r="H3473" s="32" t="s">
        <v>2046</v>
      </c>
    </row>
    <row r="3474" ht="16.5" customHeight="1">
      <c r="A3474" s="32">
        <v>3470.0</v>
      </c>
      <c r="C3474" s="32" t="s">
        <v>4352</v>
      </c>
      <c r="D3474" s="32" t="s">
        <v>184</v>
      </c>
      <c r="E3474" s="32" t="s">
        <v>285</v>
      </c>
      <c r="F3474" s="32" t="s">
        <v>4017</v>
      </c>
      <c r="G3474" s="32" t="s">
        <v>189</v>
      </c>
      <c r="H3474" s="32" t="s">
        <v>190</v>
      </c>
    </row>
    <row r="3475" ht="16.5" customHeight="1">
      <c r="A3475" s="32">
        <v>3471.0</v>
      </c>
      <c r="C3475" s="32" t="s">
        <v>4353</v>
      </c>
      <c r="D3475" s="32" t="s">
        <v>184</v>
      </c>
      <c r="E3475" s="35" t="s">
        <v>294</v>
      </c>
      <c r="F3475" s="32" t="s">
        <v>4017</v>
      </c>
      <c r="G3475" s="32" t="s">
        <v>189</v>
      </c>
      <c r="H3475" s="32" t="s">
        <v>190</v>
      </c>
    </row>
    <row r="3476" ht="16.5" customHeight="1">
      <c r="A3476" s="32">
        <v>3472.0</v>
      </c>
      <c r="C3476" s="32" t="s">
        <v>4354</v>
      </c>
      <c r="D3476" s="32" t="s">
        <v>184</v>
      </c>
      <c r="E3476" s="32" t="s">
        <v>285</v>
      </c>
      <c r="F3476" s="32" t="s">
        <v>4017</v>
      </c>
      <c r="G3476" s="32" t="s">
        <v>189</v>
      </c>
      <c r="H3476" s="32" t="s">
        <v>190</v>
      </c>
    </row>
    <row r="3477" ht="16.5" customHeight="1">
      <c r="A3477" s="32">
        <v>3473.0</v>
      </c>
      <c r="C3477" s="32" t="s">
        <v>4355</v>
      </c>
      <c r="D3477" s="32" t="s">
        <v>184</v>
      </c>
      <c r="E3477" s="32" t="s">
        <v>185</v>
      </c>
      <c r="F3477" s="32" t="s">
        <v>4017</v>
      </c>
      <c r="G3477" s="32" t="s">
        <v>187</v>
      </c>
      <c r="H3477" s="32" t="s">
        <v>2733</v>
      </c>
    </row>
    <row r="3478" ht="16.5" customHeight="1">
      <c r="A3478" s="32">
        <v>3474.0</v>
      </c>
      <c r="C3478" s="32" t="s">
        <v>4356</v>
      </c>
      <c r="D3478" s="32" t="s">
        <v>184</v>
      </c>
      <c r="E3478" s="32" t="s">
        <v>219</v>
      </c>
      <c r="F3478" s="32" t="s">
        <v>4017</v>
      </c>
      <c r="G3478" s="32" t="s">
        <v>241</v>
      </c>
      <c r="H3478" s="32" t="s">
        <v>292</v>
      </c>
    </row>
    <row r="3479" ht="16.5" customHeight="1">
      <c r="A3479" s="32">
        <v>3475.0</v>
      </c>
      <c r="C3479" s="32" t="s">
        <v>4357</v>
      </c>
      <c r="D3479" s="32" t="s">
        <v>184</v>
      </c>
      <c r="E3479" s="32" t="s">
        <v>219</v>
      </c>
      <c r="F3479" s="32" t="s">
        <v>4017</v>
      </c>
    </row>
    <row r="3480" ht="16.5" customHeight="1">
      <c r="A3480" s="32">
        <v>3476.0</v>
      </c>
      <c r="C3480" s="32" t="s">
        <v>4358</v>
      </c>
      <c r="D3480" s="32" t="s">
        <v>184</v>
      </c>
      <c r="E3480" s="32" t="s">
        <v>219</v>
      </c>
      <c r="F3480" s="32" t="s">
        <v>4017</v>
      </c>
    </row>
    <row r="3481" ht="16.5" customHeight="1">
      <c r="A3481" s="32">
        <v>3477.0</v>
      </c>
      <c r="C3481" s="32" t="s">
        <v>4359</v>
      </c>
      <c r="D3481" s="32" t="s">
        <v>184</v>
      </c>
      <c r="E3481" s="32" t="s">
        <v>234</v>
      </c>
      <c r="F3481" s="32" t="s">
        <v>4017</v>
      </c>
    </row>
    <row r="3482" ht="16.5" customHeight="1">
      <c r="A3482" s="32">
        <v>3478.0</v>
      </c>
      <c r="C3482" s="32" t="s">
        <v>4360</v>
      </c>
      <c r="D3482" s="32" t="s">
        <v>184</v>
      </c>
      <c r="E3482" s="32" t="s">
        <v>192</v>
      </c>
      <c r="F3482" s="32" t="s">
        <v>4017</v>
      </c>
    </row>
    <row r="3483" ht="16.5" customHeight="1">
      <c r="A3483" s="32">
        <v>3479.0</v>
      </c>
      <c r="C3483" s="32" t="s">
        <v>4361</v>
      </c>
      <c r="D3483" s="32" t="s">
        <v>184</v>
      </c>
      <c r="E3483" s="32" t="s">
        <v>192</v>
      </c>
      <c r="F3483" s="32" t="s">
        <v>4017</v>
      </c>
      <c r="G3483" s="32" t="s">
        <v>329</v>
      </c>
      <c r="H3483" s="32" t="s">
        <v>457</v>
      </c>
    </row>
    <row r="3484" ht="16.5" customHeight="1">
      <c r="A3484" s="32">
        <v>3480.0</v>
      </c>
      <c r="C3484" s="32" t="s">
        <v>4362</v>
      </c>
      <c r="D3484" s="32" t="s">
        <v>184</v>
      </c>
      <c r="E3484" s="32" t="s">
        <v>192</v>
      </c>
      <c r="F3484" s="32" t="s">
        <v>4017</v>
      </c>
      <c r="G3484" s="32" t="s">
        <v>267</v>
      </c>
      <c r="H3484" s="32" t="s">
        <v>188</v>
      </c>
    </row>
    <row r="3485" ht="16.5" customHeight="1">
      <c r="A3485" s="32">
        <v>3481.0</v>
      </c>
      <c r="C3485" s="32" t="s">
        <v>4363</v>
      </c>
      <c r="D3485" s="32" t="s">
        <v>184</v>
      </c>
      <c r="E3485" s="32" t="s">
        <v>325</v>
      </c>
      <c r="F3485" s="32" t="s">
        <v>4017</v>
      </c>
      <c r="G3485" s="32" t="s">
        <v>368</v>
      </c>
      <c r="H3485" s="32" t="s">
        <v>463</v>
      </c>
    </row>
    <row r="3486" ht="16.5" customHeight="1">
      <c r="A3486" s="32">
        <v>3482.0</v>
      </c>
      <c r="C3486" s="32" t="s">
        <v>4364</v>
      </c>
      <c r="D3486" s="32" t="s">
        <v>184</v>
      </c>
      <c r="E3486" s="32" t="s">
        <v>325</v>
      </c>
      <c r="F3486" s="32" t="s">
        <v>4017</v>
      </c>
    </row>
    <row r="3487" ht="16.5" customHeight="1">
      <c r="A3487" s="32">
        <v>3483.0</v>
      </c>
      <c r="C3487" s="32" t="s">
        <v>4365</v>
      </c>
      <c r="D3487" s="32" t="s">
        <v>184</v>
      </c>
      <c r="E3487" s="32" t="s">
        <v>185</v>
      </c>
      <c r="F3487" s="32" t="s">
        <v>4017</v>
      </c>
    </row>
    <row r="3488" ht="16.5" customHeight="1">
      <c r="A3488" s="32">
        <v>3484.0</v>
      </c>
      <c r="C3488" s="32" t="s">
        <v>4366</v>
      </c>
      <c r="D3488" s="32" t="s">
        <v>184</v>
      </c>
      <c r="E3488" s="32" t="s">
        <v>285</v>
      </c>
      <c r="F3488" s="32" t="s">
        <v>4017</v>
      </c>
      <c r="G3488" s="32" t="s">
        <v>189</v>
      </c>
      <c r="H3488" s="32" t="s">
        <v>190</v>
      </c>
    </row>
    <row r="3489" ht="16.5" customHeight="1">
      <c r="A3489" s="32">
        <v>3485.0</v>
      </c>
      <c r="C3489" s="32" t="s">
        <v>4367</v>
      </c>
      <c r="D3489" s="32" t="s">
        <v>184</v>
      </c>
      <c r="E3489" s="32" t="s">
        <v>325</v>
      </c>
      <c r="F3489" s="32" t="s">
        <v>4017</v>
      </c>
      <c r="G3489" s="32" t="s">
        <v>1100</v>
      </c>
      <c r="H3489" s="32" t="s">
        <v>463</v>
      </c>
    </row>
    <row r="3490" ht="16.5" customHeight="1">
      <c r="A3490" s="32">
        <v>3486.0</v>
      </c>
      <c r="C3490" s="32" t="s">
        <v>4367</v>
      </c>
      <c r="D3490" s="32" t="s">
        <v>184</v>
      </c>
      <c r="E3490" s="32" t="s">
        <v>325</v>
      </c>
      <c r="F3490" s="32" t="s">
        <v>4017</v>
      </c>
      <c r="G3490" s="32" t="s">
        <v>368</v>
      </c>
      <c r="H3490" s="32" t="s">
        <v>463</v>
      </c>
    </row>
    <row r="3491" ht="16.5" customHeight="1">
      <c r="A3491" s="32">
        <v>3487.0</v>
      </c>
      <c r="C3491" s="32" t="s">
        <v>4368</v>
      </c>
      <c r="D3491" s="32" t="s">
        <v>184</v>
      </c>
      <c r="E3491" s="32" t="s">
        <v>325</v>
      </c>
      <c r="F3491" s="32" t="s">
        <v>4017</v>
      </c>
    </row>
    <row r="3492" ht="16.5" customHeight="1">
      <c r="A3492" s="32">
        <v>3488.0</v>
      </c>
      <c r="C3492" s="32" t="s">
        <v>4369</v>
      </c>
      <c r="D3492" s="32" t="s">
        <v>184</v>
      </c>
      <c r="E3492" s="32" t="s">
        <v>192</v>
      </c>
      <c r="F3492" s="32" t="s">
        <v>4017</v>
      </c>
      <c r="G3492" s="32" t="s">
        <v>329</v>
      </c>
      <c r="H3492" s="32" t="s">
        <v>4370</v>
      </c>
    </row>
    <row r="3493" ht="16.5" customHeight="1">
      <c r="A3493" s="32">
        <v>3489.0</v>
      </c>
      <c r="C3493" s="32" t="s">
        <v>4371</v>
      </c>
      <c r="D3493" s="32" t="s">
        <v>184</v>
      </c>
      <c r="E3493" s="32" t="s">
        <v>185</v>
      </c>
      <c r="F3493" s="32" t="s">
        <v>4017</v>
      </c>
    </row>
    <row r="3494" ht="16.5" customHeight="1">
      <c r="A3494" s="32">
        <v>3490.0</v>
      </c>
      <c r="C3494" s="32" t="s">
        <v>4372</v>
      </c>
      <c r="D3494" s="32" t="s">
        <v>184</v>
      </c>
      <c r="E3494" s="32" t="s">
        <v>234</v>
      </c>
      <c r="F3494" s="32" t="s">
        <v>4017</v>
      </c>
      <c r="G3494" s="32" t="s">
        <v>235</v>
      </c>
      <c r="H3494" s="32" t="s">
        <v>243</v>
      </c>
    </row>
    <row r="3495" ht="16.5" customHeight="1">
      <c r="A3495" s="32">
        <v>3491.0</v>
      </c>
      <c r="C3495" s="32" t="s">
        <v>4373</v>
      </c>
      <c r="D3495" s="32" t="s">
        <v>184</v>
      </c>
      <c r="E3495" s="32" t="s">
        <v>325</v>
      </c>
      <c r="F3495" s="32" t="s">
        <v>4017</v>
      </c>
    </row>
    <row r="3496" ht="16.5" customHeight="1">
      <c r="A3496" s="32">
        <v>3492.0</v>
      </c>
      <c r="C3496" s="32" t="s">
        <v>4374</v>
      </c>
      <c r="D3496" s="32" t="s">
        <v>184</v>
      </c>
      <c r="E3496" s="32" t="s">
        <v>325</v>
      </c>
      <c r="F3496" s="32" t="s">
        <v>4017</v>
      </c>
      <c r="G3496" s="32" t="s">
        <v>368</v>
      </c>
      <c r="H3496" s="32" t="s">
        <v>463</v>
      </c>
    </row>
    <row r="3497" ht="16.5" customHeight="1">
      <c r="A3497" s="32">
        <v>3493.0</v>
      </c>
      <c r="C3497" s="32" t="s">
        <v>4375</v>
      </c>
      <c r="D3497" s="32" t="s">
        <v>184</v>
      </c>
      <c r="E3497" s="32" t="s">
        <v>228</v>
      </c>
      <c r="F3497" s="32" t="s">
        <v>4017</v>
      </c>
      <c r="G3497" s="32" t="s">
        <v>229</v>
      </c>
      <c r="H3497" s="32" t="s">
        <v>626</v>
      </c>
    </row>
    <row r="3498" ht="16.5" customHeight="1">
      <c r="A3498" s="32">
        <v>3494.0</v>
      </c>
      <c r="C3498" s="32" t="s">
        <v>4376</v>
      </c>
      <c r="D3498" s="32" t="s">
        <v>184</v>
      </c>
      <c r="E3498" s="32" t="s">
        <v>228</v>
      </c>
      <c r="F3498" s="32" t="s">
        <v>4017</v>
      </c>
      <c r="G3498" s="32" t="s">
        <v>229</v>
      </c>
      <c r="H3498" s="32" t="s">
        <v>626</v>
      </c>
    </row>
    <row r="3499" ht="16.5" customHeight="1">
      <c r="A3499" s="32">
        <v>3495.0</v>
      </c>
      <c r="C3499" s="32" t="s">
        <v>4377</v>
      </c>
      <c r="D3499" s="32" t="s">
        <v>184</v>
      </c>
      <c r="E3499" s="32" t="s">
        <v>214</v>
      </c>
      <c r="F3499" s="32" t="s">
        <v>4017</v>
      </c>
      <c r="G3499" s="32" t="s">
        <v>720</v>
      </c>
    </row>
    <row r="3500" ht="16.5" customHeight="1">
      <c r="A3500" s="32">
        <v>3496.0</v>
      </c>
      <c r="C3500" s="32" t="s">
        <v>4378</v>
      </c>
      <c r="D3500" s="32" t="s">
        <v>184</v>
      </c>
      <c r="E3500" s="32" t="s">
        <v>228</v>
      </c>
      <c r="F3500" s="32" t="s">
        <v>4017</v>
      </c>
      <c r="G3500" s="32" t="s">
        <v>229</v>
      </c>
      <c r="H3500" s="32" t="s">
        <v>626</v>
      </c>
    </row>
    <row r="3501" ht="16.5" customHeight="1">
      <c r="A3501" s="32">
        <v>3497.0</v>
      </c>
      <c r="C3501" s="32" t="s">
        <v>4379</v>
      </c>
      <c r="D3501" s="32" t="s">
        <v>184</v>
      </c>
      <c r="E3501" s="32" t="s">
        <v>192</v>
      </c>
      <c r="F3501" s="32" t="s">
        <v>4017</v>
      </c>
      <c r="G3501" s="32" t="s">
        <v>238</v>
      </c>
      <c r="H3501" s="32" t="s">
        <v>618</v>
      </c>
    </row>
    <row r="3502" ht="16.5" customHeight="1">
      <c r="A3502" s="32">
        <v>3498.0</v>
      </c>
      <c r="C3502" s="32" t="s">
        <v>4380</v>
      </c>
      <c r="D3502" s="32" t="s">
        <v>184</v>
      </c>
      <c r="E3502" s="32" t="s">
        <v>192</v>
      </c>
      <c r="F3502" s="32" t="s">
        <v>4017</v>
      </c>
      <c r="G3502" s="32" t="s">
        <v>329</v>
      </c>
      <c r="H3502" s="32" t="s">
        <v>447</v>
      </c>
    </row>
    <row r="3503" ht="16.5" customHeight="1">
      <c r="A3503" s="32">
        <v>3499.0</v>
      </c>
      <c r="C3503" s="32" t="s">
        <v>4381</v>
      </c>
      <c r="D3503" s="32" t="s">
        <v>184</v>
      </c>
      <c r="E3503" s="32" t="s">
        <v>285</v>
      </c>
      <c r="F3503" s="32" t="s">
        <v>4017</v>
      </c>
      <c r="G3503" s="32" t="s">
        <v>189</v>
      </c>
      <c r="H3503" s="32" t="s">
        <v>190</v>
      </c>
    </row>
    <row r="3504" ht="16.5" customHeight="1">
      <c r="A3504" s="32">
        <v>3500.0</v>
      </c>
      <c r="C3504" s="32" t="s">
        <v>4382</v>
      </c>
      <c r="D3504" s="32" t="s">
        <v>184</v>
      </c>
      <c r="E3504" s="35" t="s">
        <v>294</v>
      </c>
      <c r="F3504" s="32" t="s">
        <v>4017</v>
      </c>
      <c r="G3504" s="32" t="s">
        <v>189</v>
      </c>
      <c r="H3504" s="32" t="s">
        <v>190</v>
      </c>
    </row>
    <row r="3505" ht="16.5" customHeight="1">
      <c r="A3505" s="32">
        <v>3501.0</v>
      </c>
      <c r="C3505" s="32" t="s">
        <v>4383</v>
      </c>
      <c r="D3505" s="32" t="s">
        <v>184</v>
      </c>
      <c r="E3505" s="35" t="s">
        <v>294</v>
      </c>
      <c r="F3505" s="32" t="s">
        <v>4017</v>
      </c>
    </row>
    <row r="3506" ht="16.5" customHeight="1">
      <c r="A3506" s="32">
        <v>3502.0</v>
      </c>
      <c r="C3506" s="32" t="s">
        <v>4384</v>
      </c>
      <c r="D3506" s="32" t="s">
        <v>184</v>
      </c>
      <c r="E3506" s="32" t="s">
        <v>285</v>
      </c>
      <c r="F3506" s="32" t="s">
        <v>4017</v>
      </c>
      <c r="G3506" s="32" t="s">
        <v>189</v>
      </c>
      <c r="H3506" s="32" t="s">
        <v>190</v>
      </c>
    </row>
    <row r="3507" ht="16.5" customHeight="1">
      <c r="A3507" s="32">
        <v>3503.0</v>
      </c>
      <c r="C3507" s="32" t="s">
        <v>4385</v>
      </c>
      <c r="D3507" s="32" t="s">
        <v>184</v>
      </c>
      <c r="E3507" s="32" t="s">
        <v>185</v>
      </c>
      <c r="F3507" s="32" t="s">
        <v>4017</v>
      </c>
      <c r="G3507" s="32" t="s">
        <v>189</v>
      </c>
      <c r="H3507" s="32" t="s">
        <v>190</v>
      </c>
    </row>
    <row r="3508" ht="16.5" customHeight="1">
      <c r="A3508" s="32">
        <v>3504.0</v>
      </c>
      <c r="C3508" s="32" t="s">
        <v>4386</v>
      </c>
      <c r="D3508" s="32" t="s">
        <v>184</v>
      </c>
      <c r="E3508" s="32" t="s">
        <v>285</v>
      </c>
      <c r="F3508" s="32" t="s">
        <v>4017</v>
      </c>
    </row>
    <row r="3509" ht="16.5" customHeight="1">
      <c r="A3509" s="32">
        <v>3505.0</v>
      </c>
      <c r="C3509" s="32" t="s">
        <v>4387</v>
      </c>
      <c r="D3509" s="32" t="s">
        <v>184</v>
      </c>
      <c r="E3509" s="32" t="s">
        <v>214</v>
      </c>
      <c r="F3509" s="32" t="s">
        <v>4017</v>
      </c>
      <c r="G3509" s="32" t="s">
        <v>720</v>
      </c>
    </row>
    <row r="3510" ht="16.5" customHeight="1">
      <c r="A3510" s="32">
        <v>3506.0</v>
      </c>
      <c r="C3510" s="32" t="s">
        <v>4388</v>
      </c>
      <c r="D3510" s="32" t="s">
        <v>184</v>
      </c>
      <c r="E3510" s="32" t="s">
        <v>228</v>
      </c>
      <c r="F3510" s="32" t="s">
        <v>4017</v>
      </c>
      <c r="G3510" s="32" t="s">
        <v>229</v>
      </c>
      <c r="H3510" s="32" t="s">
        <v>230</v>
      </c>
    </row>
    <row r="3511" ht="16.5" customHeight="1">
      <c r="A3511" s="32">
        <v>3507.0</v>
      </c>
      <c r="C3511" s="32" t="s">
        <v>4389</v>
      </c>
      <c r="D3511" s="32" t="s">
        <v>184</v>
      </c>
      <c r="E3511" s="32" t="s">
        <v>325</v>
      </c>
      <c r="F3511" s="32" t="s">
        <v>4017</v>
      </c>
      <c r="G3511" s="32" t="s">
        <v>368</v>
      </c>
      <c r="H3511" s="32" t="s">
        <v>463</v>
      </c>
    </row>
    <row r="3512" ht="16.5" customHeight="1">
      <c r="A3512" s="32">
        <v>3508.0</v>
      </c>
      <c r="C3512" s="32" t="s">
        <v>4390</v>
      </c>
      <c r="D3512" s="32" t="s">
        <v>184</v>
      </c>
      <c r="E3512" s="32" t="s">
        <v>325</v>
      </c>
      <c r="F3512" s="32" t="s">
        <v>4017</v>
      </c>
      <c r="G3512" s="32" t="s">
        <v>368</v>
      </c>
      <c r="H3512" s="32" t="s">
        <v>463</v>
      </c>
    </row>
    <row r="3513" ht="16.5" customHeight="1">
      <c r="A3513" s="32">
        <v>3509.0</v>
      </c>
      <c r="C3513" s="32" t="s">
        <v>4391</v>
      </c>
      <c r="D3513" s="32" t="s">
        <v>184</v>
      </c>
      <c r="E3513" s="32" t="s">
        <v>228</v>
      </c>
      <c r="F3513" s="32" t="s">
        <v>4017</v>
      </c>
      <c r="G3513" s="32" t="s">
        <v>229</v>
      </c>
      <c r="H3513" s="32" t="s">
        <v>230</v>
      </c>
    </row>
    <row r="3514" ht="16.5" customHeight="1">
      <c r="A3514" s="32">
        <v>3510.0</v>
      </c>
      <c r="C3514" s="32" t="s">
        <v>4392</v>
      </c>
      <c r="D3514" s="32" t="s">
        <v>184</v>
      </c>
      <c r="E3514" s="32" t="s">
        <v>228</v>
      </c>
      <c r="F3514" s="32" t="s">
        <v>4017</v>
      </c>
      <c r="G3514" s="32" t="s">
        <v>229</v>
      </c>
      <c r="H3514" s="32" t="s">
        <v>230</v>
      </c>
    </row>
    <row r="3515" ht="16.5" customHeight="1">
      <c r="A3515" s="32">
        <v>3511.0</v>
      </c>
      <c r="C3515" s="32" t="s">
        <v>4393</v>
      </c>
      <c r="D3515" s="32" t="s">
        <v>184</v>
      </c>
      <c r="E3515" s="32" t="s">
        <v>185</v>
      </c>
      <c r="F3515" s="32" t="s">
        <v>4017</v>
      </c>
    </row>
    <row r="3516" ht="16.5" customHeight="1">
      <c r="A3516" s="32">
        <v>3512.0</v>
      </c>
      <c r="C3516" s="32" t="s">
        <v>4394</v>
      </c>
      <c r="D3516" s="32" t="s">
        <v>184</v>
      </c>
      <c r="E3516" s="32" t="s">
        <v>185</v>
      </c>
      <c r="F3516" s="32" t="s">
        <v>4017</v>
      </c>
      <c r="G3516" s="32" t="s">
        <v>189</v>
      </c>
      <c r="H3516" s="32" t="s">
        <v>902</v>
      </c>
    </row>
    <row r="3517" ht="16.5" customHeight="1">
      <c r="A3517" s="32">
        <v>3513.0</v>
      </c>
      <c r="C3517" s="32" t="s">
        <v>4395</v>
      </c>
      <c r="D3517" s="32" t="s">
        <v>184</v>
      </c>
      <c r="E3517" s="32" t="s">
        <v>185</v>
      </c>
      <c r="F3517" s="32" t="s">
        <v>4017</v>
      </c>
    </row>
    <row r="3518" ht="16.5" customHeight="1">
      <c r="A3518" s="32">
        <v>3514.0</v>
      </c>
      <c r="C3518" s="32" t="s">
        <v>4396</v>
      </c>
      <c r="D3518" s="32" t="s">
        <v>184</v>
      </c>
      <c r="E3518" s="32" t="s">
        <v>325</v>
      </c>
      <c r="F3518" s="32" t="s">
        <v>4017</v>
      </c>
      <c r="G3518" s="32" t="s">
        <v>368</v>
      </c>
      <c r="H3518" s="32" t="s">
        <v>463</v>
      </c>
    </row>
    <row r="3519" ht="16.5" customHeight="1">
      <c r="A3519" s="32">
        <v>3515.0</v>
      </c>
      <c r="C3519" s="32" t="s">
        <v>4397</v>
      </c>
      <c r="D3519" s="32" t="s">
        <v>184</v>
      </c>
      <c r="E3519" s="32" t="s">
        <v>325</v>
      </c>
      <c r="F3519" s="32" t="s">
        <v>4017</v>
      </c>
    </row>
    <row r="3520" ht="16.5" customHeight="1">
      <c r="A3520" s="32">
        <v>3516.0</v>
      </c>
      <c r="C3520" s="32" t="s">
        <v>4398</v>
      </c>
      <c r="D3520" s="32" t="s">
        <v>184</v>
      </c>
      <c r="E3520" s="32" t="s">
        <v>228</v>
      </c>
      <c r="F3520" s="32" t="s">
        <v>4017</v>
      </c>
      <c r="G3520" s="32" t="s">
        <v>544</v>
      </c>
      <c r="H3520" s="32" t="s">
        <v>713</v>
      </c>
    </row>
    <row r="3521" ht="16.5" customHeight="1">
      <c r="A3521" s="32">
        <v>3517.0</v>
      </c>
      <c r="C3521" s="32" t="s">
        <v>4399</v>
      </c>
      <c r="D3521" s="32" t="s">
        <v>184</v>
      </c>
      <c r="E3521" s="32" t="s">
        <v>234</v>
      </c>
      <c r="F3521" s="32" t="s">
        <v>4017</v>
      </c>
      <c r="G3521" s="32" t="s">
        <v>347</v>
      </c>
      <c r="H3521" s="32" t="s">
        <v>382</v>
      </c>
    </row>
    <row r="3522" ht="16.5" customHeight="1">
      <c r="A3522" s="32">
        <v>3518.0</v>
      </c>
      <c r="C3522" s="32" t="s">
        <v>4400</v>
      </c>
      <c r="D3522" s="32" t="s">
        <v>184</v>
      </c>
      <c r="E3522" s="32" t="s">
        <v>234</v>
      </c>
      <c r="F3522" s="32" t="s">
        <v>4017</v>
      </c>
      <c r="G3522" s="32" t="s">
        <v>347</v>
      </c>
      <c r="H3522" s="32" t="s">
        <v>382</v>
      </c>
    </row>
    <row r="3523" ht="16.5" customHeight="1">
      <c r="A3523" s="32">
        <v>3519.0</v>
      </c>
      <c r="C3523" s="32" t="s">
        <v>4401</v>
      </c>
      <c r="D3523" s="32" t="s">
        <v>184</v>
      </c>
      <c r="E3523" s="32" t="s">
        <v>192</v>
      </c>
      <c r="F3523" s="32" t="s">
        <v>4017</v>
      </c>
      <c r="G3523" s="32" t="s">
        <v>238</v>
      </c>
      <c r="H3523" s="32" t="s">
        <v>239</v>
      </c>
    </row>
    <row r="3524" ht="16.5" customHeight="1">
      <c r="A3524" s="32">
        <v>3520.0</v>
      </c>
      <c r="C3524" s="32" t="s">
        <v>4402</v>
      </c>
      <c r="D3524" s="32" t="s">
        <v>184</v>
      </c>
      <c r="E3524" s="32" t="s">
        <v>285</v>
      </c>
      <c r="F3524" s="32" t="s">
        <v>4017</v>
      </c>
    </row>
    <row r="3525" ht="16.5" customHeight="1">
      <c r="A3525" s="32">
        <v>3521.0</v>
      </c>
      <c r="C3525" s="32" t="s">
        <v>4403</v>
      </c>
      <c r="D3525" s="32" t="s">
        <v>184</v>
      </c>
      <c r="E3525" s="32" t="s">
        <v>285</v>
      </c>
      <c r="F3525" s="32" t="s">
        <v>186</v>
      </c>
      <c r="G3525" s="32" t="s">
        <v>4404</v>
      </c>
    </row>
    <row r="3526" ht="16.5" customHeight="1">
      <c r="A3526" s="32">
        <v>3522.0</v>
      </c>
      <c r="C3526" s="32" t="s">
        <v>4405</v>
      </c>
      <c r="D3526" s="32" t="s">
        <v>184</v>
      </c>
      <c r="E3526" s="32" t="s">
        <v>254</v>
      </c>
      <c r="F3526" s="32" t="s">
        <v>222</v>
      </c>
      <c r="G3526" s="32" t="s">
        <v>260</v>
      </c>
      <c r="H3526" s="32" t="s">
        <v>2577</v>
      </c>
    </row>
    <row r="3527" ht="16.5" customHeight="1">
      <c r="A3527" s="32">
        <v>3523.0</v>
      </c>
      <c r="C3527" s="32" t="s">
        <v>4406</v>
      </c>
      <c r="D3527" s="32" t="s">
        <v>184</v>
      </c>
      <c r="E3527" s="32" t="s">
        <v>254</v>
      </c>
      <c r="F3527" s="32" t="s">
        <v>222</v>
      </c>
      <c r="G3527" s="32" t="s">
        <v>260</v>
      </c>
      <c r="H3527" s="32" t="s">
        <v>4407</v>
      </c>
    </row>
    <row r="3528" ht="16.5" customHeight="1">
      <c r="A3528" s="32">
        <v>3524.0</v>
      </c>
      <c r="C3528" s="32" t="s">
        <v>4408</v>
      </c>
      <c r="D3528" s="32" t="s">
        <v>184</v>
      </c>
      <c r="E3528" s="32" t="s">
        <v>185</v>
      </c>
      <c r="F3528" s="32" t="s">
        <v>255</v>
      </c>
      <c r="G3528" s="32" t="s">
        <v>2845</v>
      </c>
      <c r="H3528" s="32" t="s">
        <v>4409</v>
      </c>
    </row>
    <row r="3529" ht="16.5" customHeight="1">
      <c r="A3529" s="32">
        <v>3525.0</v>
      </c>
      <c r="C3529" s="32" t="s">
        <v>4410</v>
      </c>
      <c r="D3529" s="32" t="s">
        <v>184</v>
      </c>
      <c r="E3529" s="35" t="s">
        <v>1798</v>
      </c>
      <c r="F3529" s="32" t="s">
        <v>255</v>
      </c>
      <c r="G3529" s="32" t="s">
        <v>4411</v>
      </c>
    </row>
    <row r="3530" ht="16.5" customHeight="1">
      <c r="A3530" s="32">
        <v>3526.0</v>
      </c>
      <c r="C3530" s="32" t="s">
        <v>4412</v>
      </c>
      <c r="D3530" s="32" t="s">
        <v>184</v>
      </c>
      <c r="E3530" s="32" t="s">
        <v>185</v>
      </c>
      <c r="F3530" s="32" t="s">
        <v>255</v>
      </c>
    </row>
    <row r="3531" ht="16.5" customHeight="1">
      <c r="A3531" s="32">
        <v>3527.0</v>
      </c>
      <c r="C3531" s="32" t="s">
        <v>4413</v>
      </c>
      <c r="D3531" s="32" t="s">
        <v>184</v>
      </c>
      <c r="E3531" s="32" t="s">
        <v>254</v>
      </c>
      <c r="F3531" s="32" t="s">
        <v>255</v>
      </c>
      <c r="G3531" s="32" t="s">
        <v>257</v>
      </c>
    </row>
    <row r="3532" ht="16.5" customHeight="1">
      <c r="A3532" s="32">
        <v>3528.0</v>
      </c>
      <c r="C3532" s="32" t="s">
        <v>4414</v>
      </c>
      <c r="D3532" s="32" t="s">
        <v>184</v>
      </c>
      <c r="E3532" s="35" t="s">
        <v>294</v>
      </c>
      <c r="F3532" s="32" t="s">
        <v>255</v>
      </c>
      <c r="G3532" s="32" t="s">
        <v>4415</v>
      </c>
      <c r="H3532" s="32" t="s">
        <v>4416</v>
      </c>
    </row>
    <row r="3533" ht="16.5" customHeight="1">
      <c r="A3533" s="32">
        <v>3529.0</v>
      </c>
      <c r="C3533" s="32" t="s">
        <v>4417</v>
      </c>
      <c r="D3533" s="32" t="s">
        <v>184</v>
      </c>
      <c r="E3533" s="35" t="s">
        <v>294</v>
      </c>
      <c r="F3533" s="32" t="s">
        <v>255</v>
      </c>
      <c r="G3533" s="32" t="s">
        <v>189</v>
      </c>
      <c r="H3533" s="32" t="s">
        <v>314</v>
      </c>
    </row>
    <row r="3534" ht="16.5" customHeight="1">
      <c r="A3534" s="32">
        <v>3530.0</v>
      </c>
      <c r="C3534" s="32" t="s">
        <v>4418</v>
      </c>
      <c r="D3534" s="32" t="s">
        <v>184</v>
      </c>
      <c r="E3534" s="35" t="s">
        <v>294</v>
      </c>
      <c r="F3534" s="32" t="s">
        <v>255</v>
      </c>
      <c r="G3534" s="32" t="s">
        <v>189</v>
      </c>
      <c r="H3534" s="32" t="s">
        <v>314</v>
      </c>
    </row>
    <row r="3535" ht="16.5" customHeight="1">
      <c r="A3535" s="32">
        <v>3531.0</v>
      </c>
      <c r="C3535" s="32" t="s">
        <v>4419</v>
      </c>
      <c r="D3535" s="32" t="s">
        <v>184</v>
      </c>
      <c r="E3535" s="32" t="s">
        <v>185</v>
      </c>
      <c r="F3535" s="32" t="s">
        <v>255</v>
      </c>
      <c r="G3535" s="32" t="s">
        <v>189</v>
      </c>
      <c r="H3535" s="32" t="s">
        <v>190</v>
      </c>
    </row>
    <row r="3536" ht="16.5" customHeight="1">
      <c r="A3536" s="32">
        <v>3532.0</v>
      </c>
      <c r="C3536" s="32" t="s">
        <v>4420</v>
      </c>
      <c r="D3536" s="32" t="s">
        <v>184</v>
      </c>
      <c r="E3536" s="32" t="s">
        <v>185</v>
      </c>
      <c r="F3536" s="32" t="s">
        <v>255</v>
      </c>
      <c r="G3536" s="32" t="s">
        <v>189</v>
      </c>
      <c r="H3536" s="32" t="s">
        <v>190</v>
      </c>
    </row>
    <row r="3537" ht="16.5" customHeight="1">
      <c r="A3537" s="32">
        <v>3533.0</v>
      </c>
      <c r="C3537" s="32" t="s">
        <v>4421</v>
      </c>
      <c r="D3537" s="32" t="s">
        <v>184</v>
      </c>
      <c r="E3537" s="35" t="s">
        <v>294</v>
      </c>
      <c r="F3537" s="32" t="s">
        <v>255</v>
      </c>
      <c r="G3537" s="32" t="s">
        <v>189</v>
      </c>
      <c r="H3537" s="32" t="s">
        <v>190</v>
      </c>
    </row>
    <row r="3538" ht="16.5" customHeight="1">
      <c r="A3538" s="32">
        <v>3534.0</v>
      </c>
      <c r="C3538" s="32" t="s">
        <v>4422</v>
      </c>
      <c r="D3538" s="32" t="s">
        <v>184</v>
      </c>
      <c r="E3538" s="35" t="s">
        <v>294</v>
      </c>
      <c r="F3538" s="32" t="s">
        <v>255</v>
      </c>
      <c r="G3538" s="32" t="s">
        <v>189</v>
      </c>
      <c r="H3538" s="32" t="s">
        <v>190</v>
      </c>
    </row>
    <row r="3539" ht="16.5" customHeight="1">
      <c r="A3539" s="32">
        <v>3535.0</v>
      </c>
      <c r="C3539" s="32" t="s">
        <v>4423</v>
      </c>
      <c r="D3539" s="32" t="s">
        <v>184</v>
      </c>
      <c r="E3539" s="32" t="s">
        <v>254</v>
      </c>
      <c r="F3539" s="32" t="s">
        <v>255</v>
      </c>
    </row>
    <row r="3540" ht="16.5" customHeight="1">
      <c r="A3540" s="32">
        <v>3536.0</v>
      </c>
      <c r="C3540" s="32" t="s">
        <v>75</v>
      </c>
      <c r="D3540" s="32" t="s">
        <v>184</v>
      </c>
      <c r="E3540" s="32" t="s">
        <v>185</v>
      </c>
      <c r="F3540" s="32" t="s">
        <v>255</v>
      </c>
      <c r="G3540" s="32" t="s">
        <v>189</v>
      </c>
      <c r="H3540" s="32" t="s">
        <v>190</v>
      </c>
    </row>
    <row r="3541" ht="16.5" customHeight="1">
      <c r="A3541" s="32">
        <v>3537.0</v>
      </c>
      <c r="C3541" s="32" t="s">
        <v>4424</v>
      </c>
      <c r="D3541" s="32" t="s">
        <v>184</v>
      </c>
      <c r="E3541" s="32" t="s">
        <v>285</v>
      </c>
      <c r="F3541" s="32" t="s">
        <v>255</v>
      </c>
      <c r="G3541" s="32" t="s">
        <v>189</v>
      </c>
      <c r="H3541" s="32" t="s">
        <v>190</v>
      </c>
    </row>
    <row r="3542" ht="16.5" customHeight="1">
      <c r="A3542" s="32">
        <v>3538.0</v>
      </c>
      <c r="C3542" s="32" t="s">
        <v>4425</v>
      </c>
      <c r="D3542" s="32" t="s">
        <v>184</v>
      </c>
      <c r="E3542" s="32" t="s">
        <v>285</v>
      </c>
      <c r="F3542" s="32" t="s">
        <v>255</v>
      </c>
      <c r="G3542" s="32" t="s">
        <v>189</v>
      </c>
      <c r="H3542" s="32" t="s">
        <v>190</v>
      </c>
    </row>
    <row r="3543" ht="16.5" customHeight="1">
      <c r="A3543" s="32">
        <v>3539.0</v>
      </c>
      <c r="C3543" s="32" t="s">
        <v>4426</v>
      </c>
      <c r="D3543" s="32" t="s">
        <v>184</v>
      </c>
      <c r="E3543" s="32" t="s">
        <v>285</v>
      </c>
      <c r="F3543" s="32" t="s">
        <v>291</v>
      </c>
      <c r="G3543" s="32" t="s">
        <v>189</v>
      </c>
      <c r="H3543" s="32" t="s">
        <v>190</v>
      </c>
    </row>
    <row r="3544" ht="16.5" customHeight="1">
      <c r="A3544" s="32">
        <v>3540.0</v>
      </c>
      <c r="C3544" s="32" t="s">
        <v>4427</v>
      </c>
      <c r="D3544" s="32" t="s">
        <v>184</v>
      </c>
      <c r="E3544" s="35" t="s">
        <v>294</v>
      </c>
      <c r="F3544" s="32" t="s">
        <v>255</v>
      </c>
    </row>
    <row r="3545" ht="16.5" customHeight="1">
      <c r="A3545" s="32">
        <v>3541.0</v>
      </c>
      <c r="C3545" s="32" t="s">
        <v>4428</v>
      </c>
      <c r="D3545" s="32" t="s">
        <v>184</v>
      </c>
      <c r="E3545" s="32" t="s">
        <v>325</v>
      </c>
      <c r="F3545" s="32" t="s">
        <v>255</v>
      </c>
      <c r="G3545" s="32" t="s">
        <v>368</v>
      </c>
      <c r="H3545" s="32" t="s">
        <v>4429</v>
      </c>
    </row>
    <row r="3546" ht="16.5" customHeight="1">
      <c r="A3546" s="32">
        <v>3542.0</v>
      </c>
      <c r="C3546" s="32" t="s">
        <v>4430</v>
      </c>
      <c r="D3546" s="32" t="s">
        <v>184</v>
      </c>
      <c r="E3546" s="32" t="s">
        <v>285</v>
      </c>
      <c r="F3546" s="32" t="s">
        <v>186</v>
      </c>
    </row>
    <row r="3547" ht="16.5" customHeight="1">
      <c r="A3547" s="32">
        <v>3543.0</v>
      </c>
      <c r="C3547" s="32" t="s">
        <v>4431</v>
      </c>
      <c r="D3547" s="32" t="s">
        <v>184</v>
      </c>
      <c r="E3547" s="32" t="s">
        <v>285</v>
      </c>
      <c r="F3547" s="32" t="s">
        <v>186</v>
      </c>
      <c r="G3547" s="32" t="s">
        <v>189</v>
      </c>
      <c r="H3547" s="32" t="s">
        <v>2046</v>
      </c>
    </row>
    <row r="3548" ht="16.5" customHeight="1">
      <c r="A3548" s="32">
        <v>3544.0</v>
      </c>
      <c r="C3548" s="32" t="s">
        <v>4432</v>
      </c>
      <c r="D3548" s="32" t="s">
        <v>184</v>
      </c>
      <c r="E3548" s="32" t="s">
        <v>285</v>
      </c>
      <c r="F3548" s="32" t="s">
        <v>316</v>
      </c>
      <c r="G3548" s="32" t="s">
        <v>189</v>
      </c>
      <c r="H3548" s="32" t="s">
        <v>190</v>
      </c>
    </row>
    <row r="3549" ht="16.5" customHeight="1">
      <c r="A3549" s="32">
        <v>3545.0</v>
      </c>
      <c r="C3549" s="32" t="s">
        <v>4433</v>
      </c>
      <c r="D3549" s="32" t="s">
        <v>184</v>
      </c>
      <c r="E3549" s="32" t="s">
        <v>321</v>
      </c>
      <c r="F3549" s="32" t="s">
        <v>255</v>
      </c>
    </row>
    <row r="3550" ht="16.5" customHeight="1">
      <c r="A3550" s="32">
        <v>3546.0</v>
      </c>
      <c r="C3550" s="32" t="s">
        <v>4434</v>
      </c>
      <c r="D3550" s="32" t="s">
        <v>184</v>
      </c>
      <c r="E3550" s="32" t="s">
        <v>285</v>
      </c>
      <c r="F3550" s="32" t="s">
        <v>255</v>
      </c>
      <c r="G3550" s="32" t="s">
        <v>295</v>
      </c>
      <c r="H3550" s="32" t="s">
        <v>314</v>
      </c>
    </row>
    <row r="3551" ht="16.5" customHeight="1">
      <c r="A3551" s="32">
        <v>3547.0</v>
      </c>
      <c r="C3551" s="32" t="s">
        <v>4435</v>
      </c>
      <c r="D3551" s="32" t="s">
        <v>184</v>
      </c>
      <c r="E3551" s="32" t="s">
        <v>285</v>
      </c>
      <c r="F3551" s="32" t="s">
        <v>255</v>
      </c>
    </row>
    <row r="3552" ht="16.5" customHeight="1">
      <c r="A3552" s="32">
        <v>3548.0</v>
      </c>
      <c r="C3552" s="32" t="s">
        <v>4436</v>
      </c>
      <c r="D3552" s="32" t="s">
        <v>184</v>
      </c>
      <c r="E3552" s="32" t="s">
        <v>254</v>
      </c>
      <c r="F3552" s="32" t="s">
        <v>399</v>
      </c>
      <c r="G3552" s="32" t="s">
        <v>256</v>
      </c>
      <c r="H3552" s="32" t="s">
        <v>257</v>
      </c>
    </row>
    <row r="3553" ht="16.5" customHeight="1">
      <c r="A3553" s="32">
        <v>3549.0</v>
      </c>
      <c r="C3553" s="32" t="s">
        <v>4437</v>
      </c>
      <c r="D3553" s="32" t="s">
        <v>184</v>
      </c>
      <c r="E3553" s="32" t="s">
        <v>254</v>
      </c>
      <c r="F3553" s="32" t="s">
        <v>399</v>
      </c>
    </row>
    <row r="3554" ht="16.5" customHeight="1">
      <c r="A3554" s="32">
        <v>3550.0</v>
      </c>
      <c r="C3554" s="32" t="s">
        <v>4438</v>
      </c>
      <c r="D3554" s="32" t="s">
        <v>184</v>
      </c>
      <c r="E3554" s="32" t="s">
        <v>185</v>
      </c>
      <c r="F3554" s="32" t="s">
        <v>399</v>
      </c>
      <c r="G3554" s="32" t="s">
        <v>267</v>
      </c>
      <c r="H3554" s="32" t="s">
        <v>188</v>
      </c>
    </row>
    <row r="3555" ht="16.5" customHeight="1">
      <c r="A3555" s="32">
        <v>3551.0</v>
      </c>
      <c r="C3555" s="32" t="s">
        <v>4439</v>
      </c>
      <c r="D3555" s="32" t="s">
        <v>184</v>
      </c>
      <c r="E3555" s="32" t="s">
        <v>185</v>
      </c>
      <c r="F3555" s="32" t="s">
        <v>399</v>
      </c>
      <c r="G3555" s="32" t="s">
        <v>305</v>
      </c>
      <c r="H3555" s="32" t="s">
        <v>4440</v>
      </c>
    </row>
    <row r="3556" ht="16.5" customHeight="1">
      <c r="A3556" s="32">
        <v>3552.0</v>
      </c>
      <c r="C3556" s="32" t="s">
        <v>4441</v>
      </c>
      <c r="D3556" s="32" t="s">
        <v>184</v>
      </c>
      <c r="E3556" s="32" t="s">
        <v>185</v>
      </c>
      <c r="F3556" s="32" t="s">
        <v>399</v>
      </c>
      <c r="G3556" s="32" t="s">
        <v>305</v>
      </c>
      <c r="H3556" s="32" t="s">
        <v>4442</v>
      </c>
    </row>
    <row r="3557" ht="16.5" customHeight="1">
      <c r="A3557" s="32">
        <v>3553.0</v>
      </c>
      <c r="C3557" s="32" t="s">
        <v>4443</v>
      </c>
      <c r="D3557" s="32" t="s">
        <v>184</v>
      </c>
      <c r="E3557" s="32" t="s">
        <v>254</v>
      </c>
      <c r="F3557" s="32" t="s">
        <v>399</v>
      </c>
      <c r="G3557" s="32" t="s">
        <v>305</v>
      </c>
      <c r="H3557" s="32" t="s">
        <v>1002</v>
      </c>
    </row>
    <row r="3558" ht="16.5" customHeight="1">
      <c r="A3558" s="32">
        <v>3554.0</v>
      </c>
      <c r="C3558" s="32" t="s">
        <v>4444</v>
      </c>
      <c r="D3558" s="32" t="s">
        <v>184</v>
      </c>
      <c r="E3558" s="32" t="s">
        <v>285</v>
      </c>
      <c r="F3558" s="32" t="s">
        <v>399</v>
      </c>
      <c r="G3558" s="32" t="s">
        <v>189</v>
      </c>
      <c r="H3558" s="32" t="s">
        <v>190</v>
      </c>
    </row>
    <row r="3559" ht="16.5" customHeight="1">
      <c r="A3559" s="32">
        <v>3555.0</v>
      </c>
      <c r="C3559" s="32" t="s">
        <v>4445</v>
      </c>
      <c r="D3559" s="32" t="s">
        <v>184</v>
      </c>
      <c r="E3559" s="32" t="s">
        <v>254</v>
      </c>
      <c r="F3559" s="32" t="s">
        <v>255</v>
      </c>
    </row>
    <row r="3560" ht="16.5" customHeight="1">
      <c r="A3560" s="32">
        <v>3556.0</v>
      </c>
      <c r="C3560" s="32" t="s">
        <v>4446</v>
      </c>
      <c r="D3560" s="32" t="s">
        <v>184</v>
      </c>
      <c r="E3560" s="32" t="s">
        <v>285</v>
      </c>
      <c r="F3560" s="32" t="s">
        <v>255</v>
      </c>
      <c r="G3560" s="32" t="s">
        <v>189</v>
      </c>
      <c r="H3560" s="32" t="s">
        <v>190</v>
      </c>
    </row>
    <row r="3561" ht="16.5" customHeight="1">
      <c r="A3561" s="32">
        <v>3557.0</v>
      </c>
      <c r="C3561" s="32" t="s">
        <v>4447</v>
      </c>
      <c r="D3561" s="32" t="s">
        <v>184</v>
      </c>
      <c r="E3561" s="32" t="s">
        <v>254</v>
      </c>
      <c r="F3561" s="32" t="s">
        <v>255</v>
      </c>
    </row>
    <row r="3562" ht="16.5" customHeight="1">
      <c r="A3562" s="32">
        <v>3558.0</v>
      </c>
      <c r="C3562" s="32" t="s">
        <v>4448</v>
      </c>
      <c r="D3562" s="32" t="s">
        <v>184</v>
      </c>
      <c r="E3562" s="32" t="s">
        <v>254</v>
      </c>
      <c r="F3562" s="32" t="s">
        <v>255</v>
      </c>
      <c r="G3562" s="32" t="s">
        <v>257</v>
      </c>
      <c r="H3562" s="32" t="s">
        <v>256</v>
      </c>
    </row>
    <row r="3563" ht="16.5" customHeight="1">
      <c r="A3563" s="32">
        <v>3559.0</v>
      </c>
      <c r="C3563" s="32" t="s">
        <v>4449</v>
      </c>
      <c r="D3563" s="32" t="s">
        <v>184</v>
      </c>
      <c r="E3563" s="32" t="s">
        <v>185</v>
      </c>
      <c r="F3563" s="32" t="s">
        <v>255</v>
      </c>
    </row>
    <row r="3564" ht="16.5" customHeight="1">
      <c r="A3564" s="32">
        <v>3560.0</v>
      </c>
      <c r="C3564" s="32" t="s">
        <v>4450</v>
      </c>
      <c r="D3564" s="32" t="s">
        <v>184</v>
      </c>
      <c r="E3564" s="32" t="s">
        <v>228</v>
      </c>
      <c r="F3564" s="32" t="s">
        <v>186</v>
      </c>
      <c r="G3564" s="32" t="s">
        <v>229</v>
      </c>
      <c r="H3564" s="32" t="s">
        <v>230</v>
      </c>
    </row>
    <row r="3565" ht="16.5" customHeight="1">
      <c r="A3565" s="32">
        <v>3561.0</v>
      </c>
      <c r="C3565" s="32" t="s">
        <v>4451</v>
      </c>
      <c r="D3565" s="32" t="s">
        <v>184</v>
      </c>
      <c r="E3565" s="32" t="s">
        <v>185</v>
      </c>
      <c r="F3565" s="32" t="s">
        <v>255</v>
      </c>
      <c r="G3565" s="32" t="s">
        <v>3609</v>
      </c>
      <c r="H3565" s="32" t="s">
        <v>1202</v>
      </c>
    </row>
    <row r="3566" ht="16.5" customHeight="1">
      <c r="A3566" s="32">
        <v>3562.0</v>
      </c>
      <c r="C3566" s="32" t="s">
        <v>4452</v>
      </c>
      <c r="D3566" s="32" t="s">
        <v>184</v>
      </c>
      <c r="E3566" s="32" t="s">
        <v>325</v>
      </c>
      <c r="F3566" s="32" t="s">
        <v>255</v>
      </c>
      <c r="G3566" s="32" t="s">
        <v>368</v>
      </c>
      <c r="H3566" s="32" t="s">
        <v>463</v>
      </c>
    </row>
    <row r="3567" ht="16.5" customHeight="1">
      <c r="A3567" s="32">
        <v>3563.0</v>
      </c>
      <c r="C3567" s="32" t="s">
        <v>4453</v>
      </c>
      <c r="D3567" s="32" t="s">
        <v>184</v>
      </c>
      <c r="E3567" s="32" t="s">
        <v>325</v>
      </c>
      <c r="F3567" s="32" t="s">
        <v>255</v>
      </c>
      <c r="G3567" s="32" t="s">
        <v>368</v>
      </c>
      <c r="H3567" s="32" t="s">
        <v>463</v>
      </c>
    </row>
    <row r="3568" ht="16.5" customHeight="1">
      <c r="A3568" s="32">
        <v>3564.0</v>
      </c>
      <c r="C3568" s="32" t="s">
        <v>4454</v>
      </c>
      <c r="D3568" s="32" t="s">
        <v>184</v>
      </c>
      <c r="E3568" s="32" t="s">
        <v>325</v>
      </c>
      <c r="F3568" s="32" t="s">
        <v>255</v>
      </c>
      <c r="G3568" s="32" t="s">
        <v>552</v>
      </c>
      <c r="H3568" s="32" t="s">
        <v>463</v>
      </c>
    </row>
    <row r="3569" ht="16.5" customHeight="1">
      <c r="A3569" s="32">
        <v>3565.0</v>
      </c>
      <c r="C3569" s="32" t="s">
        <v>4455</v>
      </c>
      <c r="D3569" s="32" t="s">
        <v>184</v>
      </c>
      <c r="E3569" s="32" t="s">
        <v>325</v>
      </c>
      <c r="F3569" s="32" t="s">
        <v>255</v>
      </c>
    </row>
    <row r="3570" ht="16.5" customHeight="1">
      <c r="A3570" s="32">
        <v>3566.0</v>
      </c>
      <c r="C3570" s="32" t="s">
        <v>4456</v>
      </c>
      <c r="D3570" s="32" t="s">
        <v>184</v>
      </c>
      <c r="E3570" s="32" t="s">
        <v>325</v>
      </c>
      <c r="F3570" s="32" t="s">
        <v>255</v>
      </c>
      <c r="G3570" s="32" t="s">
        <v>368</v>
      </c>
      <c r="H3570" s="32" t="s">
        <v>463</v>
      </c>
    </row>
    <row r="3571" ht="16.5" customHeight="1">
      <c r="A3571" s="32">
        <v>3567.0</v>
      </c>
      <c r="C3571" s="32" t="s">
        <v>4457</v>
      </c>
      <c r="D3571" s="32" t="s">
        <v>184</v>
      </c>
      <c r="E3571" s="32" t="s">
        <v>325</v>
      </c>
      <c r="F3571" s="32" t="s">
        <v>255</v>
      </c>
      <c r="G3571" s="32" t="s">
        <v>561</v>
      </c>
    </row>
    <row r="3572" ht="16.5" customHeight="1">
      <c r="A3572" s="32">
        <v>3568.0</v>
      </c>
      <c r="C3572" s="32" t="s">
        <v>4458</v>
      </c>
      <c r="D3572" s="32" t="s">
        <v>184</v>
      </c>
      <c r="E3572" s="32" t="s">
        <v>214</v>
      </c>
      <c r="F3572" s="32" t="s">
        <v>255</v>
      </c>
    </row>
    <row r="3573" ht="16.5" customHeight="1">
      <c r="A3573" s="32">
        <v>3569.0</v>
      </c>
      <c r="C3573" s="32" t="s">
        <v>4459</v>
      </c>
      <c r="D3573" s="32" t="s">
        <v>184</v>
      </c>
      <c r="E3573" s="32" t="s">
        <v>185</v>
      </c>
      <c r="F3573" s="32" t="s">
        <v>255</v>
      </c>
      <c r="G3573" s="32" t="s">
        <v>508</v>
      </c>
    </row>
    <row r="3574" ht="16.5" customHeight="1">
      <c r="A3574" s="32">
        <v>3570.0</v>
      </c>
      <c r="C3574" s="32" t="s">
        <v>4460</v>
      </c>
      <c r="D3574" s="32" t="s">
        <v>184</v>
      </c>
      <c r="E3574" s="32" t="s">
        <v>185</v>
      </c>
      <c r="F3574" s="32" t="s">
        <v>255</v>
      </c>
      <c r="G3574" s="32" t="s">
        <v>508</v>
      </c>
    </row>
    <row r="3575" ht="16.5" customHeight="1">
      <c r="A3575" s="32">
        <v>3571.0</v>
      </c>
      <c r="C3575" s="32" t="s">
        <v>4461</v>
      </c>
      <c r="D3575" s="32" t="s">
        <v>184</v>
      </c>
      <c r="E3575" s="32" t="s">
        <v>185</v>
      </c>
      <c r="F3575" s="32" t="s">
        <v>255</v>
      </c>
      <c r="G3575" s="32" t="s">
        <v>514</v>
      </c>
      <c r="H3575" s="32" t="s">
        <v>515</v>
      </c>
    </row>
    <row r="3576" ht="16.5" customHeight="1">
      <c r="A3576" s="32">
        <v>3572.0</v>
      </c>
      <c r="C3576" s="32" t="s">
        <v>4462</v>
      </c>
      <c r="D3576" s="32" t="s">
        <v>184</v>
      </c>
      <c r="E3576" s="32" t="s">
        <v>185</v>
      </c>
      <c r="F3576" s="32" t="s">
        <v>255</v>
      </c>
      <c r="G3576" s="32" t="s">
        <v>187</v>
      </c>
      <c r="H3576" s="32" t="s">
        <v>188</v>
      </c>
    </row>
    <row r="3577" ht="16.5" customHeight="1">
      <c r="A3577" s="32">
        <v>3573.0</v>
      </c>
      <c r="C3577" s="32" t="s">
        <v>4463</v>
      </c>
      <c r="D3577" s="32" t="s">
        <v>184</v>
      </c>
      <c r="E3577" s="32" t="s">
        <v>185</v>
      </c>
      <c r="F3577" s="32" t="s">
        <v>255</v>
      </c>
      <c r="G3577" s="32" t="s">
        <v>187</v>
      </c>
      <c r="H3577" s="32" t="s">
        <v>188</v>
      </c>
    </row>
    <row r="3578" ht="16.5" customHeight="1">
      <c r="A3578" s="32">
        <v>3574.0</v>
      </c>
      <c r="C3578" s="32" t="s">
        <v>4464</v>
      </c>
      <c r="D3578" s="32" t="s">
        <v>184</v>
      </c>
      <c r="E3578" s="32" t="s">
        <v>228</v>
      </c>
      <c r="F3578" s="32" t="s">
        <v>291</v>
      </c>
      <c r="G3578" s="32" t="s">
        <v>229</v>
      </c>
      <c r="H3578" s="32" t="s">
        <v>244</v>
      </c>
    </row>
    <row r="3579" ht="16.5" customHeight="1">
      <c r="A3579" s="32">
        <v>3575.0</v>
      </c>
      <c r="C3579" s="32" t="s">
        <v>4465</v>
      </c>
      <c r="D3579" s="32" t="s">
        <v>184</v>
      </c>
      <c r="E3579" s="32" t="s">
        <v>185</v>
      </c>
      <c r="F3579" s="32" t="s">
        <v>255</v>
      </c>
      <c r="G3579" s="32" t="s">
        <v>2066</v>
      </c>
    </row>
    <row r="3580" ht="16.5" customHeight="1">
      <c r="A3580" s="32">
        <v>3576.0</v>
      </c>
      <c r="C3580" s="32" t="s">
        <v>4466</v>
      </c>
      <c r="D3580" s="32" t="s">
        <v>184</v>
      </c>
      <c r="E3580" s="32" t="s">
        <v>285</v>
      </c>
      <c r="F3580" s="32" t="s">
        <v>255</v>
      </c>
    </row>
    <row r="3581" ht="16.5" customHeight="1">
      <c r="A3581" s="32">
        <v>3577.0</v>
      </c>
      <c r="C3581" s="32" t="s">
        <v>4467</v>
      </c>
      <c r="D3581" s="32" t="s">
        <v>184</v>
      </c>
      <c r="E3581" s="32" t="s">
        <v>228</v>
      </c>
      <c r="F3581" s="32" t="s">
        <v>396</v>
      </c>
      <c r="G3581" s="32" t="s">
        <v>229</v>
      </c>
      <c r="H3581" s="32" t="s">
        <v>2400</v>
      </c>
    </row>
    <row r="3582" ht="16.5" customHeight="1">
      <c r="A3582" s="32">
        <v>3578.0</v>
      </c>
      <c r="C3582" s="32" t="s">
        <v>4468</v>
      </c>
      <c r="D3582" s="32" t="s">
        <v>184</v>
      </c>
      <c r="E3582" s="32" t="s">
        <v>254</v>
      </c>
      <c r="F3582" s="32" t="s">
        <v>255</v>
      </c>
      <c r="G3582" s="32" t="s">
        <v>257</v>
      </c>
      <c r="H3582" s="32" t="s">
        <v>271</v>
      </c>
    </row>
    <row r="3583" ht="16.5" customHeight="1">
      <c r="A3583" s="32">
        <v>3579.0</v>
      </c>
      <c r="C3583" s="32" t="s">
        <v>4468</v>
      </c>
      <c r="D3583" s="32" t="s">
        <v>184</v>
      </c>
      <c r="E3583" s="32" t="s">
        <v>254</v>
      </c>
      <c r="F3583" s="32" t="s">
        <v>255</v>
      </c>
      <c r="G3583" s="32" t="s">
        <v>257</v>
      </c>
      <c r="H3583" s="32" t="s">
        <v>271</v>
      </c>
    </row>
    <row r="3584" ht="16.5" customHeight="1">
      <c r="A3584" s="32">
        <v>3580.0</v>
      </c>
      <c r="C3584" s="32" t="s">
        <v>4469</v>
      </c>
      <c r="D3584" s="32" t="s">
        <v>184</v>
      </c>
      <c r="E3584" s="32" t="s">
        <v>254</v>
      </c>
      <c r="F3584" s="32" t="s">
        <v>255</v>
      </c>
      <c r="G3584" s="32" t="s">
        <v>257</v>
      </c>
      <c r="H3584" s="32" t="s">
        <v>271</v>
      </c>
    </row>
    <row r="3585" ht="16.5" customHeight="1">
      <c r="A3585" s="32">
        <v>3581.0</v>
      </c>
      <c r="C3585" s="32" t="s">
        <v>4470</v>
      </c>
      <c r="D3585" s="32" t="s">
        <v>184</v>
      </c>
      <c r="E3585" s="32" t="s">
        <v>185</v>
      </c>
      <c r="F3585" s="32" t="s">
        <v>255</v>
      </c>
      <c r="G3585" s="32" t="s">
        <v>4011</v>
      </c>
      <c r="H3585" s="32" t="s">
        <v>296</v>
      </c>
    </row>
    <row r="3586" ht="16.5" customHeight="1">
      <c r="A3586" s="32">
        <v>3582.0</v>
      </c>
      <c r="C3586" s="32" t="s">
        <v>4471</v>
      </c>
      <c r="D3586" s="32" t="s">
        <v>184</v>
      </c>
      <c r="E3586" s="32" t="s">
        <v>325</v>
      </c>
      <c r="F3586" s="32" t="s">
        <v>255</v>
      </c>
      <c r="G3586" s="32" t="s">
        <v>368</v>
      </c>
      <c r="H3586" s="32" t="s">
        <v>463</v>
      </c>
    </row>
    <row r="3587" ht="16.5" customHeight="1">
      <c r="A3587" s="32">
        <v>3583.0</v>
      </c>
      <c r="C3587" s="32" t="s">
        <v>4472</v>
      </c>
      <c r="D3587" s="32" t="s">
        <v>184</v>
      </c>
      <c r="E3587" s="32" t="s">
        <v>325</v>
      </c>
      <c r="F3587" s="32" t="s">
        <v>255</v>
      </c>
    </row>
    <row r="3588" ht="16.5" customHeight="1">
      <c r="A3588" s="32">
        <v>3584.0</v>
      </c>
      <c r="C3588" s="32" t="s">
        <v>4473</v>
      </c>
      <c r="D3588" s="32" t="s">
        <v>184</v>
      </c>
      <c r="E3588" s="32" t="s">
        <v>325</v>
      </c>
      <c r="F3588" s="32" t="s">
        <v>255</v>
      </c>
      <c r="G3588" s="32" t="s">
        <v>368</v>
      </c>
      <c r="H3588" s="32" t="s">
        <v>463</v>
      </c>
    </row>
    <row r="3589" ht="16.5" customHeight="1">
      <c r="A3589" s="32">
        <v>3585.0</v>
      </c>
      <c r="C3589" s="32" t="s">
        <v>4474</v>
      </c>
      <c r="D3589" s="32" t="s">
        <v>184</v>
      </c>
      <c r="E3589" s="32" t="s">
        <v>285</v>
      </c>
      <c r="F3589" s="32" t="s">
        <v>255</v>
      </c>
      <c r="G3589" s="32" t="s">
        <v>188</v>
      </c>
      <c r="H3589" s="32" t="s">
        <v>368</v>
      </c>
    </row>
    <row r="3590" ht="16.5" customHeight="1">
      <c r="A3590" s="32">
        <v>3586.0</v>
      </c>
      <c r="C3590" s="32" t="s">
        <v>4475</v>
      </c>
      <c r="D3590" s="32" t="s">
        <v>184</v>
      </c>
      <c r="E3590" s="32" t="s">
        <v>185</v>
      </c>
      <c r="F3590" s="32" t="s">
        <v>255</v>
      </c>
      <c r="G3590" s="32" t="s">
        <v>4476</v>
      </c>
      <c r="H3590" s="32" t="s">
        <v>1115</v>
      </c>
    </row>
    <row r="3591" ht="16.5" customHeight="1">
      <c r="A3591" s="32">
        <v>3587.0</v>
      </c>
      <c r="C3591" s="32" t="s">
        <v>4477</v>
      </c>
      <c r="D3591" s="32" t="s">
        <v>184</v>
      </c>
      <c r="E3591" s="32" t="s">
        <v>254</v>
      </c>
      <c r="F3591" s="32" t="s">
        <v>4478</v>
      </c>
      <c r="G3591" s="32" t="s">
        <v>305</v>
      </c>
      <c r="H3591" s="32" t="s">
        <v>1005</v>
      </c>
    </row>
    <row r="3592" ht="16.5" customHeight="1">
      <c r="A3592" s="32">
        <v>3588.0</v>
      </c>
      <c r="C3592" s="32" t="s">
        <v>4479</v>
      </c>
      <c r="D3592" s="32" t="s">
        <v>184</v>
      </c>
      <c r="E3592" s="32" t="s">
        <v>254</v>
      </c>
      <c r="F3592" s="32" t="s">
        <v>255</v>
      </c>
      <c r="G3592" s="32" t="s">
        <v>305</v>
      </c>
      <c r="H3592" s="32" t="s">
        <v>1005</v>
      </c>
    </row>
    <row r="3593" ht="16.5" customHeight="1">
      <c r="A3593" s="32">
        <v>3589.0</v>
      </c>
      <c r="C3593" s="32" t="s">
        <v>4480</v>
      </c>
      <c r="D3593" s="32" t="s">
        <v>184</v>
      </c>
      <c r="E3593" s="32" t="s">
        <v>254</v>
      </c>
      <c r="F3593" s="32" t="s">
        <v>255</v>
      </c>
    </row>
    <row r="3594" ht="16.5" customHeight="1">
      <c r="A3594" s="32">
        <v>3590.0</v>
      </c>
      <c r="C3594" s="32" t="s">
        <v>4481</v>
      </c>
      <c r="D3594" s="32" t="s">
        <v>184</v>
      </c>
      <c r="E3594" s="32" t="s">
        <v>254</v>
      </c>
      <c r="F3594" s="32" t="s">
        <v>255</v>
      </c>
      <c r="G3594" s="32" t="s">
        <v>263</v>
      </c>
      <c r="H3594" s="32" t="s">
        <v>4482</v>
      </c>
    </row>
    <row r="3595" ht="16.5" customHeight="1">
      <c r="A3595" s="32">
        <v>3591.0</v>
      </c>
      <c r="C3595" s="32" t="s">
        <v>4483</v>
      </c>
      <c r="D3595" s="32" t="s">
        <v>184</v>
      </c>
      <c r="E3595" s="32" t="s">
        <v>254</v>
      </c>
      <c r="F3595" s="32" t="s">
        <v>255</v>
      </c>
      <c r="G3595" s="32" t="s">
        <v>263</v>
      </c>
      <c r="H3595" s="32" t="s">
        <v>4484</v>
      </c>
    </row>
    <row r="3596" ht="16.5" customHeight="1">
      <c r="A3596" s="32">
        <v>3592.0</v>
      </c>
      <c r="C3596" s="32" t="s">
        <v>4485</v>
      </c>
      <c r="D3596" s="32" t="s">
        <v>184</v>
      </c>
      <c r="E3596" s="32" t="s">
        <v>285</v>
      </c>
      <c r="F3596" s="32" t="s">
        <v>255</v>
      </c>
      <c r="G3596" s="32" t="s">
        <v>189</v>
      </c>
      <c r="H3596" s="32" t="s">
        <v>4486</v>
      </c>
    </row>
    <row r="3597" ht="16.5" customHeight="1">
      <c r="A3597" s="32">
        <v>3593.0</v>
      </c>
      <c r="C3597" s="32" t="s">
        <v>4487</v>
      </c>
      <c r="D3597" s="32" t="s">
        <v>184</v>
      </c>
      <c r="E3597" s="32" t="s">
        <v>192</v>
      </c>
      <c r="F3597" s="32" t="s">
        <v>255</v>
      </c>
      <c r="G3597" s="32" t="s">
        <v>300</v>
      </c>
      <c r="H3597" s="32" t="s">
        <v>4309</v>
      </c>
    </row>
    <row r="3598" ht="16.5" customHeight="1">
      <c r="A3598" s="32">
        <v>3594.0</v>
      </c>
      <c r="C3598" s="32" t="s">
        <v>4488</v>
      </c>
      <c r="D3598" s="32" t="s">
        <v>184</v>
      </c>
      <c r="E3598" s="32" t="s">
        <v>185</v>
      </c>
      <c r="F3598" s="32" t="s">
        <v>255</v>
      </c>
      <c r="G3598" s="32" t="s">
        <v>189</v>
      </c>
      <c r="H3598" s="32" t="s">
        <v>2046</v>
      </c>
    </row>
    <row r="3599" ht="16.5" customHeight="1">
      <c r="A3599" s="32">
        <v>3595.0</v>
      </c>
      <c r="C3599" s="32" t="s">
        <v>4489</v>
      </c>
      <c r="D3599" s="32" t="s">
        <v>184</v>
      </c>
      <c r="E3599" s="35" t="s">
        <v>294</v>
      </c>
      <c r="F3599" s="32" t="s">
        <v>255</v>
      </c>
      <c r="G3599" s="32" t="s">
        <v>189</v>
      </c>
      <c r="H3599" s="32" t="s">
        <v>2046</v>
      </c>
    </row>
    <row r="3600" ht="16.5" customHeight="1">
      <c r="A3600" s="32">
        <v>3596.0</v>
      </c>
      <c r="C3600" s="32" t="s">
        <v>4490</v>
      </c>
      <c r="D3600" s="32" t="s">
        <v>184</v>
      </c>
      <c r="E3600" s="32" t="s">
        <v>285</v>
      </c>
      <c r="F3600" s="32" t="s">
        <v>255</v>
      </c>
    </row>
    <row r="3601" ht="16.5" customHeight="1">
      <c r="A3601" s="32">
        <v>3597.0</v>
      </c>
      <c r="C3601" s="32" t="s">
        <v>4491</v>
      </c>
      <c r="D3601" s="32" t="s">
        <v>184</v>
      </c>
      <c r="E3601" s="32" t="s">
        <v>254</v>
      </c>
      <c r="F3601" s="32" t="s">
        <v>255</v>
      </c>
    </row>
    <row r="3602" ht="16.5" customHeight="1">
      <c r="A3602" s="32">
        <v>3598.0</v>
      </c>
      <c r="C3602" s="32" t="s">
        <v>4492</v>
      </c>
      <c r="D3602" s="32" t="s">
        <v>184</v>
      </c>
      <c r="E3602" s="32" t="s">
        <v>185</v>
      </c>
      <c r="F3602" s="32" t="s">
        <v>255</v>
      </c>
    </row>
    <row r="3603" ht="16.5" customHeight="1">
      <c r="A3603" s="32">
        <v>3599.0</v>
      </c>
      <c r="C3603" s="32" t="s">
        <v>4493</v>
      </c>
      <c r="D3603" s="32" t="s">
        <v>184</v>
      </c>
      <c r="E3603" s="32" t="s">
        <v>185</v>
      </c>
      <c r="F3603" s="32" t="s">
        <v>255</v>
      </c>
      <c r="G3603" s="32" t="s">
        <v>187</v>
      </c>
      <c r="H3603" s="32" t="s">
        <v>188</v>
      </c>
    </row>
    <row r="3604" ht="16.5" customHeight="1">
      <c r="A3604" s="32">
        <v>3600.0</v>
      </c>
      <c r="C3604" s="32" t="s">
        <v>4494</v>
      </c>
      <c r="D3604" s="32" t="s">
        <v>184</v>
      </c>
      <c r="E3604" s="32" t="s">
        <v>185</v>
      </c>
      <c r="F3604" s="32" t="s">
        <v>255</v>
      </c>
      <c r="G3604" s="32" t="s">
        <v>187</v>
      </c>
      <c r="H3604" s="32" t="s">
        <v>188</v>
      </c>
    </row>
    <row r="3605" ht="16.5" customHeight="1">
      <c r="A3605" s="32">
        <v>3601.0</v>
      </c>
      <c r="C3605" s="32" t="s">
        <v>4495</v>
      </c>
      <c r="D3605" s="32" t="s">
        <v>184</v>
      </c>
      <c r="E3605" s="32" t="s">
        <v>185</v>
      </c>
      <c r="F3605" s="32" t="s">
        <v>255</v>
      </c>
      <c r="G3605" s="32" t="s">
        <v>508</v>
      </c>
    </row>
    <row r="3606" ht="16.5" customHeight="1">
      <c r="A3606" s="32">
        <v>3602.0</v>
      </c>
      <c r="C3606" s="32" t="s">
        <v>4496</v>
      </c>
      <c r="D3606" s="32" t="s">
        <v>184</v>
      </c>
      <c r="E3606" s="32" t="s">
        <v>254</v>
      </c>
      <c r="F3606" s="32" t="s">
        <v>255</v>
      </c>
      <c r="G3606" s="32" t="s">
        <v>305</v>
      </c>
      <c r="H3606" s="32" t="s">
        <v>600</v>
      </c>
    </row>
    <row r="3607" ht="16.5" customHeight="1">
      <c r="A3607" s="32">
        <v>3603.0</v>
      </c>
      <c r="C3607" s="32" t="s">
        <v>4497</v>
      </c>
      <c r="D3607" s="32" t="s">
        <v>184</v>
      </c>
      <c r="E3607" s="32" t="s">
        <v>254</v>
      </c>
      <c r="F3607" s="32" t="s">
        <v>255</v>
      </c>
      <c r="G3607" s="32" t="s">
        <v>305</v>
      </c>
      <c r="H3607" s="32" t="s">
        <v>319</v>
      </c>
    </row>
    <row r="3608" ht="16.5" customHeight="1">
      <c r="A3608" s="32">
        <v>3604.0</v>
      </c>
      <c r="C3608" s="32" t="s">
        <v>4498</v>
      </c>
      <c r="D3608" s="32" t="s">
        <v>184</v>
      </c>
      <c r="E3608" s="35" t="s">
        <v>4925</v>
      </c>
      <c r="F3608" s="32" t="s">
        <v>186</v>
      </c>
    </row>
    <row r="3609" ht="16.5" customHeight="1">
      <c r="A3609" s="32">
        <v>3605.0</v>
      </c>
      <c r="C3609" s="32" t="s">
        <v>4499</v>
      </c>
      <c r="D3609" s="32" t="s">
        <v>184</v>
      </c>
      <c r="E3609" s="32" t="s">
        <v>764</v>
      </c>
      <c r="F3609" s="32" t="s">
        <v>255</v>
      </c>
    </row>
    <row r="3610" ht="16.5" customHeight="1">
      <c r="A3610" s="32">
        <v>3606.0</v>
      </c>
      <c r="C3610" s="32" t="s">
        <v>4500</v>
      </c>
      <c r="D3610" s="32" t="s">
        <v>184</v>
      </c>
      <c r="E3610" s="35" t="s">
        <v>645</v>
      </c>
      <c r="F3610" s="32" t="s">
        <v>396</v>
      </c>
    </row>
    <row r="3611" ht="16.5" customHeight="1">
      <c r="A3611" s="32">
        <v>3607.0</v>
      </c>
      <c r="C3611" s="32" t="s">
        <v>4501</v>
      </c>
      <c r="D3611" s="32" t="s">
        <v>184</v>
      </c>
      <c r="E3611" s="32" t="s">
        <v>285</v>
      </c>
      <c r="F3611" s="32" t="s">
        <v>186</v>
      </c>
    </row>
    <row r="3612" ht="16.5" customHeight="1">
      <c r="A3612" s="32">
        <v>3608.0</v>
      </c>
      <c r="C3612" s="32" t="s">
        <v>4502</v>
      </c>
      <c r="D3612" s="32" t="s">
        <v>184</v>
      </c>
      <c r="E3612" s="35" t="s">
        <v>4503</v>
      </c>
      <c r="F3612" s="32" t="s">
        <v>396</v>
      </c>
    </row>
    <row r="3613" ht="16.5" customHeight="1">
      <c r="A3613" s="32">
        <v>3609.0</v>
      </c>
      <c r="C3613" s="32" t="s">
        <v>4504</v>
      </c>
      <c r="D3613" s="32" t="s">
        <v>184</v>
      </c>
      <c r="E3613" s="32" t="s">
        <v>285</v>
      </c>
      <c r="F3613" s="32" t="s">
        <v>396</v>
      </c>
    </row>
    <row r="3614" ht="16.5" customHeight="1">
      <c r="A3614" s="32">
        <v>3610.0</v>
      </c>
      <c r="C3614" s="32" t="s">
        <v>4505</v>
      </c>
      <c r="D3614" s="32" t="s">
        <v>184</v>
      </c>
      <c r="E3614" s="32" t="s">
        <v>228</v>
      </c>
      <c r="F3614" s="32" t="s">
        <v>396</v>
      </c>
    </row>
    <row r="3615" ht="16.5" customHeight="1">
      <c r="A3615" s="32">
        <v>3611.0</v>
      </c>
      <c r="C3615" s="32" t="s">
        <v>4506</v>
      </c>
      <c r="D3615" s="32" t="s">
        <v>184</v>
      </c>
      <c r="E3615" s="35" t="s">
        <v>294</v>
      </c>
      <c r="F3615" s="32" t="s">
        <v>186</v>
      </c>
    </row>
    <row r="3616" ht="16.5" customHeight="1">
      <c r="A3616" s="32">
        <v>3612.0</v>
      </c>
      <c r="C3616" s="32" t="s">
        <v>4507</v>
      </c>
      <c r="D3616" s="32" t="s">
        <v>184</v>
      </c>
      <c r="E3616" s="32" t="s">
        <v>285</v>
      </c>
      <c r="F3616" s="32" t="s">
        <v>396</v>
      </c>
    </row>
    <row r="3617" ht="16.5" customHeight="1">
      <c r="A3617" s="32">
        <v>3613.0</v>
      </c>
      <c r="C3617" s="32" t="s">
        <v>4508</v>
      </c>
      <c r="D3617" s="32" t="s">
        <v>184</v>
      </c>
      <c r="E3617" s="35" t="s">
        <v>691</v>
      </c>
      <c r="F3617" s="32" t="s">
        <v>222</v>
      </c>
    </row>
    <row r="3618" ht="16.5" customHeight="1">
      <c r="A3618" s="32">
        <v>3614.0</v>
      </c>
      <c r="C3618" s="32" t="s">
        <v>4509</v>
      </c>
      <c r="D3618" s="32" t="s">
        <v>184</v>
      </c>
      <c r="E3618" s="35" t="s">
        <v>1172</v>
      </c>
      <c r="F3618" s="32" t="s">
        <v>396</v>
      </c>
    </row>
    <row r="3619" ht="16.5" customHeight="1">
      <c r="A3619" s="32">
        <v>3615.0</v>
      </c>
      <c r="C3619" s="32" t="s">
        <v>4510</v>
      </c>
      <c r="D3619" s="32" t="s">
        <v>184</v>
      </c>
      <c r="E3619" s="35" t="s">
        <v>294</v>
      </c>
      <c r="F3619" s="32" t="s">
        <v>186</v>
      </c>
    </row>
    <row r="3620" ht="16.5" customHeight="1">
      <c r="A3620" s="32">
        <v>3616.0</v>
      </c>
      <c r="C3620" s="32" t="s">
        <v>4511</v>
      </c>
      <c r="D3620" s="32" t="s">
        <v>184</v>
      </c>
      <c r="E3620" s="32" t="s">
        <v>228</v>
      </c>
      <c r="F3620" s="32" t="s">
        <v>396</v>
      </c>
    </row>
    <row r="3621" ht="16.5" customHeight="1">
      <c r="A3621" s="32">
        <v>3617.0</v>
      </c>
      <c r="C3621" s="32" t="s">
        <v>4512</v>
      </c>
      <c r="D3621" s="32" t="s">
        <v>184</v>
      </c>
      <c r="E3621" s="35" t="s">
        <v>4513</v>
      </c>
      <c r="F3621" s="32" t="s">
        <v>396</v>
      </c>
    </row>
    <row r="3622" ht="16.5" customHeight="1">
      <c r="A3622" s="32">
        <v>3618.0</v>
      </c>
      <c r="C3622" s="32" t="s">
        <v>4514</v>
      </c>
      <c r="D3622" s="32" t="s">
        <v>184</v>
      </c>
      <c r="E3622" s="35" t="s">
        <v>4515</v>
      </c>
      <c r="F3622" s="32" t="s">
        <v>396</v>
      </c>
    </row>
    <row r="3623" ht="16.5" customHeight="1">
      <c r="A3623" s="32">
        <v>3619.0</v>
      </c>
      <c r="C3623" s="32" t="s">
        <v>4516</v>
      </c>
      <c r="D3623" s="32" t="s">
        <v>184</v>
      </c>
      <c r="E3623" s="32" t="s">
        <v>285</v>
      </c>
      <c r="F3623" s="32" t="s">
        <v>396</v>
      </c>
    </row>
    <row r="3624" ht="16.5" customHeight="1">
      <c r="A3624" s="32">
        <v>3620.0</v>
      </c>
      <c r="C3624" s="32" t="s">
        <v>4517</v>
      </c>
      <c r="D3624" s="32" t="s">
        <v>184</v>
      </c>
      <c r="E3624" s="32" t="s">
        <v>228</v>
      </c>
      <c r="F3624" s="32" t="s">
        <v>396</v>
      </c>
    </row>
    <row r="3625" ht="16.5" customHeight="1">
      <c r="A3625" s="32">
        <v>3621.0</v>
      </c>
      <c r="C3625" s="32" t="s">
        <v>4518</v>
      </c>
      <c r="D3625" s="32" t="s">
        <v>184</v>
      </c>
      <c r="E3625" s="35" t="s">
        <v>4519</v>
      </c>
      <c r="F3625" s="32" t="s">
        <v>396</v>
      </c>
    </row>
    <row r="3626" ht="16.5" customHeight="1">
      <c r="A3626" s="32">
        <v>3622.0</v>
      </c>
      <c r="C3626" s="32" t="s">
        <v>4520</v>
      </c>
      <c r="D3626" s="32" t="s">
        <v>184</v>
      </c>
      <c r="E3626" s="35" t="s">
        <v>484</v>
      </c>
      <c r="F3626" s="32" t="s">
        <v>396</v>
      </c>
    </row>
    <row r="3627" ht="16.5" customHeight="1">
      <c r="A3627" s="32">
        <v>3623.0</v>
      </c>
      <c r="C3627" s="32" t="s">
        <v>4521</v>
      </c>
      <c r="D3627" s="32" t="s">
        <v>184</v>
      </c>
      <c r="E3627" s="32" t="s">
        <v>764</v>
      </c>
      <c r="F3627" s="32" t="s">
        <v>255</v>
      </c>
    </row>
    <row r="3628" ht="16.5" customHeight="1">
      <c r="A3628" s="32">
        <v>3624.0</v>
      </c>
      <c r="C3628" s="32" t="s">
        <v>4522</v>
      </c>
      <c r="D3628" s="32" t="s">
        <v>184</v>
      </c>
      <c r="E3628" s="32" t="s">
        <v>764</v>
      </c>
      <c r="F3628" s="32" t="s">
        <v>255</v>
      </c>
    </row>
    <row r="3629" ht="16.5" customHeight="1">
      <c r="A3629" s="32">
        <v>3625.0</v>
      </c>
      <c r="C3629" s="32" t="s">
        <v>4523</v>
      </c>
      <c r="D3629" s="32" t="s">
        <v>184</v>
      </c>
      <c r="E3629" s="35" t="s">
        <v>294</v>
      </c>
      <c r="F3629" s="32" t="s">
        <v>396</v>
      </c>
    </row>
    <row r="3630" ht="16.5" customHeight="1">
      <c r="A3630" s="32">
        <v>3626.0</v>
      </c>
      <c r="C3630" s="32" t="s">
        <v>4524</v>
      </c>
      <c r="D3630" s="32" t="s">
        <v>184</v>
      </c>
      <c r="E3630" s="32" t="s">
        <v>285</v>
      </c>
      <c r="F3630" s="32" t="s">
        <v>396</v>
      </c>
    </row>
    <row r="3631" ht="16.5" customHeight="1">
      <c r="A3631" s="32">
        <v>3627.0</v>
      </c>
      <c r="C3631" s="32" t="s">
        <v>4525</v>
      </c>
      <c r="D3631" s="32" t="s">
        <v>184</v>
      </c>
      <c r="E3631" s="32" t="s">
        <v>285</v>
      </c>
      <c r="F3631" s="32" t="s">
        <v>396</v>
      </c>
    </row>
    <row r="3632" ht="16.5" customHeight="1">
      <c r="A3632" s="32">
        <v>3628.0</v>
      </c>
      <c r="C3632" s="32" t="s">
        <v>4526</v>
      </c>
      <c r="D3632" s="32" t="s">
        <v>184</v>
      </c>
      <c r="E3632" s="35" t="s">
        <v>294</v>
      </c>
      <c r="F3632" s="32" t="s">
        <v>396</v>
      </c>
    </row>
    <row r="3633" ht="16.5" customHeight="1">
      <c r="A3633" s="32">
        <v>3629.0</v>
      </c>
      <c r="C3633" s="32" t="s">
        <v>4527</v>
      </c>
      <c r="D3633" s="32" t="s">
        <v>184</v>
      </c>
      <c r="E3633" s="32" t="s">
        <v>285</v>
      </c>
      <c r="F3633" s="32" t="s">
        <v>396</v>
      </c>
    </row>
    <row r="3634" ht="16.5" customHeight="1">
      <c r="A3634" s="32">
        <v>3630.0</v>
      </c>
      <c r="C3634" s="32" t="s">
        <v>4528</v>
      </c>
      <c r="D3634" s="32" t="s">
        <v>184</v>
      </c>
      <c r="E3634" s="32" t="s">
        <v>764</v>
      </c>
      <c r="F3634" s="32" t="s">
        <v>396</v>
      </c>
    </row>
    <row r="3635" ht="16.5" customHeight="1">
      <c r="A3635" s="32">
        <v>3631.0</v>
      </c>
      <c r="C3635" s="32" t="s">
        <v>4529</v>
      </c>
      <c r="D3635" s="32" t="s">
        <v>184</v>
      </c>
      <c r="E3635" s="32" t="s">
        <v>764</v>
      </c>
      <c r="F3635" s="32" t="s">
        <v>255</v>
      </c>
    </row>
    <row r="3636" ht="16.5" customHeight="1">
      <c r="A3636" s="32">
        <v>3632.0</v>
      </c>
      <c r="C3636" s="32" t="s">
        <v>4530</v>
      </c>
      <c r="D3636" s="32" t="s">
        <v>184</v>
      </c>
      <c r="E3636" s="35" t="s">
        <v>1129</v>
      </c>
      <c r="F3636" s="32" t="s">
        <v>396</v>
      </c>
    </row>
    <row r="3637" ht="16.5" customHeight="1">
      <c r="A3637" s="32">
        <v>3633.0</v>
      </c>
      <c r="C3637" s="32" t="s">
        <v>4531</v>
      </c>
      <c r="D3637" s="32" t="s">
        <v>184</v>
      </c>
      <c r="E3637" s="32" t="s">
        <v>185</v>
      </c>
      <c r="F3637" s="32" t="s">
        <v>396</v>
      </c>
    </row>
    <row r="3638" ht="16.5" customHeight="1">
      <c r="A3638" s="32">
        <v>3634.0</v>
      </c>
      <c r="C3638" s="32" t="s">
        <v>4532</v>
      </c>
      <c r="D3638" s="32" t="s">
        <v>184</v>
      </c>
      <c r="E3638" s="32" t="s">
        <v>285</v>
      </c>
      <c r="F3638" s="32" t="s">
        <v>396</v>
      </c>
    </row>
    <row r="3639" ht="16.5" customHeight="1">
      <c r="A3639" s="32">
        <v>3635.0</v>
      </c>
      <c r="C3639" s="32" t="s">
        <v>4533</v>
      </c>
      <c r="D3639" s="32" t="s">
        <v>184</v>
      </c>
      <c r="E3639" s="35" t="s">
        <v>294</v>
      </c>
      <c r="F3639" s="32" t="s">
        <v>396</v>
      </c>
    </row>
    <row r="3640" ht="16.5" customHeight="1">
      <c r="A3640" s="32">
        <v>3636.0</v>
      </c>
      <c r="C3640" s="32" t="s">
        <v>4534</v>
      </c>
      <c r="D3640" s="32" t="s">
        <v>184</v>
      </c>
      <c r="E3640" s="32" t="s">
        <v>185</v>
      </c>
      <c r="F3640" s="32" t="s">
        <v>255</v>
      </c>
    </row>
    <row r="3641" ht="16.5" customHeight="1">
      <c r="A3641" s="32">
        <v>3637.0</v>
      </c>
      <c r="C3641" s="32" t="s">
        <v>4535</v>
      </c>
      <c r="D3641" s="32" t="s">
        <v>184</v>
      </c>
      <c r="E3641" s="32" t="s">
        <v>228</v>
      </c>
      <c r="F3641" s="32" t="s">
        <v>186</v>
      </c>
      <c r="G3641" s="32" t="s">
        <v>799</v>
      </c>
      <c r="H3641" s="32" t="s">
        <v>4536</v>
      </c>
    </row>
    <row r="3642" ht="16.5" customHeight="1">
      <c r="A3642" s="32">
        <v>3638.0</v>
      </c>
      <c r="C3642" s="32" t="s">
        <v>4537</v>
      </c>
      <c r="D3642" s="32" t="s">
        <v>184</v>
      </c>
      <c r="E3642" s="32" t="s">
        <v>285</v>
      </c>
      <c r="F3642" s="32" t="s">
        <v>255</v>
      </c>
      <c r="G3642" s="32" t="s">
        <v>189</v>
      </c>
      <c r="H3642" s="32" t="s">
        <v>902</v>
      </c>
    </row>
    <row r="3643" ht="16.5" customHeight="1">
      <c r="A3643" s="32">
        <v>3639.0</v>
      </c>
      <c r="C3643" s="32" t="s">
        <v>4537</v>
      </c>
      <c r="D3643" s="32" t="s">
        <v>184</v>
      </c>
      <c r="E3643" s="32" t="s">
        <v>285</v>
      </c>
      <c r="F3643" s="32" t="s">
        <v>255</v>
      </c>
      <c r="G3643" s="32" t="s">
        <v>189</v>
      </c>
      <c r="H3643" s="32" t="s">
        <v>1127</v>
      </c>
    </row>
    <row r="3644" ht="16.5" customHeight="1">
      <c r="A3644" s="32">
        <v>3640.0</v>
      </c>
      <c r="C3644" s="32" t="s">
        <v>4538</v>
      </c>
      <c r="D3644" s="32" t="s">
        <v>184</v>
      </c>
      <c r="E3644" s="32" t="s">
        <v>185</v>
      </c>
      <c r="F3644" s="32" t="s">
        <v>255</v>
      </c>
      <c r="G3644" s="32" t="s">
        <v>189</v>
      </c>
      <c r="H3644" s="32" t="s">
        <v>902</v>
      </c>
    </row>
    <row r="3645" ht="16.5" customHeight="1">
      <c r="A3645" s="32">
        <v>3641.0</v>
      </c>
      <c r="C3645" s="32" t="s">
        <v>4539</v>
      </c>
      <c r="D3645" s="32" t="s">
        <v>184</v>
      </c>
      <c r="E3645" s="32" t="s">
        <v>254</v>
      </c>
      <c r="F3645" s="32" t="s">
        <v>255</v>
      </c>
      <c r="G3645" s="32" t="s">
        <v>275</v>
      </c>
      <c r="H3645" s="32" t="s">
        <v>2412</v>
      </c>
    </row>
    <row r="3646" ht="16.5" customHeight="1">
      <c r="A3646" s="32">
        <v>3642.0</v>
      </c>
      <c r="C3646" s="32" t="s">
        <v>4540</v>
      </c>
      <c r="D3646" s="32" t="s">
        <v>184</v>
      </c>
      <c r="E3646" s="32" t="s">
        <v>185</v>
      </c>
      <c r="F3646" s="32" t="s">
        <v>255</v>
      </c>
      <c r="G3646" s="32" t="s">
        <v>275</v>
      </c>
      <c r="H3646" s="32" t="s">
        <v>2412</v>
      </c>
    </row>
    <row r="3647" ht="16.5" customHeight="1">
      <c r="A3647" s="32">
        <v>3643.0</v>
      </c>
      <c r="C3647" s="32" t="s">
        <v>4541</v>
      </c>
      <c r="D3647" s="32" t="s">
        <v>184</v>
      </c>
      <c r="E3647" s="32" t="s">
        <v>234</v>
      </c>
      <c r="F3647" s="32" t="s">
        <v>255</v>
      </c>
      <c r="G3647" s="32" t="s">
        <v>4542</v>
      </c>
      <c r="H3647" s="32" t="s">
        <v>4543</v>
      </c>
    </row>
    <row r="3648" ht="16.5" customHeight="1">
      <c r="A3648" s="32">
        <v>3644.0</v>
      </c>
      <c r="C3648" s="32" t="s">
        <v>4544</v>
      </c>
      <c r="D3648" s="32" t="s">
        <v>184</v>
      </c>
      <c r="E3648" s="32" t="s">
        <v>192</v>
      </c>
      <c r="F3648" s="32" t="s">
        <v>255</v>
      </c>
      <c r="G3648" s="32" t="s">
        <v>4545</v>
      </c>
      <c r="H3648" s="32" t="s">
        <v>4546</v>
      </c>
    </row>
    <row r="3649" ht="16.5" customHeight="1">
      <c r="A3649" s="32">
        <v>3645.0</v>
      </c>
      <c r="C3649" s="32" t="s">
        <v>4547</v>
      </c>
      <c r="D3649" s="32" t="s">
        <v>184</v>
      </c>
      <c r="E3649" s="35" t="s">
        <v>3183</v>
      </c>
      <c r="F3649" s="32" t="s">
        <v>255</v>
      </c>
      <c r="G3649" s="32" t="s">
        <v>4548</v>
      </c>
      <c r="H3649" s="32" t="s">
        <v>4549</v>
      </c>
    </row>
    <row r="3650" ht="16.5" customHeight="1">
      <c r="A3650" s="32">
        <v>3646.0</v>
      </c>
      <c r="C3650" s="32" t="s">
        <v>4550</v>
      </c>
      <c r="D3650" s="32" t="s">
        <v>184</v>
      </c>
      <c r="E3650" s="32" t="s">
        <v>185</v>
      </c>
      <c r="F3650" s="32" t="s">
        <v>255</v>
      </c>
    </row>
    <row r="3651" ht="16.5" customHeight="1">
      <c r="A3651" s="32">
        <v>3647.0</v>
      </c>
      <c r="C3651" s="32" t="s">
        <v>4551</v>
      </c>
      <c r="D3651" s="32" t="s">
        <v>184</v>
      </c>
      <c r="E3651" s="32" t="s">
        <v>185</v>
      </c>
      <c r="F3651" s="32" t="s">
        <v>255</v>
      </c>
    </row>
    <row r="3652" ht="16.5" customHeight="1">
      <c r="A3652" s="32">
        <v>3648.0</v>
      </c>
      <c r="C3652" s="32" t="s">
        <v>4552</v>
      </c>
      <c r="D3652" s="32" t="s">
        <v>184</v>
      </c>
      <c r="E3652" s="32" t="s">
        <v>192</v>
      </c>
      <c r="F3652" s="32" t="s">
        <v>255</v>
      </c>
    </row>
    <row r="3653" ht="16.5" customHeight="1">
      <c r="A3653" s="32">
        <v>3649.0</v>
      </c>
      <c r="C3653" s="32" t="s">
        <v>4553</v>
      </c>
      <c r="D3653" s="32" t="s">
        <v>184</v>
      </c>
      <c r="E3653" s="32" t="s">
        <v>192</v>
      </c>
      <c r="F3653" s="32" t="s">
        <v>255</v>
      </c>
    </row>
    <row r="3654" ht="16.5" customHeight="1">
      <c r="A3654" s="32">
        <v>3650.0</v>
      </c>
      <c r="C3654" s="32" t="s">
        <v>4554</v>
      </c>
      <c r="D3654" s="32" t="s">
        <v>184</v>
      </c>
      <c r="E3654" s="32" t="s">
        <v>285</v>
      </c>
      <c r="F3654" s="32" t="s">
        <v>255</v>
      </c>
    </row>
    <row r="3655" ht="16.5" customHeight="1">
      <c r="A3655" s="32">
        <v>3651.0</v>
      </c>
      <c r="C3655" s="32" t="s">
        <v>4555</v>
      </c>
      <c r="D3655" s="32" t="s">
        <v>184</v>
      </c>
      <c r="E3655" s="32" t="s">
        <v>254</v>
      </c>
      <c r="F3655" s="32" t="s">
        <v>255</v>
      </c>
      <c r="G3655" s="32" t="s">
        <v>256</v>
      </c>
      <c r="H3655" s="32" t="s">
        <v>4556</v>
      </c>
    </row>
    <row r="3656" ht="16.5" customHeight="1">
      <c r="A3656" s="32">
        <v>3652.0</v>
      </c>
      <c r="C3656" s="32" t="s">
        <v>4557</v>
      </c>
      <c r="D3656" s="32" t="s">
        <v>184</v>
      </c>
      <c r="E3656" s="32" t="s">
        <v>234</v>
      </c>
      <c r="F3656" s="32" t="s">
        <v>255</v>
      </c>
      <c r="G3656" s="32" t="s">
        <v>347</v>
      </c>
      <c r="H3656" s="32" t="s">
        <v>3020</v>
      </c>
    </row>
    <row r="3657" ht="16.5" customHeight="1">
      <c r="A3657" s="32">
        <v>3653.0</v>
      </c>
      <c r="C3657" s="32" t="s">
        <v>4558</v>
      </c>
      <c r="D3657" s="32" t="s">
        <v>184</v>
      </c>
      <c r="E3657" s="32" t="s">
        <v>254</v>
      </c>
      <c r="F3657" s="32" t="s">
        <v>255</v>
      </c>
      <c r="G3657" s="32" t="s">
        <v>256</v>
      </c>
      <c r="H3657" s="32" t="s">
        <v>4203</v>
      </c>
    </row>
    <row r="3658" ht="16.5" customHeight="1">
      <c r="A3658" s="32">
        <v>3654.0</v>
      </c>
      <c r="C3658" s="32" t="s">
        <v>4559</v>
      </c>
      <c r="D3658" s="32" t="s">
        <v>184</v>
      </c>
      <c r="E3658" s="32" t="s">
        <v>192</v>
      </c>
      <c r="F3658" s="32" t="s">
        <v>255</v>
      </c>
      <c r="G3658" s="32" t="s">
        <v>3041</v>
      </c>
      <c r="H3658" s="32" t="s">
        <v>330</v>
      </c>
    </row>
    <row r="3659" ht="16.5" customHeight="1">
      <c r="A3659" s="32">
        <v>3655.0</v>
      </c>
      <c r="C3659" s="32" t="s">
        <v>4560</v>
      </c>
      <c r="D3659" s="32" t="s">
        <v>184</v>
      </c>
      <c r="E3659" s="32" t="s">
        <v>285</v>
      </c>
      <c r="F3659" s="32" t="s">
        <v>255</v>
      </c>
      <c r="G3659" s="32" t="s">
        <v>189</v>
      </c>
      <c r="H3659" s="32" t="s">
        <v>190</v>
      </c>
    </row>
    <row r="3660" ht="16.5" customHeight="1">
      <c r="A3660" s="32">
        <v>3656.0</v>
      </c>
      <c r="C3660" s="32" t="s">
        <v>4561</v>
      </c>
      <c r="D3660" s="32" t="s">
        <v>184</v>
      </c>
      <c r="E3660" s="32" t="s">
        <v>254</v>
      </c>
      <c r="F3660" s="32" t="s">
        <v>3009</v>
      </c>
    </row>
    <row r="3661" ht="16.5" customHeight="1">
      <c r="A3661" s="32">
        <v>3657.0</v>
      </c>
      <c r="C3661" s="32" t="s">
        <v>4562</v>
      </c>
      <c r="D3661" s="32" t="s">
        <v>184</v>
      </c>
      <c r="E3661" s="32" t="s">
        <v>228</v>
      </c>
      <c r="F3661" s="32" t="s">
        <v>3009</v>
      </c>
    </row>
    <row r="3662" ht="16.5" customHeight="1">
      <c r="A3662" s="32">
        <v>3658.0</v>
      </c>
      <c r="C3662" s="32" t="s">
        <v>4563</v>
      </c>
      <c r="D3662" s="32" t="s">
        <v>184</v>
      </c>
      <c r="E3662" s="32" t="s">
        <v>254</v>
      </c>
      <c r="F3662" s="32" t="s">
        <v>3009</v>
      </c>
    </row>
    <row r="3663" ht="16.5" customHeight="1">
      <c r="A3663" s="32">
        <v>3659.0</v>
      </c>
      <c r="C3663" s="32" t="s">
        <v>4564</v>
      </c>
      <c r="D3663" s="32" t="s">
        <v>184</v>
      </c>
      <c r="E3663" s="32" t="s">
        <v>192</v>
      </c>
      <c r="F3663" s="32" t="s">
        <v>3009</v>
      </c>
    </row>
    <row r="3664" ht="16.5" customHeight="1">
      <c r="A3664" s="32">
        <v>3660.0</v>
      </c>
      <c r="C3664" s="32" t="s">
        <v>4565</v>
      </c>
      <c r="D3664" s="32" t="s">
        <v>184</v>
      </c>
      <c r="E3664" s="32" t="s">
        <v>192</v>
      </c>
      <c r="F3664" s="32" t="s">
        <v>3009</v>
      </c>
    </row>
    <row r="3665" ht="16.5" customHeight="1">
      <c r="A3665" s="32">
        <v>3661.0</v>
      </c>
      <c r="C3665" s="32" t="s">
        <v>4566</v>
      </c>
      <c r="D3665" s="32" t="s">
        <v>184</v>
      </c>
      <c r="E3665" s="32" t="s">
        <v>192</v>
      </c>
      <c r="F3665" s="32" t="s">
        <v>3009</v>
      </c>
      <c r="G3665" s="32" t="s">
        <v>329</v>
      </c>
      <c r="H3665" s="32" t="s">
        <v>447</v>
      </c>
    </row>
    <row r="3666" ht="16.5" customHeight="1">
      <c r="A3666" s="32">
        <v>3662.0</v>
      </c>
      <c r="C3666" s="32" t="s">
        <v>4567</v>
      </c>
      <c r="D3666" s="32" t="s">
        <v>184</v>
      </c>
      <c r="E3666" s="32" t="s">
        <v>192</v>
      </c>
      <c r="F3666" s="32" t="s">
        <v>3009</v>
      </c>
      <c r="G3666" s="32" t="s">
        <v>329</v>
      </c>
      <c r="H3666" s="32" t="s">
        <v>447</v>
      </c>
    </row>
    <row r="3667" ht="16.5" customHeight="1">
      <c r="A3667" s="32">
        <v>3663.0</v>
      </c>
      <c r="C3667" s="32" t="s">
        <v>4568</v>
      </c>
      <c r="D3667" s="32" t="s">
        <v>184</v>
      </c>
      <c r="E3667" s="32" t="s">
        <v>285</v>
      </c>
      <c r="F3667" s="32" t="s">
        <v>3009</v>
      </c>
      <c r="G3667" s="32" t="s">
        <v>4569</v>
      </c>
      <c r="H3667" s="32" t="s">
        <v>902</v>
      </c>
    </row>
    <row r="3668" ht="16.5" customHeight="1">
      <c r="A3668" s="32">
        <v>3664.0</v>
      </c>
      <c r="C3668" s="32" t="s">
        <v>4570</v>
      </c>
      <c r="D3668" s="32" t="s">
        <v>184</v>
      </c>
      <c r="E3668" s="32" t="s">
        <v>219</v>
      </c>
      <c r="F3668" s="32" t="s">
        <v>3009</v>
      </c>
      <c r="G3668" s="32" t="s">
        <v>232</v>
      </c>
      <c r="H3668" s="32" t="s">
        <v>233</v>
      </c>
    </row>
    <row r="3669" ht="16.5" customHeight="1">
      <c r="A3669" s="32">
        <v>3665.0</v>
      </c>
      <c r="C3669" s="32" t="s">
        <v>4571</v>
      </c>
      <c r="D3669" s="32" t="s">
        <v>184</v>
      </c>
      <c r="E3669" s="32" t="s">
        <v>219</v>
      </c>
      <c r="F3669" s="32" t="s">
        <v>3009</v>
      </c>
      <c r="G3669" s="32" t="s">
        <v>241</v>
      </c>
      <c r="H3669" s="32" t="s">
        <v>292</v>
      </c>
    </row>
    <row r="3670" ht="16.5" customHeight="1">
      <c r="A3670" s="32">
        <v>3666.0</v>
      </c>
      <c r="C3670" s="32" t="s">
        <v>4572</v>
      </c>
      <c r="D3670" s="32" t="s">
        <v>184</v>
      </c>
      <c r="E3670" s="32" t="s">
        <v>192</v>
      </c>
      <c r="F3670" s="32" t="s">
        <v>3009</v>
      </c>
      <c r="G3670" s="32" t="s">
        <v>329</v>
      </c>
      <c r="H3670" s="32" t="s">
        <v>457</v>
      </c>
    </row>
    <row r="3671" ht="16.5" customHeight="1">
      <c r="A3671" s="32">
        <v>3667.0</v>
      </c>
      <c r="C3671" s="32" t="s">
        <v>4573</v>
      </c>
      <c r="D3671" s="32" t="s">
        <v>184</v>
      </c>
      <c r="E3671" s="32" t="s">
        <v>219</v>
      </c>
      <c r="F3671" s="32" t="s">
        <v>3009</v>
      </c>
      <c r="G3671" s="32" t="s">
        <v>241</v>
      </c>
      <c r="H3671" s="32" t="s">
        <v>4574</v>
      </c>
    </row>
    <row r="3672" ht="16.5" customHeight="1">
      <c r="A3672" s="32">
        <v>3668.0</v>
      </c>
      <c r="C3672" s="32" t="s">
        <v>4575</v>
      </c>
      <c r="D3672" s="32" t="s">
        <v>184</v>
      </c>
      <c r="E3672" s="32" t="s">
        <v>254</v>
      </c>
      <c r="F3672" s="32" t="s">
        <v>3009</v>
      </c>
      <c r="G3672" s="32" t="s">
        <v>2792</v>
      </c>
      <c r="H3672" s="32" t="s">
        <v>4576</v>
      </c>
    </row>
    <row r="3673" ht="16.5" customHeight="1">
      <c r="A3673" s="32">
        <v>3669.0</v>
      </c>
      <c r="C3673" s="32" t="s">
        <v>4577</v>
      </c>
      <c r="D3673" s="32" t="s">
        <v>184</v>
      </c>
      <c r="E3673" s="32" t="s">
        <v>325</v>
      </c>
      <c r="F3673" s="32" t="s">
        <v>3009</v>
      </c>
      <c r="G3673" s="32" t="s">
        <v>368</v>
      </c>
      <c r="H3673" s="32" t="s">
        <v>463</v>
      </c>
    </row>
    <row r="3674" ht="16.5" customHeight="1">
      <c r="A3674" s="32">
        <v>3670.0</v>
      </c>
      <c r="C3674" s="32" t="s">
        <v>4578</v>
      </c>
      <c r="D3674" s="32" t="s">
        <v>184</v>
      </c>
      <c r="E3674" s="32" t="s">
        <v>234</v>
      </c>
      <c r="F3674" s="32" t="s">
        <v>3009</v>
      </c>
      <c r="G3674" s="32" t="s">
        <v>347</v>
      </c>
      <c r="H3674" s="32" t="s">
        <v>1764</v>
      </c>
    </row>
    <row r="3675" ht="16.5" customHeight="1">
      <c r="A3675" s="32">
        <v>3671.0</v>
      </c>
      <c r="C3675" s="32" t="s">
        <v>4579</v>
      </c>
      <c r="D3675" s="32" t="s">
        <v>184</v>
      </c>
      <c r="E3675" s="32" t="s">
        <v>234</v>
      </c>
      <c r="F3675" s="32" t="s">
        <v>3009</v>
      </c>
      <c r="G3675" s="32" t="s">
        <v>347</v>
      </c>
      <c r="H3675" s="32" t="s">
        <v>382</v>
      </c>
    </row>
    <row r="3676" ht="16.5" customHeight="1">
      <c r="A3676" s="32">
        <v>3672.0</v>
      </c>
      <c r="C3676" s="32" t="s">
        <v>4580</v>
      </c>
      <c r="D3676" s="32" t="s">
        <v>184</v>
      </c>
      <c r="E3676" s="32" t="s">
        <v>192</v>
      </c>
      <c r="F3676" s="32" t="s">
        <v>3009</v>
      </c>
    </row>
    <row r="3677" ht="16.5" customHeight="1">
      <c r="A3677" s="32">
        <v>3673.0</v>
      </c>
      <c r="C3677" s="32" t="s">
        <v>4581</v>
      </c>
      <c r="D3677" s="32" t="s">
        <v>184</v>
      </c>
      <c r="E3677" s="32" t="s">
        <v>234</v>
      </c>
      <c r="F3677" s="32" t="s">
        <v>3009</v>
      </c>
      <c r="G3677" s="32" t="s">
        <v>347</v>
      </c>
      <c r="H3677" s="32" t="s">
        <v>382</v>
      </c>
    </row>
    <row r="3678" ht="16.5" customHeight="1">
      <c r="A3678" s="32">
        <v>3674.0</v>
      </c>
      <c r="C3678" s="32" t="s">
        <v>4582</v>
      </c>
      <c r="D3678" s="32" t="s">
        <v>184</v>
      </c>
      <c r="E3678" s="32" t="s">
        <v>254</v>
      </c>
      <c r="F3678" s="32" t="s">
        <v>3009</v>
      </c>
      <c r="G3678" s="32" t="s">
        <v>305</v>
      </c>
      <c r="H3678" s="32" t="s">
        <v>257</v>
      </c>
    </row>
    <row r="3679" ht="16.5" customHeight="1">
      <c r="A3679" s="32">
        <v>3675.0</v>
      </c>
      <c r="C3679" s="32" t="s">
        <v>4583</v>
      </c>
      <c r="D3679" s="32" t="s">
        <v>184</v>
      </c>
      <c r="E3679" s="32" t="s">
        <v>228</v>
      </c>
      <c r="F3679" s="32" t="s">
        <v>3009</v>
      </c>
      <c r="G3679" s="32" t="s">
        <v>408</v>
      </c>
      <c r="H3679" s="32" t="s">
        <v>4584</v>
      </c>
    </row>
    <row r="3680" ht="16.5" customHeight="1">
      <c r="A3680" s="32">
        <v>3676.0</v>
      </c>
      <c r="C3680" s="32" t="s">
        <v>4585</v>
      </c>
      <c r="D3680" s="32" t="s">
        <v>184</v>
      </c>
      <c r="E3680" s="32" t="s">
        <v>234</v>
      </c>
      <c r="F3680" s="32" t="s">
        <v>3009</v>
      </c>
      <c r="G3680" s="32" t="s">
        <v>347</v>
      </c>
      <c r="H3680" s="32" t="s">
        <v>420</v>
      </c>
    </row>
    <row r="3681" ht="16.5" customHeight="1">
      <c r="A3681" s="32">
        <v>3677.0</v>
      </c>
      <c r="C3681" s="32" t="s">
        <v>4586</v>
      </c>
      <c r="D3681" s="32" t="s">
        <v>184</v>
      </c>
      <c r="E3681" s="32" t="s">
        <v>254</v>
      </c>
      <c r="F3681" s="32" t="s">
        <v>3009</v>
      </c>
      <c r="G3681" s="32" t="s">
        <v>256</v>
      </c>
      <c r="H3681" s="32" t="s">
        <v>2482</v>
      </c>
    </row>
    <row r="3682" ht="16.5" customHeight="1">
      <c r="A3682" s="32">
        <v>3678.0</v>
      </c>
      <c r="C3682" s="32" t="s">
        <v>4587</v>
      </c>
      <c r="D3682" s="32" t="s">
        <v>184</v>
      </c>
      <c r="E3682" s="32" t="s">
        <v>228</v>
      </c>
      <c r="F3682" s="32" t="s">
        <v>3009</v>
      </c>
      <c r="G3682" s="32" t="s">
        <v>229</v>
      </c>
      <c r="H3682" s="32" t="s">
        <v>244</v>
      </c>
    </row>
    <row r="3683" ht="16.5" customHeight="1">
      <c r="A3683" s="32">
        <v>3679.0</v>
      </c>
      <c r="C3683" s="32" t="s">
        <v>4588</v>
      </c>
      <c r="D3683" s="32" t="s">
        <v>184</v>
      </c>
      <c r="E3683" s="32" t="s">
        <v>219</v>
      </c>
      <c r="F3683" s="32" t="s">
        <v>3009</v>
      </c>
      <c r="G3683" s="32" t="s">
        <v>216</v>
      </c>
      <c r="H3683" s="32" t="s">
        <v>217</v>
      </c>
    </row>
    <row r="3684" ht="16.5" customHeight="1">
      <c r="A3684" s="32">
        <v>3680.0</v>
      </c>
      <c r="C3684" s="32" t="s">
        <v>4589</v>
      </c>
      <c r="D3684" s="32" t="s">
        <v>184</v>
      </c>
      <c r="E3684" s="32" t="s">
        <v>285</v>
      </c>
      <c r="F3684" s="32" t="s">
        <v>3009</v>
      </c>
      <c r="G3684" s="32" t="s">
        <v>188</v>
      </c>
      <c r="H3684" s="32" t="s">
        <v>368</v>
      </c>
    </row>
    <row r="3685" ht="16.5" customHeight="1">
      <c r="A3685" s="32">
        <v>3681.0</v>
      </c>
      <c r="C3685" s="32" t="s">
        <v>4590</v>
      </c>
      <c r="D3685" s="32" t="s">
        <v>184</v>
      </c>
      <c r="E3685" s="32" t="s">
        <v>219</v>
      </c>
      <c r="F3685" s="32" t="s">
        <v>3009</v>
      </c>
      <c r="G3685" s="32" t="s">
        <v>223</v>
      </c>
      <c r="H3685" s="32" t="s">
        <v>4591</v>
      </c>
    </row>
    <row r="3686" ht="16.5" customHeight="1">
      <c r="A3686" s="32">
        <v>3682.0</v>
      </c>
      <c r="C3686" s="32" t="s">
        <v>4592</v>
      </c>
      <c r="D3686" s="32" t="s">
        <v>184</v>
      </c>
      <c r="E3686" s="32" t="s">
        <v>185</v>
      </c>
      <c r="F3686" s="32" t="s">
        <v>3009</v>
      </c>
      <c r="G3686" s="32" t="s">
        <v>508</v>
      </c>
    </row>
    <row r="3687" ht="16.5" customHeight="1">
      <c r="A3687" s="32">
        <v>3683.0</v>
      </c>
      <c r="C3687" s="32" t="s">
        <v>4593</v>
      </c>
      <c r="D3687" s="32" t="s">
        <v>184</v>
      </c>
      <c r="E3687" s="32" t="s">
        <v>185</v>
      </c>
      <c r="F3687" s="32" t="s">
        <v>3009</v>
      </c>
      <c r="G3687" s="32" t="s">
        <v>187</v>
      </c>
      <c r="H3687" s="32" t="s">
        <v>4594</v>
      </c>
    </row>
    <row r="3688" ht="16.5" customHeight="1">
      <c r="A3688" s="32">
        <v>3684.0</v>
      </c>
      <c r="C3688" s="32" t="s">
        <v>4595</v>
      </c>
      <c r="D3688" s="32" t="s">
        <v>184</v>
      </c>
      <c r="E3688" s="32" t="s">
        <v>185</v>
      </c>
      <c r="F3688" s="32" t="s">
        <v>3009</v>
      </c>
      <c r="G3688" s="32" t="s">
        <v>187</v>
      </c>
      <c r="H3688" s="32" t="s">
        <v>1241</v>
      </c>
    </row>
    <row r="3689" ht="16.5" customHeight="1">
      <c r="A3689" s="32">
        <v>3685.0</v>
      </c>
      <c r="C3689" s="32" t="s">
        <v>4596</v>
      </c>
      <c r="D3689" s="32" t="s">
        <v>184</v>
      </c>
      <c r="E3689" s="32" t="s">
        <v>192</v>
      </c>
      <c r="F3689" s="32" t="s">
        <v>3009</v>
      </c>
      <c r="G3689" s="32" t="s">
        <v>275</v>
      </c>
      <c r="H3689" s="32" t="s">
        <v>2412</v>
      </c>
    </row>
    <row r="3690" ht="16.5" customHeight="1">
      <c r="A3690" s="32">
        <v>3686.0</v>
      </c>
      <c r="C3690" s="32" t="s">
        <v>4597</v>
      </c>
      <c r="D3690" s="32" t="s">
        <v>184</v>
      </c>
      <c r="E3690" s="32" t="s">
        <v>234</v>
      </c>
      <c r="F3690" s="32" t="s">
        <v>3009</v>
      </c>
      <c r="G3690" s="32" t="s">
        <v>235</v>
      </c>
      <c r="H3690" s="32" t="s">
        <v>243</v>
      </c>
    </row>
    <row r="3691" ht="16.5" customHeight="1">
      <c r="A3691" s="32">
        <v>3687.0</v>
      </c>
      <c r="C3691" s="32" t="s">
        <v>4598</v>
      </c>
      <c r="D3691" s="32" t="s">
        <v>184</v>
      </c>
      <c r="E3691" s="32" t="s">
        <v>192</v>
      </c>
      <c r="F3691" s="32" t="s">
        <v>3009</v>
      </c>
      <c r="G3691" s="32" t="s">
        <v>329</v>
      </c>
      <c r="H3691" s="32" t="s">
        <v>457</v>
      </c>
    </row>
    <row r="3692" ht="16.5" customHeight="1">
      <c r="A3692" s="32">
        <v>3688.0</v>
      </c>
      <c r="C3692" s="32" t="s">
        <v>4599</v>
      </c>
      <c r="D3692" s="32" t="s">
        <v>184</v>
      </c>
      <c r="E3692" s="32" t="s">
        <v>254</v>
      </c>
      <c r="F3692" s="32" t="s">
        <v>3009</v>
      </c>
      <c r="G3692" s="32" t="s">
        <v>305</v>
      </c>
      <c r="H3692" s="32" t="s">
        <v>371</v>
      </c>
    </row>
    <row r="3693" ht="16.5" customHeight="1">
      <c r="A3693" s="32">
        <v>3689.0</v>
      </c>
      <c r="C3693" s="32" t="s">
        <v>4600</v>
      </c>
      <c r="D3693" s="32" t="s">
        <v>184</v>
      </c>
      <c r="E3693" s="32" t="s">
        <v>254</v>
      </c>
      <c r="F3693" s="32" t="s">
        <v>3009</v>
      </c>
      <c r="G3693" s="32" t="s">
        <v>305</v>
      </c>
      <c r="H3693" s="32" t="s">
        <v>4601</v>
      </c>
    </row>
    <row r="3694" ht="16.5" customHeight="1">
      <c r="A3694" s="32">
        <v>3690.0</v>
      </c>
      <c r="C3694" s="32" t="s">
        <v>4602</v>
      </c>
      <c r="D3694" s="32" t="s">
        <v>184</v>
      </c>
      <c r="E3694" s="32" t="s">
        <v>285</v>
      </c>
      <c r="F3694" s="32" t="s">
        <v>3009</v>
      </c>
      <c r="G3694" s="32" t="s">
        <v>188</v>
      </c>
      <c r="H3694" s="32" t="s">
        <v>368</v>
      </c>
    </row>
    <row r="3695" ht="16.5" customHeight="1">
      <c r="A3695" s="32">
        <v>3691.0</v>
      </c>
      <c r="C3695" s="32" t="s">
        <v>4603</v>
      </c>
      <c r="D3695" s="32" t="s">
        <v>184</v>
      </c>
      <c r="E3695" s="32" t="s">
        <v>285</v>
      </c>
      <c r="F3695" s="32" t="s">
        <v>3009</v>
      </c>
      <c r="G3695" s="32" t="s">
        <v>552</v>
      </c>
      <c r="H3695" s="32" t="s">
        <v>4604</v>
      </c>
    </row>
    <row r="3696" ht="16.5" customHeight="1">
      <c r="A3696" s="32">
        <v>3692.0</v>
      </c>
      <c r="C3696" s="32" t="s">
        <v>4605</v>
      </c>
      <c r="D3696" s="32" t="s">
        <v>184</v>
      </c>
      <c r="E3696" s="32" t="s">
        <v>228</v>
      </c>
      <c r="F3696" s="32" t="s">
        <v>3009</v>
      </c>
      <c r="G3696" s="32" t="s">
        <v>408</v>
      </c>
      <c r="H3696" s="32" t="s">
        <v>490</v>
      </c>
    </row>
    <row r="3697" ht="16.5" customHeight="1">
      <c r="A3697" s="32">
        <v>3693.0</v>
      </c>
      <c r="C3697" s="32" t="s">
        <v>4606</v>
      </c>
      <c r="D3697" s="32" t="s">
        <v>184</v>
      </c>
      <c r="E3697" s="32" t="s">
        <v>185</v>
      </c>
      <c r="F3697" s="32" t="s">
        <v>3009</v>
      </c>
      <c r="G3697" s="32" t="s">
        <v>271</v>
      </c>
      <c r="H3697" s="32" t="s">
        <v>563</v>
      </c>
    </row>
    <row r="3698" ht="16.5" customHeight="1">
      <c r="A3698" s="32">
        <v>3694.0</v>
      </c>
      <c r="C3698" s="32" t="s">
        <v>4607</v>
      </c>
      <c r="D3698" s="32" t="s">
        <v>184</v>
      </c>
      <c r="E3698" s="32" t="s">
        <v>185</v>
      </c>
      <c r="F3698" s="32" t="s">
        <v>3009</v>
      </c>
      <c r="G3698" s="32" t="s">
        <v>4608</v>
      </c>
      <c r="H3698" s="32" t="s">
        <v>4609</v>
      </c>
    </row>
    <row r="3699" ht="16.5" customHeight="1">
      <c r="A3699" s="32">
        <v>3695.0</v>
      </c>
      <c r="C3699" s="32" t="s">
        <v>4610</v>
      </c>
      <c r="D3699" s="32" t="s">
        <v>184</v>
      </c>
      <c r="E3699" s="32" t="s">
        <v>254</v>
      </c>
      <c r="F3699" s="32" t="s">
        <v>3009</v>
      </c>
      <c r="G3699" s="32" t="s">
        <v>257</v>
      </c>
      <c r="H3699" s="32" t="s">
        <v>4611</v>
      </c>
    </row>
    <row r="3700" ht="16.5" customHeight="1">
      <c r="A3700" s="32">
        <v>3696.0</v>
      </c>
      <c r="C3700" s="32" t="s">
        <v>4612</v>
      </c>
      <c r="D3700" s="32" t="s">
        <v>184</v>
      </c>
      <c r="E3700" s="32" t="s">
        <v>219</v>
      </c>
      <c r="F3700" s="32" t="s">
        <v>3009</v>
      </c>
      <c r="G3700" s="32" t="s">
        <v>241</v>
      </c>
      <c r="H3700" s="32" t="s">
        <v>292</v>
      </c>
    </row>
    <row r="3701" ht="16.5" customHeight="1">
      <c r="A3701" s="32">
        <v>3697.0</v>
      </c>
      <c r="C3701" s="32" t="s">
        <v>4613</v>
      </c>
      <c r="D3701" s="32" t="s">
        <v>184</v>
      </c>
      <c r="E3701" s="32" t="s">
        <v>234</v>
      </c>
      <c r="F3701" s="32" t="s">
        <v>3009</v>
      </c>
      <c r="G3701" s="32" t="s">
        <v>347</v>
      </c>
      <c r="H3701" s="32" t="s">
        <v>382</v>
      </c>
    </row>
    <row r="3702" ht="16.5" customHeight="1">
      <c r="A3702" s="32">
        <v>3698.0</v>
      </c>
      <c r="C3702" s="32" t="s">
        <v>4614</v>
      </c>
      <c r="D3702" s="32" t="s">
        <v>184</v>
      </c>
      <c r="E3702" s="32" t="s">
        <v>234</v>
      </c>
      <c r="F3702" s="32" t="s">
        <v>3009</v>
      </c>
      <c r="G3702" s="32" t="s">
        <v>347</v>
      </c>
      <c r="H3702" s="32" t="s">
        <v>382</v>
      </c>
    </row>
    <row r="3703" ht="16.5" customHeight="1">
      <c r="A3703" s="32">
        <v>3699.0</v>
      </c>
      <c r="C3703" s="32" t="s">
        <v>4615</v>
      </c>
      <c r="D3703" s="32" t="s">
        <v>184</v>
      </c>
      <c r="E3703" s="32" t="s">
        <v>234</v>
      </c>
      <c r="F3703" s="32" t="s">
        <v>3009</v>
      </c>
      <c r="G3703" s="32" t="s">
        <v>347</v>
      </c>
      <c r="H3703" s="32" t="s">
        <v>382</v>
      </c>
    </row>
    <row r="3704" ht="16.5" customHeight="1">
      <c r="A3704" s="32">
        <v>3700.0</v>
      </c>
      <c r="C3704" s="32" t="s">
        <v>4616</v>
      </c>
      <c r="D3704" s="32" t="s">
        <v>184</v>
      </c>
      <c r="E3704" s="32" t="s">
        <v>254</v>
      </c>
      <c r="F3704" s="32" t="s">
        <v>3009</v>
      </c>
      <c r="G3704" s="32" t="s">
        <v>257</v>
      </c>
      <c r="H3704" s="32" t="s">
        <v>4617</v>
      </c>
    </row>
    <row r="3705" ht="16.5" customHeight="1">
      <c r="A3705" s="32">
        <v>3701.0</v>
      </c>
      <c r="C3705" s="32" t="s">
        <v>4618</v>
      </c>
      <c r="D3705" s="32" t="s">
        <v>184</v>
      </c>
      <c r="E3705" s="32" t="s">
        <v>185</v>
      </c>
      <c r="F3705" s="32" t="s">
        <v>3009</v>
      </c>
      <c r="G3705" s="32" t="s">
        <v>271</v>
      </c>
      <c r="H3705" s="32" t="s">
        <v>566</v>
      </c>
    </row>
    <row r="3706" ht="16.5" customHeight="1">
      <c r="A3706" s="32">
        <v>3702.0</v>
      </c>
      <c r="C3706" s="32" t="s">
        <v>4619</v>
      </c>
      <c r="D3706" s="32" t="s">
        <v>184</v>
      </c>
      <c r="E3706" s="32" t="s">
        <v>192</v>
      </c>
      <c r="F3706" s="32" t="s">
        <v>3009</v>
      </c>
      <c r="G3706" s="32" t="s">
        <v>329</v>
      </c>
      <c r="H3706" s="32" t="s">
        <v>4620</v>
      </c>
    </row>
    <row r="3707" ht="16.5" customHeight="1">
      <c r="A3707" s="32">
        <v>3703.0</v>
      </c>
      <c r="C3707" s="32" t="s">
        <v>4621</v>
      </c>
      <c r="D3707" s="32" t="s">
        <v>184</v>
      </c>
      <c r="E3707" s="32" t="s">
        <v>192</v>
      </c>
      <c r="F3707" s="32" t="s">
        <v>3009</v>
      </c>
      <c r="G3707" s="32" t="s">
        <v>275</v>
      </c>
      <c r="H3707" s="32" t="s">
        <v>4622</v>
      </c>
    </row>
    <row r="3708" ht="16.5" customHeight="1">
      <c r="A3708" s="32">
        <v>3704.0</v>
      </c>
      <c r="C3708" s="32" t="s">
        <v>4623</v>
      </c>
      <c r="D3708" s="32" t="s">
        <v>184</v>
      </c>
      <c r="E3708" s="32" t="s">
        <v>192</v>
      </c>
      <c r="F3708" s="32" t="s">
        <v>3009</v>
      </c>
      <c r="G3708" s="32" t="s">
        <v>300</v>
      </c>
      <c r="H3708" s="32" t="s">
        <v>4624</v>
      </c>
    </row>
    <row r="3709" ht="16.5" customHeight="1">
      <c r="A3709" s="32">
        <v>3705.0</v>
      </c>
      <c r="C3709" s="32" t="s">
        <v>4625</v>
      </c>
      <c r="D3709" s="32" t="s">
        <v>184</v>
      </c>
      <c r="E3709" s="32" t="s">
        <v>192</v>
      </c>
      <c r="F3709" s="32" t="s">
        <v>3009</v>
      </c>
      <c r="G3709" s="32" t="s">
        <v>329</v>
      </c>
      <c r="H3709" s="32" t="s">
        <v>4626</v>
      </c>
    </row>
    <row r="3710" ht="16.5" customHeight="1">
      <c r="A3710" s="32">
        <v>3706.0</v>
      </c>
      <c r="C3710" s="32" t="s">
        <v>4627</v>
      </c>
      <c r="D3710" s="32" t="s">
        <v>184</v>
      </c>
      <c r="E3710" s="32" t="s">
        <v>234</v>
      </c>
      <c r="F3710" s="32" t="s">
        <v>3009</v>
      </c>
      <c r="G3710" s="32" t="s">
        <v>347</v>
      </c>
      <c r="H3710" s="32" t="s">
        <v>382</v>
      </c>
    </row>
    <row r="3711" ht="16.5" customHeight="1">
      <c r="A3711" s="32">
        <v>3707.0</v>
      </c>
      <c r="C3711" s="32" t="s">
        <v>4628</v>
      </c>
      <c r="D3711" s="32" t="s">
        <v>184</v>
      </c>
      <c r="E3711" s="32" t="s">
        <v>228</v>
      </c>
      <c r="F3711" s="32" t="s">
        <v>3009</v>
      </c>
      <c r="G3711" s="32" t="s">
        <v>408</v>
      </c>
      <c r="H3711" s="32" t="s">
        <v>4629</v>
      </c>
    </row>
    <row r="3712" ht="16.5" customHeight="1">
      <c r="A3712" s="32">
        <v>3708.0</v>
      </c>
      <c r="C3712" s="32" t="s">
        <v>4630</v>
      </c>
      <c r="D3712" s="32" t="s">
        <v>184</v>
      </c>
      <c r="E3712" s="32" t="s">
        <v>285</v>
      </c>
      <c r="F3712" s="32" t="s">
        <v>3009</v>
      </c>
      <c r="G3712" s="32" t="s">
        <v>189</v>
      </c>
      <c r="H3712" s="32" t="s">
        <v>190</v>
      </c>
    </row>
    <row r="3713" ht="16.5" customHeight="1">
      <c r="A3713" s="32">
        <v>3709.0</v>
      </c>
      <c r="C3713" s="32" t="s">
        <v>4631</v>
      </c>
      <c r="D3713" s="32" t="s">
        <v>184</v>
      </c>
      <c r="E3713" s="32" t="s">
        <v>228</v>
      </c>
      <c r="F3713" s="32" t="s">
        <v>3009</v>
      </c>
      <c r="G3713" s="32" t="s">
        <v>408</v>
      </c>
      <c r="H3713" s="32" t="s">
        <v>731</v>
      </c>
    </row>
    <row r="3714" ht="16.5" customHeight="1">
      <c r="A3714" s="32">
        <v>3710.0</v>
      </c>
      <c r="C3714" s="32" t="s">
        <v>4632</v>
      </c>
      <c r="D3714" s="32" t="s">
        <v>184</v>
      </c>
      <c r="E3714" s="32" t="s">
        <v>192</v>
      </c>
      <c r="F3714" s="32" t="s">
        <v>3009</v>
      </c>
      <c r="G3714" s="32" t="s">
        <v>4633</v>
      </c>
      <c r="H3714" s="32" t="s">
        <v>4634</v>
      </c>
    </row>
    <row r="3715" ht="16.5" customHeight="1">
      <c r="A3715" s="32">
        <v>3711.0</v>
      </c>
      <c r="C3715" s="32" t="s">
        <v>4635</v>
      </c>
      <c r="D3715" s="32" t="s">
        <v>184</v>
      </c>
      <c r="E3715" s="32" t="s">
        <v>254</v>
      </c>
      <c r="F3715" s="32" t="s">
        <v>3009</v>
      </c>
      <c r="G3715" s="32" t="s">
        <v>256</v>
      </c>
      <c r="H3715" s="32" t="s">
        <v>4636</v>
      </c>
    </row>
    <row r="3716" ht="16.5" customHeight="1">
      <c r="A3716" s="32">
        <v>3712.0</v>
      </c>
      <c r="C3716" s="32" t="s">
        <v>4637</v>
      </c>
      <c r="D3716" s="32" t="s">
        <v>184</v>
      </c>
      <c r="E3716" s="32" t="s">
        <v>192</v>
      </c>
      <c r="F3716" s="32" t="s">
        <v>3009</v>
      </c>
      <c r="G3716" s="32" t="s">
        <v>329</v>
      </c>
      <c r="H3716" s="32" t="s">
        <v>447</v>
      </c>
    </row>
    <row r="3717" ht="16.5" customHeight="1">
      <c r="A3717" s="32">
        <v>3713.0</v>
      </c>
      <c r="C3717" s="32" t="s">
        <v>4638</v>
      </c>
      <c r="D3717" s="32" t="s">
        <v>184</v>
      </c>
      <c r="E3717" s="32" t="s">
        <v>234</v>
      </c>
      <c r="F3717" s="32" t="s">
        <v>3009</v>
      </c>
      <c r="G3717" s="32" t="s">
        <v>347</v>
      </c>
      <c r="H3717" s="32" t="s">
        <v>1764</v>
      </c>
    </row>
    <row r="3718" ht="16.5" customHeight="1">
      <c r="A3718" s="32">
        <v>3714.0</v>
      </c>
      <c r="C3718" s="32" t="s">
        <v>4639</v>
      </c>
      <c r="D3718" s="32" t="s">
        <v>184</v>
      </c>
      <c r="E3718" s="32" t="s">
        <v>192</v>
      </c>
      <c r="F3718" s="32" t="s">
        <v>3009</v>
      </c>
      <c r="G3718" s="32" t="s">
        <v>300</v>
      </c>
      <c r="H3718" s="32" t="s">
        <v>535</v>
      </c>
    </row>
    <row r="3719" ht="16.5" customHeight="1">
      <c r="A3719" s="32">
        <v>3715.0</v>
      </c>
      <c r="C3719" s="32" t="s">
        <v>4640</v>
      </c>
      <c r="D3719" s="32" t="s">
        <v>184</v>
      </c>
      <c r="E3719" s="32" t="s">
        <v>219</v>
      </c>
      <c r="F3719" s="32" t="s">
        <v>3009</v>
      </c>
      <c r="G3719" s="32" t="s">
        <v>223</v>
      </c>
      <c r="H3719" s="32" t="s">
        <v>394</v>
      </c>
    </row>
    <row r="3720" ht="16.5" customHeight="1">
      <c r="A3720" s="32">
        <v>3716.0</v>
      </c>
      <c r="C3720" s="32" t="s">
        <v>4641</v>
      </c>
      <c r="D3720" s="32" t="s">
        <v>184</v>
      </c>
      <c r="E3720" s="32" t="s">
        <v>192</v>
      </c>
      <c r="F3720" s="32" t="s">
        <v>3009</v>
      </c>
      <c r="G3720" s="32" t="s">
        <v>2451</v>
      </c>
      <c r="H3720" s="32" t="s">
        <v>4642</v>
      </c>
    </row>
    <row r="3721" ht="16.5" customHeight="1">
      <c r="A3721" s="32">
        <v>3717.0</v>
      </c>
      <c r="C3721" s="32" t="s">
        <v>4643</v>
      </c>
      <c r="D3721" s="32" t="s">
        <v>184</v>
      </c>
      <c r="E3721" s="32" t="s">
        <v>254</v>
      </c>
      <c r="F3721" s="32" t="s">
        <v>3009</v>
      </c>
      <c r="G3721" s="32" t="s">
        <v>257</v>
      </c>
      <c r="H3721" s="32" t="s">
        <v>4644</v>
      </c>
    </row>
    <row r="3722" ht="16.5" customHeight="1">
      <c r="A3722" s="32">
        <v>3718.0</v>
      </c>
      <c r="C3722" s="32" t="s">
        <v>4645</v>
      </c>
      <c r="D3722" s="32" t="s">
        <v>184</v>
      </c>
      <c r="E3722" s="32" t="s">
        <v>254</v>
      </c>
      <c r="F3722" s="32" t="s">
        <v>3009</v>
      </c>
      <c r="G3722" s="32" t="s">
        <v>257</v>
      </c>
      <c r="H3722" s="32" t="s">
        <v>4646</v>
      </c>
    </row>
    <row r="3723" ht="16.5" customHeight="1">
      <c r="A3723" s="32">
        <v>3719.0</v>
      </c>
      <c r="C3723" s="32" t="s">
        <v>4647</v>
      </c>
      <c r="D3723" s="32" t="s">
        <v>184</v>
      </c>
      <c r="E3723" s="32" t="s">
        <v>285</v>
      </c>
      <c r="F3723" s="32" t="s">
        <v>3009</v>
      </c>
      <c r="G3723" s="32" t="s">
        <v>552</v>
      </c>
      <c r="H3723" s="32" t="s">
        <v>4648</v>
      </c>
    </row>
    <row r="3724" ht="16.5" customHeight="1">
      <c r="A3724" s="32">
        <v>3720.0</v>
      </c>
      <c r="C3724" s="32" t="s">
        <v>4649</v>
      </c>
      <c r="D3724" s="32" t="s">
        <v>184</v>
      </c>
      <c r="E3724" s="32" t="s">
        <v>285</v>
      </c>
      <c r="F3724" s="32" t="s">
        <v>3009</v>
      </c>
      <c r="G3724" s="32" t="s">
        <v>4650</v>
      </c>
      <c r="H3724" s="32" t="s">
        <v>4185</v>
      </c>
    </row>
    <row r="3725" ht="16.5" customHeight="1">
      <c r="A3725" s="32">
        <v>3721.0</v>
      </c>
      <c r="C3725" s="32" t="s">
        <v>4651</v>
      </c>
      <c r="D3725" s="32" t="s">
        <v>184</v>
      </c>
      <c r="E3725" s="32" t="s">
        <v>228</v>
      </c>
      <c r="F3725" s="32" t="s">
        <v>3009</v>
      </c>
      <c r="G3725" s="32" t="s">
        <v>408</v>
      </c>
      <c r="H3725" s="32" t="s">
        <v>490</v>
      </c>
    </row>
    <row r="3726" ht="16.5" customHeight="1">
      <c r="A3726" s="32">
        <v>3722.0</v>
      </c>
      <c r="C3726" s="32" t="s">
        <v>4652</v>
      </c>
      <c r="D3726" s="32" t="s">
        <v>184</v>
      </c>
      <c r="E3726" s="32" t="s">
        <v>185</v>
      </c>
      <c r="F3726" s="32" t="s">
        <v>3009</v>
      </c>
      <c r="G3726" s="32" t="s">
        <v>187</v>
      </c>
      <c r="H3726" s="32" t="s">
        <v>188</v>
      </c>
    </row>
    <row r="3727" ht="16.5" customHeight="1">
      <c r="A3727" s="32">
        <v>3723.0</v>
      </c>
      <c r="C3727" s="32" t="s">
        <v>4653</v>
      </c>
      <c r="D3727" s="32" t="s">
        <v>184</v>
      </c>
      <c r="E3727" s="32" t="s">
        <v>254</v>
      </c>
      <c r="F3727" s="32" t="s">
        <v>3009</v>
      </c>
      <c r="G3727" s="32" t="s">
        <v>256</v>
      </c>
      <c r="H3727" s="32" t="s">
        <v>2482</v>
      </c>
    </row>
    <row r="3728" ht="16.5" customHeight="1">
      <c r="A3728" s="32">
        <v>3724.0</v>
      </c>
      <c r="C3728" s="32" t="s">
        <v>4654</v>
      </c>
      <c r="D3728" s="32" t="s">
        <v>184</v>
      </c>
      <c r="E3728" s="32" t="s">
        <v>254</v>
      </c>
      <c r="F3728" s="32" t="s">
        <v>3009</v>
      </c>
      <c r="G3728" s="32" t="s">
        <v>256</v>
      </c>
      <c r="H3728" s="32" t="s">
        <v>2482</v>
      </c>
    </row>
    <row r="3729" ht="16.5" customHeight="1">
      <c r="A3729" s="32">
        <v>3725.0</v>
      </c>
      <c r="C3729" s="32" t="s">
        <v>4655</v>
      </c>
      <c r="D3729" s="32" t="s">
        <v>184</v>
      </c>
      <c r="E3729" s="32" t="s">
        <v>185</v>
      </c>
      <c r="F3729" s="32" t="s">
        <v>3009</v>
      </c>
      <c r="G3729" s="32" t="s">
        <v>187</v>
      </c>
      <c r="H3729" s="32" t="s">
        <v>480</v>
      </c>
    </row>
    <row r="3730" ht="16.5" customHeight="1">
      <c r="A3730" s="32">
        <v>3726.0</v>
      </c>
      <c r="C3730" s="32" t="s">
        <v>4656</v>
      </c>
      <c r="D3730" s="32" t="s">
        <v>184</v>
      </c>
      <c r="E3730" s="32" t="s">
        <v>185</v>
      </c>
      <c r="F3730" s="32" t="s">
        <v>3009</v>
      </c>
      <c r="G3730" s="32" t="s">
        <v>187</v>
      </c>
      <c r="H3730" s="32" t="s">
        <v>480</v>
      </c>
    </row>
    <row r="3731" ht="16.5" customHeight="1">
      <c r="A3731" s="32">
        <v>3727.0</v>
      </c>
      <c r="C3731" s="32" t="s">
        <v>4657</v>
      </c>
      <c r="D3731" s="32" t="s">
        <v>184</v>
      </c>
      <c r="E3731" s="32" t="s">
        <v>185</v>
      </c>
      <c r="F3731" s="32" t="s">
        <v>3009</v>
      </c>
      <c r="G3731" s="32" t="s">
        <v>187</v>
      </c>
      <c r="H3731" s="32" t="s">
        <v>480</v>
      </c>
    </row>
    <row r="3732" ht="16.5" customHeight="1">
      <c r="A3732" s="32">
        <v>3728.0</v>
      </c>
      <c r="C3732" s="32" t="s">
        <v>4658</v>
      </c>
      <c r="D3732" s="32" t="s">
        <v>184</v>
      </c>
      <c r="E3732" s="32" t="s">
        <v>285</v>
      </c>
      <c r="F3732" s="32" t="s">
        <v>3009</v>
      </c>
      <c r="G3732" s="32" t="s">
        <v>189</v>
      </c>
      <c r="H3732" s="32" t="s">
        <v>190</v>
      </c>
    </row>
    <row r="3733" ht="16.5" customHeight="1">
      <c r="A3733" s="32">
        <v>3729.0</v>
      </c>
      <c r="C3733" s="32" t="s">
        <v>4659</v>
      </c>
      <c r="D3733" s="32" t="s">
        <v>184</v>
      </c>
      <c r="E3733" s="32" t="s">
        <v>254</v>
      </c>
      <c r="F3733" s="32" t="s">
        <v>3009</v>
      </c>
      <c r="G3733" s="32" t="s">
        <v>305</v>
      </c>
      <c r="H3733" s="32" t="s">
        <v>593</v>
      </c>
    </row>
    <row r="3734" ht="16.5" customHeight="1">
      <c r="A3734" s="32">
        <v>3730.0</v>
      </c>
      <c r="C3734" s="32" t="s">
        <v>4660</v>
      </c>
      <c r="D3734" s="32" t="s">
        <v>184</v>
      </c>
      <c r="E3734" s="32" t="s">
        <v>185</v>
      </c>
      <c r="F3734" s="32" t="s">
        <v>3009</v>
      </c>
      <c r="G3734" s="32" t="s">
        <v>1213</v>
      </c>
      <c r="H3734" s="32" t="s">
        <v>4661</v>
      </c>
    </row>
    <row r="3735" ht="16.5" customHeight="1">
      <c r="A3735" s="32">
        <v>3731.0</v>
      </c>
      <c r="C3735" s="32" t="s">
        <v>4662</v>
      </c>
      <c r="D3735" s="32" t="s">
        <v>184</v>
      </c>
      <c r="E3735" s="32" t="s">
        <v>228</v>
      </c>
      <c r="F3735" s="32" t="s">
        <v>3009</v>
      </c>
      <c r="G3735" s="32" t="s">
        <v>2754</v>
      </c>
      <c r="H3735" s="32" t="s">
        <v>3134</v>
      </c>
    </row>
    <row r="3736" ht="16.5" customHeight="1">
      <c r="A3736" s="32">
        <v>3732.0</v>
      </c>
      <c r="C3736" s="32" t="s">
        <v>4663</v>
      </c>
      <c r="D3736" s="32" t="s">
        <v>184</v>
      </c>
      <c r="E3736" s="32" t="s">
        <v>285</v>
      </c>
      <c r="F3736" s="32" t="s">
        <v>3009</v>
      </c>
      <c r="G3736" s="32" t="s">
        <v>189</v>
      </c>
      <c r="H3736" s="32" t="s">
        <v>314</v>
      </c>
    </row>
    <row r="3737" ht="16.5" customHeight="1">
      <c r="A3737" s="32">
        <v>3733.0</v>
      </c>
      <c r="C3737" s="32" t="s">
        <v>4664</v>
      </c>
      <c r="D3737" s="32" t="s">
        <v>184</v>
      </c>
      <c r="E3737" s="32" t="s">
        <v>285</v>
      </c>
      <c r="F3737" s="32" t="s">
        <v>3009</v>
      </c>
      <c r="G3737" s="32" t="s">
        <v>552</v>
      </c>
      <c r="H3737" s="32" t="s">
        <v>553</v>
      </c>
    </row>
    <row r="3738" ht="16.5" customHeight="1">
      <c r="A3738" s="32">
        <v>3734.0</v>
      </c>
      <c r="C3738" s="32" t="s">
        <v>4665</v>
      </c>
      <c r="D3738" s="32" t="s">
        <v>184</v>
      </c>
      <c r="E3738" s="32" t="s">
        <v>285</v>
      </c>
      <c r="F3738" s="32" t="s">
        <v>3009</v>
      </c>
      <c r="G3738" s="32" t="s">
        <v>189</v>
      </c>
      <c r="H3738" s="32" t="s">
        <v>190</v>
      </c>
    </row>
    <row r="3739" ht="16.5" customHeight="1">
      <c r="A3739" s="32">
        <v>3735.0</v>
      </c>
      <c r="C3739" s="32" t="s">
        <v>4666</v>
      </c>
      <c r="D3739" s="32" t="s">
        <v>184</v>
      </c>
      <c r="E3739" s="32" t="s">
        <v>285</v>
      </c>
      <c r="F3739" s="32" t="s">
        <v>3009</v>
      </c>
      <c r="G3739" s="32" t="s">
        <v>4667</v>
      </c>
      <c r="H3739" s="32" t="s">
        <v>4668</v>
      </c>
    </row>
    <row r="3740" ht="16.5" customHeight="1">
      <c r="A3740" s="32">
        <v>3736.0</v>
      </c>
      <c r="C3740" s="32" t="s">
        <v>4669</v>
      </c>
      <c r="D3740" s="32" t="s">
        <v>184</v>
      </c>
      <c r="E3740" s="32" t="s">
        <v>254</v>
      </c>
      <c r="F3740" s="32" t="s">
        <v>3009</v>
      </c>
      <c r="G3740" s="32" t="s">
        <v>256</v>
      </c>
      <c r="H3740" s="32" t="s">
        <v>4670</v>
      </c>
    </row>
    <row r="3741" ht="16.5" customHeight="1">
      <c r="A3741" s="32">
        <v>3737.0</v>
      </c>
      <c r="C3741" s="32" t="s">
        <v>4671</v>
      </c>
      <c r="D3741" s="32" t="s">
        <v>184</v>
      </c>
      <c r="E3741" s="32" t="s">
        <v>254</v>
      </c>
      <c r="F3741" s="32" t="s">
        <v>3009</v>
      </c>
      <c r="G3741" s="32" t="s">
        <v>257</v>
      </c>
    </row>
    <row r="3742" ht="16.5" customHeight="1">
      <c r="A3742" s="32">
        <v>3738.0</v>
      </c>
      <c r="C3742" s="32" t="s">
        <v>4672</v>
      </c>
      <c r="D3742" s="32" t="s">
        <v>184</v>
      </c>
      <c r="E3742" s="32" t="s">
        <v>254</v>
      </c>
      <c r="F3742" s="32" t="s">
        <v>3009</v>
      </c>
      <c r="G3742" s="32" t="s">
        <v>1807</v>
      </c>
      <c r="H3742" s="32" t="s">
        <v>4673</v>
      </c>
    </row>
    <row r="3743" ht="16.5" customHeight="1">
      <c r="A3743" s="32">
        <v>3739.0</v>
      </c>
      <c r="C3743" s="32" t="s">
        <v>4674</v>
      </c>
      <c r="D3743" s="32" t="s">
        <v>184</v>
      </c>
      <c r="E3743" s="32" t="s">
        <v>285</v>
      </c>
      <c r="F3743" s="32" t="s">
        <v>3009</v>
      </c>
      <c r="G3743" s="32" t="s">
        <v>188</v>
      </c>
      <c r="H3743" s="32" t="s">
        <v>368</v>
      </c>
    </row>
    <row r="3744" ht="16.5" customHeight="1">
      <c r="A3744" s="32">
        <v>3740.0</v>
      </c>
      <c r="C3744" s="32" t="s">
        <v>4675</v>
      </c>
      <c r="D3744" s="32" t="s">
        <v>184</v>
      </c>
      <c r="E3744" s="32" t="s">
        <v>185</v>
      </c>
      <c r="F3744" s="32" t="s">
        <v>3009</v>
      </c>
      <c r="G3744" s="32" t="s">
        <v>1851</v>
      </c>
      <c r="H3744" s="32" t="s">
        <v>1121</v>
      </c>
    </row>
    <row r="3745" ht="16.5" customHeight="1">
      <c r="A3745" s="32">
        <v>3741.0</v>
      </c>
      <c r="C3745" s="32" t="s">
        <v>4676</v>
      </c>
      <c r="D3745" s="32" t="s">
        <v>184</v>
      </c>
      <c r="E3745" s="32" t="s">
        <v>254</v>
      </c>
      <c r="F3745" s="32" t="s">
        <v>3009</v>
      </c>
      <c r="G3745" s="32" t="s">
        <v>305</v>
      </c>
      <c r="H3745" s="32" t="s">
        <v>593</v>
      </c>
    </row>
    <row r="3746" ht="16.5" customHeight="1">
      <c r="A3746" s="32">
        <v>3742.0</v>
      </c>
      <c r="C3746" s="32" t="s">
        <v>4677</v>
      </c>
      <c r="D3746" s="32" t="s">
        <v>184</v>
      </c>
      <c r="E3746" s="32" t="s">
        <v>254</v>
      </c>
      <c r="F3746" s="32" t="s">
        <v>3009</v>
      </c>
      <c r="G3746" s="32" t="s">
        <v>4678</v>
      </c>
      <c r="H3746" s="32" t="s">
        <v>1328</v>
      </c>
    </row>
    <row r="3747" ht="16.5" customHeight="1">
      <c r="A3747" s="32">
        <v>3743.0</v>
      </c>
      <c r="C3747" s="32" t="s">
        <v>4679</v>
      </c>
      <c r="D3747" s="32" t="s">
        <v>184</v>
      </c>
      <c r="E3747" s="32" t="s">
        <v>219</v>
      </c>
      <c r="F3747" s="32" t="s">
        <v>3009</v>
      </c>
      <c r="G3747" s="32" t="s">
        <v>223</v>
      </c>
      <c r="H3747" s="32" t="s">
        <v>394</v>
      </c>
    </row>
    <row r="3748" ht="16.5" customHeight="1">
      <c r="A3748" s="32">
        <v>3744.0</v>
      </c>
      <c r="C3748" s="32" t="s">
        <v>4680</v>
      </c>
      <c r="D3748" s="32" t="s">
        <v>184</v>
      </c>
      <c r="E3748" s="32" t="s">
        <v>219</v>
      </c>
      <c r="F3748" s="32" t="s">
        <v>3009</v>
      </c>
      <c r="G3748" s="32" t="s">
        <v>223</v>
      </c>
    </row>
    <row r="3749" ht="16.5" customHeight="1">
      <c r="A3749" s="32">
        <v>3745.0</v>
      </c>
      <c r="C3749" s="32" t="s">
        <v>4681</v>
      </c>
      <c r="D3749" s="32" t="s">
        <v>184</v>
      </c>
      <c r="E3749" s="32" t="s">
        <v>219</v>
      </c>
      <c r="F3749" s="32" t="s">
        <v>3009</v>
      </c>
      <c r="G3749" s="32" t="s">
        <v>223</v>
      </c>
    </row>
    <row r="3750" ht="16.5" customHeight="1">
      <c r="A3750" s="32">
        <v>3746.0</v>
      </c>
      <c r="C3750" s="32" t="s">
        <v>4682</v>
      </c>
      <c r="D3750" s="32" t="s">
        <v>184</v>
      </c>
      <c r="E3750" s="32" t="s">
        <v>219</v>
      </c>
      <c r="F3750" s="32" t="s">
        <v>3009</v>
      </c>
      <c r="G3750" s="32" t="s">
        <v>223</v>
      </c>
    </row>
    <row r="3751" ht="16.5" customHeight="1">
      <c r="A3751" s="32">
        <v>3747.0</v>
      </c>
      <c r="C3751" s="32" t="s">
        <v>4683</v>
      </c>
      <c r="D3751" s="32" t="s">
        <v>184</v>
      </c>
      <c r="E3751" s="32" t="s">
        <v>254</v>
      </c>
      <c r="F3751" s="32" t="s">
        <v>3009</v>
      </c>
      <c r="G3751" s="32" t="s">
        <v>257</v>
      </c>
      <c r="H3751" s="32" t="s">
        <v>508</v>
      </c>
    </row>
    <row r="3752" ht="16.5" customHeight="1">
      <c r="A3752" s="32">
        <v>3748.0</v>
      </c>
      <c r="C3752" s="32" t="s">
        <v>4684</v>
      </c>
      <c r="D3752" s="32" t="s">
        <v>184</v>
      </c>
      <c r="E3752" s="32" t="s">
        <v>254</v>
      </c>
      <c r="F3752" s="32" t="s">
        <v>3009</v>
      </c>
      <c r="G3752" s="32" t="s">
        <v>741</v>
      </c>
      <c r="H3752" s="32" t="s">
        <v>4685</v>
      </c>
    </row>
    <row r="3753" ht="16.5" customHeight="1">
      <c r="A3753" s="32">
        <v>3749.0</v>
      </c>
      <c r="C3753" s="32" t="s">
        <v>4686</v>
      </c>
      <c r="D3753" s="32" t="s">
        <v>184</v>
      </c>
      <c r="E3753" s="32" t="s">
        <v>254</v>
      </c>
      <c r="F3753" s="32" t="s">
        <v>3009</v>
      </c>
      <c r="G3753" s="32" t="s">
        <v>257</v>
      </c>
      <c r="H3753" s="32" t="s">
        <v>1715</v>
      </c>
    </row>
    <row r="3754" ht="16.5" customHeight="1">
      <c r="A3754" s="32">
        <v>3750.0</v>
      </c>
      <c r="C3754" s="32" t="s">
        <v>4687</v>
      </c>
      <c r="D3754" s="32" t="s">
        <v>184</v>
      </c>
      <c r="E3754" s="32" t="s">
        <v>254</v>
      </c>
      <c r="F3754" s="32" t="s">
        <v>3009</v>
      </c>
      <c r="G3754" s="32" t="s">
        <v>257</v>
      </c>
      <c r="H3754" s="32" t="s">
        <v>1707</v>
      </c>
    </row>
    <row r="3755" ht="16.5" customHeight="1">
      <c r="A3755" s="32">
        <v>3751.0</v>
      </c>
      <c r="C3755" s="32" t="s">
        <v>4688</v>
      </c>
      <c r="D3755" s="32" t="s">
        <v>184</v>
      </c>
      <c r="E3755" s="32" t="s">
        <v>192</v>
      </c>
      <c r="F3755" s="32" t="s">
        <v>3009</v>
      </c>
      <c r="G3755" s="32" t="s">
        <v>329</v>
      </c>
      <c r="H3755" s="32" t="s">
        <v>357</v>
      </c>
    </row>
    <row r="3756" ht="16.5" customHeight="1">
      <c r="A3756" s="32">
        <v>3752.0</v>
      </c>
      <c r="C3756" s="32" t="s">
        <v>4689</v>
      </c>
      <c r="D3756" s="32" t="s">
        <v>184</v>
      </c>
      <c r="E3756" s="32" t="s">
        <v>228</v>
      </c>
      <c r="F3756" s="32" t="s">
        <v>3009</v>
      </c>
      <c r="G3756" s="32" t="s">
        <v>544</v>
      </c>
      <c r="H3756" s="32" t="s">
        <v>4690</v>
      </c>
    </row>
    <row r="3757" ht="16.5" customHeight="1">
      <c r="A3757" s="32">
        <v>3753.0</v>
      </c>
      <c r="C3757" s="32" t="s">
        <v>4691</v>
      </c>
      <c r="D3757" s="32" t="s">
        <v>184</v>
      </c>
      <c r="E3757" s="32" t="s">
        <v>185</v>
      </c>
      <c r="F3757" s="32" t="s">
        <v>255</v>
      </c>
    </row>
    <row r="3758" ht="16.5" customHeight="1">
      <c r="A3758" s="32">
        <v>3754.0</v>
      </c>
      <c r="C3758" s="32" t="s">
        <v>4692</v>
      </c>
      <c r="D3758" s="32" t="s">
        <v>184</v>
      </c>
      <c r="E3758" s="32" t="s">
        <v>185</v>
      </c>
      <c r="F3758" s="32" t="s">
        <v>255</v>
      </c>
      <c r="G3758" s="32" t="s">
        <v>1114</v>
      </c>
    </row>
    <row r="3759" ht="16.5" customHeight="1">
      <c r="A3759" s="32">
        <v>3755.0</v>
      </c>
      <c r="C3759" s="32" t="s">
        <v>4693</v>
      </c>
      <c r="D3759" s="32" t="s">
        <v>184</v>
      </c>
      <c r="E3759" s="32" t="s">
        <v>185</v>
      </c>
      <c r="F3759" s="32" t="s">
        <v>255</v>
      </c>
      <c r="G3759" s="32" t="s">
        <v>1114</v>
      </c>
    </row>
    <row r="3760" ht="16.5" customHeight="1">
      <c r="A3760" s="32">
        <v>3756.0</v>
      </c>
      <c r="C3760" s="32" t="s">
        <v>4694</v>
      </c>
      <c r="D3760" s="32" t="s">
        <v>184</v>
      </c>
      <c r="E3760" s="32" t="s">
        <v>185</v>
      </c>
      <c r="F3760" s="32" t="s">
        <v>255</v>
      </c>
      <c r="G3760" s="32" t="s">
        <v>4695</v>
      </c>
    </row>
    <row r="3761" ht="16.5" customHeight="1">
      <c r="A3761" s="32">
        <v>3757.0</v>
      </c>
      <c r="C3761" s="32" t="s">
        <v>4696</v>
      </c>
      <c r="D3761" s="32" t="s">
        <v>184</v>
      </c>
      <c r="E3761" s="32" t="s">
        <v>185</v>
      </c>
      <c r="F3761" s="32" t="s">
        <v>255</v>
      </c>
    </row>
    <row r="3762" ht="16.5" customHeight="1">
      <c r="A3762" s="32">
        <v>3758.0</v>
      </c>
      <c r="C3762" s="32" t="s">
        <v>4697</v>
      </c>
      <c r="D3762" s="32" t="s">
        <v>184</v>
      </c>
      <c r="E3762" s="32" t="s">
        <v>219</v>
      </c>
      <c r="F3762" s="32" t="s">
        <v>255</v>
      </c>
    </row>
    <row r="3763" ht="16.5" customHeight="1">
      <c r="A3763" s="32">
        <v>3759.0</v>
      </c>
      <c r="C3763" s="32" t="s">
        <v>4698</v>
      </c>
      <c r="D3763" s="32" t="s">
        <v>184</v>
      </c>
      <c r="E3763" s="32" t="s">
        <v>325</v>
      </c>
      <c r="F3763" s="32" t="s">
        <v>255</v>
      </c>
    </row>
    <row r="3764" ht="16.5" customHeight="1">
      <c r="A3764" s="32">
        <v>3760.0</v>
      </c>
      <c r="C3764" s="32" t="s">
        <v>4699</v>
      </c>
      <c r="D3764" s="32" t="s">
        <v>184</v>
      </c>
      <c r="E3764" s="32" t="s">
        <v>285</v>
      </c>
      <c r="F3764" s="32" t="s">
        <v>255</v>
      </c>
    </row>
    <row r="3765" ht="16.5" customHeight="1">
      <c r="A3765" s="32">
        <v>3761.0</v>
      </c>
      <c r="C3765" s="32" t="s">
        <v>4700</v>
      </c>
      <c r="D3765" s="32" t="s">
        <v>184</v>
      </c>
      <c r="E3765" s="32" t="s">
        <v>285</v>
      </c>
      <c r="F3765" s="32" t="s">
        <v>255</v>
      </c>
      <c r="G3765" s="32" t="s">
        <v>2482</v>
      </c>
      <c r="H3765" s="32" t="s">
        <v>553</v>
      </c>
    </row>
    <row r="3766" ht="16.5" customHeight="1">
      <c r="A3766" s="32">
        <v>3762.0</v>
      </c>
      <c r="C3766" s="32" t="s">
        <v>4701</v>
      </c>
      <c r="D3766" s="32" t="s">
        <v>184</v>
      </c>
      <c r="E3766" s="32" t="s">
        <v>192</v>
      </c>
      <c r="F3766" s="32" t="s">
        <v>255</v>
      </c>
    </row>
    <row r="3767" ht="16.5" customHeight="1">
      <c r="A3767" s="32">
        <v>3763.0</v>
      </c>
      <c r="C3767" s="32" t="s">
        <v>4702</v>
      </c>
      <c r="D3767" s="32" t="s">
        <v>184</v>
      </c>
      <c r="E3767" s="32" t="s">
        <v>285</v>
      </c>
      <c r="F3767" s="32" t="s">
        <v>222</v>
      </c>
    </row>
    <row r="3768" ht="16.5" customHeight="1">
      <c r="A3768" s="32">
        <v>3764.0</v>
      </c>
      <c r="C3768" s="32" t="s">
        <v>4703</v>
      </c>
      <c r="D3768" s="32" t="s">
        <v>184</v>
      </c>
      <c r="E3768" s="32" t="s">
        <v>285</v>
      </c>
      <c r="F3768" s="32" t="s">
        <v>255</v>
      </c>
    </row>
    <row r="3769" ht="16.5" customHeight="1">
      <c r="A3769" s="32">
        <v>3765.0</v>
      </c>
      <c r="C3769" s="32" t="s">
        <v>4704</v>
      </c>
      <c r="D3769" s="32" t="s">
        <v>184</v>
      </c>
      <c r="E3769" s="32" t="s">
        <v>185</v>
      </c>
      <c r="F3769" s="32" t="s">
        <v>4705</v>
      </c>
    </row>
    <row r="3770" ht="16.5" customHeight="1">
      <c r="A3770" s="32">
        <v>3766.0</v>
      </c>
      <c r="C3770" s="32" t="s">
        <v>4706</v>
      </c>
      <c r="D3770" s="32" t="s">
        <v>184</v>
      </c>
      <c r="E3770" s="32" t="s">
        <v>192</v>
      </c>
      <c r="F3770" s="32" t="s">
        <v>4705</v>
      </c>
      <c r="G3770" s="32" t="s">
        <v>570</v>
      </c>
      <c r="H3770" s="32" t="s">
        <v>447</v>
      </c>
    </row>
    <row r="3771" ht="16.5" customHeight="1">
      <c r="A3771" s="32">
        <v>3767.0</v>
      </c>
      <c r="C3771" s="32" t="s">
        <v>4707</v>
      </c>
      <c r="D3771" s="32" t="s">
        <v>184</v>
      </c>
      <c r="E3771" s="32" t="s">
        <v>285</v>
      </c>
      <c r="F3771" s="32" t="s">
        <v>4705</v>
      </c>
      <c r="G3771" s="32" t="s">
        <v>189</v>
      </c>
      <c r="H3771" s="32" t="s">
        <v>190</v>
      </c>
    </row>
    <row r="3772" ht="16.5" customHeight="1">
      <c r="A3772" s="32">
        <v>3768.0</v>
      </c>
      <c r="C3772" s="32" t="s">
        <v>4708</v>
      </c>
      <c r="D3772" s="32" t="s">
        <v>184</v>
      </c>
      <c r="E3772" s="32" t="s">
        <v>185</v>
      </c>
      <c r="F3772" s="32" t="s">
        <v>4705</v>
      </c>
    </row>
    <row r="3773" ht="16.5" customHeight="1">
      <c r="A3773" s="32">
        <v>3769.0</v>
      </c>
      <c r="C3773" s="32" t="s">
        <v>4709</v>
      </c>
      <c r="D3773" s="32" t="s">
        <v>184</v>
      </c>
      <c r="E3773" s="32" t="s">
        <v>285</v>
      </c>
      <c r="F3773" s="32" t="s">
        <v>4705</v>
      </c>
    </row>
    <row r="3774" ht="16.5" customHeight="1">
      <c r="A3774" s="32">
        <v>3770.0</v>
      </c>
      <c r="C3774" s="32" t="s">
        <v>4710</v>
      </c>
      <c r="D3774" s="32" t="s">
        <v>184</v>
      </c>
      <c r="E3774" s="32" t="s">
        <v>185</v>
      </c>
      <c r="F3774" s="32" t="s">
        <v>4705</v>
      </c>
      <c r="G3774" s="32" t="s">
        <v>189</v>
      </c>
      <c r="H3774" s="32" t="s">
        <v>314</v>
      </c>
    </row>
    <row r="3775" ht="16.5" customHeight="1">
      <c r="A3775" s="32">
        <v>3771.0</v>
      </c>
      <c r="C3775" s="32" t="s">
        <v>4711</v>
      </c>
      <c r="D3775" s="32" t="s">
        <v>184</v>
      </c>
      <c r="E3775" s="32" t="s">
        <v>192</v>
      </c>
      <c r="F3775" s="32" t="s">
        <v>4705</v>
      </c>
      <c r="G3775" s="32" t="s">
        <v>238</v>
      </c>
      <c r="H3775" s="32" t="s">
        <v>618</v>
      </c>
    </row>
    <row r="3776" ht="16.5" customHeight="1">
      <c r="A3776" s="32">
        <v>3772.0</v>
      </c>
      <c r="C3776" s="32" t="s">
        <v>4712</v>
      </c>
      <c r="D3776" s="32" t="s">
        <v>184</v>
      </c>
      <c r="E3776" s="32" t="s">
        <v>219</v>
      </c>
      <c r="F3776" s="32" t="s">
        <v>255</v>
      </c>
      <c r="G3776" s="32" t="s">
        <v>223</v>
      </c>
      <c r="H3776" s="32" t="s">
        <v>394</v>
      </c>
    </row>
    <row r="3777" ht="16.5" customHeight="1">
      <c r="A3777" s="32">
        <v>3773.0</v>
      </c>
      <c r="C3777" s="32" t="s">
        <v>4713</v>
      </c>
      <c r="D3777" s="32" t="s">
        <v>184</v>
      </c>
      <c r="E3777" s="32" t="s">
        <v>219</v>
      </c>
      <c r="F3777" s="32" t="s">
        <v>255</v>
      </c>
      <c r="G3777" s="32" t="s">
        <v>223</v>
      </c>
      <c r="H3777" s="32" t="s">
        <v>662</v>
      </c>
    </row>
    <row r="3778" ht="16.5" customHeight="1">
      <c r="A3778" s="32">
        <v>3774.0</v>
      </c>
      <c r="C3778" s="32" t="s">
        <v>4714</v>
      </c>
      <c r="D3778" s="32" t="s">
        <v>184</v>
      </c>
      <c r="E3778" s="32" t="s">
        <v>219</v>
      </c>
      <c r="F3778" s="32" t="s">
        <v>255</v>
      </c>
      <c r="G3778" s="32" t="s">
        <v>223</v>
      </c>
      <c r="H3778" s="32" t="s">
        <v>662</v>
      </c>
    </row>
    <row r="3779" ht="16.5" customHeight="1">
      <c r="A3779" s="32">
        <v>3775.0</v>
      </c>
      <c r="C3779" s="32" t="s">
        <v>4715</v>
      </c>
      <c r="D3779" s="32" t="s">
        <v>184</v>
      </c>
      <c r="E3779" s="32" t="s">
        <v>219</v>
      </c>
      <c r="F3779" s="32" t="s">
        <v>255</v>
      </c>
      <c r="G3779" s="32" t="s">
        <v>223</v>
      </c>
      <c r="H3779" s="32" t="s">
        <v>394</v>
      </c>
    </row>
    <row r="3780" ht="16.5" customHeight="1">
      <c r="A3780" s="32">
        <v>3776.0</v>
      </c>
      <c r="C3780" s="32" t="s">
        <v>4716</v>
      </c>
      <c r="D3780" s="32" t="s">
        <v>184</v>
      </c>
      <c r="E3780" s="32" t="s">
        <v>219</v>
      </c>
      <c r="F3780" s="32" t="s">
        <v>255</v>
      </c>
      <c r="G3780" s="32" t="s">
        <v>223</v>
      </c>
      <c r="H3780" s="32" t="s">
        <v>394</v>
      </c>
    </row>
    <row r="3781" ht="16.5" customHeight="1">
      <c r="A3781" s="32">
        <v>3777.0</v>
      </c>
      <c r="C3781" s="32" t="s">
        <v>4717</v>
      </c>
      <c r="D3781" s="32" t="s">
        <v>184</v>
      </c>
      <c r="E3781" s="32" t="s">
        <v>219</v>
      </c>
      <c r="F3781" s="32" t="s">
        <v>255</v>
      </c>
      <c r="G3781" s="32" t="s">
        <v>223</v>
      </c>
      <c r="H3781" s="32" t="s">
        <v>394</v>
      </c>
    </row>
    <row r="3782" ht="16.5" customHeight="1">
      <c r="A3782" s="32">
        <v>3778.0</v>
      </c>
      <c r="C3782" s="32" t="s">
        <v>4718</v>
      </c>
      <c r="D3782" s="32" t="s">
        <v>184</v>
      </c>
      <c r="E3782" s="32" t="s">
        <v>219</v>
      </c>
      <c r="F3782" s="32" t="s">
        <v>255</v>
      </c>
      <c r="G3782" s="32" t="s">
        <v>223</v>
      </c>
      <c r="H3782" s="32" t="s">
        <v>472</v>
      </c>
    </row>
    <row r="3783" ht="16.5" customHeight="1">
      <c r="A3783" s="32">
        <v>3779.0</v>
      </c>
      <c r="C3783" s="32" t="s">
        <v>4719</v>
      </c>
      <c r="D3783" s="32" t="s">
        <v>184</v>
      </c>
      <c r="E3783" s="32" t="s">
        <v>219</v>
      </c>
      <c r="F3783" s="32" t="s">
        <v>255</v>
      </c>
      <c r="G3783" s="32" t="s">
        <v>223</v>
      </c>
      <c r="H3783" s="32" t="s">
        <v>347</v>
      </c>
    </row>
    <row r="3784" ht="16.5" customHeight="1">
      <c r="A3784" s="32">
        <v>3780.0</v>
      </c>
      <c r="C3784" s="32" t="s">
        <v>4720</v>
      </c>
      <c r="D3784" s="32" t="s">
        <v>184</v>
      </c>
      <c r="E3784" s="32" t="s">
        <v>219</v>
      </c>
      <c r="F3784" s="32" t="s">
        <v>255</v>
      </c>
    </row>
    <row r="3785" ht="16.5" customHeight="1">
      <c r="A3785" s="32">
        <v>3781.0</v>
      </c>
      <c r="C3785" s="32" t="s">
        <v>4721</v>
      </c>
      <c r="D3785" s="32" t="s">
        <v>184</v>
      </c>
      <c r="E3785" s="32" t="s">
        <v>219</v>
      </c>
      <c r="F3785" s="32" t="s">
        <v>255</v>
      </c>
    </row>
    <row r="3786" ht="16.5" customHeight="1">
      <c r="A3786" s="32">
        <v>3782.0</v>
      </c>
      <c r="C3786" s="32" t="s">
        <v>4722</v>
      </c>
      <c r="D3786" s="32" t="s">
        <v>184</v>
      </c>
      <c r="E3786" s="32" t="s">
        <v>254</v>
      </c>
      <c r="F3786" s="32" t="s">
        <v>255</v>
      </c>
      <c r="G3786" s="32" t="s">
        <v>256</v>
      </c>
      <c r="H3786" s="32" t="s">
        <v>257</v>
      </c>
    </row>
    <row r="3787" ht="16.5" customHeight="1">
      <c r="A3787" s="32">
        <v>3783.0</v>
      </c>
      <c r="C3787" s="32" t="s">
        <v>4723</v>
      </c>
      <c r="D3787" s="32" t="s">
        <v>184</v>
      </c>
      <c r="E3787" s="32" t="s">
        <v>254</v>
      </c>
      <c r="F3787" s="32" t="s">
        <v>255</v>
      </c>
    </row>
    <row r="3788" ht="16.5" customHeight="1">
      <c r="A3788" s="32">
        <v>3784.0</v>
      </c>
      <c r="C3788" s="32" t="s">
        <v>4724</v>
      </c>
      <c r="D3788" s="32" t="s">
        <v>184</v>
      </c>
      <c r="E3788" s="32" t="s">
        <v>192</v>
      </c>
      <c r="F3788" s="32" t="s">
        <v>215</v>
      </c>
      <c r="G3788" s="32" t="s">
        <v>300</v>
      </c>
      <c r="H3788" s="32" t="s">
        <v>387</v>
      </c>
    </row>
    <row r="3789" ht="16.5" customHeight="1">
      <c r="A3789" s="32">
        <v>3785.0</v>
      </c>
      <c r="C3789" s="32" t="s">
        <v>4725</v>
      </c>
      <c r="D3789" s="32" t="s">
        <v>184</v>
      </c>
      <c r="E3789" s="32" t="s">
        <v>254</v>
      </c>
      <c r="F3789" s="32" t="s">
        <v>255</v>
      </c>
      <c r="G3789" s="32" t="s">
        <v>263</v>
      </c>
      <c r="H3789" s="32" t="s">
        <v>1878</v>
      </c>
    </row>
    <row r="3790" ht="16.5" customHeight="1">
      <c r="A3790" s="32">
        <v>3786.0</v>
      </c>
      <c r="C3790" s="32" t="s">
        <v>4726</v>
      </c>
      <c r="D3790" s="32" t="s">
        <v>184</v>
      </c>
      <c r="E3790" s="32" t="s">
        <v>254</v>
      </c>
      <c r="F3790" s="32" t="s">
        <v>255</v>
      </c>
      <c r="G3790" s="32" t="s">
        <v>260</v>
      </c>
      <c r="H3790" s="32" t="s">
        <v>1306</v>
      </c>
    </row>
    <row r="3791" ht="16.5" customHeight="1">
      <c r="A3791" s="32">
        <v>3787.0</v>
      </c>
      <c r="C3791" s="32" t="s">
        <v>4727</v>
      </c>
      <c r="D3791" s="32" t="s">
        <v>184</v>
      </c>
      <c r="E3791" s="32" t="s">
        <v>185</v>
      </c>
      <c r="F3791" s="32" t="s">
        <v>255</v>
      </c>
      <c r="G3791" s="32" t="s">
        <v>4728</v>
      </c>
      <c r="H3791" s="32" t="s">
        <v>188</v>
      </c>
    </row>
    <row r="3792" ht="16.5" customHeight="1">
      <c r="A3792" s="32">
        <v>3788.0</v>
      </c>
      <c r="C3792" s="32" t="s">
        <v>4729</v>
      </c>
      <c r="D3792" s="32" t="s">
        <v>184</v>
      </c>
      <c r="E3792" s="32" t="s">
        <v>234</v>
      </c>
      <c r="F3792" s="32" t="s">
        <v>255</v>
      </c>
      <c r="G3792" s="32" t="s">
        <v>235</v>
      </c>
      <c r="H3792" s="32" t="s">
        <v>4730</v>
      </c>
    </row>
    <row r="3793" ht="16.5" customHeight="1">
      <c r="A3793" s="32">
        <v>3789.0</v>
      </c>
      <c r="C3793" s="32" t="s">
        <v>4731</v>
      </c>
      <c r="D3793" s="32" t="s">
        <v>184</v>
      </c>
      <c r="E3793" s="32" t="s">
        <v>228</v>
      </c>
      <c r="F3793" s="32" t="s">
        <v>255</v>
      </c>
      <c r="G3793" s="32" t="s">
        <v>257</v>
      </c>
      <c r="H3793" s="32" t="s">
        <v>4732</v>
      </c>
    </row>
    <row r="3794" ht="16.5" customHeight="1">
      <c r="A3794" s="32">
        <v>3790.0</v>
      </c>
      <c r="C3794" s="32" t="s">
        <v>4733</v>
      </c>
      <c r="D3794" s="32" t="s">
        <v>184</v>
      </c>
      <c r="E3794" s="32" t="s">
        <v>254</v>
      </c>
      <c r="F3794" s="32" t="s">
        <v>255</v>
      </c>
      <c r="G3794" s="32" t="s">
        <v>263</v>
      </c>
    </row>
    <row r="3795" ht="16.5" customHeight="1">
      <c r="A3795" s="32">
        <v>3791.0</v>
      </c>
      <c r="C3795" s="32" t="s">
        <v>4734</v>
      </c>
      <c r="D3795" s="32" t="s">
        <v>184</v>
      </c>
      <c r="E3795" s="32" t="s">
        <v>285</v>
      </c>
      <c r="F3795" s="32" t="s">
        <v>255</v>
      </c>
      <c r="G3795" s="32" t="s">
        <v>524</v>
      </c>
      <c r="H3795" s="32" t="s">
        <v>190</v>
      </c>
    </row>
    <row r="3796" ht="16.5" customHeight="1">
      <c r="A3796" s="32">
        <v>3792.0</v>
      </c>
      <c r="C3796" s="32" t="s">
        <v>4735</v>
      </c>
      <c r="D3796" s="32" t="s">
        <v>184</v>
      </c>
      <c r="E3796" s="32" t="s">
        <v>185</v>
      </c>
      <c r="F3796" s="32" t="s">
        <v>255</v>
      </c>
      <c r="G3796" s="32" t="s">
        <v>4736</v>
      </c>
      <c r="H3796" s="32" t="s">
        <v>3229</v>
      </c>
    </row>
    <row r="3797" ht="16.5" customHeight="1">
      <c r="A3797" s="32">
        <v>3793.0</v>
      </c>
      <c r="C3797" s="32" t="s">
        <v>4737</v>
      </c>
      <c r="D3797" s="32" t="s">
        <v>184</v>
      </c>
      <c r="E3797" s="32" t="s">
        <v>254</v>
      </c>
      <c r="F3797" s="32" t="s">
        <v>255</v>
      </c>
    </row>
    <row r="3798" ht="16.5" customHeight="1">
      <c r="A3798" s="32">
        <v>3794.0</v>
      </c>
      <c r="C3798" s="32" t="s">
        <v>4738</v>
      </c>
      <c r="D3798" s="32" t="s">
        <v>184</v>
      </c>
      <c r="E3798" s="32" t="s">
        <v>254</v>
      </c>
      <c r="F3798" s="32" t="s">
        <v>255</v>
      </c>
      <c r="G3798" s="32" t="s">
        <v>263</v>
      </c>
      <c r="H3798" s="32" t="s">
        <v>289</v>
      </c>
    </row>
    <row r="3799" ht="16.5" customHeight="1">
      <c r="A3799" s="32">
        <v>3795.0</v>
      </c>
      <c r="C3799" s="32" t="s">
        <v>4739</v>
      </c>
      <c r="D3799" s="32" t="s">
        <v>184</v>
      </c>
      <c r="E3799" s="32" t="s">
        <v>254</v>
      </c>
      <c r="F3799" s="32" t="s">
        <v>255</v>
      </c>
      <c r="G3799" s="32" t="s">
        <v>257</v>
      </c>
      <c r="H3799" s="32" t="s">
        <v>256</v>
      </c>
    </row>
    <row r="3800" ht="16.5" customHeight="1">
      <c r="A3800" s="32">
        <v>3796.0</v>
      </c>
      <c r="C3800" s="32" t="s">
        <v>4739</v>
      </c>
      <c r="D3800" s="32" t="s">
        <v>184</v>
      </c>
      <c r="E3800" s="32" t="s">
        <v>254</v>
      </c>
      <c r="F3800" s="32" t="s">
        <v>255</v>
      </c>
      <c r="G3800" s="32" t="s">
        <v>257</v>
      </c>
      <c r="H3800" s="32" t="s">
        <v>256</v>
      </c>
    </row>
    <row r="3801" ht="16.5" customHeight="1">
      <c r="A3801" s="32">
        <v>3797.0</v>
      </c>
      <c r="C3801" s="32" t="s">
        <v>4740</v>
      </c>
      <c r="D3801" s="32" t="s">
        <v>184</v>
      </c>
      <c r="E3801" s="32" t="s">
        <v>254</v>
      </c>
      <c r="F3801" s="32" t="s">
        <v>255</v>
      </c>
      <c r="G3801" s="32" t="s">
        <v>260</v>
      </c>
    </row>
    <row r="3802" ht="16.5" customHeight="1">
      <c r="A3802" s="32">
        <v>3798.0</v>
      </c>
      <c r="C3802" s="32" t="s">
        <v>4741</v>
      </c>
      <c r="D3802" s="32" t="s">
        <v>184</v>
      </c>
      <c r="E3802" s="32" t="s">
        <v>254</v>
      </c>
      <c r="F3802" s="32" t="s">
        <v>255</v>
      </c>
      <c r="G3802" s="32" t="s">
        <v>260</v>
      </c>
    </row>
    <row r="3803" ht="16.5" customHeight="1">
      <c r="A3803" s="32">
        <v>3799.0</v>
      </c>
      <c r="C3803" s="32" t="s">
        <v>4742</v>
      </c>
      <c r="D3803" s="32" t="s">
        <v>184</v>
      </c>
      <c r="E3803" s="32" t="s">
        <v>219</v>
      </c>
      <c r="F3803" s="32" t="s">
        <v>255</v>
      </c>
      <c r="G3803" s="32" t="s">
        <v>216</v>
      </c>
      <c r="H3803" s="32" t="s">
        <v>217</v>
      </c>
    </row>
    <row r="3804" ht="16.5" customHeight="1">
      <c r="A3804" s="32">
        <v>3800.0</v>
      </c>
      <c r="C3804" s="32" t="s">
        <v>4743</v>
      </c>
      <c r="D3804" s="32" t="s">
        <v>184</v>
      </c>
      <c r="E3804" s="32" t="s">
        <v>219</v>
      </c>
      <c r="F3804" s="32" t="s">
        <v>255</v>
      </c>
      <c r="G3804" s="32" t="s">
        <v>241</v>
      </c>
      <c r="H3804" s="32" t="s">
        <v>292</v>
      </c>
    </row>
    <row r="3805" ht="16.5" customHeight="1">
      <c r="A3805" s="32">
        <v>3801.0</v>
      </c>
      <c r="C3805" s="32" t="s">
        <v>4744</v>
      </c>
      <c r="D3805" s="32" t="s">
        <v>184</v>
      </c>
      <c r="E3805" s="32" t="s">
        <v>192</v>
      </c>
      <c r="F3805" s="32" t="s">
        <v>255</v>
      </c>
      <c r="G3805" s="32" t="s">
        <v>329</v>
      </c>
      <c r="H3805" s="32" t="s">
        <v>3429</v>
      </c>
    </row>
    <row r="3806" ht="16.5" customHeight="1">
      <c r="A3806" s="32">
        <v>3802.0</v>
      </c>
      <c r="C3806" s="32" t="s">
        <v>4745</v>
      </c>
      <c r="D3806" s="32" t="s">
        <v>184</v>
      </c>
      <c r="E3806" s="32" t="s">
        <v>254</v>
      </c>
      <c r="F3806" s="32" t="s">
        <v>255</v>
      </c>
      <c r="G3806" s="32" t="s">
        <v>4150</v>
      </c>
      <c r="H3806" s="32" t="s">
        <v>243</v>
      </c>
    </row>
    <row r="3807" ht="16.5" customHeight="1">
      <c r="A3807" s="32">
        <v>3803.0</v>
      </c>
      <c r="C3807" s="32" t="s">
        <v>4746</v>
      </c>
      <c r="D3807" s="32" t="s">
        <v>184</v>
      </c>
      <c r="E3807" s="32" t="s">
        <v>254</v>
      </c>
      <c r="F3807" s="32" t="s">
        <v>255</v>
      </c>
    </row>
    <row r="3808" ht="16.5" customHeight="1">
      <c r="A3808" s="32">
        <v>3804.0</v>
      </c>
      <c r="C3808" s="32" t="s">
        <v>4747</v>
      </c>
      <c r="D3808" s="32" t="s">
        <v>184</v>
      </c>
      <c r="E3808" s="32" t="s">
        <v>254</v>
      </c>
      <c r="F3808" s="32" t="s">
        <v>255</v>
      </c>
      <c r="G3808" s="32" t="s">
        <v>305</v>
      </c>
      <c r="H3808" s="32" t="s">
        <v>317</v>
      </c>
    </row>
    <row r="3809" ht="16.5" customHeight="1">
      <c r="A3809" s="32">
        <v>3805.0</v>
      </c>
      <c r="C3809" s="32" t="s">
        <v>4748</v>
      </c>
      <c r="D3809" s="32" t="s">
        <v>184</v>
      </c>
      <c r="E3809" s="35" t="s">
        <v>310</v>
      </c>
      <c r="F3809" s="32" t="s">
        <v>255</v>
      </c>
      <c r="G3809" s="32" t="s">
        <v>305</v>
      </c>
      <c r="H3809" s="32" t="s">
        <v>4749</v>
      </c>
    </row>
    <row r="3810" ht="16.5" customHeight="1">
      <c r="A3810" s="32">
        <v>3806.0</v>
      </c>
      <c r="C3810" s="32" t="s">
        <v>4750</v>
      </c>
      <c r="D3810" s="32" t="s">
        <v>184</v>
      </c>
      <c r="E3810" s="32" t="s">
        <v>254</v>
      </c>
      <c r="F3810" s="32" t="s">
        <v>255</v>
      </c>
      <c r="G3810" s="32" t="s">
        <v>305</v>
      </c>
      <c r="H3810" s="32" t="s">
        <v>319</v>
      </c>
    </row>
    <row r="3811" ht="16.5" customHeight="1">
      <c r="A3811" s="32">
        <v>3807.0</v>
      </c>
      <c r="C3811" s="32" t="s">
        <v>4751</v>
      </c>
      <c r="D3811" s="32" t="s">
        <v>184</v>
      </c>
      <c r="E3811" s="32" t="s">
        <v>254</v>
      </c>
      <c r="F3811" s="32" t="s">
        <v>399</v>
      </c>
    </row>
    <row r="3812" ht="16.5" customHeight="1">
      <c r="A3812" s="32">
        <v>3808.0</v>
      </c>
      <c r="C3812" s="32" t="s">
        <v>4752</v>
      </c>
      <c r="D3812" s="32" t="s">
        <v>184</v>
      </c>
      <c r="E3812" s="32" t="s">
        <v>254</v>
      </c>
      <c r="F3812" s="32" t="s">
        <v>399</v>
      </c>
    </row>
    <row r="3813" ht="16.5" customHeight="1">
      <c r="A3813" s="32">
        <v>3809.0</v>
      </c>
      <c r="C3813" s="32" t="s">
        <v>4753</v>
      </c>
      <c r="D3813" s="32" t="s">
        <v>184</v>
      </c>
      <c r="E3813" s="32" t="s">
        <v>254</v>
      </c>
      <c r="F3813" s="32" t="s">
        <v>255</v>
      </c>
      <c r="G3813" s="32" t="s">
        <v>256</v>
      </c>
      <c r="H3813" s="32" t="s">
        <v>4754</v>
      </c>
    </row>
    <row r="3814" ht="16.5" customHeight="1">
      <c r="A3814" s="32">
        <v>3810.0</v>
      </c>
      <c r="C3814" s="32" t="s">
        <v>4755</v>
      </c>
      <c r="D3814" s="32" t="s">
        <v>184</v>
      </c>
      <c r="E3814" s="32" t="s">
        <v>254</v>
      </c>
      <c r="F3814" s="32" t="s">
        <v>255</v>
      </c>
    </row>
    <row r="3815" ht="16.5" customHeight="1">
      <c r="A3815" s="32">
        <v>3811.0</v>
      </c>
      <c r="C3815" s="32" t="s">
        <v>4756</v>
      </c>
      <c r="D3815" s="32" t="s">
        <v>184</v>
      </c>
      <c r="E3815" s="32" t="s">
        <v>185</v>
      </c>
      <c r="F3815" s="32" t="s">
        <v>255</v>
      </c>
      <c r="G3815" s="32" t="s">
        <v>271</v>
      </c>
      <c r="H3815" s="32" t="s">
        <v>563</v>
      </c>
    </row>
    <row r="3816" ht="16.5" customHeight="1">
      <c r="A3816" s="32">
        <v>3812.0</v>
      </c>
      <c r="C3816" s="32" t="s">
        <v>4757</v>
      </c>
      <c r="D3816" s="32" t="s">
        <v>184</v>
      </c>
      <c r="E3816" s="35" t="s">
        <v>310</v>
      </c>
      <c r="F3816" s="32" t="s">
        <v>255</v>
      </c>
    </row>
    <row r="3817" ht="16.5" customHeight="1">
      <c r="A3817" s="32">
        <v>3813.0</v>
      </c>
      <c r="C3817" s="32" t="s">
        <v>4758</v>
      </c>
      <c r="D3817" s="32" t="s">
        <v>184</v>
      </c>
      <c r="E3817" s="32" t="s">
        <v>254</v>
      </c>
      <c r="F3817" s="32" t="s">
        <v>255</v>
      </c>
      <c r="G3817" s="32" t="s">
        <v>305</v>
      </c>
      <c r="H3817" s="32" t="s">
        <v>2482</v>
      </c>
    </row>
    <row r="3818" ht="16.5" customHeight="1">
      <c r="A3818" s="32">
        <v>3814.0</v>
      </c>
      <c r="C3818" s="32" t="s">
        <v>4759</v>
      </c>
      <c r="D3818" s="32" t="s">
        <v>184</v>
      </c>
      <c r="E3818" s="32" t="s">
        <v>185</v>
      </c>
      <c r="F3818" s="32" t="s">
        <v>255</v>
      </c>
    </row>
    <row r="3819" ht="16.5" customHeight="1">
      <c r="A3819" s="32">
        <v>3815.0</v>
      </c>
      <c r="C3819" s="32" t="s">
        <v>4760</v>
      </c>
      <c r="D3819" s="32" t="s">
        <v>184</v>
      </c>
      <c r="E3819" s="32" t="s">
        <v>254</v>
      </c>
      <c r="F3819" s="32" t="s">
        <v>255</v>
      </c>
      <c r="G3819" s="32" t="s">
        <v>305</v>
      </c>
      <c r="H3819" s="32" t="s">
        <v>600</v>
      </c>
    </row>
    <row r="3820" ht="16.5" customHeight="1">
      <c r="A3820" s="32">
        <v>3816.0</v>
      </c>
      <c r="C3820" s="32" t="s">
        <v>4761</v>
      </c>
      <c r="D3820" s="32" t="s">
        <v>184</v>
      </c>
      <c r="E3820" s="32" t="s">
        <v>285</v>
      </c>
      <c r="F3820" s="32" t="s">
        <v>255</v>
      </c>
      <c r="G3820" s="32" t="s">
        <v>189</v>
      </c>
      <c r="H3820" s="32" t="s">
        <v>190</v>
      </c>
    </row>
    <row r="3821" ht="16.5" customHeight="1">
      <c r="A3821" s="32">
        <v>3817.0</v>
      </c>
      <c r="C3821" s="32" t="s">
        <v>4762</v>
      </c>
      <c r="D3821" s="32" t="s">
        <v>184</v>
      </c>
      <c r="E3821" s="32" t="s">
        <v>185</v>
      </c>
      <c r="F3821" s="32" t="s">
        <v>255</v>
      </c>
    </row>
    <row r="3822" ht="16.5" customHeight="1">
      <c r="A3822" s="32">
        <v>3818.0</v>
      </c>
      <c r="C3822" s="32" t="s">
        <v>4763</v>
      </c>
      <c r="D3822" s="32" t="s">
        <v>184</v>
      </c>
      <c r="E3822" s="32" t="s">
        <v>219</v>
      </c>
      <c r="F3822" s="32" t="s">
        <v>255</v>
      </c>
      <c r="G3822" s="32" t="s">
        <v>223</v>
      </c>
    </row>
    <row r="3823" ht="16.5" customHeight="1">
      <c r="A3823" s="32">
        <v>3819.0</v>
      </c>
      <c r="C3823" s="32" t="s">
        <v>4764</v>
      </c>
      <c r="D3823" s="32" t="s">
        <v>184</v>
      </c>
      <c r="E3823" s="32" t="s">
        <v>219</v>
      </c>
      <c r="F3823" s="32" t="s">
        <v>396</v>
      </c>
      <c r="G3823" s="32" t="s">
        <v>223</v>
      </c>
      <c r="H3823" s="32" t="s">
        <v>394</v>
      </c>
    </row>
    <row r="3824" ht="16.5" customHeight="1">
      <c r="A3824" s="32">
        <v>3820.0</v>
      </c>
      <c r="C3824" s="32" t="s">
        <v>4765</v>
      </c>
      <c r="D3824" s="32" t="s">
        <v>184</v>
      </c>
      <c r="E3824" s="32" t="s">
        <v>254</v>
      </c>
      <c r="F3824" s="32" t="s">
        <v>396</v>
      </c>
      <c r="G3824" s="32" t="s">
        <v>305</v>
      </c>
    </row>
    <row r="3825" ht="16.5" customHeight="1">
      <c r="A3825" s="32">
        <v>3821.0</v>
      </c>
      <c r="C3825" s="32" t="s">
        <v>4766</v>
      </c>
      <c r="D3825" s="32" t="s">
        <v>184</v>
      </c>
      <c r="E3825" s="32" t="s">
        <v>185</v>
      </c>
      <c r="F3825" s="32" t="s">
        <v>396</v>
      </c>
    </row>
    <row r="3826" ht="16.5" customHeight="1">
      <c r="A3826" s="32">
        <v>3822.0</v>
      </c>
      <c r="C3826" s="32" t="s">
        <v>4767</v>
      </c>
      <c r="D3826" s="32" t="s">
        <v>184</v>
      </c>
      <c r="E3826" s="32" t="s">
        <v>192</v>
      </c>
      <c r="F3826" s="32" t="s">
        <v>396</v>
      </c>
      <c r="G3826" s="32" t="s">
        <v>329</v>
      </c>
      <c r="H3826" s="32" t="s">
        <v>447</v>
      </c>
    </row>
    <row r="3827" ht="16.5" customHeight="1">
      <c r="A3827" s="32">
        <v>3823.0</v>
      </c>
      <c r="C3827" s="32" t="s">
        <v>4768</v>
      </c>
      <c r="D3827" s="32" t="s">
        <v>184</v>
      </c>
      <c r="E3827" s="32" t="s">
        <v>192</v>
      </c>
      <c r="F3827" s="32" t="s">
        <v>396</v>
      </c>
      <c r="G3827" s="32" t="s">
        <v>300</v>
      </c>
      <c r="H3827" s="32" t="s">
        <v>1357</v>
      </c>
    </row>
    <row r="3828" ht="16.5" customHeight="1">
      <c r="A3828" s="32">
        <v>3824.0</v>
      </c>
      <c r="C3828" s="32" t="s">
        <v>4769</v>
      </c>
      <c r="D3828" s="32" t="s">
        <v>184</v>
      </c>
      <c r="E3828" s="35" t="s">
        <v>294</v>
      </c>
      <c r="F3828" s="32" t="s">
        <v>396</v>
      </c>
      <c r="G3828" s="32" t="s">
        <v>4770</v>
      </c>
      <c r="H3828" s="32" t="s">
        <v>4771</v>
      </c>
    </row>
    <row r="3829" ht="16.5" customHeight="1">
      <c r="A3829" s="32">
        <v>3825.0</v>
      </c>
      <c r="C3829" s="32" t="s">
        <v>4772</v>
      </c>
      <c r="D3829" s="32" t="s">
        <v>184</v>
      </c>
      <c r="E3829" s="32" t="s">
        <v>285</v>
      </c>
      <c r="F3829" s="32" t="s">
        <v>396</v>
      </c>
    </row>
    <row r="3830" ht="16.5" customHeight="1">
      <c r="A3830" s="32">
        <v>3826.0</v>
      </c>
      <c r="C3830" s="32" t="s">
        <v>4773</v>
      </c>
      <c r="D3830" s="32" t="s">
        <v>184</v>
      </c>
      <c r="E3830" s="32" t="s">
        <v>285</v>
      </c>
      <c r="F3830" s="32" t="s">
        <v>396</v>
      </c>
      <c r="G3830" s="32" t="s">
        <v>189</v>
      </c>
      <c r="H3830" s="32" t="s">
        <v>190</v>
      </c>
    </row>
    <row r="3831" ht="16.5" customHeight="1">
      <c r="A3831" s="32">
        <v>3827.0</v>
      </c>
      <c r="C3831" s="32" t="s">
        <v>4774</v>
      </c>
      <c r="D3831" s="32" t="s">
        <v>184</v>
      </c>
      <c r="E3831" s="32" t="s">
        <v>254</v>
      </c>
      <c r="F3831" s="32" t="s">
        <v>396</v>
      </c>
      <c r="G3831" s="32" t="s">
        <v>256</v>
      </c>
      <c r="H3831" s="32" t="s">
        <v>257</v>
      </c>
    </row>
    <row r="3832" ht="16.5" customHeight="1">
      <c r="A3832" s="32">
        <v>3828.0</v>
      </c>
      <c r="C3832" s="32" t="s">
        <v>4775</v>
      </c>
      <c r="D3832" s="32" t="s">
        <v>184</v>
      </c>
      <c r="E3832" s="32" t="s">
        <v>254</v>
      </c>
      <c r="F3832" s="32" t="s">
        <v>399</v>
      </c>
      <c r="G3832" s="32" t="s">
        <v>256</v>
      </c>
      <c r="H3832" s="32" t="s">
        <v>257</v>
      </c>
    </row>
    <row r="3833" ht="16.5" customHeight="1">
      <c r="A3833" s="32">
        <v>3829.0</v>
      </c>
      <c r="C3833" s="32" t="s">
        <v>4776</v>
      </c>
      <c r="D3833" s="32" t="s">
        <v>184</v>
      </c>
      <c r="E3833" s="32" t="s">
        <v>254</v>
      </c>
      <c r="F3833" s="32" t="s">
        <v>396</v>
      </c>
    </row>
    <row r="3834" ht="16.5" customHeight="1">
      <c r="A3834" s="32">
        <v>3830.0</v>
      </c>
      <c r="C3834" s="32" t="s">
        <v>4777</v>
      </c>
      <c r="D3834" s="32" t="s">
        <v>184</v>
      </c>
      <c r="E3834" s="32" t="s">
        <v>254</v>
      </c>
      <c r="F3834" s="32" t="s">
        <v>396</v>
      </c>
      <c r="G3834" s="32" t="s">
        <v>256</v>
      </c>
      <c r="H3834" s="32" t="s">
        <v>257</v>
      </c>
    </row>
    <row r="3835" ht="16.5" customHeight="1">
      <c r="A3835" s="32">
        <v>3831.0</v>
      </c>
      <c r="C3835" s="32" t="s">
        <v>4778</v>
      </c>
      <c r="D3835" s="32" t="s">
        <v>184</v>
      </c>
      <c r="E3835" s="32" t="s">
        <v>254</v>
      </c>
      <c r="F3835" s="32" t="s">
        <v>396</v>
      </c>
    </row>
    <row r="3836" ht="16.5" customHeight="1">
      <c r="A3836" s="32">
        <v>3832.0</v>
      </c>
      <c r="C3836" s="32" t="s">
        <v>4779</v>
      </c>
      <c r="D3836" s="32" t="s">
        <v>184</v>
      </c>
      <c r="E3836" s="35" t="s">
        <v>740</v>
      </c>
      <c r="F3836" s="32" t="s">
        <v>396</v>
      </c>
      <c r="G3836" s="32" t="s">
        <v>3766</v>
      </c>
      <c r="H3836" s="32" t="s">
        <v>4780</v>
      </c>
    </row>
    <row r="3837" ht="16.5" customHeight="1">
      <c r="A3837" s="32">
        <v>3833.0</v>
      </c>
      <c r="C3837" s="32" t="s">
        <v>4781</v>
      </c>
      <c r="D3837" s="32" t="s">
        <v>184</v>
      </c>
      <c r="E3837" s="32" t="s">
        <v>325</v>
      </c>
      <c r="F3837" s="32" t="s">
        <v>396</v>
      </c>
      <c r="G3837" s="32" t="s">
        <v>368</v>
      </c>
      <c r="H3837" s="32" t="s">
        <v>463</v>
      </c>
    </row>
    <row r="3838" ht="16.5" customHeight="1">
      <c r="A3838" s="32">
        <v>3834.0</v>
      </c>
      <c r="C3838" s="32" t="s">
        <v>4782</v>
      </c>
      <c r="D3838" s="32" t="s">
        <v>184</v>
      </c>
      <c r="E3838" s="32" t="s">
        <v>234</v>
      </c>
      <c r="F3838" s="32" t="s">
        <v>396</v>
      </c>
      <c r="G3838" s="32" t="s">
        <v>347</v>
      </c>
      <c r="H3838" s="32" t="s">
        <v>3020</v>
      </c>
    </row>
    <row r="3839" ht="16.5" customHeight="1">
      <c r="A3839" s="32">
        <v>3835.0</v>
      </c>
      <c r="C3839" s="32" t="s">
        <v>4783</v>
      </c>
      <c r="D3839" s="32" t="s">
        <v>184</v>
      </c>
      <c r="E3839" s="32" t="s">
        <v>285</v>
      </c>
      <c r="F3839" s="32" t="s">
        <v>396</v>
      </c>
    </row>
    <row r="3840" ht="16.5" customHeight="1">
      <c r="A3840" s="32">
        <v>3836.0</v>
      </c>
      <c r="C3840" s="32" t="s">
        <v>4784</v>
      </c>
      <c r="D3840" s="32" t="s">
        <v>184</v>
      </c>
      <c r="E3840" s="32" t="s">
        <v>254</v>
      </c>
      <c r="F3840" s="32" t="s">
        <v>396</v>
      </c>
      <c r="G3840" s="32" t="s">
        <v>256</v>
      </c>
      <c r="H3840" s="32" t="s">
        <v>257</v>
      </c>
    </row>
    <row r="3841" ht="16.5" customHeight="1">
      <c r="A3841" s="32">
        <v>3837.0</v>
      </c>
      <c r="C3841" s="32" t="s">
        <v>4785</v>
      </c>
      <c r="D3841" s="32" t="s">
        <v>184</v>
      </c>
      <c r="E3841" s="32" t="s">
        <v>254</v>
      </c>
      <c r="F3841" s="32" t="s">
        <v>396</v>
      </c>
      <c r="G3841" s="32" t="s">
        <v>257</v>
      </c>
      <c r="H3841" s="32" t="s">
        <v>256</v>
      </c>
    </row>
    <row r="3842" ht="16.5" customHeight="1">
      <c r="A3842" s="32">
        <v>3838.0</v>
      </c>
      <c r="C3842" s="32" t="s">
        <v>4786</v>
      </c>
      <c r="D3842" s="32" t="s">
        <v>184</v>
      </c>
      <c r="E3842" s="32" t="s">
        <v>185</v>
      </c>
      <c r="F3842" s="32" t="s">
        <v>396</v>
      </c>
      <c r="G3842" s="32" t="s">
        <v>1240</v>
      </c>
      <c r="H3842" s="32" t="s">
        <v>1241</v>
      </c>
    </row>
    <row r="3843" ht="16.5" customHeight="1">
      <c r="A3843" s="32">
        <v>3839.0</v>
      </c>
      <c r="C3843" s="32" t="s">
        <v>4787</v>
      </c>
      <c r="D3843" s="32" t="s">
        <v>184</v>
      </c>
      <c r="E3843" s="32" t="s">
        <v>228</v>
      </c>
      <c r="F3843" s="32" t="s">
        <v>396</v>
      </c>
      <c r="G3843" s="32" t="s">
        <v>229</v>
      </c>
      <c r="H3843" s="32" t="s">
        <v>244</v>
      </c>
    </row>
    <row r="3844" ht="16.5" customHeight="1">
      <c r="A3844" s="32">
        <v>3840.0</v>
      </c>
      <c r="C3844" s="32" t="s">
        <v>4788</v>
      </c>
      <c r="D3844" s="32" t="s">
        <v>184</v>
      </c>
      <c r="E3844" s="32" t="s">
        <v>228</v>
      </c>
      <c r="F3844" s="32" t="s">
        <v>396</v>
      </c>
    </row>
    <row r="3845" ht="16.5" customHeight="1">
      <c r="A3845" s="32">
        <v>3841.0</v>
      </c>
      <c r="C3845" s="32" t="s">
        <v>4789</v>
      </c>
      <c r="D3845" s="32" t="s">
        <v>184</v>
      </c>
      <c r="E3845" s="32" t="s">
        <v>285</v>
      </c>
      <c r="F3845" s="32" t="s">
        <v>396</v>
      </c>
      <c r="G3845" s="32" t="s">
        <v>793</v>
      </c>
      <c r="H3845" s="32" t="s">
        <v>1130</v>
      </c>
    </row>
    <row r="3846" ht="16.5" customHeight="1">
      <c r="A3846" s="32">
        <v>3842.0</v>
      </c>
      <c r="C3846" s="32" t="s">
        <v>4790</v>
      </c>
      <c r="D3846" s="32" t="s">
        <v>184</v>
      </c>
      <c r="E3846" s="32" t="s">
        <v>192</v>
      </c>
      <c r="F3846" s="32" t="s">
        <v>396</v>
      </c>
      <c r="G3846" s="32" t="s">
        <v>300</v>
      </c>
      <c r="H3846" s="32" t="s">
        <v>1357</v>
      </c>
    </row>
    <row r="3847" ht="16.5" customHeight="1">
      <c r="A3847" s="32">
        <v>3843.0</v>
      </c>
      <c r="C3847" s="32" t="s">
        <v>4791</v>
      </c>
      <c r="D3847" s="32" t="s">
        <v>184</v>
      </c>
      <c r="E3847" s="32" t="s">
        <v>192</v>
      </c>
      <c r="F3847" s="32" t="s">
        <v>396</v>
      </c>
    </row>
    <row r="3848" ht="16.5" customHeight="1">
      <c r="A3848" s="32">
        <v>3844.0</v>
      </c>
      <c r="C3848" s="32" t="s">
        <v>4792</v>
      </c>
      <c r="D3848" s="32" t="s">
        <v>184</v>
      </c>
      <c r="E3848" s="32" t="s">
        <v>254</v>
      </c>
      <c r="F3848" s="32" t="s">
        <v>396</v>
      </c>
      <c r="G3848" s="32" t="s">
        <v>256</v>
      </c>
      <c r="H3848" s="32" t="s">
        <v>1308</v>
      </c>
    </row>
    <row r="3849" ht="16.5" customHeight="1">
      <c r="A3849" s="32">
        <v>3845.0</v>
      </c>
      <c r="C3849" s="32" t="s">
        <v>4793</v>
      </c>
      <c r="D3849" s="32" t="s">
        <v>184</v>
      </c>
      <c r="E3849" s="32" t="s">
        <v>185</v>
      </c>
      <c r="F3849" s="32" t="s">
        <v>396</v>
      </c>
    </row>
    <row r="3850" ht="16.5" customHeight="1">
      <c r="A3850" s="32">
        <v>3846.0</v>
      </c>
      <c r="C3850" s="32" t="s">
        <v>4794</v>
      </c>
      <c r="D3850" s="32" t="s">
        <v>184</v>
      </c>
      <c r="E3850" s="32" t="s">
        <v>185</v>
      </c>
      <c r="F3850" s="32" t="s">
        <v>396</v>
      </c>
      <c r="G3850" s="32" t="s">
        <v>275</v>
      </c>
      <c r="H3850" s="32" t="s">
        <v>2412</v>
      </c>
    </row>
    <row r="3851" ht="16.5" customHeight="1">
      <c r="A3851" s="32">
        <v>3847.0</v>
      </c>
      <c r="C3851" s="32" t="s">
        <v>4795</v>
      </c>
      <c r="D3851" s="32" t="s">
        <v>184</v>
      </c>
      <c r="E3851" s="32" t="s">
        <v>254</v>
      </c>
      <c r="F3851" s="32" t="s">
        <v>396</v>
      </c>
      <c r="G3851" s="32" t="s">
        <v>275</v>
      </c>
    </row>
    <row r="3852" ht="16.5" customHeight="1">
      <c r="A3852" s="32">
        <v>3848.0</v>
      </c>
      <c r="C3852" s="32" t="s">
        <v>4796</v>
      </c>
      <c r="D3852" s="32" t="s">
        <v>184</v>
      </c>
      <c r="E3852" s="32" t="s">
        <v>219</v>
      </c>
      <c r="F3852" s="32" t="s">
        <v>396</v>
      </c>
      <c r="G3852" s="32" t="s">
        <v>415</v>
      </c>
      <c r="H3852" s="32" t="s">
        <v>243</v>
      </c>
    </row>
    <row r="3853" ht="16.5" customHeight="1">
      <c r="A3853" s="32">
        <v>3849.0</v>
      </c>
      <c r="C3853" s="32" t="s">
        <v>4797</v>
      </c>
      <c r="D3853" s="32" t="s">
        <v>184</v>
      </c>
      <c r="E3853" s="32" t="s">
        <v>192</v>
      </c>
      <c r="F3853" s="32" t="s">
        <v>396</v>
      </c>
      <c r="G3853" s="32" t="s">
        <v>329</v>
      </c>
      <c r="H3853" s="32" t="s">
        <v>1907</v>
      </c>
    </row>
    <row r="3854" ht="16.5" customHeight="1">
      <c r="A3854" s="32">
        <v>3850.0</v>
      </c>
      <c r="C3854" s="32" t="s">
        <v>4798</v>
      </c>
      <c r="D3854" s="32" t="s">
        <v>184</v>
      </c>
      <c r="E3854" s="35" t="s">
        <v>1129</v>
      </c>
      <c r="F3854" s="32" t="s">
        <v>396</v>
      </c>
      <c r="G3854" s="32" t="s">
        <v>4799</v>
      </c>
      <c r="H3854" s="32" t="s">
        <v>4800</v>
      </c>
    </row>
    <row r="3855" ht="16.5" customHeight="1">
      <c r="A3855" s="32">
        <v>3851.0</v>
      </c>
      <c r="C3855" s="32" t="s">
        <v>4801</v>
      </c>
      <c r="D3855" s="32" t="s">
        <v>184</v>
      </c>
      <c r="E3855" s="32" t="s">
        <v>254</v>
      </c>
      <c r="F3855" s="32" t="s">
        <v>399</v>
      </c>
      <c r="G3855" s="32" t="s">
        <v>256</v>
      </c>
      <c r="H3855" s="32" t="s">
        <v>1308</v>
      </c>
    </row>
    <row r="3856" ht="16.5" customHeight="1">
      <c r="A3856" s="32">
        <v>3852.0</v>
      </c>
      <c r="C3856" s="32" t="s">
        <v>4802</v>
      </c>
      <c r="D3856" s="32" t="s">
        <v>184</v>
      </c>
      <c r="E3856" s="35" t="s">
        <v>1129</v>
      </c>
      <c r="F3856" s="32" t="s">
        <v>396</v>
      </c>
      <c r="G3856" s="32" t="s">
        <v>793</v>
      </c>
      <c r="H3856" s="32" t="s">
        <v>2392</v>
      </c>
    </row>
    <row r="3857" ht="16.5" customHeight="1">
      <c r="A3857" s="32">
        <v>3853.0</v>
      </c>
      <c r="C3857" s="32" t="s">
        <v>4803</v>
      </c>
      <c r="D3857" s="32" t="s">
        <v>184</v>
      </c>
      <c r="E3857" s="32" t="s">
        <v>185</v>
      </c>
      <c r="F3857" s="32" t="s">
        <v>396</v>
      </c>
      <c r="G3857" s="32" t="s">
        <v>475</v>
      </c>
    </row>
    <row r="3858" ht="16.5" customHeight="1">
      <c r="A3858" s="32">
        <v>3854.0</v>
      </c>
      <c r="C3858" s="32" t="s">
        <v>4804</v>
      </c>
      <c r="D3858" s="32" t="s">
        <v>184</v>
      </c>
      <c r="E3858" s="32" t="s">
        <v>351</v>
      </c>
      <c r="F3858" s="32" t="s">
        <v>396</v>
      </c>
      <c r="G3858" s="32" t="s">
        <v>3457</v>
      </c>
      <c r="H3858" s="32" t="s">
        <v>3458</v>
      </c>
    </row>
    <row r="3859" ht="16.5" customHeight="1">
      <c r="A3859" s="32">
        <v>3855.0</v>
      </c>
      <c r="C3859" s="32" t="s">
        <v>4805</v>
      </c>
      <c r="D3859" s="32" t="s">
        <v>184</v>
      </c>
      <c r="E3859" s="32" t="s">
        <v>351</v>
      </c>
      <c r="F3859" s="32" t="s">
        <v>396</v>
      </c>
    </row>
    <row r="3860" ht="16.5" customHeight="1">
      <c r="A3860" s="32">
        <v>3856.0</v>
      </c>
      <c r="C3860" s="32" t="s">
        <v>4806</v>
      </c>
      <c r="D3860" s="32" t="s">
        <v>184</v>
      </c>
      <c r="E3860" s="32" t="s">
        <v>351</v>
      </c>
      <c r="F3860" s="32" t="s">
        <v>396</v>
      </c>
      <c r="G3860" s="32" t="s">
        <v>3717</v>
      </c>
      <c r="H3860" s="32" t="s">
        <v>4807</v>
      </c>
    </row>
    <row r="3861" ht="16.5" customHeight="1">
      <c r="A3861" s="32">
        <v>3857.0</v>
      </c>
      <c r="C3861" s="32" t="s">
        <v>4808</v>
      </c>
      <c r="D3861" s="32" t="s">
        <v>184</v>
      </c>
      <c r="E3861" s="32" t="s">
        <v>351</v>
      </c>
      <c r="F3861" s="32" t="s">
        <v>396</v>
      </c>
    </row>
    <row r="3862" ht="16.5" customHeight="1">
      <c r="A3862" s="32">
        <v>3858.0</v>
      </c>
      <c r="C3862" s="32" t="s">
        <v>4809</v>
      </c>
      <c r="D3862" s="32" t="s">
        <v>184</v>
      </c>
      <c r="E3862" s="32" t="s">
        <v>351</v>
      </c>
      <c r="F3862" s="32" t="s">
        <v>396</v>
      </c>
    </row>
    <row r="3863" ht="16.5" customHeight="1">
      <c r="A3863" s="32">
        <v>3859.0</v>
      </c>
      <c r="C3863" s="32" t="s">
        <v>4810</v>
      </c>
      <c r="D3863" s="32" t="s">
        <v>184</v>
      </c>
      <c r="E3863" s="32" t="s">
        <v>351</v>
      </c>
      <c r="F3863" s="32" t="s">
        <v>396</v>
      </c>
    </row>
    <row r="3864" ht="16.5" customHeight="1">
      <c r="A3864" s="32">
        <v>3860.0</v>
      </c>
      <c r="C3864" s="32" t="s">
        <v>4811</v>
      </c>
      <c r="D3864" s="32" t="s">
        <v>184</v>
      </c>
      <c r="E3864" s="32" t="s">
        <v>351</v>
      </c>
      <c r="F3864" s="32" t="s">
        <v>396</v>
      </c>
      <c r="G3864" s="32" t="s">
        <v>3717</v>
      </c>
      <c r="H3864" s="32" t="s">
        <v>4812</v>
      </c>
    </row>
    <row r="3865" ht="16.5" customHeight="1">
      <c r="A3865" s="32">
        <v>3861.0</v>
      </c>
      <c r="C3865" s="32" t="s">
        <v>4813</v>
      </c>
      <c r="D3865" s="32" t="s">
        <v>184</v>
      </c>
      <c r="E3865" s="32" t="s">
        <v>351</v>
      </c>
      <c r="F3865" s="32" t="s">
        <v>396</v>
      </c>
    </row>
    <row r="3866" ht="16.5" customHeight="1">
      <c r="A3866" s="32">
        <v>3862.0</v>
      </c>
      <c r="C3866" s="32" t="s">
        <v>4814</v>
      </c>
      <c r="D3866" s="32" t="s">
        <v>184</v>
      </c>
      <c r="E3866" s="32" t="s">
        <v>254</v>
      </c>
      <c r="F3866" s="32" t="s">
        <v>399</v>
      </c>
      <c r="G3866" s="32" t="s">
        <v>257</v>
      </c>
    </row>
    <row r="3867" ht="16.5" customHeight="1">
      <c r="A3867" s="32">
        <v>3863.0</v>
      </c>
      <c r="C3867" s="32" t="s">
        <v>4815</v>
      </c>
      <c r="D3867" s="32" t="s">
        <v>184</v>
      </c>
      <c r="E3867" s="32" t="s">
        <v>192</v>
      </c>
      <c r="F3867" s="32" t="s">
        <v>396</v>
      </c>
    </row>
    <row r="3868" ht="16.5" customHeight="1">
      <c r="A3868" s="32">
        <v>3864.0</v>
      </c>
      <c r="C3868" s="32" t="s">
        <v>4816</v>
      </c>
      <c r="D3868" s="32" t="s">
        <v>184</v>
      </c>
      <c r="E3868" s="35" t="s">
        <v>361</v>
      </c>
      <c r="F3868" s="32" t="s">
        <v>396</v>
      </c>
    </row>
    <row r="3869" ht="16.5" customHeight="1">
      <c r="A3869" s="32">
        <v>3865.0</v>
      </c>
      <c r="C3869" s="32" t="s">
        <v>4817</v>
      </c>
      <c r="D3869" s="32" t="s">
        <v>184</v>
      </c>
      <c r="E3869" s="32" t="s">
        <v>192</v>
      </c>
      <c r="F3869" s="32" t="s">
        <v>396</v>
      </c>
      <c r="G3869" s="32" t="s">
        <v>300</v>
      </c>
      <c r="H3869" s="32" t="s">
        <v>387</v>
      </c>
    </row>
    <row r="3870" ht="16.5" customHeight="1">
      <c r="A3870" s="32">
        <v>3866.0</v>
      </c>
      <c r="C3870" s="32" t="s">
        <v>4818</v>
      </c>
      <c r="D3870" s="32" t="s">
        <v>184</v>
      </c>
      <c r="E3870" s="32" t="s">
        <v>185</v>
      </c>
      <c r="F3870" s="32" t="s">
        <v>396</v>
      </c>
      <c r="G3870" s="32" t="s">
        <v>187</v>
      </c>
      <c r="H3870" s="32" t="s">
        <v>854</v>
      </c>
    </row>
    <row r="3871" ht="16.5" customHeight="1">
      <c r="A3871" s="32">
        <v>3867.0</v>
      </c>
      <c r="C3871" s="32" t="s">
        <v>4819</v>
      </c>
      <c r="D3871" s="32" t="s">
        <v>184</v>
      </c>
      <c r="E3871" s="32" t="s">
        <v>254</v>
      </c>
      <c r="F3871" s="32" t="s">
        <v>396</v>
      </c>
      <c r="G3871" s="32" t="s">
        <v>256</v>
      </c>
      <c r="H3871" s="32" t="s">
        <v>257</v>
      </c>
    </row>
    <row r="3872" ht="16.5" customHeight="1">
      <c r="A3872" s="32">
        <v>3868.0</v>
      </c>
      <c r="C3872" s="32" t="s">
        <v>4820</v>
      </c>
      <c r="D3872" s="32" t="s">
        <v>184</v>
      </c>
      <c r="E3872" s="32" t="s">
        <v>285</v>
      </c>
      <c r="F3872" s="32" t="s">
        <v>396</v>
      </c>
    </row>
    <row r="3873" ht="16.5" customHeight="1">
      <c r="A3873" s="32">
        <v>3869.0</v>
      </c>
      <c r="C3873" s="32" t="s">
        <v>4821</v>
      </c>
      <c r="D3873" s="32" t="s">
        <v>184</v>
      </c>
      <c r="E3873" s="32" t="s">
        <v>192</v>
      </c>
      <c r="F3873" s="32" t="s">
        <v>396</v>
      </c>
      <c r="G3873" s="32" t="s">
        <v>570</v>
      </c>
      <c r="H3873" s="32" t="s">
        <v>447</v>
      </c>
    </row>
    <row r="3874" ht="16.5" customHeight="1">
      <c r="A3874" s="32">
        <v>3870.0</v>
      </c>
      <c r="C3874" s="32" t="s">
        <v>4822</v>
      </c>
      <c r="D3874" s="32" t="s">
        <v>184</v>
      </c>
      <c r="E3874" s="32" t="s">
        <v>285</v>
      </c>
      <c r="F3874" s="32" t="s">
        <v>396</v>
      </c>
      <c r="G3874" s="32" t="s">
        <v>1332</v>
      </c>
      <c r="H3874" s="32" t="s">
        <v>314</v>
      </c>
    </row>
    <row r="3875" ht="16.5" customHeight="1">
      <c r="A3875" s="32">
        <v>3871.0</v>
      </c>
      <c r="C3875" s="32" t="s">
        <v>4823</v>
      </c>
      <c r="D3875" s="32" t="s">
        <v>184</v>
      </c>
      <c r="E3875" s="32" t="s">
        <v>228</v>
      </c>
      <c r="F3875" s="32" t="s">
        <v>396</v>
      </c>
    </row>
    <row r="3876" ht="16.5" customHeight="1">
      <c r="A3876" s="32">
        <v>3872.0</v>
      </c>
      <c r="C3876" s="32" t="s">
        <v>4824</v>
      </c>
      <c r="D3876" s="32" t="s">
        <v>184</v>
      </c>
      <c r="E3876" s="32" t="s">
        <v>192</v>
      </c>
      <c r="F3876" s="32" t="s">
        <v>396</v>
      </c>
      <c r="G3876" s="32" t="s">
        <v>300</v>
      </c>
      <c r="H3876" s="32" t="s">
        <v>4825</v>
      </c>
    </row>
    <row r="3877" ht="16.5" customHeight="1">
      <c r="A3877" s="32">
        <v>3873.0</v>
      </c>
      <c r="C3877" s="32" t="s">
        <v>4826</v>
      </c>
      <c r="D3877" s="32" t="s">
        <v>184</v>
      </c>
      <c r="E3877" s="32" t="s">
        <v>192</v>
      </c>
      <c r="F3877" s="32" t="s">
        <v>396</v>
      </c>
      <c r="G3877" s="32" t="s">
        <v>300</v>
      </c>
      <c r="H3877" s="32" t="s">
        <v>687</v>
      </c>
    </row>
    <row r="3878" ht="16.5" customHeight="1">
      <c r="A3878" s="32">
        <v>3874.0</v>
      </c>
      <c r="C3878" s="32" t="s">
        <v>4827</v>
      </c>
      <c r="D3878" s="32" t="s">
        <v>184</v>
      </c>
      <c r="E3878" s="32" t="s">
        <v>234</v>
      </c>
      <c r="F3878" s="32" t="s">
        <v>396</v>
      </c>
      <c r="G3878" s="32" t="s">
        <v>235</v>
      </c>
      <c r="H3878" s="32" t="s">
        <v>243</v>
      </c>
    </row>
    <row r="3879" ht="16.5" customHeight="1">
      <c r="A3879" s="32">
        <v>3875.0</v>
      </c>
      <c r="C3879" s="32" t="s">
        <v>4828</v>
      </c>
      <c r="D3879" s="32" t="s">
        <v>184</v>
      </c>
      <c r="E3879" s="32" t="s">
        <v>285</v>
      </c>
      <c r="F3879" s="32" t="s">
        <v>399</v>
      </c>
      <c r="G3879" s="32" t="s">
        <v>2412</v>
      </c>
      <c r="H3879" s="32" t="s">
        <v>4829</v>
      </c>
    </row>
    <row r="3880" ht="16.5" customHeight="1">
      <c r="A3880" s="32">
        <v>3876.0</v>
      </c>
      <c r="C3880" s="32" t="s">
        <v>4830</v>
      </c>
      <c r="D3880" s="32" t="s">
        <v>184</v>
      </c>
      <c r="E3880" s="32" t="s">
        <v>228</v>
      </c>
      <c r="F3880" s="32" t="s">
        <v>396</v>
      </c>
      <c r="G3880" s="32" t="s">
        <v>229</v>
      </c>
      <c r="H3880" s="32" t="s">
        <v>244</v>
      </c>
    </row>
    <row r="3881" ht="16.5" customHeight="1">
      <c r="A3881" s="32">
        <v>3877.0</v>
      </c>
      <c r="C3881" s="32" t="s">
        <v>4831</v>
      </c>
      <c r="D3881" s="32" t="s">
        <v>184</v>
      </c>
      <c r="E3881" s="32" t="s">
        <v>254</v>
      </c>
      <c r="F3881" s="32" t="s">
        <v>396</v>
      </c>
      <c r="G3881" s="32" t="s">
        <v>257</v>
      </c>
    </row>
    <row r="3882" ht="16.5" customHeight="1">
      <c r="A3882" s="32">
        <v>3878.0</v>
      </c>
      <c r="C3882" s="32" t="s">
        <v>4832</v>
      </c>
      <c r="D3882" s="32" t="s">
        <v>184</v>
      </c>
      <c r="E3882" s="32" t="s">
        <v>254</v>
      </c>
      <c r="F3882" s="32" t="s">
        <v>396</v>
      </c>
    </row>
    <row r="3883" ht="16.5" customHeight="1">
      <c r="A3883" s="32">
        <v>3879.0</v>
      </c>
      <c r="C3883" s="32" t="s">
        <v>4833</v>
      </c>
      <c r="D3883" s="32" t="s">
        <v>184</v>
      </c>
      <c r="E3883" s="32" t="s">
        <v>254</v>
      </c>
      <c r="F3883" s="32" t="s">
        <v>396</v>
      </c>
      <c r="G3883" s="32" t="s">
        <v>257</v>
      </c>
      <c r="H3883" s="32" t="s">
        <v>2640</v>
      </c>
    </row>
    <row r="3884" ht="16.5" customHeight="1">
      <c r="A3884" s="32">
        <v>3880.0</v>
      </c>
      <c r="C3884" s="32" t="s">
        <v>4834</v>
      </c>
      <c r="D3884" s="32" t="s">
        <v>184</v>
      </c>
      <c r="E3884" s="32" t="s">
        <v>254</v>
      </c>
      <c r="F3884" s="32" t="s">
        <v>396</v>
      </c>
      <c r="G3884" s="32" t="s">
        <v>257</v>
      </c>
      <c r="H3884" s="32" t="s">
        <v>305</v>
      </c>
    </row>
    <row r="3885" ht="16.5" customHeight="1">
      <c r="A3885" s="32">
        <v>3881.0</v>
      </c>
      <c r="C3885" s="32" t="s">
        <v>4835</v>
      </c>
      <c r="D3885" s="32" t="s">
        <v>184</v>
      </c>
      <c r="E3885" s="32" t="s">
        <v>219</v>
      </c>
      <c r="F3885" s="32" t="s">
        <v>373</v>
      </c>
      <c r="G3885" s="32" t="s">
        <v>232</v>
      </c>
      <c r="H3885" s="32" t="s">
        <v>233</v>
      </c>
    </row>
    <row r="3886" ht="16.5" customHeight="1">
      <c r="A3886" s="32">
        <v>3882.0</v>
      </c>
      <c r="C3886" s="32" t="s">
        <v>4836</v>
      </c>
      <c r="D3886" s="32" t="s">
        <v>184</v>
      </c>
      <c r="E3886" s="32" t="s">
        <v>325</v>
      </c>
      <c r="F3886" s="32" t="s">
        <v>396</v>
      </c>
      <c r="G3886" s="32" t="s">
        <v>368</v>
      </c>
      <c r="H3886" s="32" t="s">
        <v>463</v>
      </c>
    </row>
    <row r="3887" ht="16.5" customHeight="1">
      <c r="A3887" s="32">
        <v>3883.0</v>
      </c>
      <c r="C3887" s="32" t="s">
        <v>4837</v>
      </c>
      <c r="D3887" s="32" t="s">
        <v>184</v>
      </c>
      <c r="E3887" s="32" t="s">
        <v>325</v>
      </c>
      <c r="F3887" s="32" t="s">
        <v>396</v>
      </c>
    </row>
    <row r="3888" ht="16.5" customHeight="1">
      <c r="A3888" s="32">
        <v>3884.0</v>
      </c>
      <c r="C3888" s="32" t="s">
        <v>4838</v>
      </c>
      <c r="D3888" s="32" t="s">
        <v>184</v>
      </c>
      <c r="E3888" s="32" t="s">
        <v>254</v>
      </c>
      <c r="F3888" s="32" t="s">
        <v>396</v>
      </c>
      <c r="G3888" s="32" t="s">
        <v>305</v>
      </c>
      <c r="H3888" s="32" t="s">
        <v>600</v>
      </c>
    </row>
    <row r="3889" ht="16.5" customHeight="1">
      <c r="A3889" s="32">
        <v>3885.0</v>
      </c>
      <c r="C3889" s="32" t="s">
        <v>4839</v>
      </c>
      <c r="D3889" s="32" t="s">
        <v>184</v>
      </c>
      <c r="E3889" s="32" t="s">
        <v>351</v>
      </c>
      <c r="F3889" s="32" t="s">
        <v>396</v>
      </c>
      <c r="G3889" s="32" t="s">
        <v>3457</v>
      </c>
      <c r="H3889" s="32" t="s">
        <v>4840</v>
      </c>
    </row>
    <row r="3890" ht="16.5" customHeight="1">
      <c r="A3890" s="32">
        <v>3886.0</v>
      </c>
      <c r="C3890" s="32" t="s">
        <v>4841</v>
      </c>
      <c r="D3890" s="32" t="s">
        <v>184</v>
      </c>
      <c r="E3890" s="32" t="s">
        <v>214</v>
      </c>
      <c r="F3890" s="32" t="s">
        <v>396</v>
      </c>
    </row>
    <row r="3891" ht="16.5" customHeight="1">
      <c r="A3891" s="32">
        <v>3887.0</v>
      </c>
      <c r="C3891" s="32" t="s">
        <v>4842</v>
      </c>
      <c r="D3891" s="32" t="s">
        <v>184</v>
      </c>
      <c r="E3891" s="32" t="s">
        <v>214</v>
      </c>
      <c r="F3891" s="32" t="s">
        <v>396</v>
      </c>
      <c r="G3891" s="32" t="s">
        <v>604</v>
      </c>
    </row>
    <row r="3892" ht="16.5" customHeight="1">
      <c r="A3892" s="32">
        <v>3888.0</v>
      </c>
      <c r="C3892" s="32" t="s">
        <v>4843</v>
      </c>
      <c r="D3892" s="32" t="s">
        <v>184</v>
      </c>
      <c r="E3892" s="32" t="s">
        <v>214</v>
      </c>
      <c r="F3892" s="32" t="s">
        <v>396</v>
      </c>
      <c r="G3892" s="32" t="s">
        <v>720</v>
      </c>
    </row>
    <row r="3893" ht="16.5" customHeight="1">
      <c r="A3893" s="32">
        <v>3889.0</v>
      </c>
      <c r="C3893" s="32" t="s">
        <v>4844</v>
      </c>
      <c r="D3893" s="32" t="s">
        <v>184</v>
      </c>
      <c r="E3893" s="32" t="s">
        <v>214</v>
      </c>
      <c r="F3893" s="32" t="s">
        <v>396</v>
      </c>
      <c r="G3893" s="32" t="s">
        <v>604</v>
      </c>
    </row>
    <row r="3894" ht="16.5" customHeight="1">
      <c r="A3894" s="32">
        <v>3890.0</v>
      </c>
      <c r="C3894" s="32" t="s">
        <v>4845</v>
      </c>
      <c r="D3894" s="32" t="s">
        <v>184</v>
      </c>
      <c r="E3894" s="32" t="s">
        <v>325</v>
      </c>
      <c r="F3894" s="32" t="s">
        <v>396</v>
      </c>
    </row>
    <row r="3895" ht="16.5" customHeight="1">
      <c r="A3895" s="32">
        <v>3891.0</v>
      </c>
      <c r="C3895" s="32" t="s">
        <v>4846</v>
      </c>
      <c r="D3895" s="32" t="s">
        <v>184</v>
      </c>
      <c r="E3895" s="32" t="s">
        <v>214</v>
      </c>
      <c r="F3895" s="32" t="s">
        <v>396</v>
      </c>
      <c r="G3895" s="32" t="s">
        <v>216</v>
      </c>
    </row>
    <row r="3896" ht="16.5" customHeight="1">
      <c r="A3896" s="32">
        <v>3892.0</v>
      </c>
      <c r="C3896" s="32" t="s">
        <v>4847</v>
      </c>
      <c r="D3896" s="32" t="s">
        <v>184</v>
      </c>
      <c r="E3896" s="32" t="s">
        <v>219</v>
      </c>
      <c r="F3896" s="32" t="s">
        <v>396</v>
      </c>
    </row>
    <row r="3897" ht="16.5" customHeight="1">
      <c r="A3897" s="32">
        <v>3893.0</v>
      </c>
      <c r="C3897" s="32" t="s">
        <v>4848</v>
      </c>
      <c r="D3897" s="32" t="s">
        <v>184</v>
      </c>
      <c r="E3897" s="32" t="s">
        <v>254</v>
      </c>
      <c r="F3897" s="32" t="s">
        <v>396</v>
      </c>
    </row>
    <row r="3898" ht="16.5" customHeight="1">
      <c r="A3898" s="32">
        <v>3894.0</v>
      </c>
      <c r="C3898" s="32" t="s">
        <v>4849</v>
      </c>
      <c r="D3898" s="32" t="s">
        <v>184</v>
      </c>
      <c r="E3898" s="32" t="s">
        <v>254</v>
      </c>
      <c r="F3898" s="32" t="s">
        <v>396</v>
      </c>
      <c r="G3898" s="32" t="s">
        <v>257</v>
      </c>
    </row>
    <row r="3899" ht="16.5" customHeight="1">
      <c r="A3899" s="32">
        <v>3895.0</v>
      </c>
      <c r="C3899" s="32" t="s">
        <v>4850</v>
      </c>
      <c r="D3899" s="32" t="s">
        <v>184</v>
      </c>
      <c r="E3899" s="32" t="s">
        <v>254</v>
      </c>
      <c r="F3899" s="32" t="s">
        <v>396</v>
      </c>
      <c r="G3899" s="32" t="s">
        <v>257</v>
      </c>
    </row>
    <row r="3900" ht="16.5" customHeight="1">
      <c r="A3900" s="32">
        <v>3896.0</v>
      </c>
      <c r="C3900" s="32" t="s">
        <v>4851</v>
      </c>
      <c r="D3900" s="32" t="s">
        <v>184</v>
      </c>
      <c r="E3900" s="32" t="s">
        <v>254</v>
      </c>
      <c r="F3900" s="32" t="s">
        <v>396</v>
      </c>
      <c r="G3900" s="32" t="s">
        <v>260</v>
      </c>
    </row>
    <row r="3901" ht="16.5" customHeight="1">
      <c r="A3901" s="32">
        <v>3897.0</v>
      </c>
      <c r="C3901" s="32" t="s">
        <v>4852</v>
      </c>
      <c r="D3901" s="32" t="s">
        <v>184</v>
      </c>
      <c r="E3901" s="32" t="s">
        <v>351</v>
      </c>
      <c r="F3901" s="32" t="s">
        <v>396</v>
      </c>
    </row>
    <row r="3902" ht="16.5" customHeight="1">
      <c r="A3902" s="32">
        <v>3898.0</v>
      </c>
      <c r="C3902" s="32" t="s">
        <v>4853</v>
      </c>
      <c r="D3902" s="32" t="s">
        <v>184</v>
      </c>
      <c r="E3902" s="32" t="s">
        <v>285</v>
      </c>
      <c r="F3902" s="32" t="s">
        <v>396</v>
      </c>
      <c r="G3902" s="32" t="s">
        <v>3818</v>
      </c>
      <c r="H3902" s="32" t="s">
        <v>4854</v>
      </c>
    </row>
    <row r="3903" ht="16.5" customHeight="1">
      <c r="A3903" s="32">
        <v>3899.0</v>
      </c>
      <c r="C3903" s="32" t="s">
        <v>4855</v>
      </c>
      <c r="D3903" s="32" t="s">
        <v>184</v>
      </c>
      <c r="E3903" s="32" t="s">
        <v>285</v>
      </c>
      <c r="F3903" s="32" t="s">
        <v>396</v>
      </c>
      <c r="G3903" s="32" t="s">
        <v>552</v>
      </c>
    </row>
    <row r="3904" ht="16.5" customHeight="1">
      <c r="A3904" s="32">
        <v>3900.0</v>
      </c>
      <c r="C3904" s="32" t="s">
        <v>4856</v>
      </c>
      <c r="D3904" s="32" t="s">
        <v>184</v>
      </c>
      <c r="E3904" s="32" t="s">
        <v>285</v>
      </c>
      <c r="F3904" s="32" t="s">
        <v>396</v>
      </c>
      <c r="G3904" s="32" t="s">
        <v>552</v>
      </c>
      <c r="H3904" s="32" t="s">
        <v>1115</v>
      </c>
    </row>
    <row r="3905" ht="16.5" customHeight="1">
      <c r="A3905" s="32">
        <v>3901.0</v>
      </c>
      <c r="C3905" s="32" t="s">
        <v>4857</v>
      </c>
      <c r="D3905" s="32" t="s">
        <v>184</v>
      </c>
      <c r="E3905" s="32" t="s">
        <v>285</v>
      </c>
      <c r="F3905" s="32" t="s">
        <v>396</v>
      </c>
      <c r="G3905" s="32" t="s">
        <v>189</v>
      </c>
      <c r="H3905" s="32" t="s">
        <v>190</v>
      </c>
    </row>
    <row r="3906" ht="16.5" customHeight="1">
      <c r="A3906" s="32">
        <v>3902.0</v>
      </c>
      <c r="C3906" s="32" t="s">
        <v>4858</v>
      </c>
      <c r="D3906" s="32" t="s">
        <v>184</v>
      </c>
      <c r="E3906" s="32" t="s">
        <v>254</v>
      </c>
      <c r="F3906" s="32" t="s">
        <v>396</v>
      </c>
      <c r="G3906" s="32" t="s">
        <v>256</v>
      </c>
      <c r="H3906" s="32" t="s">
        <v>257</v>
      </c>
    </row>
    <row r="3907" ht="16.5" customHeight="1">
      <c r="A3907" s="32">
        <v>3903.0</v>
      </c>
      <c r="C3907" s="32" t="s">
        <v>4859</v>
      </c>
      <c r="D3907" s="32" t="s">
        <v>184</v>
      </c>
      <c r="E3907" s="32" t="s">
        <v>214</v>
      </c>
      <c r="F3907" s="32" t="s">
        <v>396</v>
      </c>
      <c r="G3907" s="32" t="s">
        <v>216</v>
      </c>
      <c r="H3907" s="32" t="s">
        <v>217</v>
      </c>
    </row>
    <row r="3908" ht="16.5" customHeight="1">
      <c r="A3908" s="32">
        <v>3904.0</v>
      </c>
      <c r="C3908" s="32" t="s">
        <v>4860</v>
      </c>
      <c r="D3908" s="32" t="s">
        <v>184</v>
      </c>
      <c r="E3908" s="32" t="s">
        <v>214</v>
      </c>
      <c r="F3908" s="32" t="s">
        <v>396</v>
      </c>
      <c r="G3908" s="32" t="s">
        <v>217</v>
      </c>
    </row>
    <row r="3909" ht="16.5" customHeight="1">
      <c r="A3909" s="32">
        <v>3905.0</v>
      </c>
      <c r="C3909" s="32" t="s">
        <v>4861</v>
      </c>
      <c r="D3909" s="32" t="s">
        <v>184</v>
      </c>
      <c r="E3909" s="32" t="s">
        <v>214</v>
      </c>
      <c r="F3909" s="32" t="s">
        <v>396</v>
      </c>
    </row>
    <row r="3910" ht="16.5" customHeight="1">
      <c r="A3910" s="32">
        <v>3906.0</v>
      </c>
      <c r="C3910" s="32" t="s">
        <v>4862</v>
      </c>
      <c r="D3910" s="32" t="s">
        <v>184</v>
      </c>
      <c r="E3910" s="32" t="s">
        <v>351</v>
      </c>
      <c r="F3910" s="32" t="s">
        <v>396</v>
      </c>
    </row>
    <row r="3911" ht="16.5" customHeight="1">
      <c r="A3911" s="32">
        <v>3907.0</v>
      </c>
      <c r="C3911" s="32" t="s">
        <v>4863</v>
      </c>
      <c r="D3911" s="32" t="s">
        <v>184</v>
      </c>
      <c r="E3911" s="32" t="s">
        <v>228</v>
      </c>
      <c r="F3911" s="32" t="s">
        <v>396</v>
      </c>
    </row>
    <row r="3912" ht="16.5" customHeight="1">
      <c r="A3912" s="32">
        <v>3908.0</v>
      </c>
      <c r="C3912" s="32" t="s">
        <v>4864</v>
      </c>
      <c r="D3912" s="32" t="s">
        <v>184</v>
      </c>
      <c r="E3912" s="32" t="s">
        <v>254</v>
      </c>
      <c r="F3912" s="32" t="s">
        <v>396</v>
      </c>
      <c r="G3912" s="32" t="s">
        <v>257</v>
      </c>
      <c r="H3912" s="32" t="s">
        <v>271</v>
      </c>
    </row>
    <row r="3913" ht="16.5" customHeight="1">
      <c r="A3913" s="32">
        <v>3909.0</v>
      </c>
      <c r="C3913" s="32" t="s">
        <v>4865</v>
      </c>
      <c r="D3913" s="32" t="s">
        <v>184</v>
      </c>
      <c r="E3913" s="32" t="s">
        <v>234</v>
      </c>
      <c r="F3913" s="32" t="s">
        <v>396</v>
      </c>
      <c r="G3913" s="32" t="s">
        <v>235</v>
      </c>
      <c r="H3913" s="32" t="s">
        <v>243</v>
      </c>
    </row>
    <row r="3914" ht="16.5" customHeight="1">
      <c r="A3914" s="32">
        <v>3910.0</v>
      </c>
      <c r="C3914" s="32" t="s">
        <v>4866</v>
      </c>
      <c r="D3914" s="32" t="s">
        <v>184</v>
      </c>
      <c r="E3914" s="32" t="s">
        <v>254</v>
      </c>
      <c r="F3914" s="32" t="s">
        <v>396</v>
      </c>
    </row>
    <row r="3915" ht="16.5" customHeight="1">
      <c r="A3915" s="32">
        <v>3911.0</v>
      </c>
      <c r="C3915" s="32" t="s">
        <v>4867</v>
      </c>
      <c r="D3915" s="32" t="s">
        <v>184</v>
      </c>
      <c r="E3915" s="32" t="s">
        <v>219</v>
      </c>
      <c r="F3915" s="32" t="s">
        <v>396</v>
      </c>
      <c r="G3915" s="32" t="s">
        <v>347</v>
      </c>
      <c r="H3915" s="32" t="s">
        <v>382</v>
      </c>
    </row>
    <row r="3916" ht="16.5" customHeight="1">
      <c r="A3916" s="32">
        <v>3912.0</v>
      </c>
      <c r="C3916" s="32" t="s">
        <v>4868</v>
      </c>
      <c r="D3916" s="32" t="s">
        <v>184</v>
      </c>
      <c r="E3916" s="32" t="s">
        <v>234</v>
      </c>
      <c r="F3916" s="32" t="s">
        <v>396</v>
      </c>
      <c r="G3916" s="32" t="s">
        <v>347</v>
      </c>
      <c r="H3916" s="32" t="s">
        <v>382</v>
      </c>
    </row>
    <row r="3917" ht="16.5" customHeight="1">
      <c r="A3917" s="32">
        <v>3913.0</v>
      </c>
      <c r="C3917" s="32" t="s">
        <v>4869</v>
      </c>
      <c r="D3917" s="32" t="s">
        <v>184</v>
      </c>
      <c r="E3917" s="32" t="s">
        <v>234</v>
      </c>
      <c r="F3917" s="32" t="s">
        <v>396</v>
      </c>
    </row>
    <row r="3918" ht="16.5" customHeight="1">
      <c r="A3918" s="32">
        <v>3914.0</v>
      </c>
      <c r="C3918" s="32" t="s">
        <v>4870</v>
      </c>
      <c r="D3918" s="32" t="s">
        <v>184</v>
      </c>
      <c r="E3918" s="32" t="s">
        <v>219</v>
      </c>
      <c r="F3918" s="32" t="s">
        <v>396</v>
      </c>
      <c r="G3918" s="32" t="s">
        <v>223</v>
      </c>
      <c r="H3918" s="32" t="s">
        <v>394</v>
      </c>
    </row>
    <row r="3919" ht="16.5" customHeight="1">
      <c r="A3919" s="32">
        <v>3915.0</v>
      </c>
      <c r="C3919" s="32" t="s">
        <v>4871</v>
      </c>
      <c r="D3919" s="32" t="s">
        <v>184</v>
      </c>
      <c r="E3919" s="32" t="s">
        <v>219</v>
      </c>
      <c r="F3919" s="32" t="s">
        <v>396</v>
      </c>
      <c r="G3919" s="32" t="s">
        <v>223</v>
      </c>
      <c r="H3919" s="32" t="s">
        <v>394</v>
      </c>
    </row>
    <row r="3920" ht="16.5" customHeight="1">
      <c r="A3920" s="32">
        <v>3916.0</v>
      </c>
      <c r="C3920" s="32" t="s">
        <v>4872</v>
      </c>
      <c r="D3920" s="32" t="s">
        <v>184</v>
      </c>
      <c r="E3920" s="32" t="s">
        <v>219</v>
      </c>
      <c r="F3920" s="32" t="s">
        <v>396</v>
      </c>
    </row>
    <row r="3921" ht="16.5" customHeight="1">
      <c r="A3921" s="32">
        <v>3917.0</v>
      </c>
      <c r="C3921" s="32" t="s">
        <v>4873</v>
      </c>
      <c r="D3921" s="32" t="s">
        <v>184</v>
      </c>
      <c r="E3921" s="32" t="s">
        <v>254</v>
      </c>
      <c r="F3921" s="32" t="s">
        <v>396</v>
      </c>
      <c r="G3921" s="32" t="s">
        <v>263</v>
      </c>
      <c r="H3921" s="32" t="s">
        <v>4874</v>
      </c>
    </row>
    <row r="3922" ht="16.5" customHeight="1">
      <c r="A3922" s="32">
        <v>3918.0</v>
      </c>
      <c r="C3922" s="32" t="s">
        <v>4875</v>
      </c>
      <c r="D3922" s="32" t="s">
        <v>184</v>
      </c>
      <c r="E3922" s="32" t="s">
        <v>254</v>
      </c>
      <c r="F3922" s="32" t="s">
        <v>316</v>
      </c>
      <c r="G3922" s="32" t="s">
        <v>305</v>
      </c>
      <c r="H3922" s="32" t="s">
        <v>4749</v>
      </c>
    </row>
    <row r="3923" ht="16.5" customHeight="1">
      <c r="A3923" s="32">
        <v>3919.0</v>
      </c>
      <c r="C3923" s="32" t="s">
        <v>4876</v>
      </c>
      <c r="D3923" s="32" t="s">
        <v>184</v>
      </c>
      <c r="E3923" s="32" t="s">
        <v>192</v>
      </c>
      <c r="F3923" s="32" t="s">
        <v>4478</v>
      </c>
      <c r="G3923" s="32" t="s">
        <v>271</v>
      </c>
      <c r="H3923" s="32" t="s">
        <v>4877</v>
      </c>
    </row>
    <row r="3924" ht="16.5" customHeight="1">
      <c r="A3924" s="32">
        <v>3920.0</v>
      </c>
      <c r="C3924" s="32" t="s">
        <v>4878</v>
      </c>
      <c r="D3924" s="32" t="s">
        <v>184</v>
      </c>
      <c r="E3924" s="32" t="s">
        <v>254</v>
      </c>
      <c r="F3924" s="32" t="s">
        <v>4478</v>
      </c>
      <c r="G3924" s="32" t="s">
        <v>263</v>
      </c>
      <c r="H3924" s="32" t="s">
        <v>437</v>
      </c>
    </row>
    <row r="3925" ht="16.5" customHeight="1">
      <c r="A3925" s="32">
        <v>3921.0</v>
      </c>
      <c r="C3925" s="32" t="s">
        <v>4879</v>
      </c>
      <c r="D3925" s="32" t="s">
        <v>184</v>
      </c>
      <c r="E3925" s="32" t="s">
        <v>254</v>
      </c>
      <c r="F3925" s="32" t="s">
        <v>255</v>
      </c>
    </row>
    <row r="3926" ht="16.5" customHeight="1">
      <c r="A3926" s="32">
        <v>3922.0</v>
      </c>
      <c r="C3926" s="32" t="s">
        <v>4880</v>
      </c>
      <c r="D3926" s="32" t="s">
        <v>184</v>
      </c>
      <c r="E3926" s="32" t="s">
        <v>185</v>
      </c>
      <c r="F3926" s="32" t="s">
        <v>255</v>
      </c>
    </row>
    <row r="3927" ht="16.5" customHeight="1">
      <c r="A3927" s="32">
        <v>3923.0</v>
      </c>
      <c r="C3927" s="32" t="s">
        <v>4881</v>
      </c>
      <c r="D3927" s="32" t="s">
        <v>184</v>
      </c>
      <c r="E3927" s="32" t="s">
        <v>192</v>
      </c>
      <c r="F3927" s="32" t="s">
        <v>255</v>
      </c>
      <c r="G3927" s="32" t="s">
        <v>4882</v>
      </c>
      <c r="H3927" s="32" t="s">
        <v>447</v>
      </c>
    </row>
    <row r="3928" ht="16.5" customHeight="1">
      <c r="A3928" s="32">
        <v>3924.0</v>
      </c>
      <c r="C3928" s="32" t="s">
        <v>4883</v>
      </c>
      <c r="D3928" s="32" t="s">
        <v>184</v>
      </c>
      <c r="E3928" s="32" t="s">
        <v>192</v>
      </c>
      <c r="F3928" s="32" t="s">
        <v>255</v>
      </c>
      <c r="G3928" s="32" t="s">
        <v>300</v>
      </c>
      <c r="H3928" s="32" t="s">
        <v>4884</v>
      </c>
    </row>
    <row r="3929" ht="16.5" customHeight="1">
      <c r="A3929" s="32">
        <v>3925.0</v>
      </c>
      <c r="C3929" s="32" t="s">
        <v>4885</v>
      </c>
      <c r="D3929" s="32" t="s">
        <v>184</v>
      </c>
      <c r="E3929" s="32" t="s">
        <v>192</v>
      </c>
      <c r="F3929" s="32" t="s">
        <v>255</v>
      </c>
      <c r="G3929" s="32" t="s">
        <v>300</v>
      </c>
      <c r="H3929" s="32" t="s">
        <v>3413</v>
      </c>
    </row>
    <row r="3930" ht="16.5" customHeight="1">
      <c r="A3930" s="32">
        <v>3926.0</v>
      </c>
      <c r="C3930" s="32" t="s">
        <v>4886</v>
      </c>
      <c r="D3930" s="32" t="s">
        <v>184</v>
      </c>
      <c r="E3930" s="32" t="s">
        <v>192</v>
      </c>
      <c r="F3930" s="32" t="s">
        <v>255</v>
      </c>
    </row>
    <row r="3931" ht="16.5" customHeight="1">
      <c r="A3931" s="32">
        <v>3927.0</v>
      </c>
      <c r="C3931" s="32" t="s">
        <v>4887</v>
      </c>
      <c r="D3931" s="32" t="s">
        <v>184</v>
      </c>
      <c r="E3931" s="32" t="s">
        <v>192</v>
      </c>
      <c r="F3931" s="32" t="s">
        <v>255</v>
      </c>
      <c r="G3931" s="32" t="s">
        <v>300</v>
      </c>
      <c r="H3931" s="32" t="s">
        <v>4888</v>
      </c>
    </row>
    <row r="3932" ht="16.5" customHeight="1">
      <c r="A3932" s="32">
        <v>3928.0</v>
      </c>
      <c r="C3932" s="32" t="s">
        <v>4889</v>
      </c>
      <c r="D3932" s="32" t="s">
        <v>184</v>
      </c>
      <c r="E3932" s="32" t="s">
        <v>192</v>
      </c>
      <c r="F3932" s="32" t="s">
        <v>255</v>
      </c>
      <c r="G3932" s="32" t="s">
        <v>300</v>
      </c>
      <c r="H3932" s="32" t="s">
        <v>4890</v>
      </c>
    </row>
    <row r="3933" ht="16.5" customHeight="1">
      <c r="A3933" s="32">
        <v>3929.0</v>
      </c>
      <c r="C3933" s="32" t="s">
        <v>4891</v>
      </c>
      <c r="D3933" s="32" t="s">
        <v>184</v>
      </c>
      <c r="E3933" s="32" t="s">
        <v>234</v>
      </c>
      <c r="F3933" s="32" t="s">
        <v>255</v>
      </c>
      <c r="G3933" s="32" t="s">
        <v>347</v>
      </c>
      <c r="H3933" s="32" t="s">
        <v>382</v>
      </c>
    </row>
    <row r="3934" ht="16.5" customHeight="1">
      <c r="A3934" s="32">
        <v>3930.0</v>
      </c>
      <c r="C3934" s="32" t="s">
        <v>4892</v>
      </c>
      <c r="D3934" s="32" t="s">
        <v>184</v>
      </c>
      <c r="E3934" s="32" t="s">
        <v>234</v>
      </c>
      <c r="F3934" s="32" t="s">
        <v>255</v>
      </c>
      <c r="G3934" s="32" t="s">
        <v>235</v>
      </c>
      <c r="H3934" s="32" t="s">
        <v>243</v>
      </c>
    </row>
    <row r="3935" ht="16.5" customHeight="1">
      <c r="A3935" s="32">
        <v>3931.0</v>
      </c>
      <c r="C3935" s="32" t="s">
        <v>4893</v>
      </c>
      <c r="D3935" s="32" t="s">
        <v>184</v>
      </c>
      <c r="E3935" s="32" t="s">
        <v>234</v>
      </c>
      <c r="F3935" s="32" t="s">
        <v>255</v>
      </c>
      <c r="G3935" s="32" t="s">
        <v>235</v>
      </c>
      <c r="H3935" s="32" t="s">
        <v>243</v>
      </c>
    </row>
    <row r="3936" ht="16.5" customHeight="1">
      <c r="A3936" s="32">
        <v>3932.0</v>
      </c>
      <c r="C3936" s="32" t="s">
        <v>4894</v>
      </c>
      <c r="D3936" s="32" t="s">
        <v>184</v>
      </c>
      <c r="E3936" s="32" t="s">
        <v>192</v>
      </c>
      <c r="F3936" s="32" t="s">
        <v>255</v>
      </c>
    </row>
    <row r="3937" ht="16.5" customHeight="1">
      <c r="A3937" s="32">
        <v>3933.0</v>
      </c>
      <c r="C3937" s="32" t="s">
        <v>4895</v>
      </c>
      <c r="D3937" s="32" t="s">
        <v>184</v>
      </c>
      <c r="E3937" s="32" t="s">
        <v>234</v>
      </c>
      <c r="F3937" s="32" t="s">
        <v>255</v>
      </c>
    </row>
    <row r="3938" ht="16.5" customHeight="1">
      <c r="A3938" s="32">
        <v>3934.0</v>
      </c>
      <c r="C3938" s="32" t="s">
        <v>4896</v>
      </c>
      <c r="D3938" s="32" t="s">
        <v>184</v>
      </c>
      <c r="E3938" s="32" t="s">
        <v>234</v>
      </c>
      <c r="F3938" s="32" t="s">
        <v>255</v>
      </c>
      <c r="G3938" s="32" t="s">
        <v>235</v>
      </c>
      <c r="H3938" s="32" t="s">
        <v>243</v>
      </c>
    </row>
    <row r="3939" ht="16.5" customHeight="1">
      <c r="A3939" s="32">
        <v>3935.0</v>
      </c>
      <c r="C3939" s="32" t="s">
        <v>4897</v>
      </c>
      <c r="D3939" s="32" t="s">
        <v>184</v>
      </c>
      <c r="E3939" s="32" t="s">
        <v>254</v>
      </c>
      <c r="F3939" s="32" t="s">
        <v>255</v>
      </c>
      <c r="G3939" s="32" t="s">
        <v>305</v>
      </c>
      <c r="H3939" s="32" t="s">
        <v>566</v>
      </c>
    </row>
    <row r="3940" ht="16.5" customHeight="1">
      <c r="A3940" s="32">
        <v>3936.0</v>
      </c>
      <c r="C3940" s="32" t="s">
        <v>4898</v>
      </c>
      <c r="D3940" s="32" t="s">
        <v>184</v>
      </c>
      <c r="E3940" s="32" t="s">
        <v>254</v>
      </c>
      <c r="F3940" s="32" t="s">
        <v>255</v>
      </c>
      <c r="G3940" s="32" t="s">
        <v>257</v>
      </c>
    </row>
    <row r="3941" ht="16.5" customHeight="1">
      <c r="A3941" s="32">
        <v>3937.0</v>
      </c>
      <c r="C3941" s="32" t="s">
        <v>4899</v>
      </c>
      <c r="D3941" s="32" t="s">
        <v>184</v>
      </c>
      <c r="E3941" s="32" t="s">
        <v>214</v>
      </c>
      <c r="F3941" s="32" t="s">
        <v>255</v>
      </c>
    </row>
    <row r="3942" ht="16.5" customHeight="1">
      <c r="A3942" s="32">
        <v>3938.0</v>
      </c>
      <c r="C3942" s="32" t="s">
        <v>4900</v>
      </c>
      <c r="D3942" s="32" t="s">
        <v>184</v>
      </c>
      <c r="E3942" s="32" t="s">
        <v>214</v>
      </c>
      <c r="F3942" s="32" t="s">
        <v>255</v>
      </c>
      <c r="G3942" s="32" t="s">
        <v>3705</v>
      </c>
    </row>
    <row r="3943" ht="16.5" customHeight="1">
      <c r="A3943" s="32">
        <v>3939.0</v>
      </c>
      <c r="C3943" s="32" t="s">
        <v>4901</v>
      </c>
      <c r="D3943" s="32" t="s">
        <v>184</v>
      </c>
      <c r="E3943" s="32" t="s">
        <v>214</v>
      </c>
      <c r="F3943" s="32" t="s">
        <v>255</v>
      </c>
      <c r="G3943" s="32" t="s">
        <v>3705</v>
      </c>
    </row>
    <row r="3944" ht="16.5" customHeight="1">
      <c r="A3944" s="32">
        <v>3940.0</v>
      </c>
      <c r="C3944" s="32" t="s">
        <v>117</v>
      </c>
      <c r="D3944" s="32" t="s">
        <v>184</v>
      </c>
      <c r="E3944" s="32" t="s">
        <v>214</v>
      </c>
      <c r="F3944" s="32" t="s">
        <v>396</v>
      </c>
      <c r="G3944" s="32" t="s">
        <v>3705</v>
      </c>
    </row>
  </sheetData>
  <autoFilter ref="$A$4:$H$4"/>
  <printOptions/>
  <pageMargins bottom="0.75" footer="0.0" header="0.0" left="0.7" right="0.7" top="0.75"/>
  <pageSetup paperSize="9" orientation="portrait"/>
  <drawing r:id="rId1"/>
</worksheet>
</file>